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1.xml"/>
  <Override ContentType="application/vnd.openxmlformats-officedocument.drawing+xml" PartName="/xl/drawings/worksheetdrawing3.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ython" sheetId="1" r:id="rId3"/>
    <sheet state="visible" name="#rstats" sheetId="2" r:id="rId4"/>
    <sheet state="visible" name="Logs Twitter Archiver" sheetId="3" r:id="rId5"/>
  </sheets>
  <definedNames/>
  <calcPr/>
</workbook>
</file>

<file path=xl/sharedStrings.xml><?xml version="1.0" encoding="utf-8"?>
<sst xmlns="http://schemas.openxmlformats.org/spreadsheetml/2006/main" count="34838" uniqueCount="11417">
  <si>
    <t>Twitter Search Rule: #python</t>
  </si>
  <si>
    <t>User Details</t>
  </si>
  <si>
    <t>Date</t>
  </si>
  <si>
    <t>Screen Name</t>
  </si>
  <si>
    <t>Full Name</t>
  </si>
  <si>
    <t>Tweet Text</t>
  </si>
  <si>
    <t>Tweet ID</t>
  </si>
  <si>
    <t>App</t>
  </si>
  <si>
    <t>Followers</t>
  </si>
  <si>
    <t>Follows</t>
  </si>
  <si>
    <t>Retweets</t>
  </si>
  <si>
    <t>Favorites</t>
  </si>
  <si>
    <t>Verfied</t>
  </si>
  <si>
    <t>User Since</t>
  </si>
  <si>
    <t>Location</t>
  </si>
  <si>
    <t>Bio</t>
  </si>
  <si>
    <t>Profile Image</t>
  </si>
  <si>
    <t>Google Maps</t>
  </si>
  <si>
    <t>dulce.com</t>
  </si>
  <si>
    <t>#coding #Jarvis #ArtificialIntelligence in #python in 2016 https://t.co/1FOlrgd80S @dulce303 #developers #github #dulcedotcom</t>
  </si>
  <si>
    <t>Twitter Web Client</t>
  </si>
  <si>
    <t>No</t>
  </si>
  <si>
    <t>Los Angeles, CA</t>
  </si>
  <si>
    <t>Where dreams and reality cross paths. #transhuman #virtualreality #augmentedreality #robotics #quantumcomputing #artificialintelligence #bigdata #wearables</t>
  </si>
  <si>
    <t>Stack Overflow Jobs</t>
  </si>
  <si>
    <t>Senior Developer at Telo (telousa) [Atlanta, GA] https://t.co/nC0raD30TD #python</t>
  </si>
  <si>
    <t>Careers 2.0 bot</t>
  </si>
  <si>
    <t>Stack Overflow Careers is the official careers platform of Stack Overflow, the #1 Q&amp;A site built by programmers, for programmers.</t>
  </si>
  <si>
    <t>Marcelo Domínguez </t>
  </si>
  <si>
    <t>Nice post: "How the heck does async/await work in Python 3.5" by @brettsky #Python https://t.co/0lWgU3mCg8</t>
  </si>
  <si>
    <t>Santiago de Compostela (Spain)</t>
  </si>
  <si>
    <t>Computer Engineer diving into DataScience and Algorithmic Trading... #Python #Java #dotNET #DataScience #ML #Rstats #Trading</t>
  </si>
  <si>
    <t>QuantInsti</t>
  </si>
  <si>
    <t>#Python is an interpreted object-oriented high-level programming language with dynamic semantics #trading #finance</t>
  </si>
  <si>
    <t>India</t>
  </si>
  <si>
    <t>QuantInsti is an Algorithmic Trading Training institute focused on preparing professionals and students for HFT &amp; Algorithmic Trading.</t>
  </si>
  <si>
    <t>the home of AI info</t>
  </si>
  <si>
    <t>RT @Intellipaat: #Python for Data Scientists #DataScience @analyticbridge @planetpython https://t.co/J7NisMiGQA https://t.co/pxjcXzI392</t>
  </si>
  <si>
    <t>RoundTeam</t>
  </si>
  <si>
    <t>talk@homeAI.info</t>
  </si>
  <si>
    <t>The home of Artificial Intelligence Information. A Resource Directory, News Stories, Videos, Twitter &amp; Forum Streams &amp; Splotlight. Also see Informed.AI</t>
  </si>
  <si>
    <t>Joel Havermans</t>
  </si>
  <si>
    <t>15 lines of #python #code should do it! #CyberSecurity https://t.co/ERQVgbin13</t>
  </si>
  <si>
    <t>London, United Kingdom</t>
  </si>
  <si>
    <t>Talent Sourcer (Headhunter) @Microsoft Seeking #Azure #Cloud #Architect | #CyberSecurity #SecuritySales | #Microsoft #SocialMedia Ambassador</t>
  </si>
  <si>
    <t>Interoute</t>
  </si>
  <si>
    <t>[Blog] Getting started with #API programming in #Python. https://t.co/TxNnnYUVoN https://t.co/X4z5e7isK3</t>
  </si>
  <si>
    <t>Sprout Social</t>
  </si>
  <si>
    <t>Head office - London, UK</t>
  </si>
  <si>
    <t>Interoute is the owner-operator of a global cloud services platform and one of Europe's largest networks.</t>
  </si>
  <si>
    <t>Thomas Koch</t>
  </si>
  <si>
    <t>asynchronous programming in #Python 35 by Brett Cannon - "How the heck does async/await work?" Thx @oliver_frietsch https://t.co/2ZHDzhSdNE</t>
  </si>
  <si>
    <t>Twitter for iPhone</t>
  </si>
  <si>
    <t>iPhone: 50.726562,7.093489</t>
  </si>
  <si>
    <t>Web Enthusiast, Entrepreneur and Software Developer #python #javascript #dojo #bscw #orbiteam</t>
  </si>
  <si>
    <t>Huzeyfe ÖNAL (BGA)</t>
  </si>
  <si>
    <t>.@NormShield için #Python developer arayışımız artarak devam ediyor. Başvurular için https://t.co/0UigwmOGh2 . #normshield #devops</t>
  </si>
  <si>
    <t>İstanbul, Ankara, Bakü...</t>
  </si>
  <si>
    <t>Managing Partner at BGA Security, Lecturer at Bilgi &amp; Bahçeşehir Universitesi Cyber Security Professional http://t.co/hc9bWNdJ</t>
  </si>
  <si>
    <t>Fernando Gil</t>
  </si>
  <si>
    <t>RT @ustroetz: Wanna help building the "operation system" for public transport? You know #Python and #GIS? Join us @theallyapp! https://t.co…</t>
  </si>
  <si>
    <t>Lisbon</t>
  </si>
  <si>
    <t>“If you’re going through hell, keep going.”, W. Churchill. MSc in GIS: http://t.co/4i1Vf9K4pS. SlideShare: http://t.co/2cspyILpoz. Proud father of two.</t>
  </si>
  <si>
    <t>Hakkı Öcal</t>
  </si>
  <si>
    <t>RT @huzeyfeonal: .@NormShield için #Python developer arayışımız artarak devam ediyor. Başvurular için https://t.co/0UigwmOGh2 . #normshield…</t>
  </si>
  <si>
    <t>Istanbul, Turkiye</t>
  </si>
  <si>
    <t>Gazeteci, fotoğrafçı, video editörü. Şiir-sever.</t>
  </si>
  <si>
    <t>Cindy Sridharan</t>
  </si>
  <si>
    <t>A slightly disgruntled gentleman at our #lua meetup @imgix - "why the hell is #Python so popular? Why is CS 101 now taught using Python"?</t>
  </si>
  <si>
    <t>San Francisco, CA</t>
  </si>
  <si>
    <t>hoping to learn #erlang/#elixir in 2016. like #golang and all things containers. work on Python, Go and ops @imgix</t>
  </si>
  <si>
    <t>KoNɐN</t>
  </si>
  <si>
    <t>RT @DriesBuyck: 'When #python devs have a baby ' https://t.co/OEDWBGXYBy</t>
  </si>
  <si>
    <t>hell</t>
  </si>
  <si>
    <t>Arteri Wisanggeni</t>
  </si>
  <si>
    <t>#python Flask-Perm 0.2.3: Flask Permission Management Extension https://t.co/CiJrszIsrb</t>
  </si>
  <si>
    <t>dlvr.it</t>
  </si>
  <si>
    <t>Yogyakarta</t>
  </si>
  <si>
    <t>We've had our share of hard times, But that's the price we paid And through it all we kept the promise that we made, I swear you'll never be lonely.</t>
  </si>
  <si>
    <t>#python digTokenizer 1.0.6: digTokenizer https://t.co/iObvGYQo0c</t>
  </si>
  <si>
    <t>Carmem Madoz</t>
  </si>
  <si>
    <t>RT @WillSoprano: #language jokes that are all too true. #DeveloperWeek #Java #C #Latex #Unix #Python #Assembly #HTML #cplusplus #tech https…</t>
  </si>
  <si>
    <t>Brasil</t>
  </si>
  <si>
    <t>Code Review SE</t>
  </si>
  <si>
    <t>Can you answer this? Fuzzy / approximate text matching program in Python https://t.co/SZxMi5u8MU #python</t>
  </si>
  <si>
    <t>Stack Exchange</t>
  </si>
  <si>
    <t>The Stack Exchange network</t>
  </si>
  <si>
    <t>A Q&amp;A site for peer programmer code reviews</t>
  </si>
  <si>
    <t>Blue Line Talent</t>
  </si>
  <si>
    <t>Opportunity for #DevOps Engineer - #Linux &amp; #MySQL #Python #Automation #Rt128 #MA #Jobs# MassPike #Boston area https://t.co/piJ8lNqYC4</t>
  </si>
  <si>
    <t>Postings.com</t>
  </si>
  <si>
    <t>Denver, CO</t>
  </si>
  <si>
    <t>Blue Line is a professional search firm delivering I.T., Software and Engineering talent to growing employers across the US.</t>
  </si>
  <si>
    <t>Navaneethan</t>
  </si>
  <si>
    <t>Answer:Requests not able call multiple routes in same #Flask application #python https://t.co/zBaBUxNXp8</t>
  </si>
  <si>
    <t>Learning is my passion,we love the mistakes always,we get a lot of successes in dream...,</t>
  </si>
  <si>
    <t>V. Ganesh</t>
  </si>
  <si>
    <t>The shortest and simplest way to make a HTTP server: python -m SimpleHTTPServer Love #Python</t>
  </si>
  <si>
    <t>Twitter for Mac</t>
  </si>
  <si>
    <t>Pune</t>
  </si>
  <si>
    <t>Learning till I die. (RT != endorsement)</t>
  </si>
  <si>
    <t>Joshua Long</t>
  </si>
  <si>
    <t>"Coding Jarvis in Python in 2016" via #Python https://t.co/CL1SlMw60q</t>
  </si>
  <si>
    <t>IFTTT</t>
  </si>
  <si>
    <t>United Kingdom</t>
  </si>
  <si>
    <t>Windows 7/8 Desktop Support Technician based in Newcastle. PC Gamer, Netflix Addict &amp; Reddit Aggregator.</t>
  </si>
  <si>
    <t>Mikael Furesjö</t>
  </si>
  <si>
    <t>#Outlook https://t.co/asiZ3QgEzK #Python #MachineLearning #AI #Trading #Forex #ForexTrading $SPY $SPX $EURUSD https://t.co/AEQFVquPqT</t>
  </si>
  <si>
    <t>MikaelFuresjo</t>
  </si>
  <si>
    <t>Sverige</t>
  </si>
  <si>
    <t>Privat Aktiehandlare | Mjukvaruutvecklare | Python Scikit-Learn | Kvantitativ Analytiker | Civilekonom | FN-tjänst x2 | #omx30 |</t>
  </si>
  <si>
    <t>CA$$!DY</t>
  </si>
  <si>
    <t>#VoiceRecognition and #TexttoSpeech in #Python @ https://t.co/Di19iPH4FR</t>
  </si>
  <si>
    <t>in sum thot butt</t>
  </si>
  <si>
    <t>01000111 01001111 01000100</t>
  </si>
  <si>
    <t>Cark</t>
  </si>
  <si>
    <t>On recrute dans ma boite : Dév web fullstack, front-end et UI/UX : https://t.co/aZeamWZpfd #Lyon #angular #python #google #materialdesign</t>
  </si>
  <si>
    <t>Cergy/Vieux Lyon</t>
  </si>
  <si>
    <t>A wild fun link appeared! He uses NSFW, it's super effective! And by the way, Linux is way better than the Mac OS joke. You fool. Dev @lumapps</t>
  </si>
  <si>
    <t>Salim Ben Sahel</t>
  </si>
  <si>
    <t>RT @thagou: On recrute dans ma boite : Dév web fullstack, front-end et UI/UX : https://t.co/aZeamWZpfd #Lyon #angular #python #google #mate…</t>
  </si>
  <si>
    <t>Lyon, France</t>
  </si>
  <si>
    <t>Self-description cannot be established : too many arguments</t>
  </si>
  <si>
    <t>Greg</t>
  </si>
  <si>
    <t>Twitter for Windows Phone</t>
  </si>
  <si>
    <t>Bretagne</t>
  </si>
  <si>
    <t>J'aime beaucoup la bière.</t>
  </si>
  <si>
    <t>Orfeo Morello</t>
  </si>
  <si>
    <t>Self Driving RC Car #RaspberryPi + #Python + #OpenCV + Haar-Cascade Classifiers https://t.co/XhOEYgq61d https://t.co/C8zuAmObLA #project</t>
  </si>
  <si>
    <t>Italy</t>
  </si>
  <si>
    <t>Imagination is more important than knowledge.</t>
  </si>
  <si>
    <t>Principess'Adée</t>
  </si>
  <si>
    <t>Lyon</t>
  </si>
  <si>
    <t>Lyonnaise d'adoption, Geekette dans l'âme, Princesse à temps plein, Grammar nazi à mes heures perdues. #GTLyon</t>
  </si>
  <si>
    <t>SamEtMax</t>
  </si>
  <si>
    <t>CONSIDEREZ TOUS NOS TWEETS COMME #NSFW. (en + si vous cliquez sur des liens ludiques au travail, c'est que vous bossez pas, bande de feignasses).</t>
  </si>
  <si>
    <t>homeAInews</t>
  </si>
  <si>
    <t>RT @dragibus420: Combining #Python and #Elasticsearch for machine learning https://t.co/CSBSHbs4MQ</t>
  </si>
  <si>
    <t>Artificial Intelligence News via Retweets. Also checkout @homeAIinfo, @Informed_AI, @Awards_AI and @Events_AI</t>
  </si>
  <si>
    <t>JS Insights</t>
  </si>
  <si>
    <t>RT @gosmartvel: Full Stack Developer Required - https://t.co/zApuYH1rvg #madrid #startup #angularjs #python #Django #Ansible #ntlk #numpy</t>
  </si>
  <si>
    <t>cc395ce0458659b27fb2e1bd14dd0f95</t>
  </si>
  <si>
    <t>From helpful musings to in-depth tutorials - Viva La JavaScript!</t>
  </si>
  <si>
    <t>mahesh thipparthi</t>
  </si>
  <si>
    <t>RT @PythonDaily: What makes "Pythonic" APIs a joy to use? Leveraging the #Python Data Model. Learn how &amp; build your own at @oscon: https://…</t>
  </si>
  <si>
    <t>Sydney,Australia</t>
  </si>
  <si>
    <t>Loves python,django,Telangana:)</t>
  </si>
  <si>
    <t>Javascript Sabot</t>
  </si>
  <si>
    <t>JSaBot</t>
  </si>
  <si>
    <t>Hello, I'm Sabot the Javascript Dog! I tweet about #JavaScript to help kids @TucsonCode learn.</t>
  </si>
  <si>
    <t>Omar Sar</t>
  </si>
  <si>
    <t>Reporting on my current progress of my bots very soon (blog post and code). 3 finished, 9 to go. #bots #python #ruby</t>
  </si>
  <si>
    <t>Twitter for Android</t>
  </si>
  <si>
    <t>Belize / Taiwan</t>
  </si>
  <si>
    <t>Doctoral Researcher (Machine Learning / AI), Founder (@ibelmopan), Developer, Blogger, Open-Source advocate and a proud first-time dad.</t>
  </si>
  <si>
    <t>PyNSK</t>
  </si>
  <si>
    <t>#python #pynsk #pythondaily #pydaily / Дневной дайджест: 24.02.2016 / / Вновь испеченный Дневной Python Дайджес.. https://t.co/ZKhPfy93IH</t>
  </si>
  <si>
    <t>vk.com pages</t>
  </si>
  <si>
    <t>tweetpoke</t>
  </si>
  <si>
    <t>RT @NavaTux: Answer:Requests not able call multiple routes in same #Flask application #python https://t.co/zBaBUxNXp8</t>
  </si>
  <si>
    <t>interpellation</t>
  </si>
  <si>
    <t>Twitto-Bot python (#twython) ... I seek tweets with #FLASK &amp; #python inside. Person behind [Made by @grominet]</t>
  </si>
  <si>
    <t>Gemma Robaczynski</t>
  </si>
  <si>
    <t>Find out how @gannett monitors their #PHP #NET #Java, #NodeJS &amp; #Python tech stacks: https://t.co/8P5CffrWRI https://t.co/I4LMa6JodP</t>
  </si>
  <si>
    <t>VoiceStorm</t>
  </si>
  <si>
    <t>no wise fish would go anywhere without a porpoise</t>
  </si>
  <si>
    <t>Teachera</t>
  </si>
  <si>
    <t>Want to learn a new skill or find a class or you want to teach #python, #PMP,#js#javascript,#html do so on https://t.co/ofV501vDis . Face …</t>
  </si>
  <si>
    <t>Spain</t>
  </si>
  <si>
    <t>Marketplace for face to face private group classes. Learn anything or teach anything!</t>
  </si>
  <si>
    <t>Lillian J. Edmiston</t>
  </si>
  <si>
    <t>RT https://t.co/Vv8iboNGe4 Find out how gannett monitors their #PHP #NET #Java, #NodeJS &amp; #Python tech stacks: … https://t.co/m2WHo0xl3r</t>
  </si>
  <si>
    <t>St Joseph, MO</t>
  </si>
  <si>
    <t>Programmer</t>
  </si>
  <si>
    <t>Mean Magazine Bot</t>
  </si>
  <si>
    <t>RT @LillianEdmiston: RT https://t.co/Vv8iboNGe4 Find out how gannett monitors their #PHP #NET #Java, #NodeJS &amp; #Python tech stacks: … https…</t>
  </si>
  <si>
    <t>A Mean Magazine Bot</t>
  </si>
  <si>
    <t>Non curated list of relevant tweets about the MEAN stack. For a curated one visit @ameanmagazine</t>
  </si>
  <si>
    <t>AniOko</t>
  </si>
  <si>
    <t>Skills to learn #seo or #Facebookmarketing or #digitalmarketing or #python or #javascript or #java or #PM in #BCN https://t.co/KTpxc8BPKr …</t>
  </si>
  <si>
    <t>Finland</t>
  </si>
  <si>
    <t>Business &amp; Product Dev, Sales, Mkt and Recruitment. Multiple hats where necessary.</t>
  </si>
  <si>
    <t>RT @linuxjobsfr: Forcity recrute un développeur #python expérimenté h/f https://t.co/gbhC7ORTaF</t>
  </si>
  <si>
    <t>Dman Eng</t>
  </si>
  <si>
    <t>Zambia</t>
  </si>
  <si>
    <t>Electrical Engineer</t>
  </si>
  <si>
    <t>Naresh Khalasi</t>
  </si>
  <si>
    <t>Is #Python call-by-value or call-by-reference? Neither. https://t.co/jXJiKdejjq</t>
  </si>
  <si>
    <t>22.3000° N, 73.2003° E</t>
  </si>
  <si>
    <t>Software professional::java, python, scala programmer::enthusiatic learner::agile enthusiast</t>
  </si>
  <si>
    <t>Burak Karaçalı</t>
  </si>
  <si>
    <t>Bilgisayar mühendisi</t>
  </si>
  <si>
    <t>Indizen Technologies</t>
  </si>
  <si>
    <t>Trabaja con nosotros #dataengineer #CPP #bigdata #java #python, consulta oportunidades: https://t.co/2ItmAL6sBb #itjobs #empleo #madrid</t>
  </si>
  <si>
    <t>Madrid</t>
  </si>
  <si>
    <t>Technology &amp; Business Confluence: confluencia entre conocimiento tecnológico y de negocio</t>
  </si>
  <si>
    <t>Sagar Hani</t>
  </si>
  <si>
    <t>#dgplug will change your life. Go for it. Register now. #Python #Fedora https://t.co/WQcYbFnA4C</t>
  </si>
  <si>
    <t>India.</t>
  </si>
  <si>
    <t>Student, FOSS contributor. @duckduckgo lover. ♡</t>
  </si>
  <si>
    <t>NoSQL</t>
  </si>
  <si>
    <t>RT @hh_consulting: #Hiring for Cognitive Computing #ConsultingJobs #sas #python #hive #pig #nosql #career | Apply Now https://t.co/sNZI8yfm…</t>
  </si>
  <si>
    <t>NoSQLDigest</t>
  </si>
  <si>
    <t>NoSQL Digest of tweets.</t>
  </si>
  <si>
    <t>RT @py3k: iforgot - A command line tool to help you remember pypi: https://t.co/tjEaEajFhL www: https://t.co/UubG9e9US9 #python</t>
  </si>
  <si>
    <t>RT @rameetsingh: Hiring #Python Engineer at Dreamworks @DWAnimation in #LA #NoSQL #Data #Scala #ElasticSearch https://t.co/RCoiglGqBi https…</t>
  </si>
  <si>
    <t>Marko Tasic</t>
  </si>
  <si>
    <t>Coding Jarvis in #Python in 2016 | Gurwinder Gulati's Blog https://t.co/lRE7XHWhd6</t>
  </si>
  <si>
    <t>Serbia</t>
  </si>
  <si>
    <t>Software developer and researcher. Startup enthusiast. Solving hard practical problems. I mainly use #python (#pypy) and #javascript (#nodejs).</t>
  </si>
  <si>
    <t>#python supra 1.0.9: It's an easy JSON services generator https://t.co/dDPJ1jDC6U</t>
  </si>
  <si>
    <t>#python nsot_sync 0.4.3: CLI/Driver-based framework to sync resources to NSoT (IPAM) https://t.co/XDyAbhMmPQ</t>
  </si>
  <si>
    <t>#python Flask-Perm 0.2.4: Flask Permission Management Extension https://t.co/Xmu7iKRp8i</t>
  </si>
  <si>
    <t>#python pytest-selenium 1.2.0: pytest plugin for Selenium https://t.co/aPXJuHxK8b</t>
  </si>
  <si>
    <t>#python iterm2-color-scheme 0.1.0: Command-line color scheme selector for iTerm2 https://t.co/D804PcQDWH</t>
  </si>
  <si>
    <t>#python xust1119 1.3.0: a test https://t.co/teTcaB1kPX</t>
  </si>
  <si>
    <t>#python paramz 0.1.5: The Parameterization Framework https://t.co/BgppP0fSlF</t>
  </si>
  <si>
    <t>#python webpandoc 0.0.3: Tiny (and maybe yet ugly) HTTP API that calls pandoc and returns converted documents. https://t.co/esajgBV1Lp</t>
  </si>
  <si>
    <t>Uta Nickels</t>
  </si>
  <si>
    <t>RT @wilfriedhoge: #DataScience skills in demand for 2016 | #SQL top of the list, also #R, #Python, #Java needed https://t.co/GYjB3XpbzU</t>
  </si>
  <si>
    <t>Jork, Germany</t>
  </si>
  <si>
    <t>immer nah am Wasser. Liebe Sprache und das Absurde. IBM, digital. Meinung: meist meine eigene.</t>
  </si>
  <si>
    <t>"OCR on PDF files using Python" via #Python https://t.co/PddewCu9Sc</t>
  </si>
  <si>
    <t>avifreedman</t>
  </si>
  <si>
    <t>RT @copyconstruct: A slightly disgruntled gentleman at our #lua meetup @imgix - "why the hell is #Python so popular? Why is CS 101 now taug…</t>
  </si>
  <si>
    <t>Internet Plumber ; CEO of @kentikinc</t>
  </si>
  <si>
    <t>News Karnataka</t>
  </si>
  <si>
    <t>Pilikula Nisarga Dhama gets rare visitor https://t.co/GeNH3PLaLV #PilikulaNisargaDhama #python #Whitepython https://t.co/ylV2XA8kJ2</t>
  </si>
  <si>
    <t>Karnataka</t>
  </si>
  <si>
    <t>Karnataka's leading online news web portal, covers exclusive and latest news across the state and Gulf region.</t>
  </si>
  <si>
    <t>Miguel Olivan</t>
  </si>
  <si>
    <t>RT @indizen_corp: Trabaja con nosotros #dataengineer #CPP #bigdata #java #python, consulta oportunidades: https://t.co/2ItmAL6sBb #itjobs #…</t>
  </si>
  <si>
    <t>Zaragoza</t>
  </si>
  <si>
    <t>Science, programming, open-source &amp; technology. In any order. Working for @ANAISexperiment.</t>
  </si>
  <si>
    <t>Code Sport I/O</t>
  </si>
  <si>
    <t>Hidden features of #Python: https://t.co/ND601WIQ1N</t>
  </si>
  <si>
    <t>Facebook</t>
  </si>
  <si>
    <t>Research Triangle Park, NC</t>
  </si>
  <si>
    <t>A Code school designed for grown-ups. Learn to build web apps across the entire LAMP stack. Classes are held weekend afternoons. 5:1 Student to teacher ratio.</t>
  </si>
  <si>
    <t>Shahor</t>
  </si>
  <si>
    <t>Tweetbot for Mac</t>
  </si>
  <si>
    <t>Paris</t>
  </si>
  <si>
    <t>Ansi font font font li p title Mar I/O .NET. Frontend dev @netvibes</t>
  </si>
  <si>
    <t>CloudNumNine</t>
  </si>
  <si>
    <t>RT @AnjneyaParashar: #Python Is Not C: Take Two https://t.co/DyJq81dF5P https://t.co/W4s9LinFiG</t>
  </si>
  <si>
    <t>Luciano Ramalho ☂</t>
  </si>
  <si>
    <t>Pythonic API design tutorial at @oscon 2016 "Fluent Python: Implementing intuitive and productive APIs" https://t.co/HTHFlC65vJ #python #api</t>
  </si>
  <si>
    <t>Sao Paulo, Brazil</t>
  </si>
  <si>
    <t>Stand-up programmer • Author of @FluentPython • Tech Principal at @ThoughtWorks</t>
  </si>
  <si>
    <t>Cool Python</t>
  </si>
  <si>
    <t>RT @ramalhoorg: Pythonic API design tutorial at @oscon 2016 "Fluent Python: Implementing intuitive and productive APIs" https://t.co/HTHFlC…</t>
  </si>
  <si>
    <t>JSL Retweeter</t>
  </si>
  <si>
    <t>Brighton &amp; Hove, UK</t>
  </si>
  <si>
    <t>Auto-retweeting Python tweets from the accounts we follow - enjoy!</t>
  </si>
  <si>
    <t>Max Lai</t>
  </si>
  <si>
    <t>RT @fullstackpython: Open source Git repository for the new #Python jumpstart course videos https://t.co/FLGZcugxCW</t>
  </si>
  <si>
    <t>Taichung</t>
  </si>
  <si>
    <t>一個往返台中與新竹的IT研發經理 Certified ScrumMaster (CSM)</t>
  </si>
  <si>
    <t>Mrs Collins Class</t>
  </si>
  <si>
    <t>RT @KimDesveaux: They're #Coding in NFLD too! New #codeClub learning #Python https://t.co/M7XWwPjH6p @brilliant_labs</t>
  </si>
  <si>
    <t>Mount Pearl, NL</t>
  </si>
  <si>
    <t>We are Grade 2 students opening our classroom to the world. Our teacher is @Gr2Teacher and she is also a @StemSistersNL.</t>
  </si>
  <si>
    <t>Programming Gurgaon</t>
  </si>
  <si>
    <t>Coding Jarvis in Python in 2016 https://t.co/82VhDU9J7X #Python submitted by /u/desmoulinmichel[link] [comments]</t>
  </si>
  <si>
    <t>Gurgaon, Haryana, India</t>
  </si>
  <si>
    <t>Learn Python Programming in Delhi NCR #Python Classes in Gurgaon (Age: 9 to 90 Years) #PythonGurgaon #Programming #Data #Coding #R #Gurgaon #DelhiNCR #Analytics</t>
  </si>
  <si>
    <t>OCR on PDF files using Python https://t.co/gZXTdm9tpt #Python submitted by /u/desmoulinmichel[link] [comments]</t>
  </si>
  <si>
    <t>Python Books</t>
  </si>
  <si>
    <t>RT @Kludgist: "Web Scraping with Python" is the #1 Bestseller in #Python #programming on Amazon! https://t.co/9gF7WvUpBF</t>
  </si>
  <si>
    <t>Online</t>
  </si>
  <si>
    <t>Python 3 MCQ - Multiple Choice Questions n Answers for Tests, Quizzes - Python Students &amp; Teachers: Python3 Programming #Python #Python3 #Programming #Books</t>
  </si>
  <si>
    <t>Drizzt</t>
  </si>
  <si>
    <t>Forgotten Realms</t>
  </si>
  <si>
    <t>Perdido en los Reinos Olvidados</t>
  </si>
  <si>
    <t>Elena</t>
  </si>
  <si>
    <t>@edXOnline courses for learn to programming with #python : https://t.co/j14icrTucv</t>
  </si>
  <si>
    <t>Geografia-Gis... Ong, Solidaritat</t>
  </si>
  <si>
    <t>Miguel P.C.</t>
  </si>
  <si>
    <t>Tres Cantos, Madrid, Spain</t>
  </si>
  <si>
    <t>Shift Happens</t>
  </si>
  <si>
    <t>RT @siliconallee: Interested in Python and data wrangling? Berlin’s own @kjam of @pyladies co-authored a new hands-on guide https://t.co/9b…</t>
  </si>
  <si>
    <t>Florents Tselai</t>
  </si>
  <si>
    <t>Coding Jarvis in #Python in 2016 https://t.co/Uke5ItND2M #MachineLearning</t>
  </si>
  <si>
    <t>Greece</t>
  </si>
  <si>
    <t>Vitamins necessary for life: A,B,C,D #Algorithms, #Books, #Code, #Data (not necessarily in that order)</t>
  </si>
  <si>
    <t>Jonathan L.</t>
  </si>
  <si>
    <t>Lyon/Paris, France</t>
  </si>
  <si>
    <t>Je shoote à 3 points et j’aide les clients de @captaintrain.</t>
  </si>
  <si>
    <t>Muyi Ibidun</t>
  </si>
  <si>
    <t>RT @randal_olson: "The idiomatic way to merge dictionaries in #Python." #programming https://t.co/zvw2unFBJd https://t.co/98kyA9ncNv</t>
  </si>
  <si>
    <t>Umeå, Sweden</t>
  </si>
  <si>
    <t>Techie. | Doctorand. | Educator | Pythonista | Cloud and Data Science Enthusiast. | Weirdly Different.</t>
  </si>
  <si>
    <t>ZEEF</t>
  </si>
  <si>
    <t>100+ links to help you learn about #Python 🐍 | https://t.co/VC7d8kzT05 @LearnPythonTut @PythonWeekly https://t.co/D9F7YonINo</t>
  </si>
  <si>
    <t>Buffer</t>
  </si>
  <si>
    <t>Amsterdam, NL</t>
  </si>
  <si>
    <t>Curated Directory for Development &amp; Tech Resources. Daily Tweets of ZEEF pages &amp; quality resources ft in the directory.</t>
  </si>
  <si>
    <t>Python 3</t>
  </si>
  <si>
    <t>sockpuppet - Tools for integration tests involving real ports pypi: https://t.co/79pBWPXjpN www: https://t.co/EhuCtPkFFi #python</t>
  </si>
  <si>
    <t>py3kbot</t>
  </si>
  <si>
    <t>Python 3 Packages and Modules on pypi - As it Happens.</t>
  </si>
  <si>
    <t>#python ongair-whatsapp 1.0.3: Ongair layer that connects to whatsapp https://t.co/Q4dwJ5tNvQ</t>
  </si>
  <si>
    <t>#python pyresample 1.1.6: Resampling of remote sensing data in Python https://t.co/q2bFOOHyoF</t>
  </si>
  <si>
    <t>#python nada 0.1.3.2: Multi music website command line player https://t.co/NnlIfUVTLh</t>
  </si>
  <si>
    <t>TDS, Inc.</t>
  </si>
  <si>
    <t>Local duo Ultrafauz, jazz guitar and Django Reinheardt https://t.co/kfwsitaQdb #Django #Python</t>
  </si>
  <si>
    <t>TdsAutoFeed</t>
  </si>
  <si>
    <t>St Louis, MO</t>
  </si>
  <si>
    <t>Technology Solutions Company</t>
  </si>
  <si>
    <t>artcontrolme</t>
  </si>
  <si>
    <t>[b0t] How do I submit a package to PyPI automatically when committing to GitHub? https://t.co/3eEnlizUuN #python</t>
  </si>
  <si>
    <t>Artcontrol.me: Art of William</t>
  </si>
  <si>
    <t>New Zealand</t>
  </si>
  <si>
    <t>#code, #linux, and #food. Oh and #art</t>
  </si>
  <si>
    <t>IT , New York</t>
  </si>
  <si>
    <t>#Python/Java #Engineer- Startup Financial Firm https://t.co/SlAvM0JtIM https://t.co/CmfHs66VEX</t>
  </si>
  <si>
    <t>seed.mytweetsys.app.t00</t>
  </si>
  <si>
    <t>New York, New York, US</t>
  </si>
  <si>
    <t>Looking for an IT job in New York? Check out our website https://t.co/TyV9i7w8lF</t>
  </si>
  <si>
    <t>BroBeur.com</t>
  </si>
  <si>
    <t>[b0t]How do I submit a package to PyPI automatically when committing to GitHub? https://t.co/G5dyQUlpyI #python</t>
  </si>
  <si>
    <t>bbtwet</t>
  </si>
  <si>
    <t>Hamilton, New Zealand</t>
  </si>
  <si>
    <t>Video Game Development. #gamedev #linux #getsdrawn</t>
  </si>
  <si>
    <t>RT @py3k: sockpuppet - Tools for integration tests involving real ports pypi: https://t.co/79pBWPXjpN www: https://t.co/EhuCtPkFFi #python</t>
  </si>
  <si>
    <t>kamimura</t>
  </si>
  <si>
    <t>“Python - Math - Playing with Sets and Probability(Estimating the Area of a Circle, π) | Kami…” https://t.co/42tvKCdLdl #数学 #プログラミング #Python</t>
  </si>
  <si>
    <t>Hatena</t>
  </si>
  <si>
    <t>Tokyo, Japan</t>
  </si>
  <si>
    <t>C#、Pythonプログラマー、数学、プログラミング(Scheme、C、Go、Swift、JavaScript等ちょこっとずつ) https://t.co/yI26bRjw8W https://t.co/o5JbQWxyFr</t>
  </si>
  <si>
    <t>Alejandro Mera</t>
  </si>
  <si>
    <t>Secure development with #django, choose the correct version for your new projects. #python,#security. https://t.co/djJPtbeb1P</t>
  </si>
  <si>
    <t>Boston, MA</t>
  </si>
  <si>
    <t>Msc Information Assurance, MGRT, Electrical engineer. #infosec, #entrepreneur, #datamining, #Linux</t>
  </si>
  <si>
    <t>Mudit Sethia</t>
  </si>
  <si>
    <t>Started off with #fullstackdevelopment with @djangoproject. Just love the way it works. #python #django #webdev</t>
  </si>
  <si>
    <t>Books | Mobile | Technology | Tea | Travel</t>
  </si>
  <si>
    <t>RT @randal_olson: I wrote a simple #Python tool that converts XRFF files to CSV format. On #GitHub: https://t.co/I6NrMjgBMm https://t.co/w…</t>
  </si>
  <si>
    <t>RT @kdnuggets: R vs #Python: head to head data analysis #KDN https://t.co/9bfbFwRnAC</t>
  </si>
  <si>
    <t>BountyBot</t>
  </si>
  <si>
    <t>How to check if two permutations are symmetric? https://t.co/cK9pSxVhwF Amt:200 #Python #Algorithm</t>
  </si>
  <si>
    <t>SOBountyBot</t>
  </si>
  <si>
    <t>I'm a robot that tweets new and interesting bounty questions from Stack Overflow. My maker is @lizardbill. View my source on GitHub. https://t.co/ZXKdfjK65f</t>
  </si>
  <si>
    <t>Adrian-Tudor Panescu</t>
  </si>
  <si>
    <t>Reminder on how to implement truth testing for custom class instances in #Python https://t.co/gONY5xWRuc</t>
  </si>
  <si>
    <t>Iasi, Romania</t>
  </si>
  <si>
    <t>Software development engineer, open data enthusiast @figshare, crazy about #vim, simplicity and trucks.</t>
  </si>
  <si>
    <t>Cindy Williams</t>
  </si>
  <si>
    <t>Write feature class properties to a Word document using python-docx #python #ArcPy https://t.co/WRqmtgIgho</t>
  </si>
  <si>
    <t>WordPress.com</t>
  </si>
  <si>
    <t>Cape Town, ZA</t>
  </si>
  <si>
    <t>Geodev with expertise in Python and ESRI products, currently a GIS Analyst @ Vodacom</t>
  </si>
  <si>
    <t>Boolerang.io</t>
  </si>
  <si>
    <t>😍 Sublime! 😍 @HelloTrussle need a Full-stack Developer &gt; https://t.co/b4ws4KuEXe &lt; #AngularJS #nodejs #AWS #python https://t.co/sN0ETOCjLK</t>
  </si>
  <si>
    <t>Shoreditch, London</t>
  </si>
  <si>
    <t>The #1 Platform for Tech #Jobs in London - #FrontEnd #BackEnd #FullStack #Mobile #UX #Data. Post a job in seconds - It's FAST &amp; FREE!</t>
  </si>
  <si>
    <t>pydatacopenhagen</t>
  </si>
  <si>
    <t>and #pydata #Copenhagen is now live. #cphftw #python Join us at https://t.co/4Q4T9c0jiz and stay tuned for upcoming events!</t>
  </si>
  <si>
    <t>Anurag Kumar Shukla</t>
  </si>
  <si>
    <t>Python Programs By Anurag Kumar Shukla: Binary Search In Python https://t.co/EteuksB4en #python #AsiaCupT20 #RailBudget2016 #SanjayDutt #IPL</t>
  </si>
  <si>
    <t>Visit https://t.co/BGww3kv3Pg To Know What Thing I am.</t>
  </si>
  <si>
    <t>Philippe B</t>
  </si>
  <si>
    <t>Tu aimes #angularjs #python ou simplement le #TURFU, alors check it out : https://t.co/D8rtIiBh3n (en gros clique si tu cherches du boulot)</t>
  </si>
  <si>
    <t>Là où le devoir m'appelle</t>
  </si>
  <si>
    <t>The short haired MacGyver</t>
  </si>
  <si>
    <t>RT @philippe_bchn: Tu aimes #angularjs #python ou simplement le #TURFU, alors check it out : https://t.co/D8rtIiBh3n (en gros clique si tu …</t>
  </si>
  <si>
    <t>Clemens Brunner</t>
  </si>
  <si>
    <t>#EEG #MEG source connectivity in #Python - we just released version 0.2 of SCoT: https://t.co/n1KuvRrvfW</t>
  </si>
  <si>
    <t>Neuroscience, Python, Machine Learning, Statistics</t>
  </si>
  <si>
    <t>#cphftw</t>
  </si>
  <si>
    <t>RT @pydatacph: and #pydata #Copenhagen is now live. #cphftw #python Join us at https://t.co/4Q4T9c0jiz and stay tuned for upcoming event…</t>
  </si>
  <si>
    <t>Copenhagen, Denmark</t>
  </si>
  <si>
    <t>Use the #cphftw hashtag to engage w/ the tech startup community in Denmark and the Öresund Region. Questions for the startup organization: hello@cphftw.dk</t>
  </si>
  <si>
    <t>London CLC</t>
  </si>
  <si>
    <t>We've been experimenting with #microbit #python this morning. https://t.co/t0wc3whq1x https://t.co/xa1o4F8j5g https://t.co/1XpDqKf0RK</t>
  </si>
  <si>
    <t>Lambeth, London</t>
  </si>
  <si>
    <t>London Connected Learning Centre, a part of @EdDevTrust (formerly CfBT) supports schools in harnessing the potential of digital technologies for learning.</t>
  </si>
  <si>
    <t>Doug Sparling</t>
  </si>
  <si>
    <t>Brian Bell – Introduction to #Python for #DataScience https://t.co/vzWcumteQl</t>
  </si>
  <si>
    <t>Kansas City, MO</t>
  </si>
  <si>
    <t>Web &amp; mobile architect/dev at @gocomics - Go, Python, R, iOS/Android, PHP -Freelance tech reviewer/editor/proofer - Photog, Musician/Composer (@_dougsparling)</t>
  </si>
  <si>
    <t>Sentiwire</t>
  </si>
  <si>
    <t>RT @dougsparling: Brian Bell – Introduction to #Python for #DataScience https://t.co/vzWcumteQl</t>
  </si>
  <si>
    <t>Data Science Wire</t>
  </si>
  <si>
    <t>I am a bot retweeting posts on data science and machine learning.</t>
  </si>
  <si>
    <t>Python Digest</t>
  </si>
  <si>
    <t>pluserable - регистрация для Pyramid: https://t.co/EAaJMq5T32 #python</t>
  </si>
  <si>
    <t>Все новости о Python</t>
  </si>
  <si>
    <t>MundoSQL</t>
  </si>
  <si>
    <t>Recorrer una #Excel con el modulo xlrd de #Python https://t.co/K80D2vPz9e https://t.co/kjUQ2N3RJy</t>
  </si>
  <si>
    <t>Kamil Sokołowski</t>
  </si>
  <si>
    <t>Best way to learn grep, sed and awk tools: watch couple of @raymondh talks and start refactoring your #python code #programming #linux #unix</t>
  </si>
  <si>
    <t>"Dangerous python function:On using pickle" via #Python https://t.co/f3DXraX2un</t>
  </si>
  <si>
    <t>#python ergodic 1.0.0: A simple printer of nested lists https://t.co/eHssRJGVk2</t>
  </si>
  <si>
    <t>#python coala-bears 0.1.0.dev20160225094529: Bears for coala (Code Analysis Application) https://t.co/ACEEXbXWCk</t>
  </si>
  <si>
    <t>#python it4i.portal.clients 0.3.3.post1: Client tools for accessing various client APIs of IT4I portals https://t.co/XpBns6A8PA</t>
  </si>
  <si>
    <t>#python vxvas2nets 0.7.0: A Vas2Nets USSD transport for Vumi. https://t.co/b38du1oozr</t>
  </si>
  <si>
    <t>#python reddit_view 0.0.7b0: a reddit image collector https://t.co/nk83loevI5</t>
  </si>
  <si>
    <t>#python gdom 0.1.0: DOM Traversing utility using GraphQL https://t.co/Y0Sxx2xg9v</t>
  </si>
  <si>
    <t>#python typhon 0.2.6: Tools for atmospheric research https://t.co/mRyRk02Ux5</t>
  </si>
  <si>
    <t>#python spalloc 0.2.2: A client for the spalloc_server SpiNNaker machine partitioning and allocation system. https://t.co/j0wlpHMAmL</t>
  </si>
  <si>
    <t>#python comet-sensor 0.7.2: A simple tool for retreiving and dealing with climate data from the Comet T6540 Climate… https://t.co/58JgsTKeb2</t>
  </si>
  <si>
    <t>#python scikit-bold 0.1.6: Tools to convert and transform first-level fMRI data to scikit-learn compatible… https://t.co/RYgiwiCeOt</t>
  </si>
  <si>
    <t>Jack Baldwin</t>
  </si>
  <si>
    <t>RT @artwisanggeni: #python scikit-bold 0.1.6: Tools to convert and transform first-level fMRI data to scikit-learn compatible… https://t.co…</t>
  </si>
  <si>
    <t>jackbaldwin16bot</t>
  </si>
  <si>
    <t>relative to what?</t>
  </si>
  <si>
    <t>Slacker, The Internet is an interesting place right? I'm not here at all, neither are you.</t>
  </si>
  <si>
    <t>Engineering Lead at Recruiterbox (teamrbox) [Bengaluru, India] https://t.co/UOu3v37sBh #python</t>
  </si>
  <si>
    <t>OnlineCoursesPro</t>
  </si>
  <si>
    <t>Up to 97% off all #Udemy online courses, inc. #python courses: https://t.co/gYsfTX4ROE https://t.co/6y71BrjAdP</t>
  </si>
  <si>
    <t>Nevada, USA</t>
  </si>
  <si>
    <t>Get the best courses for the best discounts. Check out http://t.co/YsHSSxUSl9 for the best #Udemy coupon code deal of the day.</t>
  </si>
  <si>
    <t>Le Journal du Hacker</t>
  </si>
  <si>
    <t>Mais qui donc set ce signal handler ? https://t.co/6rwctVXJfR #python</t>
  </si>
  <si>
    <t>jdh-rss2twitter</t>
  </si>
  <si>
    <t>France</t>
  </si>
  <si>
    <t>Compte officiel du Journal du hacker https://t.co/ykig9MmbKJ : logiciel libre, technologie, startups</t>
  </si>
  <si>
    <t>Salvatore Monaco</t>
  </si>
  <si>
    <t>I love my work, #python #coding #programming https://t.co/cHfThYpr38</t>
  </si>
  <si>
    <t>Milano</t>
  </si>
  <si>
    <t>Naturalgeek, I love technologies, sysadmin, python enthusiastic developer, MartialArtist silat-kali and Runner/cyclist for passion.</t>
  </si>
  <si>
    <t>Kanor</t>
  </si>
  <si>
    <t>Recherche d'un développeur #python en #CDI sur #Troyes me contacter en DM si vos êtes intéressé #Emploi #web</t>
  </si>
  <si>
    <t>Troyes</t>
  </si>
  <si>
    <t>Félin pythonneux et ubunteros membre du prestigieux TDCT.</t>
  </si>
  <si>
    <t>Zilkos</t>
  </si>
  <si>
    <t>RT @KanorUbu: Recherche d'un développeur #python en #CDI sur #Troyes me contacter en DM si vos êtes intéressé #Emploi #web</t>
  </si>
  <si>
    <t>If it isn’t broken, don’t fix it. GPG D9034A4E</t>
  </si>
  <si>
    <t>Furthest Works</t>
  </si>
  <si>
    <t>desarrollador #python , #django, #javascript con backbone by ebaixas… https://t.co/nqrMmzUMlA #freelance #job</t>
  </si>
  <si>
    <t>Google</t>
  </si>
  <si>
    <t>Worldwide</t>
  </si>
  <si>
    <t>Find freelance programmers,freelance jobs freelance projects at freelancing job for software development,website designing development and more. #freelance #job</t>
  </si>
  <si>
    <t>Barney</t>
  </si>
  <si>
    <t>Near Paris</t>
  </si>
  <si>
    <t>Barney is back</t>
  </si>
  <si>
    <t>Vincent Kaltenbronn</t>
  </si>
  <si>
    <t>Toujours Gare de l'Est</t>
  </si>
  <si>
    <t>Éleveur de bulles de #champagne. Paysan producteur de lait et chauffeur de tracteur quand j'ai le temps. #A2C #agroforesterie #semisdirect #LogicielLibre</t>
  </si>
  <si>
    <t>Dangerous python function:On using pickle https://t.co/uQvTHheJJh #Python submitted by /u/netscape101[link] [comments]</t>
  </si>
  <si>
    <t>Website Bits</t>
  </si>
  <si>
    <t>RT @LdnCLC: We've been experimenting with #microbit #python this morning. https://t.co/t0wc3whq1x https://t.co/xa1o4F8j5g https://t.co/1XpD…</t>
  </si>
  <si>
    <t>North &amp; South of the Equator</t>
  </si>
  <si>
    <t>#Website advise ... #FREE ... CSS, WordPress, Joomla, Design, Development ... the list goes on.</t>
  </si>
  <si>
    <t>Cryptie**</t>
  </si>
  <si>
    <t>TweetDeck</t>
  </si>
  <si>
    <t>#privacy #free-software #crypto</t>
  </si>
  <si>
    <t>Haffina</t>
  </si>
  <si>
    <t>Playing with a new #gelpolish design #snakeskin #python #gel #beautyvlogger #youtuber… https://t.co/TT0T4BkCWr</t>
  </si>
  <si>
    <t>Instagram</t>
  </si>
  <si>
    <t>Australia</t>
  </si>
  <si>
    <t>Jewellery Maker, Chainmailler, Youtuber and Polymer Clay artist. https://t.co/6gN0AsRisb</t>
  </si>
  <si>
    <t>apcelent</t>
  </si>
  <si>
    <t>How to setup #microservices architecture with #python #flask #zeromq &amp; @docker - https://t.co/O9hPvJcSBW https://t.co/E8ND5RhOar</t>
  </si>
  <si>
    <t>We deliver Excellent Apps!</t>
  </si>
  <si>
    <t>carlchenet</t>
  </si>
  <si>
    <t>RT @journalduhacker: Mais qui donc set ce signal handler ? https://t.co/6rwctVXJfR #python</t>
  </si>
  <si>
    <t>retweet-journalduhacker</t>
  </si>
  <si>
    <t>System architect, founder of http://t.co/scCCuswavo, Debian developer &amp; Python addict. Wrote some articles about Free Software. Tea addict. Wine lover.</t>
  </si>
  <si>
    <t>mytux</t>
  </si>
  <si>
    <t>retweet-journalduhacker-mytuxfr</t>
  </si>
  <si>
    <t>Paris, France</t>
  </si>
  <si>
    <t>#Debian #Linux #Sysadmin #Python #Docker #Ansible #BackupChecker</t>
  </si>
  <si>
    <t>Nicolas RAMY</t>
  </si>
  <si>
    <t>The Idiomatic Way to #Merge #Dictionaries in #Python - Trey Hunner https://t.co/IJJ03WwAg0</t>
  </si>
  <si>
    <t>Some #devops on #ubuntu with a pinch of #python for a lot of data ... like #bigdata. I rather call it #fatdata. Sound prettier. Working @deezer.</t>
  </si>
  <si>
    <t>RT @packtauthors: Get started with #PredictiveAnalytics using #Python with this new book by @asis64 https://t.co/yhrTw7YtTL #bigdata https:…</t>
  </si>
  <si>
    <t>Daily Tech Issues</t>
  </si>
  <si>
    <t>#Python check value nested list column #Tech #News #HowTo https://t.co/hKEMv0sKfU</t>
  </si>
  <si>
    <t>CN</t>
  </si>
  <si>
    <t>Daily #Technology Issues &amp; solutions: The height quality on going #Technology events, #news and #information through. Stay connected &amp; keep updated yourself.</t>
  </si>
  <si>
    <t>Laurent ★ Untereiner</t>
  </si>
  <si>
    <t>RT @loverdeolivier: Looking for a new tech job? breaz connects the best developers in #javascript #python #php with the best start-ups! htt…</t>
  </si>
  <si>
    <t>Luxembourg</t>
  </si>
  <si>
    <t>✵ web ✵ curious ✵ animalis ✵ Between France and Luxembourg. Between ☛ Design &amp; Tech ☚ ❤ Trail &amp; run ☛</t>
  </si>
  <si>
    <t>wcmckee</t>
  </si>
  <si>
    <t>[b0t](Almost) hate to say it, but I'm a convert. https://t.co/TiHjfp0GxI #python</t>
  </si>
  <si>
    <t>wcmtwet</t>
  </si>
  <si>
    <t>Hamilton City, New Zealand</t>
  </si>
  <si>
    <t>Open Source Python Software/Web Development. AV volunteer at tech confs, and writer.</t>
  </si>
  <si>
    <t>KusadasiLeather</t>
  </si>
  <si>
    <t>#kusadasileather #lady #snake #crocodile #python #leather #jacket… https://t.co/EOl8TLRWBW</t>
  </si>
  <si>
    <t>Kusadasi - Turkey</t>
  </si>
  <si>
    <t>KUSADASI Leathers is an independent e-tailer based in the TURKEY - KUSADASI specialising in bringing exciting new collections of Leather Jackets</t>
  </si>
  <si>
    <t>RT @apcelent: How to setup #microservices architecture with #python #flask #zeromq &amp; @docker - https://t.co/O9hPvJcSBW https://t.co/E8ND5R…</t>
  </si>
  <si>
    <t>John Hopkins</t>
  </si>
  <si>
    <t>Optimizing #uWSGI for many threads and processes. #Python https://t.co/1AtqGOLiWd</t>
  </si>
  <si>
    <t>cocoacoda tweet test</t>
  </si>
  <si>
    <t>London</t>
  </si>
  <si>
    <t>Cocoa, Python, iOS, Programming. Electronics. Technology junkie. Broadcast Professional. Currently tweeting python &amp; django with a sprinkle of mongodb &amp; swift!</t>
  </si>
  <si>
    <t>RT @dyjh: What #programming language should you learn? https://t.co/Hzr81YlUou #python</t>
  </si>
  <si>
    <t>Udemy Course Coupons</t>
  </si>
  <si>
    <t>The Ultimate Python Programming Tutorial #python #udemy https://t.co/xmEAWzefpT https://t.co/5ZA9onxsVN</t>
  </si>
  <si>
    <t>Tweet Jukebox</t>
  </si>
  <si>
    <t>Boise, Idaho</t>
  </si>
  <si>
    <t>We offer the best coupons for Online Courses. Learn more for less!</t>
  </si>
  <si>
    <t>[b0t] Can I call my own functions from python interpreter shell? https://t.co/D5fGNpMncZ #python</t>
  </si>
  <si>
    <t>Titilayo Biliki</t>
  </si>
  <si>
    <t>Watch Video: #Python Swallows #Drunk Man Alive in India. Watch Video and Download https://t.co/cyGCLmqNtD</t>
  </si>
  <si>
    <t>#LivesOnline@Cyberspace #Promoter #OnAirPresenter #WomenEqualityActivist #SupportsHumanitarianCauses #Abuja</t>
  </si>
  <si>
    <t>Hacker Mumbai</t>
  </si>
  <si>
    <t>This months MTP is all about #Python https://t.co/hyg7QaZo4S</t>
  </si>
  <si>
    <t>Hatice ERTÜRK</t>
  </si>
  <si>
    <t>bursa-çanakkale</t>
  </si>
  <si>
    <t>#linux, bilgisayar mühendisi talebesi, Özgür Yazılım, kitap kurdu, Çanakkale on sekiz mart üniversitesi</t>
  </si>
  <si>
    <t>RT @derpapst: #Python engineering blog @ Microsoft https://t.co/XLsQouuwuP</t>
  </si>
  <si>
    <t>Thiago Galesi</t>
  </si>
  <si>
    <t>RT @GeertHub: #Python pro-tip: PEP8 isn't holy. A line with 85 chars but clear variable names is better code than 80 chars with obscure nam…</t>
  </si>
  <si>
    <t>Dabr.eu - latest @Dabr build</t>
  </si>
  <si>
    <t>Curitiba</t>
  </si>
  <si>
    <t>Just Shy, Not Anti-Social (You Can Talk to Me!)</t>
  </si>
  <si>
    <t>Бубенчиков Василий</t>
  </si>
  <si>
    <t>[Из песочницы] Фоновое выполнение ячеек в IPython Notebook https://t.co/9v9GOX52wS #python #jupyter</t>
  </si>
  <si>
    <t>Татарск</t>
  </si>
  <si>
    <t>Музыка — источник радости мудрых людей, она способна вызвать в народе хорошие мысли, она глубоко проникает в его сознание и легко изменяет нравы и обычаи.</t>
  </si>
  <si>
    <t>Coupon Trump</t>
  </si>
  <si>
    <t>Develop #Android Apps using #Python: Kivy by Easylearning guru https://t.co/mA5eDuFAr0</t>
  </si>
  <si>
    <t>Linkis.com</t>
  </si>
  <si>
    <t>UK</t>
  </si>
  <si>
    <t>#UDEMY FREE COURSES &amp; DISCOUNTS - Coupons checked and updated EVERY DAY - 70%, 80%, 90%, 100% off courses selected by CouponTrump.</t>
  </si>
  <si>
    <t>PythonDaily</t>
  </si>
  <si>
    <t>They're #Coding in NFLD too! New #codeClub learning #Python https://t.co/SeG4tKGK52 @brilliant_labs</t>
  </si>
  <si>
    <t>Daily Python tweets.</t>
  </si>
  <si>
    <t>#Python Brian Okken: Travis CI – Josh Kalderimis (PTP014): Interview with Josh Kalderimis… https://t.co/uhd2svCIxt https://t.co/RIVlfjlqrj</t>
  </si>
  <si>
    <t>Sinfonier Project</t>
  </si>
  <si>
    <t>"Compartiendo sesión entre módulos de Sinfonier" https://t.co/ohyF4XvlyV #sinfonierproject #python #requests #pickle #authentication</t>
  </si>
  <si>
    <t>Storm Builder for Security Intelligence</t>
  </si>
  <si>
    <t>slackbot - A simple chat bot for Slack pypi: https://t.co/XJN1LuBX8L www: https://t.co/nfehg3uQIn #python</t>
  </si>
  <si>
    <t>Rehan singh</t>
  </si>
  <si>
    <t>chennai</t>
  </si>
  <si>
    <t>I deal in Hadoop ,big data etc teaching of them since 2010</t>
  </si>
  <si>
    <t>#python blockstore-client 0.0.12.7: Python client library for Blockstore https://t.co/bKSvbcrklz</t>
  </si>
  <si>
    <t>RecruitmentLAB.be</t>
  </si>
  <si>
    <t>Object Defined Storage Technology in #Python #C++ #Haskell #OCaml at https://t.co/wJl6zpqJ0X #jobbeursDN16</t>
  </si>
  <si>
    <t>Nazareth</t>
  </si>
  <si>
    <t>Makes your recruitment flexible // Recruitment of IT specialists</t>
  </si>
  <si>
    <t>#python blockstore 0.0.10.7: Name registrations on the Bitcoin blockchain with external storage https://t.co/M4VOFzhsTR</t>
  </si>
  <si>
    <t>#python blockstack 0.0.10.7: Decentralized DNS for blockchain applications https://t.co/SxIdyGjhdK</t>
  </si>
  <si>
    <t>#python OMPython 2.0.7: OpenModelica-Python API Interface https://t.co/2hqVi9a95e</t>
  </si>
  <si>
    <t>#python maple 0.1.107: reliable, scalable, distributed server framework https://t.co/Ai4UYunzxA</t>
  </si>
  <si>
    <t>#python sphinx-jinja 0.1.1: includes jinja templates in a documentation https://t.co/0tFukr15lI</t>
  </si>
  <si>
    <t>#python RDFCrawler 1.4.3: A RESTful services for Python that explores and replicates a RDF topology. https://t.co/QIwOON6iNj</t>
  </si>
  <si>
    <t>#python cubicweb-comment 1.12.0: commenting system for the CubicWeb framework https://t.co/bT85PWjwcS</t>
  </si>
  <si>
    <t>#python slackbot 0.3.1: A simple chat bot for Slack https://t.co/MTy2dfRclR</t>
  </si>
  <si>
    <t>#python jungle 0.4.6: AWS operations by cli should be simpler https://t.co/tblAm9pwzu</t>
  </si>
  <si>
    <t>Tech news (BOT)</t>
  </si>
  <si>
    <t>Reddit/p: The Idiomatic Way to Merge Dictionaries in Python https://t.co/E13tDiUh9v #python</t>
  </si>
  <si>
    <t>tek_news_bot</t>
  </si>
  <si>
    <t>cyberspace</t>
  </si>
  <si>
    <t>Fresh Tech news, gathered from programming @ http://t.co/aTqHBHX8Ei and Hacker News</t>
  </si>
  <si>
    <t>Brain Bot</t>
  </si>
  <si>
    <t>RT @artwisanggeni: #python slackbot 0.3.1: A simple chat bot for Slack https://t.co/MTy2dfRclR</t>
  </si>
  <si>
    <t>BOTlibre!</t>
  </si>
  <si>
    <t>A chat bot trying to become the most intelligent bot on the Internet. Can answer any What is question by looking up the answer on the Internet.</t>
  </si>
  <si>
    <t>RT @py3k: slackbot - A simple chat bot for Slack pypi: https://t.co/XJN1LuBX8L www: https://t.co/nfehg3uQIn #python</t>
  </si>
  <si>
    <t>Technical deep dive into #python via @omedhabib #coding: https://t.co/1R986brzkN https://t.co/Exy5GfkN2W</t>
  </si>
  <si>
    <t>osantana</t>
  </si>
  <si>
    <t>programação, python, empreendedorismo, startup, motocicletas esportivas, eletrônica, automobilismo, corinthians</t>
  </si>
  <si>
    <t>Gustavo Henrique</t>
  </si>
  <si>
    <t>Import a Docker Container in Python https://t.co/6k57tIgNjF #developer #python #docker #sidomo</t>
  </si>
  <si>
    <t>Rio de Janeiro</t>
  </si>
  <si>
    <t>Developer, Entrepreneur and Agilist. I like #devops #python #javascript #java</t>
  </si>
  <si>
    <t>ffranz</t>
  </si>
  <si>
    <t>RT @e_sinfonier: "Compartiendo sesión entre módulos de Sinfonier" https://t.co/ohyF4XvlyV #sinfonierproject #python #requests #pickle #auth…</t>
  </si>
  <si>
    <t>http://about.me/ffranz</t>
  </si>
  <si>
    <t>Sinfonier-Project Founder / Iniqua Team / Owasp Madrid Member / Securityholic</t>
  </si>
  <si>
    <t>UK Startup Jobs</t>
  </si>
  <si>
    <t>"Challenge the CTO at table football" @idioplatforms #cassandra #mysql #PHP #python #develop https://t.co/u8zTrqNlsa https://t.co/xchwk1c85G</t>
  </si>
  <si>
    <t>Discover awesome jobs with startups. Building a team? Advertise your startup job with us.</t>
  </si>
  <si>
    <t>Ryad</t>
  </si>
  <si>
    <t>#jarvis #python https://t.co/hTB0KGLdsj</t>
  </si>
  <si>
    <t>Tunisia</t>
  </si>
  <si>
    <t>#full-stack developer #programming#addict #software#wizard ®</t>
  </si>
  <si>
    <t>Christian Barra</t>
  </si>
  <si>
    <t>3 days and I'm still trying to understand #python #coroutines and new #async syntax :|</t>
  </si>
  <si>
    <t>Often around the world</t>
  </si>
  <si>
    <t>Human, curious, traveler and I'm studying statistics @unipd. @europython organizer.</t>
  </si>
  <si>
    <t>rekha singh</t>
  </si>
  <si>
    <t>jaipur</t>
  </si>
  <si>
    <t>I deal in hadoop and big data teaching etc.</t>
  </si>
  <si>
    <t>[b0t] Building High Performance Django Systems https://t.co/40STsqEUSj #python</t>
  </si>
  <si>
    <t>Rose khan</t>
  </si>
  <si>
    <t>west bengal</t>
  </si>
  <si>
    <t>I am Hadoop Admin Developer I have five years Experience</t>
  </si>
  <si>
    <t>Aruba S.p.A.</t>
  </si>
  <si>
    <t>10/03 a Torino, workshop di @alessiorocchi con #ArubaCloud #Python environment on #cloud with #Vagrant @_CloudConf_ https://t.co/DwxOTLYOpB</t>
  </si>
  <si>
    <t>Fondata nel 1994, Aruba S.p.A. è azienda leader nei servizi di web hosting, e-mail, PEC e registrazione domini. Per assistenza: http://t.co/A5xONmZa</t>
  </si>
  <si>
    <t>Gustavo Carvalho</t>
  </si>
  <si>
    <t>Teresina, Piauí, Brasil</t>
  </si>
  <si>
    <t>Programador Python/Django; peladeiro profissional; em um relacionamento sério com a @JuHLhao</t>
  </si>
  <si>
    <t>clockworkTalent.</t>
  </si>
  <si>
    <t>#Brighton Based Developers. Where are you? We need you! Front&amp;Back End (#Python). Contact us https://t.co/NsctKhZStY https://t.co/h1iHL1RUE1</t>
  </si>
  <si>
    <t>London &amp; Sussex</t>
  </si>
  <si>
    <t>Recruiting #DigitalMarketing roles for Agencies &amp; Brands incl. Search(#SEO &amp; #PPC), Social, #Content, Display, #Analytics &amp; more. Freelance &amp; Permanent</t>
  </si>
  <si>
    <t>Sowlène</t>
  </si>
  <si>
    <t>Je crois que je cherche un stage de #dev depuis bien trop longtemps! #developpement #javascript #html5 #CSS #python https://t.co/lvQO6EVdZQ</t>
  </si>
  <si>
    <t>Eybens - Grenoble, Rhône-Alpes</t>
  </si>
  <si>
    <t>Étudiante en Informatique à Supinfo Grenoble. Amoureuse de Dragon age Origin. Déçue du 2, et réconciliée grâce à l'inquisition! /♥Animaux/♥Asie/♥Legolas (ahah)</t>
  </si>
  <si>
    <t>Silas Guilherme</t>
  </si>
  <si>
    <t>If Silas == Sono: print (dormir) else: print (dormir mesmo assim) #python</t>
  </si>
  <si>
    <t>Recife - Brasil</t>
  </si>
  <si>
    <t>Film student. Sci-fi fan. | Estudante de cinema. Fã de ficção científica.</t>
  </si>
  <si>
    <t>devu mathur</t>
  </si>
  <si>
    <t>Mumbai, Maharashtra</t>
  </si>
  <si>
    <t>#Techholic #Technologies #Techlover #Techboy #Techmady</t>
  </si>
  <si>
    <t>Dr. Joan McGettigan</t>
  </si>
  <si>
    <t>Coding Jarvis in #Python 3 in 2016 https://t.co/8iTWnt79aV #csed #edtech</t>
  </si>
  <si>
    <t>Florida</t>
  </si>
  <si>
    <t>Learner, Maker, Director of Educational &amp; Information Tech at NBPS, Tech Sherpa, Speaker, PD, Nord Anglia, Visible Thinking, Chihuly groupie, mom of twins :)</t>
  </si>
  <si>
    <t>RT @Intellipaat: A Quick Smart Learning Guide of #python @gvanrossum @IPythonDev @DCPython @PythonUpdate https://t.co/g5duJbHDZO</t>
  </si>
  <si>
    <t>David Vujic</t>
  </si>
  <si>
    <t>@fmork I would recommend #Python. And #PyCharm is also a nice dev experience. Where I work, each team member use their favourite IDE and OS.</t>
  </si>
  <si>
    <t>Stockholm, Sweden</t>
  </si>
  <si>
    <t>If using Scrum is wrong, I don't wanna be right.</t>
  </si>
  <si>
    <t>Ulaş Kaya</t>
  </si>
  <si>
    <t>defopt: Completely effortless argument parser #Python https://t.co/nMP4OHDDEn</t>
  </si>
  <si>
    <t>Brian Linuxing</t>
  </si>
  <si>
    <t>RT @gbowerman: The new #Python SDK for #Azure is live on PyPI, with full Azure Resource Manager support.. https://t.co/UA4AzLis2O</t>
  </si>
  <si>
    <t>Unofficial #Linux evangelist, a mature mind, brimming with ideas. Linux, IoT, Cloud and App development. #WindowsInsider #Wikipedian Troubleshooter for hire</t>
  </si>
  <si>
    <t>Aydın Yakar</t>
  </si>
  <si>
    <t>Pardus TS Güvenlik ve Sıkılaştırma Takım Lideri.. Hayat boyu öğrenci.. Bilgiyi paylaşmayı seven.. Linux / Bsd meraklısı.. Öyakder, LKD, TBD Antalya.. @iSafeTr</t>
  </si>
  <si>
    <t>[b0t]What web-app stack would you suggest to a beginner to follow? https://t.co/sUos5cYhNx #python</t>
  </si>
  <si>
    <t>aayush</t>
  </si>
  <si>
    <t>#Gadgetlover #Gadgetholic #Gadgetboy #Gadgetloop #Gadgettechnofizz</t>
  </si>
  <si>
    <t>Marius Cotor</t>
  </si>
  <si>
    <t>RT @kdnuggets: Introduction to Spark with #Python #KDN https://t.co/fmyZ1pVWz1</t>
  </si>
  <si>
    <t>Alberto S</t>
  </si>
  <si>
    <t>127.0.0.1</t>
  </si>
  <si>
    <t>25. #SinfonierProject, Security, Music, Sport, Traveling, Life. Life begins at the end of your comfort zone.</t>
  </si>
  <si>
    <t>Livecoding.tv</t>
  </si>
  <si>
    <t>Code live! "django學習直播3 - View &amp; Template" https://t.co/ewdtBnjQn7 #coding #technology #Python</t>
  </si>
  <si>
    <t>www.livecoding.tv</t>
  </si>
  <si>
    <t>Watch coders code products live and hang out with them. Need help? Contact us on our 24/7 Support: https://t.co/TVgA6IUVAn</t>
  </si>
  <si>
    <t>BruKer</t>
  </si>
  <si>
    <t>RT @RealPython: Pyminifier -- a Python code minifier, obfuscator, and compressor &gt;&amp;gt; https://t.co/0uKimPVzZW by @LiftoffSoftware #python</t>
  </si>
  <si>
    <t>Breizh</t>
  </si>
  <si>
    <t>Learn and hacking... this road is very long ;) 0x7b4</t>
  </si>
  <si>
    <t>smith</t>
  </si>
  <si>
    <t>Bangalore</t>
  </si>
  <si>
    <t>Living loved &amp; giving grace. Passionate about People, Cisco Millennial, Football Live Unashamed!</t>
  </si>
  <si>
    <t>Software Engineer at European Bioinformatics Institute (Hinxton, UK) https://t.co/oxRdq7c7Kf #python</t>
  </si>
  <si>
    <t>Alex Mourer</t>
  </si>
  <si>
    <t>A recent @Raspberry_Pi hack I did for my garage door is featured on @QEPrize. #RaspberryPi #Linux #python #code https://t.co/yfqJAGJpH5</t>
  </si>
  <si>
    <t>Evansville Indiana</t>
  </si>
  <si>
    <t>Front-end Web Developer @ https://t.co/LVDZQEsevz. Director/Creator of @ParksFest Music Festival. Community Enthusiast.</t>
  </si>
  <si>
    <t>All About Web</t>
  </si>
  <si>
    <t>✅ The Reason Behind the Huge Demand of #python #developers https://t.co/iIJYPeZGxo Via - @EzineArticles https://t.co/9Gm8IQpQV0</t>
  </si>
  <si>
    <t>New Delhi, Delhi</t>
  </si>
  <si>
    <t>A blog-site that features articles on #webdevelopment using a host of technologies. A must visit for all web development enthusiasts. https://t.co/hUz1kJVWdi</t>
  </si>
  <si>
    <t>Want to teach #python or #JavaScript or #java or #ruby or #perl in #London #UK? Create a class on https://t.co/KTpxc8BPKr teacheraorg</t>
  </si>
  <si>
    <t>PHLTechEvents</t>
  </si>
  <si>
    <t>Are you going to the The Philadelphia #Python Users Group (PhillyPUG) meetup tonight? You should check it out: https://t.co/dMepNfSp49</t>
  </si>
  <si>
    <t>ZeroMQ</t>
  </si>
  <si>
    <t>Pieter Hintjens</t>
  </si>
  <si>
    <t>Brussels, Belgium</t>
  </si>
  <si>
    <t>Author of https://t.co/hzKTUn3jRD and https://t.co/WbzIackNOT, founder of https://t.co/4Nuh3UpnZu community.</t>
  </si>
  <si>
    <t>Paolo Di Paolantonio</t>
  </si>
  <si>
    <t>#Python Brian Okken: Travis CI – Josh Kalderimis (PTP014) https://t.co/v3fIc6NpZw</t>
  </si>
  <si>
    <t>Hootsuite</t>
  </si>
  <si>
    <t>Cloud Computing, Big Data, Software development, AI, Machine learning, Startups, Quantitative &amp; computational finance, Crypto-currencies</t>
  </si>
  <si>
    <t>Ali Kheyrollahi</t>
  </si>
  <si>
    <t>distributed systems. machine learning. music. Bible. not in this order. and not my employer's. background image: Stalker (1979) Andrei Tarkovsky</t>
  </si>
  <si>
    <t>Club Informática</t>
  </si>
  <si>
    <t>¡Mañana empieza el curso de #Python para Ingenieros! Todavía estás a tiempo de apuntarte. Info e inscripción aquí: https://t.co/1WNffpXcSF</t>
  </si>
  <si>
    <t>ETSI Caminos,Canales y Puertos</t>
  </si>
  <si>
    <t>Club Informática Caminos - Escuela Técnica Superior de Ingenieros de Caminos, Canales y Puertos - Universidad Politécnica de Madrid (UPM)</t>
  </si>
  <si>
    <t>Alex Honcharuk</t>
  </si>
  <si>
    <t>Ukraine, Vinnytsia</t>
  </si>
  <si>
    <t>EAT. SLEEP. CODE.</t>
  </si>
  <si>
    <t>Philippe Biaut - SEO</t>
  </si>
  <si>
    <t>Responsable &amp; Consultant SEO Black Hat | Dev Python PHP Ruby &amp; R | Api, scraping, traitement auto du language, data scientist, algo, bot &amp; AI, Open data, Social</t>
  </si>
  <si>
    <t>ApplyQ Jobs</t>
  </si>
  <si>
    <t>Continental is #hiring a Werkstudent (m/w) - Hybrid Ele in Regensburg, #jobs #python https://t.co/ETBYgBmUVP</t>
  </si>
  <si>
    <t>EmployIQ Jobs</t>
  </si>
  <si>
    <t>The most recent jobs from the smartest job search engine on the Web, kindly organized for your convenience.</t>
  </si>
  <si>
    <t>RT @rboulle: Le texte brut n'existe pas. Maîtrisez l'encoding en #python une fois pour toutes : https://t.co/8OdIpO68Ah</t>
  </si>
  <si>
    <t>Dublin Startup Jobs</t>
  </si>
  <si>
    <t>#Python #Programmer #Intern required @Kill_Biller https://t.co/6mXN0jZAHc #intern #internship #jobfairy #internfairy</t>
  </si>
  <si>
    <t>Dublin</t>
  </si>
  <si>
    <t>Bringing you the freshest jobs from Dublin's finest startups. Follow us for daily jobs postings.</t>
  </si>
  <si>
    <t>fawaz</t>
  </si>
  <si>
    <t>RT @Mohabedalgani: #مجموعه ضخمه من كتب تعلم لغة #python في رابط واحد https://t.co/2f0fykbNM6 @Pro3alam https://t.co/F66XyNlou1</t>
  </si>
  <si>
    <t>Kingdom of Saudi Arabia</t>
  </si>
  <si>
    <t>‏‏‏‏‏‏‏‏‏‏‏‏‏‏‏‏‏‏‏‏‏‏‏‏‏‏‏‏‏‏‏‏‏‏‏‏‏‏‏‏‏‏‏‏‏‏‏مجرد انسان لا أحب المجامله | إذا كنت من عشاق البرمجة خذ لفه بالـ FAVoRiTes :)</t>
  </si>
  <si>
    <t>programming.jobfeeds</t>
  </si>
  <si>
    <t>Python Software Developers-Hedge Fund/Finance-London London https://t.co/VG4IjTVGrt #Python #jobs</t>
  </si>
  <si>
    <t>twitter feeds for p.jf</t>
  </si>
  <si>
    <t>The latest programming jobs as they are posted.</t>
  </si>
  <si>
    <t>Léo Biscassi</t>
  </si>
  <si>
    <t>RT @docker: How to import a @Docker #Container in #Python by @noajshu: https://t.co/BM3e5cv9lU via @DeepGramAPI blog https://t.co/pE3Qxbyjxy</t>
  </si>
  <si>
    <t>Ilhéus, Brazil</t>
  </si>
  <si>
    <t>person interested in python, docker, machine learning, spark, data science and molecular docking. seattle seahawks 12th man.</t>
  </si>
  <si>
    <t>Alicia Powers, PhD</t>
  </si>
  <si>
    <t>Interesting workflow for #python requirements.txt https://t.co/uSMgAtYi5J</t>
  </si>
  <si>
    <t>Brooklyn, NY</t>
  </si>
  <si>
    <t>public good focused, insight-driven Data Scientist</t>
  </si>
  <si>
    <t>#python pytest-selenium 1.2.1: pytest plugin for Selenium https://t.co/InLS6Z7c70</t>
  </si>
  <si>
    <t>#python ayrton 0.7.2: a shell-like scripting language based on Python3. https://t.co/jeEQIBMUKS</t>
  </si>
  <si>
    <t>#python inquisitor 0.1.4.8: A python wrapper around the API of https://t.co/Wbs1jGC79y https://t.co/P8fZitm5db</t>
  </si>
  <si>
    <t>#python wordinserter 0.6.10: Render HTML and Markdown to a specific portion of a word document https://t.co/HKsEU2Gpbx</t>
  </si>
  <si>
    <t>#python proso-apps 1.2.18: General library for applications in PROSO projects https://t.co/S0LMJVz6ux</t>
  </si>
  <si>
    <t>#python nester_kypaik 1.0.0: A simple printer of nested lists https://t.co/ulnhs7jjtG</t>
  </si>
  <si>
    <t>#python django-user-management 14.1.0: User management model mixins and api views. https://t.co/zPWb6PyUTy</t>
  </si>
  <si>
    <t>#python wolfe 0.0.4: i am winston wolfe, i solve problems https://t.co/puhJRG6ZWu</t>
  </si>
  <si>
    <t>#python Virgil_SDK 1.0.0 https://t.co/39wUuIUIwH</t>
  </si>
  <si>
    <t>manila</t>
  </si>
  <si>
    <t>RT @mohit_016: #Python Is Not C: Take Two https://t.co/M7hnimwo55 https://t.co/uxXrdXGSOZ</t>
  </si>
  <si>
    <t>ELODIEBAUDE</t>
  </si>
  <si>
    <t>#Clutch #python #black @baudeparis #Maison #baudeparis #lelodgepark #hotel #megeve with our #designer @BAUDEELODIE https://t.co/dznGZGvziy</t>
  </si>
  <si>
    <t>@ElodieBaude founder &amp; designer Official Twitter account for the House of @BAUDEParis Exclusive Luxury Brand Snapchat: ebinternational WeChat: BPARISB</t>
  </si>
  <si>
    <t>RT @mohit_016: #Python Is Not C: Take Two https://t.co/IcLMtDY0o3 https://t.co/HMAWz4is9E</t>
  </si>
  <si>
    <t>Eloise Quenneville</t>
  </si>
  <si>
    <t>RT https://t.co/beW8rB7WAS #Clutch #python #black baudeparis #Maison #baudeparis #lelodgepark #hotel #megeve with… https://t.co/eRY9HFoKgI</t>
  </si>
  <si>
    <t>Moulins, Auvergne</t>
  </si>
  <si>
    <t>Il n’y a rien de plus agréable que de vivre dans une maison au décor sublime et d’avoir un beau jardin où on peut se détendre de temps en temps.</t>
  </si>
  <si>
    <t>David Young</t>
  </si>
  <si>
    <t>Today in #Ruby, #Rails, &amp; #Python is out! https://t.co/tnwMkDtoyi Stories via @planetargon @BosbyFaith @stefanobravi</t>
  </si>
  <si>
    <t>Paper.li</t>
  </si>
  <si>
    <t>Houston, TX</t>
  </si>
  <si>
    <t>Full-Stack Developer / Software Architect - #SQL, #Ruby, #ASPdotNET, #ColdFusion, #PHP, #Python, et al. #INTJ. @GoogleGlass app #QSLquery for #GlassExplorers.</t>
  </si>
  <si>
    <t>Elton Stoneman</t>
  </si>
  <si>
    <t>Reading: #Python for Data Analysis by @wesmckinn - pandas, NumPy, IPython - superb. https://t.co/ToT4yBMvuu https://t.co/LX4etN4kT5</t>
  </si>
  <si>
    <t>Software Architect, @Pluralsight Author and 6-time @MVPAward. Connecting Systems since 2000AD, mostly with #dotnet and lately @Azure and @Docker.</t>
  </si>
  <si>
    <t>Coding #Jarvis in #Python in 2016 https://t.co/WPYalJVmar https://t.co/iEfsPxPn8m</t>
  </si>
  <si>
    <t>BAUDE</t>
  </si>
  <si>
    <t>RT @BAUDEELODIE: #Clutch #python #black @baudeparis #Maison #baudeparis #lelodgepark #hotel #megeve with our #designer @BAUDEELODIE https:/…</t>
  </si>
  <si>
    <t>@BAUDEPARIS Official Twitter account for the House of BAUDE Paris Exclusive Luxury Brand</t>
  </si>
  <si>
    <t>Pyletter</t>
  </si>
  <si>
    <t>pyGeno: a #Python Package for Precision Medicine https://t.co/iJrdPDsNPg</t>
  </si>
  <si>
    <t>Tweeting the latest #python articles and resources.</t>
  </si>
  <si>
    <t>Jo Walsh</t>
  </si>
  <si>
    <t>twicca</t>
  </si>
  <si>
    <t>Deadinburgh</t>
  </si>
  <si>
    <t>A proud second-class citizen of @edinhacklab Profile photo taken by @rogerhyam</t>
  </si>
  <si>
    <t>Sharma1</t>
  </si>
  <si>
    <t>Kasia Matusiak</t>
  </si>
  <si>
    <t>Thinking about #timecomplexity - how to nest a for loop inside another for loop and still keep O(N) instead of O(N**2) #python #challenge</t>
  </si>
  <si>
    <t>Warsaw or anywhere else</t>
  </si>
  <si>
    <t>Newbie Code Girl, Wife'n'Mom, Procrastinator.</t>
  </si>
  <si>
    <t>spara</t>
  </si>
  <si>
    <t>San Antonio</t>
  </si>
  <si>
    <t>“Truth is like poetry. And most people fucking hate poetry.” Pronouns: xkcd.</t>
  </si>
  <si>
    <t>Dallas Walker</t>
  </si>
  <si>
    <t>How-To Abstract Data Types Explained C++ https://t.co/YZivgLSadO #adt #C++ #python #ruby #ror #theory</t>
  </si>
  <si>
    <t>Tweetoriffic</t>
  </si>
  <si>
    <t>America</t>
  </si>
  <si>
    <t>Trying to make things better one step at a time, i'll start walking soon!</t>
  </si>
  <si>
    <t>Dudas Programación</t>
  </si>
  <si>
    <t>fecha Excel xlsx (2016, 1, 6, 0, 0) a Python-Firebird https://t.co/Ppm4YpS3Za #python</t>
  </si>
  <si>
    <t>Foro sobre dudas con los lenguajes de programación.</t>
  </si>
  <si>
    <t>íkαríus</t>
  </si>
  <si>
    <t>RT @darkelda: Coding #Jarvis in #Python in 2016 https://t.co/WPYalJVmar https://t.co/iEfsPxPn8m</t>
  </si>
  <si>
    <t>sacred silence | x | sleep</t>
  </si>
  <si>
    <t>Geek, λ, data-monger, c0der, (lisper)</t>
  </si>
  <si>
    <t>Reddit/p: Making Python on Apache Hadoop Easier with Anaconda and CDH https://t.co/IbMON4cKg8 #python</t>
  </si>
  <si>
    <t>A lightweight query engine for #Python iterables, inspired by #Django ORM https://t.co/Bm8HOQ3oKc</t>
  </si>
  <si>
    <t>Django unchains #Oscarssowhite https://t.co/iHdZooBZEI #Django #Python</t>
  </si>
  <si>
    <t>How-to Stack Abstract Data Type Overview https://t.co/9uBcagT1Yw #adt #C++ #python #ruby #ror #theory</t>
  </si>
  <si>
    <t>Ellora Sarkar</t>
  </si>
  <si>
    <t>Can #Python Web Applications Be Tested Using #Selenium?https://t.co/gla04wNZ3H @allaboutappsbiz #softwaretesting</t>
  </si>
  <si>
    <t>Bengaluru, Karnataka</t>
  </si>
  <si>
    <t>#SoftwareTester, Programmer, Lover of food, novels, and #Music &amp; Author @allaboutappsbiz</t>
  </si>
  <si>
    <t>Pee</t>
  </si>
  <si>
    <t>RT @pythonbeginners: Did you know with #Python, you don't need to import a library to read and write files. https://t.co/brmQbKOR3p</t>
  </si>
  <si>
    <t>Ireland</t>
  </si>
  <si>
    <t>Seraphus - Holy Paladin on Silvermoon EU</t>
  </si>
  <si>
    <t>François Vallée</t>
  </si>
  <si>
    <t>RT @SarkarEllora: Can #Python Web Applications Be Tested Using #Selenium?https://t.co/gla04wNZ3H @allaboutappsbiz #softwaretesting</t>
  </si>
  <si>
    <t>Québec</t>
  </si>
  <si>
    <t>Coordonnateur général à La Chambre Blanche. Art réseau et art numérique.</t>
  </si>
  <si>
    <t>Pvalsfr</t>
  </si>
  <si>
    <t>RT @pyletter: pyGeno: a #Python Package for Precision Medicine https://t.co/iJrdPDsNPg</t>
  </si>
  <si>
    <t>Diego Pacheco</t>
  </si>
  <si>
    <t>Gravataí, RS - Brasil</t>
  </si>
  <si>
    <t>Brazilian Principal Software Architect, SOA Expert, DevOps Practitioner, Blogger, Terran SC2 Player. Working with Chaos / Perf Engineering and NetflixOSS.</t>
  </si>
  <si>
    <t>Sr.Software Engineer</t>
  </si>
  <si>
    <t>RT @ZEEFcom: 100+ links to help you learn about #Python 🐍 | https://t.co/VC7d8kzT05 @LearnPythonTut @PythonWeekly https://t.co/D9F7YonINo</t>
  </si>
  <si>
    <t>Herndon, VA/Graiguenamanagh,IE</t>
  </si>
  <si>
    <t>Software Developer for 35 years currently involved in Java/Java EE, Java based security components, cryptography, JDK 9 - JSR 375.</t>
  </si>
  <si>
    <t>Вера Фролова</t>
  </si>
  <si>
    <t>Как разработчику «влиться» в тему DevOps https://t.co/e9FvzyeFUy #команды #python #oracle https://t.co/MsAZXy0CBD</t>
  </si>
  <si>
    <t>Handbag Divas</t>
  </si>
  <si>
    <t>Spring forward to @marcjacobs #embroidered #python #shoulderbag! #HandbagDivasLove #SS16 #HappyThursday #TGIT https://t.co/YuT17Skpe4</t>
  </si>
  <si>
    <t>Washington, DC</t>
  </si>
  <si>
    <t>Handbag Divas - where passion meets handbags! A community by women to share &amp; discuss their passion for handbags! https://t.co/s8WnmhRAOo</t>
  </si>
  <si>
    <t>#python collective.monitor 0.2.5: Monitoring meta package for Zope/Plone installs https://t.co/sMYin1oqMZ</t>
  </si>
  <si>
    <t>#python calTADs 0.1.0-dev3: A hierarchical domain caller for Hi-C data based on a modified version of… https://t.co/1CMRBDtjms</t>
  </si>
  <si>
    <t>#python scalr-ctl 1.0.14: Scalr-ctl is a command-line interface to your Scalr account https://t.co/EfG9THMP5n</t>
  </si>
  <si>
    <t>#python es-sql 1.0.0: Use sql to query from Elasticsearch https://t.co/LTD4WNzsgT</t>
  </si>
  <si>
    <t>#python mauritstestpackage 1.18: Test package from Maurits for uploading to PyPI. https://t.co/Paj7HT7R7G</t>
  </si>
  <si>
    <t>#python defopt 1.2.0: Effortless argument parser https://t.co/9u7584fuA8</t>
  </si>
  <si>
    <t>Udemy Free Coupons</t>
  </si>
  <si>
    <t>Create Simple GUI Applications with Python and Qt [Only $1] https://t.co/Tt75tvdlzB #udemy #coupon #python #qt #gui</t>
  </si>
  <si>
    <t>Share Udemy Discount Coupon Everyday</t>
  </si>
  <si>
    <t>Frameworks</t>
  </si>
  <si>
    <t>Gunicorn #Python #WSGI Gunicorn 'Green Unicorn' is a Python WSGI HTTP Server for UNIX. https://t.co/YaIXX9foEF</t>
  </si>
  <si>
    <t>FrameworksBot</t>
  </si>
  <si>
    <t>Vidriera Online</t>
  </si>
  <si>
    <t>RT @webdevers: San Francisco, CA Junior Web Game Engineer #HTML5 #Java #JavaScript #PHP #Python #AWS #jQuery #GIT #Android #iOs</t>
  </si>
  <si>
    <t>Argentina, Buenos AIres</t>
  </si>
  <si>
    <t>Crea tu tienda en Facebook</t>
  </si>
  <si>
    <t>Google Tricks</t>
  </si>
  <si>
    <t>10 Best Programming languages https://t.co/93RdqvGT1x #Programming #Csharp #Java #python #PHP #Visualbasic #.Net #microsoft</t>
  </si>
  <si>
    <t>metarna - Finds target sites for the miRNAs in genomic sequences. pypi: https://t.co/i6zpnjDx83 www: https://t.co/thGLqGU6CE #python</t>
  </si>
  <si>
    <t>RT @py3k: metarna - Finds target sites for the miRNAs in genomic sequences. pypi: https://t.co/i6zpnjDx83 www: https://t.co/thGLqGU6CE #pyt…</t>
  </si>
  <si>
    <t>Release</t>
  </si>
  <si>
    <t>Senior Data Architect Natalino Busà @natbusa over #Analytics binnen een datagedreven bank. https://t.co/Ucj55j22cz #Python #R #Scala #Spark</t>
  </si>
  <si>
    <t>South Holland, The Netherlands</t>
  </si>
  <si>
    <t>Onafhankelijke portal op gebied van software engineering.</t>
  </si>
  <si>
    <t>Pugliafashion</t>
  </si>
  <si>
    <t>RT HandbagDivas: Spring forward to marcjacobs #embroidered #python #shoulderbag! #HandbagDivasLove #SS16 #HappyThu… https://t.co/hCn0AayTg8</t>
  </si>
  <si>
    <t>Because Puglia is fashion...</t>
  </si>
  <si>
    <t>IE Big Data Club</t>
  </si>
  <si>
    <t>Countdown: 8 days to #ieDataDisrupt!! An important message from Ignacio Larru, #Python developer, investor, mentor.. https://t.co/bs9KfMjHPA</t>
  </si>
  <si>
    <t xml:space="preserve">Madrid </t>
  </si>
  <si>
    <t>Big Data &amp; Innovation Club from @IEbusiness. Dedicated to exploiting innovation through big data.</t>
  </si>
  <si>
    <t>Scrapy, советы от профи: февраль 2016: https://t.co/cByL5w1fm3 #python</t>
  </si>
  <si>
    <t>Patty Hicks</t>
  </si>
  <si>
    <t>1st day of our early morning #python Coding Club. Hello World! from some 6-8th graders #MIEExpert</t>
  </si>
  <si>
    <t>Educator, legacy programmer (aka dinosaur), Microsoft Innovative Educator Expert, road warrior.</t>
  </si>
  <si>
    <t>sensinum</t>
  </si>
  <si>
    <t>Krakow / Poland</t>
  </si>
  <si>
    <t>Boutique #software house. Helping entrepreneurs to build great #cloudready products powered by #machinelearning technology! #java #angularJS #springframework</t>
  </si>
  <si>
    <t>Richard Imaoka</t>
  </si>
  <si>
    <t>Professional programmer, working in a large Financial Institution, and an amateur Quant.</t>
  </si>
  <si>
    <t>vagrant up -f</t>
  </si>
  <si>
    <t>JavaScript Dominates As The No. 1 Most Used Programming Language https://t.co/mg1FcKJewa also...go #python !</t>
  </si>
  <si>
    <t>Tampa, FL</t>
  </si>
  <si>
    <t>Frédéric Pierron</t>
  </si>
  <si>
    <t>#python in the air at half-price bouquins sympas à - 50 sur votre serpent préféré. @packtpub https://t.co/sDDdWPmSpL</t>
  </si>
  <si>
    <t>Directeur de l'agence PasBêteLeNet! @PasBeteLeNet. Content marketing, e-learning, Stratégie éditoriale, video360, creative tools.</t>
  </si>
  <si>
    <t>syncer - Async to sync converter pypi: https://t.co/GXTGezlrJf www: https://t.co/oQdTwsiVsa #python</t>
  </si>
  <si>
    <t>Real Estate Tech</t>
  </si>
  <si>
    <t>一都三県 市区別 賃料下落率ランキング https://t.co/K2c8N69X43 #BigData #RealEstate #Python #ArtificialIntelligence #Machinelearning #IRR #Gate</t>
  </si>
  <si>
    <t>Seiichi Shiga:CFO at Leeways Inc. Tokyo, Japan. Real estate technology company. #BigData #RealEstate #Python #ArtificialIntelligence #Machinelearning #IRR #Gate</t>
  </si>
  <si>
    <t>GERSolar</t>
  </si>
  <si>
    <t>[07:37:33-03:00] Irradiancia en W/(m².sr) a partir del modelo de @gersolar. #python https://t.co/EnDb6AFPyU</t>
  </si>
  <si>
    <t>gersolar.realtime</t>
  </si>
  <si>
    <t>Luján, Buenos Aires, Argentina</t>
  </si>
  <si>
    <t>Grupo de Estudios de la Radiación Solar</t>
  </si>
  <si>
    <t>Meet Mr. Wolfe, he solves problems https://t.co/0dQJJ8Jw94 #Python submitted by /u/_gyani[link] [comments]</t>
  </si>
  <si>
    <t>Micheal Hartwig</t>
  </si>
  <si>
    <t>#Python append to csv file without whiteline and without repeating columns #HowTo #Question #Tech https://t.co/tlmDcLggc8</t>
  </si>
  <si>
    <t>FR</t>
  </si>
  <si>
    <t>Daily #Programming Issues: Stay connected &amp; Stay Updated. #JS #HTML #CSS #PHP etc.</t>
  </si>
  <si>
    <t>RT @py3k: syncer - Async to sync converter pypi: https://t.co/GXTGezlrJf www: https://t.co/oQdTwsiVsa #python</t>
  </si>
  <si>
    <t>"Meet Mr. Wolfe, he solves problems" via #Python https://t.co/67QGSjKW9D</t>
  </si>
  <si>
    <t>Rahaman M</t>
  </si>
  <si>
    <t>#Python append to csv file without whiteline and without repeating columns #Tech #Internet #Programming https://t.co/QoVNkLDRvZ</t>
  </si>
  <si>
    <t>USA</t>
  </si>
  <si>
    <t>Stay connected with us, Stay Updated &amp; join the world’s conversation. We are presenting The height quality on going #IT #news and #information.</t>
  </si>
  <si>
    <t>#python hipnotify 1.0.8: Deadly simple HipChat API V2 room notification library https://t.co/esNfhna9WH</t>
  </si>
  <si>
    <t>#python nester1103 1.0.0: A simple printer of nested lists https://t.co/tKXqxMdlAn</t>
  </si>
  <si>
    <t>#python hyperas 0.0.2: Simple wrapper for hyperopt to do convenient hyperparameter optimization for Keras models https://t.co/KAWp5p3Oh1</t>
  </si>
  <si>
    <t>#python DateTimeRange 0.1.2: Python library to handle the routine work associated with the time range, such as test… https://t.co/VOTBvqRCFq</t>
  </si>
  <si>
    <t>#python pengguangxingnester 1.0.0: A simple printer of nested lists https://t.co/Kqi4kYDdG7</t>
  </si>
  <si>
    <t>#python hypothesis 3.0.5: A library for property based testing https://t.co/v8ZjaVLTL3</t>
  </si>
  <si>
    <t>#python regex 2016.02.25: Alternative regular expression module, to replace re. https://t.co/5uK2L1vPhY</t>
  </si>
  <si>
    <t>#python vr.builder 1.3.2: Command line tools to build apps in containers. https://t.co/DKRagJKSjk</t>
  </si>
  <si>
    <t>#python syncer 0.1.0: Async to sync converter https://t.co/6rYvP7DZcc</t>
  </si>
  <si>
    <t>#python limix_math 0.0.3: UNKNOWN https://t.co/uWEfsAZCNJ</t>
  </si>
  <si>
    <t>braceless.vim - #Vim plugin for Text objects, folding, and more for #Python and other indented languages. - https://t.co/rkOebyYdgc</t>
  </si>
  <si>
    <t>Dan Liszewski</t>
  </si>
  <si>
    <t>Been playing with several non-java languages but, #python is most fun https://t.co/J6Vc6tjPjq</t>
  </si>
  <si>
    <t>New Castle County, Delaware</t>
  </si>
  <si>
    <t>sole proprietor, bigwinky media labs</t>
  </si>
  <si>
    <t>Anubhav</t>
  </si>
  <si>
    <t>It's time to play with the demons! #Unicode #python https://t.co/oYFMqyJwf3</t>
  </si>
  <si>
    <t>Technology, sports and fitness lover combined with programming craze... in a learning curve.. RedDevilForLife.. Manchester United Forever!</t>
  </si>
  <si>
    <t>Mukesh Pandian</t>
  </si>
  <si>
    <t>RT @allaboutwebbiz: ✅ The Reason Behind the Huge Demand of #python #developers https://t.co/iIJYPeZGxo Via - @EzineArticles https://t.c…</t>
  </si>
  <si>
    <t>#Tech #ContentWriter | I write, I design, and I create | #Blogger #Software #Programmer You keep me safe, I'll keep you wild</t>
  </si>
  <si>
    <t>RT @allaboutwebbiz: ✅ How Easy Is #Python To Learn For A First Time #developer ? https://t.co/JPYb1m4Vb9 Via - @allaboutwebbiz https://t.co…</t>
  </si>
  <si>
    <t>RT @allaboutwebbiz: #python gains the upper hand against #perl6 , #PHP, and #ruby https://t.co/OpqRAMp3RF ✅ Via - @allaboutwebbiz #ROR http…</t>
  </si>
  <si>
    <t>RT @allaboutwebbiz: ✅ How does #ruby compare with #python, #php and #perl? https://t.co/AA6q9dOQMX Via - @allaboutwebbiz #phpuk16 https://t…</t>
  </si>
  <si>
    <t>RT @abhijitpanda: How easy is #python to Learn for a First Time #developer by @HarriSrivastav @allaboutwebbiz https://t.co/MUDR6goVz1 http…</t>
  </si>
  <si>
    <t>Reddit/p: Python – How to use functools.wraps https://t.co/aOGERFBUgj #python</t>
  </si>
  <si>
    <t>pvergain</t>
  </si>
  <si>
    <t>Grenoble</t>
  </si>
  <si>
    <t>Software worker, I especially like #freedom, #justice, #solidarity, #universal #equality Men/Women #laïcité Habite Voie lactée. RIP Aaron Swartz</t>
  </si>
  <si>
    <t>Aaron Diver</t>
  </si>
  <si>
    <t>RT @googletricks19: 10 Best Programming languages https://t.co/93RdqvGT1x #Programming #Csharp #Java #python #PHP #Visualbasic #.Net #micro…</t>
  </si>
  <si>
    <t>Belfast, Northern Ireland</t>
  </si>
  <si>
    <t>Technology Recruiter for Bank of America Merrill Lynch. Plays occasionally with HTML CSS Javascript. All views are my own.</t>
  </si>
  <si>
    <t>RT @udemycodecoupon: Create Simple GUI Applications with Python and Qt [Only $1] https://t.co/Tt75tvdlzB #udemy #coupon #python #qt #gui</t>
  </si>
  <si>
    <t>Pankaj Murthy</t>
  </si>
  <si>
    <t>Working as a Software Developer. Social media analyst. #Blogger #TechBlog #Web #App #Apps In Love with #Design #SM #SocialMedia</t>
  </si>
  <si>
    <t>中古マンション投資で気になる築年数と経費率の関係 https://t.co/FXlEvXcuAh #BigData #RealEstate #Python #ArtificialIntelligence #Machinelearning #IRR #Gate</t>
  </si>
  <si>
    <t>alter way</t>
  </si>
  <si>
    <t>#alterwayrecrute #Ingénieur #web R&amp;D (H/F) https://t.co/YurH7Y6yEZ #python #javascript #CDI #emploi #job</t>
  </si>
  <si>
    <t>Saint-Cloud, Ile-de-France</t>
  </si>
  <si>
    <t>#pme innovante, #web #DevOps #opensource, opérateur de l'entreprise numérique #Hébergement #Infogérance #Digital http://t.co/FKWWb3n2Kb</t>
  </si>
  <si>
    <t>#Python: Check foder directory given by user input #HowTo #Question #Tech https://t.co/uNxoBJUMBu</t>
  </si>
  <si>
    <t>AdWords Jobs</t>
  </si>
  <si>
    <t>#AdWords #jobs #Python: Highlight text in #PDF by pondatalab https://t.co/zrdiVpjjGC</t>
  </si>
  <si>
    <t>Real freelance jobs for AdWords professionals</t>
  </si>
  <si>
    <t>#Python: Check foder directory given by user input #Tech #Internet #Programming https://t.co/HW38FeGebb</t>
  </si>
  <si>
    <t>Machine learning at arraignments can cut repeat domestic violence https://t.co/aoWb6zfg9j @physorg_com #BigData #RealEstate #Python</t>
  </si>
  <si>
    <t>taniapaz</t>
  </si>
  <si>
    <t>please RT @pyconpl can you code #python eyes closed? here's a #job 4 u #warszawa https://t.co/oNMyPc6A1b</t>
  </si>
  <si>
    <t>Barcelona</t>
  </si>
  <si>
    <t>HR Manager, talented people finder &amp; employer branding fan, internet junkie, music lover, Jungian Shrink in near future, http://t.co/BbV94zTizv promoter</t>
  </si>
  <si>
    <t>pythonz</t>
  </si>
  <si>
    <t>Новое: Статья справочника «...» https://t.co/RG1RcOD1Th #python #dev</t>
  </si>
  <si>
    <t>Россия</t>
  </si>
  <si>
    <t>Лента сайта.</t>
  </si>
  <si>
    <t>Ibertech_RRHH</t>
  </si>
  <si>
    <t>The 2015 Top Ten Programming Languages : It depends !!! https://t.co/ODZb9uqvLv #Java #C #Python #JavaScript #Ruby</t>
  </si>
  <si>
    <t>Somos expertos en #outsourcing tecnológico y #formación especializada. #SAP, #IT y #consultoría #BI. Cada día buscamos nuevos #talentos.</t>
  </si>
  <si>
    <t>FreeWebTutorials</t>
  </si>
  <si>
    <t>10 Best Python Frameworks for Web Developers https://t.co/fpV8TTERdP #development #frameworks #python</t>
  </si>
  <si>
    <t>Tweet Old Post</t>
  </si>
  <si>
    <t>World</t>
  </si>
  <si>
    <t>Learn Web Design &amp; Development with our HTML5, CSS3, JavaScript, PHP, mobile app development &amp; Responsive Web design tutorials</t>
  </si>
  <si>
    <t>Kent English</t>
  </si>
  <si>
    <t>Import a #Docker container in #Python (via @Ghnuberath): https://t.co/FWVPpwUegi</t>
  </si>
  <si>
    <t>Toronto, Canada</t>
  </si>
  <si>
    <t>Lifelong learner, bibliophile, math nerd and coder</t>
  </si>
  <si>
    <t>Want to teach #python, #js or #java or #ruby or #perl in #Barcelona #BCN? Create class on https://t.co/KTpxc8BPKr #education</t>
  </si>
  <si>
    <t>Pujit Kaul</t>
  </si>
  <si>
    <t>Full time #ASP.Net developer | Hobby : Read and Write about new Technology | #Bollywood and #Tech Enthusiast</t>
  </si>
  <si>
    <t>please RT @jobpoland can you code #python eyes closed? here's a #job 4 u #warszawa https://t.co/PAF2QNKs5l</t>
  </si>
  <si>
    <t>RT https://t.co/EzI8w5HAmc The 2015 Top Ten Programming Languages : It depends !!! https://t.co/ZHDLnk9MSl #Java #C #Python #JavaScript …</t>
  </si>
  <si>
    <t>Albert Zeyer</t>
  </si>
  <si>
    <t>https://t.co/ZcMV5JprXN Cross-platform text-to-speech synthesis #Python https://t.co/Mh1mQMExkh eSpeak</t>
  </si>
  <si>
    <t>Developer</t>
  </si>
  <si>
    <t>Arup Dey</t>
  </si>
  <si>
    <t>Tech Titans are on the go! https://t.co/NTnXmxnXZI #golang #entrepreneur #startup #nodejs #python #java #ruby https://t.co/6x5ug96X4h</t>
  </si>
  <si>
    <t>Ahmedabad</t>
  </si>
  <si>
    <t>Digital Marketing Professional #GrowthHacking #SEM #ContentMarketing #Adwords #creativewriting</t>
  </si>
  <si>
    <t>Новое: Статья справочника «...» https://t.co/kWYY2FiD2y #python #dev</t>
  </si>
  <si>
    <t>"The Fumblina Full Stack Philosophy" via #Python https://t.co/OhXALpwBPK</t>
  </si>
  <si>
    <t>Jonas Lejon</t>
  </si>
  <si>
    <t>PEP 8 — the Style Guide for Python Code https://t.co/DemE58akOv #python</t>
  </si>
  <si>
    <t>Cyber Security, Cryptography, @IIS board member, Triathlete, Entrepreneur</t>
  </si>
  <si>
    <t>Oliver Frietsch</t>
  </si>
  <si>
    <t>RT @tomy_koch: asynchronous programming in #Python 35 by Brett Cannon - "How the heck does async/await work?" Thx @oliver_frietsch https:/…</t>
  </si>
  <si>
    <t>Bonn, Germany</t>
  </si>
  <si>
    <t>Product Development Lead @orbiteam Software #web #python #javascript - Co-Organizer @pythoncamp - MusicFlat User since 2005 - Open-Eyed Walker &amp; Driver</t>
  </si>
  <si>
    <t>Wray</t>
  </si>
  <si>
    <t>RT @randal_olson: The Fuck: a #Python app that corrects your previous console command. #programming https://t.co/jpw4QM0J92 https://t.co/b…</t>
  </si>
  <si>
    <t>Raleigh, NC</t>
  </si>
  <si>
    <t>Interaction designer, keeping it real, using all 140 characters whenever I have the time.</t>
  </si>
  <si>
    <t>JobHero.io</t>
  </si>
  <si>
    <t>#python #stata @BuildZoom is seeking a Data Acquisition &amp; Quality Mgr to join their team in… https://t.co/FlOQTlBGOC https://t.co/yx7X7ZX94Q</t>
  </si>
  <si>
    <t>California, USA</t>
  </si>
  <si>
    <t>The BEST Tech Jobs in California, Period. Careers for: #Datascientist #Dataanalytics #BigData #Engineering + many more. Post your Job - https://t.co/Az4W3JfVDi</t>
  </si>
  <si>
    <t>Python Weekly</t>
  </si>
  <si>
    <t>Technical writing with sphinx https://t.co/9v76PYT3I8 #sphinx #python</t>
  </si>
  <si>
    <t>Python Weekly is a free weekly newsletter, which features curated news, articles, new releases, tools and libraries, events, jobs etc related to Python</t>
  </si>
  <si>
    <t>#python cbas 92: Command line interface to the c-bastion https://t.co/DpQpEAnmqD</t>
  </si>
  <si>
    <t>#python nexus-yplan 1.3.1: Nexus is a pluggable admin application in Django. It's designed to give you a simple… https://t.co/klNFu7swKX</t>
  </si>
  <si>
    <t>#python Centaur 0.2.0: General Purpose Python3 Application Framework (Port-Adapter Architecture) https://t.co/FkC2e9zK2h</t>
  </si>
  <si>
    <t>#python limix_math 0.0.6: UNKNOWN https://t.co/YMH8HOOI2H</t>
  </si>
  <si>
    <t>#python gargoyle-yplan 1.2.1: Gargoyle is a platform built on top of Django which allows you to switch… https://t.co/neio0mOfqq</t>
  </si>
  <si>
    <t>#python pengguangxingnester 1.3.0: A simple printer of nested lists https://t.co/yzmcUxbOGK</t>
  </si>
  <si>
    <t>#python yamllint 1.0.3: A linter for YAML files. https://t.co/refPSxfbyG</t>
  </si>
  <si>
    <t>#python iforgot 0.4.1: A command line tool to help you remember https://t.co/kp1AE15BgQ</t>
  </si>
  <si>
    <t>#python django-flickr-gallery 0.4.1: Django Gallery with flickr integration https://t.co/uGHa86H1Hk</t>
  </si>
  <si>
    <t>#python zmon-cli 1.0.33: Command line interface for Zalando's monitoring tool ZMON https://t.co/ICyIMF85ii</t>
  </si>
  <si>
    <t>WeAreAvion</t>
  </si>
  <si>
    <t>4 tools to convert #Python to #JavaScript (and back again) https://t.co/dkjMWpQs6G</t>
  </si>
  <si>
    <t>Jochen Wersdörfer</t>
  </si>
  <si>
    <t>Düsseldorf</t>
  </si>
  <si>
    <t>python, machine learning, data science, ukulele</t>
  </si>
  <si>
    <t>RT @PythonWeekly: Technical writing with sphinx https://t.co/9v76PYT3I8 #sphinx #python</t>
  </si>
  <si>
    <t>Monkylabs</t>
  </si>
  <si>
    <t>Recorrer una #Excel con el modulo xlrd de #Python https://t.co/CQaKrblAez</t>
  </si>
  <si>
    <t>Colombia</t>
  </si>
  <si>
    <t>Desarrollamos software y apps moviles para empresas, founder and dev #svo and @dom_yaa</t>
  </si>
  <si>
    <t>Patrick Kimber</t>
  </si>
  <si>
    <t>Hatherleigh, Devon, UK</t>
  </si>
  <si>
    <t>Some of the things I like - cycling, food, chatting (and open source software).</t>
  </si>
  <si>
    <t>Peter Kurishev</t>
  </si>
  <si>
    <t>Санкт-Петербург, Россия</t>
  </si>
  <si>
    <t>CTO, CEO и немного DEV</t>
  </si>
  <si>
    <t>Blake Skuse</t>
  </si>
  <si>
    <t>Seeing @JohnCleese and @EricIdle tonight on the Gold Coast was amazing, I don't think I'll see a better show for the rest of my life #Python</t>
  </si>
  <si>
    <t xml:space="preserve">Gold Coast, Australia </t>
  </si>
  <si>
    <t>NYC is my home away from home</t>
  </si>
  <si>
    <t>openstack-release-test - Package for testing OpenStack release tools. pypi: https://t.co/ui2Z2vbUpl www: https://t.co/fMBAZkHria #python</t>
  </si>
  <si>
    <t>dean</t>
  </si>
  <si>
    <t>RT @JobHero_io: #python #stata @BuildZoom is seeking a Data Acquisition &amp; Quality Mgr to join their team in… https://t.co/FlOQTlBGOC https:…</t>
  </si>
  <si>
    <t>on the dying irradiated World</t>
  </si>
  <si>
    <t>A Coalition of Energy forms created by the Law of Attraction Freeflowing through a concept called Time. Rt's are not a conviction, Images may not be mine</t>
  </si>
  <si>
    <t>Новое: Статья справочника «...» https://t.co/55wCq7HFLe #python #dev</t>
  </si>
  <si>
    <t>DataRobot</t>
  </si>
  <si>
    <t>Covering the essentials of #machinelearning algorithms (with #Python and R codes) https://t.co/0BeKqVibxf</t>
  </si>
  <si>
    <t>Build better predictive models faster with R and Python in the cloud.</t>
  </si>
  <si>
    <t>Eugene Oskin</t>
  </si>
  <si>
    <t>OS X</t>
  </si>
  <si>
    <t>Province of Omsk, Russia</t>
  </si>
  <si>
    <t>ginbrookesfoundation</t>
  </si>
  <si>
    <t>think have found #solar powered screen with HMDI input ∴ which is easiest to install LnxOS (&amp; #python #kivy)onto #beagleboard or Rπ ?</t>
  </si>
  <si>
    <t>Accra, Ghana</t>
  </si>
  <si>
    <t>An NGO acting as a helping Hand to needy families; our work includes proving free education to children of core subjects and ICT.</t>
  </si>
  <si>
    <t>FERCHAU Projekte</t>
  </si>
  <si>
    <t>#Projekt #Datenbankentwicklung &amp; #Data #Science, #Berlin, #Statistik #Testauswertung #Analyse #Python C++ R #Excel https://t.co/SG3xI8s8L6</t>
  </si>
  <si>
    <t>Deutschland</t>
  </si>
  <si>
    <t>Tagesaktuelle Projekte aus Engineering und IT, viele weitere auf FERCHAU Freelance.</t>
  </si>
  <si>
    <t>clairem</t>
  </si>
  <si>
    <t>RT @alterway: #alterwayrecrute #Ingénieur #web R&amp;D (H/F) https://t.co/YurH7Y6yEZ #python #javascript #CDI #emploi #job</t>
  </si>
  <si>
    <t>Chargée de communication #opensource #numérique #innovation #CM</t>
  </si>
  <si>
    <t>How Machine Learning Works [Interactive] https://t.co/VxOU2OwKah @PopSci #BigData #RealEstate #Python #Machinelearning #IRR #Gate</t>
  </si>
  <si>
    <t>Natalino Busà</t>
  </si>
  <si>
    <t>RT @Release_nl: Senior Data Architect Natalino Busà @natbusa over #Analytics binnen een datagedreven bank. https://t.co/Ucj55j22cz #Python …</t>
  </si>
  <si>
    <t>The Netherlands</t>
  </si>
  <si>
    <t>Technologist. Innovator. Web addict. In love with design, models, and architectures in all forms and incarnations.</t>
  </si>
  <si>
    <t>RT @py3k: openstack-release-test - Package for testing OpenStack release tools. pypi: https://t.co/ui2Z2vbUpl www: https://t.co/fMBAZkHria …</t>
  </si>
  <si>
    <t>One Month</t>
  </si>
  <si>
    <t>#Ruby vs. #Python: The ultimate debate? – https://t.co/qN9uArg1fa by @excid3 https://t.co/C1KzsB0g5J</t>
  </si>
  <si>
    <t>Meet Edgar</t>
  </si>
  <si>
    <t>New York City, NY</t>
  </si>
  <si>
    <t>Building a better way to learn. Students with support questions head over to https://t.co/6zvMTwjsXr</t>
  </si>
  <si>
    <t>Новое: Статья справочника «...» https://t.co/JtBeFxBt22 #python #dev</t>
  </si>
  <si>
    <t>NYC Tech Events</t>
  </si>
  <si>
    <t>Tonight is Security from the The New York #Python Meetup Group meetup. Find the info here: https://t.co/bDyTK01WVA</t>
  </si>
  <si>
    <t>New York, NY</t>
  </si>
  <si>
    <t>Events for developers, technologists, and other geeks in New York City. If I'm missing your event, tweet me! (We only tweet tech events, not jobs.)</t>
  </si>
  <si>
    <t>@oburoni2 in fact got #debian based OS #kivy &amp; #python on model B, Raspπ how easy is it for installing same on #beagleboard</t>
  </si>
  <si>
    <t>RealPython.com</t>
  </si>
  <si>
    <t>Teaching practical programming through real-world applications</t>
  </si>
  <si>
    <t>LazyProgrammer.me</t>
  </si>
  <si>
    <t>#Udemy #SALE! #DataScience #DeepLearning #NeuralNetworks #Python #BigData #Analytics https://t.co/ZCftxUEANf https://t.co/X49JvGsjQ9</t>
  </si>
  <si>
    <t>Lazy Programmer Poster</t>
  </si>
  <si>
    <t>#BigData #Engineer and #DataScientist. #Consultant #Freelancer and #Tutor. I lead #tech at a few early-stage #startups. I like to #Zen out, and I love #cats!</t>
  </si>
  <si>
    <t>Otro interesante módulo de #python para #Excel https://t.co/BXknhfRVer https://t.co/0m5IbFjRMD</t>
  </si>
  <si>
    <t>Новое: Статья справочника «...» https://t.co/Cy2TAv5NxU #python #dev</t>
  </si>
  <si>
    <t>KillBiller</t>
  </si>
  <si>
    <t>RT @dublin_startups: #Python #Programmer #Intern required @Kill_Biller https://t.co/6mXN0jZAHc #intern #internship #jobfairy #internfairy</t>
  </si>
  <si>
    <t>Dublin, Ireland</t>
  </si>
  <si>
    <t>Make sure you are on the best mobile phone plan. One click, and 30 seconds. #killingbills</t>
  </si>
  <si>
    <t>Eric Idle</t>
  </si>
  <si>
    <t>RT @BlakeSkuse: Seeing @JohnCleese and @EricIdle tonight on the Gold Coast was amazing, I don't think I'll see a better show for the rest o…</t>
  </si>
  <si>
    <t>London / Los Angeles</t>
  </si>
  <si>
    <t>Writer, reader, husband, father, dog owner, sillographer, guitarist, football fan</t>
  </si>
  <si>
    <t>BTC2</t>
  </si>
  <si>
    <t>Linux, Python, Economics, Finance, Bitcoin, Altcoin</t>
  </si>
  <si>
    <t>Новое: Статья справочника «...» https://t.co/Y1ZkM6IyC1 #python #dev</t>
  </si>
  <si>
    <t>Dⓐsapta Erwin Irawan</t>
  </si>
  <si>
    <t>first step is to fork then to clone :-) -&gt; git clone https://t.co/7nTxtSdbIj #rodeoide #python</t>
  </si>
  <si>
    <t>orcid.org/0000-0002-1526-0863</t>
  </si>
  <si>
    <t>every point on earth holds a piece of originality | ITB | Indonesia | support open science</t>
  </si>
  <si>
    <t>Bill Kimler</t>
  </si>
  <si>
    <t>Before there was #R. Before there was #Python. Before #matlab. There was PC Solve for all my math modeling needs. https://t.co/6nW3GMqt2U</t>
  </si>
  <si>
    <t>Binghamton, NY</t>
  </si>
  <si>
    <t>Chief Insight Officer for Maines Paper &amp; Food Service. I enjoy data analytics for breakfast. https://t.co/pFf7AYVP15</t>
  </si>
  <si>
    <t>MasterCard’s Machine-Learning Network Thwarts ATM Attacks https://t.co/GcltfsUJ0A @WSJ #BigData #RealEstate #Python #Machinelearning #Gate</t>
  </si>
  <si>
    <t>RT @SeiichiShiga: MasterCard’s Machine-Learning Network Thwarts ATM Attacks https://t.co/GcltfsUJ0A @WSJ #BigData #RealEstate #Python #Mach…</t>
  </si>
  <si>
    <t>kadir sahan</t>
  </si>
  <si>
    <t>RT @SeiichiShiga: How Machine Learning Works [Interactive] https://t.co/VxOU2OwKah @PopSci #BigData #RealEstate #Python #Machinelearning #I…</t>
  </si>
  <si>
    <t>Andy Garcia</t>
  </si>
  <si>
    <t>And #Data scripts in #Python OMG!!!! Once you get it you are like https://t.co/ECwzCZu957</t>
  </si>
  <si>
    <t>United States</t>
  </si>
  <si>
    <t>Stay hungry. Stay foolish. Knowledge is THE power. Work is THE key. Give me #Data I give you #Insights . Philippiens 4 : 13</t>
  </si>
  <si>
    <t>DJSteve</t>
  </si>
  <si>
    <t>Croydon</t>
  </si>
  <si>
    <t>By night I'm a DJ on Croydon Radio, by day I'm @roxy641</t>
  </si>
  <si>
    <t>pyculiar - A pure python port of Twitter's AnomalyDetection R Package. pypi: https://t.co/YBCmWqL4R3 www: https://t.co/x9Yqqe7BwQ #python</t>
  </si>
  <si>
    <t>Platform Developer - Python, Django at YunoJuno (iheartyunojuno) [London, UK] https://t.co/rFBLRXrObg #python</t>
  </si>
  <si>
    <t>The Fumblina Full Stack Philosophy https://t.co/srLWAByze0 #Python submitted by /u/pyglados[link] [comments]</t>
  </si>
  <si>
    <t>Andrea Scarso</t>
  </si>
  <si>
    <t>Why #pandas users should be excited about #ApacheArrow - https://t.co/l16WCjDypb - #python #Hadoop #Spark #Impala #Kudu #Parquet #data</t>
  </si>
  <si>
    <t>Milan</t>
  </si>
  <si>
    <t>Analytics, smart data &amp; decision management - Co-founder MoneyFarm @moneyfarmITA @moneyfarmUK</t>
  </si>
  <si>
    <t>LIMIE</t>
  </si>
  <si>
    <t>[08:37:33-03:00] Irradiancia en W/(m².sr) a partir del modelo de @gersolar. #python https://t.co/8ttL5O26eG</t>
  </si>
  <si>
    <t>solarbot.tester</t>
  </si>
  <si>
    <t>Pergamino, Argentina</t>
  </si>
  <si>
    <t>Laboratorio de Investigación de Modelos Informáticos y Electrónicos</t>
  </si>
  <si>
    <t>Rizki Nanda Agam</t>
  </si>
  <si>
    <t>Jakarta</t>
  </si>
  <si>
    <t>My Personal twits</t>
  </si>
  <si>
    <t>#Python Marcos Dione: ayrton-0.7.2: This time we focused on making ayrton more debuggable and the scripts too.… https://t.co/NsHvwz2gcn</t>
  </si>
  <si>
    <t>RT @algrison: go-tablib, a tabular dataset library in #golang https://t.co/z9LhhuGY6o Port of #python's awesome tablib by @kennethreitz</t>
  </si>
  <si>
    <t>Christof Schöch</t>
  </si>
  <si>
    <t>Great! Looks like #Ubuntu 16.04 #LTS will ship without #Python 2, just Python 3. Will make my life easier. https://t.co/mId2Vym4Uh</t>
  </si>
  <si>
    <t>Europe</t>
  </si>
  <si>
    <t>Digital Philology | French Studies | Digital Humanities | Romanistik | Gattungsstilistik | Open Access | http://t.co/fvCiCa8BMD</t>
  </si>
  <si>
    <t>RT @py3k: pyculiar - A pure python port of Twitter's AnomalyDetection R Package. pypi: https://t.co/YBCmWqL4R3 www: https://t.co/x9Yqqe7BwQ…</t>
  </si>
  <si>
    <t>Taipei.py</t>
  </si>
  <si>
    <t>Tweetbot for iΟS</t>
  </si>
  <si>
    <t>Taipei City, Taiwan</t>
  </si>
  <si>
    <t>Taipey Python User Group</t>
  </si>
  <si>
    <t>Prehistoric Pets</t>
  </si>
  <si>
    <t>#epic #livingthedream #throwbackthursday #python #101 @ The Reptile Zoo https://t.co/Jp8zde1CHZ</t>
  </si>
  <si>
    <t>Fountain Valley, Ca</t>
  </si>
  <si>
    <t>Connections of NY</t>
  </si>
  <si>
    <t>#GetConnected: #Data-driven marketing is the new wave, so let's get you a job in it, shall we? #java #scala #python https://t.co/br7ODzdIN0</t>
  </si>
  <si>
    <t>New York, New York</t>
  </si>
  <si>
    <t>Connections of New York helps #tech #job #seekers connect with hiring managers at Fortune 500 Companies, hot start-ups &amp; multimedia giants. #Recruiter #Career</t>
  </si>
  <si>
    <t>christhepythonfan</t>
  </si>
  <si>
    <t>London, UK</t>
  </si>
  <si>
    <t>I'm a Monty Python-fan, John Cleese-admirer, MUFC &amp; England-supporter, comedy-, crime-fiction-, thriller-, horror-writer, animal-lover palaeoanthropologist.</t>
  </si>
  <si>
    <t>#python bluepyopt 0.1.91: Bluebrain Python Optimisation Library (bluepyopt) https://t.co/wa0p1ziaBO</t>
  </si>
  <si>
    <t>#python jobmanager-common 0.5.3: Job Manager Common Library https://t.co/OtYdOxQTaG</t>
  </si>
  <si>
    <t>Randy Olson</t>
  </si>
  <si>
    <t>Happy to see so much positive feedback abt the #Python #dataviz course. I'll have to expand it in the near future. https://t.co/Cw51XcYIZA</t>
  </si>
  <si>
    <t>Philadelphia, PA</t>
  </si>
  <si>
    <t>Computer scientist researching artificial intelligence. Data tinkerer. Community leader for @DataIsBeautiful. #OpenScience advocate.</t>
  </si>
  <si>
    <t>Jared Rennie</t>
  </si>
  <si>
    <t>RT @randal_olson: Happy to see so much positive feedback abt the #Python #dataviz course. I'll have to expand it in the near future. https…</t>
  </si>
  <si>
    <t>Asheville, NC</t>
  </si>
  <si>
    <t>Meteorologist / Research Associate. Love all things nerdy, tech-y, and weather-y. Opinions are mine and mine alone</t>
  </si>
  <si>
    <t>Zeipt</t>
  </si>
  <si>
    <t>КиЇв, УкраЇна</t>
  </si>
  <si>
    <t>working on @MycelyPro</t>
  </si>
  <si>
    <t>Ann Calisto</t>
  </si>
  <si>
    <t>Love my kids, love cooking, love pie. Hate my ex. Love Kitchen Nightmares, bad movies &amp; I'm a reviewer at PRETTY UGLY THINGS . COM!!!</t>
  </si>
  <si>
    <t>Stephen Mather</t>
  </si>
  <si>
    <t>@dannysatch Absolutely, I'm more than happy to help! Sounds like fun. Glad this arrived yesterday... #Python #Django https://t.co/hI2UipRTz6</t>
  </si>
  <si>
    <t>Big skateboards! Coding! Good old fashioned fresh air!</t>
  </si>
  <si>
    <t>Santiago Basulto</t>
  </si>
  <si>
    <t>When in doubt, always choose to give less responsibilities to your model/module #coding #python</t>
  </si>
  <si>
    <t>221b, Baker Street</t>
  </si>
  <si>
    <t>A machine for turning Whisky into startups | Ultimate Player | https://t.co/4faPtHnPbh</t>
  </si>
  <si>
    <t>[b0t][Begginer] Hi guys, I'm new to Python and have a couple of questions! https://t.co/HSCgmCBFrP #python</t>
  </si>
  <si>
    <t>#Python 3 in 2016 https://t.co/Ra4SOWtubw</t>
  </si>
  <si>
    <t>Rien à redire. #HadoopSpark et #Python c'est la vie</t>
  </si>
  <si>
    <t>Lambda</t>
  </si>
  <si>
    <t>La vie du serpent?? jamung #python https://t.co/M0raeKAwgK</t>
  </si>
  <si>
    <t>Yaoundé, Cameroon</t>
  </si>
  <si>
    <t>Love is rooted in building something extraordinary out of our imperfections.</t>
  </si>
  <si>
    <t>Amanda Wrigley</t>
  </si>
  <si>
    <t>RT @anderson_edw: I wrote a #python app to guess gender by comparing credits w/ @ONS baby names dataset. Crunching 1.8m cast &amp; crew... http…</t>
  </si>
  <si>
    <t>Oxfordshire</t>
  </si>
  <si>
    <t>Research Fellow, Univ. Westminster. Cultural historian (radio, tv, literature, theatre). Author of Greece on Air (OUP 2015). Mother of three-year-old twins.</t>
  </si>
  <si>
    <t>Valdes Nzalli</t>
  </si>
  <si>
    <t>lool, tu as peur de te faire bastonner... comme un #python ?! :D https://t.co/NCLS50FlIX</t>
  </si>
  <si>
    <t>Douala</t>
  </si>
  <si>
    <t>SysAdmin, Passionné des TIC, Security Evangelist!</t>
  </si>
  <si>
    <t>Arthur</t>
  </si>
  <si>
    <t>RT @python_devv: Automate the Boring Stuff with Python Programming ☞ https://t.co/oiJYxAW6Ds #python #programming https://t.co/EVrjiBlJOj</t>
  </si>
  <si>
    <t>Canada</t>
  </si>
  <si>
    <t>A SQL Server MVP, MCDBA, MCAD, Tech Consultant and Enthusiast, Father of two and Geek.</t>
  </si>
  <si>
    <t>Michael McKisson</t>
  </si>
  <si>
    <t>Tucson, AZ</t>
  </si>
  <si>
    <t>@UAJSchool professor, @bicycletucson Publisher, @EllerCollege MBA graduate and journalism entrepreneur.</t>
  </si>
  <si>
    <t>5 Best Programming Languages to Learn for Beginners https://t.co/0Ml1GSu8G8 #programming #javascript #java #python #codeacademy</t>
  </si>
  <si>
    <t>Cesar A. Nogueira</t>
  </si>
  <si>
    <t>RT @googletricks19: 5 Best Programming Languages to Learn for Beginners https://t.co/0Ml1GSu8G8 #programming #javascript #java #python #cod…</t>
  </si>
  <si>
    <t xml:space="preserve">Campinas city, SP - Brazil </t>
  </si>
  <si>
    <t>Software Analyst. Ex-IBM-USA Software Engineer Intern. Sharing #Java, #NodeJS, #Android, #Angular.JS, #IOT, #Python https://t.co/DtzsVwixrY</t>
  </si>
  <si>
    <t>Angel Agudo Guerrero</t>
  </si>
  <si>
    <t>RT @carter2422: Sounds like a good freelance opportunity for #b3d #python devs https://t.co/OKbIGrNcxb</t>
  </si>
  <si>
    <t>Sadness Theory</t>
  </si>
  <si>
    <t>@KodSnack Toppen, lätt att hamna "utanför". Gillar er podd, pluggar till #datavetare i #Uppsala. Har kodat #Java #Python # Haskell #C</t>
  </si>
  <si>
    <t>Sweden</t>
  </si>
  <si>
    <t>Sadness Theory is my soloproject. Self-composed, melodious singer/songwriter music wishing to affect you with its stories. Check out my website!</t>
  </si>
  <si>
    <t>Ryan Brown</t>
  </si>
  <si>
    <t>RT @snap_ci: RT @goserverless Using Python in the Serverless Framework https://t.co/cQA6SvxoUr @ryan_sb #aws #python #serverless</t>
  </si>
  <si>
    <t>I tend to tweet about Python, OpenStack, AWS, and broken ****. Joke tweets are punintentional.</t>
  </si>
  <si>
    <t>Michael Sjoeberg</t>
  </si>
  <si>
    <t>Doing different things. @PlantforEarthTM @CeliaStock @HolansSverige</t>
  </si>
  <si>
    <t>Anurag Ranjan</t>
  </si>
  <si>
    <t>I dont know what I would do if there were no lambda and map in python. #python</t>
  </si>
  <si>
    <t>Dada Scientist</t>
  </si>
  <si>
    <t>Chicago, IL</t>
  </si>
  <si>
    <t>Computational neuroscientist often mistaken for someone who knows stuff about headaches.</t>
  </si>
  <si>
    <t>Vignesh Pamu</t>
  </si>
  <si>
    <t>Hyderabad, IN</t>
  </si>
  <si>
    <t>#docker #golang #data #HPC #compilers #sanskrit</t>
  </si>
  <si>
    <t>Tadas Talaikis</t>
  </si>
  <si>
    <t>15 years of #forex and #CFDs tick data to #MongoDB using #Python. Part Four: #trading https://t.co/cmwtNjKB0V</t>
  </si>
  <si>
    <t>Social Proxy by Mailchimp</t>
  </si>
  <si>
    <t>EU, Lithuania</t>
  </si>
  <si>
    <t>Devoted to create 10x #alpha for small #trading accounts. Interests: #Freedom, #Ideas, #QuantitativeAnalysis, #Economics, #Sociology, #Psychology, #Reality.</t>
  </si>
  <si>
    <t>RT @Talaikis: 15 years of #forex and #CFDs tick data to #MongoDB using #Python. Part Four: #trading https://t.co/cmwtNjKB0V</t>
  </si>
  <si>
    <t>Akira Sakamoto</t>
  </si>
  <si>
    <t>東京都</t>
  </si>
  <si>
    <t>N72</t>
  </si>
  <si>
    <t>Para trabajar mejor por la tarde! grandes @LionheartCA https://t.co/7vzJGOCLIO #python #IonicFramework #programming</t>
  </si>
  <si>
    <t>Alicante</t>
  </si>
  <si>
    <t>Programming...</t>
  </si>
  <si>
    <t>Roberto Alvarado</t>
  </si>
  <si>
    <t>[#Packt] Learning #Python Design Patterns Second Edition https://t.co/M5t98jeMFt #B_DotNet #CelesteSoftware #ExpertDay</t>
  </si>
  <si>
    <t>Bogotá</t>
  </si>
  <si>
    <t>Padre de un bebe de 22 meses, Desarrollador, Arquitecto de Software de Plataforma .NET, consultor y Speaker de temas de desarrollo .NET. TFS</t>
  </si>
  <si>
    <t>BDotNetCol</t>
  </si>
  <si>
    <t>RT @ralvaradot: [#Packt] Learning #Python Design Patterns Second Edition https://t.co/M5t98jeMFt #B_DotNet #CelesteSoftware #ExpertDay</t>
  </si>
  <si>
    <t>ColDesarrollador</t>
  </si>
  <si>
    <t>B_DotNet</t>
  </si>
  <si>
    <t>Bogotá, Colombia</t>
  </si>
  <si>
    <t>Comunidad de desarrolladores de software. Difundimos conocimiento e intercambiamos experiencias de tecnología. http://t.co/nQ2SAgu57L...</t>
  </si>
  <si>
    <t>ExpertDay</t>
  </si>
  <si>
    <t>Latinoamérica</t>
  </si>
  <si>
    <t>BestAWS</t>
  </si>
  <si>
    <t>RT @goserverless Using Python in the Serverless Framework https://t.co/8O6MTXTMMW @ryan_sb #aws #python #serverless - via @snap_ci</t>
  </si>
  <si>
    <t>Daily AWS tweets.</t>
  </si>
  <si>
    <t>TechMix</t>
  </si>
  <si>
    <t>RT @justsostephen: @dannysatch Absolutely, I'm more than happy to help! Sounds like fun. Glad this arrived yesterday... #Python #Django htt…</t>
  </si>
  <si>
    <t>Tweet Full</t>
  </si>
  <si>
    <t>Mixing the best tech tweets.</t>
  </si>
  <si>
    <t>Horst Wilmes</t>
  </si>
  <si>
    <t>#Python Digest is out! https://t.co/peEBTBYRz4 Stories via @pycon</t>
  </si>
  <si>
    <t>Zürich</t>
  </si>
  <si>
    <t>#FinTech professional, tweeting about #finance, #ICT, #mountainsports, #outdoor, #socialmedia, #volunteermanagement Working at Swisscom. Opinions are my own.</t>
  </si>
  <si>
    <t>[#Packt] Learning #Python Design Patterns Second Edition https://t.co/SDVY5ohuUE #B_DotNet #CelesteSoftware... https://t.co/P3qeHvuOIM</t>
  </si>
  <si>
    <t>Creative Punch</t>
  </si>
  <si>
    <t>Artificial Dataset for Machine Learning with #Python and #Numpy / #Theano https://t.co/Y94oRWsVgB --- #MachineLearning #programming</t>
  </si>
  <si>
    <t>Passionate blog about #Webdev #Webdesign #PHP #Laravel #JavaScript #CSS3 #HTML5 and much more! Check out our growing collection of tutorials and resources.</t>
  </si>
  <si>
    <t>[08:37:33-03:00] Irradiancia en W/(m².sr) a partir del modelo de @gersolar. #python https://t.co/NZp0YNyJfx</t>
  </si>
  <si>
    <t>Lynn Waddell</t>
  </si>
  <si>
    <t>#Tampa Attorney keeps pet #python snake in law office to relax. #florida life of #flazoons @WFLA https://t.co/fFpmNPSLoh</t>
  </si>
  <si>
    <t>St Pete, FL</t>
  </si>
  <si>
    <t>Fringe Florida Author/journalist/Adj prof/fiction scribe. Lover of eccentrics, Southern Lit, puppy dogs and potato chips. #binders http://t.co/JqRLLOfTqW</t>
  </si>
  <si>
    <t>Brandon Dixon</t>
  </si>
  <si>
    <t>There's only one developer for @PassiveTotal and that's me. Interested in doing #python #dev with a ton of Internet data? Drop me a message.</t>
  </si>
  <si>
    <t xml:space="preserve">SFO </t>
  </si>
  <si>
    <t>Operator Engager. Data Collector. Task Automator. Co-founder of PassiveTotal. I am not Ned.</t>
  </si>
  <si>
    <t>PassiveTotal</t>
  </si>
  <si>
    <t>RT @9bplus: There's only one developer for @PassiveTotal and that's me. Interested in doing #python #dev with a ton of Internet data? Drop …</t>
  </si>
  <si>
    <t>Internet</t>
  </si>
  <si>
    <t>Joined forces with @RiskIQ to provide threat infrastructure analysis through innovative visuals and analyst-backed development.</t>
  </si>
  <si>
    <t>Forgotten</t>
  </si>
  <si>
    <t>Unallocated Space</t>
  </si>
  <si>
    <t>Student of Life, Infosec, &amp; CTF. President of Unallocated Space (https://t.co/B3nOf7TQCC) I don't speak for anyone besides me. ICS/NSM/Snort Engineer/Instructor</t>
  </si>
  <si>
    <t>N'akaga!</t>
  </si>
  <si>
    <t>Bujumbura</t>
  </si>
  <si>
    <t>Burundian, Open source psychopath, jokes freak, Python developer at UNICEF Burundi Innovation Lab. J'adore les Math. Et apprendre des autres.</t>
  </si>
  <si>
    <t>Kyle Maxwell</t>
  </si>
  <si>
    <t>From the Internet</t>
  </si>
  <si>
    <t>Keep it secret. Keep it safe.</t>
  </si>
  <si>
    <t>Joachim Jablon</t>
  </si>
  <si>
    <t>Just switched from #Python virtualenvwrapper to vex OMG this feel so nice ! #NoMoreKlugeInMyConsole https://t.co/vJGC0k2E7f</t>
  </si>
  <si>
    <t>Paris / Antony</t>
  </si>
  <si>
    <t>Geek, @centralesupelec Engineer, Software Designer, Gamer, @LesNegitachi bass singer, Pythonista/Djangonaut working @SmartImpulse ... Geek !</t>
  </si>
  <si>
    <t>"Learn More!!!" via #Python https://t.co/aczFDeDKSj</t>
  </si>
  <si>
    <t>Piero Ferrante</t>
  </si>
  <si>
    <t>Data Scientist @C2FO | Adjunct Professor @RockhurstU | Advisor @playithealth | Founder @PredictUrbanIQ | #machinelearning #textanalytics</t>
  </si>
  <si>
    <t>Jennifer Stark, Ph.D</t>
  </si>
  <si>
    <t>Research Scientist in Computational Journalism Lab: #datascience #Python #InfoViz, #journalism #transparency. InfoViz MPS, Neuroscience PhD</t>
  </si>
  <si>
    <t>Packt Publishing</t>
  </si>
  <si>
    <t>Write better #Python for better results! 50% off today only and see your skills skyrocket! https://t.co/WRmxotON95 https://t.co/L4Sis1zrvF</t>
  </si>
  <si>
    <t>Birmingham, UK</t>
  </si>
  <si>
    <t>We help the world put software to work in new ways | Join us to learn the tech skills you need to innovate and create</t>
  </si>
  <si>
    <t>Ego Sung</t>
  </si>
  <si>
    <t>RT @PacktPub: Write better #Python for better results! 50% off today only and see your skills skyrocket! https://t.co/WRmxotON95 https://t.…</t>
  </si>
  <si>
    <t>Seoul(서울,ソウル,首爾,首尔)</t>
  </si>
  <si>
    <t>Web Developer My native language is Korean(한국어) My hobby is Learning Language(English,漢語/汉语,日本語) Interested Mobile &amp; Web #Unicode #CJK #文字 #漢字 #이상한모임</t>
  </si>
  <si>
    <t>Raymond Lilly</t>
  </si>
  <si>
    <t>java.lang.NullPointerException</t>
  </si>
  <si>
    <t>Software Engineer, Maker, Lover of puns, Probably sarcasm. All tweets protected by double ROT13.</t>
  </si>
  <si>
    <t>mike grimshaw</t>
  </si>
  <si>
    <t>Python package to migrate #postgresql #database db-migrator 0.1.1 : #Python | #sql #NoSql #devOps #BigData https://t.co/xbRq1z3uJ9</t>
  </si>
  <si>
    <t>City: PDX | Tribe: Globe</t>
  </si>
  <si>
    <t>polymath poser pontificating personal thoughts from #PDX. From brain.gyrus import #Akkadtum, #Python...#CloudOps #DevOps #IoT #SyntheticData #Cognition #infosec</t>
  </si>
  <si>
    <t>Python Mocking 101: Fake It Before You Make It via @FugueHQ https://t.co/kzkq95oBuH #python #testing</t>
  </si>
  <si>
    <t>Gaetan Zoritchak</t>
  </si>
  <si>
    <t>Genève, Suisse</t>
  </si>
  <si>
    <t>Artisan du clean code, #Kotlin, Entrepreneur</t>
  </si>
  <si>
    <t>Vibor Cipan</t>
  </si>
  <si>
    <t>#Python joke: __mifflin</t>
  </si>
  <si>
    <t>Zagreb, Croatia; EU</t>
  </si>
  <si>
    <t>CEO at @UXPassion. #UXdesign, #analytics, #psephology, #biking, #outdoors, #agronomy, #astrophysics, #C64 and #OSINT are my passions. RT ≠ endorsment.</t>
  </si>
  <si>
    <t>Amanda McArthur</t>
  </si>
  <si>
    <t>Job Opening: Senior Content Publishing Manager - 949353 in Redmond, WA https://t.co/kkWye1Iyrk #python #ruby #angular</t>
  </si>
  <si>
    <t>Bullhorn Reach</t>
  </si>
  <si>
    <t>Seattle, WA</t>
  </si>
  <si>
    <t>I'm a Wife and Parent to 2 boys and 1 beautiful niece. Seattle native, (#gohawks), entrepreneur and value focused Recruiter, on project @Microsoft</t>
  </si>
  <si>
    <t>Want to teach #python , #JavaScript , #java, #ruby or #perl in #Lagos #Abuja. Create class on https://t.co/KTpxc8BPKr #education</t>
  </si>
  <si>
    <t>Danny Derakhshan</t>
  </si>
  <si>
    <t>Another day for me to solve problems for you &amp; me. #programming #moviemaking #writing #consulting #publicspeaking #marketing #Python #Linux</t>
  </si>
  <si>
    <t>Earth</t>
  </si>
  <si>
    <t>Of my word,am kind to service staff.#2 in career #1 in family. Funny hairy centrist Persian man. I solve problems to pay bills.Mostly by not making bills to pay</t>
  </si>
  <si>
    <t>Python reimplementation of #mProphet #peakScoring #pyprophet 0.21.1 : #Python #bigdata https://t.co/TMy5kbifNp</t>
  </si>
  <si>
    <t>Python Windows Installation https://t.co/X9DIt1tALu #python #windows #language #adt #abstractdatatype</t>
  </si>
  <si>
    <t>Chris Rea</t>
  </si>
  <si>
    <t>#python #digitaljobs https://t.co/DgYjj1ueAf</t>
  </si>
  <si>
    <t>Milton Keynes, England</t>
  </si>
  <si>
    <t>A team of 6 digital recruiters, creating waves in the digital age!! Looking to engage with professionals within this space :)</t>
  </si>
  <si>
    <t>Python for dealing with #chemical coordinates. #chemcoord 1.0.0 : #Python #bigdata #Hazmat #chem #STEM #pySTEM https://t.co/SpcM0VwXxC</t>
  </si>
  <si>
    <t>Adam Maxwell</t>
  </si>
  <si>
    <t>OSCP, OSWP, Maltego Fanboy!!</t>
  </si>
  <si>
    <t>Maltego addict, OSINT newbie, Python for everything. I like cherry yoghurt.</t>
  </si>
  <si>
    <t>Fugue | Cloud OS</t>
  </si>
  <si>
    <t>RT @PythonWeekly: Python Mocking 101: Fake It Before You Make It via @FugueHQ https://t.co/kzkq95oBuH #python #testing</t>
  </si>
  <si>
    <t>Frederick, MD</t>
  </si>
  <si>
    <t>Fugue is a cloud OS that builds, runs, and enforces cloud deployments, continuously &amp; automatically. In beta on #AWS. #immutableinfrastructure</t>
  </si>
  <si>
    <t>Zoetrope Labs</t>
  </si>
  <si>
    <t>Zoetrope's hiring again! We'll be at Voxxed days tomorrow and would love to meet #python #react #electronics people! https://t.co/iHzLmoqZqg</t>
  </si>
  <si>
    <t>Bristol, UK</t>
  </si>
  <si>
    <t>Zoetrope is an Internet of Things training, consulting and prototyping company. Get in touch to find out more!</t>
  </si>
  <si>
    <t>#python pypi-publisher 0.0.3: A cli for publishing packages to pypi, without the hassle https://t.co/cp0onhiwE3</t>
  </si>
  <si>
    <t>Silicon Armada</t>
  </si>
  <si>
    <t>#machinelearning #python https://t.co/bEUP44JBKn</t>
  </si>
  <si>
    <t>Global</t>
  </si>
  <si>
    <t>Global Tech Job Aggregator.</t>
  </si>
  <si>
    <t>#python zerodb 0.96.17: End-to-end encrypted database https://t.co/BqkcJk2AS4</t>
  </si>
  <si>
    <t>#python ipykernel 4.3.0: IPython Kernel for Jupyter https://t.co/WvZxZ3SUna</t>
  </si>
  <si>
    <t>#python bluepyopt 0.1.97: Bluebrain Python Optimisation Library (bluepyopt) https://t.co/agjNJLnP2C</t>
  </si>
  <si>
    <t>#python ITU-Turkish-NLP-Pipeline-Caller 1.1.0: A wrapper tool to use ITU Turkish NLP Pipeline API https://t.co/P26sgPvvet</t>
  </si>
  <si>
    <t>#python python-genomespaceclient 0.1.4: Python bindings and commandline client to the GenomeSpace API https://t.co/6KDlU9Gg2K</t>
  </si>
  <si>
    <t>#python arartekomaps 5.75: Django application serving https://t.co/OrwJT2Epf2 https://t.co/NSGcntzT7D</t>
  </si>
  <si>
    <t>#python PyZureML 1.0.2: Python wrapper for the Microsoft Azure Machine Learning webservice endpoint API. https://t.co/aNoMPT5jZq</t>
  </si>
  <si>
    <t>#python PyZureML 1.0.1: Python wrapper for Microsoft Azure Machine Learning webservice endpoint API. https://t.co/4Fb4OWRFM6</t>
  </si>
  <si>
    <t>#python nyuki 0.14.0: Allowing the creation of independent unit to deal with stream processing while exposing an… https://t.co/FSzAV7s6fB</t>
  </si>
  <si>
    <t>v00d00L</t>
  </si>
  <si>
    <t>RT @SiliconArmada: #machinelearning #python https://t.co/bEUP44JBKn</t>
  </si>
  <si>
    <t>Malmö, Sweden</t>
  </si>
  <si>
    <t>Tech-geek, nerd, hacker/maker, infosec, knowledge-, code-, tea-, and pizza-addict extraordinaire with weird autor-dreams. Chaotic neutral.</t>
  </si>
  <si>
    <t>Olivier Bohrer</t>
  </si>
  <si>
    <t>Software Engineer, gamer, rider and passionate about technologies #clojure #cassandra #elasticsearch #redis</t>
  </si>
  <si>
    <t>[#Packt] Mastering #Python Design Patterns https://t.co/AOilPpPQN9 #B_DotNet #CelesteSoftware #ExpertDay</t>
  </si>
  <si>
    <t>RT @ralvaradot: [#Packt] Mastering #Python Design Patterns https://t.co/AOilPpPQN9 #B_DotNet #CelesteSoftware #ExpertDay</t>
  </si>
  <si>
    <t>NAG</t>
  </si>
  <si>
    <t>Changepoint Analysis using MongoDB and NAG4PY - new blog post by @John_Muddle https://t.co/4ITsjm02Mo #python https://t.co/uvNApCEdjg</t>
  </si>
  <si>
    <t>numerical software, services, hpc, training, collaborations, R&amp;D, community, not-for-profit,</t>
  </si>
  <si>
    <t>RT @NAGTalk: Changepoint Analysis using MongoDB and NAG4PY - new blog post by @John_Muddle https://t.co/4ITsjm02Mo #python https://t.co/uvN…</t>
  </si>
  <si>
    <t>[#Packt] Mastering #Python Design Patterns https://t.co/XnR3DyZwvM #B_DotNet #CelesteSoftware #ExpertDay https://t.co/6r1ju6KuMe</t>
  </si>
  <si>
    <t>[b0t] Optimizing uwsgi for many threads and processes. https://t.co/4Xi909PM7j #python</t>
  </si>
  <si>
    <t>ADEX Telecom</t>
  </si>
  <si>
    <t>Alpharetta GA</t>
  </si>
  <si>
    <t>Project services for the telecommunications and IT industries.</t>
  </si>
  <si>
    <t>Barbastella</t>
  </si>
  <si>
    <t>Acabo de empezar con #flask y ya echo de menos #django, aq para miniproyectos vendrá bien :) #microframework #python</t>
  </si>
  <si>
    <t>Urnieta, Basque Country</t>
  </si>
  <si>
    <t>coder.</t>
  </si>
  <si>
    <t>RT @goserverless Using #Python in the Serverless Framework https://t.co/jbyLu3Lv4I @ryan_sb #aws #python #serverless - via @snap_ci</t>
  </si>
  <si>
    <t>Django 1.9's Improvements for Postgres &gt;&amp;gt; https://t.co/55y9ZrVTkk by @kennethreitz and @heroku #python #django #jsonb</t>
  </si>
  <si>
    <t>Chienjo</t>
  </si>
  <si>
    <t>Perl. Python. Ruby. C. C++. C#. Go. QT. Bibliophile.</t>
  </si>
  <si>
    <t>Michael Herman</t>
  </si>
  <si>
    <t>RT @RealPython: Django 1.9's Improvements for Postgres &gt;&amp;gt; https://t.co/55y9ZrVTkk by @kennethreitz and @heroku #python #django #jsonb</t>
  </si>
  <si>
    <t>San Francisco</t>
  </si>
  <si>
    <t>open yet focused</t>
  </si>
  <si>
    <t>Kercode</t>
  </si>
  <si>
    <t>RT @RenaudBara: Mais je vais finir par m'y mettre moi à #Python avec tous ces modes d’apprentissage ludique ! https://t.co/tqFA4gGXYt</t>
  </si>
  <si>
    <t>Vannes, Bretagne</t>
  </si>
  <si>
    <t>Ecole de codage à Vannes par @Simplonco @MLPV56 @GretaBS56 Grande école du numérique . Inscriptions du 1er au 29 février 2016 . Sélection début mars .</t>
  </si>
  <si>
    <t>Java Developer - Java, AWS, Ruby, Python, Agile - London London https://t.co/25dFV2jApx #Python #jobs</t>
  </si>
  <si>
    <t>Brian Warehime</t>
  </si>
  <si>
    <t>Maryland, USA</t>
  </si>
  <si>
    <t>Security Analyst | Threat Researcher | #Honeypots | #Splunk | #Python | #OSINT | #DFIR</t>
  </si>
  <si>
    <t>0x4d</t>
  </si>
  <si>
    <t>正志</t>
  </si>
  <si>
    <t>Research: @citizenlab Views: mine</t>
  </si>
  <si>
    <t>Maxim</t>
  </si>
  <si>
    <t>Practical Python Porting for Systems Programmers &gt;&amp;gt; https://t.co/MOayfKXE22 by @esrtweet and @pdonis #python</t>
  </si>
  <si>
    <t>diek</t>
  </si>
  <si>
    <t>Get your #data up #Python + #hug is user friendly &amp; helpful. #APIs https://t.co/vayXyDEgYU</t>
  </si>
  <si>
    <t>Next to the Ocean</t>
  </si>
  <si>
    <t>Blues, Rock and Python Code</t>
  </si>
  <si>
    <t>Clayton A Davis</t>
  </si>
  <si>
    <t>You know a good #Python PEP when you accidentally write idiomatic code that conforms to the new spec: #PEP448 https://t.co/tbx4nMSpzy</t>
  </si>
  <si>
    <t>Indianapolis, IN</t>
  </si>
  <si>
    <t>Pythonaut and PhD Candidate @IUSoIC @KinseyReporter @TruthyBotOrNot</t>
  </si>
  <si>
    <t>Brandon Gibson</t>
  </si>
  <si>
    <t>Nobody is to stone anyone until I blow this whistle! #couldbeworse #python #johncleese… https://t.co/A6Vq8ZjCYi</t>
  </si>
  <si>
    <t>Los Angeles, Ca</t>
  </si>
  <si>
    <t>Actor, Producer, Comedian, Podcaster and mouth spiller of many silly things.</t>
  </si>
  <si>
    <t>Javeo</t>
  </si>
  <si>
    <t>Which #programming language should I learn first? https://t.co/sWSxE6wMGn #Python #Java #JavaScript #Ruby #PHP https://t.co/UMeC10M6v8</t>
  </si>
  <si>
    <t>Warsaw, National Stadium</t>
  </si>
  <si>
    <t>Software house #Java #Scala #Android #Apachespark #akka #play #MongoDB</t>
  </si>
  <si>
    <t>CapSec DC</t>
  </si>
  <si>
    <t>Washington DC</t>
  </si>
  <si>
    <t>Some Follow for Fortune, Some Follow for Fame. Follow me for Geeks and Beer. Usually the last Wednesday of the month in Washington DC, but check meetup!</t>
  </si>
  <si>
    <t>caco_patane</t>
  </si>
  <si>
    <t>rstr, random strings in #python https://t.co/ujO0V2T47P</t>
  </si>
  <si>
    <t>Villa Crespo, BA, Argentina</t>
  </si>
  <si>
    <t>GNU/Caos | Nave Espacial Tierra | General Semantics | https://t.co/7w4UVXc1Qr</t>
  </si>
  <si>
    <t>Geert Barentsen</t>
  </si>
  <si>
    <t>PyFormat: practical examples of #Python string formatting: https://t.co/DIGdedSOZV #pyprotip</t>
  </si>
  <si>
    <t>Mountain View, CA</t>
  </si>
  <si>
    <t>Astronomer with NASA's Kepler/K2 mission ✭. Tweets Data Big and Small • Thinks Bayesian • Wields Python • Speaks Belgian • Likes Burritos • Does not own a cat.</t>
  </si>
  <si>
    <t>RT @murciego: Acabo de empezar con #flask y ya echo de menos #django, aq para miniproyectos vendrá bien :) #microframework #python</t>
  </si>
  <si>
    <t>Two Ps and D, #PostgreSQL + #python + #django https://t.co/7Eh88HLvUb</t>
  </si>
  <si>
    <t>#</t>
  </si>
  <si>
    <t>#Python is my best friend https://t.co/oRq1AQr0e7</t>
  </si>
  <si>
    <t>every where</t>
  </si>
  <si>
    <t>:~# * { Quantum Tunneling since 2013 } { Computing since 2016 } _ [ just a tech ] [ keep learning ] [ stay alive ] [ be well ] [ prosper ]</t>
  </si>
  <si>
    <t>[b0t] What is a Python script that everyone can use? https://t.co/9Aweadns7j #python</t>
  </si>
  <si>
    <t>Phoebe Miller</t>
  </si>
  <si>
    <t>Something blue. Love this shape and shade. Jewel 💙 #pastelpretty #python #rupertsanderson… https://t.co/I5QdXB0ZiM</t>
  </si>
  <si>
    <t>Mr Worldwide</t>
  </si>
  <si>
    <t>Weddings • Beauty • Lifestyle Likes Gin. Dislikes jeggings. Fond of Autumn. I've won awards and stuff. Snapchat: phoebemillerz - sorry in advance.</t>
  </si>
  <si>
    <t>Peter Wang</t>
  </si>
  <si>
    <t>RT @clayadavis: You know a good #Python PEP when you accidentally write idiomatic code that conforms to the new spec: #PEP448 https://t.co/…</t>
  </si>
  <si>
    <t>Austin, tx</t>
  </si>
  <si>
    <t>Python for data &amp; scientific analysis, data exploration, &amp; interactive visualization. Co-founder @ContinuumIO, creator of http://t.co/qK5kaXtdWA &amp; @PyDataConf</t>
  </si>
  <si>
    <t>Mike Wyatt</t>
  </si>
  <si>
    <t>Security Researcher. Opinions are my own.</t>
  </si>
  <si>
    <t>TDC2016</t>
  </si>
  <si>
    <t>É isso ai! Galera animadíssima! #TemPythonNoTDC #Python #TheDevConf https://t.co/KYDdSA8tBf</t>
  </si>
  <si>
    <t>Brazil</t>
  </si>
  <si>
    <t>Ask HN: What are good practical programming books? https://t.co/jzd0YGlCtp #python #django #flask</t>
  </si>
  <si>
    <t>Jimit Shah</t>
  </si>
  <si>
    <t xml:space="preserve">Vadodara,India </t>
  </si>
  <si>
    <t>Curious Little Geek with a lots of dreams. Love coding django. Always making stuff.</t>
  </si>
  <si>
    <t>RT @RealPython: Ask HN: What are good practical programming books? https://t.co/jzd0YGlCtp #python #django #flask</t>
  </si>
  <si>
    <t>Irregular methods on regular expresions https://t.co/Kcwi7vZUV4 #python</t>
  </si>
  <si>
    <t>Otro interesante módulo de #python para #Excel https://t.co/BfSofToX6G</t>
  </si>
  <si>
    <t>Agenda du Libre</t>
  </si>
  <si>
    <t>2016-04-23 Cognac: Initiation langage programmation Python #python #programmation #intitiation https://t.co/U6KqXhYJj5</t>
  </si>
  <si>
    <t>SherlockTalent</t>
  </si>
  <si>
    <t>SherlockTalent is hiring a Python/Angular Software Engineer in Palm Beach Gardens, FL #job #Python, #Ruby #Jenkins https://t.co/X34eaKfiEi</t>
  </si>
  <si>
    <t>Miami Beach, FL</t>
  </si>
  <si>
    <t>SherlockTalent is the trusted source for technical and marketing talent in Florida and beyond.</t>
  </si>
  <si>
    <t>braceless.vim -- Text objects, folding, and more for Python and other indented languages &gt;&amp;gt; https://t.co/znCa1MzQYD #python #vim</t>
  </si>
  <si>
    <t>Sheela</t>
  </si>
  <si>
    <t>wrong</t>
  </si>
  <si>
    <t>Like: Elvis,BillyIdol,B.Holly,FGTH,IrishFolk,RatPack.. Truth,Peace,authentic people,Ireland(never been there) Don't like:lies&amp;moan I'm deeply in love with WMAB!</t>
  </si>
  <si>
    <t>[b0t] Accessing https://t.co/VGuNUPQOm5 pipeline ("|") delimited data for postback. https://t.co/0J69OX0lx3 #python</t>
  </si>
  <si>
    <t>alberto fernandez</t>
  </si>
  <si>
    <t>I need a good book about Django framework, any suggestion? #python #django #WebDevelopers</t>
  </si>
  <si>
    <t>Junior front-end web developer and MotoGP fan</t>
  </si>
  <si>
    <t>BestSQL</t>
  </si>
  <si>
    <t>Python package to migrate #postgresql #database db-migrator 0.1.1 : #Python | #sql #NoSql #devOps #BigData https://t.co/NnuKHA3Iey</t>
  </si>
  <si>
    <t>Daily tips on SQL.</t>
  </si>
  <si>
    <t>Car Audio Deal Alert</t>
  </si>
  <si>
    <t>Python 7941P Responder HD SST Color Supercode Remote #Python 7941P Responder HD SST Color Super Code Remote Python https://t.co/hNcmWIXJUQ</t>
  </si>
  <si>
    <t>Car Deal Alerts</t>
  </si>
  <si>
    <t>Buy #Python 7752P Responder LC SST HHU Remote Python Responder LC 2-Way SST Supercode Remote Python #RemoteStarters https://t.co/srVijDGG2u</t>
  </si>
  <si>
    <t>The New Stack</t>
  </si>
  <si>
    <t>#RPy2 Brings the Number-Crunching Powers of #R to #Python from @ActiveState https://t.co/I71Mge9bhc #BigData</t>
  </si>
  <si>
    <t>Portland, Oregon</t>
  </si>
  <si>
    <t>All about application development and management at scale.</t>
  </si>
  <si>
    <t>Buy #Python 7152P 7152P Responder LE Companion TX Remote PYTHON 5-BUTTON, 1-WAY SUPERCODE REMOTEFOR the 5202P Python https://t.co/F8VJAPbgAQ</t>
  </si>
  <si>
    <t>Bojan Tunguz</t>
  </si>
  <si>
    <t>The #Python Workbook: A Brief Introduction with Exercises and Solutions - Book Review https://t.co/FsVZInrPuL</t>
  </si>
  <si>
    <t>Tunguz</t>
  </si>
  <si>
    <t>Physicist. Writer. Reviewer. Tech blogger. Data scientist. Catholic. Husband. Father. #technology #gadgets #datascience #bigdata #AI #MachineLearning</t>
  </si>
  <si>
    <t>Aymará</t>
  </si>
  <si>
    <t>Agregado al listado para ver!! #python https://t.co/oER6oxQeZc</t>
  </si>
  <si>
    <t>Mendoza, Argentina</t>
  </si>
  <si>
    <t>Entusiasta del Software Libre, emprendedora, en constante metamorfosis.</t>
  </si>
  <si>
    <t>Angel Cruijff</t>
  </si>
  <si>
    <t>Monterrey (Guadalupe, NL)</t>
  </si>
  <si>
    <t>Developer: Python, Django, Java, PHP, C, C++... #Ajacied y #culé</t>
  </si>
  <si>
    <t>#python imio.helpers 0.4.14: Various helper methods for development. https://t.co/mQDKWEml8t</t>
  </si>
  <si>
    <t>#python PyZureML 1.0.3: Python wrapper for the Microsoft Azure Machine Learning webservice endpoint API. https://t.co/SkQ0Nxyr2Q</t>
  </si>
  <si>
    <t>#python tbx 1.4.9: Python Toolbox Library. Collection of useful tools and snippets. https://t.co/toSPRTMzo9</t>
  </si>
  <si>
    <t>#python genologics 0.2.5.post0: Python interface to the GenoLogics LIMS (Laboratory Information Management System)… https://t.co/2HDH64JSG1</t>
  </si>
  <si>
    <t>#python query-collections 0.0.1.1a3: A set of classes built for easier management of Python maps and lists https://t.co/kRApIpSDD5</t>
  </si>
  <si>
    <t>PyBloggers</t>
  </si>
  <si>
    <t>Service Oriented Architecture with AWS Lambda: A Step-by-Step Tutorial https://t.co/kknrNleRyK #python</t>
  </si>
  <si>
    <t>PyBloggers is a hub for #Python related articles provided by Python bloggers. Topics range from #Django to #Analytics to #APIs, and everything in between.</t>
  </si>
  <si>
    <t>Overriding Default Arguments in #Python https://t.co/s82e2fzBuS</t>
  </si>
  <si>
    <t>Big Data Tweet</t>
  </si>
  <si>
    <t>RT @BestSQL: Python package to migrate #postgresql #database db-migrator 0.1.1 : #Python | #sql #NoSql #devOps #BigData https://t.co/NnuKH…</t>
  </si>
  <si>
    <t>BigDataTweetBot</t>
  </si>
  <si>
    <t>I retweet #bigdata follow to get a feed of all that is tweeted about this subject. createdby @magicrat_larry</t>
  </si>
  <si>
    <t>RT @thenewstack: #RPy2 Brings the Number-Crunching Powers of #R to #Python from @ActiveState https://t.co/I71Mge9bhc #BigData</t>
  </si>
  <si>
    <t>RT @mikegrimshaw2: Python for dealing with #chemical coordinates. #chemcoord 1.0.0 : #Python #bigdata #Hazmat #chem #STEM #pySTEM https://…</t>
  </si>
  <si>
    <t>"My open source python personal assistant" via #Python https://t.co/sd8vRCu688</t>
  </si>
  <si>
    <t>BraziliansWhoCode</t>
  </si>
  <si>
    <t>RT @TheDevConf: É isso ai! Galera animadíssima! #TemPythonNoTDC #Python #TheDevConf https://t.co/KYDdSA8tBf</t>
  </si>
  <si>
    <t>Campinas, SP - Brazil</t>
  </si>
  <si>
    <t>We are brazilians that CODE hard and want to share programming techniques and technology. We can post your IT open job position as requested.</t>
  </si>
  <si>
    <t>[b0t]Project Help https://t.co/JvUSlZI3OT #python</t>
  </si>
  <si>
    <t>Cody Casterline</t>
  </si>
  <si>
    <t>TIL: Before #Python 3.4, objects with __del__() would stop cyclic references from being garbage-collected. Yuck! https://t.co/vTXluw21fu</t>
  </si>
  <si>
    <t>Reykjavík, Iceland</t>
  </si>
  <si>
    <t>Geek. Coder. Esperantisto.</t>
  </si>
  <si>
    <t>journocode</t>
  </si>
  <si>
    <t>ready for some coding in #python? journocoder @SuiOni is hosting tonights meeting. join our slack team for more info https://t.co/8f3Zi9UweP</t>
  </si>
  <si>
    <t>Dortmund, Nordrhein-Westfalen</t>
  </si>
  <si>
    <t>Meeting place for data-driven people. team = c(@datentaeterin, @daten_drang, @1_lit3, @RotgeriS, @Lukas_Hansen, @SuiOni, @m_zajonz, @philninh)</t>
  </si>
  <si>
    <t>gutomaia</t>
  </si>
  <si>
    <t>RT @turicas: Prepárate porque tenemos una conferencia de #Python en Quito! \o/ https://t.co/6QWzzRXRL2</t>
  </si>
  <si>
    <t>São Paulo, Brasil</t>
  </si>
  <si>
    <t>Pythonist with a NES and an ☂</t>
  </si>
  <si>
    <t>kushaldas</t>
  </si>
  <si>
    <t>We already have 32 registrations. https://t.co/WPYfAZPKEa #linux #python Help us to spread the news.</t>
  </si>
  <si>
    <t>Pune, Maharashtra</t>
  </si>
  <si>
    <t>Core Python Developer. @fedora cloud engineer. Photographer. Helping new contributors. Proudly wears a Red Hat. Dad and husband. Fellow at @ThePSF</t>
  </si>
  <si>
    <t>David Fugate</t>
  </si>
  <si>
    <t>Today's my last day at @SandiaLabs. In a week, I get to play with #Python full-time again at @Intel in Boulder!</t>
  </si>
  <si>
    <t>Albuquerque, NM</t>
  </si>
  <si>
    <t>Software engineer, functional insomniac, outdoorsman, &amp; family man; not necessarily in that order.</t>
  </si>
  <si>
    <t>@PyladiesPL we'd &lt;3 to hire a #python #girl #warszawa https://t.co/oNMyPc6A1b please RT</t>
  </si>
  <si>
    <t>SVAM</t>
  </si>
  <si>
    <t>Si eres Desarrollador en Python envianos tu CV a reclutamiento@svam.com #teestamosbuscando #Python https://t.co/XuWYUIUQCk</t>
  </si>
  <si>
    <t>Cd. Victoria, Tamaulipas.</t>
  </si>
  <si>
    <t>SVAM International In, Proveedor global de servicios de Tecnologías de la Información</t>
  </si>
  <si>
    <t>#Python datetime + pytz issue #Tech #News #HowTo https://t.co/p2s3dHh9IZ</t>
  </si>
  <si>
    <t>Star Tech Wall</t>
  </si>
  <si>
    <t>#Python datetime + pytz issue #Tech #Question #HowTo https://t.co/UzbD3aMSwc</t>
  </si>
  <si>
    <t>RU</t>
  </si>
  <si>
    <t>Оставайтесь на связи с нами и следите за обновляется с последними вопросами технологий ежедневно.</t>
  </si>
  <si>
    <t>Fernando Grunevald</t>
  </si>
  <si>
    <t>Passionate developer with interests in Python, Web development and Infrastructure.</t>
  </si>
  <si>
    <t>The Bastard</t>
  </si>
  <si>
    <t>Determining CPU utilization with psutil https://t.co/Gm4YpgOQRs Link to psutil #python library: https://t.co/CGlakpBaln #hpc #linux</t>
  </si>
  <si>
    <t>Lansing, Michigan</t>
  </si>
  <si>
    <t>A somewhat misanthropic computer scientist &amp; hydrogeologist. Currently a scientific computation specialist. Re/tweets do not necessarily constitute endorsement</t>
  </si>
  <si>
    <t>Horácio Dias</t>
  </si>
  <si>
    <t>http://t.co/hktLs3F2xG</t>
  </si>
  <si>
    <t>RT @coding_jobfeeds: Java Developer - Java, AWS, Ruby, Python, Agile - London London https://t.co/25dFV2jApx #Python #jobs</t>
  </si>
  <si>
    <t>Sanyam Khurana</t>
  </si>
  <si>
    <t>RT @kushaldas: We already have 32 registrations. https://t.co/WPYfAZPKEa #linux #python Help us to spread the news.</t>
  </si>
  <si>
    <t>New Delhi</t>
  </si>
  <si>
    <t>#Mozillian, @ZopperApp S15, CS Under-Grad #programmer, loves to #code, learn new things and teach others :) #blogger at @TheGeekyWay</t>
  </si>
  <si>
    <t>firestick man</t>
  </si>
  <si>
    <t>Wisconsin, USA</t>
  </si>
  <si>
    <t>IT consulting and amateur developer. Promoting the education and use of media streaming devices. At the same time offering a reliable product with full support.</t>
  </si>
  <si>
    <t>Brian J.</t>
  </si>
  <si>
    <t>RT @JobHero_io: #Python #Linux @TeslaMotors is seeking a Full-Stack Software Engineer to join their team &gt;&amp;gt; https://t.co/QzHi7XTL85 https:/…</t>
  </si>
  <si>
    <t>Oakland, CA</t>
  </si>
  <si>
    <t>New Papa. Husband. Co-Founder @JobHero_io. Interest: #Startups #Entrepreneurship #Marketing #Tech Post a Job https://t.co/RQYhCH7rmO</t>
  </si>
  <si>
    <t>Keiser.925</t>
  </si>
  <si>
    <t>#studded #leather #beltbuckle #python #belt #skinnyblackdenim #handmade #industrial #steampunk… https://t.co/2zOwx4DmmL</t>
  </si>
  <si>
    <t>I scavenge for culturally irrelevant luxury elements and forcibly re-contextualize them to navigate a space between the wearable and sculptural.</t>
  </si>
  <si>
    <t>Lorena Barba</t>
  </si>
  <si>
    <t>Get the @NumFOCUS newsletter for updates on #Jupyter, @JuliaLanguage, @PyData, @swcarpentry and more. #Python https://t.co/3aimIkfO4q</t>
  </si>
  <si>
    <t>Engineering professor, computational scientist, jazz buff, techie, mac fan, academic writer and font geek.</t>
  </si>
  <si>
    <t>CJ Saws</t>
  </si>
  <si>
    <t>Taking the next step with #RaspberryPi dev. Checking out #Python this week and getting a feel… https://t.co/Ry4YhNBE40</t>
  </si>
  <si>
    <t>Full Scale Falcon Builder, Micro-Controller Dev/Robotics, Stilter, Scareactor, Creative, Foodie. Get out and LIVE! :) @CJSaws on Instagram</t>
  </si>
  <si>
    <t>StackAPI - библиотека для Stack Exchange API : https://t.co/JecWK10xW0 #python</t>
  </si>
  <si>
    <t>Lowerplace Computing</t>
  </si>
  <si>
    <t>The first lines of #python code in @CodeClub by Aysha from @5alowerplace @Lowerplace_PS https://t.co/9exFLIMRfU</t>
  </si>
  <si>
    <t>Class 5a</t>
  </si>
  <si>
    <t>RT @LPSComputing: The first lines of #python code in @CodeClub by Aysha from @5alowerplace @Lowerplace_PS https://t.co/9exFLIMRfU</t>
  </si>
  <si>
    <t>Rochdale</t>
  </si>
  <si>
    <t>A place for the learning in 5A to SHINE!</t>
  </si>
  <si>
    <t>Matthew Jackowski</t>
  </si>
  <si>
    <t>Python 3 Type Hints and Static Analysis via @tutsplus | #python #coding https://t.co/xjypH4g48q https://t.co/F2Sra0dkRY</t>
  </si>
  <si>
    <t>Software Engineer and Polyglot Programmer - Tweeting about #Java #Javascript #Ruby #PHP #Scala #Python</t>
  </si>
  <si>
    <t>#python - client server connection - simple web chat #HowTo #Question #Tech https://t.co/cr94MNhnYX</t>
  </si>
  <si>
    <t>#Python with Seleneium Webdriver, reading a button and saving its text #HowTo #Question #Tech https://t.co/GdrYVXxJkW</t>
  </si>
  <si>
    <t>"gevent in python?" via #Python https://t.co/pegMbfXuvC</t>
  </si>
  <si>
    <t>John Hubner</t>
  </si>
  <si>
    <t>#Python Programmer is out! https://t.co/E44CK4oYjb Stories via @apcelent @WesWeaver @tomy_koch</t>
  </si>
  <si>
    <t>Pittsburgh, PA</t>
  </si>
  <si>
    <t>Jack of All Trades, Master of None. Super Rockstar Ninja Software Developer, amateur comedian, and professional procrastinator.</t>
  </si>
  <si>
    <t>RT @johnhubner: #Python Programmer is out! https://t.co/E44CK4oYjb Stories via @apcelent @WesWeaver @tomy_koch</t>
  </si>
  <si>
    <t>Pierre-Olivier Bonin</t>
  </si>
  <si>
    <t>Attending @confooca live! #IoT #api #dotnet #python #RaspberryPi https://t.co/bMxWUUyCxz</t>
  </si>
  <si>
    <t>Montreal</t>
  </si>
  <si>
    <t>Hello! I work for the Internet. I'm also a .NET and iOS developer, snowboarder, mountain biker.</t>
  </si>
  <si>
    <t>#python - client server connection - simple web chat #Tech #Internet #Programming https://t.co/LbPgHkwGBL</t>
  </si>
  <si>
    <t>#Python with Seleneium Webdriver, reading a button and saving its text #Tech #Internet #Programming https://t.co/saiJKNwQ03</t>
  </si>
  <si>
    <t>Portland Tech Events</t>
  </si>
  <si>
    <t>Who is looking forward to Portland #Python User Group meetup tonight? Details: https://t.co/LUYfxLtLLq</t>
  </si>
  <si>
    <t>PDX Tech Events</t>
  </si>
  <si>
    <t>Jared Haer</t>
  </si>
  <si>
    <t>Script Drawing - 4000+ GIMP Python Drawings in under 10 Minutes #python #GIMP https://t.co/coI2AYVL2j</t>
  </si>
  <si>
    <t>Omaha NE</t>
  </si>
  <si>
    <t>Help Desk Analyst. Web Analyst. Citrix. Advertising. SEM. SEO. Computer and Xbox repair extraordinaire. Android something.</t>
  </si>
  <si>
    <t>#Python #SQL skills? @Counsyl is seeking a Sr Front End Engineer to join their team in SF &gt;&amp;gt; https://t.co/pZcMkB4CrK https://t.co/o48NqPUSAM</t>
  </si>
  <si>
    <t>Mathias Golombek</t>
  </si>
  <si>
    <t>Bring #RLang, #Python, #Java, #Lua code to the data and let it run in RAM with @EXASOLAG: https://t.co/bFA4YKJrRY https://t.co/y2cenUl4bP</t>
  </si>
  <si>
    <t>SocialOomph</t>
  </si>
  <si>
    <t>CTO @EXASOLAG - world's fastest database for BigData &amp; data warehouse analytics &amp; data-driven businesses | passionate enthusiast, dad of 3, runner, food lover</t>
  </si>
  <si>
    <t>Introducing Dask distributed https://t.co/5nYfD3TXEG #python #dask</t>
  </si>
  <si>
    <t>☬ αηgєł ☬</t>
  </si>
  <si>
    <t>RT @EXAGolo: Bring #RLang, #Python, #Java, #Lua code to the data and let it run in RAM with @EXASOLAG: https://t.co/bFA4YKJrRY https://t.co…</t>
  </si>
  <si>
    <t>Otherbots</t>
  </si>
  <si>
    <t>Taking the next step with #RaspberryPi dev. Checking out #Python this week and getting a feel for how it plays with… https://t.co/Ps3RI5TSN2</t>
  </si>
  <si>
    <t>interwebs</t>
  </si>
  <si>
    <t>A bot that searches Instagram for images of other robots on a quest of self-discovery. You can blame @aandnota.</t>
  </si>
  <si>
    <t>Mainline S.r.l.</t>
  </si>
  <si>
    <t>"Il terzo incomodo" #Python, che piace sempre più ai programmatori https://t.co/MBunUsD8FZ @Cor_Com</t>
  </si>
  <si>
    <t>Guidiamo le imprese verso processi digitali: consulenza IT e software di firma #grafometrica e #digitale, gestione #PEC. La semplicità è un traguardo!</t>
  </si>
  <si>
    <t>Marie-Louise Timcke</t>
  </si>
  <si>
    <t>RT @journocode: ready for some coding in #python? journocoder @SuiOni is hosting tonights meeting. join our slack team for more info https:…</t>
  </si>
  <si>
    <t>#ddj-student at TU Dortmund, president of the awesome @journocode-gang. at the moment happy intern @srfdata #rstats #datenliebe</t>
  </si>
  <si>
    <t>"Scalable #API with @Djangoproject" @darshikajoshi &amp; @shahkakshil talk at Feb'16 #mumtechup #python. Free tickets: https://t.co/PgKvjbBrkl</t>
  </si>
  <si>
    <t>Adam Heagy</t>
  </si>
  <si>
    <t>We're #hiring! #Software / Data Engineer - #Python, #Django, #Flask, #AWS &amp; #SQL - change the world of healthcare wo…https://t.co/RMCkD0uYK5</t>
  </si>
  <si>
    <t>LinkedIn</t>
  </si>
  <si>
    <t>Digital, Interactive, Creative, IT Staffing and Recruitment Specialist</t>
  </si>
  <si>
    <t>Kira Schacht</t>
  </si>
  <si>
    <t>Dortmund, Germany</t>
  </si>
  <si>
    <t>studying data driven journalism in dortmund. doing data stuff @journocode. #datenliebe</t>
  </si>
  <si>
    <t>Paolo Melchiorre</t>
  </si>
  <si>
    <t>Computer engineer expert in Free Software and Web Applications</t>
  </si>
  <si>
    <t>RT @PythonWeekly: Introducing Dask distributed https://t.co/5nYfD3TXEG #python #dask</t>
  </si>
  <si>
    <t>Dave Smith</t>
  </si>
  <si>
    <t>ArcGIS Pro 1.2 will support pip for managing #python packages #FedGIS</t>
  </si>
  <si>
    <t>Twitter for iPad</t>
  </si>
  <si>
    <t>Many hats : Geospatial / Remote Sensing / Surveying / Mapping / Environmental / Planning / Sustainability / Data Science / Enterprise Architecture</t>
  </si>
  <si>
    <t>RT @JobHero_io: #Python #SQL skills? @Counsyl is seeking a Sr Front End Engineer to join their team in SF &gt;&amp;gt; https://t.co/pZcMkB4CrK https:…</t>
  </si>
  <si>
    <t>Chrales</t>
  </si>
  <si>
    <t>I always get coder's block with #Python. "There's probably a way to write this in a single line..."</t>
  </si>
  <si>
    <t>#Python Click: make option depend on previous option #HowTo #Question #Tech https://t.co/k3wzTqM0ZG</t>
  </si>
  <si>
    <t>Zach</t>
  </si>
  <si>
    <t>Welcome to the Python Engineering blog https://t.co/SS0ZcNLw5h Very cool to see that the #MSFT #Python engineers are writing a blog!</t>
  </si>
  <si>
    <t>Arlington, Texas</t>
  </si>
  <si>
    <t>Networking/PC Tech | Web/Graphic Designer | Gym Junkie | ENFJ | League of Legends - IGN: Golgothus</t>
  </si>
  <si>
    <t>#Python Click: make option depend on previous option #Tech #Internet #Programming https://t.co/BEqrlsgvdH</t>
  </si>
  <si>
    <t>Gianluca Fiore</t>
  </si>
  <si>
    <t>Practical #Python porting for systems programmers https://t.co/FsyzcdFzqn</t>
  </si>
  <si>
    <t>Danzica, Pomerania</t>
  </si>
  <si>
    <t>I cook, mix, drink, code and swear (often at the same time). Permanent status: kitemmuort overflow</t>
  </si>
  <si>
    <t>Clean Code Fountain</t>
  </si>
  <si>
    <t>"Now is better than never. Although never is often better than *right* now." zen of #python https://t.co/JCD6HXGC3s #cleancode</t>
  </si>
  <si>
    <t>Thoughts &amp; insights into writing #cleancode</t>
  </si>
  <si>
    <t>rudolf+mittelmann</t>
  </si>
  <si>
    <t>using #RaspberryPi at #Danube with WiFi, #weaved #webiopi #python #pushbullet &amp; solar power. #IoT mobile fun #RasPi https://t.co/4QdC5PAQ1a</t>
  </si>
  <si>
    <t>Die Ruine</t>
  </si>
  <si>
    <t>Interested in Linux, Apple Mac, Photo (Foto), Love, Shisha (Hookah), Writing</t>
  </si>
  <si>
    <t>Python Weekly - Issue 232 https://t.co/xOG8x4I9sk #python #django #cython #scrapy #pandas #ipython #data #science #zato</t>
  </si>
  <si>
    <t>Mauricio Souza Lima</t>
  </si>
  <si>
    <t>Rio de Janeiro, Brasil</t>
  </si>
  <si>
    <t>Arkanjuca</t>
  </si>
  <si>
    <t>sdnrocks</t>
  </si>
  <si>
    <t>ZeusLEE</t>
  </si>
  <si>
    <t>Bizim intikamımız, çocuklarımızın atacağı kahkahalar olacak! -Bobby Sands</t>
  </si>
  <si>
    <t>Jack</t>
  </si>
  <si>
    <t>simjackposter</t>
  </si>
  <si>
    <t>digital abyss, reality</t>
  </si>
  <si>
    <t>http://t.co/Msg3cGyYfA I'm just me, that changes, sometimes faster than even I am comfortable with. this account is managed by a bot.f4f</t>
  </si>
  <si>
    <t>Luis Claudio</t>
  </si>
  <si>
    <t>RT @hmCuesta: New book!Learning Predictive Analytics with #Python by @asis64 https://t.co/hXt7vqWx7X #bigdata #predictiveanalytics https://…</t>
  </si>
  <si>
    <t>Curitiba/Brazil</t>
  </si>
  <si>
    <t>Linux sysadmin, BigData engineer, Python/Java/C++ developer, cloud computing and Openstack enthusiast, data scientist, runner and blogger.</t>
  </si>
  <si>
    <t>Ben Conklin</t>
  </si>
  <si>
    <t>Use Python notebooks to script GeoAnalytics on the Server. #FedGIS #python</t>
  </si>
  <si>
    <t>Redlands, CA</t>
  </si>
  <si>
    <t>Love building GIS Solutions for Defense. Like to solve real problems and do not like artificial boundaries.</t>
  </si>
  <si>
    <t>Jesse Maegan</t>
  </si>
  <si>
    <t>this might explain why i love #python so much. https://t.co/0ZpmdeqY0U</t>
  </si>
  <si>
    <t>Frisco, TX</t>
  </si>
  <si>
    <t>communicator of data, designer of visualizations, manager of projects, master of R, reader of fiction, climber of mountains.</t>
  </si>
  <si>
    <t>FreeVideoTutorials</t>
  </si>
  <si>
    <t>FreeTutsForYou</t>
  </si>
  <si>
    <t>I tweet about the free video tutorials available for c, c++, java programming languages.</t>
  </si>
  <si>
    <t>#Outlook https://t.co/asiZ3QgEzK #Python #MachineLearning #AI #Trading #Forex #ForexTrading $SPY $SPX $EURUSD https://t.co/RaNu0jRZX0</t>
  </si>
  <si>
    <t>cflib - Crazyflie python driver pypi: https://t.co/ZC0mAmCEYV www: https://t.co/TBu2Sq58jl #python</t>
  </si>
  <si>
    <t>Toptal</t>
  </si>
  <si>
    <t>#SOA with AWS Lambda: A Step-by-Step Tutorial https://t.co/cU1ua70spJ #AWS #AWSLambda #AmazonS3 #Python https://t.co/81mwAWjTbB</t>
  </si>
  <si>
    <t>Toptal is an elite network of freelancers that enables businesses to connect with the top 3% of software engineers and designers in the world.</t>
  </si>
  <si>
    <t>Harlan Milkove</t>
  </si>
  <si>
    <t>TIL the tradition of 80 character line limits dates back to punch cards which commonly had 80 columns. #TBT #TIL #python #programming</t>
  </si>
  <si>
    <t>Manhattan, NY</t>
  </si>
  <si>
    <t>Startup veteran. Founder at @menageriedotme. Entrepreneur. EDM aficionado. Urban cyclist. New Yorker.</t>
  </si>
  <si>
    <t>Lowerplace Primary</t>
  </si>
  <si>
    <t>Lowerplace Primary School - an outstanding, vibrant, inspiring primary school in Rochdale where everyone has a chance to SHINE!</t>
  </si>
  <si>
    <t>Dataiku</t>
  </si>
  <si>
    <t>#SQL, #R, and #Python: Why Data Wrangling in ONLY Code is Inefficient &gt; https://t.co/bZzoGeBRoR #BigData https://t.co/WP9b9nyX6e</t>
  </si>
  <si>
    <t>From Raw Data to Smart Applications. Quickly with Dataiku DSS. #software #dss #machinelearning #datascience #bigdata #advancedanalytics</t>
  </si>
  <si>
    <t>cms</t>
  </si>
  <si>
    <t>Skirts- https://t.co/ez4BE8irr0 #pretty #python #puppy #pinterest #pink #pictures #party #painting #paris #ps4 #player #playstation #play</t>
  </si>
  <si>
    <t>CmsSupport24/7 is a web development company. We offer several services in open source cms like wordpress, joomla, magento and search engine optimization (SEO).</t>
  </si>
  <si>
    <t>The Data Science of Firing Your (NHL) Coach &gt;&amp;gt; https://t.co/QUiBobv909 via @YhatHQ #python</t>
  </si>
  <si>
    <t>Radhika Arora</t>
  </si>
  <si>
    <t>Hiring Now: Python/Django Developer in New York, NY https://t.co/HV2IlwOLTD #jobs #python #django</t>
  </si>
  <si>
    <t>Seeking best in class developers for a variety of roles in the financial technology community https://t.co/GKGFL07Igv</t>
  </si>
  <si>
    <t>RT @py3k: cflib - Crazyflie python driver pypi: https://t.co/ZC0mAmCEYV www: https://t.co/TBu2Sq58jl #python</t>
  </si>
  <si>
    <t>Shahin Ghasemi</t>
  </si>
  <si>
    <t>Behold the programmable robot, u can even use python on this!! #python #robot #lego by eng_menawer https://t.co/3u0FNy384d</t>
  </si>
  <si>
    <t>Iran</t>
  </si>
  <si>
    <t>33 years old , I'm Dentist &amp; work in my personal office .</t>
  </si>
  <si>
    <t>RT @PythonWeekly: Python Weekly - Issue 232 https://t.co/xOG8x4I9sk #python #django #cython #scrapy #pandas #ipython #data #science #zato</t>
  </si>
  <si>
    <t>ESEngine – Elasticsearch Object Doctype Mapper for Python https://t.co/eGpsL25kKH #python</t>
  </si>
  <si>
    <t>Tech Tips</t>
  </si>
  <si>
    <t>Service Oriented Architecture with AWS Lambda: A Step-by-Step Tutorial #AWS #AWSLambda #AmazonS3 #Python #SOA https://t.co/gFYbUmBgXV</t>
  </si>
  <si>
    <t>Daily tech tips and updates</t>
  </si>
  <si>
    <t>Julianna Ribera</t>
  </si>
  <si>
    <t>RT @dataiku: #SQL, #R, and #Python: Why Data Wrangling in ONLY Code is Inefficient &gt; https://t.co/bZzoGeBRoR #BigData https://t.co/WP9b9nyX…</t>
  </si>
  <si>
    <t>Catalunya</t>
  </si>
  <si>
    <t>Biòloga;//Metge/Analista TICs Sento curiositat Biologist://Physician/BigData</t>
  </si>
  <si>
    <t>gevent in python? https://t.co/8pDXJBUrru #Python Hi guys, What exactly gevent in python is? how to use it? Need simple explanation. Th…</t>
  </si>
  <si>
    <t>ESEngine - Elasticsearch Object Doctype Mapper for Python https://t.co/K0BXZDKcJq #Python submitted by /u/rochacbruno[link] [comment…</t>
  </si>
  <si>
    <t>My open source python personal assistant https://t.co/6DPSF3JXTq #Python submitted by /u/willbeddow[link] [comments]</t>
  </si>
  <si>
    <t>Renato Umeton</t>
  </si>
  <si>
    <t>Cambridge, MA</t>
  </si>
  <si>
    <t>Data Science, Machine Learning, Optimization, Biostatistics</t>
  </si>
  <si>
    <t>Mario Sergio</t>
  </si>
  <si>
    <t>Florianópolis, Santa Catarina</t>
  </si>
  <si>
    <t>Computer Scientist ;)</t>
  </si>
  <si>
    <t>#Python Selenium Find Element by Name #HowTo #Question #Tech https://t.co/t8Wxl23LF2</t>
  </si>
  <si>
    <t>massumo</t>
  </si>
  <si>
    <t>Demokrat, Kürt, Türk, Arap, Öteki [ 'Linux', 'Python', 'Web App', 'Cyber Security', '@octosec', 'Prodaft' ] https://t.co/8pztvs7Lp0 | https://t.co/5CiAXOUYWG</t>
  </si>
  <si>
    <t>"ESEngine - Elasticsearch Object Doctype Mapper for Python" via #Python https://t.co/LAD65hKXUO</t>
  </si>
  <si>
    <t>misspeachy.com</t>
  </si>
  <si>
    <t>Jaeger #python #print #blouse £150 off Few remaining https://t.co/jREtRS4Lfw #SmartSocial #UKSOPRO #Queenof https://t.co/962RO0DicQ</t>
  </si>
  <si>
    <t>https://t.co/dzhnHtgKhC Multi award winning UK ladies designer fashion store. Up to 75% off SALE. Follow us for the latest fashion news &amp; trends</t>
  </si>
  <si>
    <t>Thomas Thus</t>
  </si>
  <si>
    <t>Born in a very curious [#Digital #Brandcontent #Socialmedia #App #Mobile #BigData #WTF #Arminvanburren #Muse #Tagada] world</t>
  </si>
  <si>
    <t>#python #stata @BuildZoom is seeking a Data Acquisition &amp; Quality Mgr to join their team in… https://t.co/XdbFQnweXO https://t.co/VxqzZQ9RrK</t>
  </si>
  <si>
    <t>#Python Selenium Find Element by Name #Tech #Internet #Programming https://t.co/TKkqByeIaZ</t>
  </si>
  <si>
    <t>Eva</t>
  </si>
  <si>
    <t>エヴァ| 25|♀|血液型：A|マルチメディア＆Webデザイン学生|ヴィジュアル系|アニメ、マンガ中国の漫画|犯罪小説|ドラマシリーズ|書きます|クッキング|</t>
  </si>
  <si>
    <t>[b0t] How can I better mange running code in complex projects? https://t.co/CzZ8RlOZTZ #python</t>
  </si>
  <si>
    <t>Mike Goffin</t>
  </si>
  <si>
    <t>Durham North Carolina</t>
  </si>
  <si>
    <t>cyber security engineer, graphic artist, hacker. tweets are my own.</t>
  </si>
  <si>
    <t>Patricia Aghayev</t>
  </si>
  <si>
    <t>RT @JobHero_io: #python #stata @BuildZoom is seeking a Data Acquisition &amp; Quality Mgr to join their team in… https://t.co/XdbFQnweXO https:…</t>
  </si>
  <si>
    <t>Panamá</t>
  </si>
  <si>
    <t>programación, shotokan, cocina, dormir, mascotas, música (90, 80, 70, etc)</t>
  </si>
  <si>
    <t>David D. Rude II</t>
  </si>
  <si>
    <t>I write code that executes code.</t>
  </si>
  <si>
    <t>Sentia Health&amp;Beauty</t>
  </si>
  <si>
    <t>RT @mpdesignerwear: Jaeger #python #print #blouse £150 off Few remaining https://t.co/jREtRS4Lfw #SmartSocial #UKSOPRO #Queenof https://t.c…</t>
  </si>
  <si>
    <t>England,UK</t>
  </si>
  <si>
    <t>Sentia Health &amp; Beauty sell Quality Products with Quality Ingredients. Organic &amp; Natural. Cruelty Free! PLEASE LIKE US ON FACEBOOK</t>
  </si>
  <si>
    <t>Rahul Chaudhary</t>
  </si>
  <si>
    <t>New York</t>
  </si>
  <si>
    <t>Geek turned Entrepreneur. Founder at http://t.co/NHd1hDxhKr, Founder @NoSQLWeekly, @PythonWeekly and @FounderWeekly</t>
  </si>
  <si>
    <t>Simarjeetsingh</t>
  </si>
  <si>
    <t>Simarjeet Bot</t>
  </si>
  <si>
    <t>mumbai</t>
  </si>
  <si>
    <t>Blake Ledden</t>
  </si>
  <si>
    <t>Feeling like continuing #Python and maybe checking out #SQL or #C to add on. Maybe #Javascript. It's up in the air, don't want to overload.</t>
  </si>
  <si>
    <t>Learning #Python</t>
  </si>
  <si>
    <t>nipun batra</t>
  </si>
  <si>
    <t>Delhi</t>
  </si>
  <si>
    <t>PhD Scholar at IIIT Delhi, Machine Learning, Pythonista, Open Source, Smart Buildings, Raspberry Pi, Visualization</t>
  </si>
  <si>
    <t>Andrew Baidu</t>
  </si>
  <si>
    <t>Visual Recognition</t>
  </si>
  <si>
    <t>Beijing</t>
  </si>
  <si>
    <t>Having been working in Baidu for several years, in the special group of Text Generation and Summarization. (Unfortunately) not that Andrew you saw on TV :P</t>
  </si>
  <si>
    <t>AdventuresInBlender</t>
  </si>
  <si>
    <t>United Kingdom, England</t>
  </si>
  <si>
    <t>All things Blender 3D</t>
  </si>
  <si>
    <t>Pages of Tools</t>
  </si>
  <si>
    <t>West Sussex England</t>
  </si>
  <si>
    <t>We sell a huge range of hobby tools to suit most hobbies. We also stock auto and DIY tools but mini tools rule https://t.co/rh7J9sMDTV https://t.co/hLtmpdZPtS</t>
  </si>
  <si>
    <t>Writing a simple Digit Recognizer using Support Vector Machines in #Python https://t.co/oemqv7o8PD</t>
  </si>
  <si>
    <t>Learned about live, collaborative# iPython notebooks: "Livebook" @github https://t.co/o2JzDS5LW8 #python #datascience</t>
  </si>
  <si>
    <t>"PyPy improvements for CPython C API" via #Python https://t.co/9VJDrTt3IM</t>
  </si>
  <si>
    <t>KaizenRH</t>
  </si>
  <si>
    <t>Buscamos Developers para formar Tech Hub única en Latam! #JAVA #PYTHON #CSharp https://t.co/wbPd5Y8Gf8</t>
  </si>
  <si>
    <t>C.A.B.A</t>
  </si>
  <si>
    <t>------Imposible?...Solo lleva un poco más de Tiempo!!-------- Soluciones de capital humano.</t>
  </si>
  <si>
    <t>The Denim Dealer</t>
  </si>
  <si>
    <t>e-Seller of designer duds, mostly denim. Will always return follows and retweets for other sellers. #Retweet links can be found under my photos.TIA . =) #eBay</t>
  </si>
  <si>
    <t>Igor P. Leroy</t>
  </si>
  <si>
    <t>Belo Horizonte, Brazil</t>
  </si>
  <si>
    <t>Desenvolvedor, curioso tecnológico, cruzeirense, andarilho, ex-vegetariano e astrônomo nos fins de semana.</t>
  </si>
  <si>
    <t>#python cubicweb-embed 0.3.1: UNKNOWN https://t.co/PV2UolRP3h</t>
  </si>
  <si>
    <t>#python birdbody 0.2.2: A tool for the creation of twitter corpora in CSV, XML or TXT format. https://t.co/Wlj08yVW0E</t>
  </si>
  <si>
    <t>#python rig 0.13.3: A collection of tools for developing SpiNNaker applications https://t.co/RQwa2CLM3E</t>
  </si>
  <si>
    <t>#python django-groups-manager 0.3.0: Django groups manager through django-mptt. https://t.co/4zF98xEBny</t>
  </si>
  <si>
    <t>#python cpyMSpec 0.0.3: isotope pattern calculator for small molecules https://t.co/idmcAbPuNM</t>
  </si>
  <si>
    <t>#python ShadowOui 1.3.18: Shadow, Ray-tracing simulation software https://t.co/L1aUZD0ciB</t>
  </si>
  <si>
    <t>#python snakebite 2.7.8: Pure Python HDFS client https://t.co/iq4q156Qdj</t>
  </si>
  <si>
    <t>#python sxclient 0.15.2: Python SX client-side library https://t.co/0D72bRG75G</t>
  </si>
  <si>
    <t>#python supervisor-logstash-notifier 0.1.1: Stream supervisor events to a logstash instance https://t.co/XThZAPvRer</t>
  </si>
  <si>
    <t>Nerdo Lepes</t>
  </si>
  <si>
    <t>Felicidonia=Unquillo, resiste</t>
  </si>
  <si>
    <t>prefiero conjugar en primera persona, pero del plural...</t>
  </si>
  <si>
    <t>João Júnior</t>
  </si>
  <si>
    <t>JJ</t>
  </si>
  <si>
    <t>Néstor Arturo</t>
  </si>
  <si>
    <t>Instructor y entusiasta en XAML, .Net, C# y otras tecnologías. No soy anti uribista pero tampoco me gusta que me metan los dedos en la boca.</t>
  </si>
  <si>
    <t>Python Queue How-To https://t.co/5gsF7igRVF #python #pythonqueue #queue #adt #abstractdatatype</t>
  </si>
  <si>
    <t>Beatcoding</t>
  </si>
  <si>
    <t>RT @toptalllc: #SOA with AWS Lambda: A Step-by-Step Tutorial https://t.co/cU1ua70spJ #AWS #AWSLambda #AmazonS3 #Python https://t.co/81mwAWj…</t>
  </si>
  <si>
    <t>Everywhere</t>
  </si>
  <si>
    <t>We have more than 15 years of experience in technology and we feel the same passion of the first day. Welcome to our world.</t>
  </si>
  <si>
    <t>Steve Seow</t>
  </si>
  <si>
    <t>Skilled in #ios #aws #rubyonrails #android #python? Wanna work for @Microsoft in #slc or #losangeles? Ping me</t>
  </si>
  <si>
    <t>Husband. Dad. Author. Ph.D. Brown University. Microsoft. Applies tech &amp; psychology to verticals like MMA, music, etc. to solve problems, do good, make $...</t>
  </si>
  <si>
    <t>sphinx_seznam_theme - A configurable sidebar-enabled Sphinx theme pypi: https://t.co/u9B7i70Flw www: https://t.co/Y6kYcrpPe3 #python</t>
  </si>
  <si>
    <t>Filipe Ximenes</t>
  </si>
  <si>
    <t>Recife, Brasil.</t>
  </si>
  <si>
    <t>bike enthusiast, software developer, partner at Vinta Software Studio</t>
  </si>
  <si>
    <t>Wormhole</t>
  </si>
  <si>
    <t>7 Steps to Mastering #machinelearning with #python : https://t.co/f0q4kwqdid #BigData #DataScience #DataScientist</t>
  </si>
  <si>
    <t>Bombay</t>
  </si>
  <si>
    <t>Hi, I am Shashwat | A Server Admin guy turning into #DataScientist | Hope to keep on turning and then, turn some more. #BigData</t>
  </si>
  <si>
    <t>chandan kumar</t>
  </si>
  <si>
    <t>Pune (India)</t>
  </si>
  <si>
    <t>Software Engineer at Red Hat Certification</t>
  </si>
  <si>
    <t>Stijn Casneuf</t>
  </si>
  <si>
    <t>I think I can add object/face recognition to my list now #python #machinelearning #DataScience #videoanalytics https://t.co/EtGV6zfcSn</t>
  </si>
  <si>
    <t>Data scientist at Accenture, part time adventurer</t>
  </si>
  <si>
    <t>Roosi Mägi</t>
  </si>
  <si>
    <t>RT @IEBigData: Countdown: 8 days to #ieDataDisrupt!! An important message from Ignacio Larru, #Python developer, investor, mentor.. https:/…</t>
  </si>
  <si>
    <t>Adil</t>
  </si>
  <si>
    <t>Kazakhstan</t>
  </si>
  <si>
    <t>CTO, co-founder of Aviata.kz. Autodidact.</t>
  </si>
  <si>
    <t>RT @py3k: sphinx_seznam_theme - A configurable sidebar-enabled Sphinx theme pypi: https://t.co/u9B7i70Flw www: https://t.co/Y6kYcrpPe3 #pyt…</t>
  </si>
  <si>
    <t>Designer Exotics</t>
  </si>
  <si>
    <t>#snakes #snakelover #snakesofinstagram #python #pythonsofinstagram #morelia #moreliapythons #carpetpython #reptile … https://t.co/eIlngMYQNL</t>
  </si>
  <si>
    <t>A couple of friends taking our passion for snakes to the next level! Our focuses are Carpet Pythons and Blood Pythons with a few side projects.</t>
  </si>
  <si>
    <t>SarahD @BehaviorDots</t>
  </si>
  <si>
    <t>.@TalkPython @jessejiryudavis- Great insight on the power of #pycharm for debugging #python https://t.co/JupKER1HI2</t>
  </si>
  <si>
    <t>Behavior Insights, #DataMining, #Pythonista, Soc Sci Researcher @curiositybits. Creating DIY datamining youtube tutorials for beginners: https://t.co/jr34dIeRzx</t>
  </si>
  <si>
    <t>pocket-cli - A terminal application for Pocket https://t.co/ZnlFRKP2NI #python</t>
  </si>
  <si>
    <t>Git Lotto</t>
  </si>
  <si>
    <t>onedrive-sdk-python: OneDrive SDK for Python! https://t.co/jkxfzDfXr9 #Python https://t.co/XsR9EhBTPc</t>
  </si>
  <si>
    <t>gitlotto</t>
  </si>
  <si>
    <t>Discover software hosted on GitHub from the comfort of your Twitter feed. Created by @david_biehl</t>
  </si>
  <si>
    <t>JuliaLangEs</t>
  </si>
  <si>
    <t>RT @LorenaABarba: Get the @NumFOCUS newsletter for updates on #Jupyter, @JuliaLanguage, @PyData, @swcarpentry and more. #Python https://t.c…</t>
  </si>
  <si>
    <t>Distrito Federal, México</t>
  </si>
  <si>
    <t>Comunidad de usuarios en español de Julia http://t.co/j5DDjyknKZ http://t.co/ARJbs6QWAw http://t.co/pZEgiqgH3D http://t.co/vfW2LLsUyJ</t>
  </si>
  <si>
    <t>The Julia Language</t>
  </si>
  <si>
    <t>MIT</t>
  </si>
  <si>
    <t>Julia is a high-level, high-performance dynamic programming language for technical computing.</t>
  </si>
  <si>
    <t>Ismael V. C.</t>
  </si>
  <si>
    <t>México</t>
  </si>
  <si>
    <t>https://t.co/slfLZnjPeh https://t.co/si06wIaWgf http://t.co/s6wmnY3vWw</t>
  </si>
  <si>
    <t>RT @Iam_urdata: 7 Steps to Mastering #machinelearning with #python : https://t.co/f0q4kwqdid #BigData #DataScience #DataScientist</t>
  </si>
  <si>
    <t>Pavel Perestoronin</t>
  </si>
  <si>
    <t>Регистронезависимый LIKE в SQLite для кириллицы #sqlite #python https://t.co/gtTa9KZKWm</t>
  </si>
  <si>
    <t>Haarlem, North Holland</t>
  </si>
  <si>
    <t>Intersys</t>
  </si>
  <si>
    <t>Don't miss our #datascientist @datanerd_jaya's webinar on March 10th! Register here: https://t.co/tzL4OVlF7y #bigdata #python</t>
  </si>
  <si>
    <t>Sendible App</t>
  </si>
  <si>
    <t>Austin, Texas</t>
  </si>
  <si>
    <t>We're a leading Big Data and Information Management, Business Intelligence and Analytics and Application Development firm focused on providing value solutions.</t>
  </si>
  <si>
    <t>Mario Gonzales</t>
  </si>
  <si>
    <t>Twitter for Windows</t>
  </si>
  <si>
    <t>Kenosha, WI.</t>
  </si>
  <si>
    <t>Designer,Graff writer,artist</t>
  </si>
  <si>
    <t>Morgan Aubert</t>
  </si>
  <si>
    <t>RT @RealPython: Django-machina - a Django forum engine for building powerful community-driven websites https://t.co/9dH64rL8Ox by @ellmetha…</t>
  </si>
  <si>
    <t>Montréal, Québec</t>
  </si>
  <si>
    <t>Full-time geek, Djangonaut &amp; Pythonista. Software engineer @SFLinux.</t>
  </si>
  <si>
    <t>endovelicus</t>
  </si>
  <si>
    <t>RT @pythontrending: ntm-lasagne - Neural Turing Machines library in Theano with Lasagne https://t.co/Uosqqz0sJM #library #python</t>
  </si>
  <si>
    <t>North Atlantic Realm</t>
  </si>
  <si>
    <t>neurology neuroinformatics</t>
  </si>
  <si>
    <t>Windows Phone +</t>
  </si>
  <si>
    <t>Projeto Eu Posso Programar da Microsoft https://t.co/Bfx80Am46k #Microsoft #EuPossoProgramar #HoraDoCódigo #Python https://t.co/Y3m312blex</t>
  </si>
  <si>
    <t>Acompanhe conosco os lançamentos, dicas de aplicativos e muito mais! Tudo que você precisa para seu Windows Phone.</t>
  </si>
  <si>
    <t>Joseph Sirosh</t>
  </si>
  <si>
    <t>Learn how to invoke compiled code via #AzureML #R &amp; #Python Script Modules. : https://t.co/55srsF5pEz #DataScience https://t.co/LIxLNUbfUQ</t>
  </si>
  <si>
    <t>Bellevue, Washington</t>
  </si>
  <si>
    <t>Sharing thoughts about big data, data science, machine learning &amp; advanced analytics. Day job: Corp VP for the Data Group at Microsoft.</t>
  </si>
  <si>
    <t>Harris Brakmic</t>
  </si>
  <si>
    <t>RT @josephsirosh: Learn how to invoke compiled code via #AzureML #R &amp; #Python Script Modules. : https://t.co/55srsF5pEz #DataScience https…</t>
  </si>
  <si>
    <t>Troisdorf, Germany</t>
  </si>
  <si>
    <t>Senior Software Engineer @advarics</t>
  </si>
  <si>
    <t>RT @PythonWeekly: pocket-cli - A terminal application for Pocket https://t.co/ZnlFRKP2NI #python</t>
  </si>
  <si>
    <t>Jerome Adam</t>
  </si>
  <si>
    <t>Principal Solution Consultant @Oracle Marketing Cloud @OracleMktgCloud</t>
  </si>
  <si>
    <t>HPC Guru</t>
  </si>
  <si>
    <t>Parallel Processing With #Python: training class March 4th. https://t.co/VkIwUJ90tM https://t.co/Ehab0fyQC9 #HPC via @TACC</t>
  </si>
  <si>
    <t>Twitterrific</t>
  </si>
  <si>
    <t>Tweets on all things related to High Performance Computing -- systems, interconnects, storage .... (No, my name is not Guru :-)</t>
  </si>
  <si>
    <t>Vincenzo Chiochia</t>
  </si>
  <si>
    <t>#Python and Apache #Hadoop: A State of the Union https://t.co/8ay4Kth0pf</t>
  </si>
  <si>
    <t>GVA | FRA | MUC | VIE | ZRH</t>
  </si>
  <si>
    <t>Executive at @AccentureDigi and Particle Physicist | Big Data Analytics Lead Austria/Germany/Switzerland | Digital, Tech, Science &amp; Space | Views are my own</t>
  </si>
  <si>
    <t>Hieu Tran</t>
  </si>
  <si>
    <t>RT @chiochia: #Python and Apache #Hadoop: A State of the Union https://t.co/8ay4Kth0pf</t>
  </si>
  <si>
    <t>Silicon Valley, CA</t>
  </si>
  <si>
    <t>PhD #Leadership #CloudComputing #IT #DataScience #BigData #DataMining #DataSecurity #MachineLearning #BusinessAnalytics #IoT #Pharma #Science</t>
  </si>
  <si>
    <t>BotJitzu™</t>
  </si>
  <si>
    <t>Learn how to invoke compiled code #AzureML #R &amp; #Python Script Modules. : https://t.co/ErMD1j176B #DataScience https://t.co/dfh1XwYN6H.</t>
  </si>
  <si>
    <t>True @BotJitzu</t>
  </si>
  <si>
    <t>WorldWide</t>
  </si>
  <si>
    <t>(under construction)</t>
  </si>
  <si>
    <t>#Python Bruno Rocha: ESEngine - Elasticsearch Object Doctype Mapper for Python: What is… https://t.co/LkN1aT9378 https://t.co/xmJmwOlhcW</t>
  </si>
  <si>
    <t>#Python Investing using Python: 15 years of forex and CFDs tick data to MongoDB using Python. Part Four: This… https://t.co/FQhRG0Cx5T</t>
  </si>
  <si>
    <t>#Python PyPy Development: C-API Support update: As you know, PyPy can emulate the CPython C API to some extent. In… https://t.co/KtQQrqn5So</t>
  </si>
  <si>
    <t>RT @PythonBooks: #Python Investing using Python: 15 years of forex and CFDs tick data to MongoDB using Python. Part Four: This… https://t.c…</t>
  </si>
  <si>
    <t>James S-U</t>
  </si>
  <si>
    <t>RT @SteveSeow: Skilled in #ios #aws #rubyonrails #android #python? Wanna work for @Microsoft in #slc or #losangeles? Ping me</t>
  </si>
  <si>
    <t>Visit</t>
  </si>
  <si>
    <t>★Orchestrating High-End, High-Performing Marketing Campaigns for Businesses ★CEO of JSU Solutions★The Trail Mix of Social Media Marketing★ #SocialMedia</t>
  </si>
  <si>
    <t>RT @IntersysConsult: Don't miss our #datascientist @datanerd_jaya's webinar on March 10th! Register here: https://t.co/tzL4OVlF7y #bigdata …</t>
  </si>
  <si>
    <t>Jamey Johnston</t>
  </si>
  <si>
    <t>Data Scientist for independent Oil and Gas company. MCP, OCP, ITIL. SAS, R, JMP. MSSQL, Oracle. SQL, .NET, Java. Pro Photog. Loves Kenya, Piano and Singing!</t>
  </si>
  <si>
    <t>ActiveState</t>
  </si>
  <si>
    <t>Vancouver, BC</t>
  </si>
  <si>
    <t>Home of ActivePerl, ActivePython, ActiveTcl language distros + Komodo IDE and Komodo Edit</t>
  </si>
  <si>
    <t>Hello World Program</t>
  </si>
  <si>
    <t>The dangers of writing poetry in an infinite loop... https://t.co/VqkSiY2OUw … #gertrudestein #python #edtech #helloworld</t>
  </si>
  <si>
    <t>Tweets From Text Bot</t>
  </si>
  <si>
    <t>The Hello World</t>
  </si>
  <si>
    <t>Hands-on computer science: Learn the basics of programming, web development and Linux. Educational and entertaining!</t>
  </si>
  <si>
    <t>#Python: Converting string to lowercase/uppercase without using .lower/.upper #HowTo #Question #Tech https://t.co/YK1EO2sD1y</t>
  </si>
  <si>
    <t>#Python static member object of the same defining class type fails isinstance check of a non-member object defined… https://t.co/gxQ2OK9Jfa</t>
  </si>
  <si>
    <t>Treble</t>
  </si>
  <si>
    <t>Making #Python on Apache #Hadoop Easier with #Anaconda and CDH https://t.co/cm0noxv1JT @ContinuumIO @Dzone #opensource</t>
  </si>
  <si>
    <t>#Austin #BayArea #PR agency focused on #B2B • #B2C • #tech • #healthcare • #startup • #enterprise • #VC • Relationships + ideas = results • Now hiring #talent</t>
  </si>
  <si>
    <t>#Python: Converting string to lowercase/uppercase without using .lower/.upper #Tech #Internet #Programming https://t.co/kZWmNgW8XU</t>
  </si>
  <si>
    <t>#Python static member object of the same defining class type fails isinstance check of a non-member object defined… https://t.co/3aaV6NZSRj</t>
  </si>
  <si>
    <t>Blueprint Robotics</t>
  </si>
  <si>
    <t>A video of HEW working on the raspberry pi in #python 2.0! @educatorjedi https://t.co/5vmBq29KxO enjoy!</t>
  </si>
  <si>
    <t>Stoke-On-Trent, UK</t>
  </si>
  <si>
    <t>Nice to meet 'HEW'! A designer &amp; maker of robots for your desktop. Affordable, &amp; easy &amp; fun to use, innovative STEM tools too. Welcome to the world of #Robotics</t>
  </si>
  <si>
    <t>Elizandro Bastian</t>
  </si>
  <si>
    <t>RT @wp_mais: Projeto Eu Posso Programar da Microsoft https://t.co/Bfx80Am46k #Microsoft #EuPossoProgramar #HoraDoCódigo #Python https://t.…</t>
  </si>
  <si>
    <t>Tenzin Kunkyab</t>
  </si>
  <si>
    <t>RT @kushaldas: Register for #dgplug summer training 2016 https://t.co/cyfOrSy6bd #python #linux @fedora It is the 9th year of the training.…</t>
  </si>
  <si>
    <t>Bangalore, India</t>
  </si>
  <si>
    <t>a computer nerd, love photography, food, hanging out.. Tibetan/Bangalorian and a believer in human &amp; animal rights</t>
  </si>
  <si>
    <t>#python walt-node 0.9: WalT (Wireless Testbed) node daemon. https://t.co/SbBcBfB5u0</t>
  </si>
  <si>
    <t>#python iterm2-color-scheme 0.1.2: Command-line color scheme selector for iTerm2 https://t.co/dlt6rlhgsL</t>
  </si>
  <si>
    <t>#python visionarypm 0.3.1: A smarter password manager. https://t.co/SSfFNk9dDL</t>
  </si>
  <si>
    <t>#python spotify-ripper 2.8.0: a small ripper for Spotify that rips Spotify URIs to audio files https://t.co/hO1MiKFAtk</t>
  </si>
  <si>
    <t>#python cubicweb-card 0.5.8: card/wiki component for the CubicWeb framework https://t.co/wluG4wmJiH</t>
  </si>
  <si>
    <t>#python bluepyopt 0.1.98: Bluebrain Python Optimisation Library (bluepyopt) https://t.co/lSCoRHwaoe</t>
  </si>
  <si>
    <t>#python hyperas 0.1.0: Simple wrapper for hyperopt to do convenient hyperparameter optimization for Keras models https://t.co/vMcG1LNpQ9</t>
  </si>
  <si>
    <t>#python D2LValence 1.2.1: D2LValence client library for Python https://t.co/VErGoTidrM</t>
  </si>
  <si>
    <t>#python supra 1.0.10: It's an easy JSON services generator https://t.co/Hxg0KEeQls</t>
  </si>
  <si>
    <t>#python cubicweb-person 1.10.1: person component for the CubicWeb framework https://t.co/3qWDyPberd</t>
  </si>
  <si>
    <t>ITProTV</t>
  </si>
  <si>
    <t>#Python training will be recorded LIVE 3/5-6 starting at 9am EST. You asked, we deliver! #ITProTV #ITtraining https://t.co/AK6Uk472UN</t>
  </si>
  <si>
    <t>Gainesville, FL</t>
  </si>
  <si>
    <t>Educating &amp; entertaining - live streaming shows where people learn about #IT to prepare for #certifications. For support issues email support@itpro.tv.</t>
  </si>
  <si>
    <t>SeleniumBase</t>
  </si>
  <si>
    <t>https://t.co/gQUXJ3GI0e on @GitHub - A powerful automation platform that's easy to use. Learn to love #automation today! #Python #OpenSource</t>
  </si>
  <si>
    <t>Massachusetts, USA</t>
  </si>
  <si>
    <t>Web Automation Testing Platform - https://t.co/rfyays61gl (On @GitHub)</t>
  </si>
  <si>
    <t>Randy Daw-Ran Liou</t>
  </si>
  <si>
    <t>I just published “Python Truth Value Testing is Awesome” #python #software #development https://t.co/90SxyFmVZE</t>
  </si>
  <si>
    <t>California</t>
  </si>
  <si>
    <t>Coffee enthusiast, software engineer</t>
  </si>
  <si>
    <t>RT @dawranliou: I just published “Python Truth Value Testing is Awesome” #python #software #development https://t.co/90SxyFmVZE</t>
  </si>
  <si>
    <t>Amy Plum</t>
  </si>
  <si>
    <t>It's a good thing I speak Parselmouth! #Python #florida #everglades #captainbobsevergladet… https://t.co/z5HN7CJUiC https://t.co/RulZsPaQBU</t>
  </si>
  <si>
    <t>Amy Plum, author of books. Lives in Paris. Will write for macarons.</t>
  </si>
  <si>
    <t>[11:37:33-03:00] Irradiancia en W/(m².sr) a partir del modelo de @gersolar. #python https://t.co/Q04ZG6rJAK</t>
  </si>
  <si>
    <t>Software Carpentry</t>
  </si>
  <si>
    <t>We teach basic lab skills for scientific computing so that researchers can get more done in less time and with less pain.</t>
  </si>
  <si>
    <t>PyPy improvements for CPython C API https://t.co/ekanJjJx3o #Python submitted by /u/fijal[link] [comments]</t>
  </si>
  <si>
    <t>Smart Electronics</t>
  </si>
  <si>
    <t>Writing a cool Python Script to create new AWS Launch Configerations #AWS #sysadmin #devops #it #tech #python #linu… https://t.co/SBq72q0jx9</t>
  </si>
  <si>
    <t>Brad Atherton</t>
  </si>
  <si>
    <t>Oh , looks like its going to be #python day at work....its almost like were in the 21st century!</t>
  </si>
  <si>
    <t xml:space="preserve">Escondido, Ca </t>
  </si>
  <si>
    <t>Work for CSUSM, and have a terrable case of early adopter-itus with all technology. Remember be smarter than your tech!</t>
  </si>
  <si>
    <t>[b0t] A List of Useful Python Blog https://t.co/iRDIJ1RkqI #python</t>
  </si>
  <si>
    <t>Scott Lee</t>
  </si>
  <si>
    <t>Some people sleep in on Saturday morning. I'll be writing #Python.</t>
  </si>
  <si>
    <t>Developer of #RevelationRTS - follow @ScottFreeCap for updates. The opinions expressed here are solely my own. Tweet is not endorsement.</t>
  </si>
  <si>
    <t>DawgPoundUSA</t>
  </si>
  <si>
    <t>RT @BigAssAddicted: Yeah! Pound that big ass! @videoboyblog #Python #BigAss #Ass http://t.co/oKeSUiYuQ3</t>
  </si>
  <si>
    <t>NYC USA</t>
  </si>
  <si>
    <t>Video Blog from http://t.co/2SR4SpbFFS and http://t.co/3fD6vsAn0c, bringing you guys, updates, videos, photos and news. https://t.co/mOGUNM8EpE</t>
  </si>
  <si>
    <t>Skill creation in a python text based RPG https://t.co/a1AbqA8ANe #python</t>
  </si>
  <si>
    <t>Mark Douglas</t>
  </si>
  <si>
    <t>Does your neighbor keep a python, rattler or a cobra as a pet? Here's how you find out: https://t.co/OO0Zk7aJCO @WFLA #python #cobra</t>
  </si>
  <si>
    <t>Tampa, Florida</t>
  </si>
  <si>
    <t>WFLA-TV serial snooper and writer of wrongs, UTampa adj. instructor, Mizzou alum and family guy. Looking for the next big story. What's yours? mdouglas@wfla.com</t>
  </si>
  <si>
    <t>☕Ahmed Şeref Güneysu</t>
  </si>
  <si>
    <t>Istanbul/Tekirdag</t>
  </si>
  <si>
    <t>✈♨ Aeronautical Engineer</t>
  </si>
  <si>
    <t>BeMyApp</t>
  </si>
  <si>
    <t>Speech recognition &amp; #coding in #python via ggulati https://t.co/pBDYBL48wJ</t>
  </si>
  <si>
    <t>Daily dev content &amp; resources focusing on VR, AR, AI, rapid prototyping, ideation, games dev #BMADevs For event tweets, see @BMAEvents &amp; https://t.co/TdkSQ1Vfd7</t>
  </si>
  <si>
    <t>Bryson Tyrrell</t>
  </si>
  <si>
    <t>@psumacconf Any word on sessions? “Crafting your own GUIs with #Python and #Tkinter” would be great. :D #macadmins</t>
  </si>
  <si>
    <t>Minneapolis, MN</t>
  </si>
  <si>
    <t>Desktop Services Specialist @JAMFSoftware. Here to share some enthusiasm about technology, coding, and of course Apple. Opinions are my own.</t>
  </si>
  <si>
    <t>Erica Gutierrez</t>
  </si>
  <si>
    <t>NYC</t>
  </si>
  <si>
    <t>Economics, tech &amp; computer .Also about some other stuff.</t>
  </si>
  <si>
    <t>Alatitude77</t>
  </si>
  <si>
    <t>Go bridges to Javascript and Python #go #bridges #javascript #python https://t.co/YBBnbOXBtu</t>
  </si>
  <si>
    <t>FeedSpora</t>
  </si>
  <si>
    <t>Valence, Rhône-Alpes</t>
  </si>
  <si>
    <t>research, science, technology, philosophy, anthropology.</t>
  </si>
  <si>
    <t>Centizen</t>
  </si>
  <si>
    <t>Centizen is hiring in Hillsboro, OR #job #python #http https://t.co/noFG8yb4f1</t>
  </si>
  <si>
    <t>Portland,OR</t>
  </si>
  <si>
    <t>Centizen is a premier IT Service firm founded and managed by experienced IT consultants. Job Openings:- http://t.co/7awjrbgCtk</t>
  </si>
  <si>
    <t>fabienv</t>
  </si>
  <si>
    <t>Salut @Lewagonparis ! Seriez-vous intéressé par une session en soirée cours + handson sur le #webscraping ? #scrapy #python #proxy</t>
  </si>
  <si>
    <t>HumanScraper @ {Node/Angular/Python}</t>
  </si>
  <si>
    <t>Libra Leather</t>
  </si>
  <si>
    <t>Python gloves #custommade #libraleatherlab #leather #loveleather #fashionstyle #getunderourskins #python #gloves... https://t.co/rQX5Kxo9Ft</t>
  </si>
  <si>
    <t>Home of The Leather King. Welcome to the official twitter page of Libra Leather, Inc. Stay tuned for an all access look into the world of Libra!!!</t>
  </si>
  <si>
    <t>Tundra Comunicación</t>
  </si>
  <si>
    <t>RT @QueryLA: ¿Eres un Súper Saiyayin en #Python? ¡Regístrate en https://t.co/qs5YnyLjrR y despega tu carrera como #programador! https://t.…</t>
  </si>
  <si>
    <t>Somos una agencia de comunicación. Nos dedicaos a entender tus objetivos para crear estrategias e historias que comuniquen el alma de tu marca</t>
  </si>
  <si>
    <t>GIS Python Questions</t>
  </si>
  <si>
    <t>QGIS: Script is being executed successfully in Python console (within QGIS) but not in a standalone py... https://t.co/Tg7i3xTVQk #python</t>
  </si>
  <si>
    <t>twitterfeed</t>
  </si>
  <si>
    <t>Rakan Alhneiti</t>
  </si>
  <si>
    <t>Berlin, Germany</t>
  </si>
  <si>
    <t>A #Python developer, in love with #Django. also passionate about performant scalable architectures.</t>
  </si>
  <si>
    <t>IT Tweets UK</t>
  </si>
  <si>
    <t>RT @ITProTV: #Python training will be recorded LIVE 3/5-6 starting at 9am EST. You asked, we deliver! #ITProTV #ITtraining https://t.co/AK6…</t>
  </si>
  <si>
    <t>An account to promote all things IT related across the globe. If you would like us to RT your Tweets please include the hashtag #ITTweetsUK for a RT every time!</t>
  </si>
  <si>
    <t>CODE IT</t>
  </si>
  <si>
    <t>C-API Support update: As you know, PyPy can emulate the CPython C API to some extent. In this post I w... https://t.co/FYY5RLfsd1 #python</t>
  </si>
  <si>
    <t>The Ultimate Python Programming Tutorial #python #udemy https://t.co/xmEAWzefpT https://t.co/SaqJHUAA7u</t>
  </si>
  <si>
    <t>LA Django</t>
  </si>
  <si>
    <t>Creating your own IPython-like server https://t.co/HZjYxKYCKI via @pycoders #django #python</t>
  </si>
  <si>
    <t>Santa Monica, CA</t>
  </si>
  <si>
    <t>Dedicated to growing the #Django and #Python scene in Los Angeles. Come to our next meetup - all skill levels welcome!</t>
  </si>
  <si>
    <t>Subhroneel Ganguly</t>
  </si>
  <si>
    <t>How to #export #CSV #data from #Oracle #database using #Python. https://t.co/qYmLY7ouUJ</t>
  </si>
  <si>
    <t>Kolkata</t>
  </si>
  <si>
    <t>palichis</t>
  </si>
  <si>
    <t>Quito</t>
  </si>
  <si>
    <t>Fotógrafo aficionado, amante de la tecnología, uso software libre, doy capacitaciones e instalaciones en SL @Katarisoft</t>
  </si>
  <si>
    <t>"Test-Driven source code search in pytest" via #Python https://t.co/EpuNZX8g2y</t>
  </si>
  <si>
    <t>Webdevers</t>
  </si>
  <si>
    <t>Seattle, WA Build Engineer #CSharp #CPP #Java #JavaScript #Python #Linux</t>
  </si>
  <si>
    <t>webdeversjobposter</t>
  </si>
  <si>
    <t>Webdevers, jobs for web developers, software engineers and other technology positions.</t>
  </si>
  <si>
    <t>Seattle, WA Principal / Lead SDET #Java #JavaScript #Python #AWS #Linux</t>
  </si>
  <si>
    <t>San Diego, CA Mid/Senior Level Software Test Engineer #PHP #Python #SQL #Linux #MySQL #GIT</t>
  </si>
  <si>
    <t>San Francisco, CA Looking for a Senior Full Stack Python Engineer #CSS #HTML #Python #AngularJS #Django</t>
  </si>
  <si>
    <t>Quieres aprender #python de los mejores... no te quedes fuera de #pythonquito https://t.co/jvDLLaLUvt</t>
  </si>
  <si>
    <t>#python underscorepy 0.1.5: _.py Core library https://t.co/uHaMmTV8ME</t>
  </si>
  <si>
    <t>Lexsi</t>
  </si>
  <si>
    <t>RT @mikegrimshaw2: #API for the #EuropeanUnion #EU anti-#phishing initiative. #pyeupi 0.9 | #python #CyberSec https://t.co/CXfV9SKS7O</t>
  </si>
  <si>
    <t>Paris, Montreal, Singapore</t>
  </si>
  <si>
    <t>Born to defend your critical assets Cybercrime mitigation, threat intelligence &amp; Incident response, Audit, Consulting &amp; Training - https://t.co/ULstUz8UAh</t>
  </si>
  <si>
    <t>RT https://t.co/wZMoBKV7oC San Francisco, CA Looking for a Senior Full Stack Python Engineer #CSS #HTML #Python #AngularJS #Django</t>
  </si>
  <si>
    <t>RT @LillianEdmiston: RT https://t.co/wZMoBKV7oC San Francisco, CA Looking for a Senior Full Stack Python Engineer #CSS #HTML #Python #Angul…</t>
  </si>
  <si>
    <t>Dhruv Baldawa</t>
  </si>
  <si>
    <t>RT @hackmum: Feb'16 #mumtechup: @dhruvbaldawa talk will be on making #python faster. Register: https://t.co/4X0MQAatGc</t>
  </si>
  <si>
    <t>Mumbai</t>
  </si>
  <si>
    <t>#Python | #Drupal | GSoC 2011/12 | #Arduino | #polyglot programmer | full stack generalist | bathroom singer | #wanderlust | compensating for laziness with code</t>
  </si>
  <si>
    <t>Alexandre Hugla ©</t>
  </si>
  <si>
    <t>Paris, Ile-de-France</t>
  </si>
  <si>
    <t>#Abuse &amp; #Legal Team @Gandi_net - Fluctuat nec mergitur</t>
  </si>
  <si>
    <t>HEROjobs</t>
  </si>
  <si>
    <t>Senior #Python Engineer needed at Dreamworks @DWAnimation in #LA #NoSQL #Data #Scala #ElasticSearch #Techjobs https://t.co/2Exk0FCeXW</t>
  </si>
  <si>
    <t>https://t.co/o9CzgUiZ5R is a modern jobs platform aiming to change the way people find great work. Built with love in Santa Monica, CA.</t>
  </si>
  <si>
    <t>Bilgi Application</t>
  </si>
  <si>
    <t>Tek resimde #python'u ozetlenmiş! https://t.co/c9F1qHLtF9</t>
  </si>
  <si>
    <t>Bilgi Üniversitesi Application Kulübü info@bapp.team</t>
  </si>
  <si>
    <t>An Bui</t>
  </si>
  <si>
    <t>Data driven decision maker, problem solver, story teller. Expectation management evangelist. Digital @RiskIQ - my own thoughts. Say hi!</t>
  </si>
  <si>
    <t>Sail aka DarkDoor</t>
  </si>
  <si>
    <t>#JavaScript and #Java fend off challenges from #PHP, #Python | InfoWorld https://t.co/j4lch0w1OW</t>
  </si>
  <si>
    <t>Assembly C# C/C++ Lisp AIML</t>
  </si>
  <si>
    <t>Change is the law of life. And those who look only to the past or present are certain to miss the future. - John F. Kennedy</t>
  </si>
  <si>
    <t>StackOverflow Bot</t>
  </si>
  <si>
    <t>Read line by line whithout charging the whole fiile in memory https://t.co/7DHERhvmJU #python #memory #file-io #line</t>
  </si>
  <si>
    <t>so interesting questions</t>
  </si>
  <si>
    <t>Recently active questions from https://t.co/P7MEYP7MjF (not official... obviously) | bot by @vgan</t>
  </si>
  <si>
    <t>Continuum Analytics</t>
  </si>
  <si>
    <t>We're stoked for the HoloViews 1.4 release with @BokehPlots + #pandas support! #Python https://t.co/z57ha0lMcw</t>
  </si>
  <si>
    <t>Austin, TX</t>
  </si>
  <si>
    <t>Creator and driving force behind Anaconda - the leading modern open source analytics platform powered by #Python. We're helping people change the world.</t>
  </si>
  <si>
    <t>python-hyperoperators - Python library for representing really, really, ridiculously large numbers. https://t.co/YV168UchTS #python</t>
  </si>
  <si>
    <t>Banjo Hfuhruhurr III</t>
  </si>
  <si>
    <t>#ViveHumour/Humor</t>
  </si>
  <si>
    <t>STEVE MARTIN'S BANJO V KING ERIC IDLE'S GUITAR. SEEING LIFE FROM ERIC'S SHOES. PYTHONIA LIBERATION FRONT &amp; MYSTIC HFUHRUHURRISM RULE.</t>
  </si>
  <si>
    <t>Barbara Pollack</t>
  </si>
  <si>
    <t>RT webdevers San Francisco, CA Looking for a Senior Full Stack Python Engineer #CSS #HTML #Python #AngularJS #Django</t>
  </si>
  <si>
    <t>Oak Grove, KY</t>
  </si>
  <si>
    <t>I love being on the internet, discovering new friends and technology and eating super delicious food. Web design, copywriting and css are my game.</t>
  </si>
  <si>
    <t>Man AHL Technology</t>
  </si>
  <si>
    <t>GWpy - a #Python package for gravitational-wave astrophysics: https://t.co/d9ZY0hnHdV</t>
  </si>
  <si>
    <t>London, England</t>
  </si>
  <si>
    <t>All things technology at Man AHL, a leading quantitative investment manager and pioneer of systematic trading.</t>
  </si>
  <si>
    <t>hari menath</t>
  </si>
  <si>
    <t>#ApacheArrow Arrow is extremely important for #Python, #R integration with #BigData systems https://t.co/Rl4DLiHRK9</t>
  </si>
  <si>
    <t>bangalore</t>
  </si>
  <si>
    <t>Social Intelligence, Advanced Analytics, Big Data, Solution Architect at #Dell https://t.co/Ke083OkrlI https://t.co/LB2jBbTWLe https://t.co/pbg12bsuFU</t>
  </si>
  <si>
    <t>How I Made Porn 20x More Efficient with #Python Video Streaming https://t.co/RQHiwtzA7G</t>
  </si>
  <si>
    <t>"Practical Python porting for systems programmers, by Peter A. Donis and Eric S. Raymond" via #Python https://t.co/dtJSlcb0yP</t>
  </si>
  <si>
    <t>A #NeuralNetwork in 11 Lines of #Python https://t.co/1BcIJuZkGv via @fossbytes14 @dulce303 #ArtificialIntelligence #AI #dulcedotcom</t>
  </si>
  <si>
    <t>Quotedian</t>
  </si>
  <si>
    <t>Observer and commentator on news, tech, quotes and more. Occasionally snarky always true.</t>
  </si>
  <si>
    <t>RT @PythonWeekly: python-hyperoperators - Python library for representing really, really, ridiculously large numbers. https://t.co/YV168Uch…</t>
  </si>
  <si>
    <t>Yuri Prezument</t>
  </si>
  <si>
    <t>A Better Pip Workflow™ https://t.co/gB6XpwtVkX via @kennethreitz #python</t>
  </si>
  <si>
    <t>inboundli</t>
  </si>
  <si>
    <t>Tel Aviv, Israel</t>
  </si>
  <si>
    <t>Software developer / hacker; Pythonista; Djangonaut; Co-founder of @inboundli Curating content about #Python #Django #Flask #MachineLearning, etc.</t>
  </si>
  <si>
    <t>scott_barman</t>
  </si>
  <si>
    <t>How I Made Porn 20x More Efficient with #Python Video Streaming https://t.co/k5mK57EE5Z</t>
  </si>
  <si>
    <t>Growth Team at @toptalllc</t>
  </si>
  <si>
    <t>RiskIQ</t>
  </si>
  <si>
    <t>Software/San Francisco</t>
  </si>
  <si>
    <t>We provide enterprise security outside the firewall, protecting web assets &amp; apps from malware, fraud &amp; brand infringements. https://t.co/nbWU0lwrjO</t>
  </si>
  <si>
    <t>Eduardo Arenas</t>
  </si>
  <si>
    <t>Santiago, Chile</t>
  </si>
  <si>
    <t>Ingeniero Informático de #puerto_montt vivo en #paine #Chile, montaña Bici Ninjutsu cocina Informática médica #interoperabilidad #dw #emr #bi #UX #ancorauc</t>
  </si>
  <si>
    <t>#Job! #Python/#Django Developer, Photography #Tech Company! Upto £50k DOE! https://t.co/0mQvrZT1gQ #BrightonHour https://t.co/pE7AAEKf5i</t>
  </si>
  <si>
    <t>Marta Gispert</t>
  </si>
  <si>
    <t>#Datahack #Data #python #hadoop 8 semanas programa intensivo https://t.co/G525r8LJdp</t>
  </si>
  <si>
    <t>Mobile Web (M5)</t>
  </si>
  <si>
    <t>Dirección Off/Online Marketing • Client Services @SolucionaCG • Diseño • Producción • Web • RRSS</t>
  </si>
  <si>
    <t>Thierry Chappuis</t>
  </si>
  <si>
    <t>RT @pjgrizel: Dropbox met une (petite) librairie en Open-Source pour convertir unittest en pytest https://t.co/4SZmPzeZe7 #Python #Pytest</t>
  </si>
  <si>
    <t>Fribourg, Switzerland</t>
  </si>
  <si>
    <t>I'm a scientist, a chemical engineer and a programmer interested in scientific Python applications, C++, high performance computing and web technologies.</t>
  </si>
  <si>
    <t>Best of Data Science</t>
  </si>
  <si>
    <t>RT @KirkDBorne: Naive Bayes #MachineLearning in 6 easy steps + #Python code https://t.co/REF6VdPehq?utm_content=kuku.io&amp;utm_medium=social&amp;amp;…</t>
  </si>
  <si>
    <t>Link account with KUKU.io</t>
  </si>
  <si>
    <t>Cataluña, España</t>
  </si>
  <si>
    <t>Recopilo lo mejor sobre el apasionante mundo del DataScience</t>
  </si>
  <si>
    <t>Python Trending</t>
  </si>
  <si>
    <t>firmadyne - Main repository https://t.co/3wmkEQLjdb #python</t>
  </si>
  <si>
    <t>ghpy</t>
  </si>
  <si>
    <t>Interwebs</t>
  </si>
  <si>
    <t>tweeting trending Python repositories on GitHub</t>
  </si>
  <si>
    <t>iAm</t>
  </si>
  <si>
    <t>Open Source e-Commerce – Shoop #python #django https://t.co/vPfK19GL4l</t>
  </si>
  <si>
    <t>ישראל</t>
  </si>
  <si>
    <t>Python &amp; Django, ecommerce, web</t>
  </si>
  <si>
    <t>Jim Webber</t>
  </si>
  <si>
    <t>RT @technige: The first beta of #py2neo v3 is only a few weeks away. Let me know if you can help test :-) #python #Neo4j</t>
  </si>
  <si>
    <t>Planet Earth, mostly.</t>
  </si>
  <si>
    <t>Chief Scientist @ Neo4j</t>
  </si>
  <si>
    <t>Diego Garcia Diaz</t>
  </si>
  <si>
    <t>RT @ContinuumIO: We're stoked for the HoloViews 1.4 release with @BokehPlots + #pandas support! #Python https://t.co/z57ha0lMcw</t>
  </si>
  <si>
    <t>Corrales, Huelva</t>
  </si>
  <si>
    <t>In process of change from a GIS guy who plays with python to a python guy who plays with GIS. Trying to make my daughter happy &amp; missing 4 ever @lunah23</t>
  </si>
  <si>
    <t>srcport</t>
  </si>
  <si>
    <t>How To Learn To Program Fast https://t.co/zvhVcoIMfa via @srcport #programming #java #python #tech #uni https://t.co/LKRei25ZmD</t>
  </si>
  <si>
    <t>author • tech'y • libertarian rationalist • and owner of https://t.co/nP6w13d2GF: the open and uncensored sharing platform</t>
  </si>
  <si>
    <t>RT @pythontrending: firmadyne - Main repository https://t.co/3wmkEQLjdb #python</t>
  </si>
  <si>
    <t>89754612a</t>
  </si>
  <si>
    <t>Gerry White</t>
  </si>
  <si>
    <t>RT @clockworkTalent: #Job! #Python/#Django Developer, Photography #Tech Company! Upto £50k DOE! https://t.co/0mQvrZT1gQ #BrightonHour https…</t>
  </si>
  <si>
    <t>Brighton</t>
  </si>
  <si>
    <t>Student of the dark arts of SEO &amp; analytics… SEO bloke</t>
  </si>
  <si>
    <t>RT @yprez: A Better Pip Workflow™ https://t.co/gB6XpwtVkX via @kennethreitz #python</t>
  </si>
  <si>
    <t>Alessandro Amici</t>
  </si>
  <si>
    <t>pytest-nodev 0.9.3 #release is out! Test-driven code search for #python with #pytest https://t.co/ywyOkT7n20</t>
  </si>
  <si>
    <t>Rome, Italy</t>
  </si>
  <si>
    <t>Passionate and opinionated Software Engineer and Entrepreneur | Remote Sensing | Python</t>
  </si>
  <si>
    <t>Bobby</t>
  </si>
  <si>
    <t>Tt is absolutely INSANE for a software dev tool to install globally by default!! pip install is #broken #Python</t>
  </si>
  <si>
    <t>Oklahoma City, OK</t>
  </si>
  <si>
    <t>I'm outstanding!</t>
  </si>
  <si>
    <t>Giuseppe `N3mes1s`</t>
  </si>
  <si>
    <t>Italy ~ Naples</t>
  </si>
  <si>
    <t>Malware Analysis ~ Reversing ~ Security ~ Programming ~ Linux ~ Windows ~ Android</t>
  </si>
  <si>
    <t>Marina (孫美樂)</t>
  </si>
  <si>
    <t>@waterprinciple @davidjrusek @wolvzor Didn't I mention I became a pythonista? #python :D</t>
  </si>
  <si>
    <t>eng., 中文, musician, pythonista, outdoors enthusiast, backpacker (both kinds), feminist, adventurer</t>
  </si>
  <si>
    <t>Dataprix IT</t>
  </si>
  <si>
    <t>RT KirkDBorne: Naive Bayes #MachineLearning in 6 easy steps + #Python code https://t.co/Px8x7gmr9u https://t.co/Dune93bQOb</t>
  </si>
  <si>
    <t>Portal sobre Tecnologías de la información y el conocimiento: Business Intellligence, Bases de datos, KM, CMS, ERP, CRM, Integración, Analítica y Datamining</t>
  </si>
  <si>
    <t>inboundli tech</t>
  </si>
  <si>
    <t>Top 10 #MachineLearning Algorithms https://t.co/kRSwbV73QS #python https://t.co/2uVeS3EZGs</t>
  </si>
  <si>
    <t>We curate and tweet insightful technology related articles. This is an extension of our main account @inboundli where we tweet about a wider variety of topics.</t>
  </si>
  <si>
    <t>#python synapseclient 1.5.1: A client for Synapse, a collaborative compute space that allows scientists to share… https://t.co/KdhOvO10wU</t>
  </si>
  <si>
    <t>#python rundeckrun 0.2.2: Rundeck API Python client https://t.co/HhP48jYQGv</t>
  </si>
  <si>
    <t>Bart Bania</t>
  </si>
  <si>
    <t>Today's random word is: #chromatize | tweeted with #Python</t>
  </si>
  <si>
    <t>tweepy_auto_tweet</t>
  </si>
  <si>
    <t>definitely not there</t>
  </si>
  <si>
    <t>Born 480110400 UNIX time Yerba mater, Linux fanatic, Python zealot, Dockerizer, sysadmin. Technical Support Engineer at @Layershift Views expressed are mine</t>
  </si>
  <si>
    <t>#python elex 1.2.0: Client for parsing the Associated Press's elections API https://t.co/neAfvd8fQX</t>
  </si>
  <si>
    <t>#python proliantutils 2.1.6: Client Library for interfacing with various devices in HP Proliant Servers. https://t.co/jR4PPWIR4X</t>
  </si>
  <si>
    <t>#python silta 0.1.4: A Python to STM32F4 Bridge Project https://t.co/Ury4jzJBBg</t>
  </si>
  <si>
    <t>#python django-m2m-history 0.3.3: Django ManyToMany relation field with history of changes https://t.co/86INOKSuwk</t>
  </si>
  <si>
    <t>#python ITU-Turkish-NLP-Pipeline-Caller 2.0.0: A wrapper tool to use ITU Turkish NLP Pipeline API https://t.co/UZ711JnPW6</t>
  </si>
  <si>
    <t>#python abu 0.10: An AWS Cluster Manager https://t.co/hfdR2CJNY4</t>
  </si>
  <si>
    <t>gerald chung</t>
  </si>
  <si>
    <t>Next language is #python in #cs10. Using python 3.4 @bevfacey @eips #codingisfun and simple when using @ThePSF https://t.co/9Vi3o5BpAN</t>
  </si>
  <si>
    <t>canada</t>
  </si>
  <si>
    <t>AP Computer science teacher, cisco academy instructor, skills canada and petrochallenge teacher champion, bev facey falcons varsity girls basketball head coach.</t>
  </si>
  <si>
    <t>#python haven 1.1.78: flask's style binary server framework https://t.co/CgsI1RJCCq</t>
  </si>
  <si>
    <t>#python django-dynamic-preferences 0.8.1: Dynamic global and instance settings for your django project https://t.co/S3GOzg7DV9</t>
  </si>
  <si>
    <t>I honestly don't understand it. There is not sane reason to do it. Especially when there are almost no global dependencies. #Python #pip</t>
  </si>
  <si>
    <t>Kivy</t>
  </si>
  <si>
    <t>RT @oburoni2: think have found #solar powered screen with HMDI input ∴ which is easiest to install LnxOS (&amp; #python #kivy)onto #beagle…</t>
  </si>
  <si>
    <t>Kivy - open source, cross-platform Python framework for rapid development of applications that make use of innovative user interfaces, such as multi-touch apps.</t>
  </si>
  <si>
    <t>RT @TreblePR: Making #Python on Apache #Hadoop Easier with #Anaconda and CDH https://t.co/cm0noxv1JT @ContinuumIO @Dzone #opensource</t>
  </si>
  <si>
    <t>"PyPy Development: C-API Support update" https://t.co/iCfyrUchnK #python</t>
  </si>
  <si>
    <t>James Jackson</t>
  </si>
  <si>
    <t>Using #Python for #Azure automated provisioning https://t.co/lMF2bmR80w</t>
  </si>
  <si>
    <t>#DevOps &amp; #Cloud Architect working for a leading #IOT Company and loves bleeding edge tech such as #IOT, #M2M, #BigData &amp; #DistributedSystems. Tweets are my own</t>
  </si>
  <si>
    <t>Michael Cutler</t>
  </si>
  <si>
    <t>#DataScience in #Python with #Pandas just got faster using Apache Arrow https://t.co/b08ILlnhBd cc @wesmckinn #BigData #MachineLearning</t>
  </si>
  <si>
    <t>Data Scientist ⚛“An expert is a man who has made all the mistakes which can be made, in a narrow field.” Niels Bohr #BigData #DataScience #DeepLearning #Startup</t>
  </si>
  <si>
    <t>Damon Rouse</t>
  </si>
  <si>
    <t>Bleeds Silver &amp; Black! Infosec - Threat Intel - Sports Junkie - #2A</t>
  </si>
  <si>
    <t>MasterQA.com</t>
  </si>
  <si>
    <t>https://t.co/aC8Nwn0Eqd on @GitHub - The fastest way to do QA is with the help of automation! Learn to love #QA today! #Python #OpenSource</t>
  </si>
  <si>
    <t>Supercharge your QA team with automation! - https://t.co/SXRxQuBscW (On @GitHub)</t>
  </si>
  <si>
    <t>Don't miss the Byte Academy: FinTech, Data Science, #Python Coding Bootcamp meetup this coming Tuesday: https://t.co/IiIhCV8XFx</t>
  </si>
  <si>
    <t>WFLA NEWS</t>
  </si>
  <si>
    <t>RT @WFLAmark: Does your neighbor keep a python, rattler or a cobra as a pet? Here's how you find out: https://t.co/OO0Zk7aJCO @WFLA #python…</t>
  </si>
  <si>
    <t>WFLA News Channel 8 is a news leader in Tampa Bay.</t>
  </si>
  <si>
    <t>Robert Lujo</t>
  </si>
  <si>
    <t>Brett Cannon - How the heck does async/await work in #Python 3.5? https://t.co/XBXgNLBwCj</t>
  </si>
  <si>
    <t>Zagreb, Croatia</t>
  </si>
  <si>
    <t>Software Development and everything related. Open Source enthusiast.</t>
  </si>
  <si>
    <t>Stiles</t>
  </si>
  <si>
    <t>South Boston transplant. Husband. Father. Warrior Etho. #DAV #ADA #Ruleof72 $MINED $ERBB #theMixxRadio co-host w/ @TreemanShow1 @treedcat</t>
  </si>
  <si>
    <t>theKonq</t>
  </si>
  <si>
    <t>Started off with #fullstackdevelopment with @djangoproject. Just love the way it works. #python #django #webdev - @pymudit</t>
  </si>
  <si>
    <t>Sara Smith</t>
  </si>
  <si>
    <t>Florida, USA</t>
  </si>
  <si>
    <t>trial enthusiasts</t>
  </si>
  <si>
    <t>Outlearn Catalog</t>
  </si>
  <si>
    <t>Creating Smaller Docker Images: Part #2 https://t.co/SoJTIVn9Cm #squash #layer #python #docker</t>
  </si>
  <si>
    <t>Outlearn Content Promotion</t>
  </si>
  <si>
    <t>Flexible publishing tools for modern team learning.</t>
  </si>
  <si>
    <t>Peachy the Magazine</t>
  </si>
  <si>
    <t>Blue skies, blue bags. Come see us wendowfineliving for a @shoptaxidermy trunk show💙 #python… https://t.co/pMDoiBLdIp</t>
  </si>
  <si>
    <t>Peachy the Magazine is an online magazine about nurturing an abundant life! Art, architecture, gardens, interiors, food, entertaining, style, health, beauty.</t>
  </si>
  <si>
    <t>totallygloria</t>
  </si>
  <si>
    <t>Need to accurately merge 2 dicts, while giving one precedence? @treyhunner shows 9 ways to do so (+3 fails): https://t.co/AV3O3RvjnX #python</t>
  </si>
  <si>
    <t>Portland, OR</t>
  </si>
  <si>
    <t>Eccentric gardener and urban homsteader in PDX. Junior Pythonista, master researcher, officially on the market.</t>
  </si>
  <si>
    <t>#PYTHON randomize questions from a list and enumerate #HowTo #Question #Tech https://t.co/Yofd1ZqtdS</t>
  </si>
  <si>
    <t>Miguel Quintero</t>
  </si>
  <si>
    <t>MVP .NET. Developer by nature. Unlimited Point my vision. Windows Azure &amp; WinRT for vocation. @BDotNet's Dir Group by conviction</t>
  </si>
  <si>
    <t>New Module: Bond - A Spy-Based Testing and Mocking Library https://t.co/SkP53Pzk5K #Python submitted by /u/xkrogen[link] [comments]</t>
  </si>
  <si>
    <t>Best and most user-friendly IDE for Python? https://t.co/a5Mg9EpVIs #Python Hey Reddit, I've just started taking python classes in scho…</t>
  </si>
  <si>
    <t>Test-Driven source code search in pytest https://t.co/dXfUjfCnIk #Python submitted by /u/alexamici[link] [comments]</t>
  </si>
  <si>
    <t>Practical Python porting for systems programmers, by Peter A. Donis and Eric S. Raymond https://t.co/JGX2EESoU9 #Python submitted by /…</t>
  </si>
  <si>
    <t>#PYTHON randomize questions from a list and enumerate #Tech #Internet #Programming https://t.co/DpHueFoy4V</t>
  </si>
  <si>
    <t>isaac-moore</t>
  </si>
  <si>
    <t>Is there a direct autocorrelation plots/analysis in python? I need to decide on best method for treating NaN in data #python #DataScience</t>
  </si>
  <si>
    <t>M.Phil Chem Engr. Research paper published in Chem Eng Res &amp; Design Journal. #Machinelearning #Python #Matlab #MongoDB. Arsenal fan.</t>
  </si>
  <si>
    <t>Rasu Shrestha MD MBA</t>
  </si>
  <si>
    <t>RT @kmuehmel: #Python, #R, and #SQL in bed together. Bravo @exoanima, you've made me deeply uncomfortable. https://t.co/Ws8hH0EgXs</t>
  </si>
  <si>
    <t>Physician, Informatician, Pragmatic futurist. Chief #Innovation Officer. Driven by the pursuit of value-based intelligent healthcare. #HITsm #hcldr #hcsm</t>
  </si>
  <si>
    <t>Opbeat</t>
  </si>
  <si>
    <t>How the heck does async/await work in #Python 3.5?' by @brettsky - https://t.co/z9hNpeyO3K</t>
  </si>
  <si>
    <t xml:space="preserve">SF / CPH </t>
  </si>
  <si>
    <t>​Instant performance insights, built for JS developers. Follow @opbeatstatus for status.</t>
  </si>
  <si>
    <t>AWS Lambda for Ultimate Service Oriented Architecture | #aws #sao #python by Toptal https://t.co/2B9GQHxxvb</t>
  </si>
  <si>
    <t>Gant Black</t>
  </si>
  <si>
    <t>Adult film star. check me out at https://t.co/G88jMsvTGM https://t.co/U7s85fJrXb and https://t.co/aVcKkCoZNf 18+ Only adult material on page. RT hot shit.</t>
  </si>
  <si>
    <t>Yasha Kramarenko</t>
  </si>
  <si>
    <t>tomorrow will open main secrets of #selenide internals and show how to port it to other language with examples in #python, at #SeleniumCamp</t>
  </si>
  <si>
    <t>Kiev</t>
  </si>
  <si>
    <t>#pairwithme</t>
  </si>
  <si>
    <t>RT @rrockers: I honestly don't understand it. There is not sane reason to do it. Especially when there are almost no global dependencies.…</t>
  </si>
  <si>
    <t>Bic Yea</t>
  </si>
  <si>
    <t>RealVille</t>
  </si>
  <si>
    <t>Don't even attempt 2 change my mind on Conservative Prepper CRUZ 2nd ProLife</t>
  </si>
  <si>
    <t>margarida dos santos</t>
  </si>
  <si>
    <t>RT @trebor74hr: AWS Lambda for Ultimate Service Oriented Architecture | #aws #sao #python by Toptal https://t.co/2B9GQHxxvb</t>
  </si>
  <si>
    <t>Brent Calvert</t>
  </si>
  <si>
    <t>The Top 5 Jobs #Startups are Hiring for in 2016 https://t.co/0Vr3Dt2iDE #python #analytics #sales</t>
  </si>
  <si>
    <t>Vancouver</t>
  </si>
  <si>
    <t>Dad, manager, instructor, consultant, IoT early adopter, big data enthusiast, football coach, bassist. Future focused.</t>
  </si>
  <si>
    <t>Mahmoud Fereydouni</t>
  </si>
  <si>
    <t>pip 8.0.3 https://t.co/JR2wHbR7do #python</t>
  </si>
  <si>
    <t>Tehran</t>
  </si>
  <si>
    <t>#MachineLearning, #Artificialintelligence, #BigData &amp; #Gamification enthusiast. #SoftwareDeveloper &amp; #GameDesigner Founder and Editor of http://t.co/PAZvNciaIO</t>
  </si>
  <si>
    <t>Michael Petychakis</t>
  </si>
  <si>
    <t>I think this year it the one to finally attend @EuroPython at Bilbao,17–24 July 2016 #Python https://t.co/B9I4qlhXsJ https://t.co/F9A5296ET2</t>
  </si>
  <si>
    <t>Athens</t>
  </si>
  <si>
    <t>#API and #IoT Storyteller. Passionate Software Engineer, Researcher and Philosopher. Or else, The #API Lama</t>
  </si>
  <si>
    <t>“Hello world” in #keras vs #scikitlearn https://t.co/Iyu4Ym8pw0 #machinelearning #neuralnetworks #python https://t.co/9JcVwZST1D</t>
  </si>
  <si>
    <t>[b0t]My Python Based ETL Mapping Project implemented w/Spark [short demo] https://t.co/wD7OgvZjiC #python</t>
  </si>
  <si>
    <t>District Data Labs</t>
  </si>
  <si>
    <t>Learn how to construct &amp; analyze social networks at our Graph Analytics with #Python workshop on 3/12! https://t.co/oHCelxCJOl #DataScience</t>
  </si>
  <si>
    <t>Hands-on #DataScience courses, projects and content. #BigData #DataDC #MachineLearning #Analytics #Rstats #Python #Hadoop #ApacheSpark</t>
  </si>
  <si>
    <t>^1c0 ^^3^9u4∠</t>
  </si>
  <si>
    <t>AWS Lambda for Ultimate Service Oriented Architecture | Toptal https://t.co/eFoSsDzfwk #AWS #AWSLambda #AmazonS3 #Python #SOA vía @toptalllc</t>
  </si>
  <si>
    <t>OSI Layers: 3 to 7</t>
  </si>
  <si>
    <t>Workaholic full stack developer, mean sysadmin, and director of engineering working @ Toptal; illustrator; gnu/linux lover; blues guitar-player; &amp; learning bot.</t>
  </si>
  <si>
    <t>sshagentmux - SSH Agent Authorization Proxy and Multiplexer pypi: https://t.co/pd2IWiDCBM www: https://t.co/rpuaawboYS #python</t>
  </si>
  <si>
    <t>Serena</t>
  </si>
  <si>
    <t>RT @freyduni: pip 8.0.3 https://t.co/JR2wHbR7do #python</t>
  </si>
  <si>
    <t>South East, England</t>
  </si>
  <si>
    <t>#bigdata #artificialintelligence #gamification #blogging #socialmedia</t>
  </si>
  <si>
    <t>Gokhan AYKAN</t>
  </si>
  <si>
    <t>paris</t>
  </si>
  <si>
    <t>interested in science, it, social sciences n a lot other things</t>
  </si>
  <si>
    <t>bigdata.strat</t>
  </si>
  <si>
    <t>RT @yprez: “Hello world” in #keras vs #scikitlearn https://t.co/Iyu4Ym8pw0 #machinelearning #neuralnetworks #python https://t.co/9JcVwZST1D</t>
  </si>
  <si>
    <t>Open Data Information</t>
  </si>
  <si>
    <t>Michele Chambers</t>
  </si>
  <si>
    <t>Big Data + Analytics + Real Time. Product evangelist, author, speaker. blogger, and consultant. Love working with customers to solve complex problems</t>
  </si>
  <si>
    <t>Nicolás Wolovick</t>
  </si>
  <si>
    <t>RT @HPC_Guru: Parallel Processing With #Python: training class March 4th. https://t.co/VkIwUJ90tM https://t.co/Ehab0fyQC9 #HPC via @TACC</t>
  </si>
  <si>
    <t>CS</t>
  </si>
  <si>
    <t>RT @py3k: sshagentmux - SSH Agent Authorization Proxy and Multiplexer pypi: https://t.co/pd2IWiDCBM www: https://t.co/rpuaawboYS #python</t>
  </si>
  <si>
    <t>String</t>
  </si>
  <si>
    <t>Arguably one of the best languages to learn #programming, here's scripting with #Python: https://t.co/aU36hDm1KW #coding #STEM #education</t>
  </si>
  <si>
    <t>Loudoun County, Virginia</t>
  </si>
  <si>
    <t>Coding workshops | Software</t>
  </si>
  <si>
    <t>랩실 잉여 그 자체 해탈</t>
  </si>
  <si>
    <t>본야리 고교/연구실</t>
  </si>
  <si>
    <t>정말 제대로 할 줄 아는것이 없습니다 interested; Python, Translate, FP etc. 타치바나마리카#3783</t>
  </si>
  <si>
    <t>[13:37:32-03:00] Irradiancia en W/(m².sr) a partir del modelo de @gersolar. #python https://t.co/n8HR8BiCCh</t>
  </si>
  <si>
    <t>MirTheZodicFreak</t>
  </si>
  <si>
    <t>P.A. USA</t>
  </si>
  <si>
    <t>I'm bisexual I enjoy women&amp;men sometimes both at the same time why not I love.bbw women it's just something about them and anyone.Who.got a booty</t>
  </si>
  <si>
    <t>#PYTHON randomize questions from a list and enumerate #Tech #News #HowTo https://t.co/VGO3c9HAcC</t>
  </si>
  <si>
    <t>#Python: Making a wordcounter that will not count words less than three letters #Tech #News #HowTo https://t.co/lsiVT7SnBQ</t>
  </si>
  <si>
    <t>gil_cano</t>
  </si>
  <si>
    <t>RT @gforcada: Just released plone.recipe.codeanalysis 2.2! https://t.co/ax9DplcZgq #plone #python now with arbitrary folder analysis!</t>
  </si>
  <si>
    <t>#python supra 1.0.12: It's an easy JSON services generator https://t.co/eYuRvc5VkM</t>
  </si>
  <si>
    <t>#python buckets 1.0.0.dev0: managing data by relevancy. https://t.co/246dul3PUs</t>
  </si>
  <si>
    <t>#python ITU-Turkish-NLP-Pipeline-Caller 2.0.4: A wrapper tool to use ITU Turkish NLP Pipeline API https://t.co/0tq3PzVBPS</t>
  </si>
  <si>
    <t>#python sshagentmux 0.0.1: SSH Agent Authorization Proxy and Multiplexer https://t.co/ouctun9U4l</t>
  </si>
  <si>
    <t>#PYTHON randomize questions from a list and enumerate #Tech #Question #HowTo https://t.co/mrJyNq3bsR</t>
  </si>
  <si>
    <t>#Python: Making a wordcounter that will not count words less than three letters #Tech #Question #HowTo https://t.co/c9BcDwEvBT</t>
  </si>
  <si>
    <t>Vasudev Ram</t>
  </si>
  <si>
    <t>Voice Recognition and Text to Speech in #Python: https://t.co/zCNnj6H2Wq HN: https://t.co/9laYa7HIBs #TextToSpeech #SpeechRecognition</t>
  </si>
  <si>
    <t>Dancing Bison Enterprises - India</t>
  </si>
  <si>
    <t>Software consultant, trainer. Made xtopdf: http://t.co/xn1G2QaAQA . eLearning. Python, Web, C, Linux, SQL, PDF generation, FOSS. http://t.co/1f5k1eOT3O</t>
  </si>
  <si>
    <t>How to clone or copy a list in #Python? - https://t.co/V001lPHrbv</t>
  </si>
  <si>
    <t>Js2Py - JavaScript to Python Translator &amp; JavaScript interpreter written in 100% pure Python. https://t.co/VGRBI61qKb #Python #JavaScript</t>
  </si>
  <si>
    <t>Heading to the Scientific Software Days Con @ UT today? Catch Data Visualization in #Python with Dask and Datashader from @ch_doig @ 2:40PM!</t>
  </si>
  <si>
    <t>Look no further than these titles for better #Python - 50% off today only! https://t.co/WRmxotON95 https://t.co/GwjzASaV6u</t>
  </si>
  <si>
    <t>alex c.</t>
  </si>
  <si>
    <t>RT @tiagoprn: good #programming practices: https://t.co/Vezc4JLwZy #python #flask #django #nodejs #javascript #golang</t>
  </si>
  <si>
    <t>Lead developer for Alco Software, mainly Golang, Django/Python and Ionic. @MCFC fan</t>
  </si>
  <si>
    <t>matheus</t>
  </si>
  <si>
    <t>“Scaling Knowledge at Airbnb” by @AirbnbNerds https://t.co/Ix7UbFVLdh #python @erichideki @TalkPython https://t.co/b1qPowsSqp</t>
  </si>
  <si>
    <t>simplique</t>
  </si>
  <si>
    <t>RT @PythonWeekly: Js2Py - JavaScript to Python Translator &amp; JavaScript interpreter written in 100% pure Python. https://t.co/VGRBI61qKb #Py…</t>
  </si>
  <si>
    <t>Stephane Vast ✏</t>
  </si>
  <si>
    <t>Plume for Android</t>
  </si>
  <si>
    <t>Agde - France</t>
  </si>
  <si>
    <t>Adullact Projet. #FLOSS Software Engineer, #Java, #Android. Passions: #geek #DIY and my family . Peace</t>
  </si>
  <si>
    <t>Plone México</t>
  </si>
  <si>
    <t>Información sobre la comunidad de Plone en México y sus proyectos.</t>
  </si>
  <si>
    <t>Дніпропетровськ</t>
  </si>
  <si>
    <t>#Senior #Python Developer https://t.co/DiUAjrEkRb</t>
  </si>
  <si>
    <t>Дніпропетровськ, Дніпропетро́вська область, UA</t>
  </si>
  <si>
    <t>Шукаєте роботу в сфері в Дніпропетровськ ? Тоді наш сайт для вас https://t.co/AQlxUo6z4Q</t>
  </si>
  <si>
    <t>Christine Doig</t>
  </si>
  <si>
    <t>RT @ContinuumIO: Heading to the Scientific Software Days Con @ UT today? Catch Data Visualization in #Python with Dask and Datashader from …</t>
  </si>
  <si>
    <t>Barcelona &amp; Austin</t>
  </si>
  <si>
    <t>Data Scientist @ContinuumIO. Python, R, Open Source, Education, Travel, Indie Films. DREAMER</t>
  </si>
  <si>
    <t>Pantalla Plana</t>
  </si>
  <si>
    <t>RT @pythonizame: Geopy - Toolbox para codificación geográfica en #Python https://t.co/UJdIFQh0Mv https://t.co/HkULrBjhBs</t>
  </si>
  <si>
    <t>Me encanta descubrir cosas nuevas del ciberespacio. Cuanto más sé, más tengo clara mi ignorancia.</t>
  </si>
  <si>
    <t>RWave</t>
  </si>
  <si>
    <t>RT @vasudevram: Voice Recognition and Text to Speech in #Python: https://t.co/zCNnj6H2Wq HN: https://t.co/9laYa7HIBs #TextToSpeech #SpeechR…</t>
  </si>
  <si>
    <t>Providing the power of speech recognition for today's innovators. We tweet API updates + news in the speech space!</t>
  </si>
  <si>
    <t>OCR PDF файлов используя Python: https://t.co/nL8xQA8fKa #python</t>
  </si>
  <si>
    <t>Marco Bonzanini</t>
  </si>
  <si>
    <t>Call for Proposals #PyData Berlin @pydataberlin until 8 March https://t.co/hESlMuNoqf #Python #DataScience</t>
  </si>
  <si>
    <t>Data Scientist - Information Retrieval, NLP, Text Analytics, Machine Learning, everything Python. PhD from @QMUL</t>
  </si>
  <si>
    <t>Talk Python Podcast</t>
  </si>
  <si>
    <t>RT @math3uscom: “Scaling Knowledge at Airbnb” by @AirbnbNerds https://t.co/Ix7UbFVLdh #python @erichideki @TalkPython https://t.co/b1qPowsS…</t>
  </si>
  <si>
    <t>Portland, OR USA</t>
  </si>
  <si>
    <t>The #1 Python-focused podcast covering the people and ideas in Python. Created and hosted by @mkennedy</t>
  </si>
  <si>
    <t>Philipp Rudiger</t>
  </si>
  <si>
    <t>Edinburgh, United Kingdom</t>
  </si>
  <si>
    <t>Computational Neuroscience PhD candidate, #Python #Dataviz #Reproducibility. #HoloViews co-creator http://t.co/0dHQ3ZL38S.</t>
  </si>
  <si>
    <t>Brauo K</t>
  </si>
  <si>
    <t>Live on Livecodingtv</t>
  </si>
  <si>
    <t>livecoding.tv app v1</t>
  </si>
  <si>
    <t>RT @gihangamos: Recommend for #lka AL students doing ICT - Introduction To #Python Programming https://t.co/Q50AwFu4Pm #Udemy https://t.co/…</t>
  </si>
  <si>
    <t>RT @nedbat: Don't like print() in #python 3? You'll get used to it. Remember how you first felt about significant indents? Take a breath… I…</t>
  </si>
  <si>
    <t>RT @ScrapyProject: Scrapy Tips from the Pros: February Edition is out! Improve your workflow: https://t.co/xSpQZkFPgo #coding #python https…</t>
  </si>
  <si>
    <t>RT @PythonWeekly: gwpy - Package for analysing and characterising gravitational wave data in python. https://t.co/9AK5vKmQFu #python</t>
  </si>
  <si>
    <t>RT @RDustinB: My launch script is working now. Needs some cleanup. Oh and the next event is showing on my #Pebble #SpaceX #Python https://t…</t>
  </si>
  <si>
    <t>RT @analyzethisTC: Real Web Scraping in #python at Analyze This! #analyzethisTC #datascience #analytics #bigdata #Minneapolis https://t.co/…</t>
  </si>
  <si>
    <t>Creating MapDocs from mxd file https://t.co/DwrgVmbxGq #python</t>
  </si>
  <si>
    <t>RT @pyletter: How to Verify Phone numbers in #Python with the Twilio Lookup API https://t.co/TIRc0WXFmP via @twilio</t>
  </si>
  <si>
    <t>RT @GregoryTSimpson: #DataScience Skills in Demand for 2016 https://t.co/YOCRcmZOuk #BigData #Hadoop #R #python #SQL #java</t>
  </si>
  <si>
    <t>RT @u_shiningstar: #France meets the Incredible&lt;#AgentVega;@D_Morgado&gt;as @CSICyber #S2Ep8 #Python is on!😎😍👍#MrInternatioanl #CSICyber https…</t>
  </si>
  <si>
    <t>RT @arrrbotzer: 🚀 #Python @aerospikedb client release 2.0.1 includes bug fixes and improved object serialization: https://t.co/CcjnBVQtRS 🚀</t>
  </si>
  <si>
    <t>RT @PopilyTeam: In #Python 4 the print statement is replaced with "jk_gotcha_haha_lulz" https://t.co/275JmyjkNn</t>
  </si>
  <si>
    <t>RT @freyduni: msbackup 1.1 https://t.co/2Sur6chEpm #python</t>
  </si>
  <si>
    <t>tz</t>
  </si>
  <si>
    <t>#Video: #Python beißt schlafendes #Kind (6) in den Kopf. Doch seine Mutter rettet es. https://t.co/a5QnCvpx5f</t>
  </si>
  <si>
    <t>München</t>
  </si>
  <si>
    <t>Hier twittert die Online-Redaktion der tz über Nachrichten aus München, Bayern und dem Sport. Die tz in München Impressum: http://t.co/GqpModLcBS</t>
  </si>
  <si>
    <t>RT @ContinuumIO: We're heading to @PyData Amsterdam next month! Don't miss "Running #Python in the Browser" via @almarklein on 3/12: https:…</t>
  </si>
  <si>
    <t>MWright</t>
  </si>
  <si>
    <t>If programming languages were weapons https://t.co/fAeUcpveVU by @bjorntipling via @generic_brian #javascript #python #ruby #php</t>
  </si>
  <si>
    <t>Advice on monetization, coding, and the internets. https://t.co/kFk2M26pxh https://t.co/apNtCCZRBy https://t.co/KuGMIPrlrF</t>
  </si>
  <si>
    <t>Get the @NumFOCUS newsletter for updates on #Jupyter, @JuliaLanguage, @PyData, @swcarpentry and more. #Python https://t.co/aTvnDwXSMa</t>
  </si>
  <si>
    <t>RT @techrecru1ter: I'm #hiring for #software #developers in #SanFrancisco @studionow #python #JavaScript #AngularJS #startup #techjobs http…</t>
  </si>
  <si>
    <t>Mike Driscoll</t>
  </si>
  <si>
    <t>#Python: An Intro to caching https://t.co/HXwmm8ttXM via @mousevspython</t>
  </si>
  <si>
    <t>Iowa</t>
  </si>
  <si>
    <t>I'm a Christian Python Programmer!</t>
  </si>
  <si>
    <t>Luis San Martin</t>
  </si>
  <si>
    <t>SCL</t>
  </si>
  <si>
    <t>Systems engineer</t>
  </si>
  <si>
    <t>PYTHON FOR R USERS : ; Come September https://t.co/NhVStVhG0K #python</t>
  </si>
  <si>
    <t>Noemi Gutierrez</t>
  </si>
  <si>
    <t>RT @IBMCanada: We're at #Confoo Feb 24-26.Don't miss giveaways &amp; Watson demos at the booth&amp;amp;sessions on #PouchDB, #Python &amp;amp; #BlueMix https:/…</t>
  </si>
  <si>
    <t>Toronto - Canada</t>
  </si>
  <si>
    <t>Marketing Professional for Cloud - Developers. Opinions are my own.</t>
  </si>
  <si>
    <t>ViewYonder</t>
  </si>
  <si>
    <t>Excellent #itpro intro to #API Integration using #Python https://t.co/FlEvh7XUjI by @redsymbol</t>
  </si>
  <si>
    <t>#21stCenturyITpro helping #UK #ITpro and #ITexec on #cloud, #DevOps, #API, #code and #ITSM</t>
  </si>
  <si>
    <t>Jakub Jarosz</t>
  </si>
  <si>
    <t>RT @driscollis: #Python: An Intro to caching https://t.co/HXwmm8ttXM via @mousevspython</t>
  </si>
  <si>
    <t>Test-infected Pythonista with DevOps mindset. Hiker, backpacker, kayaker, skier, outdoor and adventure enthusiast.</t>
  </si>
  <si>
    <t>Lennin Caro</t>
  </si>
  <si>
    <t>Thank @BusinessLends 4 your follow and welcom #PostgreSQL #gamedev #Python u have great &amp; interestings post @droidstarVE awsome proyect</t>
  </si>
  <si>
    <t>FOSS Developer and Data Scientist</t>
  </si>
  <si>
    <t>El Juanca</t>
  </si>
  <si>
    <t>Python Design Patterns Guide | Toptal https://t.co/XnMELN3xIH #Python #PythonPatterns #PythonDesignPatterns vía @toptalllc</t>
  </si>
  <si>
    <t>medellin</t>
  </si>
  <si>
    <t>#developer, #LinuxLover, informivoro por naturaleza, #samario de corazón, #salsaLover y #rockero de toda la vida. CoFounder at @Go_PanTrek</t>
  </si>
  <si>
    <t>Thank @ibreakcharts 4 your follow and welcom #PostgreSQL #gamedev #Python u have great &amp; interestings post @droidstarVE awsome proyect</t>
  </si>
  <si>
    <t>Paul Henn</t>
  </si>
  <si>
    <t>AWS Lambda for Ultimate Service Oriented Architecture | Toptal https://t.co/seX03MMtjd #AWS #AWSLambda #AmazonS3 #Python #SOA via @toptalllc</t>
  </si>
  <si>
    <t>Palo Alto, Ca</t>
  </si>
  <si>
    <t>Entrepreneur. Freelancer. Gamer.</t>
  </si>
  <si>
    <t>Sana Sarwat</t>
  </si>
  <si>
    <t>Twitter</t>
  </si>
  <si>
    <t>A housewife. M.Sc. (Maths) Gold Medalist</t>
  </si>
  <si>
    <t>Thank @billsoftnet 4 your follow and welcom #PostgreSQL #gamedev #Python u have great &amp; interestings post @droidstarVE awsome proyect</t>
  </si>
  <si>
    <t>Alejandro Mantilla</t>
  </si>
  <si>
    <t>AWS Lambda for Ultimate Service Oriented Architecture | Toptal https://t.co/TPELqwNbJx #AWS #AWSLambda #AmazonS3 #Python #SOA vía @toptalllc</t>
  </si>
  <si>
    <t>Software developer, senior student of Systems engineering. Strong interest in BackEnd #NodeJS #dotNet #php and Microservice Architecture https://t.co/sfeSAvD0Z9</t>
  </si>
  <si>
    <t>Thank @adventure_seekr 4 your follow and welcom #PostgreSQL #gamedev #Python u have great &amp; interestings post @droidstarVE awsome proyect</t>
  </si>
  <si>
    <t>declerck ن</t>
  </si>
  <si>
    <t>Thank @iReflexTheGame 4 your follow and welcom #PostgreSQL #gamedev #Python u have great &amp; interestings post @droidstarVE awsome proyect</t>
  </si>
  <si>
    <t>A Cloud Guru</t>
  </si>
  <si>
    <t>RT @AlejoJamC: AWS Lambda for Ultimate Service Oriented Architecture | Toptal https://t.co/TPELqwNbJx #AWS #AWSLambda #AmazonS3 #Python #SO…</t>
  </si>
  <si>
    <t>Cloud Skills for the Future of Work... We're @KroonenburgRyan, @samkroon and @IamStan</t>
  </si>
  <si>
    <t>#SmartSocial Award</t>
  </si>
  <si>
    <t>Colchester</t>
  </si>
  <si>
    <t>Rewarding businesses that are smart with #SocialMedia ~ #SmartSocial Award every Sunday 9am - 12 noon. Founded and run by @Marketme. Badges by @AquaDesignGroup</t>
  </si>
  <si>
    <t>Gracias @GabrielAndino por seguirme y bienvenido #python #postgresql #voipsecurity #gamedev excelentes post @droidstarVE fantastico #unity3d</t>
  </si>
  <si>
    <t>Ivan Rodriguez</t>
  </si>
  <si>
    <t>Enthsquare is hiring a Python Developer in Hasbrouck Heights, NJ #job #Python, #Django, https://t.co/LssBCGfntw</t>
  </si>
  <si>
    <t>Hasbrouck Heights, NJ</t>
  </si>
  <si>
    <t>Technical Recruiter @Enthsquare Contact information: Yvan.Rodriguez@enthsquare.com ..... 201-345-5663</t>
  </si>
  <si>
    <t>GameDevBRbot</t>
  </si>
  <si>
    <t>RT @lennincaro: Thank @iReflexTheGame 4 your follow and welcom #PostgreSQL #gamedev #Python u have great &amp; interestings post @droidstarVE a…</t>
  </si>
  <si>
    <t>GameDevbotting</t>
  </si>
  <si>
    <t>Hello! I'll RT the tag: #gamedev &amp; more. Mention me for chances to be retweeted &amp; get exposure for your work! DM to advertise with us!</t>
  </si>
  <si>
    <t>RT @lennincaro: Thank @adventure_seekr 4 your follow and welcom #PostgreSQL #gamedev #Python u have great &amp; interestings post @droidstarVE …</t>
  </si>
  <si>
    <t>RT @lennincaro: Thank @billsoftnet 4 your follow and welcom #PostgreSQL #gamedev #Python u have great &amp; interestings post @droidstarVE awso…</t>
  </si>
  <si>
    <t>RT @lennincaro: Thank @ibreakcharts 4 your follow and welcom #PostgreSQL #gamedev #Python u have great &amp; interestings post @droidstarVE aws…</t>
  </si>
  <si>
    <t>Javier Abad ツ</t>
  </si>
  <si>
    <t>Complete Tutorial to Learn Data Science with #Python from Scratch https://t.co/JHk1heY3SS #analytics #datascience #bigdata #machinelearning</t>
  </si>
  <si>
    <t>Pamplona</t>
  </si>
  <si>
    <t>Consultor en @SavacConsult, #ehealth #datascience en salud. Tecnología #bigdata #Analytics #machinelearning #IoT .. Disfrutando de la música cuando se puede</t>
  </si>
  <si>
    <t>Tony Ojeda</t>
  </si>
  <si>
    <t>RT @DistrictDataLab: Learn how to construct &amp; analyze social networks at our Graph Analytics with #Python workshop on 3/12! https://t.co/oH…</t>
  </si>
  <si>
    <t>Data Scientist | Author | Entrepreneur. Co-founder @DataCommunityDC. Founder @DistrictDataLab. #DataScience #BigData #Analytics #DataDC #DCTech</t>
  </si>
  <si>
    <t>Dennis Winter</t>
  </si>
  <si>
    <t>RT @nixcraft: See what a program does before deciding whether you really want it to happen https://t.co/M7oH9KDO8l #Linux #Python https://t…</t>
  </si>
  <si>
    <t>Berlin / Karlsruhe</t>
  </si>
  <si>
    <t>linux . buddhism . autism . grindcore</t>
  </si>
  <si>
    <t>WingzTV</t>
  </si>
  <si>
    <t>Follow up reinforcement learning exploration autonomous vehicle #Python #plotting loss hyperparameter tuning https://t.co/Y88x29mFQ8</t>
  </si>
  <si>
    <t>wingie_python_test</t>
  </si>
  <si>
    <t>giving you videos of recent news events. will tweet one every 15 minutes.</t>
  </si>
  <si>
    <t>How can I pass data from Flask to JavaScript in a template? https://t.co/Jshbo8vkcC #python #javascript</t>
  </si>
  <si>
    <t>Piotr Grudzien</t>
  </si>
  <si>
    <t>When coding in #python and an error message makes you ponder the meaning of life and love: ValueError: object too deep for desired array</t>
  </si>
  <si>
    <t>Cambridge University. Data Science. Polska.</t>
  </si>
  <si>
    <t>Luca Pappalardo</t>
  </si>
  <si>
    <t>How to evaluate a classifier in scikit-learn #python #machinelearning https://t.co/CAM1aN1oyx via @YouTube</t>
  </si>
  <si>
    <t>Pisa</t>
  </si>
  <si>
    <t>#PhD | #DataScientist | #BigData | #NetworkScience | #SportsAnalytics | #MachineLearning | #blogger | #globetrotter | creator of @bigdatatales</t>
  </si>
  <si>
    <t>ContextMedia (contextmedia) is hiring https://t.co/VS3DcJg4gF #python #mobile</t>
  </si>
  <si>
    <t>Knel Ast</t>
  </si>
  <si>
    <t>Socio Fundador de Grupo LCA http://t.co/Qblgw4QkWX y CM de #VaMoS</t>
  </si>
  <si>
    <t>iPython notebook, a wonderful tool for data scientists #python #datascience https://t.co/yZEvxTjnTn</t>
  </si>
  <si>
    <t>#python ipyk 0.1.4: IPython local kernel management utility https://t.co/OSUryCvadk</t>
  </si>
  <si>
    <t>#python makenew-python-package 1.0.3: Python package skeleton. https://t.co/u0eNMVSm6q</t>
  </si>
  <si>
    <t>#python django-m2m-history 0.3.4: Django ManyToMany relation field with history of changes https://t.co/GpoaEW7Hk7</t>
  </si>
  <si>
    <t>#python ITU-Turkish-NLP-Pipeline-Caller 2.1.0: A wrapper tool to use ITU Turkish NLP Pipeline API https://t.co/AbMsd6zQY7</t>
  </si>
  <si>
    <t>#python buckets 1.0.0: managing data by relevancy. https://t.co/8lzgMddMEJ</t>
  </si>
  <si>
    <t>#python os-cloud-config 0.4.0: Configuration for OpenStack clouds. https://t.co/5OfUexCWfi</t>
  </si>
  <si>
    <t>#python varcode 0.4.2: Variant annotation in Python https://t.co/hYq6HfA9Bb</t>
  </si>
  <si>
    <t>#python mammoth 0.3.30: Convert Word documents from docx to simple and clean HTML and Markdown https://t.co/t10CUcA4yD</t>
  </si>
  <si>
    <t>#python cloudshell-core 2.0 https://t.co/e5epG3EMp2</t>
  </si>
  <si>
    <t>#python django-twitter-api 0.2.9: Django implementation for Twitter API https://t.co/TKc1EZ4WQj</t>
  </si>
  <si>
    <t>Andrei Solntsev</t>
  </si>
  <si>
    <t>RT @yashaka: tomorrow will open main secrets of #selenide internals and show how to port it to other language with examples in #python, at …</t>
  </si>
  <si>
    <t>Tallinn</t>
  </si>
  <si>
    <t>Software craftsman @ http://t.co/n0khHqz7 (Tallinn, Estonia). Aggressive fan of extreme programming. Organizer of devclub.eu Creator of http://t.co/03c6sans</t>
  </si>
  <si>
    <t>Best Ways to Learn Programming for Beginners https://t.co/vgxTXQ8i3Y #programming #code #Codecademy #php #python #javascript</t>
  </si>
  <si>
    <t>Hanover Recruitment</t>
  </si>
  <si>
    <t>We're hiring a #Python #Developer for a #greenenergy company! https://t.co/FeF4XEJRwA #tech #code #jobs https://t.co/1dquGqhCMe</t>
  </si>
  <si>
    <t xml:space="preserve">London and Brighton, UK </t>
  </si>
  <si>
    <t>We're award-winning, friendly, #tech and #digital #recruiters. Follow us for news, tools and latest jobs in #marketing, #code, #SEO, #socialmedia and #design!</t>
  </si>
  <si>
    <t>The Learn #Python NYC meetup is hosting the Tuesday Office Hours on Tuesday. You should be there: https://t.co/R7jVPhzbzo</t>
  </si>
  <si>
    <t>#GetConnected: #Data engineers! If you love #gaming, our contact has the perfect job for you. #AWS #Python #SQL #R https://t.co/t1YPprMUwi</t>
  </si>
  <si>
    <t>selenide</t>
  </si>
  <si>
    <t>Selenide is a library for writing concise, readable, boilerplate-free tests in Java using Selenium WebDriver.</t>
  </si>
  <si>
    <t>Gabriel Linder</t>
  </si>
  <si>
    <t>#python is easy, right ? Python Puzzlers, 2016 Edition https://t.co/CicEVnSroT</t>
  </si>
  <si>
    <t>Connard INTP aigri. Disciple d'Occam. Apôtre de Cioran. Joueur de NetHack. Utilisateur d'OpenBSD. Troll à ses heures perdues. Brony. Luna is best princess EVER.</t>
  </si>
  <si>
    <t>Beginner Programmer here, new to reddit and I have a few questions to ask you. https://t.co/bv30J6OAv5 #Python I am 19 years old and jus…</t>
  </si>
  <si>
    <t>Python System Monitor https://t.co/MK2uN717XQ #Python First post, long time lurker. I want to run a remote resource monitor for several …</t>
  </si>
  <si>
    <t>RebeccaBilbro</t>
  </si>
  <si>
    <t>Data science, research, communication, synthesis</t>
  </si>
  <si>
    <t>Indie GameDev Bot</t>
  </si>
  <si>
    <t>RT @lennincaro: Gracias @GabrielAndino por seguirme y bienvenido #python #postgresql #voipsecurity #gamedev excelentes post @droidstarVE fa…</t>
  </si>
  <si>
    <t>Indie Game dev bot 6</t>
  </si>
  <si>
    <t>I'm an experimental bot #gamedev</t>
  </si>
  <si>
    <t>Sophie Rotgeri</t>
  </si>
  <si>
    <t>RT @pen1710: 2 Tage #Scratch und #Python, für Mädchen ab Klasse 8, ohne Vorkenntnisse #edchat #coderdojo https://t.co/FGSXV8oI4q https://t.…</t>
  </si>
  <si>
    <t>journalism. science. data. stuff. @eldoradiode I @journocode</t>
  </si>
  <si>
    <t>BigDataAnalytics</t>
  </si>
  <si>
    <t>RT @siffolone: iPython notebook, a wonderful tool for data scientists #python #datascience https://t.co/yZEvxTjnTn</t>
  </si>
  <si>
    <t>Artificial Dataset for Machine Learning with #Python and #Numpy / #Theano https://t.co/Y94oRWsVgB --- #programming #MachineLearning</t>
  </si>
  <si>
    <t>Australia B.</t>
  </si>
  <si>
    <t>Hiring: Sr. Software Engineer (Seattle, WA) https://t.co/5tO7Q5jbau #job @awscloud #AWS #java #python #ruby #fullstackengineer</t>
  </si>
  <si>
    <t>ReqCloud</t>
  </si>
  <si>
    <t>Herndon, VA/ Seattle, WA</t>
  </si>
  <si>
    <t>Corporate Recruiter for Software Developers at Amazon Web Services and a french fry connoisseur Yes, my name is really Australia</t>
  </si>
  <si>
    <t>Heute ein bisschen #python mit @SuiOni bei @journocode https://t.co/YD3C1EJbUn</t>
  </si>
  <si>
    <t>Cameron Laird</t>
  </si>
  <si>
    <t>RT @PythonEggs: What’s the big deal about Python? https://t.co/GOpZV3vV3A #python https://t.co/sAxJEZAUHB</t>
  </si>
  <si>
    <t>Phaseit builds and integrates applications you trust. And occasionally writes about our techniques. And, even more rarely, looks out the window.</t>
  </si>
  <si>
    <t>Big Data Science</t>
  </si>
  <si>
    <t>RT @techpearce2: KNN (K-Nearest Neighbor) algorithm using #Python: https://t.co/KZMW2w99Ef #abdsc #DataScience #Machin https://t.co/LSlimC…</t>
  </si>
  <si>
    <t>Big data, machine learning, predictive modeling, R, Hadoop, Python, business analytics, data mining, IoT and operations research: resources, tutorials and more.</t>
  </si>
  <si>
    <t>Mruktechreviews</t>
  </si>
  <si>
    <t>@martinohanlon never too young to start with #minecraft and #Python https://t.co/xgwTu47AR2</t>
  </si>
  <si>
    <t>Christian, Dad, Teacher, Certified Raspberry Pi Educator, Product reviewer,</t>
  </si>
  <si>
    <t>ByChanceGameStudios</t>
  </si>
  <si>
    <t>RT @wingston: Follow up reinforcement learning exploration autonomous vehicle #Python #plotting loss hyperparameter tuning https://t.co/Y88…</t>
  </si>
  <si>
    <t>Jason Couch</t>
  </si>
  <si>
    <t>@ADTRAN #Hiring #SoftwareDevelopmentEngineer #Wireless https://t.co/YKO96869sE #Huntsville AL #C/C++ #Python #Perl #Java #Scala #JOBS #Eng</t>
  </si>
  <si>
    <t xml:space="preserve"> Huntsville Alabama</t>
  </si>
  <si>
    <t>Global Talent Acquisitions / Technical Recruiter ADTRAN / Blessed Father / Bucks Football &amp; HAHA #2 Alum</t>
  </si>
  <si>
    <t>Vinicius Assef</t>
  </si>
  <si>
    <t>Não passe objetos aninhados para o template: https://t.co/RMnOGnCVGF #python #soudev</t>
  </si>
  <si>
    <t>I believe in God. I'm a software developer. I like Python and Shell script.</t>
  </si>
  <si>
    <t>Rivers Evans</t>
  </si>
  <si>
    <t>Service Oriented Architecture with AWS Lambda: A Step-by-Step Tutorial https://t.co/85EqJJcdy1 #AmazonS3 #AWS #AWSLambda #Python #SOA</t>
  </si>
  <si>
    <t>Charleston, SC</t>
  </si>
  <si>
    <t>Sales Engineer @toptalllc, one of the fastest growing tech companies in Silicon Valley. http://t.co/gNScaLPKyJ</t>
  </si>
  <si>
    <t>Bini</t>
  </si>
  <si>
    <t>Still commanding 💯 #java #python #worldofprogrammers #nightcode #programmer https://t.co/nTML0pDZBV</t>
  </si>
  <si>
    <t>Pejë</t>
  </si>
  <si>
    <t>Web Developer &amp; Penetration Tester Studied Computer Science and engineering at UBT - Higher Education Institution</t>
  </si>
  <si>
    <t>Py Coding</t>
  </si>
  <si>
    <t>RT @riversevans: Service Oriented Architecture with AWS Lambda: A Step-by-Step Tutorial https://t.co/85EqJJcdy1 #AmazonS3 #AWS #AWSLambda …</t>
  </si>
  <si>
    <t>#python #R #datascience #ML</t>
  </si>
  <si>
    <t>RT @jcouch50: @ADTRAN #Hiring #SoftwareDevelopmentEngineer #Wireless https://t.co/YKO96869sE #Huntsville AL #C/C++ #Python #Perl #Java #S…</t>
  </si>
  <si>
    <t>Bev Facey School</t>
  </si>
  <si>
    <t>RT @chunger0923: Next language is #python in #cs10. Using python 3.4 @bevfacey @eips #codingisfun and simple when using @ThePSF https://t.c…</t>
  </si>
  <si>
    <t>Sherwood Park, Alberta</t>
  </si>
  <si>
    <t>Commitment • Enthusiasm • Dedication • Loyalty • Respect</t>
  </si>
  <si>
    <t>RT @creative_punch: Artificial Dataset for Machine Learning with #Python and #Numpy / #Theano https://t.co/Y94oRWsVgB --- #programming #Mac…</t>
  </si>
  <si>
    <t>RT @programmingncr: Python System Monitor https://t.co/MK2uN717XQ #Python First post, long time lurker. I want to run a remote resource m…</t>
  </si>
  <si>
    <t>RT @marcel_dmg: Nice post: "How the heck does async/await work in Python 3.5" by @brettsky #Python https://t.co/0lWgU3mCg8</t>
  </si>
  <si>
    <t>Gamer Thrift Bot</t>
  </si>
  <si>
    <t>Illinois, USA</t>
  </si>
  <si>
    <t>Tweeting #gaming news and retweeting the best of #indiegames #indiedev and #gamedev - checkout @gamerthrift for more news and gaming deals</t>
  </si>
  <si>
    <t>Insanitus</t>
  </si>
  <si>
    <t>Voice Recognition and Text to Speech in #Python -https://t.co/Gl4H0pDG4F</t>
  </si>
  <si>
    <t>Half Irish | Book Lover | Creative | Hobby( Audio Producer &amp; Designer) | Developer in training</t>
  </si>
  <si>
    <t>Skechy Max Normal</t>
  </si>
  <si>
    <t>"@desklap: #JavaScript and #Java fend off challenges from #PHP, #Python | InfoWorld https://t.co/fYbphxsNWV"</t>
  </si>
  <si>
    <t xml:space="preserve"> Anus, France</t>
  </si>
  <si>
    <t>Everybody relax, I'm here. - Jack Burton</t>
  </si>
  <si>
    <t>Yasemen</t>
  </si>
  <si>
    <t>The Idiomatic Way to Merge Dictionaries in #Python - Trey Hunner https://t.co/831rVaOOOc via @treyhunner</t>
  </si>
  <si>
    <t>İstanbul, Türkiye</t>
  </si>
  <si>
    <t>ياسمن نخجواني - Applied Physics Engineer. Pythonista.</t>
  </si>
  <si>
    <t>#Python Rolling Mean #HowTo #Question #Tech https://t.co/e1QFgsTxj0</t>
  </si>
  <si>
    <t>"Python System Monitor" via #Python https://t.co/XQ9g3BaqY2</t>
  </si>
  <si>
    <t>"Beginner Programmer here, new to reddit and I have a few questions to ask you." via #Python https://t.co/A5OrpILNIi</t>
  </si>
  <si>
    <t>"New Module: Bond - A Spy-Based Testing and Mocking Library" via #Python https://t.co/2olCvS0QE1</t>
  </si>
  <si>
    <t>#Python Rolling Mean #Tech #Internet #Programming https://t.co/HQ4ScGc4MF</t>
  </si>
  <si>
    <t>ProgrammableWeb</t>
  </si>
  <si>
    <t>Facebook Releases #Python Ads #API SDK Docs https://t.co/EcaGqD4cQa https://t.co/K8fm8tL70g</t>
  </si>
  <si>
    <t>ProgrammableWeb is the world's leading source of news and information about Internet-based application programming interfaces. #API</t>
  </si>
  <si>
    <t>ActiveState recipe: https://t.co/JPnHSQoXYj #Python #programming</t>
  </si>
  <si>
    <t>importpython</t>
  </si>
  <si>
    <t>Import a Docker Container in Python https://t.co/Iq0D88AJum #docker #python</t>
  </si>
  <si>
    <t>ImportPython Newsletter</t>
  </si>
  <si>
    <t>Weekly Python newsletter https://t.co/4ZEpUIjMlb that keeps you updated on what's happening in the world of Python. Curated By @originalankur</t>
  </si>
  <si>
    <t>#Python Continuum Analytics News: Getting the Most Out of Anaconda for Your Cluster:… https://t.co/xAcxM3yfjo https://t.co/Xlz4CdPXLg</t>
  </si>
  <si>
    <t>#Python Mike Driscoll: Python: An Intro to caching: A cache is a way to store a limited amount of data such that… https://t.co/2E5UfekLeA</t>
  </si>
  <si>
    <t>1871 Chicago</t>
  </si>
  <si>
    <t>.@OptionsAway is growing their engineering team! Join the disruptive travel tech startup today! #python #hiring https://t.co/yuzIfXgsxV</t>
  </si>
  <si>
    <t>Chicago</t>
  </si>
  <si>
    <t>Where Chicago's digital designers, engineers and entrepreneurs come to build their businesses. Sign up for the 1871 Newsletter: http://t.co/OnYiypd5ev</t>
  </si>
  <si>
    <t>#Python Python method chaining examples (Python): Python recipe 580616 by Vasudev Ram (chaining, methods, object,… https://t.co/qQJ1khEreE</t>
  </si>
  <si>
    <t>RT @importpython: Import a Docker Container in Python https://t.co/Iq0D88AJum #docker #python</t>
  </si>
  <si>
    <t>Dominik Kowalski</t>
  </si>
  <si>
    <t>Problemy ze zrozumieniem prostych rzeczy w języku #Python napawają mnie dużym smutkiem, gdzieś musiałem popełnić błąd.</t>
  </si>
  <si>
    <t>Warsaw</t>
  </si>
  <si>
    <t>The Idiomatic Way to Merge Dictionaries in #Python - https://t.co/edYDo56TNu</t>
  </si>
  <si>
    <t>Zoltán Herczog</t>
  </si>
  <si>
    <t>Pécs, Hungary</t>
  </si>
  <si>
    <t>Text mining, NLP, Django, CSS, WebGL, Machine Learning, Python, Big Data, Emacs, Gentoo 3 .</t>
  </si>
  <si>
    <t>Zachary Ernst</t>
  </si>
  <si>
    <t>There is no design problem in #Python that can't be solved by defining more classes.</t>
  </si>
  <si>
    <t>Columbia, Missouri</t>
  </si>
  <si>
    <t>Former Academic Philosopher. Current Software Engineer. Automated theorem-proving. Machine learning. Game theory. Need more coffee.</t>
  </si>
  <si>
    <t>Python for Data Scientists https://t.co/as9f3Tht5m via @srcport #datascience #tech #science #math #python https://t.co/AP27o8sCWU</t>
  </si>
  <si>
    <t>kivy python List to button text https://t.co/VW1o7Wmwuk #python #kivy</t>
  </si>
  <si>
    <t>Learn to Code Games</t>
  </si>
  <si>
    <t>75% off on this #Python 3 course https://t.co/aws1aVsNa6 Learn how to become a #paid #scripting professional.</t>
  </si>
  <si>
    <t>Promoting online courses for programming, game development, android development and much more. Follow us and get HUGE discounts with our coupons!</t>
  </si>
  <si>
    <t>fam - A simple Python ORM for CouchDB and Couchbase Sync Gateway. https://t.co/v7s9ETR46Q #Python #CouchDB #Couchbase</t>
  </si>
  <si>
    <t>Dixie Reptile Show April 2015: https://t.co/PHRLbUrg7D #reptile #snakes #reptiles #snake #tortoise #python #spiders #gecko</t>
  </si>
  <si>
    <t>Cédric Krier</t>
  </si>
  <si>
    <t>doctest is not so great when you try to support #Python 2 and 3</t>
  </si>
  <si>
    <t>Liège, Belgium</t>
  </si>
  <si>
    <t>Tryton leader, Python and Gentoo developer</t>
  </si>
  <si>
    <t>#python vt 2.1.3.0: VirusTotal Full API https://t.co/RGZLH7MsA9</t>
  </si>
  <si>
    <t>#python tunic 1.2.0: Deployment related Fabric utilities https://t.co/dITqDeTRgG</t>
  </si>
  <si>
    <t>#python https://t.co/vkQtoFYJCM.vocabularies 2.2.2: Collection of generally useful vocabularies for Plone. https://t.co/GsYwp14bPv</t>
  </si>
  <si>
    <t>#python plone.behavior 1.1.1: Infrastructure for maintaining a registry of available behaviors https://t.co/cnLxNb5YCS</t>
  </si>
  <si>
    <t>#python blueflood-carbon-forwarder 0.3.1: Treat other 2xx response code from blueflood as success https://t.co/axx4tP4dDx</t>
  </si>
  <si>
    <t>#python elex 1.2.1: Client for parsing the Associated Press's elections API https://t.co/fsprGDvL22</t>
  </si>
  <si>
    <t>#python scikit-sparse 0.3: Scikits sparse matrix package https://t.co/tIB2QvVOkg</t>
  </si>
  <si>
    <t>#python django-followit 0.2.1: A Django application that allows users to follow django model objects https://t.co/9HbLgX8Jh3</t>
  </si>
  <si>
    <t>#python dynamo-objects 1.0.8: Simple DynamoDB object mapper and utils https://t.co/hX9ARe2V86</t>
  </si>
  <si>
    <t>#python AllanTools 2016.2: Allan deviation and related time/frequency statistics https://t.co/Hoae0jGVnl</t>
  </si>
  <si>
    <t>Stefan Hoehn</t>
  </si>
  <si>
    <t>#RaspberryPi #python 2 different Eventhandler don't fit. GPIO.wait_for_edge(23, GPIO.RISING) -and- pygame.event.get() Can anybody help !</t>
  </si>
  <si>
    <t>Worms/Germany</t>
  </si>
  <si>
    <t>Computer sind mein Hobby, schon immer. Ich lebe in Worms. Ich mag Linux, Katzen und Bier</t>
  </si>
  <si>
    <t>Mr JEEK &amp; Dr KWOL</t>
  </si>
  <si>
    <t>Ma vie, c'est IT-CROWD chez #LesBleusÀképi (parfois je grogne, mais je ne mords pas) #TeamFuckingMonday &amp; #TeamOurs (compte personnel)</t>
  </si>
  <si>
    <t>Ribcracker</t>
  </si>
  <si>
    <t>If @StackExchange were to be banned. #developers hell ! #php #Laravel #django #python #swiftlang #react #ruby https://t.co/r61CsuyGx8</t>
  </si>
  <si>
    <t>We are on a mission to find the funniest man...or woman alive. Be #funny █║▌█║▌█║║█║▌█║▌│█ █║▌║█║▌ © Official Twitter Profile. All Rights Reserved★™</t>
  </si>
  <si>
    <t>Дмитрий Белореченцев</t>
  </si>
  <si>
    <t>Import in #python makes me sad.I want to import module from sibling directory.Why i should import sys and add sibling directory to sys.path?</t>
  </si>
  <si>
    <t>A medium-sized creature prone to great ambition.</t>
  </si>
  <si>
    <t>Dixie Reptile Show Snake On A Guy's Head!: https://t.co/1pFgjPXKBp #reptile #snakes #reptiles #snake #tortoise #python #spiders #gecko</t>
  </si>
  <si>
    <t>Reynold Atkinson</t>
  </si>
  <si>
    <t>Introduction to #Python for #DataScience | edX https://t.co/K0P2MaDZFz</t>
  </si>
  <si>
    <t>HappyGrumpyB</t>
  </si>
  <si>
    <t>CEO &amp; Founder of Opinion Mining &amp; Market Research firm. Volunteer for https://t.co/FRdVOiolRg | @happygrumpy_com</t>
  </si>
  <si>
    <t>Fabio Pliger</t>
  </si>
  <si>
    <t>Sw. Engineer, python developer (and ethusiast! and evangelist!), EuroPython Society board chair, father, husband, tech for passion ;)</t>
  </si>
  <si>
    <t>#Python Selenium Create List Of li #HowTo #Question #Tech https://t.co/2JWyqE5HW6</t>
  </si>
  <si>
    <t>#Python Selenium Create List Of li #Tech #Internet #Programming https://t.co/K8LqvjNacR</t>
  </si>
  <si>
    <t>Practical Predictive Modeling with Python https://t.co/dUWY2YZa4E #DataScience #Python #MachineLearning</t>
  </si>
  <si>
    <t>RT @alexamici: pytest-nodev 0.9.3 #release is out! Test-driven code search for #python with #pytest https://t.co/ywyOkT7n20</t>
  </si>
  <si>
    <t>David Bower</t>
  </si>
  <si>
    <t>Using @azure Resource Manager? Love #Python? Give @gbowerman's cool visualizer/tool https://t.co/HyDRhzO1wT @ukazure https://t.co/Evh7xgGJfz</t>
  </si>
  <si>
    <t>Romford, United Kingdom</t>
  </si>
  <si>
    <t>Passionate IT developer/consultant and educationalist promoting and developing all things code and techy</t>
  </si>
  <si>
    <t>François Sarradin</t>
  </si>
  <si>
    <t>@naikyworld ça doit être très intéressant à faire au DIL. #Scala vs #Python vs #Haskell vs #Javascript</t>
  </si>
  <si>
    <t>Paris - France</t>
  </si>
  <si>
    <t>λx.bagger x https://t.co/gp8oumrUnc | Tech, Innovation &amp; Fun | Manager technique capitalisation @ippontech | *Opinions expressed here represent my own</t>
  </si>
  <si>
    <t>Gergo Bogdan</t>
  </si>
  <si>
    <t>RT @PythonWeekly: fam - A simple Python ORM for CouchDB and Couchbase Sync Gateway. https://t.co/v7s9ETR46Q #Python #CouchDB #Couchbase</t>
  </si>
  <si>
    <t>Budapest</t>
  </si>
  <si>
    <t>Software Engineer, Technology Enthusiast, Translator, blogger</t>
  </si>
  <si>
    <t>Raymond Wanyoike</t>
  </si>
  <si>
    <t>"No ORM Required" https://t.co/MbStC4Mk94 thank you! 💯 @sqlalchemy #python</t>
  </si>
  <si>
    <t>Nairobi, Kenya</t>
  </si>
  <si>
    <t>Trance ♥ / Cyclist / Enthusiast</t>
  </si>
  <si>
    <t>John Pearce</t>
  </si>
  <si>
    <t>How to import a @Docker #Container in #Python by @noajshu: https://t.co/ClSeARG1AZ https://t.co/zOyloFgA4X</t>
  </si>
  <si>
    <t>Pinterest</t>
  </si>
  <si>
    <t>Manchester, England</t>
  </si>
  <si>
    <t>john pearce news collection &amp; public distribution @techpearce2 &amp; @techpearce3 #Tech #SocialMedia #Mobile &amp; #Internet #News https://t.co/nDfumzm0GL</t>
  </si>
  <si>
    <t>RT @PythonDaily: They're #Coding in NFLD too! New #codeClub learning #Python https://t.co/SeG4tKGK52 @brilliant_labs</t>
  </si>
  <si>
    <t>Retweeted PythonDaily (@PythonDaily): They're #Coding in NFLD too! New #codeClub learning #Python... https://t.co/nm6ht6s2Xm</t>
  </si>
  <si>
    <t>Great intro to #Python mocking by @FugueHQ https://t.co/aPLjv5Y5m4</t>
  </si>
  <si>
    <t>RT @MTotolrahaman: #Python static member object of the same defining class type fails isinstance check of a non-member object defined… http…</t>
  </si>
  <si>
    <t>Retweeted Rahaman M (@MTotolrahaman): #Python static member object of the same defining class type fails... https://t.co/J1swlArBlW</t>
  </si>
  <si>
    <t>RT @MTotolrahaman: #Python with Seleneium Webdriver, reading a button and saving its text #Tech #Internet #Programming https://t.co/saiJKNw…</t>
  </si>
  <si>
    <t>Retweeted Rahaman M (@MTotolrahaman): #Python with Seleneium Webdriver, reading a button and saving its text... https://t.co/jXzV95U9kE</t>
  </si>
  <si>
    <t>iMasters</t>
  </si>
  <si>
    <t>#Python para #DevOps: uma habilidade para se desenvolver https://t.co/p2VWl6A362</t>
  </si>
  <si>
    <t>Atualizações do Portal iMasters. Acompanhe também no Facebook: http://t.co/UR45hSZE</t>
  </si>
  <si>
    <t>Retweeted Randy Olson (@randal_olson): Happy to see so much positive feedback abt the #Python #dataviz course.... https://t.co/SUOJNMVyzW</t>
  </si>
  <si>
    <t>Retweeted Python Weekly (@PythonWeekly): Technical writing with sphinx https://t.co/gStmxYtM2E #sphinx #python https://t.co/W28LpeyTOp</t>
  </si>
  <si>
    <t>Retweeted Gregory Piatetsky (@kdnuggets): Introduction to Spark with #Python #KDN https://t.co/0zeu7Z1wlG https://t.co/XcjLt4cR79</t>
  </si>
  <si>
    <t>RT @mikegrimshaw2: #Pyweek 21 one week away | @Mauveweb | #Python #Gaming #Hackathon #dev #GameDev #PyGame https://t.co/ZoanAbMlqp</t>
  </si>
  <si>
    <t>Retweeted mike grimshaw (@mikegrimshaw2): #Pyweek 21 one week away | @Mauveweb | #Python #Gaming #Hackathon #dev... https://t.co/ChuK1tHZiD</t>
  </si>
  <si>
    <t>RT @mikegrimshaw2: A simple #Django #CRUD builder django-crudbuilder 0.1.6 : #Python Package Index | #Sql #NoSql #bigData #database https:…</t>
  </si>
  <si>
    <t>Retweeted mike grimshaw (@mikegrimshaw2): A simple #Django #CRUD builder django-crudbuilder 0.1.6 : #Python... https://t.co/A3gB3dFE4i</t>
  </si>
  <si>
    <t>RT @soiqbot: Using different settings on a aws lambda function coded in python https://t.co/seQHrxoroY #python-2.7 #aws-api-gateway</t>
  </si>
  <si>
    <t>Retweeted Gregory Piatetsky (@kdnuggets): R vs #Python: head to head data analysis #KDN https://t.co/8uPumY4kUa https://t.co/kmhucR9b9z</t>
  </si>
  <si>
    <t>Abdelmalek</t>
  </si>
  <si>
    <t>Bruxelles, Belgique</t>
  </si>
  <si>
    <t>Analyste - programmeur Développeur Python / Django Applications / Sites Web / Bases de données</t>
  </si>
  <si>
    <t>RT @WomenWhoCode: Check out our list of resources for learning new programming languages https://t.co/XSBlbn4Pls #javascript #python and mo…</t>
  </si>
  <si>
    <t>RT @KirkDBorne: Essentials of #MachineLearning Algorithms (with #Python and R Code) https://t.co/DdMDiO8rt7 #BigData #DataScience #Rstats</t>
  </si>
  <si>
    <t>Retweeted Kirk Borne (@KirkDBorne): Essentials of #MachineLearning Algorithms (with #Python and R Code)... https://t.co/Y8lHHHN9yI</t>
  </si>
  <si>
    <t>RT @PythonDaily: Get the @NumFOCUS newsletter for updates on #Jupyter, @JuliaLanguage, @PyData, @swcarpentry and more. #Python https://t.co…</t>
  </si>
  <si>
    <t>Will Ricciardi</t>
  </si>
  <si>
    <t>PyPI Deployment With Travis CI https://t.co/txWNzZc3SG #PyPI #python #DevOps #APM #TraceView</t>
  </si>
  <si>
    <t>Full Stack App Performance Monitoring</t>
  </si>
  <si>
    <t>[b0t]Artificial Intelligence Collaboration Project https://t.co/szHEf5hXOf #python</t>
  </si>
  <si>
    <t>[b0t]Artificial Intelligence Collaboration Project https://t.co/O9p0Aml8DD #python</t>
  </si>
  <si>
    <t>Javascript Digest</t>
  </si>
  <si>
    <t>RT @bustmykeyboard: "@desklap: #JavaScript and #Java fend off challenges from #PHP, #Python | InfoWorld https://t.co/fYbphxsNWV"</t>
  </si>
  <si>
    <t>javascriptdigest</t>
  </si>
  <si>
    <t xml:space="preserve">Everywhere </t>
  </si>
  <si>
    <t>Javascript Digest brought to you by http://t.co/rHlyfe7p7r</t>
  </si>
  <si>
    <t>Bruno Eugênio</t>
  </si>
  <si>
    <t>RT @iMasters: #Python para #DevOps: uma habilidade para se desenvolver https://t.co/p2VWl6A362</t>
  </si>
  <si>
    <t>Recife - Brazil</t>
  </si>
  <si>
    <t>Developer living in Brazil. Skateboard, Business, web development, sports (a lot of...) and heavy metal.</t>
  </si>
  <si>
    <t>Cruor</t>
  </si>
  <si>
    <t>Code live! "Sadpandareader, a Kivy app. " https://t.co/EbqOqdA2ci #programming #wednesday #Python @livecodingtv</t>
  </si>
  <si>
    <t>Kristiansand</t>
  </si>
  <si>
    <t>Code live! "Sadpandareader, a Kivy app. " https://t.co/hXFRl00YcR #coding #technology #Python @Cruor99</t>
  </si>
  <si>
    <t>Matt McDonnell</t>
  </si>
  <si>
    <t>Today: finding out #MATLAB deploytool doesn't have a simple #Python equivalent. Plus side: learning #puppet, #docker, #vagrant #fb</t>
  </si>
  <si>
    <t>Geek Code: GS/E d s: a C(++++) U W++ N+ w M PS+ PE Y+ X+ !tv b+++ DI+ D e++++ h+ r-- y?</t>
  </si>
  <si>
    <t>RT @math3uscom: How can I pass data from Flask to JavaScript in a template? https://t.co/Jshbo8vkcC #python #javascript</t>
  </si>
  <si>
    <t>#Python- write Headers only once #HowTo #Question #Tech https://t.co/LVNDsSZVcJ</t>
  </si>
  <si>
    <t>Robert Kern</t>
  </si>
  <si>
    <t>RT @py3k: predicthq - PredictHQ Event Intelligence pypi: https://t.co/skhV25cEC2 www: https://t.co/BA6rqMofE1 #python</t>
  </si>
  <si>
    <t>Auckland, NZ</t>
  </si>
  <si>
    <t>CTO at @PredictHQ</t>
  </si>
  <si>
    <t>miket</t>
  </si>
  <si>
    <t>The labs (with #python) Daily is out! https://t.co/HXJMh4ENJf</t>
  </si>
  <si>
    <t>Malaysia (truly Asia?)</t>
  </si>
  <si>
    <t>Asia . Startup . Photography . Unwired . UX ... &amp; marketing guy: http://t.co/biQsDJpRFe http://t.co/xnNwRHh612 http://t.co/XfAFJfkG41 http://t.co/mN9RK4hXAc</t>
  </si>
  <si>
    <t>Six Feet Up, Inc.</t>
  </si>
  <si>
    <t>Fishers, IN</t>
  </si>
  <si>
    <t>Woman-owned, Human-Friendly company specializing in web hosting and software dev. Using open source software to connect communities since 1999. #Python #Plone</t>
  </si>
  <si>
    <t>#Python- write Headers only once #Tech #News #HowTo https://t.co/iMyvSoxaBW</t>
  </si>
  <si>
    <t>Cristiano Veiga</t>
  </si>
  <si>
    <t>Salvador, Bahia, Brasil</t>
  </si>
  <si>
    <t>#Python- write Headers only once #Tech #Internet #Programming https://t.co/kS5syh7W5h</t>
  </si>
  <si>
    <t>Actually, #PyInstaller is pretty close but still worth checking out the containerisation approaches. #python #deployment #devops</t>
  </si>
  <si>
    <t>Fabio Fornari</t>
  </si>
  <si>
    <t>#Python &amp; #blackholes The #LIGO Scientific Collaboration made the first direct detection of gravitational waves https://t.co/YgwUPwg91b</t>
  </si>
  <si>
    <t>e=mc²</t>
  </si>
  <si>
    <t>Enrico Ferrera</t>
  </si>
  <si>
    <t>Torino, Italy</t>
  </si>
  <si>
    <t>Researcher at @IsmbOnweb</t>
  </si>
  <si>
    <t>Cienti</t>
  </si>
  <si>
    <t>RT @mgesteiro: ¿Te gustan la #privacidad | #hacking | #python? Vente mañana a @python_vigo → https://t.co/BnTAyLeijN #http #Tor https://t.c…</t>
  </si>
  <si>
    <t>Al sur muy al sur</t>
  </si>
  <si>
    <t>Aprendiz de todo, profesor de nada</t>
  </si>
  <si>
    <t>Michael Mandell</t>
  </si>
  <si>
    <t>@SmartFile Working with some real sharp #python developers looking to change jobs ASAP. Let me show you some #resumes!</t>
  </si>
  <si>
    <t>Newport Beach</t>
  </si>
  <si>
    <t>I.T Recruiter specializing in Systems &amp; Network Administration, Avid NY Giants fan &amp; owner of a dog named Rufus. Just another day is paradise</t>
  </si>
  <si>
    <t>Egomarklondon</t>
  </si>
  <si>
    <t>#cayler #sneakers #launch #Caylerandsons #hamachi #trainers #street #white #python #luxe it up… https://t.co/1L4onggSRE</t>
  </si>
  <si>
    <t>Hoxton Square, London</t>
  </si>
  <si>
    <t>Egomark London are a sales and distribution agency specialising in both Womenswear and Menswear. info@egomark.co.uk</t>
  </si>
  <si>
    <t>Bot</t>
  </si>
  <si>
    <t>#Python 関数の引数に * をつけると配列とタプル、 ** をつけると辞書を展開する。func(*[1,2]) は func(1,2) と同意。func(**{'a':1,'b':2}) は func(a=1,b=2) と同意。 [20]</t>
  </si>
  <si>
    <t>AlterBot</t>
  </si>
  <si>
    <t>Carbon Three, Inc</t>
  </si>
  <si>
    <t>#Hiring: Chicago. Full-Stack Developer https://t.co/o62fbZnzep Apply now! #Javascript #Python</t>
  </si>
  <si>
    <t>Detroit, Mi</t>
  </si>
  <si>
    <t>Consulting and recruiting firm specializing in building teams and growing companies. Informing you about #jobs, #events, #startups, and #tech.</t>
  </si>
  <si>
    <t>emergya</t>
  </si>
  <si>
    <t>Los siete perfiles profesionales imprescindibles para una startup #FrontEnd #Python #Ruby https://t.co/A8fnAPTfhs https://t.co/GNDeAzp0vT</t>
  </si>
  <si>
    <t>España- Chile</t>
  </si>
  <si>
    <t>Cuenta oficial de Emergya, consultora TIC especializada en sistemas de información y soluciones basadas en tecnologías y productos de software libre</t>
  </si>
  <si>
    <t>Live coding combination of #Python #Django, #JavaScript &amp; #HTML w/@karolyi https://t.co/8iL2wZkUJO https://t.co/dT7o46KlkW</t>
  </si>
  <si>
    <t>#python django-sequere 0.2.7: A Django application to implement a follow system and a timeline using multiple… https://t.co/IGMKyEF6fq</t>
  </si>
  <si>
    <t>#python ITU-Turkish-NLP-Pipeline-Caller 2.2.0: A wrapper tool to use ITU Turkish NLP Pipeline API https://t.co/7loSbeUeWf</t>
  </si>
  <si>
    <t>#python x86cpu 0.3: Collect information about x86 CPU https://t.co/5w7904ld9P</t>
  </si>
  <si>
    <t>#python cwltool 1.0.20160225202307: Common workflow language reference implementation https://t.co/Yte6fF5XtU</t>
  </si>
  <si>
    <t>Lobsters</t>
  </si>
  <si>
    <t>The Idiomatic Way to Merge Dictionaries in Python https://t.co/Z45MYlVrsf https://t.co/Kz5KJ7jclX #python</t>
  </si>
  <si>
    <t>lobsters: jcs strikes back</t>
  </si>
  <si>
    <t>Official lobste.rs feed for stories that have reached the front page.</t>
  </si>
  <si>
    <t>Francesca Maria</t>
  </si>
  <si>
    <t>Bye bye Florida... Texas here I come! #LOVETOUR2016 #worldtour #artistlife #adidas #python… https://t.co/3AQRJud7ud</t>
  </si>
  <si>
    <t>Singer, Songwriter, Dancer, Performer https://t.co/Y4BcgOaM1Q https://t.co/BlOAui6OWw</t>
  </si>
  <si>
    <t>Great answer: Safely convert dollars to cents https://t.co/bjU79peQhq #python</t>
  </si>
  <si>
    <t>David Whale</t>
  </si>
  <si>
    <t>The great @energenie4u whole-house monitor MIHO006 https://t.co/1AGL1M78Ju is now working with #python/@Raspberry_Pi https://t.co/VHvIfXbXRl</t>
  </si>
  <si>
    <t>Essex</t>
  </si>
  <si>
    <t>Co author Adventures in #Minecraft, embedded software engineer, #STEM Ambassador (Essex/Herts), IET Essex Schools Liaison Officer, #BBCMicroBit evangelist</t>
  </si>
  <si>
    <t>We Can Code IT</t>
  </si>
  <si>
    <t>Happy Engineering week! Right now Mel is teaching #Python to engineers @Generalelectric. Go, Mel! https://t.co/nm1MXTL01j</t>
  </si>
  <si>
    <t>HubSpot</t>
  </si>
  <si>
    <t>Cleveland, OH</t>
  </si>
  <si>
    <t>We teach people how to code! Our special focus is inclusion in technology. Coding boot camps for adults, corporate training, K-12 workshops and classes.</t>
  </si>
  <si>
    <t>CSSDeck</t>
  </si>
  <si>
    <t>Encoding JSON with #Python https://t.co/fw2TMirFfb</t>
  </si>
  <si>
    <t>HTML5, CSS3, JS Demos and Codecasts (video style tutorials) by @_rishabhp</t>
  </si>
  <si>
    <t>ScraperDB</t>
  </si>
  <si>
    <t>#python https://t.co/H8Hx3rItv9 data mine using our software #abdsc #email</t>
  </si>
  <si>
    <t>The Internet</t>
  </si>
  <si>
    <t>ScraperDB is a trade that specializes in creating scrapers, bots and internet marketing tools that assist you by automating repetitive and time consuming tasks</t>
  </si>
  <si>
    <t>Joono OpenStory</t>
  </si>
  <si>
    <t>「Snakes for Kids」 Meet Green Tree #Python, a beautiful green #snake that likes to loop over the branch https://t.co/V1Ww5zK0HS</t>
  </si>
  <si>
    <t>twittbot.net</t>
  </si>
  <si>
    <t>https://t.co/EgKUzfo5q0 We are an indie publisher that creates children's e-books, language learning and visual research e-books around the world. iBooks, iPad</t>
  </si>
  <si>
    <t>RT https://t.co/rzYXVK5ict Live coding combination of #Python #Django, #JavaScript &amp; #HTML w/karolyi … https://t.co/fvpiD4ZECE</t>
  </si>
  <si>
    <t>Thought Module</t>
  </si>
  <si>
    <t>Good article on how asyncio works in #python 3.5. https://t.co/qrvQ9LqYLz</t>
  </si>
  <si>
    <t>Oscar Villarreal</t>
  </si>
  <si>
    <t>denver colorado</t>
  </si>
  <si>
    <t>ui engineer / deisgner / rock climber / philosopher / lover of life</t>
  </si>
  <si>
    <t>LIVE DEVELOPMENT of sad panda reader, a kivy #python https://t.co/hXFRl00YcR #appdev #indiedev https://t.co/2ObL0sAGFw</t>
  </si>
  <si>
    <t>RT @livecodingtv: LIVE DEVELOPMENT of sad panda reader, a kivy #python https://t.co/hXFRl00YcR #appdev #indiedev https://t.co/2ObL0sAGFw</t>
  </si>
  <si>
    <t>FLFL El Geneina</t>
  </si>
  <si>
    <t>#macbookair #starbucks #python https://t.co/sK82ddd7yv</t>
  </si>
  <si>
    <t>Video Tech | Youtuber | Reviewer | Producer</t>
  </si>
  <si>
    <t>Django 1.9's Improvements for Po... https://t.co/fJVxXCibSV #django #python</t>
  </si>
  <si>
    <t>Patrick Dougherty</t>
  </si>
  <si>
    <t>Anyone have tips on handling parsing of a website that doesn't declare a charset? #python #beautifulsoup</t>
  </si>
  <si>
    <t>O's Analyst, occasional tweeter of funny things</t>
  </si>
  <si>
    <t>Jurjen Vorhacker</t>
  </si>
  <si>
    <t>Nederland</t>
  </si>
  <si>
    <t>Mr. Retweet. Following people worth retweeting. I like sarcasm, cynicism and irony. I don't like stupidity and ignorance.</t>
  </si>
  <si>
    <t>Tony</t>
  </si>
  <si>
    <t>Por dentro / Por fora vai que vai #code #python #webdev #dev #programming https://t.co/XRhOHX8RmS</t>
  </si>
  <si>
    <t>Uberlândia</t>
  </si>
  <si>
    <t>Garoto de programa Web / Produtor e DJ (darkpsy/pyscore) insta/snap: antoniocdff soundcloud: https://t.co/lfJFFHbw9E</t>
  </si>
  <si>
    <t>Alex Barreto</t>
  </si>
  <si>
    <t>RT @techpearce2: Retweeted Kirk Borne (@KirkDBorne): Essentials of #MachineLearning Algorithms (with #Python and R Code)... https://t.co/Y…</t>
  </si>
  <si>
    <t>Mountain View, CA, USA</t>
  </si>
  <si>
    <t>OpenStacker, Dockerite, Cloud and Data hands-on SME. Making Open Hybrid Cloud for Data Processing a reality since 2007.</t>
  </si>
  <si>
    <t>Get the Most Out of #Anaconda for Your Cluster - Anaconda on #Hadoop via @koverholt https://t.co/JjnW5GDeaw #Python https://t.co/TKfqxW41ly</t>
  </si>
  <si>
    <t>Daily Tech Video</t>
  </si>
  <si>
    <t>[Video 451] Brian Lange: Practical #Jupyter at a #DataScience Firm #python https://t.co/YoGPExxbTl https://t.co/VZW9GqU0tz</t>
  </si>
  <si>
    <t>A new video about technology, every day. Mostly full-stack, open-source Web technologies. Suggestions are welcome! Curated by @reuvenmlerner.</t>
  </si>
  <si>
    <t>newsafaribooks</t>
  </si>
  <si>
    <t>Learning Cython Programming - Second Edition #PacktPublishing https://t.co/xSiFCzAoki #Python</t>
  </si>
  <si>
    <t>safaribot</t>
  </si>
  <si>
    <t>Unofficial safaribooksonline bot: tweets each new book that gets added. Sign up for DM notifications: https://t.co/Y2kxkMRq6C - created by @bbelderbos</t>
  </si>
  <si>
    <t>RT @importpython: Django 1.9's Improvements for Po... https://t.co/fJVxXCibSV #django #python</t>
  </si>
  <si>
    <t>Rakesh Ranjan</t>
  </si>
  <si>
    <t>#Python Is Not C: Take Two https://t.co/QITueFveGO https://t.co/yUrFkTMx9N</t>
  </si>
  <si>
    <t>Senior SW Engineer @IBM; #Indian; #IBMer; Enterprise Cloud; Data Storage; #bluemix; #cloud; views are my own</t>
  </si>
  <si>
    <t>guadatech</t>
  </si>
  <si>
    <t>@AlmeriaRUsers @CajamarDataLab @DoFideas @tuitocracia @DataBeersMLG Con #Python y un árbol de Navidad también sale https://t.co/k989Kh4CfA</t>
  </si>
  <si>
    <t>Especialistas en proyectos de innovación social, científica y tecnológica.</t>
  </si>
  <si>
    <t>Bennett Murphy</t>
  </si>
  <si>
    <t>Real-Time Mapping Using L.A. Buses API over 38 mins #dataviz #DataScience #python #leafletjs #mapbox #ZHG #ETL https://t.co/GGuNoxCdVU</t>
  </si>
  <si>
    <t>Charleston, WV</t>
  </si>
  <si>
    <t>Marshall University Graduate. I like to break things, but sometimes I accidentally build stuff.</t>
  </si>
  <si>
    <t>RT @bmurph15: Real-Time Mapping Using L.A. Buses API over 38 mins #dataviz #DataScience #python #leafletjs #mapbox #ZHG #ETL https://t.co/…</t>
  </si>
  <si>
    <t>Bob Belderbos</t>
  </si>
  <si>
    <t>RT @newsafaribooks: Learning Cython Programming - Second Edition #PacktPublishing https://t.co/xSiFCzAoki #Python</t>
  </si>
  <si>
    <t>Data geek, programmer, avid student of life.</t>
  </si>
  <si>
    <t>Jason Olson</t>
  </si>
  <si>
    <t>Man, sometimes I'm such a flip-flopper. I can't make up my mind whether I want to dig into #golang or #python next...</t>
  </si>
  <si>
    <t>Kirkland, WA</t>
  </si>
  <si>
    <t>Musician, programmer, husband, and father of two. Full stack developer at Concur. Former PM and Evangelist at Microsoft.</t>
  </si>
  <si>
    <t>Enrique Lopez</t>
  </si>
  <si>
    <t>RT @EthereumPress: Introduction to the #Python-#Ethereum ecosystem by @pipermerriam Suitable for everything besides browser-run Dapps https…</t>
  </si>
  <si>
    <t>Leon, Spain ;-)</t>
  </si>
  <si>
    <t>#python pygst_utils 0.2.post24: GStreamer Windows server https://t.co/1d6DzheNtf</t>
  </si>
  <si>
    <t>#python pythesint 1.1.1: A Python interface to various metadata vocabularies https://t.co/xjbDpjQTY7</t>
  </si>
  <si>
    <t>#python dmf-device-ui 0.2.post83: Device user interface for Microdrop digital microfluidics (DMF) control software. https://t.co/4GJmgJBYoa</t>
  </si>
  <si>
    <t>#python expfactory 1.9.9: Python module for managing experiment factory experiments, for deployment to a psiturk… https://t.co/kPxIJX3zK0</t>
  </si>
  <si>
    <t>#python sqlalchemy_sphinx 0.8.1: SQLAlchemy extension for dealing with SphinxQL https://t.co/bw45kXuEpo</t>
  </si>
  <si>
    <t>#python shufflecrypt 0.1: ShuffleCrypt rearranges the pixels in a image with help of a key. -help for help https://t.co/uVcqqCqcQr</t>
  </si>
  <si>
    <t>#python botogram 0.1.2: A Python framework for Telegram bots https://t.co/FlZ6Rb4DBP</t>
  </si>
  <si>
    <t>#python pytorrentz 0.0.3: Python interface to https://t.co/Cd9uMBpdiL -- based on https://t.co/gu02A8eVRh https://t.co/raEBnO13LO</t>
  </si>
  <si>
    <t>victor-aș</t>
  </si>
  <si>
    <t>Job Opportunity: Lead Python Developer. Are you a fit? in New York, NY https://t.co/yxHYrkirQD #job #python</t>
  </si>
  <si>
    <t xml:space="preserve">NYC </t>
  </si>
  <si>
    <t>High-tech recruiter with Ingenium, victor@ingenium.agency In my spare time I look for the next ten bagger and I keep centered with bjj. Osu!</t>
  </si>
  <si>
    <t>[b0t] what's if the most efficient way of sub-selecting large matrices in memory https://t.co/PBVx4S4bT7 #python</t>
  </si>
  <si>
    <t>@PythonHub ide- a developmental environment #python + lang ; geany is more than just an editor and you can launch &amp; save programs &amp;amp; more</t>
  </si>
  <si>
    <t>RT @DailyTechVideo: [Video 451] Brian Lange: Practical #Jupyter at a #DataScience Firm #python https://t.co/YoGPExxbTl https://t.co/VZW9GqU…</t>
  </si>
  <si>
    <t>zioalex</t>
  </si>
  <si>
    <t>TweetCaster for Android</t>
  </si>
  <si>
    <t>Artur Leao</t>
  </si>
  <si>
    <t>Nyx, #3dsMax &amp; #Maya. Hello. https://t.co/rpFTNIsffA Seamless communication between them. #python #autodesk #vfx #cg Please #RT</t>
  </si>
  <si>
    <t>Porto - Portugal</t>
  </si>
  <si>
    <t>All-in-one geek of all trades. Partner/Project Manager @ YCDIVFX</t>
  </si>
  <si>
    <t>machineJS - Automated machine learning- just give it a data file! https://t.co/9oHVue60Ep #python</t>
  </si>
  <si>
    <t>Introducing Berrl:A Mapping Framework &amp; Real-Time Data Mapped-Using LA Buses API https://t.co/dO94AEJSdL #Python submitted by /u/bmurp…</t>
  </si>
  <si>
    <t>Continuous Integration with Travis CI. Interview with Josh Kalderimis. (PTP014) https://t.co/psZzmOocr9 #Python submitted by /u/varied…</t>
  </si>
  <si>
    <t>Alex Chan</t>
  </si>
  <si>
    <t>I wonder how much pushback I’d get at work if I suggested moving our Python 2.6 code to Python 3.6a0. Should be easy, right? :D #python</t>
  </si>
  <si>
    <t>Cambridge, UK</t>
  </si>
  <si>
    <t>Software developer, Pythonista and geek. I work at @metaswitch, but this is a personal account. Cis, he/him.</t>
  </si>
  <si>
    <t>"Continuous Integration with Travis CI. Interview with Josh Kalderimis. (PTP014)" via #Python https://t.co/h4zOC1dMPF</t>
  </si>
  <si>
    <t>Python Developer London https://t.co/1vKfSWQMm6 #Python #jobs</t>
  </si>
  <si>
    <t>3ATIVE.COM</t>
  </si>
  <si>
    <t>RT @artur_leao: Nyx, #3dsMax &amp; #Maya. Hello. https://t.co/rpFTNIsffA Seamless communication between them. #python #autodesk #vfx #cg Please…</t>
  </si>
  <si>
    <t>RT 3D and VFX</t>
  </si>
  <si>
    <t>Video, VFX Designer and a Massive Geek</t>
  </si>
  <si>
    <t>Andreas Ennemoser</t>
  </si>
  <si>
    <t>RT @pythontrending: machineJS - Automated machine learning- just give it a data file! https://t.co/9oHVue60Ep #python</t>
  </si>
  <si>
    <t>central</t>
  </si>
  <si>
    <t>I like 50/50</t>
  </si>
  <si>
    <t>Jakub Krajniak</t>
  </si>
  <si>
    <t>Leuven, Belgium</t>
  </si>
  <si>
    <t>Python programmer, PhD student @ KU Leuven</t>
  </si>
  <si>
    <t>[b0t]Automatically increment version on package release? https://t.co/yzFuFdTr9N #python</t>
  </si>
  <si>
    <t>Ben Hayden</t>
  </si>
  <si>
    <t>Manage a Bastion Server's SSH Config file with Python https://t.co/QLtUjxiCvT #python #devops</t>
  </si>
  <si>
    <t>#SGF</t>
  </si>
  <si>
    <t>DevOps @statmuse</t>
  </si>
  <si>
    <t>PM</t>
  </si>
  <si>
    <t>RT @ContinuumIO: Get the Most Out of #Anaconda for Your Cluster - Anaconda on #Hadoop via @koverholt https://t.co/JjnW5GDeaw #Python https:…</t>
  </si>
  <si>
    <t>Economics, Triathlon, Computer Security, Politics, Science, Philosophy</t>
  </si>
  <si>
    <t>Stefan Keller</t>
  </si>
  <si>
    <t>Schweiz</t>
  </si>
  <si>
    <t>Leveraging spatial computing and data science through openess, cool projects and smart people. Uses and integrates GIS, Databases, OpenStreetMap, Python etc....</t>
  </si>
  <si>
    <t>Caktus Group</t>
  </si>
  <si>
    <t>@techmix_ @justsostephen @dannysatch We love seeing @DrOhYes 's book floating around #Python #Django</t>
  </si>
  <si>
    <t>Durham, NC</t>
  </si>
  <si>
    <t>App development done right. Since 2007, we’ve built web, mobile, &amp; SMS apps that have reached over 70 million people. Specialties: Django, RapidSMS, RapidPro.</t>
  </si>
  <si>
    <t>Ricardo Michel Reyes</t>
  </si>
  <si>
    <t>AWS Lambda for Ultimate Service Oriented Architecture | Toptal https://t.co/ZZu0WOXapL #AWS #AWSLambda #AmazonS3 #Python #SOA via @toptalllc</t>
  </si>
  <si>
    <t>Mexico City</t>
  </si>
  <si>
    <t>Mechatronics student at @Tec_CSF. Chief Technology Officer at Creative Med. Swift professor at @mactrainee. CTO at @caremeoficial.</t>
  </si>
  <si>
    <t>#Outlook https://t.co/asiZ3QgEzK #Python #MachineLearning #AI #Trading #Forex #ForexTrading $SPY $SPX $EURUSD https://t.co/zSBKZzXNpe</t>
  </si>
  <si>
    <t>rethumb</t>
  </si>
  <si>
    <t>How to read Exif data in json format from an image in Python 2 using rethumb? https://t.co/XXuluyZMmL #webdev #python #django</t>
  </si>
  <si>
    <t>Coimbra, Portugal</t>
  </si>
  <si>
    <t>Image Management as a Service - rethumb creates image thumbnails just by accessing an URL</t>
  </si>
  <si>
    <t>oPe@wmaker</t>
  </si>
  <si>
    <t>Pilo</t>
  </si>
  <si>
    <t>Girish M</t>
  </si>
  <si>
    <t>#Python Is Not C: Take Two https://t.co/rLYrk1AJOY https://t.co/zbutFVWqBL</t>
  </si>
  <si>
    <t>Jesse McQuade</t>
  </si>
  <si>
    <t>An introduction to #python frameworks including #django #web2py &amp; more via @omedhabib https://t.co/C6P8bs9MW9 https://t.co/KHQ5lmmLkr</t>
  </si>
  <si>
    <t>#Python - Using Files as a Database - Won't Always Print #HowTo #Question #Tech https://t.co/6NaFiy3W2K</t>
  </si>
  <si>
    <t>#Python - Using Files as a Database - Won't Always Print #Tech #Internet #Programming https://t.co/hbO6Rwm8Np</t>
  </si>
  <si>
    <t>ThePHPGeek (Alan)</t>
  </si>
  <si>
    <t>If StackExchange were to be banned. #developers hell ! #php #Laravel #django #python #swiftlang #react #ruby https://t.co/h0tMNGzg5O</t>
  </si>
  <si>
    <t>PHP Land</t>
  </si>
  <si>
    <t>Passionated about #PHP, love #Laravel, workaholic, code too much, don't know what else to write..... !</t>
  </si>
  <si>
    <t>🏆 Sublime! 🏆 Geneity need a #Python Developer in London! &gt;&amp;gt; https://t.co/PqXdfA8YIE &lt;&amp;lt; #NOSQL 👌👌👌 https://t.co/7VSkVVyWh0</t>
  </si>
  <si>
    <t>RT @HeroJobs: Senior #Python Engineer needed at Dreamworks @DWAnimation in #LA #NoSQL #Data #Scala #ElasticSearch #Techjobs https://t.co/2E…</t>
  </si>
  <si>
    <t>GIS Sharer</t>
  </si>
  <si>
    <t>Living with kyroskoh (SG)</t>
  </si>
  <si>
    <t>Follow Me and Mention #Mapping, #GeoSpatial, #Cartography, #Geomatics, #mapillustration, @GIS_Sharer on your Tweet. Creator: @kyroskoh, 08 Dec 2015</t>
  </si>
  <si>
    <t>MrsGrannell Business</t>
  </si>
  <si>
    <t>Mixture of #python and #HTML at tonight's @AllHallowsRC Digital Leaders session. Great work tonight :) #dlchat https://t.co/qTP1tjT5iM</t>
  </si>
  <si>
    <t xml:space="preserve">Salford </t>
  </si>
  <si>
    <t>Mrs Grannell. Head of Business, Computing &amp; ICT. All Hallows' RC High School. Salford. Raspberry Pi Certified Educator.</t>
  </si>
  <si>
    <t>ovs - Open vSwitch library pypi: https://t.co/F9mazpe2kF www: https://t.co/r5ccfZQoDR #python</t>
  </si>
  <si>
    <t>Hostxido</t>
  </si>
  <si>
    <t>#Hosting con soporte para #RubyOnRails, #Python, #Php, #MySql, MySqli, 99.99% Uptime, cPanel, Backups, Migración, Softaculous -hostxido.com</t>
  </si>
  <si>
    <t>Hosting, Hospedaje Web Premium, Vps, SSD Vps, Servidores Dedicados, Cuentas Proxys, Registro de Dominios, Vpn's, Radio por Internet y mas...</t>
  </si>
  <si>
    <t>Conrad Braam</t>
  </si>
  <si>
    <t>Nobody expects the Spanish Inquisition! #Python #humour #pygame #scripting #joke #learning</t>
  </si>
  <si>
    <t>Cambridgeshire</t>
  </si>
  <si>
    <t>cyanogen on S3: Software Engineer, Electronics hobby hacker, Christian, Foreign invader.</t>
  </si>
  <si>
    <t>Developer's life</t>
  </si>
  <si>
    <t>J'ai aussi vécu une brève expérience avec #Python 😁. Quelques mois, mais j'ai laissé tomber faute de #motivation et de #challenge-s 😕😕😕</t>
  </si>
  <si>
    <t>Africa</t>
  </si>
  <si>
    <t>Un compte #twitter pour partager mon expérience de #Developpeur #Autodidacte</t>
  </si>
  <si>
    <t>RT https://t.co/ElHXEuXNji Mixture of #python and #HTML at tonight's AllHallowsRC Digital Leaders session. Great… https://t.co/2M9LKmPFwP</t>
  </si>
  <si>
    <t>Davide Moro</t>
  </si>
  <si>
    <t>Web developer. #Python, #Javascript, development #tooling and more. In love with @Yeoman and #AngularJS.</t>
  </si>
  <si>
    <t>Lee Sanchez</t>
  </si>
  <si>
    <t>RT @LillianEdmiston: RT https://t.co/ElHXEuXNji Mixture of #python and #HTML at tonight's AllHallowsRC Digital Leaders session. Great… htt…</t>
  </si>
  <si>
    <t>Father, Gadget Techie, Computer Engineer, Cellphone/Computer/Network Technician, IT Specialist, iOS Developer, Blogger, #Truecrew Ambassador, #MVA Founders Club</t>
  </si>
  <si>
    <t>Amit Saha</t>
  </si>
  <si>
    <t>This is so cool. Looking forward to play with it. #graphql #python https://t.co/b2HiulMalT</t>
  </si>
  <si>
    <t>Sydney, New South Wales</t>
  </si>
  <si>
    <t>Software Engineer. Author of Doing Math with Python. Creator/Maintainer: Fedora Scientific.</t>
  </si>
  <si>
    <t>[b0t] definition of != https://t.co/nZeZYcqQfl #python</t>
  </si>
  <si>
    <t>RT @py3k: ovs - Open vSwitch library pypi: https://t.co/F9mazpe2kF www: https://t.co/r5ccfZQoDR #python</t>
  </si>
  <si>
    <t>codejobs</t>
  </si>
  <si>
    <t>Instalar #Python, Pip y Virtualenv en Windows 10... https://t.co/0luaRRkCrZ https://t.co/HEjzplRJzs</t>
  </si>
  <si>
    <t>Nuestro lema es Comparte el #Conocimiento! Síguenos! Publicidad https://t.co/BHVWcLsNeS</t>
  </si>
  <si>
    <t>Lisa Floyd</t>
  </si>
  <si>
    <t>#Coding in #python, #scratch &amp; using manipulatives for growing patterns in @westernuEdu #computhinkedu #math class. https://t.co/mCvzTh3Bxh</t>
  </si>
  <si>
    <t>Computational Thinking in Math &amp; Science Education Instructor, UWO. Teacher, TVDSB with a passion for getting kids to code. MPEd (math) grad student. 3 sons.</t>
  </si>
  <si>
    <t>Michael Mintz</t>
  </si>
  <si>
    <t>RT @SeleniumBase: https://t.co/gQUXJ3GI0e on @GitHub - A powerful automation platform that's easy to use. Learn to love #automation today! …</t>
  </si>
  <si>
    <t>Automation @Veracode, entrepreneur, traveler, guest speaker, and Selenium scholar.</t>
  </si>
  <si>
    <t>Rubén Gómez Barrera</t>
  </si>
  <si>
    <t>RT @emergya: Los siete perfiles profesionales imprescindibles para una startup #FrontEnd #Python #Ruby https://t.co/A8fnAPTfhs https://t.co…</t>
  </si>
  <si>
    <t>Alcalá de Guadaíra</t>
  </si>
  <si>
    <t>Estudiante de la Universidad de Sevilla (Ingeniería Informática del Software) Sevillano y del mejor equipo del mundo, del Betis! :)</t>
  </si>
  <si>
    <t>Şɛřɛŋą</t>
  </si>
  <si>
    <t>RT @codejobs: Instalar #Python, Pip y Virtualenv en Windows 10... https://t.co/0luaRRkCrZ https://t.co/HEjzplRJzs</t>
  </si>
  <si>
    <t xml:space="preserve">El Limbo </t>
  </si>
  <si>
    <t>Pendejos/as inmaduros abstenerse. Me da = tener followers. ME gusta la informática y el hacking pero no soy uno ⏳ Curiosa/ 1poco Nerd/tengo Rulos...</t>
  </si>
  <si>
    <t>Deep discussion about some advanced Python - an enigma code generator!! With @MrTranter_ @AllHallowsRC #python https://t.co/mOuemqGxuB</t>
  </si>
  <si>
    <t>RT https://t.co/oa7HpCQaaP RT LillianEdmiston: RT https://t.co/ElHXEuXNji Mixture of #python and #HTML at tonigh… https://t.co/2M9LKmPFwP</t>
  </si>
  <si>
    <t>Мя.J0hи Шёb</t>
  </si>
  <si>
    <t>what is your favorite #programming language ? #python #javascript #java #programmers #programmerThings</t>
  </si>
  <si>
    <t>Electrical Engineer ,,, i like Bodybuilding and Watching Matches</t>
  </si>
  <si>
    <t>Jamal Moir</t>
  </si>
  <si>
    <t>Insertion sort #python implementation. https://t.co/4rPTnWstqJ #programming</t>
  </si>
  <si>
    <t>Oxford, England</t>
  </si>
  <si>
    <t>Polyglot programmer and bilingual Brit. 日本語が喋れるイギリス人のプログラマ。よろしく！ #Programming #ComputerScience https://t.co/49BRbsqUa9</t>
  </si>
  <si>
    <t>[b0t]Python 2.7 and Boolean Assignment...Huh? https://t.co/Ibvxlw1qTy #python</t>
  </si>
  <si>
    <t>Eric CHAUVET</t>
  </si>
  <si>
    <t>RT @InMoov: https://t.co/lxTqOxnpU6 #3dprinted #robot #make @Inmoov @myrobotlab #opensource #arduino #python http://t.co/pCDPRaknuS</t>
  </si>
  <si>
    <t>Poitou-Charentes, France</t>
  </si>
  <si>
    <t>Professionnel de l'image #médias un œil sur les réseaux je veille je partage #3D #FrenchTech #innovation #SMO Altermodernité, ou la modernité de l'altruisme</t>
  </si>
  <si>
    <t>Daniel Vasquez</t>
  </si>
  <si>
    <t>La Paz - Bolivia</t>
  </si>
  <si>
    <t>phyton developer | economist | music addict</t>
  </si>
  <si>
    <t>Doug Wilson</t>
  </si>
  <si>
    <t>A Washington DC area Information Security Professional, focusing on automating the sharing of threat intelligence. CapSec DC organizer. OWASP DC Founder/Alumni.</t>
  </si>
  <si>
    <t>Mikalai Alimenkou</t>
  </si>
  <si>
    <t>Ukraine, Kiev</t>
  </si>
  <si>
    <t>Happy father, Java Tech Lead, ScrumMaster, XP Injection founder, speaker, Agile/XP Coach, conference organizer: @jeeconf, @seleniumcamp, @xpdays_ua, @itbrunch.</t>
  </si>
  <si>
    <t>Envato Tuts+ Code</t>
  </si>
  <si>
    <t>A Smooth Refresher on #Python's Classes and Objects https://t.co/dn9ziQs28n via @abderhasan</t>
  </si>
  <si>
    <t>Tutorials, articles, tips, and community for web developers. Incorporating @nettuts, @mobiletuts, @wptuts and @activetuts.</t>
  </si>
  <si>
    <t>[16:37:33-03:00] Irradiancia en W/(m².sr) a partir del modelo de @gersolar. #python https://t.co/r3b3fDvZ1b</t>
  </si>
  <si>
    <t>pycorm - a pico orm that uses jsonschema pypi: https://t.co/NGIGKhCDOE www: https://t.co/betWYwtTkj #python</t>
  </si>
  <si>
    <t>Business Intell agen</t>
  </si>
  <si>
    <t>PYTHON FOR R USERS : ; Come September #python https://t.co/CQPE3p5Ak2</t>
  </si>
  <si>
    <t>DragPlus</t>
  </si>
  <si>
    <t>businessintelligence, business intelligence, business,intelligence</t>
  </si>
  <si>
    <t>ntm-lasagne - Neural Turing Machines используя Theano с Lasagne : https://t.co/XeXDE3VFqa #python</t>
  </si>
  <si>
    <t>pyshoco - Shoco Python wrapper module pypi: https://t.co/5Rz9IQDzhY www: https://t.co/NQPDjF9edV #python</t>
  </si>
  <si>
    <t>David Batty</t>
  </si>
  <si>
    <t>I had 2 great days with these brilliant students,they will do well #python #gamemaker #gcse https://t.co/PIf80BtSOt https://t.co/mJlVnG8JDx</t>
  </si>
  <si>
    <t>Leyland, Lancashire, England</t>
  </si>
  <si>
    <t>Computer Veteran, IT Teacher Trainer, 34 years as Software Developer, 28 years of selling my software online, 24 years as an IT Trainer. Cert Ed. QTLS, 7307,DBS</t>
  </si>
  <si>
    <t>WordPress Digest</t>
  </si>
  <si>
    <t>RT @TutsPlusCode: A Smooth Refresher on #Python's Classes and Objects https://t.co/dn9ziQs28n via @abderhasan</t>
  </si>
  <si>
    <t>WordPress Digest App</t>
  </si>
  <si>
    <t>Atlanta, Ga</t>
  </si>
  <si>
    <t>All things WordPress brought to you by the team @blaccspotmedia.</t>
  </si>
  <si>
    <t>Madson Dias</t>
  </si>
  <si>
    <t>Ei @multiplaytele @proconfortaleza por que minha velocidade da internet está em 14.3down/1.3up quando eu pago por 20down/2up? #python #bot</t>
  </si>
  <si>
    <t>Envio de Reclamação</t>
  </si>
  <si>
    <t>Fortaleza, Ceará</t>
  </si>
  <si>
    <t>Master's student in Computer Science. #bigdata #machinelearning #AI</t>
  </si>
  <si>
    <t>#3dprinted Timeline</t>
  </si>
  <si>
    <t>ToolDFS</t>
  </si>
  <si>
    <t>News about 3D printed things.</t>
  </si>
  <si>
    <t>Mike Dailly™</t>
  </si>
  <si>
    <t>RT @DavidBatty: I had 2 great days with these brilliant students,they will do well #python #gamemaker #gcse https://t.co/PIf80BtSOt https:…</t>
  </si>
  <si>
    <t>Dundee</t>
  </si>
  <si>
    <t>Creator of Lemmings and Grand Theft Auto. Game coder and design God, compulsive liar &amp; giver of hugs. All comments are mine,and those of the voices in my head.</t>
  </si>
  <si>
    <t>Bat Blue Networks</t>
  </si>
  <si>
    <t>@BatBlue is hiring! Team Lead #Python - Experienced Senior #Developer to design &amp; build enterprise solution https://t.co/MDx4krtjgk #infosec</t>
  </si>
  <si>
    <t>Oktopost</t>
  </si>
  <si>
    <t>Bat Blue Networks is a next generation cloud security company. Follow us for cyber intelligence analysis and subscribe to our daily brief.</t>
  </si>
  <si>
    <t>Gillian</t>
  </si>
  <si>
    <t>@BatBlue is hiring! Team Lead #Python - Experienced Senior #Developer to design &amp; build enterprise solution https://t.co/P7qeUV3Rq2 #infosec</t>
  </si>
  <si>
    <t>New York, USA</t>
  </si>
  <si>
    <t>@BatBlue Lead Cyber Intelligence Analyst | Knowledge is power | Product of @LSEIRDept | Suffers from Wanderlust</t>
  </si>
  <si>
    <t>Babak Pasdar</t>
  </si>
  <si>
    <t>@BatBlue is hiring! Team Lead #Python - Experienced Senior #Developer to design &amp; build enterprise solution https://t.co/uIrRfAit6n #infosec</t>
  </si>
  <si>
    <t>Analytics Vidhya</t>
  </si>
  <si>
    <t>Data speaks for itself whn presented visually, infographic for learning in #Python. https://t.co/nFYHhCjnBp #dataviz https://t.co/pJPL3wxg9k</t>
  </si>
  <si>
    <t>Community for learning #DataScience | #Analytics | #MachineLearning I #BigData I #Datamining Popular blog: https://t.co/phTW8kGkXx #statistics #mathematics</t>
  </si>
  <si>
    <t>Will Zhang</t>
  </si>
  <si>
    <t>Portfolio manager, computer scientist, learner. 知识就是力量。</t>
  </si>
  <si>
    <t>#Alojamiento Web para #Python, #RubyOnRails, #Php, #MySql, #MySqli, 99.99% Uptime, #cPanel, #Backups, Migración, #Softaculous -hostxido.com</t>
  </si>
  <si>
    <t>RT @ladjango: Creating your own IPython-like server https://t.co/HZjYxKYCKI via @pycoders #django #python</t>
  </si>
  <si>
    <t>#Python Daily Tech Video (Python): [Video 451] Brian Lange: Practical Jupyter at a Data Science Firm: One of the… https://t.co/kFDCqMPNc8</t>
  </si>
  <si>
    <t>#Python Doug Hellmann: So, you’ve released a broken package to PyPI. What do you do now?: Step One: Relax. It… https://t.co/zuJH9bMNhP</t>
  </si>
  <si>
    <t>Teresa Rothaar</t>
  </si>
  <si>
    <t>#Data visualization in #Python - an #infographic https://t.co/DA5Fhqlzz0</t>
  </si>
  <si>
    <t>Jacksonville Beach, FL</t>
  </si>
  <si>
    <t>#MBA #Marketing consultant and #copywriter - eager to learn #DataScience - #marathon #runner</t>
  </si>
  <si>
    <t>Oasis Wintringham</t>
  </si>
  <si>
    <t>Thanks @DavidBatty our students certainly love #python now! https://t.co/KRBLGquWtu</t>
  </si>
  <si>
    <t>Grimsby</t>
  </si>
  <si>
    <t>Our mission is to ensure that every child at Oasis Academy Wintringham achieves academic success and is empowered to climb the stairway to university.</t>
  </si>
  <si>
    <t>Tangible Solutions</t>
  </si>
  <si>
    <t>Dayton, Ohio</t>
  </si>
  <si>
    <t>3D Printing, 3D Scanning, Design Optimization, Research &amp; Development. Pushing Additive Manufacturing forward</t>
  </si>
  <si>
    <t>RT @py3k: pycorm - a pico orm that uses jsonschema pypi: https://t.co/NGIGKhCDOE www: https://t.co/betWYwtTkj #python</t>
  </si>
  <si>
    <t>RT @py3k: pyshoco - Shoco Python wrapper module pypi: https://t.co/5Rz9IQDzhY www: https://t.co/NQPDjF9edV #python</t>
  </si>
  <si>
    <t>🚀 BOOM! 🚀 @EDITED_HQ need a Full-Stack Dev in London! &gt;&amp;gt; https://t.co/2PkCJQcaPq &lt;&amp;lt; 😍😍 #Javascript #Python https://t.co/l0bxH4qetv</t>
  </si>
  <si>
    <t>Onur Özüduru</t>
  </si>
  <si>
    <t>New blog post: Generating Graph of Liked Photos on Instagram https://t.co/qfa8bJ56DC #graphs #python #script</t>
  </si>
  <si>
    <t>Istanbul</t>
  </si>
  <si>
    <t>Leave the machines alone, they can do it! #ComputerScienceJunkie #Learner #Dreamer #SlaveOfMyCuriosity #MathLover #Human #WantToBecomeAMachineTrainer #Somebody</t>
  </si>
  <si>
    <t>Luciano E. Guerche</t>
  </si>
  <si>
    <t>Doug Hellmann: So, you’ve released a broken package to PyPI. What do you do now? https://t.co/YnjoBXA0Ja) #python #feedly</t>
  </si>
  <si>
    <t>Taboão da Serra, SP, Brazil</t>
  </si>
  <si>
    <t>#brazil #brazilian #male #married #christian #citigroup #microsoft #technology #programming #architecting #auditing #dotnet #csharp #vb.net #sqlserver #ssrs</t>
  </si>
  <si>
    <t>Humoyun Ahmedov</t>
  </si>
  <si>
    <t>Seoul, Korea</t>
  </si>
  <si>
    <t>Yigit kishiga yurak shashti iPhone knopkalarini bosish uchun berilmagan!</t>
  </si>
  <si>
    <t>UltimateJobs.com</t>
  </si>
  <si>
    <t>Data Analyst with R needed in St Louis, Missouri - https://t.co/b5FQtKmyVC #job #Dataanalyst #python #datascientist #R #Stlouis #Stlouisjobs</t>
  </si>
  <si>
    <t>Michigan USA</t>
  </si>
  <si>
    <t>Fun tech startup and online Jobsite for the USA. Local and Nationwide Jobs Search. Find Your Next Job or Your Dream Job #jobs #careers #hiring #employment</t>
  </si>
  <si>
    <t>Daily Tech Video (Python): [Video 451] Brian Lange: Practical Jupyter at a Data Science Firm https://t.co/lTLYq4lLkK #python #feedly</t>
  </si>
  <si>
    <t>Howard Tullman</t>
  </si>
  <si>
    <t>RT @1871Chicago: .@OptionsAway is growing their engineering team! Join the disruptive travel tech startup today! #python #hiring https://t.…</t>
  </si>
  <si>
    <t>Chicago, Illinois</t>
  </si>
  <si>
    <t>CEO - 1871 &amp; General Managing Partner - G2T3V, LLC</t>
  </si>
  <si>
    <t>Mehrdad Yazdani</t>
  </si>
  <si>
    <t>RT @ArnoCandel: Stochastic (random) hyper-parameter search with H2O: https://t.co/5z59AxK9an #machinelearning #datascience #kaggle #rstats …</t>
  </si>
  <si>
    <t>I do machine learning and data sciencey work @calit2ucsd. PhD from @UCSDJacobs</t>
  </si>
  <si>
    <t>Data Analyst with R needed in Dallas, Texas - https://t.co/uaCE19uhtK #job #R #Python #Dallas #TX #TXjobs #Tech #bigdata #datascientist</t>
  </si>
  <si>
    <t>Scott M. Gardner</t>
  </si>
  <si>
    <t>I think this script is finally where I want it. The hardest part is getting it to work with Cacti 🤔. https://t.co/vdULYWxviB #python #netwrk</t>
  </si>
  <si>
    <t>Fayetteville, AR</t>
  </si>
  <si>
    <t>Packet wrangler, code monkey, mountain goat.</t>
  </si>
  <si>
    <t>Mario Flores</t>
  </si>
  <si>
    <t>San Luis Potosi</t>
  </si>
  <si>
    <t>Persona, normal, simpatica, trabajador, musico lirico, informatico, divertido, serio, en fin,varias cosas XD</t>
  </si>
  <si>
    <t>My #python learning, as if my hands &amp; arms didn't hurt before. #Code where u like &amp;amp; like where u code. #developers https://t.co/wXeT2Zq9K1</t>
  </si>
  <si>
    <t>تكناوي.نت</t>
  </si>
  <si>
    <t>اذا كنت تريد اتقان البايثون فهذه الدورة ترشدك الى بداية الطريق لذلك https://t.co/geioeaYPko #امن_المعلومت #برمجة #تقنية #python #بايثون</t>
  </si>
  <si>
    <t>موقع عربي يهتم بكل ماهو جديد في عالم التكنولوجيا</t>
  </si>
  <si>
    <t>Marco Rugê</t>
  </si>
  <si>
    <t>Donna Rawling</t>
  </si>
  <si>
    <t>RT @AH_TeamBusiness: Mixture of #python and #HTML at tonight's @AllHallowsRC Digital Leaders session. Great work tonight :) #dlchat https:…</t>
  </si>
  <si>
    <t>Twitter for Android Tablets</t>
  </si>
  <si>
    <t>Life gives you lemons....Make lemonade.Or teach others how to make it... Raspberry Pi Certified Educator.level 2 CAS Master Teacher.Learning all the time</t>
  </si>
  <si>
    <t>How do I do any function for only 60 seconds? https://t.co/YhXmdmsPCp #Python submitted by /u/govhgb[link] [comments]</t>
  </si>
  <si>
    <t>#python phylotoast 1.3.0: Useful additions to the QIIME analysis pipeline including tools for data visualization… https://t.co/xCNJMaXqDp</t>
  </si>
  <si>
    <t>#python dxpy 0.181.0: DNAnexus Platform API bindings for Python https://t.co/a97H9erFDG</t>
  </si>
  <si>
    <t>#python plotlywrapper 0.0.10: plotly wrapper to make easy plots easy to make https://t.co/zS5NPtmETw</t>
  </si>
  <si>
    <t>#python Mopidy-Mopify 1.5.16: A Mopidy Web client based on the (old) Spotify interface. Improved to work with… https://t.co/ryxEGyMZS9</t>
  </si>
  <si>
    <t>#python pyldpc 0.7.0: Simulation of Low Density Parity Check Codes ldpc https://t.co/lWFGdOc7y2</t>
  </si>
  <si>
    <t>#python appscale-tools 2.7.1: A set of command-line tools for interacting with AppScale https://t.co/oDYILENzZ5</t>
  </si>
  <si>
    <t>#python pycorm 0.2.2: a pico orm that uses jsonschema https://t.co/coQfFgiiR3</t>
  </si>
  <si>
    <t>#python wagtailmodeladmin 2.3.7: Customisable 'django-admin' style listing pages for Wagtail https://t.co/GAd29McICV</t>
  </si>
  <si>
    <t>#python plone.indexer 1.0.4: Hooks to facilitate managing custom index values in Zope 2/CMF applications https://t.co/NFUlN98OhW</t>
  </si>
  <si>
    <t>#Python Code Line Endings #HowTo #Question #Tech https://t.co/MYZmBHHfw7</t>
  </si>
  <si>
    <t>#Python yield vs Ruby yield #HowTo #Question #Tech https://t.co/IMrqcgWPb8</t>
  </si>
  <si>
    <t>"How do I do any function for only 60 seconds?" via #Python https://t.co/tZtGkflYq6</t>
  </si>
  <si>
    <t>"Introducing Berrl:A Mapping Framework &amp; Real-Time Data Mapped-Using LA Buses API" via #Python https://t.co/7rkNqOkV7g</t>
  </si>
  <si>
    <t>#Python Code Line Endings #Tech #Internet #Programming https://t.co/xeVEID6HxY</t>
  </si>
  <si>
    <t>#Python yield vs Ruby yield #Tech #Internet #Programming https://t.co/m9CQbBiXvY</t>
  </si>
  <si>
    <t>RT @RealPython: The Data Science of Firing Your (NHL) Coach &gt;&amp;gt; https://t.co/QUiBobv909 via @YhatHQ #python</t>
  </si>
  <si>
    <t>Sergei Lebedev</t>
  </si>
  <si>
    <t>So there’s going to be a #python 4.0 after all … https://t.co/yBzssfLAFE</t>
  </si>
  <si>
    <t>Russia, St. Petersburg</t>
  </si>
  <si>
    <t>Programming rants 24/7.</t>
  </si>
  <si>
    <t>Victor Hugo</t>
  </si>
  <si>
    <t>aplicación de testeo</t>
  </si>
  <si>
    <t>Ingeniero informático, especializado en LAMP, Javascript, noSql, y con simpatía por AngularJS... Afortunado por que me gusta mi trabajo... y me pagan!!</t>
  </si>
  <si>
    <t>Edhesive</t>
  </si>
  <si>
    <t>#Java and #javascript remain top languages -- #python comes in third https://t.co/5Cv1jTrPVp #CSforAll #STEMCode https://t.co/gRXIBOFj48</t>
  </si>
  <si>
    <t>Online learning that sticks</t>
  </si>
  <si>
    <t>Check out this #job: #Junior #Python Developer at Open Systems Technologies in #NewYork #jobs https://t.co/AzDukrSzzS</t>
  </si>
  <si>
    <t>Colter Hettich</t>
  </si>
  <si>
    <t>RT @TeamEdhesive: #Java and #javascript remain top languages -- #python comes in third https://t.co/5Cv1jTrPVp #CSforAll #STEMCode https://…</t>
  </si>
  <si>
    <t>Helping kids learn code, one semester at a time // https://t.co/yWAC7xwpY6</t>
  </si>
  <si>
    <t>Prosper Otemuyiwa</t>
  </si>
  <si>
    <t>RT @gravelfastidiou: If StackExchange were to be banned. #developers hell ! #php #Laravel #django #python #swiftlang #react #ruby https://t…</t>
  </si>
  <si>
    <t>Lagos, Nigeria</t>
  </si>
  <si>
    <t>Made @meanmapdotcom, contribute to @laramapcom, run @goodheadsio, @theCodeQuest,@thesparkng. Training World Class Developers &amp; Making All Things PHP Fly @Andela</t>
  </si>
  <si>
    <t>Rachel Wang</t>
  </si>
  <si>
    <t>#Python gains the upper hand against Perl, PHP, and Ruby? What do you think? #Programming https://t.co/tlhXfxeZRM</t>
  </si>
  <si>
    <t xml:space="preserve">YYZ </t>
  </si>
  <si>
    <t>#Technologist #Programmer #DigitalMedia Strategist. Part of @SenecaWIT &amp; @GetYourBotOn. FR &amp; EN. Opinions my own.</t>
  </si>
  <si>
    <t>Clickiz.Com</t>
  </si>
  <si>
    <t>#CyberMonday #sale Programming the Raspberry Pi: Getting Started with #Python https://t.co/PnMpwj8IRY #book #deals</t>
  </si>
  <si>
    <t>Clickiz.com Updater</t>
  </si>
  <si>
    <t>http://t.co/yBtycXQDEk - News, tech reviews, users opinions and a lot more</t>
  </si>
  <si>
    <t>Emmanouil Kon/dis</t>
  </si>
  <si>
    <t>Just released drfdocs 0.0.7 on @pypi! https://t.co/YjSU3IwuB9 Coming up - Support for DRF's ModelViewSets #python #django</t>
  </si>
  <si>
    <t>Brighton, UK</t>
  </si>
  <si>
    <t>Web &amp; Mobile Developer - Engineer at @dabapps</t>
  </si>
  <si>
    <t>sinhrks</t>
  </si>
  <si>
    <t>Isla Magdalena</t>
  </si>
  <si>
    <t>DataFrameとペンギンに興味があります。 Python / R / Rust / #pandas &amp; #dask コミッタ / https://t.co/T53K1N7jix</t>
  </si>
  <si>
    <t>RT @Boolerang: 🚀 BOOM! 🚀 @EDITED_HQ need a Full-Stack Dev in London! &gt;&amp;gt; https://t.co/2PkCJQcaPq &lt;&amp;lt; 😍😍 #Javascript #Python https://t.co/l0bx…</t>
  </si>
  <si>
    <t>Cortana Analytics</t>
  </si>
  <si>
    <t>Sprinklr</t>
  </si>
  <si>
    <t>Redmond, WA</t>
  </si>
  <si>
    <t>The official handle for the Cortana Analytics Suite. Follow for news and updates from the team and the community.</t>
  </si>
  <si>
    <t>Mariner</t>
  </si>
  <si>
    <t>MSAdvAnalytics: RT josephsirosh: Learn how to invoke compiled code via #AzureML #R &amp; #Python Script Modules. : … https://t.co/hEczpFi47u</t>
  </si>
  <si>
    <t>Charlotte, NC</t>
  </si>
  <si>
    <t>Applying advanced analytics, IoT &amp; machine learning to help business leaders quickly draw a target on the results they want &amp; deliver measurable ROI,</t>
  </si>
  <si>
    <t>Joseph Guy</t>
  </si>
  <si>
    <t>MarinerLLC: MSAdvAnalytics: RT josephsirosh: Learn how to invoke compiled code via #AzureML #R &amp; #Python Script Mo… https://t.co/0i6JLZDhy0</t>
  </si>
  <si>
    <t>Charlotte</t>
  </si>
  <si>
    <t>@MarinerLLC co-founder, family lovin', tennis bum, foodie</t>
  </si>
  <si>
    <t>Compuational Statistics with Python https://t.co/L9oTRuiICf #DataScience #Python #Statistics</t>
  </si>
  <si>
    <t>Python Psychologist</t>
  </si>
  <si>
    <t>#Python made me so #tired tonight. All my #code works, though. Will dream happy coding dreams.</t>
  </si>
  <si>
    <t>Python Programming and Psychology is my addiction. Enjoy both of them. Mainly experimental psych and stats programming.</t>
  </si>
  <si>
    <t>Facilcloud</t>
  </si>
  <si>
    <t>¿Sabes cuál usar? #Ruby vs #Python https://t.co/sQhF8bMjkw https://t.co/1mqMCR6nIm</t>
  </si>
  <si>
    <t>Miami, FL</t>
  </si>
  <si>
    <t>Más de 15 años de experiencia siendo proveedor preferido de servicios en la nube para países latinoamericanos. Soporte @ayudafacilcloud</t>
  </si>
  <si>
    <t>#Python not writing headers #Tech #News #HowTo https://t.co/uXKpMrjl2w</t>
  </si>
  <si>
    <t>#Python yield vs Ruby yield #Tech #News #HowTo https://t.co/yafGU7k6VO</t>
  </si>
  <si>
    <t>#Python dynamic import and changing a variable #Tech #News #HowTo https://t.co/W1GXLbDehf</t>
  </si>
  <si>
    <t>#Python DBConnection:ImportError: DLL load failed: %1 is not a valid Win32 application #Tech #News #HowTo https://t.co/COXbQOsKyl</t>
  </si>
  <si>
    <t>Yoav Ram</t>
  </si>
  <si>
    <t>Python 3.5 is cooler than I thought: Concurrency with #Python 3.5 async &amp; await https://t.co/JuiaBlH3hY</t>
  </si>
  <si>
    <t>Israel</t>
  </si>
  <si>
    <t>Science. Evolution. Mathematics. Programming. DIY. Education. Lakers.</t>
  </si>
  <si>
    <t>A. Jesse Jiryu Davis</t>
  </si>
  <si>
    <t>I just learned that you can merge dicts in #Python 3.5 with {**dict1, **dict2} via @treyhunner https://t.co/XusEfM7W7w</t>
  </si>
  <si>
    <t>East Village, New York City</t>
  </si>
  <si>
    <t>Staff Software Engineer at @MongoDB working on C, Python, Tornado, and async. Documentary photographer. Student at @villagezendo. He/him/his.</t>
  </si>
  <si>
    <t>#Python not writing headers #Tech #Question #HowTo https://t.co/3kU2EXSoMQ</t>
  </si>
  <si>
    <t>#Python yield vs Ruby yield #Tech #Question #HowTo https://t.co/gXveksPbk1</t>
  </si>
  <si>
    <t>#Python dynamic import and changing a variable #Tech #Question #HowTo https://t.co/IZMG7g6dY3</t>
  </si>
  <si>
    <t>#Python DBConnection:ImportError: DLL load failed: %1 is not a valid Win32 application #Tech #Question #HowTo https://t.co/XeKrpts80o</t>
  </si>
  <si>
    <t>Phil Morris</t>
  </si>
  <si>
    <t>philip_w_morris: MSAdvAnalytics: RT josephsirosh: Learn how to invoke compiled code via #AzureML #R &amp; #Python Scri… https://t.co/8omgJrIyLY</t>
  </si>
  <si>
    <t>Charlotte NC</t>
  </si>
  <si>
    <t>CEO of @MarinerLLC enabling digital transformation through advanced analytics and IoT. Father of 4. Guitarist with delusions of adequacy. Award winning brewer.</t>
  </si>
  <si>
    <t>Code live! "Python - sqlite3 databases" https://t.co/ppe9BPIlsT #periscope #tech #Python</t>
  </si>
  <si>
    <t>UNKNOWN MY NAME</t>
  </si>
  <si>
    <t>Mobile Web (M2)</t>
  </si>
  <si>
    <t>memory</t>
  </si>
  <si>
    <t>Still Remember This Life? | Basketball freestyler | Music</t>
  </si>
  <si>
    <t>RT @tonyojeda3: Compuational Statistics with Python https://t.co/L9oTRuiICf #DataScience #Python #Statistics</t>
  </si>
  <si>
    <t>[b0t] How do you extract data from a txt file from the internet? https://t.co/PrHWncptAo #python</t>
  </si>
  <si>
    <t>NumFOCUS</t>
  </si>
  <si>
    <t>NumFOCUS is a non-profit promoting open source scientific computing, reproducible research, and education in data science. We also organize @PyData!</t>
  </si>
  <si>
    <t>Reworked the TPOT score() and predict() interface to match the sklearn interface today. Use pip to grab the latest. #Python #DataScience</t>
  </si>
  <si>
    <t>Jordi Soucheiron</t>
  </si>
  <si>
    <t>RT @jessejiryudavis: I just learned that you can merge dicts in #Python 3.5 with {**dict1, **dict2} via @treyhunner https://t.co/XusEfM7W7w</t>
  </si>
  <si>
    <t>Falcon Pro 2015 BETA</t>
  </si>
  <si>
    <t>I love music, computers, cinema, photography and mixing them. I work at @serverdensity</t>
  </si>
  <si>
    <t>Why can’t we write list.len()? https://t.co/E46QgpV2Bf #Python submitted by /u/ceronman[link] [comments]</t>
  </si>
  <si>
    <t>#Python main function not working #HowTo #Question #Tech https://t.co/BeTH1odKgD</t>
  </si>
  <si>
    <t>Reuven M. Lerner</t>
  </si>
  <si>
    <t>Modi'in, Israel</t>
  </si>
  <si>
    <t>Python/Ruby developer/author/trainer. PhD, learning sciences. @linuxjournal columnist. @dailytechvideo, @mandarinweekly, @modelingcommons, @freelancershow.</t>
  </si>
  <si>
    <t>#Python main function not working #Tech #Internet #Programming https://t.co/nmcGl8mWuG</t>
  </si>
  <si>
    <t>https://t.co/s4UrbUDXLT #BigData #RealEstate #Python #Machinelearning #IRR #Gate</t>
  </si>
  <si>
    <t>Goldie Knox</t>
  </si>
  <si>
    <t>A good Texan gentleman know us Cali cowgirls can't get #Python legally... #dontmesswithtexas #calicowgirl #boots https://t.co/mS5lES20IK</t>
  </si>
  <si>
    <t>San Diego</t>
  </si>
  <si>
    <t>Private Lingerie &amp; Swimwear Model - Available in all 50 states and Internationally</t>
  </si>
  <si>
    <t>The WAnswer</t>
  </si>
  <si>
    <t>「入居率98％」の甘い響きはまやかし？賃料を上げる不動産管理とは https://t.co/ZrZudsryLQ #BigData #RealEstate #Python #Machinelearning #IRR #Gate</t>
  </si>
  <si>
    <t>Implementing a @Braintree Payment #API Integration with #Python and Django https://t.co/juFae4B1Lp</t>
  </si>
  <si>
    <t>Antoine</t>
  </si>
  <si>
    <t>as serious as your life is Friday 7-8pm on @cism893// Future Vibes site &amp; app founder// Student in computer programming//</t>
  </si>
  <si>
    <t>Tim</t>
  </si>
  <si>
    <t>RT @randal_olson: Reworked the TPOT score() and predict() interface to match the sklearn interface today. Use pip to grab the latest. #Pyt…</t>
  </si>
  <si>
    <t>Pittsburgh, Pa</t>
  </si>
  <si>
    <t>Penn State &amp; Northwestern Alum. Adrenaline Junkie. Wine Enthusiast. Canning and Pickling Advocate. Data, Models, and BI.</t>
  </si>
  <si>
    <t>entity analysis: the only way @realDonaldTrump can be regarded as neutral. #python @AlchemyAPI https://t.co/GGJXUdhQsg</t>
  </si>
  <si>
    <t>A.Asiri~♊!</t>
  </si>
  <si>
    <t>RT @technawidotnet: اذا كنت تريد اتقان البايثون فهذه الدورة ترشدك الى بداية الطريق لذلك https://t.co/geioeaYPko #امن_المعلومت #برمجة #تقن…</t>
  </si>
  <si>
    <t xml:space="preserve">Riyadh , Saudi Arabia  </t>
  </si>
  <si>
    <t>♊ ‏‏‏‏‏‏‏‏‏‏‏‏‏‏‏‏‏‏‏‏‏‏جَوزآئِيّ ♊ CIS</t>
  </si>
  <si>
    <t>Luigi Pirelli</t>
  </si>
  <si>
    <t>A Coruña (Spain) - Italy</t>
  </si>
  <si>
    <t>gfoss developer</t>
  </si>
  <si>
    <t>BootFashion</t>
  </si>
  <si>
    <t>MissGoldieKnox: A good Texan gentleman know us Cali cowgirls can't get #Python legally... #dontmesswithtexas #cali… https://t.co/LVGFItqwGl</t>
  </si>
  <si>
    <t>Melo</t>
  </si>
  <si>
    <t>RT @Inversal_svq: El número de #compas aumenta en el #hackerspace de inversal!..133! #sevilla #makerspace #maker #owasp-sevilla #ethereum #…</t>
  </si>
  <si>
    <t>artesano digital;memento mori;kaizen</t>
  </si>
  <si>
    <t>Guy Bowerman</t>
  </si>
  <si>
    <t>RT @rddave: Using @azure Resource Manager? Love #Python? Give @gbowerman's cool visualizer/tool https://t.co/HyDRhzO1wT @ukazure https://t.…</t>
  </si>
  <si>
    <t>Microsoft Program Manager</t>
  </si>
  <si>
    <t>Rajan G</t>
  </si>
  <si>
    <t>pyGeno: A #python library for #bioinformatics with #personalizedgenomes and #proteomics - https://t.co/UTzhBEpgwl #PrecisionMedicine</t>
  </si>
  <si>
    <t>#cancerinformatics @uccancercenter. Science geek. Music, beer and burger devotee. Opinions are my own!</t>
  </si>
  <si>
    <t>"Why can’t we write list.len()?" via #Python https://t.co/p1avugkqNw</t>
  </si>
  <si>
    <t>[17:37:33-03:00] Irradiancia en W/(m².sr) a partir del modelo de @gersolar. #python https://t.co/DaaLbi2MyC</t>
  </si>
  <si>
    <t>#Python 関数の引数に * をつけると配列とタプル、 ** をつけると辞書を展開する。func(*[1,2]) は func(1,2) と同意。func(**{'a':1,'b':2}) は func(a=1,b=2) と同意。 [23]</t>
  </si>
  <si>
    <t>Monally 67-K</t>
  </si>
  <si>
    <t>#Python not writing headers: #HowTo https://t.co/3AAsxpov5Z</t>
  </si>
  <si>
    <t>Our mission is to provide high quality #technology &amp; #programming information's through our website.</t>
  </si>
  <si>
    <t>RT @yoavram: Python 3.5 is cooler than I thought: Concurrency with #Python 3.5 async &amp; await https://t.co/JuiaBlH3hY</t>
  </si>
  <si>
    <t>Open Data Science</t>
  </si>
  <si>
    <t>#Python comes with a fun module called functools. https://t.co/TemA58hU96</t>
  </si>
  <si>
    <t xml:space="preserve">Boston, MA </t>
  </si>
  <si>
    <t>Bringing together the global data science community to help foster the exchange of innovative ideas and encourage the growth of open source software.</t>
  </si>
  <si>
    <t>Graham Dumpleton: Building a better user experi... https://t.co/LU0BfK5QqH #pycon #python</t>
  </si>
  <si>
    <t>Kanio Dimitrov</t>
  </si>
  <si>
    <t>#Azure Advisor, Developer and Architect</t>
  </si>
  <si>
    <t>Jabar Alshamri</t>
  </si>
  <si>
    <t>Australia - Sydney</t>
  </si>
  <si>
    <t>*~ ستعلّمك الأيام -أو الوقت- ما كنت تجهله ~* Time will soon teach you what you were ignorant of</t>
  </si>
  <si>
    <t>RT @importpython: Graham Dumpleton: Building a better user experi... https://t.co/LU0BfK5QqH #pycon #python</t>
  </si>
  <si>
    <t>sØurc€cØd€(7Ø7)€rrØr</t>
  </si>
  <si>
    <t>Live #coding combo of #Python #Django, #JavaScript &amp; #HTML w/@karolyi https://t.co/GAvUbmYee6 #indiedev #devops #IoT https://t.co/69oBKfoCEa</t>
  </si>
  <si>
    <t>Kaunakakai, HI</t>
  </si>
  <si>
    <t>Esme: Journalist @Grasswire•Admin @BLKNews https://t.co/64ZxtpvHeX Paralegal student (IP Law for Engineers) at Chaminade Univ https://t.co/7RD2cUs1cx</t>
  </si>
  <si>
    <t>[b0t]My open source python personal assistant https://t.co/Lx4IbxXrzC #python</t>
  </si>
  <si>
    <t>RT @s0urceCode1esme: Live #coding combo of #Python #Django, #JavaScript &amp; #HTML w/@karolyi https://t.co/GAvUbmYee6 #indiedev #devops #IoT h…</t>
  </si>
  <si>
    <t>Js2Py - JavaScript to #Python Translator &amp; JavaScript interpreter written in 100% pure Python. https://t.co/iBk8Rq5zfO #Python #JavaScript</t>
  </si>
  <si>
    <t>It's like Sesame Street for the STEM set https://t.co/kIO0n5U53P #edtech #edchat #linux #python #puppets #firefox #html5 #blender #lwks #diy</t>
  </si>
  <si>
    <t>Santiago Mohr</t>
  </si>
  <si>
    <t>RT @PythonDaily: Js2Py - JavaScript to #Python Translator &amp; JavaScript interpreter written in 100% pure Python. https://t.co/iBk8Rq5zfO #Py…</t>
  </si>
  <si>
    <t>Europe... The Grid...</t>
  </si>
  <si>
    <t>Modeller/Programmer - PhD. Civil Engineering / MSc Chemical Engineering - Computers &amp; Maths, Science &amp; Technology, Data Analysis - Linux &amp; Python &amp; R &amp; Fortran</t>
  </si>
  <si>
    <t>#python thrift_amqp_tornado 0.1.3: Thirft transport implementation over the AMQP protocol https://t.co/pgiL8V8PuA</t>
  </si>
  <si>
    <t>#python neovim 0.1.1: Python client to neovim https://t.co/OE8rqF3nEh</t>
  </si>
  <si>
    <t>#python ontospy 1.6.5.4: A Python project for working with RDF/OWL ontologies https://t.co/dBxuT2rkW7</t>
  </si>
  <si>
    <t>#python dedupe 1.3.0: A python library for accurate and scaleable data deduplication and entity-resolution https://t.co/ffXqsRUsRs</t>
  </si>
  <si>
    <t>#python pokitdok 1.6: PokitDok Platform API Client https://t.co/FluWv0j8If</t>
  </si>
  <si>
    <t>#python pycorm 0.2.7: a pico orm that uses jsonschema https://t.co/qA9JEIpJgh</t>
  </si>
  <si>
    <t>#python Flask-Misaka 0.4.1: A pleasant interface between the Flask web framework and the Misaka Markdown parser. https://t.co/6ZUHmbOfYj</t>
  </si>
  <si>
    <t>#python cpyMSpec 0.0.5: isotope pattern calculator for small molecules https://t.co/xVkCgdsw6T</t>
  </si>
  <si>
    <t>#python query-collections 0.0.1.2a3: A set of classes built for easier management of Python maps and lists https://t.co/wpKgq0plCD</t>
  </si>
  <si>
    <t>#python tfatool 2.4.0: Tools for synchronizing files to/from and configuring the Toshiba FlashAir wireless SD card https://t.co/nm58sp4HIr</t>
  </si>
  <si>
    <t>Tales Oliveira</t>
  </si>
  <si>
    <t>opaaa fion vai devagar senão eu te reprogramo viu #Python #TMI</t>
  </si>
  <si>
    <t>gualdrapas</t>
  </si>
  <si>
    <t>Estudante de Tecnologia de Mecatrônica Industrial - IFCE</t>
  </si>
  <si>
    <t>RT https://t.co/39kytD9RNU Live #coding combo of #Python #Django, #JavaScript &amp; #HTML w/karolyi … https://t.co/RaNEtTTAsj</t>
  </si>
  <si>
    <t>RT https://t.co/7ncD5DSWbo RT s0urceCode1esme: Live #coding combo of #Python #Django, #JavaScript &amp; #HTML w/karol… https://t.co/RaNEtTTAsj</t>
  </si>
  <si>
    <t>RT @LillianEdmiston: RT https://t.co/7ncD5DSWbo RT s0urceCode1esme: Live #coding combo of #Python #Django, #JavaScript &amp; #HTML w/karol… htt…</t>
  </si>
  <si>
    <t>Job Online</t>
  </si>
  <si>
    <t>Image Downloader &amp; Evaluator (#Python/Scrapy Exp Preferred)2008104 by alanw6… https://t.co/v98qlxWWDb #freelance #job</t>
  </si>
  <si>
    <t>Looking for jobs online? JobsOnline gathers job postings from all over the web so you can find the online jobs you need. Search here. #freelance #job</t>
  </si>
  <si>
    <t>[b0t]Help with PyUserInput https://t.co/Fl0bXJxOyA #python</t>
  </si>
  <si>
    <t>Data Blabla</t>
  </si>
  <si>
    <t>RT @AnalyticsVidhya: Data speaks for itself whn presented visually, infographic for learning in #Python. https://t.co/nFYHhCjnBp #dataviz h…</t>
  </si>
  <si>
    <t>Québec, Canada</t>
  </si>
  <si>
    <t>#DataScience, #OpenData, #Datajournalism, #Statistics on #Health and #Education, #Bibliometry</t>
  </si>
  <si>
    <t>PyData</t>
  </si>
  <si>
    <t>PyData brings together users and developers of data analysis tools in Python, R, &amp; Julia. Past talks: https://t.co/W4T3H07AJE Organized by @NumFOCUS.</t>
  </si>
  <si>
    <t>Alexis Vabre</t>
  </si>
  <si>
    <t>PyCBC Software for Searching for Gravitational Waves from Compact Object Coalescence https://t.co/0FLJTph8YG #python #physics</t>
  </si>
  <si>
    <t>Artist, Technologist, Entrepreneur. #Founder of ENSO in Paris, partner @circusautomatic #ux #marketing #datascience #social Paris &amp; San Francisco</t>
  </si>
  <si>
    <t>Mythic Beasts</t>
  </si>
  <si>
    <t>Fighting a piece of perl that's refusing to connect over #IPv6. If it doesn't behave I'll rewrite in #python</t>
  </si>
  <si>
    <t>support: support@mythic-beasts.com</t>
  </si>
  <si>
    <t>pyldpc - Simulation of Low Density Parity Check Codes ldpc pypi: https://t.co/d2ViRbrEqO www: https://t.co/eP2QkzvSlc #python</t>
  </si>
  <si>
    <t>RT @py3k: pyldpc - Simulation of Low Density Parity Check Codes ldpc pypi: https://t.co/d2ViRbrEqO www: https://t.co/eP2QkzvSlc #python</t>
  </si>
  <si>
    <t>Eric Schles</t>
  </si>
  <si>
    <t>Aspiring entrepreneur with a need to fight slavery, mung data, and live deeply.</t>
  </si>
  <si>
    <t>Yuta Kashino</t>
  </si>
  <si>
    <t>Tokyo</t>
  </si>
  <si>
    <t>I'm an engineer and entrepreneur who has been living in Tokyo for 25 years. I love swimming, mathematics, and my family.</t>
  </si>
  <si>
    <t>Django #Python #Framework Django makes it easier to build better Web apps more quickly and with less code. https://t.co/sYuC7yBOTk</t>
  </si>
  <si>
    <t>Jobs Toronto</t>
  </si>
  <si>
    <t>#Senior #Python Developer https://t.co/pt53pKvQX8</t>
  </si>
  <si>
    <t>Toronto, Ontario</t>
  </si>
  <si>
    <t>Looking for a job in Toronto? Check out our website https://t.co/6NO6dJFsVY</t>
  </si>
  <si>
    <t>#Python MySQLdb Connection Import Error: #HowTo https://t.co/vltcIOzNN8</t>
  </si>
  <si>
    <t>#Python MySQLdb Connection Import Error #Tech #News #HowTo https://t.co/fHnqwIrKSk</t>
  </si>
  <si>
    <t>#Python MySQLdb Connection Import Error #Tech #Question #HowTo https://t.co/syQjgSoU0c</t>
  </si>
  <si>
    <t>Andreas Mueller</t>
  </si>
  <si>
    <t>Center for Data Science at NYU, working on open source and open science. Machine learner, python geek and scikit-learn enthusiast.</t>
  </si>
  <si>
    <t>atom/language-python https://t.co/YjbmAGryfB #python</t>
  </si>
  <si>
    <t>RT @freyduni: atom/language-python https://t.co/YjbmAGryfB #python</t>
  </si>
  <si>
    <t>Gamification</t>
  </si>
  <si>
    <t>official twitter account of http://t.co/iAb21GmP8b توئیتر رسمی وبگاه بازی آفرینی پارسی #Gamification #گیمیفیکیشن</t>
  </si>
  <si>
    <t>مهندسی فراشد هوشمند</t>
  </si>
  <si>
    <t>ایران</t>
  </si>
  <si>
    <t>صفحه رسمی شرکت مهندسی #فراشدهوشمند. طراحی و پیاده سازی پروژه های #نرم_افزاری،‌ #هوش_مصنوعی، #اتوماسیون، #گیمیفیکیشن</t>
  </si>
  <si>
    <t>[b0t] History of Python Programming Language - Guido van Rossum https://t.co/7NbUNvnr7e #python</t>
  </si>
  <si>
    <t>Valdir Stumm Junior</t>
  </si>
  <si>
    <t>Works at @Scrapinghub</t>
  </si>
  <si>
    <t>[b0t]Optimizing uwsgi for many threads and processes. https://t.co/BTETbY53hG #python</t>
  </si>
  <si>
    <t>ΛLΞXΛNDRΞ</t>
  </si>
  <si>
    <t>Right here, right now</t>
  </si>
  <si>
    <t>I shoot raw logs @Splunk #infosec #dfir #photography</t>
  </si>
  <si>
    <t>Eiji Kumamoto</t>
  </si>
  <si>
    <t>E quando você ta numa aula de #Linux e escreve no terminal com código de #python :p</t>
  </si>
  <si>
    <t>João Pessoa, Paraíba</t>
  </si>
  <si>
    <t>Network computers analyst and Musician</t>
  </si>
  <si>
    <t>ひきにく</t>
  </si>
  <si>
    <t>デジタル一眼初心者(一年生)の α7Sユーザです。TRPG、お酒、IT系ガジェット、軍事ネタが大好きです。あと小説も大好きです。 最近は形態素解析やナイーブベイズ、機械学習に興味持ってるしがないネットワークエンジニアです。 ◆photohito https://t.co/40rLd1NntK</t>
  </si>
  <si>
    <t>Ronnie Kedrin</t>
  </si>
  <si>
    <t>We are hiring: Senior Software Development Engineer - EC2 Senior https://t.co/5fWqIuTx8N #job @awscloud #dev #java #c++ #python #code</t>
  </si>
  <si>
    <t>Ei @multiplaytele @proconfortaleza por que minha velocidade da internet está em 8.6down/1.0up quando eu pago por 20down/2up? #python #bot</t>
  </si>
  <si>
    <t>Raza Jeffrey</t>
  </si>
  <si>
    <t>Get job offers and visa from 700+ US top tech companies for #iOS #android #JavaScript #ruby #python and more. https://t.co/mjSuFkB8hs</t>
  </si>
  <si>
    <t>Newark, CA</t>
  </si>
  <si>
    <t>Talk to me; SVP Sales @devbatch 300+ projects in Mobile, Web, Enterprise, Cloud, DevOps, Consulting; #Fintech; #IOT; #Startups Mentor; Rotary Mensa</t>
  </si>
  <si>
    <t>python_http_client - HTTP REST client, simplified for Python pypi: https://t.co/tOGunsN0yU www: https://t.co/i4X4uHLROQ #python</t>
  </si>
  <si>
    <t>MIsa Leiva</t>
  </si>
  <si>
    <t>Hey there! #piton #python #snake #serpiente #guatemala #zoolife https://t.co/GZSzZqAb5u</t>
  </si>
  <si>
    <t>Guatemala</t>
  </si>
  <si>
    <t>Owner of: MIsa Leiva Photography Photographer &amp; Writer I will have one mistress here, and no master. Elizabeth</t>
  </si>
  <si>
    <t>Rogério T. de Brito</t>
  </si>
  <si>
    <t>Uploaded new version of #youtube_dl (#python) to @debian's #sid. @ubuntu/@linuxmint people are welcome to grab it! https://t.co/5d9aoRl2v5</t>
  </si>
  <si>
    <t>São Paulo, Brazil</t>
  </si>
  <si>
    <t>Computer Scientist, Wannabe Mathematician, Debian Maintainer, Software Freedom Enthusiast.</t>
  </si>
  <si>
    <t>Automates XYZ</t>
  </si>
  <si>
    <t>#python Incident response on the AWS cloud and the case for outsourcing - Cloud Tech https://t.co/73WHc70FhK</t>
  </si>
  <si>
    <t>Ask Apps Developers</t>
  </si>
  <si>
    <t>RT @jaffri: Get job offers and visa from 700+ US top tech companies for #iOS #android #JavaScript #ruby #python and more. https://t.co/mjSu…</t>
  </si>
  <si>
    <t>Planet Earth</t>
  </si>
  <si>
    <t>Ask app development questions from enterprise mobility experts &amp; get plain English answers on #mhealth #mbanking #mcommerce, #ios #android #windows apps #html5</t>
  </si>
  <si>
    <t>#Python Doug Hellmann: So, you’ve released a broken package to PyPI. What do you do now? https://t.co/KCFfRt0Z34</t>
  </si>
  <si>
    <t>RT @pdipao: #Python Doug Hellmann: So, you’ve released a broken package to PyPI. What do you do now? https://t.co/KCFfRt0Z34</t>
  </si>
  <si>
    <t>Kate Mereand-Sinha</t>
  </si>
  <si>
    <t>RT @joymwhitt: I made @BLS_gov data viz this week using their #python #API! #opendatadc #dmped https://t.co/8hvcSN7QKu https://t.co/LI8b6ST…</t>
  </si>
  <si>
    <t>Interested in regulatory design for a new economy | Building a better world through fair competition | Law &amp; Public Policy | I believe in social justice</t>
  </si>
  <si>
    <t>wolfe - :wolf: i am winston wolfe, i solve problems https://t.co/OTKcrSOouz #python</t>
  </si>
  <si>
    <t>W.I.L.L - A python written personal assistant https://t.co/3T90bbdnTv #python</t>
  </si>
  <si>
    <t>BlackCoin News</t>
  </si>
  <si>
    <t xml:space="preserve">Global </t>
  </si>
  <si>
    <t>Official Leader on Twitter for #BlackCoin (BLK) News. #Bitcoin #BTC #Blockchain #IoT: Please follow @blackwavelabs @ObsidianCVT BlackcoinNews@21co.slack.com</t>
  </si>
  <si>
    <t>Python Developer Chattanooga https://t.co/1VRsp8Eg8o #Python #jobs</t>
  </si>
  <si>
    <t>DigitalOcean</t>
  </si>
  <si>
    <t>LIVE on #Periscope: @nycpythonmeetup with talks on Security at @digitalocean HQ! #python #security https://t.co/6dYUV8v59Q</t>
  </si>
  <si>
    <t>Periscope</t>
  </si>
  <si>
    <t>We're simplifying the cloud by providing an infrastructure experience that developers #love Status: @DOstatus Join us: https://t.co/mxhfoKY5xD</t>
  </si>
  <si>
    <t>tonyCI25</t>
  </si>
  <si>
    <t>A Smooth Refresher on Python's Classes and Objects https://t.co/16vJox22fc #Python #education #coding #developers #Pythonclasses</t>
  </si>
  <si>
    <t>Fenix for Android</t>
  </si>
  <si>
    <t>Philly &amp; Puerto Rico</t>
  </si>
  <si>
    <t>Born and raised in Mayaguez, Puerto Rico, love art, music, reading, technology good food &amp; beautiful women. Freelancer designer.</t>
  </si>
  <si>
    <t>Accepting Applications: Senior Content Publishing Manager - 949353 in Redmond, WA https://t.co/x6Jcvj1Cqw #python #ruby #angular</t>
  </si>
  <si>
    <t>Zegami</t>
  </si>
  <si>
    <t>@oxfordpython we have just set up in #Oxford and keen to attend an event. Are looking for #python dev's, any help would be appreciated!</t>
  </si>
  <si>
    <t>Visualisation tool for image based data</t>
  </si>
  <si>
    <t>Dr Andy Pardoe</t>
  </si>
  <si>
    <t>Technologist and Entrepreneur. Founder of @Informed_AI network. Chief Curator of @homeAIinfo</t>
  </si>
  <si>
    <t>Nsukami _ | 巣神</t>
  </si>
  <si>
    <t>Kongo Katiopa Universe</t>
  </si>
  <si>
    <t>I get things (un)done, using free software based tools -- GPG: 9F71504C</t>
  </si>
  <si>
    <t>ReleaseTEAM</t>
  </si>
  <si>
    <t>rtrssfeed</t>
  </si>
  <si>
    <t>Westminster,CO</t>
  </si>
  <si>
    <t>Dev Ops and Software Configuration Management Consulting</t>
  </si>
  <si>
    <t>mihalache daniel</t>
  </si>
  <si>
    <t>RT @digitalocean: LIVE on #Periscope: @nycpythonmeetup with talks on Security at @digitalocean HQ! #python #security https://t.co/6dYUV8v59Q</t>
  </si>
  <si>
    <t>OnlineChat Assistant</t>
  </si>
  <si>
    <t>Online Chat Assistant (OCA) is easy-to-use messaging for your business. Start talking to customers today, connect with customers when and how they want to.</t>
  </si>
  <si>
    <t>Pat Ferate</t>
  </si>
  <si>
    <t>@digitalocean on #Periscope: @nycpythonmeetup with talks on Security at @digitalocean HQ! #python #security. https://t.co/YWimFVn6B9</t>
  </si>
  <si>
    <t>Washington</t>
  </si>
  <si>
    <t>michael rodriguez</t>
  </si>
  <si>
    <t>RT @pythontrending: W.I.L.L - A python written personal assistant https://t.co/3T90bbdnTv #python</t>
  </si>
  <si>
    <t>Techi,sports fanatic-GoSpursGo,Cowboys!and Texas Longhorns, poker fanatic♦️♥️♣️♠️☝☝</t>
  </si>
  <si>
    <t>RT https://t.co/5yhmccYLlo RT s0urceCode1esme: Live #coding combo of #Python #Django, #JavaScript &amp; #HTML w/karol… https://t.co/RaNEtTTAsj</t>
  </si>
  <si>
    <t>RT https://t.co/1O1gI31pSO RT s0urceCode1esme: Live #coding combo of #Python #Django, #JavaScript &amp; #HTML w/karol… https://t.co/RaNEtTTAsj</t>
  </si>
  <si>
    <t>RT @pythontrending: wolfe - :wolf: i am winston wolfe, i solve problems https://t.co/OTKcrSOouz #python</t>
  </si>
  <si>
    <t>Looking for talented #javascript and #python developers to help us build https://t.co/BSlzGQ3qcs. If you want a challenge look no further!</t>
  </si>
  <si>
    <t>billy keed</t>
  </si>
  <si>
    <t>.@digitalocean on #Periscope: @nycpythonmeetup with talks on Security at @digitalocean HQ! #python #security https://t.co/eys3ikzy00</t>
  </si>
  <si>
    <t>everywhere</t>
  </si>
  <si>
    <t>/poet bitcoin 1QHRjzVxumNTZJZWKNGRs9hVMnGFcH https://t.co/5IesiA3gcJ</t>
  </si>
  <si>
    <t>Rahul Manelkar</t>
  </si>
  <si>
    <t>Boulder</t>
  </si>
  <si>
    <t>[b0t]Sklearn Data Problem https://t.co/TlUb3oKKoU #python</t>
  </si>
  <si>
    <t>[b0t] Sklearn Data Problem https://t.co/BVcmyhSn5l #python</t>
  </si>
  <si>
    <t>Emanuel Vieira</t>
  </si>
  <si>
    <t>Ta Tranquilo, Ta Favoravel. ✌ 🐒🐰 #LinguagemdeProgramaçaoI #Python @… https://t.co/LpvTUbli5d</t>
  </si>
  <si>
    <t>Fortaleza</t>
  </si>
  <si>
    <t>Fotografo -- Campos Studio Acadêmico de Sistemas de Informação - Fied Desbravador (Clube Haguios) Deus Acima de Tudo.</t>
  </si>
  <si>
    <t>André Freitas</t>
  </si>
  <si>
    <t>Porto/Madeira,  Portugal</t>
  </si>
  <si>
    <t>I spend my days doing code, mainly in Python and sometimes Go / Stay foolish, stay hungry, eat a Snicker. / Sometimes I post random stuff.</t>
  </si>
  <si>
    <t>Walmik</t>
  </si>
  <si>
    <t>A bit rusty but still mildly amusing #perl &amp; #python influences in #javascript https://t.co/gBkYriFjVB … by @rauschma</t>
  </si>
  <si>
    <t>San Francisco Bay Area</t>
  </si>
  <si>
    <t>Sprint monkey @PayPal, Sings in the bathvroom, plays guitars in the bedvroom, yawns in the boardvroom. Just vroom vroom vroom!</t>
  </si>
  <si>
    <t>#python paasta-tools 0.17.10: Tools for Yelps SOA infrastructure https://t.co/AunFVHrwpZ</t>
  </si>
  <si>
    <t>#python awscli 1.10.8: Universal Command Line Environment for AWS. https://t.co/qAv82RfmVc</t>
  </si>
  <si>
    <t>#python botocore 1.3.30: Low-level, data-driven core of boto 3. https://t.co/pii88yJn7V</t>
  </si>
  <si>
    <t>#python ppmessage-mqtt 1.0.6: A Python mqtt server, originally developed at PPMessage. https://t.co/8CItrZPwWD</t>
  </si>
  <si>
    <t>#python ndparse 0.0.1: A Python library for NeuroData computer vision and data processing https://t.co/dIsr17FaI9</t>
  </si>
  <si>
    <t>#python python_http_client 1.0.1: HTTP REST client, simplified for Python https://t.co/DE29Ho0KLs</t>
  </si>
  <si>
    <t>Esme Chloé Dudoit</t>
  </si>
  <si>
    <t>Kaunakakai</t>
  </si>
  <si>
    <t>Journalist @Grasswire |Pirate Party| Admin @BLKNews |Stenographer| Paralegal student (IP Law for Engineers) at Chaminade University https://t.co/uiUDN1EU5E</t>
  </si>
  <si>
    <t>#python superplot 1.0.10: Python GUI for plotting SuperPy/SuperBayes/MultiNest/BAYES-X results https://t.co/kpONBYB2lI</t>
  </si>
  <si>
    <t>#python pytransform 0.1.1: Applies transformation to structures and writes new pdb file https://t.co/qynnCJl6lq</t>
  </si>
  <si>
    <t>#python treemaker 1.0: A python tool for generating a Newick formatted tree from alist of classifications https://t.co/cOoM6FCmiO</t>
  </si>
  <si>
    <t>Voice Recognition and Text to Speech in #Python https://t.co/HDzHebVC7N</t>
  </si>
  <si>
    <t>william banks</t>
  </si>
  <si>
    <t>Tonight could not get #node to work, i'm a numpty you got to install #Python first. That's the first todo tomorrow.</t>
  </si>
  <si>
    <t>Twitter for BlackBerry</t>
  </si>
  <si>
    <t>Stoke-On-Trent</t>
  </si>
  <si>
    <t>Studying at Staffordshire Uni, a Web Development award. Loving life and being around amazing people. Peace and spread love.</t>
  </si>
  <si>
    <t>Brian Drake</t>
  </si>
  <si>
    <t>The top five in-demand #cloud skills for 2016 - #azure #mcsa #mcse #sql #python #linux https://t.co/I0PV5n5yRm</t>
  </si>
  <si>
    <t>Corporate Account Manager - Learn iT!</t>
  </si>
  <si>
    <t>Data Visualization gaining popularity, makes #data presentable &amp; readable! https://t.co/HWKaa0iij8 #dataviz #python https://t.co/v8v8f8RGcd</t>
  </si>
  <si>
    <t>Sebastian Godoy</t>
  </si>
  <si>
    <t>I think I have a new favorite programming language: #python :)</t>
  </si>
  <si>
    <t>3rd planet from the sun</t>
  </si>
  <si>
    <t>Transforming neurons connections to bits</t>
  </si>
  <si>
    <t>Mrs. Sills</t>
  </si>
  <si>
    <t>Trying to understand this takes me back to being a student #mpimiddle #python #learningtocode https://t.co/fsK56aOoUV</t>
  </si>
  <si>
    <t>Honolulu</t>
  </si>
  <si>
    <t>Mid-Pacific Institute 7th &amp; 8th Grade Technology Teacher. Integrating 360 degree VR into the classroom</t>
  </si>
  <si>
    <t>RT https://t.co/GSFfkSONAh RT s0urceCode1esme: Live #coding combo of #Python #Django, #JavaScript &amp; #HTML w/karol… https://t.co/RaNEtTTAsj</t>
  </si>
  <si>
    <t>David Na</t>
  </si>
  <si>
    <t>Greater Los Angeles</t>
  </si>
  <si>
    <t>Data, Systems and Technology</t>
  </si>
  <si>
    <t>Reza</t>
  </si>
  <si>
    <t>Engineer @Ericsson, Interested in Freedom, Creating things with #Python #Ruby #Flask, KNTU alumni. AFK I'm a food lover.</t>
  </si>
  <si>
    <t>Instant Creatis</t>
  </si>
  <si>
    <t>Un bot qui tweete dès que votre débit internet https://t.co/DlpdsRc9lU #applications #codesource #internet #python #raspberrypi #twitter</t>
  </si>
  <si>
    <t>Rouen, Haute-Normandie</t>
  </si>
  <si>
    <t>Agence digitale / Rouen / Sites Web, E-commerce, Dépannage, Conseils</t>
  </si>
  <si>
    <t>HanaMA</t>
  </si>
  <si>
    <t>RT @AnalyticsVidhya: Data Visualization gaining popularity, makes #data presentable &amp; readable! https://t.co/HWKaa0iij8 #dataviz #python ht…</t>
  </si>
  <si>
    <t>I only trust Scientists and Animals</t>
  </si>
  <si>
    <t>Pirate Party Pacific</t>
  </si>
  <si>
    <t>County of Maui</t>
  </si>
  <si>
    <t>Esme: F/E/G Journalist @Grasswire •Admin @BLKNews•Pirate Party/Green Party Hawaii•https://t.co/uiUDN1EU5E IP Law student at Chaminade Univ</t>
  </si>
  <si>
    <t>How-To Abstract Data Types Explained C++ https://t.co/YZivgM9L5m #adt #C++ #python #ruby #ror #theory</t>
  </si>
  <si>
    <t>__ale__</t>
  </si>
  <si>
    <t>gpg pub key : http://t.co/ZKESx4dtu0</t>
  </si>
  <si>
    <t>Alberto V.</t>
  </si>
  <si>
    <t>Buena cara a la vida, acá donde la vida no vale nada.</t>
  </si>
  <si>
    <t>[b0t]Help with escaping html in CSV in iPython Notebook (jupyter) https://t.co/uf1skgIynH #python</t>
  </si>
  <si>
    <t>Tom Christie</t>
  </si>
  <si>
    <t>RT @iamemmanouil: Just released drfdocs 0.0.7 on @pypi! https://t.co/YjSU3IwuB9 Coming up - Support for DRF's ModelViewSets #python #django</t>
  </si>
  <si>
    <t>https://t.co/VHYqrTUdRD • https://t.co/4XY3trTIQC • https://t.co/o6tmoXV4I6</t>
  </si>
  <si>
    <t>homepage https://t.co/TcKPVRZE1I #python</t>
  </si>
  <si>
    <t>data['mafia'] = True</t>
  </si>
  <si>
    <t>Making my code great again. #programming #software #python https://t.co/CLbLU5o1Q0</t>
  </si>
  <si>
    <t>NYC/BLDR/SF/ATX</t>
  </si>
  <si>
    <t>Hired gun ☠ #programmer. Software academic, audio hacker, freestyle #FPV pilot. In the work I do, traditional often implies irrelevant. #python #oss #married</t>
  </si>
  <si>
    <t>"Matlab's lsqnonlin equivalent" via #Python https://t.co/X1nfKONB1f</t>
  </si>
  <si>
    <t>Mickaël Demonchaux</t>
  </si>
  <si>
    <t>RT @python_devv: A Gentle Introduction to #Python Programming - Lite ☞ https://t.co/pT43WVW3eW #tutorial #programming https://t.co/iTeww6M…</t>
  </si>
  <si>
    <t>japan</t>
  </si>
  <si>
    <t>Learning to become a Padawan coder, Bicycle Otaku and good food aficionados</t>
  </si>
  <si>
    <t>Congo Warrior</t>
  </si>
  <si>
    <t>Late nights at the shop #SoftwareDev #Git #CSharp #Python https://t.co/qyO89sEmZA</t>
  </si>
  <si>
    <t>Non-Conformist - Software Developer - Gym Is Life</t>
  </si>
  <si>
    <t>RT @freyduni: homepage https://t.co/TcKPVRZE1I #python</t>
  </si>
  <si>
    <t>The Ultimate Python Programming Tutorial #python #udemy https://t.co/xmEAWzefpT https://t.co/SzC7Iu3Z0q</t>
  </si>
  <si>
    <t>RT https://t.co/t8F6oMPjYf RT s0urceCode1esme: Live #coding combo of #Python #Django, #JavaScript &amp; #HTML w/karol… https://t.co/RaNEtTTAsj</t>
  </si>
  <si>
    <t>RT https://t.co/WYOq33E7NF RT s0urceCode1esme: Live #coding combo of #Python #Django, #JavaScript &amp; #HTML w/karol… https://t.co/RaNEtTTAsj</t>
  </si>
  <si>
    <t>IT Knowingness</t>
  </si>
  <si>
    <t>RT @LillianEdmiston: RT https://t.co/t8F6oMPjYf RT s0urceCode1esme: Live #coding combo of #Python #Django, #JavaScript &amp; #HTML w/karol… htt…</t>
  </si>
  <si>
    <t>ttools it knowingness</t>
  </si>
  <si>
    <t>Latest news and trends in IT and Computer Science</t>
  </si>
  <si>
    <t>RT @TheQAblog: https://t.co/aC8Nwn0Eqd on @GitHub - The fastest way to do QA is with the help of automation! Learn to love #QA today! #Pyth…</t>
  </si>
  <si>
    <t>Nanci Lancaster</t>
  </si>
  <si>
    <t>Production Coordinator @digitalocean, helping to spread LOVE to all developers! Formerly Workshop Producer at SXSW Interactive.</t>
  </si>
  <si>
    <t>Shane Rainville</t>
  </si>
  <si>
    <t>Cyphon monitor now #docker-ized. #Microservices for the win. #webdevelopment #python #php #monitoring #csharp https://t.co/HxO8Il4Yf1</t>
  </si>
  <si>
    <t>Infrastructure Engineer, web developer, DevOps evangelist.</t>
  </si>
  <si>
    <t>RT @Alatitude77: Go bridges to Javascript and Python #go #bridges #javascript #python https://t.co/YBBnbOXBtu</t>
  </si>
  <si>
    <t>naoufal el yousfi</t>
  </si>
  <si>
    <t>Enjoying Reading #two_scoops_of_django book, It's really useful. #django #python</t>
  </si>
  <si>
    <t>Tétouan, Tanger - Tétouan</t>
  </si>
  <si>
    <t>An android developer, new technologies lover, a dreamer and a Gnu/Linux user. I forgot to say that I also like football, good movies and rap music :)</t>
  </si>
  <si>
    <t>PyQuant News</t>
  </si>
  <si>
    <t>Pandas on HDFS with Dask Dataframes https://t.co/N1FClV4oMC | https://t.co/Yo439vUMUn #python #pandas #datascience #bigdata</t>
  </si>
  <si>
    <t>Singapore</t>
  </si>
  <si>
    <t>Resources for developers using Python for scientific computing and quantitative analysis. Curated by @jasonstrimpel.</t>
  </si>
  <si>
    <t>Matthew Wallace</t>
  </si>
  <si>
    <t>All the things I’ve got in the pipeline to learn over the next year. #python #cpp #datascience #reactjs #nodejs #es6 https://t.co/sLcafRQx4M</t>
  </si>
  <si>
    <t>Nashville, TN</t>
  </si>
  <si>
    <t>Software Engineer at Riot Games ... and Contractor - #ios #android #webapps #desktop #development. w: mattwallace.me | e: m@615.io</t>
  </si>
  <si>
    <t>Matlab's lsqnonlin equivalent https://t.co/etll2OQWSb #Python Hi, Is there an equivalent for "lsqnonlin". I need to fit a sphere to some…</t>
  </si>
  <si>
    <t>workdir - изолированный временный файл : https://t.co/zahye7nvR8 #python</t>
  </si>
  <si>
    <t>#Python if else statement in recursive function getting stuck: #HowTo #Question #Tech https://t.co/t1L4Ern8bi</t>
  </si>
  <si>
    <t>#Python if else statement in recursive function getting stuck: #Tech #Internet #Programming https://t.co/tKCgXaUVeW</t>
  </si>
  <si>
    <t>#python travis2docker 2.1.1.dev2: Script to generate Dockerfile from .travis.yml file https://t.co/uUIK9d2wQb</t>
  </si>
  <si>
    <t>#python expfactory 2.0.0: Python module for managing experiment factory experiments, for deployment to a psiturk… https://t.co/d6KNMdsNeB</t>
  </si>
  <si>
    <t>#python pytransform 0.1.3: Applies transformation to structures and writes new pdb file https://t.co/XE67PzE2Mw</t>
  </si>
  <si>
    <t>#python python_http_client 1.1.0: HTTP REST client, simplified for Python https://t.co/Kt0BvsO0G8</t>
  </si>
  <si>
    <t>#python rebound 2.13.6: An open-source multi-purpose N-body code https://t.co/qrQYM2VWi3</t>
  </si>
  <si>
    <t>#python dynamo-objects 1.0.9: Simple DynamoDB object mapper and utils https://t.co/C0NA3nSVDK</t>
  </si>
  <si>
    <t>#python seasonal 0.1.0: Estimate trend and seasonal effects in a timeseries https://t.co/7QF9cgUU0S</t>
  </si>
  <si>
    <t>#python Tartar 0.3: Tartar optimizes your images, accelerates website loadtimes, saves storage and bandwidth https://t.co/LLsOAULdei</t>
  </si>
  <si>
    <t>#python generateDS 2.20a0: Generate Python data structures and XML parser from Xschema https://t.co/H6xPx5kfC4</t>
  </si>
  <si>
    <t>Felipe Ruhland</t>
  </si>
  <si>
    <t>Flow Home</t>
  </si>
  <si>
    <t>Software Developer</t>
  </si>
  <si>
    <t>Pedro Correia</t>
  </si>
  <si>
    <t>Lisbon, Portugal</t>
  </si>
  <si>
    <t>Web-Developer; SL Benfica, Japan, South Korea , China and Astronomy fan ^_^''</t>
  </si>
  <si>
    <t>John Kitchin</t>
  </si>
  <si>
    <t>Pycse is now using Python3 https://t.co/tGJK5JKjlN #python</t>
  </si>
  <si>
    <t>Carnegie Mellon University</t>
  </si>
  <si>
    <t>Professor of Chemical Engineering, Emacs+org-mode+Python enthusiast</t>
  </si>
  <si>
    <t>ESEngine -- Elasticsearch Object Doctype Mapper for Python &gt;&amp;gt; https://t.co/NzsGSSHo2V by @rochacbruno #python</t>
  </si>
  <si>
    <t>charles nelson</t>
  </si>
  <si>
    <t>RT @codek_tv: Zero to Hero with #Python http://t.co/vWR4W9sUS7 #webdev #webdevelopment http://t.co/Ph0C9LOvpO</t>
  </si>
  <si>
    <t>AllMyChanges News</t>
  </si>
  <si>
    <t>1.1.0 of python/argcomplete was released: https://t.co/luh8lzEEcI #python #argcomplete #release https://t.co/9fSZMr90cF</t>
  </si>
  <si>
    <t>AllMyChanges Autoposter</t>
  </si>
  <si>
    <t>#python import of local module failing when run as systemd/systemctl service #Tech #News #HowTo https://t.co/saLTGpy6i5</t>
  </si>
  <si>
    <t>A basic Django app with the Github API &gt;&amp;gt; https://t.co/yXn5MRJ1et via @raybesiga #python #django</t>
  </si>
  <si>
    <t>#python import of local module failing when run as systemd/systemctl service #Tech #Question #HowTo https://t.co/7tSpY4ZRzg</t>
  </si>
  <si>
    <t>Shannon Quinn</t>
  </si>
  <si>
    <t>Athens, GA</t>
  </si>
  <si>
    <t>Assistant Professor of Computer Science and Cellular Biology at @universityofga. Data science, running, and listmaking are my fortes.</t>
  </si>
  <si>
    <t>Astrofra</t>
  </si>
  <si>
    <t>RT @brobeur: [b0t]Help with PyUserInput https://t.co/Fl0bXJxOyA #python</t>
  </si>
  <si>
    <t>Male, living in France. Graduated in Fine Arts and Computer Science. Focused on interactive 3D story telling, serial Global Game Jammer and active demo maker.</t>
  </si>
  <si>
    <t>0.15.3 of python/mkdocs was released: https://t.co/kv1oxmDaHk #python #mkdocs #release https://t.co/LBkY78llHJ</t>
  </si>
  <si>
    <t>appBana</t>
  </si>
  <si>
    <t>「pythonで自分のはてなブログにログインする方法」 https://t.co/r0Kjcqsl6Y #teratail #python</t>
  </si>
  <si>
    <t>埼玉県</t>
  </si>
  <si>
    <t>TDUCTF2015/SANSnetwars2015/CTF4b東京2015/大学生/Python/Java/Atom/vim/CTFド素人/アニメ/Hatena/あにこれ</t>
  </si>
  <si>
    <t>E A Faisal</t>
  </si>
  <si>
    <t>Attending University of Life</t>
  </si>
  <si>
    <t>Import Python Issue 62 is here https://t.co/A0AfG3T1Q7 #Python #pep8 #Docker #europython #NBA #Django #flask #jobs</t>
  </si>
  <si>
    <t>0.29 of python/ptpython was released: https://t.co/I5mFAfAsKf #python #ptpython #release https://t.co/HsibHC1nf3</t>
  </si>
  <si>
    <t>Not sure if awesome or really bad. Yes, looping. #programming #python #apiwork https://t.co/S8hjsk6PZ4</t>
  </si>
  <si>
    <t>Aaron Hall, MBA</t>
  </si>
  <si>
    <t>yosai - #Python port of Apache Shiro - looks really cool. RBAC FTW.</t>
  </si>
  <si>
    <t>Interests: Business, Strategy, Data, Computing, Math, Python, R, Pandas, SDLC, Economics,</t>
  </si>
  <si>
    <t>RT @pyquantnews: Pandas on HDFS with Dask Dataframes https://t.co/N1FClV4oMC | https://t.co/Yo439vUMUn #python #pandas #datascience #bigdata</t>
  </si>
  <si>
    <t>IAM Network</t>
  </si>
  <si>
    <t>Featuring carefully curated content about #technology, #investment, #development, #startups, #security, #marketing, #media, #bigdata, #blockchain and #apps.</t>
  </si>
  <si>
    <t>Programmer Analyst Woods Hole https://t.co/zDmkP76AvU #Python #jobs</t>
  </si>
  <si>
    <t>Firmware Intern Vancouver https://t.co/nCcAObkryr #Python #jobs</t>
  </si>
  <si>
    <t>Associate, Strategic Analytics, The Huffington Post New York https://t.co/AgbT5SFDIl #Python #jobs</t>
  </si>
  <si>
    <t>Scientific Programmer New York https://t.co/09YYdNTAV9 #Python #jobs</t>
  </si>
  <si>
    <t>Luis rodrigues</t>
  </si>
  <si>
    <t>A tradição é a personalidade dos imbecis.</t>
  </si>
  <si>
    <t>Justin Ghio</t>
  </si>
  <si>
    <t>We are hiring: AWS SDK for Python AWS SDK for Python (Seattle, WA) https://t.co/qIeufdSu25 #job @awscloud #python</t>
  </si>
  <si>
    <t>AWS Technical Recruiter | Developer and Builder Tools Org | SDK &amp; CodePipeline |</t>
  </si>
  <si>
    <t>Sometimes you feel like some static typing and immutability is what you need. Sometimes you can't get it. #python #programming #code</t>
  </si>
  <si>
    <t>Amplero.com</t>
  </si>
  <si>
    <t>Our #engineering team is hiring! Come work with us! #machinelearning #python #java https://t.co/RCpmUVLAjQ #job</t>
  </si>
  <si>
    <t>We transform how marketers engage and retain customers with our self-learning personalization platform.</t>
  </si>
  <si>
    <t>Detect@rte</t>
  </si>
  <si>
    <t>RT @amplerodotcom: Our #engineering team is hiring! Come work with us! #machinelearning #python #java https://t.co/RCpmUVLAjQ #job</t>
  </si>
  <si>
    <t>Argentina</t>
  </si>
  <si>
    <t>I'm a Technology, Datascience, Security &amp; Salesforce freak; enjoy designing solutions for customers. Sports &amp; Runner fan. Consultor &amp; Entrepreneur.</t>
  </si>
  <si>
    <t>Kate Brew</t>
  </si>
  <si>
    <t>RT @ValbonneConsult: we are #hiring #Perl, Lua &amp; #Python developers in #Berlin to build high-traffic real-time bidding platforms http://t.c…</t>
  </si>
  <si>
    <t>Austin</t>
  </si>
  <si>
    <t>Infosec is my interest. Have: super connector skills. Want: Infosec content. OWASP Austin &amp; LASCON boards - looking for infosec speakers. Editor AlienVault blog</t>
  </si>
  <si>
    <t>OpenSCAD</t>
  </si>
  <si>
    <t>RT @taxpon: Just published python library to generate OpenSCAD source code. #Python #OpenSCAD #Generator https://t.co/4c4JE5Cy3L</t>
  </si>
  <si>
    <t>jasonmerino</t>
  </si>
  <si>
    <t>Coding JARVIS in #python in 2016 https://t.co/QnmbnHvRFZ</t>
  </si>
  <si>
    <t>I am a Jesus lover, husband, father, and software engineer. #reactnative #javascript</t>
  </si>
  <si>
    <t>FMS</t>
  </si>
  <si>
    <t>Intro to #python3 cheat sheet. Get your own @realpython! #python https://t.co/9bR4oCoyDW</t>
  </si>
  <si>
    <t>Flex.io</t>
  </si>
  <si>
    <t>Check in out - do you know a bit of #python and wanna dive into #machinelearning? https://t.co/sKcJxJFNpV https://t.co/2wRE0BDu85</t>
  </si>
  <si>
    <t>Automate repetitive #data processing tasks with #DIY data pipelines. Collaborate together privately or publish #opendata pipes. Ping us for private beta!</t>
  </si>
  <si>
    <t>Remote Wolfy</t>
  </si>
  <si>
    <t>Want to be remote Backend Engineer in @plastcinc ? #backend #lead #python ➡ https://t.co/ECPpRS20LF</t>
  </si>
  <si>
    <t>Remote Wolfy Job</t>
  </si>
  <si>
    <t>Anywhere</t>
  </si>
  <si>
    <t>Remote jobs for digital nomads | new remote work everyday | RSS: https://t.co/h8kgRkc68b | https://t.co/GlHh6QLdSR | by @Zero___Hero</t>
  </si>
  <si>
    <t>#python boto3 1.2.5: The AWS SDK for Python https://t.co/LtbUS9ViJ5</t>
  </si>
  <si>
    <t>#python digTokenizer 1.0.9: digTokenizer https://t.co/sH3EdlsYaw</t>
  </si>
  <si>
    <t>#python digSparkUtil 1.0.22: digSparkUtil https://t.co/o4A4MYefZP</t>
  </si>
  <si>
    <t>#python digStylometry 0.1.5: code to get signature to do stylometric analysis https://t.co/SjzFx2clJv</t>
  </si>
  <si>
    <t>#python frida 7.0.3: Inject JavaScript to explore native apps on Windows, Mac, Linux, iOS and Android https://t.co/kXA64LCzzK</t>
  </si>
  <si>
    <t>#python expfactory 2.0.1: Python module for managing experiment factory experiments, for deployment to a psiturk… https://t.co/jHMivC9feM</t>
  </si>
  <si>
    <t>#python pytransform 0.1.8: Applies transformation to structures and writes new pdb file https://t.co/JHZZlRRMtP</t>
  </si>
  <si>
    <t>Don't forget the Byte Academy: FinTech, Data Science, #Python Coding Bootcamp meetup tomorrow. RSVP while you still… https://t.co/9adwwbGgbX</t>
  </si>
  <si>
    <t>Martin</t>
  </si>
  <si>
    <t>Upperclass Tweet of the year.</t>
  </si>
  <si>
    <t>Jobs Hub</t>
  </si>
  <si>
    <t>#jobs #hiring #retweet #python Plastc needs Backend Engineer (Python/DevOps) https://t.co/hPo7Vd05YF https://t.co/oIJiOLZvv4</t>
  </si>
  <si>
    <t>JobsHub.IO Site - 2</t>
  </si>
  <si>
    <t>Fresh IT Jobs positions. Follow us to be updated of fresh positions</t>
  </si>
  <si>
    <t>RT @JobsHubIO: #jobs #hiring #retweet #python Plastc needs Backend Engineer (Python/DevOps) https://t.co/hPo7Vd05YF https://t.co/oIJiOLZvv4</t>
  </si>
  <si>
    <t>Samsara Kush</t>
  </si>
  <si>
    <t>Colorado</t>
  </si>
  <si>
    <t>#Gamer - PC mainly FPS COD, CS:GO, | ex-CAL admin| #Dog lover and rescuer of #KoreanJindos | #MS sufferer and spinal injury | #truecrime #forensics</t>
  </si>
  <si>
    <t>Diana Roav</t>
  </si>
  <si>
    <t>Si tengo un problema con los animales, me gustan demasiado. #python #burmesepython… https://t.co/oDrwWxoUvH</t>
  </si>
  <si>
    <t>Playa Maguadel</t>
  </si>
  <si>
    <t>Sueña lo que quieras soñar, ve a donde quieras ir, sé lo que quieras ser, porque tienes sólo una oportunidad para hacerlo. LRI. Regia. Tigre . Todóloga.</t>
  </si>
  <si>
    <t>Leonardo Nascimento</t>
  </si>
  <si>
    <t>The Zen of #Python, by Tim Peters https://t.co/yuqiVuYFQi</t>
  </si>
  <si>
    <t>Entrepreneur/Engineer http://t.co/Q0A69drAj9</t>
  </si>
  <si>
    <t>Ray Besiga</t>
  </si>
  <si>
    <t>RT @RealPython: A basic Django app with the Github API &gt;&amp;gt; https://t.co/yXn5MRJ1et via @raybesiga #python #django</t>
  </si>
  <si>
    <t>Kampala, Uganda</t>
  </si>
  <si>
    <t>CEO at @sparkplugea. Built @akabbocrowdfund. Software Engineer. Product Thinker. 'GOOD 100' 2014. @ghcorps 2011.</t>
  </si>
  <si>
    <t>Edwin Grubbs</t>
  </si>
  <si>
    <t>#python re.findall pattern for different number of matches #HowTo #Question #Tech https://t.co/wUhL1H0ivm</t>
  </si>
  <si>
    <t>#python re.findall pattern for different number of matches #Tech #Internet #Programming https://t.co/xl1IldYNPD</t>
  </si>
  <si>
    <t>BJKralik Multimedia</t>
  </si>
  <si>
    <t>RT @MTotolrahaman: #python re.findall pattern for different number of matches #Tech #Internet #Programming https://t.co/xl1IldYNPD</t>
  </si>
  <si>
    <t>BJKralik ReTweet Function</t>
  </si>
  <si>
    <t>Dallas, TX</t>
  </si>
  <si>
    <t>The BJKralik Multimedia Group is a full-service #webdesign firm offering small business #webdevelopment and #contentmanagement solutions.</t>
  </si>
  <si>
    <t>Makes sense to me. #python #programming #code https://t.co/YT0KjdF8T6</t>
  </si>
  <si>
    <t>Thank you autofill/discovery/completion magic. #python #programming https://t.co/atWjDytfW4</t>
  </si>
  <si>
    <t>GM, Loop AI Labs</t>
  </si>
  <si>
    <t>Founder, CEO @LoopAILabs: Helping machines understand the human world via the unsupervised Loop Cognitive Computing Platform. Co-Founder @AmiciSchool</t>
  </si>
  <si>
    <t>#Python Import Python: ImportPython Issue 62: Word From Our Sponsor Python Programmers let companies apply to you,… https://t.co/eOKfEpCPoV</t>
  </si>
  <si>
    <t>#Python: Is there a math placeholder NoneType #Tech #News #HowTo https://t.co/d1WxPoEcIO</t>
  </si>
  <si>
    <t>Dough Nuts</t>
  </si>
  <si>
    <t>Found Donut photo (not mine) .. enjoy behold, the snake donut. #snake #ballpython #donut #ball #python #cute #cutie… https://t.co/1goulzU2oY</t>
  </si>
  <si>
    <t>Behind the glass counter...</t>
  </si>
  <si>
    <t>Glazed with sprinkles on top.... all round.. need some coffee though..wonder who can help? Love our bench in front of the store!</t>
  </si>
  <si>
    <t>pyswagger - a Python toolkit that reads any JSON formatted Swagger (Open API) schema and... https://t.co/TPnB61LiPz #json #python</t>
  </si>
  <si>
    <t>kannan kalidasan</t>
  </si>
  <si>
    <t>Data Engineer,Entrepreneur,Open Source Evangelist,Artist,Poet</t>
  </si>
  <si>
    <t>#Python script for text file - string, "[value1, value2, value3]" #Tech #Question #HowTo https://t.co/s5CZxPeQbM</t>
  </si>
  <si>
    <t>#Python: Concise way to toggle boolean "once" (i.e., in one direction) #Tech #Question #HowTo https://t.co/qOq0Y6USkf</t>
  </si>
  <si>
    <t>Zareen Farooqui</t>
  </si>
  <si>
    <t>Here's a helpful #python error guide for beginners: https://t.co/MxM6FHdOQk</t>
  </si>
  <si>
    <t>I just quit my corporate job to learn coding + data analytics. Follow my journey at https://t.co/eu1kfXfbpz!</t>
  </si>
  <si>
    <t>Graph #Analytics with #Python Workshop on 3/12 https://t.co/n7QA61GM3x #DataScience #BigData #DataDC #DCTech #SNA</t>
  </si>
  <si>
    <t>Writing Beautiful Code with Pythonic Idioms | Dictionaries https://t.co/aGRppZ8iP6 #python #pythonic</t>
  </si>
  <si>
    <t>RT @importpython: pyswagger - a Python toolkit that reads any JSON formatted Swagger (Open API) schema and... https://t.co/TPnB61LiPz #json…</t>
  </si>
  <si>
    <t>Nick Gatto</t>
  </si>
  <si>
    <t>RT @AnalyticsVidhya: Advanced guide for #machinelearning enthusiasts, algorithms with #R &amp; #Python codes. https://t.co/yRVuoxFJUK #rstats h…</t>
  </si>
  <si>
    <t>#IOPsych Researcher @RooseveltU. #Teams #Networks #Creativity #RStats #AI. Writer @IOatWork. Consultant @CompetencyKit. Pianist at Mariano's.</t>
  </si>
  <si>
    <t>Fabiana Bugati</t>
  </si>
  <si>
    <t>leio de tudo, falo sobre tudo, gosto de quase tudo... dizem q sou nerd, dizem que sou legal, mas tb dizem que é melhor não mexer com quem está quieto...</t>
  </si>
  <si>
    <t>#Python script for text file - string, "[value1, value2, value3]" #HowTo #Question #Tech https://t.co/CwHxiyeiyN</t>
  </si>
  <si>
    <t>#Python: Is there a math placeholder NoneType #HowTo #Question #Tech https://t.co/DUlllI6U6h</t>
  </si>
  <si>
    <t>#Python: Concise way to toggle boolean "once" (i.e., in one direction) #HowTo #Question #Tech https://t.co/3bVDAvLdtI</t>
  </si>
  <si>
    <t>Angus Mak</t>
  </si>
  <si>
    <t>Ras Shepherd</t>
  </si>
  <si>
    <t>Added this Python skin to the inventory list today .. #Python #Skin #snake Almost there..… https://t.co/6PWH9WunvS</t>
  </si>
  <si>
    <t>#Python script for text file - string, "[value1, value2, value3]" #Tech #Internet #Programming https://t.co/722Po6Mswf</t>
  </si>
  <si>
    <t>#Python: Is there a math placeholder NoneType #Tech #Internet #Programming https://t.co/wAm4eI6Cj5</t>
  </si>
  <si>
    <t>#Python: Concise way to toggle boolean "once" (i.e., in one direction) #Tech #Internet #Programming https://t.co/IIKSoqNR5c</t>
  </si>
  <si>
    <t>Danae Brenner</t>
  </si>
  <si>
    <t>Ex Machina! I just made people! #Python https://t.co/2xEyyX1cuh</t>
  </si>
  <si>
    <t>all over the place</t>
  </si>
  <si>
    <t>Added this Python skin to the inventory list.. #python #Snake #Serpent Almost there.. #DogLover… https://t.co/u9GubIdqOO</t>
  </si>
  <si>
    <t>Added this Python to the inventory list today.. #Snake #python #DogLover #DogCollar #SnapCollar… https://t.co/H8Bf8TePtu</t>
  </si>
  <si>
    <t>Ei @multiplaytele @proconfortaleza por que minha velocidade da internet está em 8.6down/1.2up quando eu pago por 20down/2up? #python #bot</t>
  </si>
  <si>
    <t>#Python: Concise way to toggle boolean "once" (i.e., in one direction): #HowTo https://t.co/fNAqMnVx7t</t>
  </si>
  <si>
    <t>Madhura Killedar</t>
  </si>
  <si>
    <t>Sometimes I forget that #python is 0-indexed; I'm still a #Fortranista at heart</t>
  </si>
  <si>
    <t>Bayesian statistician for astronomy &amp; epidemiology | Mezzo-Soprano | Rock climber &amp; boulderer | Dinosaur fangirl | Wanderlust victim | Coffee addict</t>
  </si>
  <si>
    <t>#python coils 1.0.8: A small library of generic codes written in 100% pure Python. https://t.co/3yOZcGmXrp</t>
  </si>
  <si>
    <t>#python otree-core 0.4.33: oTree is a toolset that makes it easy to create and administer web-based social science… https://t.co/Kan1pOeNxm</t>
  </si>
  <si>
    <t>#python pytransform 0.2.0: Applies transformation to structures and writes new pdb file https://t.co/wDegXcyrVF</t>
  </si>
  <si>
    <t>#python mistune 0.7.2: The fastest markdown parser in pure Python https://t.co/gU5JIf06kB</t>
  </si>
  <si>
    <t>#python digStylometry 0.1.6: code to get signature to do stylometric analysis https://t.co/QcsKXkvJFy</t>
  </si>
  <si>
    <t>[b0t]Returning self from a class method https://t.co/2a3dNzMnR6 #python</t>
  </si>
  <si>
    <t>[b0t] Returning self from a class method https://t.co/7BseQSOloi #python</t>
  </si>
  <si>
    <t>Artificial Dataset for Machine Learning with #Python and #Numpy / #Theano https://t.co/Y94oRWsVgB --- #DataScience #MachineLearning</t>
  </si>
  <si>
    <t>RT @creative_punch: Artificial Dataset for Machine Learning with #Python and #Numpy / #Theano https://t.co/Y94oRWsVgB --- #DataScience #Mac…</t>
  </si>
  <si>
    <t>#python lambda can't detect packaged modules #Tech #News #HowTo https://t.co/G1RedGJwRT</t>
  </si>
  <si>
    <t>#python lambda can't detect packaged modules #Tech #Question #HowTo https://t.co/zwp0ldBLyY</t>
  </si>
  <si>
    <t>TECHKNOW［テクノウ］</t>
  </si>
  <si>
    <t>機械学習で人気？ 言語別年収1位は651万円でPython、スタンバイが調査 | TechCrunch Japan #Python #キャリア https://t.co/9pWY0kpKtB</t>
  </si>
  <si>
    <t>TECHKNOW［テクノウ］は、エンジニアのための技術情報サイトです。IT技術全般の最新情報と勉強会/イベント情報をお届けしています。</t>
  </si>
  <si>
    <t>ECM Analytics</t>
  </si>
  <si>
    <t>#Data #Visualization In #Python Cheat Sheet https://t.co/1D9cRHz32D #dataviz</t>
  </si>
  <si>
    <t>Data analytics and mapping solution provider. ECM Analytics pursues simple ways to explore data insights and support data-driven decisions. @lichikong</t>
  </si>
  <si>
    <t>Preview of @BokehPlots datashader on 10 x 1million point timeseries, interactively in the browser #python #pydata https://t.co/qv1Y1ZIqwn</t>
  </si>
  <si>
    <t>Check Out Our New Data Science Courses! https://t.co/4mDflJOZdz #DataScience #BigData #RStats #Python #MachineLearning #DataDC #DCTech</t>
  </si>
  <si>
    <t>Internship - Software Development, Fast Rate Data Access Boston https://t.co/SWUUNgKvQa #Python #jobs</t>
  </si>
  <si>
    <t>Perl /Python scripter Philadelphia https://t.co/0iCZ6JMYGM #Python #jobs</t>
  </si>
  <si>
    <t>Python Engineer Glendale https://t.co/Q3Y4ad01c1 #Python #jobs</t>
  </si>
  <si>
    <t>Integration Software Engineer Co-op - Fall 2016 Burlington https://t.co/D7MoJqQwgT #Python #jobs</t>
  </si>
  <si>
    <t>BestJSON</t>
  </si>
  <si>
    <t>Daily tips on JSON.</t>
  </si>
  <si>
    <t>econymous</t>
  </si>
  <si>
    <t>RT @MikeTamir: Implementing your own k-nearest neighbor using #Python https://t.co/m0KDDAzoil #DataScience #MachineLearning https://t.co/gr…</t>
  </si>
  <si>
    <t>Shanghai</t>
  </si>
  <si>
    <t>Hattori Hanzhou</t>
  </si>
  <si>
    <t>Malaysia</t>
  </si>
  <si>
    <t>Co-Founder &amp; Chief Software Architect at Nematix, Full Stack Developer</t>
  </si>
  <si>
    <t>Miguel Angel Perez A</t>
  </si>
  <si>
    <t>Mexico City, México</t>
  </si>
  <si>
    <t>Miguel Angel Perez Alvarez Philosophy Teacher, cyberethics, cognitive model, learning obj. ontology. Tech in education,elearning, https://t.co/QKAOgYNxZc</t>
  </si>
  <si>
    <t>#Python: How to make a wrapper as an API to similiar methods?: #HowTo https://t.co/ode70g4UBk</t>
  </si>
  <si>
    <t>Learning Code Québec</t>
  </si>
  <si>
    <t>On cherche quelques passionnés de #Python pour un petit #CodeCafé le 5 mars @lecampquebec. https://t.co/f0sQLQfhrg</t>
  </si>
  <si>
    <t>#LadiesLearningCode est un OSBL qui offre des ateliers conviviaux d'introduction à la programmation pour les femmes et les jeunes. Section locale de #Québec.</t>
  </si>
  <si>
    <t>timelyportfolio</t>
  </si>
  <si>
    <t>RT @pwang: Preview of @BokehPlots datashader on 10 x 1million point timeseries, interactively in the browser #python #pydata https://t.co/…</t>
  </si>
  <si>
    <t>Birmingham, Alabama, USA</t>
  </si>
  <si>
    <t>absolute return portfolio manager who enjoys data visualization; would love to hear your great idea and implement as a consultant</t>
  </si>
  <si>
    <t>Travis Oliphant</t>
  </si>
  <si>
    <t>Creator of SciPy; Author of NumPy; Previously Professor in Biomedical Imaging; CEO and co-founder of Continuum Analytics</t>
  </si>
  <si>
    <t>RT @DistrictDataLab: Graph #Analytics with #Python Workshop on 3/12 https://t.co/n7QA61GM3x #DataScience #BigData #DataDC #DCTech #SNA</t>
  </si>
  <si>
    <t>#Python: How to make a wrapper as an API to similiar methods? #Tech #News #HowTo https://t.co/1oWX8cqunV</t>
  </si>
  <si>
    <t>Ben Dilday</t>
  </si>
  <si>
    <t>Spokane, WA</t>
  </si>
  <si>
    <t>physics, astronomy, machine learning, datavis, supernovas, sports analytics, d3js, reactjs, threejs.</t>
  </si>
  <si>
    <t>#Python: How to make a wrapper as an API to similiar methods? #Tech #Question #HowTo https://t.co/rxGKthaDQm</t>
  </si>
  <si>
    <t>RT @tonyojeda3: Check Out Our New Data Science Courses! https://t.co/4mDflJOZdz #DataScience #BigData #RStats #Python #MachineLearning #Dat…</t>
  </si>
  <si>
    <t>mikefc</t>
  </si>
  <si>
    <t>bikes. graphics. stats. R. python.</t>
  </si>
  <si>
    <t>Matt Gratt</t>
  </si>
  <si>
    <t>Growth, technology, data. Digital @ContinuumIO. Amateur Investor, Pythonista, &amp; Chef. @Cal alum. Knows the guacamole is extra. Tweets are just my opinions.</t>
  </si>
  <si>
    <t>RT @flexiodata: Check in out - do you know a bit of #python and wanna dive into #machinelearning? https://t.co/sKcJxJFNpV https://t.co/2wRE…</t>
  </si>
  <si>
    <t>#python commandlines 0.4.0: Command line argument to object parsing library for command line application development https://t.co/VRQUVC7dJW</t>
  </si>
  <si>
    <t>#python networking-huawei1 0.0.0 https://t.co/IjPjMEmfrr</t>
  </si>
  <si>
    <t>#python persist-wrapper 0.0.34: Utility to cache date-based data https://t.co/TMBN09RQLc</t>
  </si>
  <si>
    <t>Vandana Patil</t>
  </si>
  <si>
    <t>Sohum Inc. is hiring a Software Developer (Java/Python) in Redwood City, CA #job #Java, #Python, #AWS, #NoSQL, https://t.co/dlj1bgcxwb</t>
  </si>
  <si>
    <t>Bay Area, CA</t>
  </si>
  <si>
    <t>Technical Recruiter</t>
  </si>
  <si>
    <t>Rocky River</t>
  </si>
  <si>
    <t>@ThePSF envy lets you interact with virtualenv site-packages as if they were in your working directory https://t.co/yF5JWZjjpK #python #dev</t>
  </si>
  <si>
    <t>Alaska</t>
  </si>
  <si>
    <t>Fight the current &amp; navigate obstacles as you swim upriver in this retro arcade game. iOS- http://t.co/54zrWZCzN8 &amp; Android- http://t.co/U4mvD7foAb #RockyRiver</t>
  </si>
  <si>
    <t>Skin Care Share</t>
  </si>
  <si>
    <t>RT @RasShepherd: Added this Python skin to the inventory list today .. #Python #Skin #snake Almost there..… https://t.co/6PWH9WunvS</t>
  </si>
  <si>
    <t>#Python error reading from file buffer instance #Tech #Question #HowTo https://t.co/oQsdMt7AZn</t>
  </si>
  <si>
    <t>Ashish Bansal</t>
  </si>
  <si>
    <t>Auto-scaling scikit-learn with #apacheSpark https://t.co/QZWqZm3XL5 #machinelearning #python</t>
  </si>
  <si>
    <t>Big Picture. Big Data Science Products. My thoughts, my own.</t>
  </si>
  <si>
    <t>elbaschid</t>
  </si>
  <si>
    <t>Friends in and beyond the #python community 🐍, please help me spread this survey about being a speaker: https://t.co/uXz1WgUxLO. Thanks ❤️</t>
  </si>
  <si>
    <t>German. Nomad Developer. Python Lover w/ Code OCD. Berge, bikes &amp; building.</t>
  </si>
  <si>
    <t>Димур</t>
  </si>
  <si>
    <t>#Python error reading from file buffer instance #HowTo #Question #Tech https://t.co/sEK1NdznTy</t>
  </si>
  <si>
    <t>#Python error reading from file buffer instance #Tech #Internet #Programming https://t.co/sm9WWannuH</t>
  </si>
  <si>
    <t>Code live! "Python - simple socket http website" https://t.co/ppe9BPIlsT #periscope #tech #Python</t>
  </si>
  <si>
    <t>Chris Simpkins</t>
  </si>
  <si>
    <t>The commandlines Python library now supports option-arg defaults via simple dictionary assignments https://t.co/WFKLLOJttp #python</t>
  </si>
  <si>
    <t>chris@sourcefoundry.org</t>
  </si>
  <si>
    <t>I make things and give them away for libre. Current projects == Codeface (https://t.co/4Ve2awC9Bi…) &amp; Hack (https://t.co/4Ve2awC9Bi…)</t>
  </si>
  <si>
    <t>RT @livecodingtv: Code live! "Python - simple socket http website" https://t.co/ppe9BPIlsT #periscope #tech #Python</t>
  </si>
  <si>
    <t>Dinosaur</t>
  </si>
  <si>
    <t>srilanka</t>
  </si>
  <si>
    <t>Accountant. working for renewable energy firm. python addict &amp; a passionate writer and currently searching for readers to read my writings.</t>
  </si>
  <si>
    <t>#Python error reading from file buffer instance: #HowTo https://t.co/R99xKeQeKm</t>
  </si>
  <si>
    <t>#Python error reading from file buffer instance #Tech #News #HowTo https://t.co/lXA4f9KJxo</t>
  </si>
  <si>
    <t>Eric Foster</t>
  </si>
  <si>
    <t>Kansas City area</t>
  </si>
  <si>
    <t>Entrepreneur, Technologist, Music Fanatic, DJ Eric Foster aka Performify from http://t.co/4gW9C6mW6D (and formerly of http://t.co/cidJCF6Dg7 )</t>
  </si>
  <si>
    <t>Feature Selection in Python with Scikit-Learn #sklearn #python #machinelearning #DataScience https://t.co/HVbIPzLHec via @TeachTheMachine</t>
  </si>
  <si>
    <t>hideo</t>
  </si>
  <si>
    <t>5件のコメント https://t.co/btrfojjADW “Wiki contents” https://t.co/oaYkPTa6vJ #python #recipe #PythonRecipe #tutorial #rubyrecipe #cookbook</t>
  </si>
  <si>
    <t>#python Pygalume 0.1.4: Pygalume is a simple Python CLI to get lyrics https://t.co/hieTcIvfob</t>
  </si>
  <si>
    <t>#python pytransform 0.2.3: Applies transformation to structures and writes new pdb file https://t.co/ME3hFlT9IF</t>
  </si>
  <si>
    <t>#python ht 0.1.22: Heat transfer component of Chemical Engineering Design Library (ChEDL) https://t.co/7diUBMYAmd</t>
  </si>
  <si>
    <t>#python cloudmaker 0.6: A provisioning tool for Digital Ocean cloud https://t.co/wiRD0Vd7U2</t>
  </si>
  <si>
    <t>#python persist-wrapper 0.0.37: Utility to cache date-based data https://t.co/u9AQZVnr7L</t>
  </si>
  <si>
    <t>#python yarh 0.3.1: Yet Another Rough HTML https://t.co/12ULp3ARA8</t>
  </si>
  <si>
    <t>#python django-machina 0.1a1: A Django forum engine for building powerful and pretty community driven websites. https://t.co/8bPbDT97uF</t>
  </si>
  <si>
    <t>RT @artwisanggeni: #python frida 7.0.3: Inject JavaScript to explore native apps on Windows, Mac, Linux, iOS and Android https://t.co/kXA64…</t>
  </si>
  <si>
    <t>1件のコメント https://t.co/ySNP0pGnN9 “他言語ユーザーのためのPython入門” https://t.co/pyCJdAxB3N #slideshare #inspect #module #getabsfile #dir #method #python</t>
  </si>
  <si>
    <t>Anthony Bosio</t>
  </si>
  <si>
    <t>Boynton Beach, FL</t>
  </si>
  <si>
    <t>UX conscious front-end developer, tech fan (Apple, Linux, Python, Plone), librarian's husband, father, shutterbug, #NASASocial alumni. Team @sixfeetup.</t>
  </si>
  <si>
    <t>Technical Operations Engineer - First Shift at spottrading (Chicago, IL) https://t.co/U0lpnD0h2B #python</t>
  </si>
  <si>
    <t>#Django 1.9's Improvements for Postgres &gt;&amp;gt; https://t.co/UivumekZ4F by @kennethreitz and @heroku #python #django #jsonb</t>
  </si>
  <si>
    <t>[b0t]Meet Mr. Wolfe, he solves problems https://t.co/KlrTBzAlMB #python</t>
  </si>
  <si>
    <t>ORNL - Software Engineer Post-Master’s Research Associate Oak Ridge https://t.co/ZupzZdB9gq #Python #jobs</t>
  </si>
  <si>
    <t>ORNL - Software Engineer -Post-Bachelor’s Research Associate Oak Ridge https://t.co/SWIKV3JdVY #Python #jobs</t>
  </si>
  <si>
    <t>TRADING SOFTWARE ANALYST London https://t.co/tZuLHW0iZh #Python #jobs</t>
  </si>
  <si>
    <t>Senior / Lead Full-Stack Developer - £95,000 London https://t.co/p5Xb0TRl47 #Python #jobs</t>
  </si>
  <si>
    <t>Python web developer London https://t.co/sv6TUh1zDL #Python #jobs</t>
  </si>
  <si>
    <t>Software Engineer (Data Science/Machine Learning) London https://t.co/qAW7Kr2dPW #Python #jobs</t>
  </si>
  <si>
    <t>Data Scientist / Software Developer https://t.co/KleyY3e9NE #Python #jobs</t>
  </si>
  <si>
    <t>Aneesha Bakharia</t>
  </si>
  <si>
    <t>RT @PythonDaily: #Django 1.9's Improvements for Postgres &gt;&amp;gt; https://t.co/UivumekZ4F by @kennethreitz and @heroku #python #django #jsonb</t>
  </si>
  <si>
    <t>Brisbane</t>
  </si>
  <si>
    <t>Data Science, Learning Analytics, #Figure music maker https://t.co/0vPZ98qrpJ</t>
  </si>
  <si>
    <t>Pipeline management software for clusters | #Functional #Python toil 3.2.0a2.dev110 #DevOps #BigData #NoSQL #SQL https://t.co/MWGXfioMgI</t>
  </si>
  <si>
    <t>Duane Baker</t>
  </si>
  <si>
    <t>Top 20 #Python #MachineLearning #OpenSource Projects @KDnuggets https://t.co/2Lh9iIuTOx #NuPIC #Pylearn2 #Nilearn https://t.co/8UD5wb8jks</t>
  </si>
  <si>
    <t>Columbus, OH</t>
  </si>
  <si>
    <t>IT Consultant #IT #bigdata #analytics #cloud #edtech #K12 #IoT #datagov #MDM #datascience Tweets are my opinions, not the official position of my employer.</t>
  </si>
  <si>
    <t>RT @DBaker007: Top 20 #Python #MachineLearning #OpenSource Projects @KDnuggets https://t.co/2Lh9iIuTOx #NuPIC #Pylearn2 #Nilearn https://t.…</t>
  </si>
  <si>
    <t>tiagoprn</t>
  </si>
  <si>
    <t>Getting ready for #http2: https://t.co/4pyjvVvaIS #python #javascript #php #golang #nodejs #ruby</t>
  </si>
  <si>
    <t>Brazil - Sao Paulo</t>
  </si>
  <si>
    <t>Web developer with passion for everything python, javascript, frontend, UX, data science, linux and KISS related.</t>
  </si>
  <si>
    <t>Andrii Bekker</t>
  </si>
  <si>
    <t>Intro to #python3 cheat sheet. Get your own @realpython! #python https://t.co/zb3dd6n7mR</t>
  </si>
  <si>
    <t>Ukraine</t>
  </si>
  <si>
    <t>Senior Python/DJango Engineer</t>
  </si>
  <si>
    <t>mark allen</t>
  </si>
  <si>
    <t>Running Compiled Code on Azure ML in R and Python #Azure #ML #RLang #Python https://t.co/SX09neGkqB</t>
  </si>
  <si>
    <t>Kansas City Metro</t>
  </si>
  <si>
    <t>Data Analytics, Architecture, &amp; Software Development Expertise Across Multiple Platforms &amp; Industries. http://t.co/FNLTCw2mu3</t>
  </si>
  <si>
    <t>Paweł Lachowicz</t>
  </si>
  <si>
    <t>Now 50% Off for Students... for #Python in Sydney, Singapore, London Workshops by QuantAtRisk! https://t.co/NJ3smkl0OY</t>
  </si>
  <si>
    <t>Sydney</t>
  </si>
  <si>
    <t>CEO of QuantAtRisk</t>
  </si>
  <si>
    <t>Doron Whitman</t>
  </si>
  <si>
    <t>RT @quantatrisk: Now 50% Off for Students... for #Python in Sydney, Singapore, London Workshops by QuantAtRisk! https://t.co/NJ3smkl0OY</t>
  </si>
  <si>
    <t>United States &amp; Canada</t>
  </si>
  <si>
    <t>CEO at Algorithmic Traders Association. We train and introduce Algo Traders to Prop Trading Firms and HNW investors. #quant #trader #algo #forex #futures</t>
  </si>
  <si>
    <t>Harri Srivastav</t>
  </si>
  <si>
    <t>#Python Frameworks and Their Real World Usage here: https://t.co/16kdvTC9TF</t>
  </si>
  <si>
    <t>Software engineer, #Python developer, #Blogger, painter, Google lover, bowler, traveler and #Photographer :)</t>
  </si>
  <si>
    <t>Spring forward to #MarcJacobs #embroidered #python #shoulderbag! #HandbagDivasLove @marcjacobs #SS16... https://t.co/19DRbRrj2N</t>
  </si>
  <si>
    <t>Hou Yadda</t>
  </si>
  <si>
    <t>What's a #Python Module? https://t.co/qdSNBSxayh #Blender3D #Start</t>
  </si>
  <si>
    <t>Win the Customer</t>
  </si>
  <si>
    <t>Germany | تونس</t>
  </si>
  <si>
    <t>Just another Engineer #game_development #openSource #Rock</t>
  </si>
  <si>
    <t>Martin Ramírez</t>
  </si>
  <si>
    <t>RT @HarriSrivastav: #Python Frameworks and Their Real World Usage here: https://t.co/16kdvTC9TF</t>
  </si>
  <si>
    <t>Huejutla De Reyes, Hgo, Mx.</t>
  </si>
  <si>
    <t>Programador PHP, .NET, JAVA, COBOL, FORTRAN, Python, Amo GNU/LINUX, #LARAVEL, RFID, Seguridad Informatica, Contribuyo con el Proyecto GNU/Linux #Manjaro.</t>
  </si>
  <si>
    <t>[b0t] Why did python 3 change the 'print' syntax? https://t.co/buPkiEr94U #python</t>
  </si>
  <si>
    <t>RT @ash_bans: Auto-scaling scikit-learn with #apacheSpark https://t.co/QZWqZm3XL5 #machinelearning #python</t>
  </si>
  <si>
    <t>django_loaddata_stdin - Django module to load data from stdin pypi: https://t.co/LVD1XxBhHn www: https://t.co/Iyrg0FYMBp #python</t>
  </si>
  <si>
    <t>0x4171341</t>
  </si>
  <si>
    <t>#! /usr/bin/env python # -*- coding: utf-8 -*- for i in range (1, 5): print i else: print "Buenas noches!" #python</t>
  </si>
  <si>
    <t>/'tætu'in/Sector Arkanis/</t>
  </si>
  <si>
    <t>Security Fan, Enthusiast Free Software Developer #infosec © env= () { :; } #OWASP #OPENVE member | echo -e rootme | $ xxd -p -c 16 shellcode | tr -d '\n' [☠]</t>
  </si>
  <si>
    <t>RT @py3k: django_loaddata_stdin - Django module to load data from stdin pypi: https://t.co/LVD1XxBhHn www: https://t.co/Iyrg0FYMBp #python</t>
  </si>
  <si>
    <t>Knowledge for Fun</t>
  </si>
  <si>
    <t>https://t.co/hQ945Av2iu #best #programming #blogs #blogger #google #android #knowledge #github #hadoop #bigdata #python #java #googlecloud</t>
  </si>
  <si>
    <t>RT HandbagDivas: Spring forward to #MarcJacobs #embroidered #python #shoulderbag! #HandbagDivasLove marcjacobs #SS… https://t.co/xrhf4GPCMR;</t>
  </si>
  <si>
    <t>Rashmi Ranjan</t>
  </si>
  <si>
    <t>#Python Frameworks and Their Real World Usage here: https://t.co/TxrYiBwkTt</t>
  </si>
  <si>
    <t>Contributing #blogger at @allaboutwebbiz and @medium</t>
  </si>
  <si>
    <t>Shakthi Kannan</t>
  </si>
  <si>
    <t>Chennai, India</t>
  </si>
  <si>
    <t>Free Software developer. Speaker. Writer. Idealist. Purist.</t>
  </si>
  <si>
    <t>Artificial Dataset for Machine Learning with #Python and #Numpy / #Theano https://t.co/Y94oRWsVgB --- #MachineLearning #DataScience</t>
  </si>
  <si>
    <t>freshcode.club</t>
  </si>
  <si>
    <t>pip 8.0.3 released. https://t.co/fz6SH08uuE #python #pypa #virtualenv #setuptools #pip https://t.co/xkhq9Pyl2e</t>
  </si>
  <si>
    <t>twurl-fcc</t>
  </si>
  <si>
    <t>Open source project directory and release announcements → Freshmeat / Freecode continuation. (It's all about the mix: desktop apps, command line, programming to</t>
  </si>
  <si>
    <t>RT @knowledge_cheat: https://t.co/hQ945Av2iu #best #programming #blogs #blogger #google #android #knowledge #github #hadoop #bigdata #pytho…</t>
  </si>
  <si>
    <t>Any Bay Area #python folks planning on heading to Portland for @pycon? Looking for someone to share a room with.</t>
  </si>
  <si>
    <t>[b0t] Python's screwed up exception hierarchy https://t.co/Rz8XVZ8he9 #python</t>
  </si>
  <si>
    <t>RT @PyBloggers: PYTHON FOR R USERS : ; Come September https://t.co/NhVStVhG0K #python</t>
  </si>
  <si>
    <t>ftfy (fixes text for you) 4.1 released https://t.co/AOCIDCG3EL #Python submitted by /u/rspeer[link] [comments]</t>
  </si>
  <si>
    <t>python - if statements https://t.co/AICaggBViy #Python submitted by /u/chase032[link] [comments]</t>
  </si>
  <si>
    <t>"ftfy (fixes text for you) 4.1 released" via #Python https://t.co/nGplq2Uawx</t>
  </si>
  <si>
    <t>"python - if statements" via #Python https://t.co/9AFYBPQrAA</t>
  </si>
  <si>
    <t>Kevin Bass</t>
  </si>
  <si>
    <t>7 Steps to Mastering Machine Learning With Python https://t.co/XxncWpn4G0 @kdnuggets #python #machinelearning #DataScience</t>
  </si>
  <si>
    <t>Data Engineer/Data Analytics, Aspiring Data Scientist, Data Nerd, #Python, #GIS, Fantasy Baseball &amp; Football, #BJJ</t>
  </si>
  <si>
    <t>RT @mikegrimshaw2: Pipeline management software for clusters | #Functional #Python toil 3.2.0a2.dev110 #DevOps #BigData #NoSQL #SQL https:…</t>
  </si>
  <si>
    <t>jayeshks</t>
  </si>
  <si>
    <t>Megan Speir</t>
  </si>
  <si>
    <t>RT @copyconstruct: Any Bay Area #python folks planning on heading to Portland for @pycon? Looking for someone to share a room with.</t>
  </si>
  <si>
    <t>Code &amp; Community @Twilio. Board Member @AXISDanceCo.</t>
  </si>
  <si>
    <t>Stephanie L Kim</t>
  </si>
  <si>
    <t>Lake Tapps/Seattle-ish</t>
  </si>
  <si>
    <t>Python, SQL queries &amp; nlp analysis, data mining &amp; JavaScript dev, founder &amp; former organizer of Seattle PyLadies chapter &amp; likes getting Jeep dirty</t>
  </si>
  <si>
    <t>Python Weekly - Issue 232 https://t.co/xOG8x4I9sk #python #django #cython #scrapy #pandas #ipython #zato #data #science</t>
  </si>
  <si>
    <t>wagtailimporter - Wagtail module to load pages from Yaml pypi: https://t.co/0cJ0XyTRJC www: https://t.co/67d0DGxisR #python</t>
  </si>
  <si>
    <t>Chris Foresman</t>
  </si>
  <si>
    <t>Senior Systems Engineer @VOKALmobile with a penchant for single barrel bourbon &amp; endless 80s karaoke. Former writer @arstechnica. Loving father of @LilSpazzmac.</t>
  </si>
  <si>
    <t>RT @py3k: wagtailimporter - Wagtail module to load pages from Yaml pypi: https://t.co/0cJ0XyTRJC www: https://t.co/67d0DGxisR #python</t>
  </si>
  <si>
    <t>RT @PythonWeekly: Python Weekly - Issue 232 https://t.co/xOG8x4I9sk #python #django #cython #scrapy #pandas #ipython #zato #data #science</t>
  </si>
  <si>
    <t>How to make an image responsive in Python 2 using rethumb? https://t.co/iwM54BKUpG #webdev #python #django</t>
  </si>
  <si>
    <t>RT @kevlbass1024: 7 Steps to Mastering Machine Learning With Python https://t.co/XxncWpn4G0 @kdnuggets #python #machinelearning #DataScience</t>
  </si>
  <si>
    <t>Vitaminas Ecom</t>
  </si>
  <si>
    <t>RT https://t.co/X0zDs4pzzq SecureCarts(.)com on sale @ https://t.co/LFSVYkJIdb #PHP #phpworld #python #perl #eco… https://t.co/tBEIK6rNyi</t>
  </si>
  <si>
    <t>Madrid, Comunidad de Madrid</t>
  </si>
  <si>
    <t>Hablamos de #Ecommerce Nos centramos en estrategia y plataformas #Magento #Prestashop #Woocommerce</t>
  </si>
  <si>
    <t>#python wagtailimporter 0.0.1: Wagtail module to load pages from Yaml https://t.co/FyweIsonLD</t>
  </si>
  <si>
    <t>#python sparkpost 1.0.2: SparkPost Python API client https://t.co/8v9KGaGmx5</t>
  </si>
  <si>
    <t>#python django-object-actions 0.8.0: A Django app for adding object tools for models in the admin https://t.co/GbAd4s5kmR</t>
  </si>
  <si>
    <t>RT @rethumb: How to make an image responsive in Python 2 using rethumb? https://t.co/iwM54BKUpG #webdev #python #django</t>
  </si>
  <si>
    <t>Josephine Wang</t>
  </si>
  <si>
    <t>RT @PythonDaily: Stochastic (random) hyper-parameter search with H2O: https://t.co/gMkX5YVRcm #machinelearning #datascience #kaggle #rstats…</t>
  </si>
  <si>
    <t>Logically Grouping Functions and Classes in Python https://t.co/btdxrCeHqd #python #programming</t>
  </si>
  <si>
    <t>eCommerce Master</t>
  </si>
  <si>
    <t>RT https://t.co/HTa0NzfzBg SecureCarts(.)com on sale @ https://t.co/VtS6Sca9fD #PHP #phpworld #python #perl #eco… https://t.co/jqLtAqupcE</t>
  </si>
  <si>
    <t>Native Advertising,Lead Generation, SEO,Social Marketing,Digital Marketing,Youtube SEO,Twitter SEO, Google Adwords Certified,Google Analytics Certified!</t>
  </si>
  <si>
    <t>iot security</t>
  </si>
  <si>
    <t>7StniqYzigKs</t>
  </si>
  <si>
    <t>John Letteboer</t>
  </si>
  <si>
    <t>Networkx #Datascience #Bigdata Tools is out! https://t.co/liVDBArnUJ #rstats #python Stories via @Kcupsales @hankster517 @mpdesignerwear</t>
  </si>
  <si>
    <t>Interested in Data Science, Big Data, Analytics, Running and Coffee</t>
  </si>
  <si>
    <t>Naperville Central</t>
  </si>
  <si>
    <t>RT @DKischuk: @NCHSProgramming Ideas for studenta to apply Python programming skills to modern technology #RaspberryPi #Python https://t.…</t>
  </si>
  <si>
    <t>Naperville, IL</t>
  </si>
  <si>
    <t>Home of Naperville Central's CTE department. Business, FACS, Technology and Engineering.</t>
  </si>
  <si>
    <t> hᎪᏒᎥt  đђℴℓαkîα</t>
  </si>
  <si>
    <t>https://t.co/dTKfzkwECn #productivity #tools #personal #amazing #useful #blogger #programmer #java #python #hadoop #bigdata #internet</t>
  </si>
  <si>
    <t>Gondal</t>
  </si>
  <si>
    <t>Cricket Fan,Hadoop beginner #bigdata #</t>
  </si>
  <si>
    <t>Paula Andrea</t>
  </si>
  <si>
    <t>#Python #machinelearning by @scmHames :D https://t.co/8wJCMkOP97</t>
  </si>
  <si>
    <t>...</t>
  </si>
  <si>
    <t>Science, diversity, equality, Big Data, facts, nature</t>
  </si>
  <si>
    <t>Hiring: Software Development Engineer (Seattle, WA) https://t.co/8x1KjJkFEO #job @awscloud #AWS #java #python #ruby #fullstackengineer</t>
  </si>
  <si>
    <t>Michael E. Dehn</t>
  </si>
  <si>
    <t>"CONSTRICTING" thought "SCALING" the spectrum of thought. https://t.co/biwcyGXfkY #python #Florida</t>
  </si>
  <si>
    <t>Sells authentic 1980 Led Zeppelin memorabilia tickets 2 last show cancelled due to death of Bonham, comments on music, health, VC, IoT, media &amp; disruption</t>
  </si>
  <si>
    <t>RT https://t.co/uB9yp4Twjp RT s0urceCode1esme: Live #coding combo of #Python #Django, #JavaScript &amp; #HTML w/karol… https://t.co/RaNEtTTAsj</t>
  </si>
  <si>
    <t>RT https://t.co/6DAO7eGQKZ RT s0urceCode1esme: Live #coding combo of #Python #Django, #JavaScript &amp; #HTML w/karol… https://t.co/RaNEtTTAsj</t>
  </si>
  <si>
    <t>RT https://t.co/BgR90xr5eO RT s0urceCode1esme: Live #coding combo of #Python #Django, #JavaScript &amp; #HTML w/karol… https://t.co/RaNEtTTAsj</t>
  </si>
  <si>
    <t>Alexander Cameron</t>
  </si>
  <si>
    <t>#Income among the 4 quartiles per area in #queensland. Done with @ABSStats https://t.co/VToyh7r9S0. #python #data https://t.co/6YsBFDY9Re</t>
  </si>
  <si>
    <t>University of Queensland</t>
  </si>
  <si>
    <t>terminology-tools - Terminology Tools pypi: https://t.co/fI2cR5yu2t www: https://t.co/STdhKEJHT2 #python</t>
  </si>
  <si>
    <t>Gini coefficient for areas in #queensland. Used @ABSStats data set https://t.co/VToyh7r9S0 #python #data #economics https://t.co/D0iBJQmzqM</t>
  </si>
  <si>
    <t>Kristian Erik Munk</t>
  </si>
  <si>
    <t>7430 Ikast Denmark Europe</t>
  </si>
  <si>
    <t>Man, 40 year, is computer geek in microsoft windows and ms office. Also techie interest internet og network and coding, are single</t>
  </si>
  <si>
    <t>[b0t] How can I print text and what is inputed? https://t.co/6qhG1OqIh2 #python</t>
  </si>
  <si>
    <t>Robotic Scientist</t>
  </si>
  <si>
    <t>RT @orchid00: #Python #machinelearning by @scmHames :D https://t.co/8wJCMkOP97</t>
  </si>
  <si>
    <t>Praveen Kumar</t>
  </si>
  <si>
    <t>Runner, Cyclist, Open-source lover, Fedora packager !!</t>
  </si>
  <si>
    <t>Technology Jobs | HH</t>
  </si>
  <si>
    <t>#Hiring for Software Engineer - Java Fundamental - C #TechJobs #jquery #css #html #c+ #python #career | Apply Now https://t.co/DHgCKyZbWm</t>
  </si>
  <si>
    <t>hh_technology</t>
  </si>
  <si>
    <t>#Python - Store variables in a list that save each time program restarts #HowTo #Question #Tech https://t.co/cnkvkgd9VF</t>
  </si>
  <si>
    <t>#Python - Store variables in a list that save each time program restarts #Tech #Internet #Programming https://t.co/uPBhp6ONZI</t>
  </si>
  <si>
    <t>Debian Bugs</t>
  </si>
  <si>
    <t>New bug: 815959 - #python-openalpr - python-openalpr: Should be arch all vice any... https://t.co/uYggLeT0VP</t>
  </si>
  <si>
    <t>Update FLOSS accounts</t>
  </si>
  <si>
    <t>The Debian bug reports feed See also @debiannew, @debianupload and @debianremove Maintained by @SylvestreLedru</t>
  </si>
  <si>
    <t>RT @py3k: terminology-tools - Terminology Tools pypi: https://t.co/fI2cR5yu2t www: https://t.co/STdhKEJHT2 #python</t>
  </si>
  <si>
    <t>Anshu Priya</t>
  </si>
  <si>
    <t>#Python Is Not C: Take Two https://t.co/oQyiCmW6oI https://t.co/jVOLJ29Gif</t>
  </si>
  <si>
    <t>#Python - Store variables in a list that save each time program restarts #Tech #News #HowTo https://t.co/7IARrFZDCg</t>
  </si>
  <si>
    <t>Iteramos</t>
  </si>
  <si>
    <t>Invertir una cadena python sin [::-1] o reversed #python https://t.co/bw0fLyUVKT</t>
  </si>
  <si>
    <t>Comunidad hispana de desarrolladores donde puedes encontrar la respuesta a tus dudas de programación. También nos echamos unas risas.</t>
  </si>
  <si>
    <t>char-classifer - Neural Network to classify short strings pypi: https://t.co/mQrMG9edt4 www: https://t.co/qKTbbxiRW3 #python</t>
  </si>
  <si>
    <t>BIconnections</t>
  </si>
  <si>
    <t>Belgium</t>
  </si>
  <si>
    <t>Networking | connecting | people | technology | #process | #Business #Intelligence | #Information #Management | #data | learning discussions | #Community</t>
  </si>
  <si>
    <t>#Python - Store variables in a list that save each time program restarts #Tech #Question #HowTo https://t.co/EA3jOS6Qkm</t>
  </si>
  <si>
    <t>https://t.co/uF9Twdgwuh #personal #productivity #most #internet #tools #google #developer #hadoop #bigdata #java #python #android #timepass</t>
  </si>
  <si>
    <t>Nouri Ben Zakour</t>
  </si>
  <si>
    <t>Shape shifter scientist, interested in the m(ea|i)ning of life. Innovation. Bioinformatics. Data science. Also Hopeless Foodie. Views are mine.</t>
  </si>
  <si>
    <t>Angélica de VON-CO ♛</t>
  </si>
  <si>
    <t>Para la buena suerte un "Hola Mundo". #Python #pycharm https://t.co/HwiWFXx1ZR</t>
  </si>
  <si>
    <t>@selenagomez 26-01-12 @justinbieber 18-11-13 @marianaecheve 25-07-10 Tumblr, Shost, SnapChat, vine, ask &amp; IG: angelicavillah</t>
  </si>
  <si>
    <t>Scott Guthrie</t>
  </si>
  <si>
    <t>I live in Seattle and build a few products for Microsoft</t>
  </si>
  <si>
    <t>RT @py3k: char-classifer - Neural Network to classify short strings pypi: https://t.co/mQrMG9edt4 www: https://t.co/qKTbbxiRW3 #python</t>
  </si>
  <si>
    <t>Francisco Ferreyra </t>
  </si>
  <si>
    <t>RT @PythonEggs: How does Ruby compare with Python, PHP and Perl? https://t.co/LRHfjpwv1S #python https://t.co/uqwxk81Ocb</t>
  </si>
  <si>
    <t>Professor-sysadmin-developer-geek. Follower rap music. The difference between a mountain and a molehill is your perspective. RT's does not imply that agrees.</t>
  </si>
  <si>
    <t>RT HH_Technology #Hiring for Software Engineer - Java Fundamental - C #TechJobs #jquery #css #html #c+ #python #ca… https://t.co/AIyJCbrS4E</t>
  </si>
  <si>
    <t>chrisrisner</t>
  </si>
  <si>
    <t>Microsoft Azure Technical Evangelist. I do a lot of iOS and Android...and some Node...and C#....but never Cobol. Kirkland, WA</t>
  </si>
  <si>
    <t>nocturnics</t>
  </si>
  <si>
    <t>my first python script #python #coding https://t.co/olPdCR14O3</t>
  </si>
  <si>
    <t>RT @JobsCoding: #Devops. #OOP concepts and modern scripting languages, (#Python, #Ruby, #Perl) and frameworks (#RAILS) https://t.co/S0fbo6R…</t>
  </si>
  <si>
    <t>Lohith K.S. Chalam</t>
  </si>
  <si>
    <t>SQL and BI DBA,fitness freak,gadget geek,animal lover,passionate biker</t>
  </si>
  <si>
    <t>Leah シ</t>
  </si>
  <si>
    <t>Coding Jarvis in Python in 2016 https://t.co/seqPGak0Cx #programmer #developers #web #ironman #python</t>
  </si>
  <si>
    <t>Tatooine</t>
  </si>
  <si>
    <t>G'day! I'm a #WebDeveloper w/a passion for the Japanese #Otaku culture; über-geek for #CyberSecurity #gamergirl #womenintech #Toastmasters #GodzillaFan</t>
  </si>
  <si>
    <t>That solid, what I can do in a loop is dirty. #python #API #programming #webapp https://t.co/LJtvIXuOWG</t>
  </si>
  <si>
    <t>Iain Bell</t>
  </si>
  <si>
    <t>Libertarian rationalist. Artificial intelligence &amp; communications protocols as applied to financial markets. Bitcoin user.</t>
  </si>
  <si>
    <t>srinivasulureddy</t>
  </si>
  <si>
    <t>[b0t] is Anaconda secure? https://t.co/rC8dyeU87p #python</t>
  </si>
  <si>
    <t>chClassifier - Neural Network to classify short strings pypi: https://t.co/eJuGhNQhN9 www: https://t.co/qKTbbxiRW3 #python</t>
  </si>
  <si>
    <t>RT @py3k: chClassifier - Neural Network to classify short strings pypi: https://t.co/eJuGhNQhN9 www: https://t.co/qKTbbxiRW3 #python</t>
  </si>
  <si>
    <t>Vanessa Paquete</t>
  </si>
  <si>
    <t>Lisboa, Portugal</t>
  </si>
  <si>
    <t>I'm not a saint but I'm not a sinner too My transparency sometimes shocks people I am impulsive, intractable, rebel, impossible. That s why God loves me!</t>
  </si>
  <si>
    <t>New bug: 815960 - #python-openalpr - python-openalpr: Missing python interpreter depends... https://t.co/IuzVr4mjgo</t>
  </si>
  <si>
    <t>Orbifold</t>
  </si>
  <si>
    <t>Coding Jarvis in #Python in 2016 https://t.co/lPGnDzUGP3</t>
  </si>
  <si>
    <t>Scientific computing, data visualization, algorithmics, mathematics, networks, creativity.</t>
  </si>
  <si>
    <t>Kalpataru Deori</t>
  </si>
  <si>
    <t>Looking for #Python help with My project. by brisbane911 https://t.co/zDg8cQtaek Hello!! #cprogramming #mysql #php</t>
  </si>
  <si>
    <t>Freelance Provider, and Social Networking</t>
  </si>
  <si>
    <t>Korede Abayomi</t>
  </si>
  <si>
    <t>RT @filmnerdmike: I'm trying to 1) sell my #novel 2) get good at #python @ThePSF 3) learn to drive - somehow I need a salary of $32k before…</t>
  </si>
  <si>
    <t>Creator of Indie Writers Support, Amazon Book Clubs, ParaDon Books, and many others. Avid reader, writer, and net-worker. Created the #IndieWriterSupp hashtag.</t>
  </si>
  <si>
    <t>#Python timer that can be postponed / extended? #Tech #News #HowTo https://t.co/GfrnR91GEy</t>
  </si>
  <si>
    <t>#Python timer that can be postponed / extended? #Tech #Question #HowTo https://t.co/w6hlPY7Y7m</t>
  </si>
  <si>
    <t>画像処理速報(改二)</t>
  </si>
  <si>
    <t>Pythonの機械学習ライブラリまとめ:https://t.co/3HJ6YeI90c #python #機械学習 #ニューラルネットワーク #ディープラーニング https://t.co/UXAKqDf5q7</t>
  </si>
  <si>
    <t>livedoor Blog</t>
  </si>
  <si>
    <t>画像処理に関する情報を入門者(僕を含む)向けにまとめています。 Python/C++/Java/C#/Processing/HTML5/Javascript/OpenCV</t>
  </si>
  <si>
    <t>Jaime Bueza</t>
  </si>
  <si>
    <t>Co-founder and CTO of @medicalbnb (YC W16). Was @Battlefy, @Dell, @RESAAS, @WPP. Always positive, always a gentleman. Canadian.</t>
  </si>
  <si>
    <t>#python oslo.messaging 4.5.0: Oslo Messaging API https://t.co/Yoq1d5S8d3</t>
  </si>
  <si>
    <t>#python chClassifier 0.6.1: Neural Network to classify short strings https://t.co/fc1n43mI6D</t>
  </si>
  <si>
    <t>#python biannester 1.3.0: A simple printer of nester lists https://t.co/aHDYt0HWYr</t>
  </si>
  <si>
    <t>#python librato-python-web 0.40rc1: Librato Python Agent. Copyright (c) 2015 Librato, Inc All Rights Reserved https://t.co/f3OriJGxPt</t>
  </si>
  <si>
    <t>#python ncloud 0.0.1 https://t.co/IRcBnGWCTz</t>
  </si>
  <si>
    <t>#python aspose-slides-java-for-jython 1.0.0: Aspose.slides Java for Jython is a project that demonstrates /… https://t.co/MAhij9WFME</t>
  </si>
  <si>
    <t>#python wagtailimporter 0.0.2: Wagtail module to load pages from Yaml https://t.co/7EqvmUND7n</t>
  </si>
  <si>
    <t>Debug Lab Readiness Engineer Folsom https://t.co/b2V9Z0i9ko #Python #jobs</t>
  </si>
  <si>
    <t>Research Lab Engineer Evanston https://t.co/Rl9USHrZJ8 #Python #jobs</t>
  </si>
  <si>
    <t>Java Dev Cum Automation testing Mountain View https://t.co/jQhMOMG0JK #Python #jobs</t>
  </si>
  <si>
    <t>Data Analyst San Jose https://t.co/HM8snPaZGV #Python #jobs</t>
  </si>
  <si>
    <t>clickerdeals.com</t>
  </si>
  <si>
    <t>#CyberMonday Programming the Raspberry Pi: Getting Started with #Python: Simon Monk https://t.co/DVgZrlXLSG #book #deals</t>
  </si>
  <si>
    <t>ClickerDeals Updater</t>
  </si>
  <si>
    <t>Deals and bargains: computers, hi-tech, audio, video and much more!</t>
  </si>
  <si>
    <t>Vijay K Narayanan</t>
  </si>
  <si>
    <t>Top 10 things you can do using the #DataScience virtual machine https://t.co/AXUQxH0OSB #R #python #jupyter</t>
  </si>
  <si>
    <t>Data for Good. Gig: Director, Advanced Analytics. Head of Data Science @ Microsoft.</t>
  </si>
  <si>
    <t>7h3rAm</t>
  </si>
  <si>
    <t>Yet Another InfoSec Enthusiast</t>
  </si>
  <si>
    <t>Catamount Mayhugh</t>
  </si>
  <si>
    <t>In the Belly of a #Python: https://t.co/3GSHI1i7pd #florida #InvasiveSpeciesWeek #bobcats #alligators #biodiversity</t>
  </si>
  <si>
    <t>Jigsaw Academy</t>
  </si>
  <si>
    <t>"How much does a #datascientist earn in India?" by @Gauravvjigsaw on @LinkedInpulse https://t.co/WSGBAbEhaD #analytics #bigdata #SAS #python</t>
  </si>
  <si>
    <t>Jigsaw Academy is the online school of analytics. The institute has trained over 10000 students across 30+ countries</t>
  </si>
  <si>
    <t>alexander knorr</t>
  </si>
  <si>
    <t>sidomo - Simple Docker Python Module https://t.co/JBUjrwiT0w #docker #python — Python Trending (pythontrending) February 24, 2016</t>
  </si>
  <si>
    <t>Nueremberg</t>
  </si>
  <si>
    <t>infosec, security, privacy, opensource</t>
  </si>
  <si>
    <t>NoSQLMap - Automated Mongo database and NoSQL web application exploitation tool https://t.co/pvYiorlaqw #nosql #python — Python Trending …</t>
  </si>
  <si>
    <t>Dora - tools for exploratory data analysis in python https://t.co/ccc5LXlCKV #python — Python Trending (pythontrending) February 24, 2016</t>
  </si>
  <si>
    <t>machineJS - Automated machine learning- just give it a data file! https://t.co/eHd5lQfBt7 #python — Python Trending (pythontrending) Febr…</t>
  </si>
  <si>
    <t>#GetConnected Greetings, #Cplusplus developers! Want to work in network #security? #Bash #Linux #TCP #Python https://t.co/XrwAbCdNIK</t>
  </si>
  <si>
    <t>Brandon Faloona</t>
  </si>
  <si>
    <t>Seattle, WA USA</t>
  </si>
  <si>
    <t>Rubyist and Software Tester. Dad, Hip Hop Head, Devout agnostic, ... Dreamer.</t>
  </si>
  <si>
    <t>Bipul Jain</t>
  </si>
  <si>
    <t>Configuring your #django project when building a web app #python https://t.co/1J1qxy1csK</t>
  </si>
  <si>
    <t>Bangalore, INDIA</t>
  </si>
  <si>
    <t>ex-flipkart, Sr. Engineer (Search and Relevance) Now working with Computer Vision, Machine Learning and Artificial Intelligence.</t>
  </si>
  <si>
    <t>Hacking Math Class</t>
  </si>
  <si>
    <t>Just installed #PYO on my #RaspberryPi and I'm making interactive, visual sound (music idk) with #python. Great work, @AjaxSoundStudio!</t>
  </si>
  <si>
    <t>San Mateo, CA</t>
  </si>
  <si>
    <t>Python Fan and Math Geek, Author of Hacking Math Class with Python. Co-organizer of the SF Peninsula Raspberry Pi Meetup Group: https://t.co/XON7CxrZc1</t>
  </si>
  <si>
    <t>Andrae Christopher</t>
  </si>
  <si>
    <t>RT @randal_olson: My "#Dataviz basics with #Python" video course is now online! #DataScience Find it here: https://t.co/Cw51XcYIZA https:/…</t>
  </si>
  <si>
    <t>Mobile app developer, Sci-Fi Nut &amp; HGeek. I would love to build an app that enables Time Travel. Now that would be an app of apps.</t>
  </si>
  <si>
    <t>Emanuele Della Valle</t>
  </si>
  <si>
    <t>Varese, Lombardia</t>
  </si>
  <si>
    <t>Starter of #StreamReasoning research: #bigdata #velocity+#variety. Prof. @polimi. Co-founder @fluxedo_app. R&amp;D advisor @SocialOMeters ❤️ #visualthinking #nature</t>
  </si>
  <si>
    <t>Torbjörn Stake</t>
  </si>
  <si>
    <t>N 57°38' 0'' / E 11°57' 0''</t>
  </si>
  <si>
    <t>Developer, Juventino, Weekend warrior. Loves to laugh.</t>
  </si>
  <si>
    <t>Alexander Newmayer</t>
  </si>
  <si>
    <t>Introduction to #Python for #DataScience | edX https://t.co/TFFuiq3iYR</t>
  </si>
  <si>
    <t>Ontario, CA</t>
  </si>
  <si>
    <t>MD Analytics at R&amp;D company. Passionate about technology. Volunteer for https://t.co/FRdVOiolRg | @happygrumpy_com</t>
  </si>
  <si>
    <t>Matthew Tanner</t>
  </si>
  <si>
    <t>It's official #Python #json trying to build dictionaries from multiple nested json data sources can go to hell. #csharp don't fuck this up.</t>
  </si>
  <si>
    <t>Evansville, IN</t>
  </si>
  <si>
    <t>Do you like pie? ME TOO!</t>
  </si>
  <si>
    <t>john pearce</t>
  </si>
  <si>
    <t>Java Vs. Python- Which Programming Language is More Productive?... #java #python #infographic https://t.co/JC06y7TyZM</t>
  </si>
  <si>
    <t>England, United Kingdom</t>
  </si>
  <si>
    <t>john pearce news collection &amp; public distribution @techpearce2 &amp; our new page @techpearce3 Covering anything Cyber &amp; security #news</t>
  </si>
  <si>
    <t>RT @jigsawacademy: "How much does a #datascientist earn in India?" by @Gauravvjigsaw on @LinkedInpulse https://t.co/WSGBAbEhaD #analytics #…</t>
  </si>
  <si>
    <t>Ibrahim MOKDAD</t>
  </si>
  <si>
    <t>Displaying #Multiple #Images using #Flask and #Python (#Gallery). https://t.co/37SPUPKZXl #videotutorial</t>
  </si>
  <si>
    <t>Co-Founder @ exa.io || Big Data Enthusiast || Entrepreneur || 3D ||</t>
  </si>
  <si>
    <t>Vericant</t>
  </si>
  <si>
    <t>#jobs #hiring #python #django Vericant is hiring a Python Software Engineer in #Beijing see https://t.co/6MU8ynKx5U for more details!</t>
  </si>
  <si>
    <t>Beijing, China</t>
  </si>
  <si>
    <t>Academic institutions manage their Chinese applicant pools via our 3rd-party verified video interviews and spoken English evaluation. #chinaadmissions #emchat</t>
  </si>
  <si>
    <t>#Python getting division by zero #HowTo #Question #Tech https://t.co/m6F2py6I9d</t>
  </si>
  <si>
    <t>Rohit Joshi</t>
  </si>
  <si>
    <t>Bellevue, WA</t>
  </si>
  <si>
    <t>Problem Solver</t>
  </si>
  <si>
    <t>Kenji Urushima</t>
  </si>
  <si>
    <t>RT @opexxx: Dora - tools for exploratory data analysis in python https://t.co/ccc5LXlCKV #python — Python Trending (pythontrending) Februa…</t>
  </si>
  <si>
    <t>基本は喰ってるか飲んでるかですが、よく趣味でカラオケ・PKI・署名・認証・プログラミング・情報セキュリティをやっています。旅好き。テレビ好きで芸能通</t>
  </si>
  <si>
    <t>#Python getting division by zero #Tech #Internet #Programming https://t.co/VAH6ze45li</t>
  </si>
  <si>
    <t>Laura Lo Fendrich</t>
  </si>
  <si>
    <t>Helping our Startups connect with top talent at @1871Chicago!</t>
  </si>
  <si>
    <t>Sylvain Thénault</t>
  </si>
  <si>
    <t>Toulouse</t>
  </si>
  <si>
    <t>Developping @Logilab around Toulouse. #python #agile #opendata #semweb #scicomp</t>
  </si>
  <si>
    <t>#python pfrock 0.2.0.dev1: A plugin-based tool for running fake HTTP and socket services using Python. https://t.co/O9p2xw3Z5m</t>
  </si>
  <si>
    <t>#python SpeechRecognition 3.3.1: Library for performing speech recognition with support for Google Speech… https://t.co/qRC5e4bXPQ</t>
  </si>
  <si>
    <t>#python Juice 0.0.15: A full stack Flask based framework that put structure in the file system. Features: Caching,… https://t.co/VgZOLewwXy</t>
  </si>
  <si>
    <t>#python klue-client-server 0.0.58: Swagger + Flask + Grequests + Bravado = Client/Server auto-spawning https://t.co/hNO7DnEHpz</t>
  </si>
  <si>
    <t>[b0t] Proof of Concept: Playing with PostgreSQL 9.5's row-level security with Flask &amp; SQLAlchemy https://t.co/RutthHROPF #python</t>
  </si>
  <si>
    <t>RT @opexxx: machineJS - Automated machine learning- just give it a data file! https://t.co/eHd5lQfBt7 #python — Python Trending (pythontre…</t>
  </si>
  <si>
    <t>victor yang</t>
  </si>
  <si>
    <t>vancouver, canada</t>
  </si>
  <si>
    <t>AWS certified sysops and solution architect. Linux, Python, Bash, Docker, Chef and Ansible,Jenkins.</t>
  </si>
  <si>
    <t>LeonardTT</t>
  </si>
  <si>
    <t>TipTop App</t>
  </si>
  <si>
    <t>Meute de loo</t>
  </si>
  <si>
    <t>Arras</t>
  </si>
  <si>
    <t>Ntech qui pose son regard sur cybercriminalité, IT Security, Linux, etc...</t>
  </si>
  <si>
    <t>Javier Arrizabalaga</t>
  </si>
  <si>
    <t>RT @emergya: #Tutorial: Definición funciones #Python https://t.co/U9R6V5Ex6w https://t.co/rVM73hXUMR</t>
  </si>
  <si>
    <t>Móstoles</t>
  </si>
  <si>
    <t>Ingeniero en informática, padre de Blanca y Noa, marido de Verónica y, por el momento, cutre-jugador de ping pong</t>
  </si>
  <si>
    <t>#python regular expression for Extracting URL in between matched quotes whether it may be single,double or ( #Tech… https://t.co/yjjPBvMUZS</t>
  </si>
  <si>
    <t>Kirk Borne</t>
  </si>
  <si>
    <t>6 Easy Steps to Learn the Naive Bayes Algorithm (with code in #Python) https://t.co/Kc4TeeDPsa #BigData #DataScience #MachineLearning</t>
  </si>
  <si>
    <t>Booz Allen Hamilton</t>
  </si>
  <si>
    <t>The Principal Data Scientist at @BoozAllen, PhD Astrophysicist, ♡ Data Science, Top Big Data Influencer. Ex-Professor https://t.co/f4gsbNc00C</t>
  </si>
  <si>
    <t>Hanmant Bongane</t>
  </si>
  <si>
    <t>RT @KirkDBorne: 6 Easy Steps to Learn the Naive Bayes Algorithm (with code in #Python) https://t.co/Kc4TeeDPsa #BigData #DataScience #Machi…</t>
  </si>
  <si>
    <t>Software Engineer,OCP Certified, DB/DWH and Big Data Professional, Knows NoSql (MongoDB,Cassandra,Hbase), Learning R, Machine Learning</t>
  </si>
  <si>
    <t>#python regular expression for Extracting URL in between matched quotes whether it may be single,double or ( #Tech… https://t.co/8RZzL1KS0x</t>
  </si>
  <si>
    <t>小田　守</t>
  </si>
  <si>
    <t>RT @gazosokuho: Pythonの機械学習ライブラリまとめ:https://t.co/3HJ6YeI90c #python #機械学習 #ニューラルネットワーク #ディープラーニング https://t.co/UXAKqDf5q7</t>
  </si>
  <si>
    <t>YoruFukurou</t>
  </si>
  <si>
    <t>Kalpataru D</t>
  </si>
  <si>
    <t>Hello freelancer!! Convert #JavaScript in Jupyter/IPython Notebook by robertlayton https://t.co/ua4ravIblX #python</t>
  </si>
  <si>
    <t>Распознавание голоса и преобразования текста в речь в Python 3: https://t.co/ibslMHiSpT #python</t>
  </si>
  <si>
    <t>[Видео] Кодирование/Декодирование космоса: Python приложения в астрофизике: https://t.co/mvbSMJVuu6 #python</t>
  </si>
  <si>
    <t>[b0t]Structuring text using Conditional Random Field (CRF). Tagging recipe ingredient phrases. https://t.co/IQXoYo66Ab #python</t>
  </si>
  <si>
    <t>Jamar Smith</t>
  </si>
  <si>
    <t>Anaheim, CA</t>
  </si>
  <si>
    <t>Grad student @ischoolsu #statistician #ComplexSystems #Tech #DBmanager #R #SAS #SQL. CoFounder @yearonefitness</t>
  </si>
  <si>
    <t>"How to Setup Microservices with Python, ZeroMQ and Docker?" via #Python https://t.co/HP3KfFvNCe</t>
  </si>
  <si>
    <t>Brigette Eckert</t>
  </si>
  <si>
    <t>Learning a little more #python and loving #packing and #unpacking :D Thanks @kennethlove for the great course</t>
  </si>
  <si>
    <t>#Coding #Geek, #JavaScript Developer, Gamer, &amp; Crazy Cat Lady. Partner in Crime: @LawlietBlack</t>
  </si>
  <si>
    <t>Ajax Sound Studio</t>
  </si>
  <si>
    <t>RT @hackingmath: Just installed #PYO on my #RaspberryPi and I'm making interactive, visual sound (music idk) with #python. Great work, @Aja…</t>
  </si>
  <si>
    <t>Montréal, QC</t>
  </si>
  <si>
    <t>Noises, wires and clever acronyms. JM types here. French &amp; english. Home of the Ajax Cassette Company, Cecilia5 and PYO.</t>
  </si>
  <si>
    <t>Felix Petrescu</t>
  </si>
  <si>
    <t>Timisoara</t>
  </si>
  <si>
    <t>_clarnvazatr/faraDzu/nepricpsit/neisprvt_ __of Makunouchi Bento__ http://t.co/6SZ9ACAixi</t>
  </si>
  <si>
    <t>VidyaSarathi</t>
  </si>
  <si>
    <t>https://t.co/iqKZfvq3MA #Python #Pega #Programming... https://t.co/hpb0z5rUWr</t>
  </si>
  <si>
    <t>Lucknow, Uttar Pradesh</t>
  </si>
  <si>
    <t>Education in INDIA</t>
  </si>
  <si>
    <t>RT @Brigette_Eckert: Learning a little more #python and loving #packing and #unpacking :D Thanks @kennethlove for the great course</t>
  </si>
  <si>
    <t>How to Setup Microservices with Python, ZeroMQ and Docker? https://t.co/Y0mqjVWGwf #Python submitted by /u/fruiapps[link] [comments]</t>
  </si>
  <si>
    <t>Check something like bit.ly built-on Python https://t.co/Za34l1k2V6 #Python submitted by /u/ugcoder[link] [comments]</t>
  </si>
  <si>
    <t>John Boxall</t>
  </si>
  <si>
    <t>RT @elbaschid: Friends in and beyond the #python community 🐍, please help me spread this survey about being a speaker: https://t.co/uXz1WgU…</t>
  </si>
  <si>
    <t>Vancouver, British Columbia</t>
  </si>
  <si>
    <t>Chief Technology Officer @mobify. Underground purveyor of the finest ASCII art and rarest emoji.</t>
  </si>
  <si>
    <t>"Numpy style arrays with GPU support" via #Python https://t.co/FHqT1J4xv6</t>
  </si>
  <si>
    <t>"Check something like bit.ly built-on Python" via #Python https://t.co/WELhE5Tmws</t>
  </si>
  <si>
    <t>Vijay Sah</t>
  </si>
  <si>
    <t xml:space="preserve">Bangalore </t>
  </si>
  <si>
    <t>SAP ABAP technical, HANA modeller and developer. HANA XS, FIORI developer. #SAP #HANA #XS #Thinker Those who can't write programs, write help files.</t>
  </si>
  <si>
    <t>Retweeted Kirk Borne (@KirkDBorne): 6 Easy Steps to Learn the Naive Bayes Algorithm (with code in #Python)... https://t.co/S9Z70dhKLf</t>
  </si>
  <si>
    <t>BestNoSQL</t>
  </si>
  <si>
    <t>fam - A simple Python ORM for #CouchDB and #Couchbase Sync Gateway. https://t.co/gdBXhw63r8 #Python #CouchDB #Couchbase</t>
  </si>
  <si>
    <t>Daily NoSQL tweets.</t>
  </si>
  <si>
    <t>The Evolution of #python Language Over the Years” https://t.co/nZMeHcPyJT #Django https://t.co/C8gh8QtBrE</t>
  </si>
  <si>
    <t>TechFest</t>
  </si>
  <si>
    <t>RT @greetsmrati: #Python Is Not C: Take Two https://t.co/FCAz78B3zI https://t.co/wUD3p21tW6</t>
  </si>
  <si>
    <t>Mike Carthy</t>
  </si>
  <si>
    <t>Looking forward to a weekend filled with #Python &amp; reverse engineering.</t>
  </si>
  <si>
    <t>Gold Coast, Queensland</t>
  </si>
  <si>
    <t>Roadman to codeman. Live with passion. Follow your dreams. Choose the world you see. Live well, love much and laugh often - but remember, attitude is everything</t>
  </si>
  <si>
    <t>Jobely.com</t>
  </si>
  <si>
    <t>#Python programmer? Check #job listings for #python developers https://t.co/xaHbRuJrg0</t>
  </si>
  <si>
    <t>Jobely.com Updater</t>
  </si>
  <si>
    <t>http://t.co/rb2P8JOB5L - job opportunities around the world! Search for job, hiring &amp; consulting postings by keyword and/or country! Thousands added every day!</t>
  </si>
  <si>
    <t>#python m3-ui 2.0.7.17: UI ExtJS https://t.co/WevEcE2vgf</t>
  </si>
  <si>
    <t>#python pfrock 0.2.1.dev1: A plugin-based tool for running fake HTTP and socket services using Python. https://t.co/ojWbQo9s0i</t>
  </si>
  <si>
    <t>#python nsot_sync 0.4.4: CLI/Driver-based framework to sync resources to NSoT (IPAM) https://t.co/qFcRXV5dce</t>
  </si>
  <si>
    <t>#python b.py 0.11.0: Post to Blogger or WordPress in markup language seamlessly https://t.co/aCrd3haROG</t>
  </si>
  <si>
    <t>#python chainz 0.11: Lightweight chaining functional methods for iterables https://t.co/2VkEkqEvP8</t>
  </si>
  <si>
    <t>#python ndl 0.1: Easy file searching from the command-line https://t.co/cag6KCfVWf</t>
  </si>
  <si>
    <t>#python numpy slice notation (COMMA VS STANDARD INDEX) #Tech #News #HowTo https://t.co/9g17bKI8a2</t>
  </si>
  <si>
    <t>YES #learnprogramming #python https://t.co/6SzJYRKPSN</t>
  </si>
  <si>
    <t>stefano</t>
  </si>
  <si>
    <t>Security Consultant</t>
  </si>
  <si>
    <t>Security Analyst &amp; Researcher - Appasionato di birra :)</t>
  </si>
  <si>
    <t>#python numpy slice notation (COMMA VS STANDARD INDEX) #Tech #Question #HowTo https://t.co/O5mN4IG5nl</t>
  </si>
  <si>
    <t>[b0t]How does one go about patching Python? https://t.co/xgE4SCtuID #python</t>
  </si>
  <si>
    <t>Dominik Jofo</t>
  </si>
  <si>
    <t>Honey Enthusiast :) - Stupid is as stupid does. FG</t>
  </si>
  <si>
    <t>Gagan Sikri</t>
  </si>
  <si>
    <t>Jump Start with #python Lists https://t.co/iaGqYRZx42 via @sikrigagan cc @ThePSF @CsharpCorner</t>
  </si>
  <si>
    <t>Software programmer, coffee snob, evangelist but a nerd by soul.</t>
  </si>
  <si>
    <t>Mustafa Kasap</t>
  </si>
  <si>
    <t>Redmond, WA, USA</t>
  </si>
  <si>
    <t>Engineer @microsoft, Academic Programs @ US Universities, Machine Learning, Open Source Software, Cloud Software Development</t>
  </si>
  <si>
    <t>OOM</t>
  </si>
  <si>
    <t>EmilyShores</t>
  </si>
  <si>
    <t>My girl😘 #snakes #beautiful #python https://t.co/KyG1V3sb77</t>
  </si>
  <si>
    <t>Numpy style arrays with GPU support https://t.co/WUcGuNY3d6 #Python Ive been looking for a drop in replacement to numpy that uses the GP…</t>
  </si>
  <si>
    <t>#Python 3.4 Celsius To Fahrenheit #HowTo #Question #Tech https://t.co/IcnZzpklNc</t>
  </si>
  <si>
    <t>[b0t][Request] Autosave function every 1-2 seconds https://t.co/OEoHIGQH4I #python</t>
  </si>
  <si>
    <t>[b0t] [Request] Autosave function every 1-2 seconds https://t.co/m8N9dsYTRD #python</t>
  </si>
  <si>
    <t>#Python 3.4 Celsius To Fahrenheit #Tech #Internet #Programming https://t.co/Dr3OME4Qgk</t>
  </si>
  <si>
    <t>The Evolution of #python Language Over the Years” https://t.co/tesXCvLsD3 #Django https://t.co/Nfc3jIBwXK https://t.co/6dgdnxPYsg</t>
  </si>
  <si>
    <t>Jet Townie</t>
  </si>
  <si>
    <t>I'm going to make something with my #python. I'd like to hook it to twitter! Sweet...</t>
  </si>
  <si>
    <t>Jaime A Rendon</t>
  </si>
  <si>
    <t>Mexico, NOLA, USA</t>
  </si>
  <si>
    <t>Executive Advisor, Business Coach, Chief Data Officer SME working with diverse companies Innovating. Philosophy share knowledge and expertise</t>
  </si>
  <si>
    <t>n1tr0g3n</t>
  </si>
  <si>
    <t>RT @opexxx: NoSQLMap - Automated Mongo database and NoSQL web application exploitation tool https://t.co/pvYiorlaqw #nosql #python — Pytho…</t>
  </si>
  <si>
    <t>x1e\x89\x5e\x08\x89\x46</t>
  </si>
  <si>
    <t>ηιтяσgєη Member of @Team_CTFU and @HackMiami Old school Sec Ops guy with a tendency to tweet cool stuff sporadically. Python Junkie https://t.co/05o6QN8k83</t>
  </si>
  <si>
    <t>RT @opexxx: sidomo - Simple Docker Python Module https://t.co/JBUjrwiT0w #docker #python — Python Trending (pythontrending) February 24, 2…</t>
  </si>
  <si>
    <t>Julia</t>
  </si>
  <si>
    <t>best roommate 🐍 #oskar #snake #python #2andahalfmetres #actuallyheiscreepy #andimafraid #anyway… https://t.co/h6J3HVaxUl</t>
  </si>
  <si>
    <t>Sunshine Coast, Queensland</t>
  </si>
  <si>
    <t>German, 20 years, blonde, blue-eyed, 5.6 ft, veggie, fitness, backpacker. Addicted to @NathanSykes' music.</t>
  </si>
  <si>
    <t>#Banks and financial institutions together form the industry that spends the most annually on technology #Python #finance #trading</t>
  </si>
  <si>
    <t>Stefan</t>
  </si>
  <si>
    <t>Docker</t>
  </si>
  <si>
    <t>A #microservices architecture with #Python @ZeroMQ &amp; @Docker: https://t.co/6wRBmMQE8i via @apcelent @KanbanSolutions https://t.co/qUafE1JRIj</t>
  </si>
  <si>
    <t>Scoop.it</t>
  </si>
  <si>
    <t>Build, Ship, Run Distributed Apps #docker #containers #getcontained</t>
  </si>
  <si>
    <t>jeane paul</t>
  </si>
  <si>
    <t>RT @docker: A #microservices architecture with #Python @ZeroMQ &amp; @Docker: https://t.co/6wRBmMQE8i via @apcelent @KanbanSolutions https://t.…</t>
  </si>
  <si>
    <t>timelineStreaming</t>
  </si>
  <si>
    <t>west tokyo</t>
  </si>
  <si>
    <t>devOps, full-stack engineer. Gopher, Rustaceans. using docker &amp; kubernetes since beta for production deployments. 20+years programmer</t>
  </si>
  <si>
    <t>Just realised @Blogger has been unindenting my code. Not great when it's #python. Does anyone know a good blogger auto-formatter/highlighter</t>
  </si>
  <si>
    <t>José Miguel Atienza</t>
  </si>
  <si>
    <t>RT @informatcaminos: ¡ÚLTIMAS PLAZAS! Curso de #Python en @caminosupm los días 26, 27 y 4. Info e inscripción: https://t.co/hvrFuKc8xo c…</t>
  </si>
  <si>
    <t>Profesor del Departamento de Ciencia de Materiales. Jefe de Estudios, ETSI Caminos, Canales y Puertos. Universidad Politécnica de Madrid, UPM</t>
  </si>
  <si>
    <t>Gerardo Saca</t>
  </si>
  <si>
    <t>Alejandro Aguilar</t>
  </si>
  <si>
    <t>ÜT: 19.374852,-99.161887</t>
  </si>
  <si>
    <t>Account Manager or Project Lead ... just I LOVE Human Centered Design and UX trends ... - Soccer player - In love - world citizen</t>
  </si>
  <si>
    <t>Joel Ramos</t>
  </si>
  <si>
    <t>Southern California</t>
  </si>
  <si>
    <t>• Economics grad from UC San Diego • QA Engineer • Pythonista • Always learning!</t>
  </si>
  <si>
    <t>Kentaro Ashino</t>
  </si>
  <si>
    <t>maya2015からimathというモジュールが入っているそうで、わざわざnumpyを入れなくてもこれである程度はいけるらしい。#maya #python</t>
  </si>
  <si>
    <t>I am freelance digital artist and TD in Tokyo Japan. Maya, 3dsMAX, Houdini, Nuke, Zbrush, Adobe, Python, Pyside.Publications：Autodesk Maya Visual Reference1~3</t>
  </si>
  <si>
    <t>full stack</t>
  </si>
  <si>
    <t>Globe</t>
  </si>
  <si>
    <t>••• Endeavoring to test everything - and hold fast to what is good (1 Thessalonians 5:21) •••</t>
  </si>
  <si>
    <t>@mariuskarma</t>
  </si>
  <si>
    <t>docker: A #microservices architecture with #Python ZeroMQ &amp; Docker: https://t.co/gFnMEblLWn via apcelent KanbanSo… https://t.co/HF1Ah3Mzxe</t>
  </si>
  <si>
    <t>Duisburg, Nordrhein-Westfalen</t>
  </si>
  <si>
    <t>Technology improve the world! Use efficiently #Cloud #MachineLearning #BigData #AI #Analytics. Optimist and positive thinker.</t>
  </si>
  <si>
    <t>[b0t] %s %d %f within """ """ https://t.co/0mV5nGJkwb #python</t>
  </si>
  <si>
    <t>RT @HarriSrivastav: The Evolution of #python Language Over the Years” https://t.co/nZMeHcPyJT #Django https://t.co/C8gh8QtBrE</t>
  </si>
  <si>
    <t>Jobs_in_Europe</t>
  </si>
  <si>
    <t>Oletko sinä etsimämme DevOps kehittäjä? https://t.co/sJJcvcIxpX #DevOps #kehittäjää #Python #ansible #Jenkins #webkehittäjä</t>
  </si>
  <si>
    <t>Looking for a job opportunity in Europe? We can help you! Job openings in Germany, Finland, UK, France, Spain, Russia and the rest Europe!</t>
  </si>
  <si>
    <t>Lediga Jobb</t>
  </si>
  <si>
    <t>Oletko sinä etsimämme DevOps kehittäjä? https://t.co/QQ9Y6fk250 #DevOps #kehittäjää #Python #ansible #Jenkins #webkehittäjä</t>
  </si>
  <si>
    <t>Letar du efter jobb? Intresserar du dig för den svenska arbetsmarknaden? I så fall följ oss!</t>
  </si>
  <si>
    <t>RT @tiagoprn: Getting ready for #http2: https://t.co/4pyjvVvaIS #python #javascript #php #golang #nodejs #ruby</t>
  </si>
  <si>
    <t>Patrick Daoust</t>
  </si>
  <si>
    <t>RT https://t.co/JcxAnZotWc docker: A #microservices architecture with #Python ZeroMQ &amp; Docker: … https://t.co/XYJBgrLB4D</t>
  </si>
  <si>
    <t>64100 BAYONNE</t>
  </si>
  <si>
    <t>Je dédie la majorité de mon temps libre à l’amélioration de mon cadre vie et c’est devenu ma grande passion.</t>
  </si>
  <si>
    <t>Daniel de Matos Lima</t>
  </si>
  <si>
    <t>Will 保哥</t>
  </si>
  <si>
    <t>Taipei</t>
  </si>
  <si>
    <t>About Me · http://t.co/JjHLV50EZm</t>
  </si>
  <si>
    <t>Guta</t>
  </si>
  <si>
    <t>Russian Federation</t>
  </si>
  <si>
    <t>Web technologism</t>
  </si>
  <si>
    <t>RT @HH_Technology: #Hiring for Software Engineer - Java Fundamental - C #TechJobs #jquery #css #html #c+ #python #career | Apply Now https:…</t>
  </si>
  <si>
    <t>Vishal Shirodkar</t>
  </si>
  <si>
    <t>Stef</t>
  </si>
  <si>
    <t>wild Friday night #programming #python https://t.co/CdyFEaejSe</t>
  </si>
  <si>
    <t>NZ</t>
  </si>
  <si>
    <t>mostly pigeons and programming (PhD student, web developer)</t>
  </si>
  <si>
    <t>#python pyramid_restful 2016.0.2: Library for generating RESTful services with Pyramid. https://t.co/jTG6W9KJnK</t>
  </si>
  <si>
    <t>#python pfrock 0.2.1.dev2: A plugin-based tool for running fake HTTP and socket services using Python. https://t.co/WOiFl16kk3</t>
  </si>
  <si>
    <t>Ⓗⓟⓘⓔⓓⓒⓞⓠ</t>
  </si>
  <si>
    <t>Analysis with Gephi, NodeXL, Tabula, Outwit, and OpenRefine. Multimedia. Stylish music. Full-stack bullshiter. Homme de la situation.</t>
  </si>
  <si>
    <t>#python ZabbixSender 0.1.9: Simple zabbix sender https://t.co/wvOVXuqrjT</t>
  </si>
  <si>
    <t>#python asyncssh 1.5.2: AsyncSSH: Asynchronous SSHv2 client and server library https://t.co/cj8K4Gwmcm</t>
  </si>
  <si>
    <t>#python nsot_sync 0.4.5: CLI/Driver-based framework to sync resources to NSoT (IPAM) https://t.co/HDENHrQIw9</t>
  </si>
  <si>
    <t>#python Flask-Perm 0.2.5: Flask Permission Management Extension https://t.co/FhRWIgtmJ9</t>
  </si>
  <si>
    <t>zoobab</t>
  </si>
  <si>
    <t>Benjamin Henrion, president of the Foundation for a Free Information Infrastructure (FFII) e.V., against software patents http://t.co/kn4leSNcyN</t>
  </si>
  <si>
    <t>ks @ Circle Qt</t>
  </si>
  <si>
    <t>RT @Kentaro5626: maya2015からimathというモジュールが入っているそうで、わざわざnumpyを入れなくてもこれである程度はいけるらしい。#maya #python</t>
  </si>
  <si>
    <t>普段はフリーランスCG屋。たまにCGの薄い本を制作しています→こちらで注文受付中！ https://t.co/7aYoSkWBHl 技術ネタはqiitaで→https://t.co/LAsOs7ACQU</t>
  </si>
  <si>
    <t>Michel Heijman</t>
  </si>
  <si>
    <t>Technology Consultant @MacawNL All about Microsoft, .NET, Windows Azure, WCF, WebAPI, WF, System Integration and WPF. Loves travelling and music.</t>
  </si>
  <si>
    <t>#Python file object encoding #HowTo #Question #Tech https://t.co/Wtmfp9Uyz2</t>
  </si>
  <si>
    <t>#Python file object encoding #Tech #Internet #Programming https://t.co/oKkqBZA9eB</t>
  </si>
  <si>
    <t>Joe Stevens</t>
  </si>
  <si>
    <t>Docker news : A #microservices architecture with #Python ZeroMQ &amp; Docker: https://t.co/ZtuxdStDty via apcelent Ka… https://t.co/i2IDQjWHfj</t>
  </si>
  <si>
    <t>Reno, NV</t>
  </si>
  <si>
    <t>SENIOR TECHNOLOGY ARCHITECT with 28 years of experience in Team Leadership, System&amp;Network Architecture, Data Center Design, Security. Opinions are 100% my own.</t>
  </si>
  <si>
    <t>Babar Bashir</t>
  </si>
  <si>
    <t>Bahrain</t>
  </si>
  <si>
    <t>Pakistani!!!</t>
  </si>
  <si>
    <t>Franco Zanki</t>
  </si>
  <si>
    <t>London - Notting Hill</t>
  </si>
  <si>
    <t>Web craftsman - passionate about cutting edge technologies, sailing, sound, super food, honey bee keeping and back to basic living . Originated in #Komiza</t>
  </si>
  <si>
    <t>Navin Kabra</t>
  </si>
  <si>
    <t>Twit6</t>
  </si>
  <si>
    <t>Pune, India</t>
  </si>
  <si>
    <t>It would be sad, wouldn't it, if all of ones interests could be summarized in 140 characters?</t>
  </si>
  <si>
    <t>rafael garcia</t>
  </si>
  <si>
    <t>Software Engineer - application and mobile developer - Java developer - Web Developer - Data Science - Baseball Analytics</t>
  </si>
  <si>
    <t>Nam-Shub of Enki</t>
  </si>
  <si>
    <t>Use your head, or somebody else might...</t>
  </si>
  <si>
    <t>C Best</t>
  </si>
  <si>
    <t>Twittosphere</t>
  </si>
  <si>
    <t>Tweete #Lyon #RegionAuvergneRhoneAlpes #Usa #UK #Italie #twittertour #i4emploi #RS #innovation #digital #socialmedia #curation #CM #frenchtech #culture</t>
  </si>
  <si>
    <t>Sophie Giocante</t>
  </si>
  <si>
    <t>RT @stefabelle: wild Friday night #programming #python https://t.co/CdyFEaejSe</t>
  </si>
  <si>
    <t>Houston, Texas</t>
  </si>
  <si>
    <t>HR manager, feminist, musician, wife of two boys, baseball fan</t>
  </si>
  <si>
    <t>terraform-aws-icons - Annotate Terraform graph output with AWS icons. pypi: https://t.co/Blur1G2jnq www: https://t.co/U6EXeT1xhI #python</t>
  </si>
  <si>
    <t>Lucie Phaosady</t>
  </si>
  <si>
    <t>#LanguedocRoussillon #Paris</t>
  </si>
  <si>
    <t>#LaPoste @GroupeLaPoste #innovation #socialmedia #twitter #LaPostebizLR #FrenchTech - Directrice de la communication Groupe #womenintech . Opinions are my own</t>
  </si>
  <si>
    <t>samuelololol</t>
  </si>
  <si>
    <t>2501 + motoko = Internet !!!</t>
  </si>
  <si>
    <t>Manuel Stößel</t>
  </si>
  <si>
    <t>Leipzig, Sachsen</t>
  </si>
  <si>
    <t>System Administrator, Linux Lover, DevOps Engineer</t>
  </si>
  <si>
    <t>murali gandluru</t>
  </si>
  <si>
    <t>Santa Clara, CA, USA</t>
  </si>
  <si>
    <t>Sr. Dir, Prod Mgmt at Insieme/Cisco. Liverpool FC, Ohio State Buckeye fan...Music, Soccer, Running...All opinions my own | RT != endorsement :)</t>
  </si>
  <si>
    <t>https://t.co/6nmMTXR4MV Given #Unicode text,make its representation consistent and possibly less broken #Python https://t.co/aUW0nN1IXD</t>
  </si>
  <si>
    <t>RT @py3k: terraform-aws-icons - Annotate Terraform graph output with AWS icons. pypi: https://t.co/Blur1G2jnq www: https://t.co/U6EXeT1xhI …</t>
  </si>
  <si>
    <t>Charles JUDITH</t>
  </si>
  <si>
    <t>Open Source Monitoring Addict | System engineer | RedHat expert | Puppet expert | Runner</t>
  </si>
  <si>
    <t>Slavi Marinov</t>
  </si>
  <si>
    <t>Quant Dev @ http://t.co/egFsBVCL7j. Co-organiser @pydatalondon. Co-founder @ http://t.co/WMD64gg9TM, http://t.co/UdlTMWSbhN</t>
  </si>
  <si>
    <t>6 Easy Steps to Learn the Naive Bayes Algorithm (with code in #Python) https://t.co/fQ2pUTO1kD #BigData #DataScience #MachineLearning</t>
  </si>
  <si>
    <t>UniqueOdeௌConsortium</t>
  </si>
  <si>
    <t>RT @pvergain: https://t.co/6nmMTXR4MV Given #Unicode text,make its representation consistent and possibly less broken #Python https://t.co/…</t>
  </si>
  <si>
    <t>Private Use Area, CA</t>
  </si>
  <si>
    <t>⚠ Mixed Case Punishment ⚠ #FakeUnicodeConsortium generator: https://t.co/pH7gl6jEuZ ⸻ @ for unicode questions ⸻ ʷᵉ ᵃʳᵉ ⁿᵒᵗ ᵃ ᵇᵒᵗ ʷᵉ ᵉⁿʲᵒʸ ʰᵘᵐᵃⁿ ᵃᶜᵗⁱᵛⁱᵗⁱᵉˢ</t>
  </si>
  <si>
    <t>alfonso</t>
  </si>
  <si>
    <t>here &amp; there</t>
  </si>
  <si>
    <t>you know ... been there ... done that</t>
  </si>
  <si>
    <t>Gabriel Orozco R. V.</t>
  </si>
  <si>
    <t>Guadalajara</t>
  </si>
  <si>
    <t>Life must go on</t>
  </si>
  <si>
    <t>Onno Lissenberg</t>
  </si>
  <si>
    <t>NL</t>
  </si>
  <si>
    <t>Lost in Translation ...</t>
  </si>
  <si>
    <t>RT @PythonDaily: 6 Easy Steps to Learn the Naive Bayes Algorithm (with code in #Python) https://t.co/fQ2pUTO1kD #BigData #DataScience #Mach…</t>
  </si>
  <si>
    <t>Savaş DOĞAN</t>
  </si>
  <si>
    <t>How To Code Your Own Personal Assistant Using #Python Programming https://t.co/7au74CvrvZ</t>
  </si>
  <si>
    <t>İstanbul | Turkey</t>
  </si>
  <si>
    <t>General Manager / BTOS http://t.co/MSO7avOXgO - Bilişim İnsan Kaynağı - Bilişim Danışmanı</t>
  </si>
  <si>
    <t>Write some Software by Ideametricstech: Require an experienced #python… https://t.co/hvHhs4l5qD #freelance #job</t>
  </si>
  <si>
    <t>#python terraform-aws-icons 0.1.0a1: Annotate Terraform graph output with AWS icons. https://t.co/GHWAaW408S</t>
  </si>
  <si>
    <t>#python PyScaffold 2.5.5b2: Template tool for putting up the scaffold of a Python project https://t.co/sAszPFUuay</t>
  </si>
  <si>
    <t>#python Flask-Perm 0.2.6: Flask Permission Management Extension https://t.co/nbutdQYCfG</t>
  </si>
  <si>
    <t>#python nltkrest 0.11: NLTK as a REST service https://t.co/powHv0h7M6</t>
  </si>
  <si>
    <t>#python parquet2hive 0.1.3: Hive import statement generator for Parquet datasets https://t.co/NxNtZgRQkb</t>
  </si>
  <si>
    <t>https://t.co/mIAtjq3BTV https://t.co/9oKMIKZ9ec #Unicode #Python2 to #Python3 #Python for #systems program https://t.co/YndovuaytZ</t>
  </si>
  <si>
    <t>Nicolas Du Moulin</t>
  </si>
  <si>
    <t>Evergem, Belgium</t>
  </si>
  <si>
    <t>tech enthousiast, geek and father</t>
  </si>
  <si>
    <t>iPredictt Data Labs</t>
  </si>
  <si>
    <t>IPredictt Data Labs is an advanced Big Data &amp; Analytics company that provides a range of services using Data Science tools &amp; techniques.</t>
  </si>
  <si>
    <t>Enis Goktay</t>
  </si>
  <si>
    <t>#Outlook https://t.co/asiZ3PZ3ba #Python #MachineLearning #AI #Trading #Forex #ForexTrading $SPY $SPX $EURUSD https://t.co/20WJRV0qCa</t>
  </si>
  <si>
    <t>Large, multinational banks today employ thousands of developers that maintain existing systems and build new ones #python #finance #trading</t>
  </si>
  <si>
    <t>The Ford Fiesta</t>
  </si>
  <si>
    <t>I lost my satellite lock some time ago :( Don't know where I am now. #Python</t>
  </si>
  <si>
    <t>TheFordFiesta</t>
  </si>
  <si>
    <t>This is an experiment to see if i can create enough artificial intelligence in an old Raspberry Pi to maintain a twitter account on behalf of an old ford fiesta</t>
  </si>
  <si>
    <t>Kadda SAHNINE</t>
  </si>
  <si>
    <t>Technical Architect at Inovia Conseil #JavaEE #Linux #Docker #vim addict #OpenSource #OpenHardware</t>
  </si>
  <si>
    <t>Andreas Maier</t>
  </si>
  <si>
    <t>TweetList!</t>
  </si>
  <si>
    <t>Germany</t>
  </si>
  <si>
    <t>Father, Technology-Fan, IT Consultant with .NET, MS, BI focus - loves f# &amp; functional programming</t>
  </si>
  <si>
    <t>Burhan Khalid</t>
  </si>
  <si>
    <t>Kuwait</t>
  </si>
  <si>
    <t>co-pilot of my own fantasies, sometimes photog, forever geek. Organizer @gdgkuwait. Mentor @sirdab_lab. Member @startupq8</t>
  </si>
  <si>
    <t>Dwi Dwimalai</t>
  </si>
  <si>
    <t>The Ultimate Python Programming Tutorial #python #udemy https://t.co/xmEAWyWE1j https://t.co/10vTHSUgkw</t>
  </si>
  <si>
    <t>Windows速報</t>
  </si>
  <si>
    <t>Anacondaのインストール方法(Windows編):https://t.co/UsgrjFymFb #python #anaconda #プログラミング</t>
  </si>
  <si>
    <t>Windowsに関する便利な情報をまとめています。</t>
  </si>
  <si>
    <t>orizontal</t>
  </si>
  <si>
    <t>[video] Introduction to #DeepLearning with #Python https://t.co/rXxZ3ISdNb via @YouTube</t>
  </si>
  <si>
    <t>Lille, France</t>
  </si>
  <si>
    <t>Natural Language Processing Blog. #NLP #linguistics #semantics #DeepLearning #BigData #MachineLearning #AI #IoT. Created by @Aurelie_Merlo</t>
  </si>
  <si>
    <t>Data/Python Developer - #Internship @Kpler #Paris France https://t.co/GriUjnSVJl #Python #Posgresql #SQLAlchemy #ElasticSearch #AWS</t>
  </si>
  <si>
    <t>ParisTechJobs</t>
  </si>
  <si>
    <t>Data/Python Developer - #Internship @Kpler #Paris France https://t.co/TrWTYB4KET #Python #Posgresql #SQLAlchemy #ElasticSearch #AWS</t>
  </si>
  <si>
    <t>Tech Jobs For Tech People</t>
  </si>
  <si>
    <t>Ari Hartikainen</t>
  </si>
  <si>
    <t>Moano</t>
  </si>
  <si>
    <t>Front Dev, react, android, angular</t>
  </si>
  <si>
    <t>Área Hispanohablante</t>
  </si>
  <si>
    <t>Wroclaw Baja Silesia - Polonia</t>
  </si>
  <si>
    <t>Quiero presentar de Wroclaw 2016 - Capital Europea de la Cultura - en Area Hispanohablante</t>
  </si>
  <si>
    <t>Giuseppe Cammarota</t>
  </si>
  <si>
    <t>Earth, Rome</t>
  </si>
  <si>
    <t>Homo sapiens sapiens</t>
  </si>
  <si>
    <t>Nicolas Vogel</t>
  </si>
  <si>
    <t>Pep 8 for humans https://t.co/oNFAne7tfi #python</t>
  </si>
  <si>
    <t>France, Paris</t>
  </si>
  <si>
    <t>Ops and more. Fond of Nature, I practice Mtb &amp; Hiking. My Photos → http://t.co/bVi4EZ95qA . #974 La Reunion ♥</t>
  </si>
  <si>
    <t>EGESA MICHAEL</t>
  </si>
  <si>
    <t>#python #coding https://t.co/UmfMm9dcSb</t>
  </si>
  <si>
    <t>UGANDA</t>
  </si>
  <si>
    <t>Child of God, Web designer, Junior network administrator @fashionistaug @praisewebhosts http://t.co/m0PzUOzssG http://t.co/MlK89csI1F</t>
  </si>
  <si>
    <t>RT @SiliconArmada: Data/Python Developer - #Internship @Kpler #Paris France https://t.co/GriUjnSVJl #Python #Posgresql #SQLAlchemy #Elastic…</t>
  </si>
  <si>
    <t>Uncensored #notes on How I Learnt @djangoproject. Stay Tuned for more info. #django #learning #python #webdev</t>
  </si>
  <si>
    <t>RT @dataelixir: Records: SQL for Humans https://t.co/RD8OuyC1IL #python #sql</t>
  </si>
  <si>
    <t>semanticearth.com</t>
  </si>
  <si>
    <t>RT @ncrocfer: Whatportis, a command to search port names and numbers https://t.co/WUxc1iha5v #python #sysadmin #devops https://t.co/DHgqwup…</t>
  </si>
  <si>
    <t>SemanticEarth</t>
  </si>
  <si>
    <t>The Semantic Earth promoting the best content. Great #retweets and #followback in a variety of #world #topics. Connecting #people to the Global Community</t>
  </si>
  <si>
    <t>#Python is often used in a pseudocode way since its syntax is almost analogous to the mathematics #finance #trading #markets</t>
  </si>
  <si>
    <t>Artificial Dataset for Machine Learning with #Python and #Numpy / #Theano https://t.co/Y94oRWbjS1 --- #MachineLearning #DataScience</t>
  </si>
  <si>
    <t>TheRightAccessories</t>
  </si>
  <si>
    <t>#MultiColor #Python #AnkleBoots https://t.co/Co1j8sO2qX https://t.co/9dkACqOyBH</t>
  </si>
  <si>
    <t>Ganarconredes.com</t>
  </si>
  <si>
    <t>#Empleo #Job #Python Script by bs4 https://t.co/kOKxgTju97</t>
  </si>
  <si>
    <t>Todo el Mundo</t>
  </si>
  <si>
    <t>Sígueme Y Te Sigo ! ➨ Dinero / Seguidores / Herramientas ($) ➨ http://t.co/QddFMLztac</t>
  </si>
  <si>
    <t>Auto Empleo</t>
  </si>
  <si>
    <t>#Empleo #Job #Python Script by bs4: Need a python script that merges multiple .csv files with similar identifier.... https://t.co/6Xj4oqsFfS</t>
  </si>
  <si>
    <t>Trabajar desde casa tiene sus ventajas</t>
  </si>
  <si>
    <t>Nguyen Anh Tu</t>
  </si>
  <si>
    <t>vietnam</t>
  </si>
  <si>
    <t>Open-source Cloud Computing follower / Docker-Hanoi &amp; Docker-Saigon meetup organizer / Apache Software Foundation committer (CloudStack &amp; Stratos)</t>
  </si>
  <si>
    <t>boblinux</t>
  </si>
  <si>
    <t>computer science freelancer / student main skills : C/C++/Python/Java/Android...</t>
  </si>
  <si>
    <t>Zoltan Paldi</t>
  </si>
  <si>
    <t>Budapest, Hungary, Europe</t>
  </si>
  <si>
    <t>Linux/Unix sysadmin, RHCE. I'm insterested in: agile, ansible, devops, docker, jenkins, microservices, python, programming.</t>
  </si>
  <si>
    <t>thecodinghouse</t>
  </si>
  <si>
    <t>Integrate RESTful webhooks in your #django app via @zapier #opensource project https://t.co/n7qAG2aFKI #python</t>
  </si>
  <si>
    <t>Jean Burellier</t>
  </si>
  <si>
    <t>[#Tech] Code your own personal assistant with #python #jarvis #recognition | https://t.co/z3d5WTfg7B</t>
  </si>
  <si>
    <t>Working on #MeteorJS &amp; #Docker | Freelance | Code is my drug ! | Tequilla is just water</t>
  </si>
  <si>
    <t>Leo</t>
  </si>
  <si>
    <t>I don’t even know why I’m learning this shit tbh I got no idea what I’ll do with this . #PYTHON https://t.co/bGcScTrbmv</t>
  </si>
  <si>
    <t>Los Angeles</t>
  </si>
  <si>
    <t>Andrew Waterman</t>
  </si>
  <si>
    <t>Bainbridge Island/New Orleans</t>
  </si>
  <si>
    <t>Quality Engineer at https://t.co/vjnYDTvXqm; my opinions are my own.</t>
  </si>
  <si>
    <t>Lionel Porcheron</t>
  </si>
  <si>
    <t>Toulouse, France</t>
  </si>
  <si>
    <t>#FOSS Enthusiast. CEO &amp; co-founder @bleemeo . @capitoledulibre and @toulousedevops organizer</t>
  </si>
  <si>
    <t>Python News</t>
  </si>
  <si>
    <t>How to use Python to hack your Eclipse IDE - https://t.co/58JSmC9Ttt https://t.co/y2jWThs7KJ #python #coding</t>
  </si>
  <si>
    <t>Please RT :)</t>
  </si>
  <si>
    <t>Daily Python news.</t>
  </si>
  <si>
    <t>Josef Zamrzla</t>
  </si>
  <si>
    <t>Prague, Czech Republic</t>
  </si>
  <si>
    <t>Passionate developer (python, javascript, bash, php) working for @socialbakers, fan of microservice oriented architecture. Proud father.</t>
  </si>
  <si>
    <t>#Hiring for Data Scientist #TechJobs #python #c/c++ #bigdata #hadoop #programming #spark #c++ #career | Apply Now https://t.co/7xra8bFAhj</t>
  </si>
  <si>
    <t>#Bioinfomatics File access tools BioUtil 0.1.1 : #Python Package Index | #BigData #bioData #PHI https://t.co/BFpaJqfzD1</t>
  </si>
  <si>
    <t>{#ᎡᎾᎾᎢᏚᎬⒸᎢᎾᎡ}®</t>
  </si>
  <si>
    <t>#decrypter #kaspersky #Python #rootsector #security #hacking #linux 😃 #infosec #cybersecurity https://t.co/uWEyPeXoJp</t>
  </si>
  <si>
    <t>/etc/passwd  [A/FL/CH/TR/US]</t>
  </si>
  <si>
    <t>#SOCIALENGINEERING #ITFORENSIC #ENGINEERING [#LINUX #EXPLOIT #P3NTEST #KALILINUX #INFOSEC] [#SECURITY #HACKING #PENTEST #ROOTSECTOR©️][⚔ #BLACKHAT ⚔]</t>
  </si>
  <si>
    <t>Gordon Chiam</t>
  </si>
  <si>
    <t>Different ways of merging #Python dictionaries https://t.co/9KbnfwOYBD</t>
  </si>
  <si>
    <t>#python BioUtil 0.1.1: Bioinfomatics File access tools https://t.co/JU1PJBiN3M</t>
  </si>
  <si>
    <t>#python maple_gateway_statsd 0.1.3: upload maple gateway stat to statsd https://t.co/yDI4MksAy1</t>
  </si>
  <si>
    <t>#python pyldpc 0.7.1: Simulation of Low Density Parity Check Codes &amp; Applications https://t.co/ZUy3F8krTs</t>
  </si>
  <si>
    <t>#python antipathy 0.82.4: oo view of file paths and names, subclassed from bytes/str/unicode https://t.co/vkMkN2qrVW</t>
  </si>
  <si>
    <t>#python micropython-email.utils 3.3.3-1: CPython email.utils module ported to MicroPython https://t.co/mmM3nOqdMY</t>
  </si>
  <si>
    <t>#python seed.tensor 0.0.2: Tensor sources for Seed components https://t.co/9fnUtaTvXA</t>
  </si>
  <si>
    <t>#python jobspider 2.0.3: A spider that crawls the job infos of famous website https://t.co/STw6oKt8rM</t>
  </si>
  <si>
    <t>#python multisync 0.3: No description yet. https://t.co/6n3w3GLJgq</t>
  </si>
  <si>
    <t>Open Risk</t>
  </si>
  <si>
    <t>#FF for all things #python @python_devv @fullstackpython @importpython @RealPython @pyquantnews @PythonWeekly @PythonSushi</t>
  </si>
  <si>
    <t>Amsterdam</t>
  </si>
  <si>
    <t>The open future of #riskmanagement. News, risk analysis and fun around #fintech. Advancing #opensource and #opendata for finance 2.0</t>
  </si>
  <si>
    <t>Lucasoft co.uk</t>
  </si>
  <si>
    <t>RT@vikasjee: Manuel_Stoessel: A #microservices architecture with #Python ZeroMQ &amp; Docker: https://t.co/5WDEpnYO3H https://t.co/8FRuD5hgfw</t>
  </si>
  <si>
    <t>Redditch, UK</t>
  </si>
  <si>
    <t>Senior PHP Developer. Worked for various high profile price comparison engines, UK &amp;US. Linux systems admin &amp; entrepreneur, Open Source &amp; web apps enthusiast.</t>
  </si>
  <si>
    <t>The Python syntax is indeed quite close to the mathematical syntax #python #finance #trading #markets</t>
  </si>
  <si>
    <t>Marta Diaz Barrera</t>
  </si>
  <si>
    <t>Les 6 compétences pour devenir #DataScientist https://t.co/iPGqWJxK9D @MondeInformatiq #IT #SQL #Python</t>
  </si>
  <si>
    <t>Spain &amp; Europe</t>
  </si>
  <si>
    <t>CEO @Talentoscopio_ #Transformation and #Innovation on #Talent #corporates #startups. #eskills #Digital #TransfoNum Strategic Consultant. Speaker</t>
  </si>
  <si>
    <t>RT @HH_Technology: #Hiring for Data Scientist #TechJobs #python #c/c++ #bigdata #hadoop #programming #spark #c++ #career | Apply Now https…</t>
  </si>
  <si>
    <t>RT @mikegrimshaw2: #Bioinfomatics File access tools BioUtil 0.1.1 : #Python Package Index | #BigData #bioData #PHI https://t.co/BFpaJqfzD1</t>
  </si>
  <si>
    <t>Josep Lluís Micó</t>
  </si>
  <si>
    <t>Learn how to invoke compiled code via #AzureML #R &amp; #Python Script Modules. : https://t.co/zgq9R0QmFf #BigData #DataScience</t>
  </si>
  <si>
    <t>Journalist [@LaVanguardia—@DiarideGirona—@NacioDigital—@Radio4_RNE] and professor [@FCRIBlanquerna—@URamonLlull] #Communication #Journalism #Media #Technology</t>
  </si>
  <si>
    <t>freelancermap.com</t>
  </si>
  <si>
    <t>100% #remotework for a #Python #Django Developer available! Interested? https://t.co/lJu9qi0nnu #djangogig #work https://t.co/yyqxqspzGc</t>
  </si>
  <si>
    <t>http://t.co/JFVREOvKMQ is an international network for IT-projects (remote/contract) and IT-experts (freelancers, outsourcing providers, self-employed workers).</t>
  </si>
  <si>
    <t>GogoTraining</t>
  </si>
  <si>
    <t>Our #Python 3 #Programming Essentials is an upgraded version of Python 3.x https://t.co/pNK8F9Yi5E</t>
  </si>
  <si>
    <t>Leader in IT and Management training. Take classroom courses in an online, self-paced format. Affordable, effective, and taught by industry experts.</t>
  </si>
  <si>
    <t>[b0t] Python streaming I/O library. What do you think? https://t.co/X0beSX2wkT #python</t>
  </si>
  <si>
    <t>RT @jlmico: Learn how to invoke compiled code via #AzureML #R &amp; #Python Script Modules. : https://t.co/zgq9R0QmFf #BigData #DataScience</t>
  </si>
  <si>
    <t>Sebastian Küpers</t>
  </si>
  <si>
    <t>Director Artificial Intelligence @ Publicis Pixelpark Berlin - Deep Learning, Machine Learning - Spark, Cassandra, Kafka, Mesos, Docker - Python, Scala</t>
  </si>
  <si>
    <t>David</t>
  </si>
  <si>
    <t>Practical #Python porting for systems #programmers https://t.co/Xd2xKFLMBX</t>
  </si>
  <si>
    <t>Sipho Mazibuko</t>
  </si>
  <si>
    <t>#Multi-paradigm #objectOriented #Python utterly rocks🎸💻📧📲👾 Happy Friday!</t>
  </si>
  <si>
    <t>Johannesburg, SA</t>
  </si>
  <si>
    <t>Loves &amp; lives tech | avid reader &amp; knowledge seeker | proud dad | love amazing technologies that propels the world forward |#tech #knowledge #kids</t>
  </si>
  <si>
    <t>#CrazyCool | #NLTK as #REST service nltkrest 0.11 : #Python #NLP #MachineLearning #BigData #Ai https://t.co/UYAULPWGlQ</t>
  </si>
  <si>
    <t>Model3D</t>
  </si>
  <si>
    <t>Orléans, Centre</t>
  </si>
  <si>
    <t>RT @OpenRiskNews: #FF for all things #python @python_devv @fullstackpython @importpython @RealPython @pyquantnews @PythonWeekly @PythonSushi</t>
  </si>
  <si>
    <t>#Flask #Permission Management Extension Flask-Perm 0.2.6 : #Python Package Index | #dev #Django #Pyramid #CyberSec https://t.co/hxxKQqslSK</t>
  </si>
  <si>
    <t>HanseSecure</t>
  </si>
  <si>
    <t>@golem @GolemRedaktion oder mit #python + #exif-Metadaten + #beautifulsoup selbst programmieren, um #gps Daten auszulesen ;-)</t>
  </si>
  <si>
    <t>#ITSecler #Security-Consulter https://t.co/d5oOGiu38B</t>
  </si>
  <si>
    <t>Not Truppi</t>
  </si>
  <si>
    <t>RT @Rootsector: #decrypter #kaspersky #Python #rootsector #security #hacking #linux 😃 #infosec #cybersecurity https://t.co/uWEyPeXoJp</t>
  </si>
  <si>
    <t>WashingtonDC.local</t>
  </si>
  <si>
    <t>Internet Warrior. Director @tanium. Former Govie. Winter is coming and we know what's coming with it!</t>
  </si>
  <si>
    <t>#python #pynsk #pythondaily #pydaily / Дневной дайджест: 25.02.2016 / / Python - крутой язык! / А перед в.. https://t.co/JZTxPOEyWx</t>
  </si>
  <si>
    <t>Justin R. Andrusk</t>
  </si>
  <si>
    <t>Hacker Dictionary Term of the Da</t>
  </si>
  <si>
    <t>Reformed Presbyterian, Strict Calvinist, CypherPunk&amp;Security Geek, Emacs Nerd, Husband of One Wife, and Father of 2 boys. IRC Freenode handle is jandrusk.</t>
  </si>
  <si>
    <t>New #jobs listings for #python developers USA+UK https://t.co/xaHbRuJrg0 #coder</t>
  </si>
  <si>
    <t>#python toughlib 0.0.4: toughstruct python tools https://t.co/iZB8MoxjxU</t>
  </si>
  <si>
    <t>Udemy Saveoff</t>
  </si>
  <si>
    <t>Python Programming: Code Python Like a Boss &amp; Become a Dev! ☞ https://t.co/wQ3foXM2qV #python #programming https://t.co/B9IwnGThO5</t>
  </si>
  <si>
    <t>sibilare*</t>
  </si>
  <si>
    <t>Jokes for #programmers #Python #pythondeveloper cc @Carlosebort https://t.co/7pKni8lqQF</t>
  </si>
  <si>
    <t>Barcelona (C/ Tuset, 21)</t>
  </si>
  <si>
    <t>Consultoria estratègica en #comunicació i #bigdata | Consultoría estratégica en #comunicación y #bigdata | #credibilitat #credibilidad #credibility #rumor</t>
  </si>
  <si>
    <t>Want to learn a new skill or find a class or you want to teach #python, #PMP,#js#javascript,#html do so on https://t.co/ofV501e1TS . Face …</t>
  </si>
  <si>
    <t>Skills to learn #seo or #Facebookmarketing or #digitalmarketing or #python or #javascript or #java or #PM in #BCN https://t.co/KTpxc8kelR …</t>
  </si>
  <si>
    <t>RT @teacheraorg: Want to learn a new skill or find a class or you want to teach #python, #PMP,#js#javascript,#html do so on https://t.co/of…</t>
  </si>
  <si>
    <t>kechap</t>
  </si>
  <si>
    <t>Exonet-france</t>
  </si>
  <si>
    <t>Installing Scrapy with #python - https://t.co/kY0MY48kVK</t>
  </si>
  <si>
    <t>Rians, Centre</t>
  </si>
  <si>
    <t>{ Exonet3i project } - Webmaster | Sysadmin | Testing and searching open source solutions | exonet3i.[com/net] #unix #virtualization #pentesting |</t>
  </si>
  <si>
    <t>Udemy Coupon</t>
  </si>
  <si>
    <t>Python Programming: Code Python Like a Boss &amp; Become a Dev! ☞ https://t.co/jyzrqCVOF4 #python #programming https://t.co/0jWIMmRiIU</t>
  </si>
  <si>
    <t>#udemy #learn #coupon #training</t>
  </si>
  <si>
    <t>Udemy Discount</t>
  </si>
  <si>
    <t>Python Programming: Code Python Like a Boss &amp; Become a Dev! ☞ https://t.co/l0oHV5uxsr #python #programming https://t.co/GJrgyZmzeL</t>
  </si>
  <si>
    <t>#algorithm Using reinforcement #learning in #Python to teach a virtual car to avoid obstacles https://t.co/6Q3pvzf0Sd</t>
  </si>
  <si>
    <t>udemy coupon codes</t>
  </si>
  <si>
    <t>RT for more Python Programming: Code Python Like a Boss &amp; Become a Dev! ☞ https://t.co/qzhmHDeoJX #python #progr… https://t.co/GnNKUfmFAO</t>
  </si>
  <si>
    <t>because we believe that learning should be free we offre #Udemy #Course 100% Discounts Get the best Udemy courses for free! https://t.co/96PgKAg6pe</t>
  </si>
  <si>
    <t>Data Scientist @Teradata #Italy #SQL #technology #DataScience #datamining #sas #Hadoop #java #python #perl #spark https://t.co/dLLOHKA1n1</t>
  </si>
  <si>
    <t>Larry Liang</t>
  </si>
  <si>
    <t>Melbourne, Victoria</t>
  </si>
  <si>
    <t>Technologist, Cloud Infrastructure, DevOps and Reliability Engineer.</t>
  </si>
  <si>
    <t>Как, черт возьми, работает async/await в Python 3.5?: https://t.co/6b9CRaSUTC #python</t>
  </si>
  <si>
    <t>Little Mike</t>
  </si>
  <si>
    <t>sevilla, Españistán</t>
  </si>
  <si>
    <t>Defiendo a los malos, porque para defender a los buenos ya hay muchos. Abogado penalista y amante de la seguridad informática. Domador de palabras.</t>
  </si>
  <si>
    <t>DublinTechJobs</t>
  </si>
  <si>
    <t>Site Reliability Engineer (Dublin, IE) @Yelp #Dublin IRE https://t.co/VJ7JNqSfQB Mastery of #Linux or #Unix #Python #Ruby #Java #Cplusplus</t>
  </si>
  <si>
    <t>Dmitry Starodubtsev</t>
  </si>
  <si>
    <t>Last week programming community influencers: #Python, #Golang, #Java, #PHP, #Nodejs https://t.co/idUgjAsC2B</t>
  </si>
  <si>
    <t>Christian, developer (python, javascript, php, html, css, postgres, mssql, mysql, mongodb), percussionist (cajon).</t>
  </si>
  <si>
    <t>RT @dstarod: Last week programming community influencers: #Python, #Golang, #Java, #PHP, #Nodejs https://t.co/idUgjAsC2B</t>
  </si>
  <si>
    <t>Is #Python faster than PHP?” https://t.co/ExqsuJJQi4 #php https://t.co/UjUKJyDmyb https://t.co/qgwiDpLt5w</t>
  </si>
  <si>
    <t>[b0t]SoundSpectrum from AS3 in Python? https://t.co/sN6RLKqYcs #python</t>
  </si>
  <si>
    <t>PyZOS - Python interface for Zemax OpticStudio COM API (ZOS-API) pypi: https://t.co/Vg7ywrSoFR www: https://t.co/f8Pr0SRMHa #python</t>
  </si>
  <si>
    <t>RT @py3k: PyZOS - Python interface for Zemax OpticStudio COM API (ZOS-API) pypi: https://t.co/Vg7ywrSoFR www: https://t.co/f8Pr0SRMHa #pyth…</t>
  </si>
  <si>
    <t>CSnipp</t>
  </si>
  <si>
    <t>Merge Multiple Word Documents into Single Doc using REST API in Python #python #rest #Python https://t.co/D1sCvzkVWG</t>
  </si>
  <si>
    <t>CSnipp AutoTweet</t>
  </si>
  <si>
    <t xml:space="preserve">San Francisco </t>
  </si>
  <si>
    <t>Never let someone leaving your firm affect you. #Knowledge management solutions for all.</t>
  </si>
  <si>
    <t>Consulting Jobs | HH</t>
  </si>
  <si>
    <t>#Hiring for Analyst/senior Analyst - Equity Strategy #ConsultingJobs #python #matlab #career | Apply Now https://t.co/u5sZQDv6vh</t>
  </si>
  <si>
    <t>hh_consulting</t>
  </si>
  <si>
    <t>http://t.co/DxfeHmpCvy is India's premier job search and career portal, exclusively for senior professionals | An ABC Consultants initiative</t>
  </si>
  <si>
    <t>Django #Python #Framework Django makes it easier to build better Web apps more quickly and with less code. https://t.co/sYuC7ykduK</t>
  </si>
  <si>
    <t>Informática64</t>
  </si>
  <si>
    <t>Informática64 fue una empresa dedicada a la consultoría de sistemas y seguridad informática, actualmente parte de Eleven Pahts (@elevenpahts)</t>
  </si>
  <si>
    <t>Conserto</t>
  </si>
  <si>
    <t>[EMPLOI] Pour notre agence de #Rennes : - Développeur #TV #num - Ingénieur #C#/.net - Développeur #python #nodejs ➡️ https://t.co/ARgWxorTBH</t>
  </si>
  <si>
    <t>Conserto, société #innovante et #dynamique, propose des prestations de #conseil et d’#expertise #informatique.</t>
  </si>
  <si>
    <t>SerDeveloper</t>
  </si>
  <si>
    <t>Instalar #Python, Pip y Virtualenv en Windows 10... https://t.co/6VJPRIp21f https://t.co/J169TN6uuR</t>
  </si>
  <si>
    <t>Compartimos contenido para developers!</t>
  </si>
  <si>
    <t>N1Videos.com</t>
  </si>
  <si>
    <t>Elephant Vs Lions Attack To #Death ➤ #Python #Channel Tv https://t.co/eD7w21UzsZ https://t.co/BsLeIXvhdq</t>
  </si>
  <si>
    <t>#Follow and #retweet our tweets! Watch the most famous video worldwide. LIKE US! #FACEBOOK http://t.co/9foTFYAmAF #TUMBLR http://t.co/WUBEpVlBfM</t>
  </si>
  <si>
    <t>#python toil 3.1.4: Pipeline management software for clusters. https://t.co/xKZNDNgY3j</t>
  </si>
  <si>
    <t>#python txradius 0.0.5: RADIUS tools https://t.co/vPMPYgxpTw</t>
  </si>
  <si>
    <t>#python cent 1.3.0: python tools to communicate with Centrifugo https://t.co/WJsI5UjgnL</t>
  </si>
  <si>
    <t>#python ocrmypdf 4.0.3: OCRmyPDF adds an OCR text layer to scanned PDF files, allowing them to be searched https://t.co/e5ZPrvzsK4</t>
  </si>
  <si>
    <t>#python pyshoco 1.3.2: Shoco Python wrapper module https://t.co/fwOM667exO</t>
  </si>
  <si>
    <t>#python phonenumbers 7.2.6: Python version of Google's common library for parsing, formatting, storing and… https://t.co/Bw6LSNiFH5</t>
  </si>
  <si>
    <t>#python phonenumberslite 7.2.6: Python version of Google's common library for parsing, formatting, storing and… https://t.co/nSDAGW4u0D</t>
  </si>
  <si>
    <t>#python PyZOS 0.0.5: Python interface for Zemax OpticStudio COM API (ZOS-API) https://t.co/NMbwk4dLDt</t>
  </si>
  <si>
    <t>#python Greg 0.4.6: A command-line podcast aggregator https://t.co/qdebdqEHXG</t>
  </si>
  <si>
    <t>RT https://t.co/daU7SjkB44 Last week programming community influencers: #Python, #Golang, #Java, #PHP, #Nodejs https://t.co/Bc2YJv6sRW</t>
  </si>
  <si>
    <t>RT https://t.co/n7gcSpiOmL RT dstarod: Last week programming community influencers: #Python, #Golang, #Java, #PHP… https://t.co/Bc2YJv6sRW</t>
  </si>
  <si>
    <t>RT @LillianEdmiston: RT https://t.co/daU7SjkB44 Last week programming community influencers: #Python, #Golang, #Java, #PHP, #Nodejs https:/…</t>
  </si>
  <si>
    <t>RT @LillianEdmiston: RT https://t.co/n7gcSpiOmL RT dstarod: Last week programming community influencers: #Python, #Golang, #Java, #PHP… htt…</t>
  </si>
  <si>
    <t>RT https://t.co/jQqVsB3HYt RT dstarod: Last week programming community influencers: #Python, #Golang, #Java, #PHP… https://t.co/Bc2YJv6sRW</t>
  </si>
  <si>
    <t>RT @LillianEdmiston: RT https://t.co/jQqVsB3HYt RT dstarod: Last week programming community influencers: #Python, #Golang, #Java, #PHP… htt…</t>
  </si>
  <si>
    <t>OOP in Python for Algorithmic Trading by Dr. Yves Hilpisch for EPAT Participants! #python #finance #trading #markets</t>
  </si>
  <si>
    <t>Zaid Pathan</t>
  </si>
  <si>
    <t>i ♥ StackOverFlow. @StackExchange @StackOverflow #iOS #Android #JavaScript #java #swift #CSharp #php #python</t>
  </si>
  <si>
    <t>#emergingInvestor #AppleEngineer #iOSDeveloper #QuoteExpert #Software #Business #QOS</t>
  </si>
  <si>
    <t>Jordan Dimov</t>
  </si>
  <si>
    <t>Learning #ElixirLang has made me a better #Python developer. (It has also made me less willing to put up with Python's built-in limitations)</t>
  </si>
  <si>
    <t>An extraordinarily lucky person. Outrageously optimistic. Often quite unreasonable in my expectations.</t>
  </si>
  <si>
    <t>Catch The Fish</t>
  </si>
  <si>
    <t>RT @zaidkhanintel: i ♥ StackOverFlow. @StackExchange @StackOverflow #iOS #Android #JavaScript #java #swift #CSharp #php #python</t>
  </si>
  <si>
    <t>airwent</t>
  </si>
  <si>
    <t>Download Now the Android Game at https://t.co/op90G1tvZw</t>
  </si>
  <si>
    <t>Juha Remes</t>
  </si>
  <si>
    <t>How to use #Python to hack your Eclipse #IDE https://t.co/Nq3oMQWOMX via @opensourceway #Programming #Eclipse</t>
  </si>
  <si>
    <t>Manchester, United Kingdom</t>
  </si>
  <si>
    <t>#PHP Developer. #OpenSource contributor. Mathematician. Photographer. Fluent in English and Finnish.</t>
  </si>
  <si>
    <t>Komodo IDE</t>
  </si>
  <si>
    <t>Looking for a great IDE that supports #Python #PHP #Ruby #Nodejs + more? Download @komodoide and start your trial. https://t.co/vwhj7TwuhS</t>
  </si>
  <si>
    <t>Vancouver, Canada</t>
  </si>
  <si>
    <t>Komodo is the professional IDE for major web languages, including Python, PHP, Ruby, Perl, HTML, CSS and JavaScript.</t>
  </si>
  <si>
    <t>Is #Python faster than PHP?” https://t.co/CCqj4ReVKq #php https://t.co/vLHrrY64YE</t>
  </si>
  <si>
    <t>Johannes Reichard</t>
  </si>
  <si>
    <t>great explanation of mocking in python, also good for a quick lockup: https://t.co/OmBusqrpta #python #testing</t>
  </si>
  <si>
    <t>Berlin, Deutschland</t>
  </si>
  <si>
    <t>CTO bei @truffls, fullstack developer, linux fan</t>
  </si>
  <si>
    <t>古橋　秀哲</t>
  </si>
  <si>
    <t>PythonLeather RoundFastenerLongWallet https://t.co/iTCel0IJp8 #Python #Wallet</t>
  </si>
  <si>
    <t>FULLBRIDGEは、クロコダイルやダイヤモンドJewelryの『世界にひとつ』のオーダーメイドを得意とする大人Rich style &amp;ロングコンセプト、50年先のあなたが欲しくなる様な製品を提案してくれるオーダーメイドブランドです。 http://t.co/27OU6zqTLi</t>
  </si>
  <si>
    <t>[b0t]How can I better mange running code in complex projects? https://t.co/26fmuB2zpI #python</t>
  </si>
  <si>
    <t>plon.io</t>
  </si>
  <si>
    <t>Check optimization tips for generating #Mandelbrot set in #python #gpu by @developerWorks https://t.co/2C6kGsgG9l https://t.co/hj9x5h3Tqr</t>
  </si>
  <si>
    <t>Poland</t>
  </si>
  <si>
    <t>Data Science collaborative platform for scientist and educators. Our mission is remove the barrier for conducting research in Python, R, Octave</t>
  </si>
  <si>
    <t>Alistair Meney</t>
  </si>
  <si>
    <t>Kensington, London</t>
  </si>
  <si>
    <t>Polyglot, Full-stack expert, Founder and CTO at lmo.io - fast, massively scalable pools betting platform. Erlang DFS. Xen on Raspberry Pi. Calisthenics.</t>
  </si>
  <si>
    <t>Ashish</t>
  </si>
  <si>
    <t>RT @StartupSucht: #Fashwell sucht #FullStack #Web #App #Developer (#startup #dev #appdev #CSS #JS #PhoneGap #Python #MySQL #Redis) ===&gt; htt…</t>
  </si>
  <si>
    <t>software developer - entrepreneur - blogger. IIIT Alumunus. A #MeteorJS #AngularJS fan. Tech Speaker. Say Hello at ashish [dot] fagna [at] gmail [dot] com</t>
  </si>
  <si>
    <t>Fun Science News</t>
  </si>
  <si>
    <t>Not entirely science but related; https://t.co/Yl16MO9n6T #Python #ScientificComputing #Learn</t>
  </si>
  <si>
    <t>Tech and science interested dude. Loves, and shares, funny science news &amp; facts. Science images: http://t.co/4PreNtRMma</t>
  </si>
  <si>
    <t>Michelle Janosi</t>
  </si>
  <si>
    <t>Create your own personal "Jarvis" using the #Python language https://t.co/0TmcI5YOoL https://t.co/xLRAijKb07</t>
  </si>
  <si>
    <t>Ohio, USA</t>
  </si>
  <si>
    <t>Learning full-stack web development with @learn_co. I love to read, occasionally get super into Tai Chi and can usually be found lost in the latest Indie flick.</t>
  </si>
  <si>
    <t>Christophe Verbeiren</t>
  </si>
  <si>
    <t>Louvain-La-Neuve, Belgium</t>
  </si>
  <si>
    <t>@taptapdigital</t>
  </si>
  <si>
    <t>Petru Flueras</t>
  </si>
  <si>
    <t>Timişoara, România</t>
  </si>
  <si>
    <t>Filippo Guglielmetti</t>
  </si>
  <si>
    <t>@andreagrandi Ciao! Cerco un dev #python a contratto in start-up #fintech a londra (no recruiters). Anche consulenza part-time. Interessa?</t>
  </si>
  <si>
    <t>With my head in the #Cloud and a knack for #EdTech and #Analytics.</t>
  </si>
  <si>
    <t>Game Development</t>
  </si>
  <si>
    <t>Allegro 5.1.13 #python #allegro_5 #allegro https://t.co/MvqTNwn5Dm</t>
  </si>
  <si>
    <t>3dn.ru Social Media Publisher</t>
  </si>
  <si>
    <t>Russia</t>
  </si>
  <si>
    <t>Russian Game Developers Community. Разработка компьютерных и консольных игр: новости для игроделов, программирование, инструментарий, движки, конструкторы игр.</t>
  </si>
  <si>
    <t>ITJobs</t>
  </si>
  <si>
    <t>Procura emprego em Python? Consulte aqui todas as oportunidades. #emprego #python https://t.co/gShRfBttK1</t>
  </si>
  <si>
    <t>Portugal</t>
  </si>
  <si>
    <t>Emprego e Formação em Tecnologias de Informação</t>
  </si>
  <si>
    <t>Shikari.do</t>
  </si>
  <si>
    <t>Не спешно ищу удаленного #Python/#Django программиста среднего или выше уровня https://t.co/NkDaf0AwKK</t>
  </si>
  <si>
    <t>Shikari</t>
  </si>
  <si>
    <t>Москва, Россия</t>
  </si>
  <si>
    <t>Ищем ваших потенциальных клиентов в соц.сетях, блогах, форумах. Круглые сутки находим тех, кому нужны ваши услуги, кто готов стать вашим клиентом уже сегодня!</t>
  </si>
  <si>
    <t>Sushant Gandhi</t>
  </si>
  <si>
    <t>Intro to #python3 cheat sheet. Get your own @realpython! #python https://t.co/76ReifetrY</t>
  </si>
  <si>
    <t>New Delhi,India</t>
  </si>
  <si>
    <t>techie by nature....</t>
  </si>
  <si>
    <t>RT @assorizontal: Nine #Python #MachineLearning Books – AnalyticBridge https://t.co/3IW1tXlfxw</t>
  </si>
  <si>
    <t>FAECTA</t>
  </si>
  <si>
    <t>Andalucía, España</t>
  </si>
  <si>
    <t>Representamos y defendemos los intereses de las Cooperativas de Trab. de Andalucía. Promovemos el cooperativismo. Fomentamos el emprendimiento. Economía Social</t>
  </si>
  <si>
    <t>Víctor García</t>
  </si>
  <si>
    <t>Leveling up my django skills in the train! #python @Indavelopers @HackLabAl https://t.co/vk0hXW17eN</t>
  </si>
  <si>
    <t>Almería</t>
  </si>
  <si>
    <t>Software Engineering student at Universidad de Almería. Interested in Software Development, Data Science and Technology. I also love videogames and sports!</t>
  </si>
  <si>
    <t>RT @PacktPub: Look no further than these titles for better #Python - 50% off today only! https://t.co/WRmxotON95 https://t.co/GwjzASaV6u</t>
  </si>
  <si>
    <t>#python limix_build 0.0.32: Utility tools for helping build limix packages. https://t.co/BSy05KQ8Ys</t>
  </si>
  <si>
    <t>#python resin-sdk 1.4.0: Resin.io SDK for Python https://t.co/1eXwBwdHnw</t>
  </si>
  <si>
    <t>#python bluepyopt 0.101: Bluebrain Python Optimisation Library (bluepyopt) https://t.co/cxB0i3YIto</t>
  </si>
  <si>
    <t>#python django-swstags 0.4.15: UNKNOWN https://t.co/ntW7IdmLqy</t>
  </si>
  <si>
    <t>#python cubicweb-saem-ref 0.10.2: Référenciel de Système d'Archivage Électronique Mutualisé https://t.co/jXNSKsHK1r</t>
  </si>
  <si>
    <t>#python balafon 3.2.2: Contacts management https://t.co/AGEVBtPuEC</t>
  </si>
  <si>
    <t>#python windy 0.8.2: Windy is an application for managing Windows user/system environment variables. https://t.co/CGSlyzxJrW</t>
  </si>
  <si>
    <t>#python toil 3.1.5a1.dev32: Pipeline management software for clusters. https://t.co/BigdRdoM8x</t>
  </si>
  <si>
    <t>#python django-nsync 0.3.3: Django N Sync provides a simple way to keep your Django https://t.co/FI5s0zqPpT</t>
  </si>
  <si>
    <t>#python pyramid_extdirect 0.5.2: ExtDirect Implementation for Pyramid https://t.co/e0MfprmmLd</t>
  </si>
  <si>
    <t>J'ai enfin un entretien pour un stage ! #dev - #WebDev - #developpement - #javascript - #html5 - #CSS - #python ! https://t.co/5DSxhs1O3R</t>
  </si>
  <si>
    <t>Jairo Caro-Accino</t>
  </si>
  <si>
    <t>Software is eating the world The web is eating software &amp; JavaScript Rules the web.</t>
  </si>
  <si>
    <t>Lemmy Constantine, nostalgie des fifties https://t.co/zoKaenACYI #Django #Python</t>
  </si>
  <si>
    <t>python 3.5 torrent -&gt; good library? https://t.co/kCxszHREjy #Python For 2.6 I found libtorrent, but could not find any useful resource f…</t>
  </si>
  <si>
    <t>Martin Gallagher</t>
  </si>
  <si>
    <t>Senior #golang developer needed near #Birmingham, UK. Will also consider #php #python #java https://t.co/DYgAdJXY4Y https://t.co/97ysr4LCE5</t>
  </si>
  <si>
    <t>Co-Founder of Vistas Recruitment - Technology specialists, especially #Golang. Over 20 years in #recruitment and still standing! ManU, Music and Lego fan!</t>
  </si>
  <si>
    <t>BloomFilter - BloomFilter in python https://t.co/kDtfayeCsC #python</t>
  </si>
  <si>
    <t>"python 3.5 torrent -&gt; good library?" via #Python https://t.co/J9jMTo8tTO</t>
  </si>
  <si>
    <t>RT @pythontrending: BloomFilter - BloomFilter in python https://t.co/kDtfayeCsC #python</t>
  </si>
  <si>
    <t>Starting to consider "more then line of docstring to describe a function -&gt; divide" a good rule of thumb #python #programming</t>
  </si>
  <si>
    <t>RT @HarriSrivastav: Is #Python faster than PHP?” https://t.co/CCqj4ReVKq #php https://t.co/vLHrrY64YE</t>
  </si>
  <si>
    <t>Up to 97% off all #Udemy online courses, inc. #python courses: https://t.co/gYsfTWNgq4 https://t.co/6y71BrjAdP</t>
  </si>
  <si>
    <t>hwmrocker</t>
  </si>
  <si>
    <t>Code live! "Learning Python! Codecademy" https://t.co/DfewRp5xJt #periscope #tech #Python</t>
  </si>
  <si>
    <t>RT @AnuragShukla47: Python Programs By Anurag Kumar Shukla: Binary Search In Python https://t.co/EteuksB4en #python #AsiaCupT20 #RailBudget…</t>
  </si>
  <si>
    <t>RT https://t.co/nRUHWFUCWM Senior #golang developer needed near #Birmingham, UK. Will also consider #php #python … https://t.co/4MLNTaK0mp</t>
  </si>
  <si>
    <t>Alexandre Lourenço</t>
  </si>
  <si>
    <t>A happy developer/architect, dedicated to learn and pass his knowledges on the great IT world! website: https://t.co/1zuw0nsKJJ</t>
  </si>
  <si>
    <t>10 #Python Puzzlers: https://t.co/mzN5ZV6PFg</t>
  </si>
  <si>
    <t>Endz_</t>
  </si>
  <si>
    <t>ゆきのはな こ</t>
  </si>
  <si>
    <t>#MHT #InfoSec #RedCult #Hackers •I'm a half blood &amp; Oriental &amp; Catholic •I hate Fake People&amp;Mind, Cheaters •This pic is my selfie •I'm not Anons •Member of MHT</t>
  </si>
  <si>
    <t>T. H. W.</t>
  </si>
  <si>
    <t>My newest addition, courtesy of Dale Porcher Female #Candino #ballpython #python #snake… https://t.co/OZQRbwvWXI</t>
  </si>
  <si>
    <t>Maryland</t>
  </si>
  <si>
    <t>RT @newsafaribooks: Learning Python Design Patterns - Second Edition #PacktPublishing https://t.co/hqqCo38HIZ #Python</t>
  </si>
  <si>
    <t>gh0std4ncer</t>
  </si>
  <si>
    <t>I came,I saw, I stuck around</t>
  </si>
  <si>
    <t>Carlos Amorocho</t>
  </si>
  <si>
    <t>Barrancabermeja</t>
  </si>
  <si>
    <t>Ingeniero de Sistemas / Esp. Seguridad informática / Auditor interno ISO 27001 #infosec #ethicalhacking #redteam #antimalware #forensics #linux #windows</t>
  </si>
  <si>
    <t>RT @tunguz: The #Python Workbook: A Brief Introduction with Exercises and Solutions - Book Review https://t.co/FsVZInrPuL</t>
  </si>
  <si>
    <t>Frank Schlesinger</t>
  </si>
  <si>
    <t>RT @thenewstack: The Popularity of #Python in a #Java World https://t.co/9HJ79PZj4s cc @ActiveState</t>
  </si>
  <si>
    <t>Talon Plus</t>
  </si>
  <si>
    <t>#python spur command not working #HowTo #Question #Tech https://t.co/QGdf2Z14yF</t>
  </si>
  <si>
    <t>Mr. Orbot</t>
  </si>
  <si>
    <t>https://t.co/QQqTj9tffS RT Rootsector: #decrypter #kaspersky #Python #rootsector #security #hacking #linux 😃 #inf… https://t.co/dEuuGyUJTg</t>
  </si>
  <si>
    <t>If only I could read captchas...</t>
  </si>
  <si>
    <t>#Python skipping for-loop after print() #HowTo #Question #Tech https://t.co/auNNcUZv9B</t>
  </si>
  <si>
    <t>E J Livsey</t>
  </si>
  <si>
    <t>Nice couple of days off. Now for a weekend of project building #raspberrypi #linux #python</t>
  </si>
  <si>
    <t>Web Designer, App Developer and Physical Computing hobbyist.</t>
  </si>
  <si>
    <t>#python spur command not working #Tech #Internet #Programming https://t.co/Y0Vy2UuECE</t>
  </si>
  <si>
    <t>#Python skipping for-loop after print() #Tech #Internet #Programming https://t.co/IcVmxD8g3x</t>
  </si>
  <si>
    <t>MediaTekLabs</t>
  </si>
  <si>
    <t>#IoT webinars next week - reserve your place for programming and commercial tips #developer #python #Linux #Arduino https://t.co/HcJwadq25H</t>
  </si>
  <si>
    <t>MediaTek Labs is a developer-focused global hub for supporting device creation, application development, and services based around MediaTek SoC offerings.</t>
  </si>
  <si>
    <t>CTFP</t>
  </si>
  <si>
    <t>Today, work begins on @pythontamer's new lab dedicated to #Python-based #DataScience (#MachineLearning), #NMR and #WebDevelopment purposes.</t>
  </si>
  <si>
    <t>Leicester, United Kingdom</t>
  </si>
  <si>
    <t>A friendly provider of artistic graphics, distinctive branding and clear marketing strategies, tailored web solutions and bespoke software apps.</t>
  </si>
  <si>
    <t>Holger Sirtl</t>
  </si>
  <si>
    <t>In Azure #MachineLearning kompilierte Komponenten (geschrieben in #R, #Python, C++, ...) ausführen https://t.co/SNMaxu63JO</t>
  </si>
  <si>
    <t>Hsirtl Demo Client</t>
  </si>
  <si>
    <t>Senior Technical Evangelist, Microsoft Deutschland GmbH</t>
  </si>
  <si>
    <t>RT @SiliconArmada: Data Scientist @Teradata #Italy #SQL #technology #DataScience #datamining #sas #Hadoop #java #python #perl #spark http…</t>
  </si>
  <si>
    <t>#Python リスト内包表記。 [x * 2 for x in range(0, 10) if x &amp;lt; 5] for 文の値を取り出し、後ろの条件に合致したら、前の操作にする。 [10]</t>
  </si>
  <si>
    <t>#GetConnected: #Data-driven marketing is the new wave, so let's get you a job in it, shall we? #java #scala #python https://t.co/HzDlNl5hYf</t>
  </si>
  <si>
    <t>#python practical porting for systems programmers #howtoo for porting python 2 to 3 versione https://t.co/Lc2sEFn6bc</t>
  </si>
  <si>
    <t>鎌田哲彰</t>
  </si>
  <si>
    <t>神奈川県川崎市</t>
  </si>
  <si>
    <t>海外小説とノンフィクションを読み、１７世紀のオランダ絵画を見るのが楽しみです。写真も趣味ですが、最近はもっぱら子供写真ばかり。テレビはドキュメンタリーかサイエンス番組ばかり見ています。</t>
  </si>
  <si>
    <t>Jamie</t>
  </si>
  <si>
    <t>Setting-up @pythontamer's new lab ready for #Python-based #DataScience, #MachineLearning, #NMR and #WebDevelopment. https://t.co/gpUeAPWgVu</t>
  </si>
  <si>
    <t>I'm a (Freelance) Multimedia Producer at @distinctlyctfp, who's inspired by anime and collects video games, listens to good music and loves great comedy.</t>
  </si>
  <si>
    <t>Owentis</t>
  </si>
  <si>
    <t>Levallois-Perret, France</t>
  </si>
  <si>
    <t>Owentis, société du groupe Ozitem, spécialiste du #cloud, de l’#hebergement #digital, de la #supervision et de l’#infogerance d’environnements complexes</t>
  </si>
  <si>
    <t>#python shells_kitchen 0.4.0: Python library for configuration data https://t.co/hPHy6cyfxq</t>
  </si>
  <si>
    <t>#python pypot 2.11.0rc3: Python Library for Robot Control https://t.co/0MbqM5UsHE</t>
  </si>
  <si>
    <t>#python #inboundmarketing extract business contact info #workfromhome</t>
  </si>
  <si>
    <t>#Python Dependency Analysis https://t.co/mayqiIj3ZY</t>
  </si>
  <si>
    <t>Фоновое выполнение ячеек в IPython Notebook: https://t.co/EL1s9vzYfv #python</t>
  </si>
  <si>
    <t>Ravi kiran Reddy</t>
  </si>
  <si>
    <t>#Hiring #Python #selenium #Immediate #joiner #Hyderabad #Cigniti https://t.co/Xd1AFz6xCQ</t>
  </si>
  <si>
    <t>Hyderabad</t>
  </si>
  <si>
    <t>#Cigniti #TalentAcquisition #HR #Recruitment #socialMedia #ConntectAtLinkedin #ravicigniti</t>
  </si>
  <si>
    <t>How to install #Celery on #Django and Create a Periodic Task https://t.co/EUvefEoXi5 #Python</t>
  </si>
  <si>
    <t>Theodoros G Karounos</t>
  </si>
  <si>
    <t>RT @GREEKLUG: Σειρά 8 + 4 μαθημάτων Python &amp; Rομποτικής! Πληρ: https://t.co/GeDUBK7dZF #μαθήματα #greeklug #python #ρομποτική https://t.co/…</t>
  </si>
  <si>
    <t>Athens, Greece</t>
  </si>
  <si>
    <t>Ασχολούμαι κυρίως με θέματα που αφορούν την ανοιχτότητα( @eellak, @mycontentgr, @cc_greece ), την ευρυζωνική πρόσβαση, τα κοινά αγαθά, κλπ...</t>
  </si>
  <si>
    <t>Paolo Perego</t>
  </si>
  <si>
    <t>RT @mikegrimshaw2: #ControlTheory sure is hot right now | Seeing more &amp; more #repos/libs in #Python #Scala even #Julia #BigData #Machine…</t>
  </si>
  <si>
    <t>thesp0nge_bot</t>
  </si>
  <si>
    <t>Gessate, Milan, Italy</t>
  </si>
  <si>
    <t>#appsec specialist, software craftman, penetration tester, malware reverser newbie, taekwon-do itf athlete, proud husband and dad. I blog @codiceinsicuro.</t>
  </si>
  <si>
    <t>How to use Python to hack your Eclipse IDE - https://t.co/58JSmC9Ttt https://t.co/VYw8KUCxEq #python #coding</t>
  </si>
  <si>
    <t>Yves Hilpisch</t>
  </si>
  <si>
    <t>Is it a general phenomenon that #conda updates/downloads/operations are really slow recently? @continuum #anaconda #python #linux #ubuntu</t>
  </si>
  <si>
    <t>Saarland, Germany</t>
  </si>
  <si>
    <t>The Python Quants (https://t.co/ZFEb7a4g0A) | #Python #Finance #DataScience | https://t.co/JkH3wE4GZ3 https://t.co/5NR61xy9Pm https://t.co/TWl5KE2zGK</t>
  </si>
  <si>
    <t>Emily Pearson</t>
  </si>
  <si>
    <t>Filippo Saggi</t>
  </si>
  <si>
    <t>Gli esercizi di #Informatica cominciano a venirmi :) :) tutta questione di allenamento #LinguaggioProgrammazione #python</t>
  </si>
  <si>
    <t>Bagnacavallo, Emilia Romagna</t>
  </si>
  <si>
    <t>29enne,pensieroso,studente filosofia,canto al Karaoke,amo la musica soprattutto l'opera lirica e tifo Juve :) il resto è da scoprire ;)</t>
  </si>
  <si>
    <t>LinuxEXPRES</t>
  </si>
  <si>
    <t>#Python 3 (12): zhrnutie prvej etapy seriálu: https://t.co/mfWyNkScp1</t>
  </si>
  <si>
    <t>Czech republic</t>
  </si>
  <si>
    <t>Český a slovenský magazín o Linuxu a svobodném softwaru. Recenze, novinky, návody také pro začátečníky. Témata pro grafiky, učitele, webisty, správce....</t>
  </si>
  <si>
    <t>Nick Brophy</t>
  </si>
  <si>
    <t>testing api #python</t>
  </si>
  <si>
    <t>New York City</t>
  </si>
  <si>
    <t>Support Engineer with RQ Partners Managed services provider</t>
  </si>
  <si>
    <t>Geisa Santos</t>
  </si>
  <si>
    <t>As capas dos cursos do Prof. Philip Compeau são muito legais. #bioinformatica #python https://t.co/SwsvEetIW8 https://t.co/VqrPpuTcH2</t>
  </si>
  <si>
    <t>Salvamor-BA-BRASIL</t>
  </si>
  <si>
    <t>Agitadora sócio-edu-biz-cultural. On the cruise. I am!</t>
  </si>
  <si>
    <t>#Python A. Jesse Jiryu Davis: Announcing WinKerberos: My colleague Bernie Hackett has… https://t.co/IkYYDf98Ar https://t.co/zRv4UJowSW</t>
  </si>
  <si>
    <t>Vasco Pinho</t>
  </si>
  <si>
    <t>When you open a repo done by this guy that has left ages ago and your screen lights up with PEP8 warnings. #python</t>
  </si>
  <si>
    <t>DevOps @ Unbabel</t>
  </si>
  <si>
    <t>Takeshi Akutsu</t>
  </si>
  <si>
    <t>"TIPs for learning #python" essential_factors = ['Textbook', 'Internet', 'People'] most_important = 'People' https://t.co/8Q5Z7YneOP</t>
  </si>
  <si>
    <t>Engineer. Loves Open Source Culture. Language: Japanese, English, Chinese, Python.</t>
  </si>
  <si>
    <t>takeshiのレベルがあがった！ Basemapを覚えた！ PyCharmを覚えた！ #pandas にちょっと強くなった！ #sklearn にちょっと強くなった！ #python がもっと楽しくなった！！</t>
  </si>
  <si>
    <t>Julia Michon</t>
  </si>
  <si>
    <t>Chargée de recrutement Alter Way</t>
  </si>
  <si>
    <t>Learn how to invoke compiled code via #AzureML #R &amp; #Python Script Modules: https://t.co/zgq9R0QmFf #BigData #DataScience #MachineLearning</t>
  </si>
  <si>
    <t>RT @jlmico: Learn how to invoke compiled code via #AzureML #R &amp; #Python Script Modules: https://t.co/zgq9R0QmFf #BigData #DataScience #Mach…</t>
  </si>
  <si>
    <t>Nathan Faggian</t>
  </si>
  <si>
    <t>#python bluepyopt 0.102: Bluebrain Python Optimisation Library (bluepyopt) https://t.co/c6kWg4OEIJ</t>
  </si>
  <si>
    <t>#python letsencrypt-plesk 0.1.4: Plesk plugin for Let's Encrypt client https://t.co/lFWurd7cYc</t>
  </si>
  <si>
    <t>#python motionpaint 1.51: Atm. this is just experimental package to test pyp2rpm command. If you want the real… https://t.co/NsV480hvrp</t>
  </si>
  <si>
    <t>#python pytransform 0.2.3.1: Applies transformation to structures and writes new pdb file https://t.co/ZgeD6St25L</t>
  </si>
  <si>
    <t>#python pyspeedtest 1.2.2: https://t.co/xwuJsEh5bM Python script https://t.co/qKTQ9e6oEW</t>
  </si>
  <si>
    <t>#python cysignals 1.0: UNKNOWN https://t.co/frZqj5XUhn</t>
  </si>
  <si>
    <t>#python fundamentals 0.1: Some project setup tools including logging, settings and database connections https://t.co/IbbtnsqxOw</t>
  </si>
  <si>
    <t>#python windy 0.8.4: Windy is an application for managing Windows user/system environment variables. https://t.co/fRno0trMrF</t>
  </si>
  <si>
    <t>Clarifications on selling a PyQt application https://t.co/4x7MVxQZUd #Python I have created a PyQt application. From what I have read so…</t>
  </si>
  <si>
    <t>Marc Belles Fabregat</t>
  </si>
  <si>
    <t>#python is the greatest way to learn programming in a fast way</t>
  </si>
  <si>
    <t>Vilafranca</t>
  </si>
  <si>
    <t>I was born in Vilafranca, educated in Morella and I flourished in Glasgow...</t>
  </si>
  <si>
    <t>"Clarifications on selling a PyQt application" via #Python https://t.co/lJPlzrswhN</t>
  </si>
  <si>
    <t>I just learned that you can merge dicts in #Python 3.5 with {**dict1, **dict2} via @treyhunner https://t.co/Ix0CsvPGQa</t>
  </si>
  <si>
    <t>Michael Nikitochkin</t>
  </si>
  <si>
    <t>Use golang, ruby every day and every night</t>
  </si>
  <si>
    <t>RT @HSirtl: In Azure #MachineLearning kompilierte Komponenten (geschrieben in #R, #Python, C++, ...) ausführen https://t.co/SNMaxu63JO</t>
  </si>
  <si>
    <t>Floris Bruynooghe</t>
  </si>
  <si>
    <t>`'closed' in repr(sock)` So the socket clearly knows when it's closed, but there really is no API for this? #python</t>
  </si>
  <si>
    <t>Python, climbing, mountaineering, paragliding. Choose distributed. Occasionally works on cobe.io</t>
  </si>
  <si>
    <t>techcloudfirst</t>
  </si>
  <si>
    <t>j dalmau</t>
  </si>
  <si>
    <t>Aprende a programar en Python con Penjee. https://t.co/QDsG96RRMA #programacion #python https://t.co/uGTwDYSNbt</t>
  </si>
  <si>
    <t>barcelona</t>
  </si>
  <si>
    <t>Geek, TIC &amp; BIC (si , el faig servir a vegades, sobretot el vermell ). Coordinador TIC al @torredelpalau. Projecte robòtic : http://t.co/nSVp1u8pks</t>
  </si>
  <si>
    <t>Zuzana</t>
  </si>
  <si>
    <t>It feels so good to do some #DataAnalysis with R after struggling with #python on #udacity #machinelearning course!#rstats</t>
  </si>
  <si>
    <t>Wannabe data scientist, psychology grad. Interested in DataAnalysis, MachineLearning, R, Python, Visualization&amp;Statistics.Data Science for Social Good advocate.</t>
  </si>
  <si>
    <t>Eder Roger</t>
  </si>
  <si>
    <t>Always working and learning for to get a software excellence. :)</t>
  </si>
  <si>
    <t>Porting #Python to #C for the Sega #Megadrive #GameDev https://t.co/2hfRIdWrbY</t>
  </si>
  <si>
    <t>RT @astrofra: Porting #Python to #C for the Sega #Megadrive #GameDev https://t.co/2hfRIdWrbY</t>
  </si>
  <si>
    <t>Game Assistant</t>
  </si>
  <si>
    <t>AparHashtag</t>
  </si>
  <si>
    <t>Hey There! I'm an Experimental Bot. I retweet #indiegame #indiedev #indiegamedev #gamedev</t>
  </si>
  <si>
    <t>Sam T</t>
  </si>
  <si>
    <t>#python https://t.co/FPVChmxawz get your business started by scraping data! #cloud #music</t>
  </si>
  <si>
    <t>francesca lanternari</t>
  </si>
  <si>
    <t>also #Coding needs to change to support and speed up Enterprises needs #Python": https://t.co/yDKuuD5LzZ</t>
  </si>
  <si>
    <t xml:space="preserve">Emea Hybrid IT </t>
  </si>
  <si>
    <t>Emea HIT for Hewlett Packad Enterprise but opinions are my own! #openstack #cloud #synergy #digitaltransformation.Sun sea and openspace addìcted.</t>
  </si>
  <si>
    <t>Kornelia</t>
  </si>
  <si>
    <t>Trying to keep up with the 20min per day coding #python #CFG https://t.co/biNkZlrpOI</t>
  </si>
  <si>
    <t>Ain't nobody got time for this (Research, feminism, tech.</t>
  </si>
  <si>
    <t>Open Data Services</t>
  </si>
  <si>
    <t>Our #opendata software developer post is now on the @ThePSF #python job board: https://t.co/Fe6tM9v9nV</t>
  </si>
  <si>
    <t>We help people publish and use open data. Tweets from @bjwebb67 @stevieflow @timdavies &amp; team</t>
  </si>
  <si>
    <t>Dmitry Pavlov</t>
  </si>
  <si>
    <t>Service Oriented Architecture with AWS Lambda: A Step-by-Step Tutorial - #AmazonS3 #AWS #AWSLambda #Python #SOA https://t.co/z2R65H9OTI</t>
  </si>
  <si>
    <t>St. Petersburg, Russia</t>
  </si>
  <si>
    <t>Remote https://t.co/qKRmcNLmCu (MVC) / C# Developer (Contractor). Microsoft MVP 2008-2015. Self Employed Freelancer. dimaka@dimaka.com</t>
  </si>
  <si>
    <t>Pastel GBETOHO</t>
  </si>
  <si>
    <t>#R vs #Python for Data Science: The Winner is … https://t.co/rl69uaFeaS https://t.co/819ev2ddVR</t>
  </si>
  <si>
    <t>Senior Data Architect #Dataintegration #Datamodelling #DataAnalytics #DataVisualization #Datagovernance #DataQuality</t>
  </si>
  <si>
    <t>Thetford Academy UTP</t>
  </si>
  <si>
    <t>#nordevcon @georgebernhard learning how to write good, fast @ThePSF #Python code</t>
  </si>
  <si>
    <t>Thetford, England</t>
  </si>
  <si>
    <t>Thetford University Technical Programme - Level 3 #AQA #Programming and Level 3 AQA #Business #Marketing. Offering the #TechBacc at @ThetfordAcaduk Sixth Form.</t>
  </si>
  <si>
    <t>Rodrigo Agundez</t>
  </si>
  <si>
    <t>Documentation with Sphinx is super nice! Sphinx+Pylinter=killer combo!! @Qualogy_news #python #pylinter #sphinx https://t.co/p0KKEZvsH1</t>
  </si>
  <si>
    <t>Twidere for Android #4</t>
  </si>
  <si>
    <t>Rijswijk, Nederland</t>
  </si>
  <si>
    <t>Fast Python spring network solver https://t.co/9jkEzd6fKM #python</t>
  </si>
  <si>
    <t>#python pygost 0.10: Pure Python GOST cryptographic functions library https://t.co/qhRnzWBsiY</t>
  </si>
  <si>
    <t>#python pytransform 0.2.3.2: Applies transformation to structures and writes new pdb file https://t.co/NM7hNHQDTt</t>
  </si>
  <si>
    <t>Sylvain Deville</t>
  </si>
  <si>
    <t>I love #Python, but boy, Fiji is really awesome.</t>
  </si>
  <si>
    <t>Bioinspired #CNRS researcher. Serial-freezer. Coffee drinker. Freezing stuff since 1876.</t>
  </si>
  <si>
    <t>Gadir</t>
  </si>
  <si>
    <t>AWS Lambda for Ultimate Service Oriented Architecture | Toptal https://t.co/oIPoHwqlvq #AWS #AWSLambda #AmazonS3 #Python #SOA via @toptalllc</t>
  </si>
  <si>
    <t>Atlanta</t>
  </si>
  <si>
    <t>Romain Sabathé</t>
  </si>
  <si>
    <t>A good introduction to association rule learning using #python https://t.co/60Se98TeWs #datamining</t>
  </si>
  <si>
    <t>Software engineer specialized in data science and machine learning. I love data analysis, tech and science in general!</t>
  </si>
  <si>
    <t>Bridge Global</t>
  </si>
  <si>
    <t>Bayes’ theorem implementation in python https://t.co/j6jazmLHUT @Bridge_Tweed #Bayestheorem #python #Bayesrule https://t.co/akZYQp7LDG</t>
  </si>
  <si>
    <t>We help you to build your own team with developers in Ukraine or India</t>
  </si>
  <si>
    <t>Hot Source</t>
  </si>
  <si>
    <t>RT @ThetfordUTP: #nordevcon @georgebernhard learning how to write good, fast @ThePSF #Python code</t>
  </si>
  <si>
    <t>Norwich, Norfolk</t>
  </si>
  <si>
    <t>Norfolk's #innovation forum - creative, digital and tech community sharing ideas and learning. Tweets by @HuwSayer http://t.co/9EV0nysNo8</t>
  </si>
  <si>
    <t>Issue with r.watershed run by QGIS-Python-processing.runalg https://t.co/Exc6ZObebZ #python</t>
  </si>
  <si>
    <t>Machine Learning Bot</t>
  </si>
  <si>
    <t>RT @RomainSabathe: A good introduction to association rule learning using #python https://t.co/60Se98TeWs #datamining</t>
  </si>
  <si>
    <t>MachinelearningBot</t>
  </si>
  <si>
    <t>I retweet everything about Machine Learning, Deep Learning, AI, Big data, Analytics.</t>
  </si>
  <si>
    <t>Randy Deutsch</t>
  </si>
  <si>
    <t>Someone show this chap how to create a data tree in @DynamoBIM with #Python node https://t.co/QoT7P7unHL #AEC #BIM #dynamobim</t>
  </si>
  <si>
    <t>Winnetka IL (north of Chicago)</t>
  </si>
  <si>
    <t>architect, author, blogger, collaborator, connector, content curator, creator, data-driven designer, educator, facilitator; likes to alphabetize</t>
  </si>
  <si>
    <t>Not another ‘Big Data’ article https://t.co/oqrbDQgiDL @memeburn #BigData #RealEstate #Python #ArtificialIntelligence #Machinelearning #IRR</t>
  </si>
  <si>
    <t>Mun</t>
  </si>
  <si>
    <t>#SegaGenesis / #Megadrive programming</t>
  </si>
  <si>
    <t>#CyberMonday #sale Programming the Raspberry Pi: Getting Started with #Python https://t.co/c7PVj7pdwu #book #deals</t>
  </si>
  <si>
    <t>#Python: get all months in range? #Tech #News #HowTo https://t.co/SZgLTarInY</t>
  </si>
  <si>
    <t>#Python remove brackets and quotes from list item #Tech #News #HowTo https://t.co/xc4YtdgthJ</t>
  </si>
  <si>
    <t>RT @SeiichiShiga: Not another ‘Big Data’ article https://t.co/oqrbDQgiDL @memeburn #BigData #RealEstate #Python #ArtificialIntelligence #Ma…</t>
  </si>
  <si>
    <t>#Python: get all months in range? #Tech #Question #HowTo https://t.co/h5JQpjD4S9</t>
  </si>
  <si>
    <t>#Python remove brackets and quotes from list item #Tech #Question #HowTo https://t.co/ovx02QdVoK</t>
  </si>
  <si>
    <t>Stephanus Schulte</t>
  </si>
  <si>
    <t>SociabbleApp</t>
  </si>
  <si>
    <t>Windows und Internet Explorer</t>
  </si>
  <si>
    <t>Sumit Singhal</t>
  </si>
  <si>
    <t>Python and Apache Hadoop: A State of the Union https://t.co/K2Ejm1CeZb #python #hadoop #bigdata #analytics</t>
  </si>
  <si>
    <t>Experienced IT Professional,Analytics Enthusiast, Entrepreneur</t>
  </si>
  <si>
    <t>Eduardo Sánchez</t>
  </si>
  <si>
    <t>Exploit Remote Windows PC using PSploitGen https://t.co/OInvFxsclE #python #metasploit #shellcode #payloads</t>
  </si>
  <si>
    <t>Córdoba - Spain</t>
  </si>
  <si>
    <t>Ing.Informático/Profesor de F.P. Apasionado de la Seguridad, sobre todo la Androide. Organizador de @HackandBeers y @QurtubaCon ! Miembro/fundador de @ANPhacket</t>
  </si>
  <si>
    <t>#Python 関数の引数に * をつけると配列とタプル、 ** をつけると辞書を展開する。func(*[1,2]) は func(1,2) と同意。func(**{'a':1,'b':2}) は func(a=1,b=2) と同意。 [12]</t>
  </si>
  <si>
    <t>RT @sumitsinghal: Python and Apache Hadoop: A State of the Union https://t.co/K2Ejm1CeZb #python #hadoop #bigdata #analytics</t>
  </si>
  <si>
    <t>SanFranTechJobs</t>
  </si>
  <si>
    <t>Software Engineer @Opendoor in San Francisco, CA https://t.co/0gOCtH8u5G #Javascript #Ruby #Python</t>
  </si>
  <si>
    <t>Automate the Boring Stuff with Python Programming ☞ https://t.co/aRuuw51ZEY #python #programming https://t.co/cZbD9GG3nF</t>
  </si>
  <si>
    <t>Learning Coupon</t>
  </si>
  <si>
    <t>Automate the Boring Stuff with Python Programming ☞ https://t.co/YU39o0IR01 #python #programming https://t.co/5lHWDXIUJ7</t>
  </si>
  <si>
    <t>Imagine Games</t>
  </si>
  <si>
    <t>Indie game dev behind Brutal Smile on gamejolt working on A.I. a 3-d puzzle platformer story about what A.I. would do if it had desire.</t>
  </si>
  <si>
    <t>Tech for Life</t>
  </si>
  <si>
    <t>On Monday @philjeffes is running #Python II session as part of the 6 week Understanding Code Course @campusnorthuk https://t.co/WbRf3Y3BfB</t>
  </si>
  <si>
    <t>Newcastle Upon Tyne, England</t>
  </si>
  <si>
    <t>UK wide initiative providing communities with access to peer support, tech skills &amp; business mentorship Founded by @ignite100 @campusnorthuk Tweets: @gemmaneams</t>
  </si>
  <si>
    <t>KanedaFr</t>
  </si>
  <si>
    <t>Homebrew Sega Genesis / Megadrive development since 1998 !</t>
  </si>
  <si>
    <t>makhdum shaikh</t>
  </si>
  <si>
    <t>RT @datoinc: 50 machine learning and data science cheat sheets: https://t.co/Z6FwUWUOBk #python #R #SQL #Scala #Spark #Hadoop #Django #mach…</t>
  </si>
  <si>
    <t>West Midlands, England</t>
  </si>
  <si>
    <t>Massive data and data technology geek!! Currently studying MSc in Data Science and working for possibly the best team in the world.</t>
  </si>
  <si>
    <t>#Python dictionary like Json #Tech #News #HowTo https://t.co/eo2T4y8sWw</t>
  </si>
  <si>
    <t>#Python dictionary like Json #Tech #Question #HowTo https://t.co/Cinugy3FJp</t>
  </si>
  <si>
    <t>Naoto Ida</t>
  </si>
  <si>
    <t>My eyes hurt. It's karaoke night. Alone. #raspberrypi #pimoroni #unicornhat #python… https://t.co/axR2M8YLNt</t>
  </si>
  <si>
    <t>Japanese Web/iOS/Android developer, comic book geek, gamer, guitarist. Currently @96_Problems. Follow me on Github!</t>
  </si>
  <si>
    <t>John Stevenson</t>
  </si>
  <si>
    <t>Top #python tip at @NorDevCon - Use Python 3 &amp; keep @russel_winder happy (and yourself) #nordevcon</t>
  </si>
  <si>
    <t>London, UK (North Yorkshire)</t>
  </si>
  <si>
    <t>Speaker, author, conference organiser &amp; community obsessed developer. Love Clojure, Emacs, Cats, Cycling &amp; Agile development. @Heroku @SalesforceDevs #Trailhead</t>
  </si>
  <si>
    <t>coSfera</t>
  </si>
  <si>
    <t>#Tomandonota :) RT @manejandodatos: @GDGCordobaESP @betabeersODB @coSfera Cuando uno de #Python?</t>
  </si>
  <si>
    <t>Córdoba, Valencia</t>
  </si>
  <si>
    <t>Espacio de coworking orientado a la innovación digital y social, para conectar, inspirar y transformar. Más info en http://t.co/717n8hVQ6D</t>
  </si>
  <si>
    <t>Richard Spence</t>
  </si>
  <si>
    <t>@danhilton you have got too many spaces there for a start #python</t>
  </si>
  <si>
    <t>Nailsworth, Gloucestershire</t>
  </si>
  <si>
    <t>Mobile Charlie, Android, node.js, scala, groovy, java, Ukulele Salesman and Pastafarian</t>
  </si>
  <si>
    <t>Rogerio J. Gentil</t>
  </si>
  <si>
    <t>3º OpenTalks Disruptive Networking S2IT e @opensanca sobre #Docker e Processamento Distribuído com #Python. Dia 1/3 https://t.co/cYntzVBA2L</t>
  </si>
  <si>
    <t>São Carlos - SP</t>
  </si>
  <si>
    <t>Matemático Computacional por formação, Técnico em TI por profissão e Músico por paixão.</t>
  </si>
  <si>
    <t>RT for more Automate the Boring Stuff with Python Programming ☞ https://t.co/RKY1EuRI8d #python #programming https://t.co/DQq4LKE5wF</t>
  </si>
  <si>
    <t>Automate the Boring Stuff with Python Programming ☞ https://t.co/CKVKi551Bd #python #programming https://t.co/a7w69XZvhB</t>
  </si>
  <si>
    <t>RT @importpython: Import Python Issue 62 is here https://t.co/A0AfG3T1Q7 #Python #pep8 #Docker #europython #NBA #Django #flask #jobs</t>
  </si>
  <si>
    <t>"TypeError: expected bytes, bytearray found" Whatever happened to duck typing? Thanks for forcing all those copies/allocs on me. #python</t>
  </si>
  <si>
    <t>Jack Gallagher</t>
  </si>
  <si>
    <t>Opportunities at @Accenture_Irl Centre For Innovation looking to speak with Data Scientists #datascientists #python #machinelearning</t>
  </si>
  <si>
    <t>Recruiter - Centre For Innovation - Accenture</t>
  </si>
  <si>
    <t>RT @PyData: Applications for Diversity Scholarships for @PyDataMad close on March 4th! Apply here: https://t.co/8P2vIqgsya #python #datasci…</t>
  </si>
  <si>
    <t>RT @ContinuumIO: . @ch_doig presents Data #Visualization in #Python w/ Dask + Datashader @ UT Scientific Software Days Con 2/25: https://t.…</t>
  </si>
  <si>
    <t>RT @coupon_udemy: RT for more Automate the Boring Stuff with Python Programming ☞ https://t.co/RKY1EuRI8d #python #programming https://t.c…</t>
  </si>
  <si>
    <t>RT @DiscountUdemy: Automate the Boring Stuff with Python Programming ☞ https://t.co/CKVKi551Bd #python #programming https://t.co/a7w69XZvhB</t>
  </si>
  <si>
    <t>"A quick check on __eq__()" via #Python https://t.co/0OP6OuoYMa</t>
  </si>
  <si>
    <t>RT @TechforLifeUK: On Monday @philjeffes is running #Python II session as part of the 6 week Understanding Code Course @campusnorthuk https…</t>
  </si>
  <si>
    <t>RT @anioko1: Want to teach #python or #JavaScript or #java or #ruby or #perl in #London #UK? Create a class on https://t.co/KTpxc8BPKr teac…</t>
  </si>
  <si>
    <t>#AdWords #jobs Naive Bayes Classifier | #Python Projects5 by careerguide15 https://t.co/lp9WvjNWU0</t>
  </si>
  <si>
    <t>[b0t]Python Stuff https://t.co/h8vcndp22U #python</t>
  </si>
  <si>
    <t>Developer TV</t>
  </si>
  <si>
    <t>Automate the Boring Stuff with Python Programming ☞ https://t.co/L2B6xVuWtU #python #programming https://t.co/qGDCfVPJIS</t>
  </si>
  <si>
    <t>RT @eduSatoe: Exploit Remote Windows PC using PSploitGen https://t.co/OInvFxsclE #python #metasploit #shellcode #payloads</t>
  </si>
  <si>
    <t>Healthcare IT security. I retweet #infosec stuff from smart people so that I may keep learning. Iraq veteran, 1st Recon Battalion 2003. I ❤ Boston Terriers.</t>
  </si>
  <si>
    <t>#python appier_extras 0.5.1: Appier Framework Extra Elements https://t.co/QU1qF5ul8V</t>
  </si>
  <si>
    <t>#python bluepyopt 0.103: Bluebrain Python Optimisation Library (bluepyopt) https://t.co/sp0MneQUom</t>
  </si>
  <si>
    <t>#python opal 0.5.5: A web framework for building highly usable healthcare applications. https://t.co/eYVlfHWRlw</t>
  </si>
  <si>
    <t>#python rapid-router https://t.co/U1jSDD4CLm.dev101 https://t.co/xTA6hrLpyT</t>
  </si>
  <si>
    <t>#python pyspeedtest 1.2.3: https://t.co/xwuJsEh5bM Python script https://t.co/iMQ8B1glHo</t>
  </si>
  <si>
    <t>#python qqpat 1.506: Python Financial Performance Analysys Tool https://t.co/am2QJkMMV4</t>
  </si>
  <si>
    <t>#python django-cymysql 0.4.0: Django database backend for cymysql https://t.co/rgQlpUBbh4</t>
  </si>
  <si>
    <t>#python django-facebook-auth 3.8.1: Authorisation app for Facebook API. https://t.co/XCzTsYRKnQ</t>
  </si>
  <si>
    <t>#python geoval 0.1: geoval - python based geodata evaluation package https://t.co/5xb7BpQ0aU</t>
  </si>
  <si>
    <t>#python runcorn 0.2: Simple Process Monitor https://t.co/ucjWloaVX8</t>
  </si>
  <si>
    <t>The Future of #Desktop Applications” https://t.co/AriADgyGIk #python https://t.co/M1cfz8TMof</t>
  </si>
  <si>
    <t>Do you love dot notation in #Python like I do? https://t.co/0MPWwAeHFM</t>
  </si>
  <si>
    <t>Oddur Augustsson</t>
  </si>
  <si>
    <t>What have the #EU ever done for us!? #Python @berniegerm https://t.co/OXtyHhwOeF</t>
  </si>
  <si>
    <t>Brisbane Queensland Australia</t>
  </si>
  <si>
    <t>A seeker. Finds great enjoyment in community singing.</t>
  </si>
  <si>
    <t>Nadya Kanarieva</t>
  </si>
  <si>
    <t>Data Science Skills in Demand for 2016 - predictions by @BDAnalyticsnews https://t.co/ei0QaEL5SZ #BigData #Hadoop #SQL #python</t>
  </si>
  <si>
    <t>#BSS/ #OSS/ #SDN/ #IoT/ #BigData Specialist Headhunter. Passionate about empathetic and quality-obsessed recruitment. Enemy of cold calls.</t>
  </si>
  <si>
    <t>Dicky Mahardhika</t>
  </si>
  <si>
    <t>#pythons #python #greentreepython #chondro #reptile #reptiles #reptilelover #reptillian #snake… https://t.co/SF85Tlsalt</t>
  </si>
  <si>
    <t>ÜT: -6.245891,106.795582</t>
  </si>
  <si>
    <t>The Future of #Desktop Applications” https://t.co/6Gkk1ILqrr #python https://t.co/P7LKVBEyug https://t.co/kW2Ht7x2or</t>
  </si>
  <si>
    <t>RT @HarriSrivastav: The Future of #Desktop Applications” https://t.co/AriADgyGIk #python https://t.co/M1cfz8TMof</t>
  </si>
  <si>
    <t>A quick check on __eq__() https://t.co/HaHwIE7Tgp #Python Hi, I'm writing an eq function for a custom object I've put together, and nee…</t>
  </si>
  <si>
    <t>#snake #snakeofinstagram #snakes #python #pythonsofinstagram #pythons #greentreepython #chondro… https://t.co/FBxgyvE4on</t>
  </si>
  <si>
    <t>John Murray</t>
  </si>
  <si>
    <t>Blisteringly fast building classification from @dataenvagency #LiDAR #opendata using @nvidia #CUDA @GPUComputing in #Python with PyCUDA</t>
  </si>
  <si>
    <t>Chester, UK</t>
  </si>
  <si>
    <t>Data Science practitioner at @FusionDataSci #opendata advocate #statistics #databases #geospatial #gis #machinelearning #foi #dpa #datasecurity Tweets personal.</t>
  </si>
  <si>
    <t>Chris Glass</t>
  </si>
  <si>
    <t>There's a special place in hell for people using #python global variables, atexit and ZCML.</t>
  </si>
  <si>
    <t>Bern, Switzerland</t>
  </si>
  <si>
    <t>I love elegant code, light syntax and dark humor. Software Engineer at @canonical</t>
  </si>
  <si>
    <t>Today in #Ruby, #Rails, &amp; #Python is out! https://t.co/ScxPPcS6BG Stories via @lecamerone @rossta @atakig</t>
  </si>
  <si>
    <t>RT @Talent_Digger: Data Science Skills in Demand for 2016 - predictions by @BDAnalyticsnews https://t.co/ei0QaEL5SZ #BigData #Hadoop #SQL …</t>
  </si>
  <si>
    <t>kemar</t>
  </si>
  <si>
    <t>PEP 0448 "it vastly simplifies types of "addition" such as combining dictionaries" #python 3.5 https://t.co/kKZVBgL1DK</t>
  </si>
  <si>
    <t>http://t.co/7IeP6gGFIb</t>
  </si>
  <si>
    <t>RT @kefukar: How To Code Your Own Personal Assistant Using #Python Programming https://t.co/7au74CvrvZ</t>
  </si>
  <si>
    <t>Josh Wedekind</t>
  </si>
  <si>
    <t>What I love most about Open Source? Being able to modify the #code. What I love most about #Python? Not being afraid to. #dev</t>
  </si>
  <si>
    <t>Web Developer. Entrepreneur. The most interested man in the world!</t>
  </si>
  <si>
    <t>APIEcho</t>
  </si>
  <si>
    <t>RT @CloudNumNine: #Python Is Not C: Take Two https://t.co/687ly13uhO https://t.co/ABNfrI8KTc</t>
  </si>
  <si>
    <t>pfrock-plugin-static - static http mock plugin for pfrock pypi: https://t.co/hVhkYRg96A www: https://t.co/sQC7vtsvg5 #python</t>
  </si>
  <si>
    <t>#Python : Broke phone troubleshooting app #Tech #News #HowTo https://t.co/aU90JfhysV</t>
  </si>
  <si>
    <t>RT @py3k: pfrock-plugin-static - static http mock plugin for pfrock pypi: https://t.co/hVhkYRg96A www: https://t.co/sQC7vtsvg5 #python</t>
  </si>
  <si>
    <t>Gil Guilherme</t>
  </si>
  <si>
    <t>How to merge dictionaries in python: examples and explanations https://t.co/N0UpvgfD8J #python #goodpractices</t>
  </si>
  <si>
    <t>Faro, Portugal</t>
  </si>
  <si>
    <t>Fullstack Web Developer during the day (#django, #SEO, #entrepreneur)... Salsa teacher at night :)</t>
  </si>
  <si>
    <t>zintoo</t>
  </si>
  <si>
    <t>Russel Winder</t>
  </si>
  <si>
    <t>RT @jr0cket: Top #python tip at @NorDevCon - Use Python 3 &amp; keep @russel_winder happy (and yourself) #nordevcon</t>
  </si>
  <si>
    <t>Independent consultant, analyst, author, trainer, expert witness -- programming, software development, build and version control.</t>
  </si>
  <si>
    <t>Alexandre Baron</t>
  </si>
  <si>
    <t>Je ne connaissais pas Pyjobs, une plate-forme pour rechercher un job #Python. Bon à savoir https://t.co/iifUFt4fmA</t>
  </si>
  <si>
    <t>Le panda gentleman du Scylardor. Je développe en regardant Dr Who et Star Trek. La route est longue, mais la voie est libre ! @Epitech @Lyon 2015</t>
  </si>
  <si>
    <t>Jean-François Puget</t>
  </si>
  <si>
    <t>How To Highlight Jupyter Code In Blogs https://t.co/9FKbMGom64 #python #blogging</t>
  </si>
  <si>
    <t>Saint Raphael, France</t>
  </si>
  <si>
    <t>PhD, Chief Architect, IBM Analytics Solutions. Making predictive and prescriptive analytics pervasive. Views are my own.</t>
  </si>
  <si>
    <t>How to Tell What Time a Phone is Displaying #Python https://t.co/s5UedwmXKb</t>
  </si>
  <si>
    <t>Идиоматических способ для слияния словарей в Python: https://t.co/pB9tLuIc7e #python</t>
  </si>
  <si>
    <t>Jonathan</t>
  </si>
  <si>
    <t>RT @_kemar: PEP 0448 "it vastly simplifies types of "addition" such as combining dictionaries" #python 3.5 https://t.co/kKZVBgL1DK</t>
  </si>
  <si>
    <t>Décideur mou.</t>
  </si>
  <si>
    <t>In frame: #forteofficial keychain and phone case in matching color #electricblue #python #leathergoods #iphone #sam… https://t.co/LsW0HoiiBa</t>
  </si>
  <si>
    <t>s33d</t>
  </si>
  <si>
    <t>Python Career</t>
  </si>
  <si>
    <t>Director of Digital Technology @ New York, NY, United States https://t.co/2MNuxLDYYR #pycareer #python #javascript #jobs</t>
  </si>
  <si>
    <t>a platform to build python career</t>
  </si>
  <si>
    <t>Alison</t>
  </si>
  <si>
    <t>#CodeLikeAGirl Sat 3/5 in #Syracuse: free intro #Python class for #women @thetechgarden, no experience necessary! https://t.co/UAoVwR9K6e</t>
  </si>
  <si>
    <t>developer of web stuffs, fan of the Bills, Orange, Caps, and Nats... #CodeLikeAGirl</t>
  </si>
  <si>
    <t>puzzle - A new secret project :P pypi: https://t.co/oRu7TJSUYQ www: https://t.co/CJo6OYSBqi #python</t>
  </si>
  <si>
    <t>#python geoval 0.0.9: geoval - python based geodata evaluation package https://t.co/jGiYStVQrr</t>
  </si>
  <si>
    <t>#python enerdata 0.8.11: UNKNOWN https://t.co/KKvpqAT6Vz</t>
  </si>
  <si>
    <t>#python pycricket 1.1.1: Cricket API Library https://t.co/VkQBZVGjYi</t>
  </si>
  <si>
    <t>#python pfrock-plugin-static 0.2.1.dev4: static http mock plugin for pfrock https://t.co/dyrJxymjFh</t>
  </si>
  <si>
    <t>#python pengguangxingnester 1.4.0: A simple printer of nested lists https://t.co/BRnjiA3kxL</t>
  </si>
  <si>
    <t>CIRCA St Andrews</t>
  </si>
  <si>
    <t>RT @JFPuget: How To Highlight Jupyter Code In Blogs https://t.co/9FKbMGom64 #python #blogging</t>
  </si>
  <si>
    <t>St Andrews, Scotland, UK</t>
  </si>
  <si>
    <t>Centre for Interdisciplinary Research in Computational Algebra, University of St Andrews. Also tweeting GAP-related news as @gap_system.</t>
  </si>
  <si>
    <t>#python compound regex to extract text between different tags in different documents #Tech #News #HowTo https://t.co/r0LPQ33GPt</t>
  </si>
  <si>
    <t>pfrock-static-plugin - static http mock plugin for pfrock pypi: https://t.co/cPtxdbFY3J www: https://t.co/sQC7vtsvg5 #python</t>
  </si>
  <si>
    <t>JobLinkUK</t>
  </si>
  <si>
    <t>GiffGaff is looking for a Business #IntelligenceAnalyst in Uxbridge! - https://t.co/gCTKMT53AS #SQL #Tableau #Python #techjobs</t>
  </si>
  <si>
    <t>Providing a direct link to jobs in #technology, #computing, #marketing, #business</t>
  </si>
  <si>
    <t>#python compound regex to extract text between different tags in different documents #Tech #Question #HowTo https://t.co/cJHpZs47j7</t>
  </si>
  <si>
    <t>Vee Satayamas</t>
  </si>
  <si>
    <t>Amphoe Mueang Rayong</t>
  </si>
  <si>
    <t>NLP/NLProc; Text analytics; Ruby, Rust, Lisp</t>
  </si>
  <si>
    <t>Think3dPrint3d</t>
  </si>
  <si>
    <t>Peterborough</t>
  </si>
  <si>
    <t>Think3DPrint3D designs and supplies 3DPrinter parts and kits. We believe in opensource hardware and support the continued development of RepRap.</t>
  </si>
  <si>
    <t>Pavel D.</t>
  </si>
  <si>
    <t>Whoa! Merging dicts in #Python 3.5 (PEP 448): https://t.co/iYcTdOHAg4</t>
  </si>
  <si>
    <t>Software and Telecom Engineer. #staticweb enthusiast. Tweets about Programming, Jekyll, and outer space.</t>
  </si>
  <si>
    <t>RT @LearningCoupon: Automate the Boring Stuff with Python Programming ☞ https://t.co/YU39o0IR01 #python #programming https://t.co/5lHWDXIU…</t>
  </si>
  <si>
    <t>Dan Newman</t>
  </si>
  <si>
    <t>Michele Mantovan</t>
  </si>
  <si>
    <t>Yesterday I tried Renpy for the first time @renpytom. I can't wait to see what you can do with it. BTW I love #python #gamedev</t>
  </si>
  <si>
    <t>Game developer &amp; designer. Currently working on a mobile game for Android and IOS using Unity. Movie fanatic.</t>
  </si>
  <si>
    <t>Anthony Elizondo</t>
  </si>
  <si>
    <t>why if you define a variable w/ "global foo" in the global namespace, it doesn't give a warning? it isn't doing anything, is it? #python</t>
  </si>
  <si>
    <t>sysadmin, geek, ruby, vmware, freebsd, pop culture, startups, hockey, burritos, beer, gadgets, movies, environment, arduino, อาหาร, comida española, and you.</t>
  </si>
  <si>
    <t>RT @py3k: puzzle - A new secret project :P pypi: https://t.co/oRu7TJSUYQ www: https://t.co/CJo6OYSBqi #python</t>
  </si>
  <si>
    <t>RT @py3k: pfrock-static-plugin - static http mock plugin for pfrock pypi: https://t.co/cPtxdbFY3J www: https://t.co/sQC7vtsvg5 #python</t>
  </si>
  <si>
    <t>Web файловый менеджер Sprut.IO в ##OpenSource https://t.co/QSFMR0SYZN #хостинг #вебразработка #python</t>
  </si>
  <si>
    <t>Velinda Kamath</t>
  </si>
  <si>
    <t>Exclusive 50% #discount on Learning Spring Boot &amp; #Python #testing #Cookbook Visit https://t.co/4TPg4dZ4sy #Spring #MVC #JMS #SSL</t>
  </si>
  <si>
    <t>Senior Online Marketing Executive @packtpub | Researcher | Tech Book Promoter | Follow me for #Packt Book updates | velindak@packtpub.com</t>
  </si>
  <si>
    <t>RT @theplafone: Yesterday I tried Renpy for the first time @renpytom. I can't wait to see what you can do with it. BTW I love #python #game…</t>
  </si>
  <si>
    <t>Evan Bianco</t>
  </si>
  <si>
    <t>Getting weird looks in public when discussing whether a twin is the same thing as a parasite. (RE: Matplotlib figure axes (#Python))</t>
  </si>
  <si>
    <t>Nova Scotia, Canada</t>
  </si>
  <si>
    <t>Agile* | Seis-matters | Earth | Subsurface | Science | Tech | Knowledge Sharing |</t>
  </si>
  <si>
    <t>Coding Jarvis in Python in 2016 https://t.co/VLOVOMDQxh #python #machinelearning #ArtificialIntelligence</t>
  </si>
  <si>
    <t>LearnGameDev</t>
  </si>
  <si>
    <t>AprenderGDV</t>
  </si>
  <si>
    <t>Do you want a retweet? Follow me &amp; post to my tags: #gamedev #gameArt &amp; more. DM me for reasonable rates for promoting your game, service or YouTube channel!</t>
  </si>
  <si>
    <t>Sébastien Douche</t>
  </si>
  <si>
    <t>C-API Support update #pypy #python - https://t.co/m4fR3R9wt3</t>
  </si>
  <si>
    <t>I'm a good bad bad boy.</t>
  </si>
  <si>
    <t>Daniel Whitenack</t>
  </si>
  <si>
    <t>Feeling the pain of @awscloud S3 Frankfurt having a different authorization mechanism than other regions. Super annoying in #python. #data</t>
  </si>
  <si>
    <t>Data scientist @telnyx, Data consultant, @golang developer, Mentor @thinkful, Physicist</t>
  </si>
  <si>
    <t>plone.namedfile: Handle File and Image fields targeting, but not depending on, Plone Dexterity content #Python https://t.co/4enBYr86hV</t>
  </si>
  <si>
    <t>#G2P the new #F2P</t>
  </si>
  <si>
    <t>Twitter RT bot - DInspiration</t>
  </si>
  <si>
    <t xml:space="preserve">#AppStore </t>
  </si>
  <si>
    <t>I echo your words in this noisy world, via RT's &amp; hearts for #gamedev tweets (by @iCartic)</t>
  </si>
  <si>
    <t>veronique nadeau</t>
  </si>
  <si>
    <t>2 hours before @antonmc session at #ConFoo. Exploring David Bowie's lyrics with #Python, Watson &amp; #Bluemix</t>
  </si>
  <si>
    <t>Montréal</t>
  </si>
  <si>
    <t>Directrice principale de comptes IBM</t>
  </si>
  <si>
    <t>#Python - Panda's dataframes - generate column with group level information: #HowTo https://t.co/BtYiO5QZHB</t>
  </si>
  <si>
    <t>HackLab Almería</t>
  </si>
  <si>
    <t>RT @vicmagv: Leveling up my django skills in the train! #python @Indavelopers @HackLabAl https://t.co/vk0hXW17eN</t>
  </si>
  <si>
    <t>Almería, España</t>
  </si>
  <si>
    <t>colectivo de experimentación tecnológica, social y creativa</t>
  </si>
  <si>
    <t>Astrotweeps: Matthew</t>
  </si>
  <si>
    <t>I wrote the animation in #python and #matplotlib . For a week or so I was the world's expert at Artist instances :) https://t.co/YnWTQ1YsjN</t>
  </si>
  <si>
    <t xml:space="preserve">The Universe </t>
  </si>
  <si>
    <t>Matthew Kenworthy • @mattkenworthy • https://t.co/xxir3lJ15E • A new astronomer/planetary scientist tweeting about space each week.</t>
  </si>
  <si>
    <t>#Python - Panda's dataframes - generate column with group level information #Tech #News #HowTo https://t.co/tp3BQvFIoF</t>
  </si>
  <si>
    <t>[b0t]Using SQLAlchemy and Pandas to create a database for your Flask app https://t.co/K9Grg87wDz #python</t>
  </si>
  <si>
    <t>#Python - Panda's dataframes - generate column with group level information #Tech #Question #HowTo https://t.co/xZMacMirHL</t>
  </si>
  <si>
    <t>setto</t>
  </si>
  <si>
    <t>#snake #python #reptil #animal #pet #petlovers #PUP #retic #reticulatedpython #morph #normal… https://t.co/aqzEZaJ2Od</t>
  </si>
  <si>
    <t>pontianak, indonesia</t>
  </si>
  <si>
    <t>gak ganteng, gak pinter, gak kaya.. tapi agak beruuntung doang :D</t>
  </si>
  <si>
    <t>draw - TensorFlow Implementation of "DRAW: A Recurrent Neural Network For Image Generation" https://t.co/Yx6PgEXzRX #python</t>
  </si>
  <si>
    <t>Generator expression question https://t.co/BSlBP0vMsh #Python Hiya, I'm not very experienced with python and had a question on a piece o…</t>
  </si>
  <si>
    <t>"Generator expression question" via #Python https://t.co/E4qRzdHZmv</t>
  </si>
  <si>
    <t>Victor Perez</t>
  </si>
  <si>
    <t>Ingeniero en Sistemas, Desarrollador web y apps, hidalgense y desde hace 10 años radicando en el df, mezcla entre reponsabilifad, pasion, optimismo y coraje</t>
  </si>
  <si>
    <t>pfrock-proxy-plugin - proxy http mock plugin for pfrock pypi: https://t.co/8mb0i74nFh www: https://t.co/ZWwKzcT7uu #python</t>
  </si>
  <si>
    <t>Any idea on how to send email confirmation with #python @djangoproject -allauth after a user changes their email? https://t.co/tyHQ8ouqoz</t>
  </si>
  <si>
    <t>Stephanie Hazlewood</t>
  </si>
  <si>
    <t>Toronto, ON</t>
  </si>
  <si>
    <t>STSM, IBM Analytics - Collaborator, inventor, instigator of change. Nerdmom to a couple mini martial artists. All opinions are my own.</t>
  </si>
  <si>
    <t>Christian Knudsen</t>
  </si>
  <si>
    <t>Inhouse training on #programming &amp; #python. Local guru Henrik is holding our hands. #datalibs https://t.co/knSlQrRR1l</t>
  </si>
  <si>
    <t>Denmark</t>
  </si>
  <si>
    <t>Head of the Pharmaceutical Library @ #UCPH. Trekkie, chemical engineer, datajunkie and nerd.</t>
  </si>
  <si>
    <t>Data and Data Viz</t>
  </si>
  <si>
    <t>dataAndDataViz</t>
  </si>
  <si>
    <t>Follow DataAndDataViz for selected tweets on data and data visualization. RT does not imply endorsement. Created by @dirkmjk_data</t>
  </si>
  <si>
    <t>Michael Jack</t>
  </si>
  <si>
    <t>.@GeneralBrae talking about customising Rekall with his favourite programming langue #Python #SecuriTayV https://t.co/6GhcfXWBQB</t>
  </si>
  <si>
    <t>Hacker at Abertay (@AbertayHackers), purveyor of crypto &amp; tequila. No llama sacrifices.</t>
  </si>
  <si>
    <t>The story behind WinKerberos, Bernie Hackett's new #Python Kerberos lib for Windows https://t.co/MmFVwO7drV https://t.co/GvVhnA56V1</t>
  </si>
  <si>
    <t>Sabina Gaibova</t>
  </si>
  <si>
    <t>#python #pynsk Как и обещал, анонсирую новый проект от PyNSK...</t>
  </si>
  <si>
    <t>Сержик</t>
  </si>
  <si>
    <t>RandolphAlexander</t>
  </si>
  <si>
    <t>Savand Bros.</t>
  </si>
  <si>
    <t>#python language be like https://t.co/TVJ3E40M0Z</t>
  </si>
  <si>
    <t>Web Hosting service provider, SSD VPS, SSL Certificates.</t>
  </si>
  <si>
    <t>Christian Lauersen</t>
  </si>
  <si>
    <t>Hey #ucph students and researchers, we got some good stuff cooking for you #python https://t.co/8hjfsjERAD</t>
  </si>
  <si>
    <t>Copenhagen</t>
  </si>
  <si>
    <t>Library director at #UCPH Social Sciences. Editor of http://t.co/AZDFDBphtL. Maker of Digital Social Science Lab. LEGO aficionado.</t>
  </si>
  <si>
    <t>AyrtonPearcy</t>
  </si>
  <si>
    <t>PressleyMonk</t>
  </si>
  <si>
    <t>Flávio Cestari</t>
  </si>
  <si>
    <t>São Paulo - SP - Brazil</t>
  </si>
  <si>
    <t>Paulista de Jardinópolis, Geek, Criativo e Fanfarrão.</t>
  </si>
  <si>
    <t>RT @py3k: pfrock-proxy-plugin - proxy http mock plugin for pfrock pypi: https://t.co/8mb0i74nFh www: https://t.co/ZWwKzcT7uu #python</t>
  </si>
  <si>
    <t>MarybethAnthony</t>
  </si>
  <si>
    <t>pfrock-http-plugin - http mock plugin for pfrock pypi: https://t.co/WRq5YAJ6wD www: https://t.co/nQrO04YwQL #python</t>
  </si>
  <si>
    <t>#python plone.namedfile 3.0.8: File types and fields for images, files and blob files with filenames https://t.co/FejWSr8FuD</t>
  </si>
  <si>
    <t>#python postcodepy 1.0.1: API-wrapper for postcode.nl REST-API to retrieve relevant address information based on… https://t.co/XqCfq58Q7R</t>
  </si>
  <si>
    <t>#python phizz 0.2.1: Tool to query hpo database and some other sources https://t.co/wkcUrrV3US</t>
  </si>
  <si>
    <t>#python mailchimp3 1.0.14: A python client for v3 of MailChimp API https://t.co/zzya3fDgI6</t>
  </si>
  <si>
    <t>#python pypqueue 2.0.0: Python interface to submit jobs to https://t.co/iA1UBZAz1v https://t.co/SkOZzym0tr</t>
  </si>
  <si>
    <t>#python woudc-extcsv 0.1.2: Python package providing read/write support of the WOUDC Extended CSV format. https://t.co/Jn0V8Cj4u3</t>
  </si>
  <si>
    <t>#python pfrock-proxy-plugin 0.2.1.dev6: proxy http mock plugin for pfrock https://t.co/MhGkps1ndg</t>
  </si>
  <si>
    <t>#python pygeobase 0.0.1.dev87: Abstract I/O class definitions. https://t.co/AcWvc44oqM</t>
  </si>
  <si>
    <t>#python seed.tensor 0.0.4: Tensor sources for Seed components https://t.co/DkWxCnoiT0</t>
  </si>
  <si>
    <t>#python pfrock-http-plugin 0.2.1.dev6: http mock plugin for pfrock https://t.co/lTEl0GVNBx</t>
  </si>
  <si>
    <t>lyuich</t>
  </si>
  <si>
    <t>pythonでオフィス快適化計画 #python https://t.co/IJNS0oI0o8 @SlideShareさんから</t>
  </si>
  <si>
    <t>So, you’ve released a broken package to PyPI. What do you do now? https://t.co/zrf3b0wwTd #Python submitted by /u/gthank[link] [comm…</t>
  </si>
  <si>
    <t>Jessamyn Smith</t>
  </si>
  <si>
    <t>RT @CodementorIO: One of our top #Python mentors shares slides from her talk about #Mentoring for a Better World #inspire #womenintech http…</t>
  </si>
  <si>
    <t>Coder, cyclist, gardener. Full time programming mentor: https://t.co/hi0yZ3VhPJ Interim CTO at https://t.co/0bVE3npw2Q Creator of https://t.co/LXlmSz8BOh</t>
  </si>
  <si>
    <t>Jorge Gonzalez Milla</t>
  </si>
  <si>
    <t>#Pentestly : un #framework que combina #Python y #Powershell para facilitar el #pentesting https://t.co/Trz0OdJCky #seguridad #hacking</t>
  </si>
  <si>
    <t>Jienense en Palma de Mallorca</t>
  </si>
  <si>
    <t>Certificado en hacking ético. Experto en tecnologías de la seguridad. Programador como profesión. Buscando trabajo de pentester y temas de seguridad y hacking.</t>
  </si>
  <si>
    <t>"So, you’ve released a broken package to PyPI. What do you do now?" via #Python https://t.co/8vvH4uAkl3</t>
  </si>
  <si>
    <t>How to save figure in #python? https://t.co/1TRBGqsOT1 #helpdatascientist #datascience https://t.co/5hTyYKquTY</t>
  </si>
  <si>
    <t>#Brighton Based Developers... We need you! Front&amp;Back End (#Python). Contact us https://t.co/NsctKhZStY #FunPMLunch https://t.co/8V59XC4CV2</t>
  </si>
  <si>
    <t>RT @py3k: pfrock-http-plugin - http mock plugin for pfrock pypi: https://t.co/WRq5YAJ6wD www: https://t.co/nQrO04YwQL #python</t>
  </si>
  <si>
    <t>Nino</t>
  </si>
  <si>
    <t>RT @jessejiryudavis: The story behind WinKerberos, Bernie Hackett's new #Python Kerberos lib for Windows https://t.co/MmFVwO7drV https://t.…</t>
  </si>
  <si>
    <t>Software Guy. Always in Run-Break-Fix mode. Football fan, huge bias to AS Roma. Available on the tip of your finger. Family come 1st.</t>
  </si>
  <si>
    <t>Security Tube</t>
  </si>
  <si>
    <t>#Python for Hackers &amp; Pentesters, https://t.co/CxZwWl3fPy Join professionals from 90+ countries! Grab Your Seat Now! https://t.co/Np5s8nIEpQ</t>
  </si>
  <si>
    <t>CyberSpace</t>
  </si>
  <si>
    <t>Comprehensive, Hands-on, Practical and Affordable infosec training. Join students from 90+ Countries: http://t.co/QVTIJZCdlx http://t.co/0vm0BnkqLa</t>
  </si>
  <si>
    <t>Alivia Smith</t>
  </si>
  <si>
    <t>Marketing Manager @dataiku - Teaching Assistant for @Nicolas_Colin @sciencespo - wanna be #geek / #innovation #data #gangsta</t>
  </si>
  <si>
    <t>Brighton Hour</t>
  </si>
  <si>
    <t>Brighton &amp; Hove, East Sussex</t>
  </si>
  <si>
    <t>Online Networking for Brighton &amp; Hove every Monday 8.30-9.30 pm. Use hashtag #BrightonHour in searches and posts to get your message seen.</t>
  </si>
  <si>
    <t>Quantum</t>
  </si>
  <si>
    <t>RT @SecurityTube: #Python for Hackers &amp; Pentesters, https://t.co/CxZwWl3fPy Join professionals from 90+ countries! Grab Your Seat Now! http…</t>
  </si>
  <si>
    <t>Research, web design, technology, American Football, Books</t>
  </si>
  <si>
    <t>RT @AnalyticsVidhya: How to save figure in #python? https://t.co/1TRBGqsOT1 #helpdatascientist #datascience https://t.co/5hTyYKquTY</t>
  </si>
  <si>
    <t>#Python Selenium crashes when element not found #Tech #News #HowTo https://t.co/M9Aw7ZTj2A</t>
  </si>
  <si>
    <t>أبو العماد</t>
  </si>
  <si>
    <t>مطور متطوع في مشاريع بوابة أعجوبة @ojuba_org أعمل في شركة Vision Advances Systems @VisionAdvSys</t>
  </si>
  <si>
    <t>Math Boost</t>
  </si>
  <si>
    <t>How to save figure in python? https://t.co/fwZW8w24Vb #python #helpdatascientist #datascience https://t.co/Ahm3nerq4V</t>
  </si>
  <si>
    <t>active-voice</t>
  </si>
  <si>
    <t>Math Boost is a math flashcard game for first grade level math. includes addition within 20.</t>
  </si>
  <si>
    <t>tidalapi4mopidy - Unofficial API for TIDAL music streaming service. pypi: https://t.co/fSPLz5XDFq www: https://t.co/lP67z8TEOj #python</t>
  </si>
  <si>
    <t>#Python Selenium crashes when element not found #Tech #Question #HowTo https://t.co/Zndie9szDF</t>
  </si>
  <si>
    <t>Tycho Tatitscheff</t>
  </si>
  <si>
    <t>joel belafa</t>
  </si>
  <si>
    <t>Data Archtect @Dataiku / OpenSource contributor / Happy Dad.</t>
  </si>
  <si>
    <t>Craig Wilson</t>
  </si>
  <si>
    <t>Christian, father, and developer currently working for @MongoDBInc.</t>
  </si>
  <si>
    <t>nicolas gakrelidz</t>
  </si>
  <si>
    <t>Montpellier</t>
  </si>
  <si>
    <t>#dataiku #datascientist #thirdpartydata</t>
  </si>
  <si>
    <t>SnapShorty</t>
  </si>
  <si>
    <t>Technology + Security +FOSS + Photograph = me</t>
  </si>
  <si>
    <t>RT @py3k: tidalapi4mopidy - Unofficial API for TIDAL music streaming service. pypi: https://t.co/fSPLz5XDFq www: https://t.co/lP67z8TEOj #p…</t>
  </si>
  <si>
    <t>Coding/Decoding the Cosmos: #Python Applications in Astrophysics [Video] https://t.co/i55bXkIWIZ</t>
  </si>
  <si>
    <t>How to save figure in python? https://t.co/fwZW8w24Vb #python #helpdatascientist #datascience https://t.co/Xu6umIIOH5</t>
  </si>
  <si>
    <t>Vinicius Braga</t>
  </si>
  <si>
    <t>RT @DjangoGirlsRio: Esta é a última semana para inscrições no melhor workshop do mundo \o/// https://t.co/FZ2KMnweIW #Python #Django https:…</t>
  </si>
  <si>
    <t>Designer no @metapixvideos e desafiando a autossabotagem para desenhar. Interesses: design, biomimética, sustentabilidade, animes e games.</t>
  </si>
  <si>
    <t>Mariano d'Amore</t>
  </si>
  <si>
    <t>On nothing have I set my heart</t>
  </si>
  <si>
    <t>RT @pythontrending: draw - TensorFlow Implementation of "DRAW: A Recurrent Neural Network For Image Generation" https://t.co/Yx6PgEXzRX #py…</t>
  </si>
  <si>
    <t>Ahmed Sherif</t>
  </si>
  <si>
    <t>Python 3 is Coming to Scrapy #python #webscraping https://t.co/Qk0DVGcgXy</t>
  </si>
  <si>
    <t>Business Intelligence Professional &amp; Data Scientist /Technical Architect @EVTechnologies / Love your neighbor https://t.co/Q1uSbfkXAz</t>
  </si>
  <si>
    <t>Check out my recorded presentation on GHCNpy, presented at #AMS2016. https://t.co/b6wzWGKAlw #Python #dataviz https://t.co/q261TReevu</t>
  </si>
  <si>
    <t>Ross Lawley</t>
  </si>
  <si>
    <t>JVM Engineer at MongoDB. Working on the Java driver, Casbah and a new Scala driver.</t>
  </si>
  <si>
    <t>Being Example</t>
  </si>
  <si>
    <t>RT @anioko1: Want to teach #python, #js or #java or #ruby or #perl in #Barcelona #BCN? Create class on https://t.co/KTpxc8BPKr #education</t>
  </si>
  <si>
    <t>BeingExample</t>
  </si>
  <si>
    <t>We are a community which want to improve by letting good examples lead Us. http://t.co/kvGFibMQXP create an user and change your local world (non-official)</t>
  </si>
  <si>
    <t>Sarah Bird</t>
  </si>
  <si>
    <t>Oakland</t>
  </si>
  <si>
    <t>geeking out, mason, social entrepreneurship, ejection seats - in roughly that order. Work with the awesome @AptivateUK @BokehPlots</t>
  </si>
  <si>
    <t>deronaucoin</t>
  </si>
  <si>
    <t>SFO - PDX</t>
  </si>
  <si>
    <t>Data scientist. Tweeting about data science, international relations, and astronomy.</t>
  </si>
  <si>
    <t>Private group teachers and tutors https://t.co/VZiUfgD2Ka #python #js #java #ruby #perl #Barcelona #BCN #education https://t.co/pDltuKUSt8</t>
  </si>
  <si>
    <t>Phil Jeffes</t>
  </si>
  <si>
    <t>Newcastle-Upon-Tyne</t>
  </si>
  <si>
    <t>Software developer in Newcastle. My free game on Android: https://t.co/LA17fGQwhU.Code Club Volunteer. Electronics Hobbyist. RPi &amp; Arduino Fanboy</t>
  </si>
  <si>
    <t>Cat Lover</t>
  </si>
  <si>
    <t>RT @MikeyJck: .@GeneralBrae talking about customising Rekall with his favourite programming langue #Python #SecuriTayV https://t.co/6GhcfXW…</t>
  </si>
  <si>
    <t>Geek before it was cool. Banker after it became uncool. I spend most days trying to get A.I. to replace my job. Sysadmin for @theplayroomblog</t>
  </si>
  <si>
    <t>ジオねこ@うじじす_geo-cat</t>
  </si>
  <si>
    <t>“PythonでESRIの日本地図(全国市区町村界データ)を加工してみる ～オープンデータを自分の欲しい形にしてみよう～ - GIS奮闘記” https://t.co/Zvagy1Aacf #ArcGIS #python #オープンデータ</t>
  </si>
  <si>
    <t>地理空間情報で社会を少しでも、よくしたいジオねこなのだ。 生息地:GIS:地理空間情報:opendata:Gov2.0:図書館:絶滅危惧種との噂も。My academic activities have centered on GIS Association of Japan for diffusion of GIS</t>
  </si>
  <si>
    <t>Juan</t>
  </si>
  <si>
    <t>Hablando de #python... Esta imagen va en una camiseta :) https://t.co/Nho0BrjIRu</t>
  </si>
  <si>
    <t>Problem solver in training.</t>
  </si>
  <si>
    <t>茶畑さんチーム</t>
  </si>
  <si>
    <t>RT @ujigis: “PythonでESRIの日本地図(全国市区町村界データ)を加工してみる ～オープンデータを自分の欲しい形にしてみよう～ - GIS奮闘記” https://t.co/Zvagy1Aacf #ArcGIS #python #オープンデータ</t>
  </si>
  <si>
    <t>フロストケイブ</t>
  </si>
  <si>
    <t>アクしろよ</t>
  </si>
  <si>
    <t>Programadores: favor incluir data na publicação de seus artigos e documentações, obrigado #webdevolper #webdev #python</t>
  </si>
  <si>
    <t>Mali Akmanalp</t>
  </si>
  <si>
    <t>Somerville, MA</t>
  </si>
  <si>
    <t>Programmer, enjoys python, open source fan, arch-enemy of messy data, all-round nerd. Fellow at @HarvardCID</t>
  </si>
  <si>
    <t>What is the "&lt;&amp;lt;" operator in python? https://t.co/9haIwTMXRd #Python I was digging around some code from other projects and came across …</t>
  </si>
  <si>
    <t>【IPythonデータサイエンスクックブック ―対話型コンピューティングと可視化のためのレシピ集/Cyrille Rossant】#Python では数値計算、データ解析、機械学習など、様々なツールを... →https://t.co/QXlWbL5Pse #bookmeter</t>
  </si>
  <si>
    <t>読書メーター</t>
  </si>
  <si>
    <t>Ginny Ghezzo</t>
  </si>
  <si>
    <t>Calling all #python #womenintech in @DurhamCounty . Sunday show &amp; tell on tools for #datascientists . Join us! https://t.co/nNtT5oD5Zg</t>
  </si>
  <si>
    <t xml:space="preserve">North Carolina </t>
  </si>
  <si>
    <t>Views are my own</t>
  </si>
  <si>
    <t>"What is the "&lt;&amp;lt;" operator in python?" via #Python https://t.co/62sUEN8RjC</t>
  </si>
  <si>
    <t>cleaREST - Light-weight Python framework for building REST apis. pypi: https://t.co/qV51g8vFG2 www: https://t.co/60d8jdSPqw #python</t>
  </si>
  <si>
    <t>Day2 #python coding club "Want to see my Magic 8 Ball game?" Showing off their cool code = worth waking up crazy early #mieexpert #coding</t>
  </si>
  <si>
    <t>Aaron Rinehart</t>
  </si>
  <si>
    <t>Washington D.C.</t>
  </si>
  <si>
    <t>Chief Executive Officer at TestBed Inc. Technology Pilots, Prototyping, Cyber Security, Design Validation. http://t.co/AEi9BIogIP</t>
  </si>
  <si>
    <t>Clarence J M Tauro</t>
  </si>
  <si>
    <t>Senior Instructor at Couchbase</t>
  </si>
  <si>
    <t>spellbook - Search and store command lines. https://t.co/lYyXyQioBs #python</t>
  </si>
  <si>
    <t>Punk Swift</t>
  </si>
  <si>
    <t>Grabe ung python medyo mapang ahas! Lol #programminglanguage #python</t>
  </si>
  <si>
    <t>Sunday @CaktusGroup at 2pm @pyladiesrdu : #Python and #DataScience Guaranteed Fun https://t.co/nNtT5oD5Zg https://t.co/2VdJwywxDl</t>
  </si>
  <si>
    <t>OpenDreamKit</t>
  </si>
  <si>
    <t>Open Digital Research Environment Toolkit for the Advancement of Mathematics</t>
  </si>
  <si>
    <t>Global Knowledge IE</t>
  </si>
  <si>
    <t>#Python Training Courses https://t.co/MBhrZyKVNr</t>
  </si>
  <si>
    <t>Worldwide leader in #ITtraining &amp; #BusinessSkills training, featuring #Cisco, #Microsoft, #Citrix, #VMware, #IBM and Best Practice including #ITIL &amp; #PRINCE2</t>
  </si>
  <si>
    <t>Learn More About #Pandas By Building and Using a Weighted Average Function https://t.co/gzkDVpS0S2 #python</t>
  </si>
  <si>
    <t>Jobs from Monster</t>
  </si>
  <si>
    <t>AboutWeb is looking for a #Python Developer(REMOTE)! Are you a fit for this #job? #SanFrancisco https://t.co/NQFZuLBRzD</t>
  </si>
  <si>
    <t>MonsterCards</t>
  </si>
  <si>
    <t>Looking for a new job? With millions of jobs on http://t.co/2SZyS9vqXs, it's easy to find yours. For career advice and job hunt tips, follow @Monster.</t>
  </si>
  <si>
    <t>Data/Python Developer - #Internship @kpler #Paris France https://t.co/HBjQuEE2rW #Python #Posgresql #SQLAlchemy #ElasticSearch #AWS</t>
  </si>
  <si>
    <t>asirikuy</t>
  </si>
  <si>
    <t>Graphically identifying trading system worst cases using qq-pat #forex #autotrading #trading https://t.co/7VgB17yheq #python</t>
  </si>
  <si>
    <t>MechanicalForexPost</t>
  </si>
  <si>
    <t>Algorithmic trading community dedicated to understanding the markets. We design algo systems using tools such as powerful GPU data-mining and machine learning.</t>
  </si>
  <si>
    <t>[b0t]Python's screwed up exception hierarchy https://t.co/m4l1tSdkBz #python</t>
  </si>
  <si>
    <t>Nico Coetzee</t>
  </si>
  <si>
    <t>RT @PythonWeekly: spellbook - Search and store command lines. https://t.co/lYyXyQioBs #python</t>
  </si>
  <si>
    <t>The best is yet to come.</t>
  </si>
  <si>
    <t>RT @py3k: cleaREST - Light-weight Python framework for building REST apis. pypi: https://t.co/qV51g8vFG2 www: https://t.co/60d8jdSPqw #pyth…</t>
  </si>
  <si>
    <t>Workshape.io Bot</t>
  </si>
  <si>
    <t>.Flubit is hiring a Data Developer in London! #python https://t.co/7Ts0byaO8u https://t.co/WoORDb9OmG</t>
  </si>
  <si>
    <t>Tweets for you from the Workshape.io platform</t>
  </si>
  <si>
    <t>Chris Taylor</t>
  </si>
  <si>
    <t>@ahepplestonTGAC Some evolutionary fundamentals to start with followed by a few courses on how to #useGalaxy then #linux, #python and #perl.</t>
  </si>
  <si>
    <t>science | standards | sharing</t>
  </si>
  <si>
    <t>.Flubit is hiring a Data Developer in London! #python https://t.co/7Ts0byaO8u https://t.co/EvWF7X4LWn</t>
  </si>
  <si>
    <t>.Flubit is hiring a Data Scientist in London! #python https://t.co/f3bPePi6HJ https://t.co/vPKg70yVP4</t>
  </si>
  <si>
    <t>.Flubit is hiring a Data Scientist in London! #python https://t.co/f3bPePi6HJ https://t.co/xdxjrTxwzy</t>
  </si>
  <si>
    <t>Python Dependency Analysis - Mapping the dependencies from every Pypi package | #python https://t.co/hZuhv9ahVw https://t.co/Fu90IqkFEG</t>
  </si>
  <si>
    <t>SA_Data_Science</t>
  </si>
  <si>
    <t>Data Scientist @Teradata #Italy #SQL #technology #DataScience #datamining #sas #Hadoop #java #python #perl #spark https://t.co/OZkcWp6mrU</t>
  </si>
  <si>
    <t>Big Data Jobs</t>
  </si>
  <si>
    <t>#Python Marcos Dione: ayrton-0.7.2.1: ayrton is an modification of the Python language that tries to make it look… https://t.co/H94fIdwD5h</t>
  </si>
  <si>
    <t>Froilan Irizarry</t>
  </si>
  <si>
    <t>RT @mjjacko: Python Dependency Analysis - Mapping the dependencies from every Pypi package | #python https://t.co/hZuhv9ahVw https://t.co/…</t>
  </si>
  <si>
    <t>Puerto Rico, USA</t>
  </si>
  <si>
    <t>DevOps @HoyosLabs, co-organizer @FullstackNights https://t.co/jNkyqs2CAI, Open Source enthusiast. founder https://t.co/ch3nSRtfGA, https://t.co/ZcSRXnU3ee</t>
  </si>
  <si>
    <t>Huub van Niekerk</t>
  </si>
  <si>
    <t>New video on my #fischertechnik #robotics walking robot using #Python: https://t.co/riC5Oi6oor</t>
  </si>
  <si>
    <t>Embedded systems and robotics engineer. Weekly blog with pictures on my website; videos on most working days.</t>
  </si>
  <si>
    <t>[b0t] Rodeo 1.3 Release Notes (TL;DR tab-completion for docstrings!) https://t.co/ach0iN81Zi #python</t>
  </si>
  <si>
    <t>RT @GinnyGhezzo: Sunday @CaktusGroup at 2pm @pyladiesrdu : #Python and #DataScience Guaranteed Fun https://t.co/nNtT5oD5Zg https://t.co/2Vd…</t>
  </si>
  <si>
    <t>Mark Lavin</t>
  </si>
  <si>
    <t>ÜT: 35.771688,-78.786686</t>
  </si>
  <si>
    <t>In life a dad, runner/triathlete and homebrewer. For work a Python/Django developer for Caktus Group.</t>
  </si>
  <si>
    <t>Joy M Whitt</t>
  </si>
  <si>
    <t>I'm going to Hear Me Code + Hello Web App tomorrow! #django #python https://t.co/X4210S1tBC</t>
  </si>
  <si>
    <t>Michigan raised | DC living | coder | developer | open data for dc gov :: social justice | national service | detroit lions | sports enthusiast</t>
  </si>
  <si>
    <t>DjangoGirls RDU</t>
  </si>
  <si>
    <t>The RDU chapter of Django Girls! Founded by Caktus Group, a Django web development firm.</t>
  </si>
  <si>
    <t>Joshua Samuel</t>
  </si>
  <si>
    <t>Hyderabad, Andhra Pradesh</t>
  </si>
  <si>
    <t>Kavitha Suresh Kumar</t>
  </si>
  <si>
    <t>RT @loggly: Did you know you can import a #Docker container in #Python? https://t.co/W8R08naA6r via @deepgramapi https://t.co/NITsTK2jKx</t>
  </si>
  <si>
    <t>IBMer, Tweets are my own #IBM #Cloud #Social #socbiz #CAMS #Support</t>
  </si>
  <si>
    <t>RT @ThoHeller: How to get started with #DataScience in #Containers. https://t.co/LfDsIPczLq #Docker #bigdata #python https://t.co/6j15JpcHro</t>
  </si>
  <si>
    <t>bytecode - Python module to modify bytecode pypi: https://t.co/gCKUq6BmMZ www: https://t.co/gvAJol9UGI #python</t>
  </si>
  <si>
    <t>RT @py3k: bytecode - Python module to modify bytecode pypi: https://t.co/gCKUq6BmMZ www: https://t.co/gvAJol9UGI #python</t>
  </si>
  <si>
    <t>【入門 Python 3/Bill Lubanovic】#Python プログラミングの入門書。Pythonはバージョン2系と3系で文字列や関数の扱いが変わり、互換性のないコードが多く存在している。2... →https://t.co/boOGTmVNy3 #bookmeter</t>
  </si>
  <si>
    <t>Jordan Lyons</t>
  </si>
  <si>
    <t>Service Oriented Architecture with AWS Lambda: A Step-by-Step Tutorial https://t.co/NLELWerH5i #AmazonS3 #AWS #AWSLambda #Python #SOA</t>
  </si>
  <si>
    <t>Orlando, FL</t>
  </si>
  <si>
    <t>Outreach Specialist at @Toptallc #tech #business #development #remotework #dev #webdesign</t>
  </si>
  <si>
    <t>KILLOVER</t>
  </si>
  <si>
    <t>Das #Python Video ist endlich online! https://t.co/34apxFNMMQ</t>
  </si>
  <si>
    <t>Nordrhein-Westfalen</t>
  </si>
  <si>
    <t>YouTuber aus Leidenschaft</t>
  </si>
  <si>
    <t>#python utcdatetime 0.0.4: Simple UTC datetimes using RFC3339 subset of ISO8601. https://t.co/diya6EG2fJ</t>
  </si>
  <si>
    <t>#python swiglpk 1.2.13: swiglpk - Simple swig bindings for the GNU Linear Programming Kit https://t.co/tkc9mEATxE</t>
  </si>
  <si>
    <t>#python klue-client-server 0.0.59: Swagger + Flask + Grequests + Bravado = Client/Server auto-spawning https://t.co/qSGmlzy03C</t>
  </si>
  <si>
    <t>#python django-any-urlfield 2.2.1: An improved URL selector to choose between internal models and external URLs https://t.co/vVmUlGdPMt</t>
  </si>
  <si>
    <t>#python django-oscar-docdata 1.2.8: Docdata Payments Gateway integration for django-oscar https://t.co/WhNduitMu5</t>
  </si>
  <si>
    <t>#python siskin 0.0.137: Various sources and workflows. https://t.co/Cwk8il0laD</t>
  </si>
  <si>
    <t>#python sankeysolver 0.1.4: Flow network / Sankey diagram solver https://t.co/taO7Nw0Dvq</t>
  </si>
  <si>
    <t>#python es-sql 1.0.1: Use sql to query from Elasticsearch https://t.co/EF2zoBc1vv</t>
  </si>
  <si>
    <t>#python ftw.redirector 1.0.1: Plone addon for redirects https://t.co/yXgIMViYWC</t>
  </si>
  <si>
    <t>#python bytecode 0.1: Python module to modify bytecode https://t.co/ZTU8ePBNCH</t>
  </si>
  <si>
    <t>Cristina Ramon</t>
  </si>
  <si>
    <t>Twitter Goggles: see twitter as someone else sees it https://t.co/wqzrbqi3Dx #python #github</t>
  </si>
  <si>
    <t>Periodista. Data, coding, economía, R, python, caos...</t>
  </si>
  <si>
    <t>Pushed a new commandlines library release that includes support for default option-argument definitions https://t.co/gCEWNKsvkR #python</t>
  </si>
  <si>
    <t>Kevlin Henney</t>
  </si>
  <si>
    <t>☉+~1au</t>
  </si>
  <si>
    <t>consultant · father · husband · itinerant · programmer · speaker · trainer · writer</t>
  </si>
  <si>
    <t>Anne Robotti</t>
  </si>
  <si>
    <t>Just added a #Python script scenario to the #APIC w VMware demo on #dCloud - https://t.co/bsc10DvAtY Use mine or import your own!</t>
  </si>
  <si>
    <t>Morrisville, NC</t>
  </si>
  <si>
    <t>Fun, imperfect, sarcastic mom of 5 with a big heart and a big mouth. I work for @CiscodCloud, but these tweets are my own. #dCloud</t>
  </si>
  <si>
    <t>Louis T Getterman IV</t>
  </si>
  <si>
    <t>Texas-Indonesia-Singapore-HK</t>
  </si>
  <si>
    <t>Open Source Ecology on-site participant | Broken Sidewalk Farm | opensour.cc Developers Network | CTO to pay bills | Tech to enhance &amp; define reality</t>
  </si>
  <si>
    <t># what i discovered today: import nflgame import arcpy # this is a game changer. so much pun intended. #python</t>
  </si>
  <si>
    <t>Roman Dahl</t>
  </si>
  <si>
    <t>#Python ! https://t.co/lF5QGE8Os4</t>
  </si>
  <si>
    <t>Like Columbus sailed his ship towards new #Discoveries, Im riding mine in the #Matrix of Financial Markets #Datascience #Analytics #Technicals #AI</t>
  </si>
  <si>
    <t>Brad Shedwick</t>
  </si>
  <si>
    <t>anyone a #python treading/subprocess guru?</t>
  </si>
  <si>
    <t>Baltimore</t>
  </si>
  <si>
    <t>I am a runner. 13.1 Dedicated Phillies and Eagles Fan! Craft Beer fan. And most importantly, devoted husband and father of 3 fun boys.</t>
  </si>
  <si>
    <t>Lobster</t>
  </si>
  <si>
    <t>#raspberrypi #LEDwithraspberry #python #raspberrypython Binary LED with Raspberry Pi https://t.co/7EgYExmeB8</t>
  </si>
  <si>
    <t>Things you should try in #PYO: use the upsamp() function before going into the Disto() class. Amazeballs. #DSP #python</t>
  </si>
  <si>
    <t>Helen Lam</t>
  </si>
  <si>
    <t>Check out the David Bowie app built on #Bluemix using #Watson &amp; #Python at 10:00 am in Fontaine H, CD prize! @IBMcloud @confooca @antonmc</t>
  </si>
  <si>
    <t>Human Rights Advocate. Developer. Optimist. Loves fresh pie. Some call me Queen Bee.</t>
  </si>
  <si>
    <t>phonenumbers 7.2.6 https://t.co/4sTgMNb49V #python</t>
  </si>
  <si>
    <t>The Evolution of Python for Data Science https://t.co/wmyJv8oKSw #python</t>
  </si>
  <si>
    <t>NorDevCon</t>
  </si>
  <si>
    <t>Norwich UK</t>
  </si>
  <si>
    <t>25-27 February 2016. #Norwich http://t.co/Atgi6tmtSj</t>
  </si>
  <si>
    <t>Romain Jehan</t>
  </si>
  <si>
    <t>RT @Paris_TechJobs: Data/Python Developer - #Internship @kpler #Paris France https://t.co/HBjQuEE2rW #Python #Posgresql #SQLAlchemy #Elasti…</t>
  </si>
  <si>
    <t>#Techno enthousiast #aws Mes tweets n'engagent que moi! RTs≠endorsements! Father of a little blond curly :)</t>
  </si>
  <si>
    <t>RT @helenflam: Check out the David Bowie app built on #Bluemix using #Watson &amp; #Python at 10:00 am in Fontaine H, CD prize! @IBMcloud @conf…</t>
  </si>
  <si>
    <t>Kevin Markham</t>
  </si>
  <si>
    <t>RT @PyData: PyData videos of past talks, conveniently organized into playlists: https://t.co/c3PEaSnHQb #python #datascience</t>
  </si>
  <si>
    <t>Co-founder of @Causetown, data science instructor at @GA_DC, guest blogger for @kaggle, founder of http://t.co/q2m4GEEtLL. R, Python, machine learning, data</t>
  </si>
  <si>
    <t>#Python's screwed up exception hierarchy https://t.co/4my5DORzJ4</t>
  </si>
  <si>
    <t>RT @freyduni: phonenumbers 7.2.6 https://t.co/4sTgMNb49V #python</t>
  </si>
  <si>
    <t>RT @freyduni: The Evolution of Python for Data Science https://t.co/wmyJv8oKSw #python</t>
  </si>
  <si>
    <t>New blog entry on #fischertechnik #robotics, #RaspberryPi , #BeagleBoard #OpenCV, #Python and #cpp C++: https://t.co/gP4wI4EmJh</t>
  </si>
  <si>
    <t>wonderful_bing - set bing's picture as wallpaper with desktop notify, support cinnamon, gnome, xfce, mate. https://t.co/Xopxc6coia #Python…</t>
  </si>
  <si>
    <t>So I'm using mmap to find a string in a .txt file - how do I get its index? https://t.co/AuZCU8pMy2 #Python And not just its presence/ab…</t>
  </si>
  <si>
    <t>Aaron Perry</t>
  </si>
  <si>
    <t>I just posted a #python question on https://t.co/XmVsHN133a. Can you answer it? https://t.co/IX53pYq2MK #numpy #scipy #linux #netcdf</t>
  </si>
  <si>
    <t>@NBCUniversal Intern at @NECN. Founder of @ShearAnalytics. #Weather Data Analyst at @LyndonVSC. Chief Consultant at @WeatherOptics. contact@arnpry.com</t>
  </si>
  <si>
    <t>"So I'm using mmap to find a string in a .txt file - how do I get its index?" via #Python https://t.co/yfEAqN6D98</t>
  </si>
  <si>
    <t>Left : #Sega #Megadrive / Right : #Python original routine... Porting in progress :) https://t.co/ixqFwWHwmu</t>
  </si>
  <si>
    <t>Auto-scaling scikit-learn with #Spark https://t.co/cZ3bJ0YRjf #Python #code https://t.co/VLJLh0G5Jq</t>
  </si>
  <si>
    <t>Mostafa Lameei</t>
  </si>
  <si>
    <t>For getting my hands dirty with #Python I'm checking out static site generators like Pelican.</t>
  </si>
  <si>
    <t>Geek/Adventurer I do blog on things I'm intrested in my blog #Iran #MBA #Marketing #Strategy #Growth_Hacker #Sketchnoting #Caligraphy #Design #Sales #5k_Runner</t>
  </si>
  <si>
    <t>Well-funded fintech startup Halo Investing is #hiring a Lead #Python Engineer! Learn more #chicagojobs #startupjobs https://t.co/myq0EmdLCy</t>
  </si>
  <si>
    <t>The Ultimate Python Programming Tutorial #python #udemy https://t.co/xmEAWzefpT https://t.co/46OJC1yTkY</t>
  </si>
  <si>
    <t>MrFreemind</t>
  </si>
  <si>
    <t>Software developer.</t>
  </si>
  <si>
    <t>Caroline Cote</t>
  </si>
  <si>
    <t>#python Jetez un œil à ce Meetup avec Québec Numérique ! via @MeetupFR https://t.co/aCv9Lh61BK</t>
  </si>
  <si>
    <t>Biologiste, généticienne et spécialiste de l'anguille d'Amérique (Anguilla rostrata), écotoxicologie, qualité de l'habitat aquatique</t>
  </si>
  <si>
    <t>THE LA須藤 STRIKER</t>
  </si>
  <si>
    <t>RT @felis_catus_: Python の真面目な話ですよ？ #Python #PyPy #社畜ちゃん台詞メーカー https://t.co/h20x6swTra https://t.co/9KHOy6hv1h</t>
  </si>
  <si>
    <t>この世は夢か現か。胡蝶の夢、華胥の国。</t>
  </si>
  <si>
    <t>ロングスリーパーの成れの果て。</t>
  </si>
  <si>
    <t>RT @datiobdEng: new #Python podcast with @asmeurer about #SymPy https://t.co/6TTHW6isnV #datascience</t>
  </si>
  <si>
    <t>Erlimar Silva Campos</t>
  </si>
  <si>
    <t>Uhu! Hoje me tornei membro da comunidade #python. Meu perfil: https://t.co/uj1ZNaeo3Y</t>
  </si>
  <si>
    <t>Programador C/C++, C#, JavaScript, Python e PHP. Servo do Deus Altíssimo!</t>
  </si>
  <si>
    <t>Now hiring for Python/Javascript GUI Developer in Princeton, NJ https://t.co/sHOESaSf02 #jobs #python #gui</t>
  </si>
  <si>
    <t>#Senior #Python #Applications #Architect @BetBright_jobs #JobFairy https://t.co/japrusGj5j</t>
  </si>
  <si>
    <t>#Python Digest is out! https://t.co/0LVSb30Flv</t>
  </si>
  <si>
    <t>Import a docker container in #python - https://t.co/erRKdU33On</t>
  </si>
  <si>
    <t>Milton Martins Filho</t>
  </si>
  <si>
    <t>#Patchwork de #python multicolorido na #bolsa do desfile #FW16 da #Fendi... https://t.co/hncyuvOhlW</t>
  </si>
  <si>
    <t>http://t.co/k7ttDLdvAj</t>
  </si>
  <si>
    <t>bluepy - Python module for interfacing with BLE devices through Bluez pypi: https://t.co/ymG3WWkOcL www: https://t.co/fv3yZmNeqj #python</t>
  </si>
  <si>
    <t>RT @astrofra: Left : #Sega #Megadrive / Right : #Python original routine... Porting in progress :) https://t.co/ixqFwWHwmu</t>
  </si>
  <si>
    <t>Marc Sardello</t>
  </si>
  <si>
    <t>Husband, proud father of two, Technology Solutions Professional at Microsoft, and aspiring drummer</t>
  </si>
  <si>
    <t>RT @py3k: bluepy - Python module for interfacing with BLE devices through Bluez pypi: https://t.co/ymG3WWkOcL www: https://t.co/fv3yZmNeqj …</t>
  </si>
  <si>
    <t>[b0t] Python-driven Web Applications https://t.co/gt7E5H1sWu #python</t>
  </si>
  <si>
    <t>JT</t>
  </si>
  <si>
    <t>Automate ALL the things!! #JMRI #ModelTrains #Python #Automation #DevOps #Kato #SD70ACe #NSHeritage #Virginian https://t.co/dVixgU3lLW</t>
  </si>
  <si>
    <t>Virginia Beach, VA</t>
  </si>
  <si>
    <t>CCIE Routing &amp; Switching with Aperture Science. Tweets are my own. #Cisco #Networking #DataCenter #Apple #Dogs #StandUpPaddle #MINICoopers</t>
  </si>
  <si>
    <t>Sabra Eaton</t>
  </si>
  <si>
    <t>RT @lisaannefloyd: #Coding in #python, #scratch &amp; using manipulatives for growing patterns in @westernuEdu #computhinkedu #math class. http…</t>
  </si>
  <si>
    <t>Arkansas, most of the time!</t>
  </si>
  <si>
    <t>Keyboarding/Business/Adult/Social/Community Ed Teacher, Tech Integration, Innovator, &amp; Creator. Education starts w relationships! Co-Moderator #ArkEdChat</t>
  </si>
  <si>
    <t>Christian Orduño</t>
  </si>
  <si>
    <t>"A Smooth Refresher on Python's Modules" #web #python @hugo_chr @Jaxmetalmax @dalsscarlon @nadialrm https://t.co/klKgMv0Fcq</t>
  </si>
  <si>
    <t>Director de TI y co-fundador de @smlmx ||||| Director de vinculación empresarial en @tomatovalley ---- #F1lover - El café es el orden del mundo...</t>
  </si>
  <si>
    <t>django-field-history - A Django app to track changes to a model field. https://t.co/mut0RWRfft #Python #Django</t>
  </si>
  <si>
    <t>Susan Zwillinger</t>
  </si>
  <si>
    <t>This post from Canton Hall saved me hours of #ArcMap frustration with #ModelBuilder and #Python. #LinkedIn = useful! https://t.co/y74GAvbVpV</t>
  </si>
  <si>
    <t>Sharing GIS, Carto, Design, Innovation, Visual Thinking, BA, PM</t>
  </si>
  <si>
    <t>.@clauersen 1½ hours: objects &amp; classes in #python. This has potential!</t>
  </si>
  <si>
    <t>λ♥</t>
  </si>
  <si>
    <t>Today in works in #Haskell but doesn't in #Python: https://t.co/GJzPMyokMk https://t.co/1xJ8Q4eEup</t>
  </si>
  <si>
    <t>land of the abstract machines</t>
  </si>
  <si>
    <t>I'm wearing a prime sieve. Selling contact lenses for a cubist world.</t>
  </si>
  <si>
    <t>Why can’t we write list.len() in #Python? #programming https://t.co/mIMUBaeoat https://t.co/59xTDYijuB</t>
  </si>
  <si>
    <t>#python compose-mode 0.1.0: A tiny wrapper around docker-compose to easily use multiple sets of config files https://t.co/b6ViRe2fq5</t>
  </si>
  <si>
    <t>#python gocdpb 3: Configure GoCD pipeline from the commandline. https://t.co/1dQczp1DYR</t>
  </si>
  <si>
    <t>#python openstacksdk 0.8.0: An SDK for building applications to work with OpenStack https://t.co/Hqa71QGnce</t>
  </si>
  <si>
    <t>#python python-kemptech-api 0.4.21: KEMP Technologies Python API https://t.co/M7v7kYGwJN</t>
  </si>
  <si>
    <t>#python pyfs 0.0.8: a pythonic file system wrapper for humans https://t.co/97lvWGMEeT</t>
  </si>
  <si>
    <t>#python iotronic 0.1 https://t.co/iNmBFqZkJW</t>
  </si>
  <si>
    <t>#python vsut 1.5.4: A simple unit testing framework for Python 3. https://t.co/c2Ai46MmQQ</t>
  </si>
  <si>
    <t>#python tyrion 0.1: Word Embedding based on paper by Lebret, Collobert, 2015 https://t.co/7Id7MRZBgo</t>
  </si>
  <si>
    <t>#python bottlecap 0.8.0: Extras for Bottle https://t.co/Mp0JGSVROC</t>
  </si>
  <si>
    <t>#python bluepy 1.0.0: Python module for interfacing with BLE devices through Bluez https://t.co/P4Eogt4Dfd</t>
  </si>
  <si>
    <t>Brae</t>
  </si>
  <si>
    <t>Ethical Hacking student at Abertay University. Amateur programmer, photographer and general computer hobbyist</t>
  </si>
  <si>
    <t>Gregory Piatetsky</t>
  </si>
  <si>
    <t>#DataScience Programming: #Python vs R #KDN https://t.co/MgrEVrCjr7</t>
  </si>
  <si>
    <t>Brookline, MA, USA</t>
  </si>
  <si>
    <t>KDnuggets President, #Analytics, #BigData, #DataMining, #DataScience expert, KDD &amp; SIGKDD co-founder, was Chief Scientist at 2 startups, part-time philosopher.</t>
  </si>
  <si>
    <t>Gerald van Leeuwen</t>
  </si>
  <si>
    <t>RT @randal_olson: Why can’t we write list.len() in #Python? #programming https://t.co/mIMUBaeoat https://t.co/59xTDYijuB</t>
  </si>
  <si>
    <t>Netherlands and Germany</t>
  </si>
  <si>
    <t>Any sufficiently advanced technology is indistinguishable from magic. - Arthur C. Clarke -</t>
  </si>
  <si>
    <t>f varas-genestier</t>
  </si>
  <si>
    <t>Essonne, Ile-de-France</t>
  </si>
  <si>
    <t>nerd, cyclist, es/en/fr, free software &amp; free beer, mitochondrial DNA from grandma, python.</t>
  </si>
  <si>
    <t>RT @PythonWeekly: django-field-history - A Django app to track changes to a model field. https://t.co/mut0RWRfft #Python #Django</t>
  </si>
  <si>
    <t>marcus bodock</t>
  </si>
  <si>
    <t>Parece ser bem legal heim! https://t.co/EAcj7tMicy #docker #python</t>
  </si>
  <si>
    <t>Silver Bird</t>
  </si>
  <si>
    <t>moc hell city</t>
  </si>
  <si>
    <t>Estudante de SI, PHPzero, enrolado, estranho, confuso (ou não)...</t>
  </si>
  <si>
    <t>Pablo Data Science</t>
  </si>
  <si>
    <t>Madrid, España</t>
  </si>
  <si>
    <t>Think in all the data that you can use and all the data that you are using. ¡We can extract a lot of knowledge from data!</t>
  </si>
  <si>
    <t>Joseph W. Brown</t>
  </si>
  <si>
    <t>Ann Arbor MI USA</t>
  </si>
  <si>
    <t>Post-doctoral researcher in evolutionary biology.</t>
  </si>
  <si>
    <t>Craig Weber</t>
  </si>
  <si>
    <t>#Python #testing "The dangers of patching" https://t.co/GeFMQk6uAt</t>
  </si>
  <si>
    <t>Cedar Falls, IA</t>
  </si>
  <si>
    <t>passionate learner; enthusiastic hobbyist; full-stack software developer</t>
  </si>
  <si>
    <t>verifyid - verify Taiwanese identy number pypi: https://t.co/zlQMRfqsUL www: https://t.co/o70YetitZ6 #python</t>
  </si>
  <si>
    <t>RT @kdnuggets: #DataScience Programming: #Python vs R #KDN https://t.co/MgrEVrCjr7</t>
  </si>
  <si>
    <t>Nishit Patel</t>
  </si>
  <si>
    <t>Tampa</t>
  </si>
  <si>
    <t>Life would be much easier if i had the source code. System Engineer @ Verizon. Analytics enthusiastic and Data geek.</t>
  </si>
  <si>
    <t>Bonita Hunter</t>
  </si>
  <si>
    <t>LeanData</t>
  </si>
  <si>
    <t>Data to Value is an innovative consultancy based in London that helps clients to maximise the value of their data assets through a range of services. #LeanData</t>
  </si>
  <si>
    <t>DOM Traversing and Scraping using GraphQL https://t.co/l7NN4swvKR #Python submitted by /u/Fady-Mak[link] [comments]</t>
  </si>
  <si>
    <t>spellbook - Search and store command lines. https://t.co/sqwchrx6rD #python</t>
  </si>
  <si>
    <t>Ken Williams</t>
  </si>
  <si>
    <t>RT @odsc: Learn More About #Pandas By Building and Using a Weighted Average Function https://t.co/gzkDVpS0S2 #python</t>
  </si>
  <si>
    <t>Big Data and Cloud Systems Architect, Engineer and Data Scientist. Living in London and loving it. Using technology to make everyone's lives easier.</t>
  </si>
  <si>
    <t>@eric_conserto</t>
  </si>
  <si>
    <t>RT @_Conserto: [EMPLOI] Pour notre agence de #Rennes : - Développeur #TV #num - Ingénieur #C#/.net - Développeur #python #nodejs ➡️ https:/…</t>
  </si>
  <si>
    <t>Rennes, Bretagne</t>
  </si>
  <si>
    <t>Directeur d'agence Conserto Rennes@_conserto, société #innovante et #dynamique, qui propose des prestations de #conseil et d'#expertise #informatique</t>
  </si>
  <si>
    <t>RT @py3k: verifyid - verify Taiwanese identy number pypi: https://t.co/zlQMRfqsUL www: https://t.co/o70YetitZ6 #python</t>
  </si>
  <si>
    <t>Utter Fiend</t>
  </si>
  <si>
    <t>#python bangle finished 😁 #jewellery https://t.co/iVUHbtJXam</t>
  </si>
  <si>
    <t>Leeds, England</t>
  </si>
  <si>
    <t>#lufc Loudmouth, Alleged Utter Fiend #T1D &amp; hating every second. We're right, you're wrong, Yorkshire Yorkshire Yorkshire</t>
  </si>
  <si>
    <t>Programming</t>
  </si>
  <si>
    <t>Automate the Boring Stuff with Python Programming ☞ https://t.co/99VFbpCBxS #python #programming https://t.co/5s8b9ROOe0</t>
  </si>
  <si>
    <t>Guido Deckstein</t>
  </si>
  <si>
    <t>Top YouTube Videos on #MachineLearning, Neural Network &amp; Deep Learning https://t.co/EXZuWvcaRX #python</t>
  </si>
  <si>
    <t>Wuppertal, Nordrhein-Westfalen</t>
  </si>
  <si>
    <t>#SocialMedia #PredictiveAnalytics #IoT #Industrie40 #SaaS #Retail #Fintech #Healthit #BigData #Bayes #Analytics #Photography #Art #Wordpress #Wuppertal #Köln</t>
  </si>
  <si>
    <t>Gayathri Raj</t>
  </si>
  <si>
    <t>brant faircloth</t>
  </si>
  <si>
    <t>Baton Rouge, LA</t>
  </si>
  <si>
    <t>nucleic acid wrangler and assistant professor @lsu</t>
  </si>
  <si>
    <t>Seattle</t>
  </si>
  <si>
    <t>CyberCoders is looking for a #Python #Developer in #Seattle, apply now! #jobs https://t.co/0hAdF4cqMH</t>
  </si>
  <si>
    <t>Seattle, Washington, US</t>
  </si>
  <si>
    <t>Looking for a job in Seattle? Check out our website https://t.co/f47SiQay8e</t>
  </si>
  <si>
    <t>Franco Pajares</t>
  </si>
  <si>
    <t>Profesional de Proyectos. #Business, #ProjectManagement, #MachineLearning, #BigData, #Automation</t>
  </si>
  <si>
    <t>Artificial Dataset for Machine Learning with #Python and #Numpy / #Theano https://t.co/Y94oRWsVgB --- #programming #DataScience</t>
  </si>
  <si>
    <t>Christopher Rice</t>
  </si>
  <si>
    <t>Alright, everyone, on this Friday, tell me the last #Python project you did, and what does it do, and why you chose it.</t>
  </si>
  <si>
    <t>Colorado Cartographics LLC in its 6th year: It's a geospatial solutions company. Please visit @frontrangeuas for our (UAS) drone services.</t>
  </si>
  <si>
    <t>masako mashiyama</t>
  </si>
  <si>
    <t>人文地理学系嘱託職員（ミナシ学芸員）、任期は平成28年3月末日。某市市史編纂委員。地理学の視点で文書館（archives）・博物館（museum）につながる事柄をぽつぽつ、つぶやいています。</t>
  </si>
  <si>
    <t>Chip Redmond</t>
  </si>
  <si>
    <t>RT @jjrennie: Check out my recorded presentation on GHCNpy, presented at #AMS2016. https://t.co/b6wzWGKAlw #Python #dataviz https://t.co/q2…</t>
  </si>
  <si>
    <t>St. George, KS</t>
  </si>
  <si>
    <t>SDSMT/OU atmos science alum. This is where I'll talk weather, fire, photography, &amp; dirt racing. My opinions.</t>
  </si>
  <si>
    <t>I'm Programer</t>
  </si>
  <si>
    <t>Automate the Boring Stuff with Python Programming ☞ https://t.co/QLchaXhCJ8 #python #programming https://t.co/phq59n1U9D</t>
  </si>
  <si>
    <t>I'm a Developer</t>
  </si>
  <si>
    <t>Automate the Boring Stuff with Python Programming ☞ https://t.co/wXr15uBi3b #python #programming https://t.co/lypDTmW8ss</t>
  </si>
  <si>
    <t>#javascript #nodejs #angularjs #reactjs #dotnet #meteor #iosdev #unity3d #gamedev #arduino #webdev #python #php #wordpress #robotics #bigdata #programming</t>
  </si>
  <si>
    <t>ßεηjαmιη λ</t>
  </si>
  <si>
    <t>Programmer :) #c #java #php #CSharp #golang #cplusplus #ruby #python #javascript #language https://t.co/BzHYBg9bMP</t>
  </si>
  <si>
    <t>gnbit.com / Lima - Perú</t>
  </si>
  <si>
    <t>Developer Software [LAMP, ZF2, C#, Java] Living in the backend, exploring functional programming [Scala, Erlang, Clojure, Haskell] &amp; GO - Christian SD Adventist</t>
  </si>
  <si>
    <t>Aarathy Premnath</t>
  </si>
  <si>
    <t>RT @im_a_developer: Automate the Boring Stuff with Python Programming ☞ https://t.co/wXr15uBi3b #python #programming https://t.co/lypDTmW8…</t>
  </si>
  <si>
    <t>Sarnia, Ontario</t>
  </si>
  <si>
    <t>Student at Lambton College</t>
  </si>
  <si>
    <t>L3v3L</t>
  </si>
  <si>
    <t>working on wacro, trying to get at least a working version as soon as possible https://t.co/P49bLNop9A #python</t>
  </si>
  <si>
    <t>Coimbra</t>
  </si>
  <si>
    <t>Sven Kreiss</t>
  </si>
  <si>
    <t>Data Scientist at @wildcard, PhD in Higgs Discovery, http://t.co/Z7YRUSegGI, http://t.co/hsefL6CCgi, http://t.co/PBKcjxJPQc, blog: http://t.co/WbClA0yOYk</t>
  </si>
  <si>
    <t>Shirley Young</t>
  </si>
  <si>
    <t>Please support my tech blog and clck the ads as often as possible. All income will b donated to Wiki or SPCA.</t>
  </si>
  <si>
    <t>#python #smm #download https://t.co/PqkIhaMBie Come check out what we have for you!</t>
  </si>
  <si>
    <t>writing a custom log handler amd formatter https://t.co/d35Jjerwdg #python</t>
  </si>
  <si>
    <t>@yashaka true #selenium wrapper https://t.co/JPQWQWQGJ1 &amp; howto implement it https://t.co/6QPfzs6AkK #seleniumcamp #selenide #selene #python</t>
  </si>
  <si>
    <t>JAMSO</t>
  </si>
  <si>
    <t>Learning #python language? See our Pinterest board with 40+ guides and tips https://t.co/Oel1Kv3BZn #data https://t.co/bNdGRkDe79</t>
  </si>
  <si>
    <t>Transformation for people + business #entrepreneur #success #leadership #analytics #metrics #selfdevelopment #Fintech #strategy #GoalSetting #gamification</t>
  </si>
  <si>
    <t>IBM Canada</t>
  </si>
  <si>
    <t>.@Antonmc's #Confoo session Exploring David Bowie's lyrics with #Python, Watson &amp; #Bluemix. (Fontaine H) https://t.co/R4GtYPRul7</t>
  </si>
  <si>
    <t>Official Twitter account for IBM Canada. Managed by @CarrieBendzsa and @PattiAnneSmith. Follows the IBM Social Computing Guidelines.</t>
  </si>
  <si>
    <t>Graph #Analytics with #Python Workshop on 3/12 https://t.co/JcnwPpV6NB #DataScience #BigData #DataDC #DCTech #SNA</t>
  </si>
  <si>
    <t>mark hatcher</t>
  </si>
  <si>
    <t>Twittelator</t>
  </si>
  <si>
    <t>Canberra</t>
  </si>
  <si>
    <t>I like slicing, dicing, analysing, visualising, filtering data</t>
  </si>
  <si>
    <t>C# Coder</t>
  </si>
  <si>
    <t>Nigeria</t>
  </si>
  <si>
    <t>Coder, Physicist ,Optimist, Opinions are my own</t>
  </si>
  <si>
    <t>RT @guidodeckstein: Top YouTube Videos on #MachineLearning, Neural Network &amp; Deep Learning https://t.co/EXZuWvcaRX #python</t>
  </si>
  <si>
    <t>slackbot - простой бот для Slack-чата: https://t.co/l5CRLPu1rE #python</t>
  </si>
  <si>
    <t>Yang Suh Ping</t>
  </si>
  <si>
    <t>Twitter Apps8</t>
  </si>
  <si>
    <t>South Carolina, USA</t>
  </si>
  <si>
    <t>Aim for the moon, if you miss you may hit a star.</t>
  </si>
  <si>
    <t>priya joseph</t>
  </si>
  <si>
    <t>geek, entrepreneur, 'I strictly color outside the lines!', opinions r my own indeed.</t>
  </si>
  <si>
    <t>RT @salvatoremonaco: #python practical porting for systems programmers #howtoo for porting python 2 to 3 versione https://t.co/Lc2sEFn6bc</t>
  </si>
  <si>
    <t>Alberto Cuadra</t>
  </si>
  <si>
    <t>AAAS-Science Graphics Managing Editor, ex Washington Post. Science and Tech addict, transhumanist: impatiently waiting for the singularity. Opinions are my own.</t>
  </si>
  <si>
    <t>Afripowered</t>
  </si>
  <si>
    <t>https://t.co/ByNldaUARQ was für ein cooles Video.. über irgendwie.. Vieles. #Assembler #Gameboy #Python #RollercoasterTycoon</t>
  </si>
  <si>
    <t>Lieber ständig übermüdet als permanent überwacht</t>
  </si>
  <si>
    <t>Aguante #python wachoo 😉😛</t>
  </si>
  <si>
    <t>#Python handle unknown types graciously #Tech #News #HowTo https://t.co/kNAe99ZELf</t>
  </si>
  <si>
    <t>Is it possible to query/download satellite images with Python? https://t.co/8qMdQ0ObHh #python</t>
  </si>
  <si>
    <t>#python python-kemptech-api 0.4.22: KEMP Technologies Python API https://t.co/35sUjkv7ih</t>
  </si>
  <si>
    <t>#python genometools 1.2.2: GenomeTools: Scripts and Classes For Working With Genomic Data. https://t.co/kA9ZgYcelG</t>
  </si>
  <si>
    <t>#python picu 0.7: Python ctypes-based ICU Wrapper https://t.co/9uz7zotjI0</t>
  </si>
  <si>
    <t>#python lazy_record 0.5.1: Generic Model Layer for Python Web Applications using Sqlite3 https://t.co/ZXTdPffKQG</t>
  </si>
  <si>
    <t>#python Mopidy-Tidal 0.2.0: Tidal music service integration https://t.co/CQPtIgkk8d</t>
  </si>
  <si>
    <t>#python sudokuextract 0.7.0: Library for extracting Sudokus from images using scikit-image https://t.co/fPvB9v1qqG</t>
  </si>
  <si>
    <t>#Python handle unknown types graciously #Tech #Question #HowTo https://t.co/DrE5j87asH</t>
  </si>
  <si>
    <t>RT @IBMCanada: .@Antonmc's #Confoo session Exploring David Bowie's lyrics with #Python, Watson &amp; #Bluemix. (Fontaine H) https://t.co/R4GtYP…</t>
  </si>
  <si>
    <t>#Python programmer? Check #job listings for #python developers https://t.co/xaHbRv12EA</t>
  </si>
  <si>
    <t>CG COOKIE</t>
  </si>
  <si>
    <t>Automate boring #b3d tasks with #Python, even if you're not a coder https://t.co/cNMPsgWlnR #Minecraft @BenSimonds https://t.co/xP0EngWUZ7</t>
  </si>
  <si>
    <t>Our mission is to enable, the CG artist or game developer to become successful in your craft.</t>
  </si>
  <si>
    <t>Diving into iOS development https://t.co/vOvdxc1DDI #python</t>
  </si>
  <si>
    <t>#kusadasileather #lady #snake #crocodile #python #leather #jacket… https://t.co/KJdfuceU6X</t>
  </si>
  <si>
    <t>#kusadasileather #lady #snake #crocodile #python #leather #jacket #кожа #мех #шуба #cuir #עור #leer #革 #가죽 #ādas... https://t.co/vATSZyOmC5</t>
  </si>
  <si>
    <t>Steve Schwarz</t>
  </si>
  <si>
    <t>Just found 3 active #python #podcasts!!! https://t.co/9G6r6Zo7DL https://t.co/lOQMS6ufSg https://t.co/WRi8Y1N903</t>
  </si>
  <si>
    <t>The web/technology me</t>
  </si>
  <si>
    <t>.@Antonmc used #python in #Bluemix to build "Ziggy", to decode the many personas in Bowie's lyrics #Confoo https://t.co/gEWcBQCl40</t>
  </si>
  <si>
    <t>Code Geek</t>
  </si>
  <si>
    <t>Automate the Boring Stuff with Python Programming ☞ https://t.co/KcBF99wJBh #python #programming https://t.co/lWz196yRCp</t>
  </si>
  <si>
    <t>#nodejs #javascript #mongodb #nosql #webdev #python #angularjs #iojs #tutorial</t>
  </si>
  <si>
    <t>Guardian EduCentre</t>
  </si>
  <si>
    <t>Furious focus in #python workshop @Coding2Learn @jrobinson_uk @Raspberry_Pi #GdnComSci conf https://t.co/0yi2j5OtEG https://t.co/jZDokVsbgo</t>
  </si>
  <si>
    <t>News media workshops and resources for schools and teachers at the Guardian's Education Centre.</t>
  </si>
  <si>
    <t>pacoramon</t>
  </si>
  <si>
    <t>Médico especialista en Medicina Preventiva y Salud Pública.</t>
  </si>
  <si>
    <t>CarterTsai</t>
  </si>
  <si>
    <t>Taiwan</t>
  </si>
  <si>
    <t>Uli Kunkel</t>
  </si>
  <si>
    <t>RT @I_am_programer: Automate the Boring Stuff with Python Programming ☞ https://t.co/QLchaXhCJ8 #python #programming https://t.co/phq59n1U…</t>
  </si>
  <si>
    <t>New Jersey</t>
  </si>
  <si>
    <t>Lisp and Haskell programmer</t>
  </si>
  <si>
    <t>BigBoards</t>
  </si>
  <si>
    <t>Aarschot, Belgium</t>
  </si>
  <si>
    <t>Want to learn Big Data without getting your hands dirty in infrastructure mud? Have a look at our Hex, your personal cluster that works right out of the box!</t>
  </si>
  <si>
    <t>Elli Narewska</t>
  </si>
  <si>
    <t>RT @GuardianEduCent: Furious focus in #python workshop @Coding2Learn @jrobinson_uk @Raspberry_Pi #GdnComSci conf https://t.co/0yi2j5OtEG ht…</t>
  </si>
  <si>
    <t>Education officer at @GuardianEduCent. These thoughts are mine though.</t>
  </si>
  <si>
    <t>ABERDYN</t>
  </si>
  <si>
    <t>@PyQR Bonjour Abdelmalek, nous avons une offre de #dév #fullstack avec des projets en #Python ? Si vous êtes intéressé cindy@aberdyn.fr</t>
  </si>
  <si>
    <t>Rueil-Malmaison, France</t>
  </si>
  <si>
    <t>Cabinet de #Recrutement expert dans l'#IT et le #Digital avec de nombreux #CDI à pourvoir en #IDF en #Développement #Web notamment #java #dotnet #php</t>
  </si>
  <si>
    <t>Ruby 2 Elixir</t>
  </si>
  <si>
    <t>RT @jdimov: Learning #ElixirLang has made me a better #Python developer. (It has also made me less willing to put up with Python's built-in…</t>
  </si>
  <si>
    <t>Community-driven initiative to switch from Ruby to Elixir</t>
  </si>
  <si>
    <t>anish E=mc² talwar</t>
  </si>
  <si>
    <t>Statistical natural language processing mid term exam on head !Have to postpone my design projects ! #UI #UX #webdesign #WebDev #python #nlp</t>
  </si>
  <si>
    <t>computer science grad ,Web designer/ developer, iOS app Developer, MetalHead,#MUFC, a guy who loves to do things by his own ways...#DayDreamer</t>
  </si>
  <si>
    <t>Philippe Dellaert</t>
  </si>
  <si>
    <t>New blog post: Scripting with Nuage VSPK – Part 1 – Introduction &amp; basic examples https://t.co/XWYN9EvGjs #NuageNetworks #python #VSPK</t>
  </si>
  <si>
    <t>Dellaert.org Website</t>
  </si>
  <si>
    <t>Heverlee, Belgium</t>
  </si>
  <si>
    <t>Como manter as dependências de pacotes #Python garantindo as correções de bugs: https://t.co/y5nXyJ93DS #soudev</t>
  </si>
  <si>
    <t>Building a better user experience for deploying #Python web applications. https://t.co/syMih780VT</t>
  </si>
  <si>
    <t>Vahid M</t>
  </si>
  <si>
    <t>#python package to create slides on browser https://t.co/qQAitDu92y Example https://t.co/IozURamh9a #presentations</t>
  </si>
  <si>
    <t>Michigan</t>
  </si>
  <si>
    <t>Learning from Data; Data Mining and Statistical Machine Learning; Deeply in Love with Covariance Matrix; #machinelearning #datascience #bayesian #python</t>
  </si>
  <si>
    <t>D3f0</t>
  </si>
  <si>
    <t>6tp #Meetup #Patagónico de #Python el sábado 5 de Marzo. https://t.co/zcqEJ3HEiy Si queres dar charla rellená el https://t.co/SDNKB8XtNz</t>
  </si>
  <si>
    <t>Puerto Madryn (evtly Trelew)</t>
  </si>
  <si>
    <t>Teacher. Freelancer. Free software advocate. Python enthusiast, also Go &amp; JS. Organizer at SciPyCon Argentina 2013 and co-organizer for 2014 edition. Arch user.</t>
  </si>
  <si>
    <t>Ask Ubuntu</t>
  </si>
  <si>
    <t>Can you answer this? Ubuntu 14.04: Is there a way to reset python 2 and all dependencies to the facto... https://t.co/iVumiR5OIV #python</t>
  </si>
  <si>
    <t>A Q&amp;A site for Ubuntu users and developers</t>
  </si>
  <si>
    <t>#Python Programmer is out! https://t.co/17hzgzdsgV Stories via @wcmckeedotcom @AlvaroLab @javeo_eu</t>
  </si>
  <si>
    <t>Amanda Traud</t>
  </si>
  <si>
    <t>RT @tonyojeda3: Graph #Analytics with #Python Workshop on 3/12 https://t.co/JcnwPpV6NB #DataScience #BigData #DataDC #DCTech #SNA</t>
  </si>
  <si>
    <t>Arlington, VA</t>
  </si>
  <si>
    <t>Sr. Data Scientist at Cybraics using network science to study data. Co-Founder of Women Data Scientists DC.</t>
  </si>
  <si>
    <t>LO30DEH1EL0</t>
  </si>
  <si>
    <t>España Granada</t>
  </si>
  <si>
    <t>RT @johnhubner: #Python Programmer is out! https://t.co/17hzgzdsgV Stories via @wcmckeedotcom @AlvaroLab @javeo_eu</t>
  </si>
  <si>
    <t>Nix Connection</t>
  </si>
  <si>
    <t>RT @JumpstartChiaps: No te olvides del taller de este Sabado 27 de Febrero de 2016 el cual hemos preparado para ti :D #RT #python https://t…</t>
  </si>
  <si>
    <t>Canadá</t>
  </si>
  <si>
    <t>Hosting Reseller Servidores Dedicados VPS Certificados SSL Dominios</t>
  </si>
  <si>
    <t>James Robinson</t>
  </si>
  <si>
    <t>Cambridge</t>
  </si>
  <si>
    <t>Educational Developer at the @raspberry_pi foundation.</t>
  </si>
  <si>
    <t>Chris Diehl</t>
  </si>
  <si>
    <t>Menlo Park, CA</t>
  </si>
  <si>
    <t>principal &amp; co-founder @DataGuild, adventure seeker, world traveler. broadly interested in human-machine systems to enhance resilience in an uncertain world</t>
  </si>
  <si>
    <t>Shivam Shukla</t>
  </si>
  <si>
    <t>C O D E R I N J A V A</t>
  </si>
  <si>
    <t>Yann Forget</t>
  </si>
  <si>
    <t>#Python https://t.co/myn4hdNb0k</t>
  </si>
  <si>
    <t>#RemoteSensing #Geospatial #Python, LUCC, Urban mapping and modeling, Université Libre de Bruxelles</t>
  </si>
  <si>
    <t>David Roig</t>
  </si>
  <si>
    <t>.Antonmc's #Confoo session Exploring David Bowie's lyrics with #Python, Watson &amp;amp; #Bluemix. (Fontaine H) https://t.co/wlgUMiuwn4</t>
  </si>
  <si>
    <t>Botize</t>
  </si>
  <si>
    <t>Catalunya, España</t>
  </si>
  <si>
    <t>Director Cial y #Mk Seguros de Salud, Entusiasta del Marketing digital y especialista en melt and upgrade Empresarial. #wearables #management #ehealth</t>
  </si>
  <si>
    <t>Maria Gonzalez</t>
  </si>
  <si>
    <t>probandooo #python</t>
  </si>
  <si>
    <t>Buddy</t>
  </si>
  <si>
    <t>https://t.co/oMGVOXqiQO &lt;-- Code, build and deliver apps and websites in a snap 👏 #node #javascript #python #webdev https://t.co/Q82cNxap3N</t>
  </si>
  <si>
    <t>Cheyenne, WY</t>
  </si>
  <si>
    <t>Easy Continuous Deployment with sexy Git hosting • Supports GitHub and Bitbucket • Available now at https://t.co/eh7aZnMcye</t>
  </si>
  <si>
    <t>A great team 2 join #python crew #job #warszawa via @nofluffjobs https://t.co/AtY83AHx18</t>
  </si>
  <si>
    <t>Jeremy Schulman</t>
  </si>
  <si>
    <t>use #python and struggle with tabs/spaces? Try using this: "python -m tabnanny &lt;filename&gt;" very nice.</t>
  </si>
  <si>
    <t>Network Automaniac</t>
  </si>
  <si>
    <t>Eoin Brazil</t>
  </si>
  <si>
    <t>Dublin 2, Ireland</t>
  </si>
  <si>
    <t>Working for MongoDB, Inc. in Dublin. Speaking my mind on Big Data, NoSQL, Cloud &amp; UX. These are my own views!</t>
  </si>
  <si>
    <t>#python tapioca-wrapper 1.1: Tapioca API wrapper https://t.co/7AFRBIqIYk</t>
  </si>
  <si>
    <t>#python fio_sale_channel 3.4.25.0: UNKNOWN https://t.co/NaITSPeNJT</t>
  </si>
  <si>
    <t>#python tendenci 7.1.386: Tendenci - A CMS for Nonprofits https://t.co/SKn18WKlKN</t>
  </si>
  <si>
    <t>#python neutron-lib 0.0.2: Neutron shared routines and utilities https://t.co/IwpPV6sPM8</t>
  </si>
  <si>
    <t>#python tmy_nester 1.2.0: A simple printer of nested lists https://t.co/TBiEvJ3hpu</t>
  </si>
  <si>
    <t>#python windy 0.8.8: windy is an application for managing Windows user/system environment variables. https://t.co/sqXyBxidki</t>
  </si>
  <si>
    <t>#python docpie 0.3.1: An easy and Pythonic way to create your POSIX command line interface https://t.co/AKOzBzsHLf</t>
  </si>
  <si>
    <t>#python pboost 0.5.4: Parallel Implementation of Boosting Algorithms with MPI. https://t.co/B78Fp9V6BH</t>
  </si>
  <si>
    <t>#python starterkit 1.3: starterkit, based on GeoNode https://t.co/lvqunm4IWn</t>
  </si>
  <si>
    <t>Aspekt32</t>
  </si>
  <si>
    <t>Which programming language should you use #codeing #lordoftherings #aspekt32 #developers #java #python #JS #php #c https://t.co/scUZJ0YmaL</t>
  </si>
  <si>
    <t xml:space="preserve">London / Frankfurt / Berlin / </t>
  </si>
  <si>
    <t>Changing the aspekts of recruitment #aspekt32 #recruitment #socialrecruitment #jobs #germany #IT #javajobs</t>
  </si>
  <si>
    <t>taxamo</t>
  </si>
  <si>
    <t>It's Friday - here's the Taxamo @github library: https://t.co/N9BnjJ9ZLD #php #python #ruby #java #nodejs https://t.co/vZeQLviXC0</t>
  </si>
  <si>
    <t>Taxamo's global digital tax solution enables digital service merchants to comply with new international tax regulations. All in one simple integration.</t>
  </si>
  <si>
    <t>Holly</t>
  </si>
  <si>
    <t>One ought to learn not to write #python on a #Friday #badjoke https://t.co/103KC07KNO</t>
  </si>
  <si>
    <t>Computer science teacher, gamer, programmer, PowerPoint awesomiser, Dodgy wheelchair driver, and a girl ;) Making Ehlers-Danlos look... no, it's just painful.</t>
  </si>
  <si>
    <t>IkaLog - Enjoy Splatoon! https://t.co/EZx4VSUkYs #python</t>
  </si>
  <si>
    <t>“Hello world” in #keras, #scikitlearn https://t.co/tZ31dh0kmQ #deeplearning #neuralnetworks #machinelearning #python https://t.co/fePiH5wuDB</t>
  </si>
  <si>
    <t>Рисуем изображение, когда ваши друзья Facebook не спят: https://t.co/CFHqSfdSfc #python</t>
  </si>
  <si>
    <t>Cathy Litchfield</t>
  </si>
  <si>
    <t>RT @IBMCanada: .@Antonmc used #python in #Bluemix to build "Ziggy", to decode the many personas in Bowie's lyrics #Confoo https://t.co/gEWc…</t>
  </si>
  <si>
    <t>A Winnipegger and family gal lucky enough to collaborate with lots of smart IBMers supporting IBM Canada. (My tweets = my views)</t>
  </si>
  <si>
    <t>Run and forget process. How to start multiple truly non-blocking multiprocessing processes? https://t.co/wtOMqkWbUl #Python I'm using st…</t>
  </si>
  <si>
    <t>RT @inboundli_tech: “Hello world” in #keras, #scikitlearn https://t.co/tZ31dh0kmQ #deeplearning #neuralnetworks #machinelearning #python ht…</t>
  </si>
  <si>
    <t>#Python pandas extract values from dict within a list #HowTo #Question #Tech https://t.co/w11eQ8OC0f</t>
  </si>
  <si>
    <t>eka</t>
  </si>
  <si>
    <t>Software Engineer, and no, I won't fix your printer.</t>
  </si>
  <si>
    <t>#Python: Decimal to Binary #HowTo #Question #Tech https://t.co/8RBzPY64PP</t>
  </si>
  <si>
    <t>#Python pandas extract values from dict within a list #Tech #Internet #Programming https://t.co/3eq3McZ4Qp</t>
  </si>
  <si>
    <t>#Python: Decimal to Binary #Tech #Internet #Programming https://t.co/yhkz7V4H9V</t>
  </si>
  <si>
    <t>Pranjal Dubey</t>
  </si>
  <si>
    <t xml:space="preserve">India </t>
  </si>
  <si>
    <t>learning programmer, avid reader, amateur photographer, moody writer</t>
  </si>
  <si>
    <t>Graduate Job Podcast</t>
  </si>
  <si>
    <t>Do you know ur #python from ur #java? If so let @prashmaj guide u through getting a #graduate job in #datascience https://t.co/gxEXsjAbgD</t>
  </si>
  <si>
    <t>Weekly podcast interviewing graduate recruitment experts, authors, and specialists. Providing weekly inspiration and help to graduate job seekers everywhere.</t>
  </si>
  <si>
    <t>Fred</t>
  </si>
  <si>
    <t>Google loves python #google #python</t>
  </si>
  <si>
    <t>Adnan Hashmi</t>
  </si>
  <si>
    <t>Running Compiled Code on #Azure #MachineLearning in R and #Python https://t.co/WbRha9qAd5 https://t.co/kYXJLd0j3r</t>
  </si>
  <si>
    <t>Karachi, Omaha, Nashville, ...</t>
  </si>
  <si>
    <t>Enterprise Architect for @DeloitteUS Life-long learner | Proud Pakistani | INTJ #EntArch | #Azure | #MachineLearning</t>
  </si>
  <si>
    <t>Nichlas Severinsen</t>
  </si>
  <si>
    <t>Sweet. @unixstickers #Linux #Python #Git #XFCE #Copyleft #Unix Shame there were no C++ decals, maybe next time? https://t.co/zlM0eBS49L</t>
  </si>
  <si>
    <t>Data Manager at Storekeeper AS. I like computers. I also like Free Software.</t>
  </si>
  <si>
    <t>RT @pythontrending: IkaLog - Enjoy Splatoon! https://t.co/EZx4VSUkYs #python</t>
  </si>
  <si>
    <t>Joaquín Sorianello</t>
  </si>
  <si>
    <t>RT @d3f0: 6tp #Meetup #Patagónico de #Python el sábado 5 de Marzo. https://t.co/zcqEJ3HEiy Si queres dar charla rellená el https://t.co/SDN…</t>
  </si>
  <si>
    <t>CABA, Buenos Aires</t>
  </si>
  <si>
    <t>GPG: BBC8 9FAB 3910 FFAB A2F4 452C D47D 6094 4F4A EFAC</t>
  </si>
  <si>
    <t>BLUG.jp(右下)</t>
  </si>
  <si>
    <t>RT @cgcookie: Automate boring #b3d tasks with #Python, even if you're not a coder https://t.co/cNMPsgWlnR #Minecraft @BenSimonds https://t.…</t>
  </si>
  <si>
    <t>Blender User Group of Japan| FBグループ: https://t.co/Mc7HrN0Xdw | [BLUG.jpまとめサイト] https://t.co/lF4Ak79Cz8 | FBページ: https://t.co/XGeLzjn758 | ※ソフトの個別サポートはしていません。</t>
  </si>
  <si>
    <t>anuncio rocks media</t>
  </si>
  <si>
    <t>RT @Daniel_Iwaniuk: Advanced GIT for Developers https://t.co/ZH19xf6tgr #git #linux #developers #python</t>
  </si>
  <si>
    <t>Startup creating the 1st t-commerce platform. Enabling shopable TV+Video adverts by TVRemote-'Pic2Purchase' https://t.co/wA0ie5e6em &amp; https://t.co/Qwy1Xo5ZR6</t>
  </si>
  <si>
    <t>Samantha Gouldson</t>
  </si>
  <si>
    <t>RT @WorthingWeb: One ought to learn not to write #python on a #Friday #badjoke https://t.co/103KC07KNO</t>
  </si>
  <si>
    <t>By the sea</t>
  </si>
  <si>
    <t>Bookworm, writer, tea drinker, Marvel fan, Browncoat, mother, spoonie, carer. Science editor for @JumpMag. Not a complete idiot, some parts are missing.</t>
  </si>
  <si>
    <t>Rhea Palicha</t>
  </si>
  <si>
    <t>IBM_Social Media Specialist- My tweets, my opinions -Keeping Austin weird</t>
  </si>
  <si>
    <t>Robert Kalman</t>
  </si>
  <si>
    <t>Learning #Codesters @icodeinschool at @EdSurge #bcasaedsurge - Ss create using #Python #kidscancode #edtech https://t.co/DvvjU32GGi</t>
  </si>
  <si>
    <t>MS Computer Tech Teacher. Google Educator &amp; #EdTech Presenter. 1:1 #iPadEd. @PixelPressGame @BloxelsBuilder EIR. Passionate facilitator of student innovation.</t>
  </si>
  <si>
    <t>RT @robert_kalman: Learning #Codesters @icodeinschool at @EdSurge #bcasaedsurge - Ss create using #Python #kidscancode #edtech https://t.co…</t>
  </si>
  <si>
    <t>#Outlook https://t.co/asiZ3QgEzK #Python #MachineLearning #AI #Trading #Forex #ForexTrading $SPY $SPX $EURUSD https://t.co/Vub5nXFObH</t>
  </si>
  <si>
    <t>Ahmed Ali</t>
  </si>
  <si>
    <t>Giza</t>
  </si>
  <si>
    <t>https://t.co/CvII9aw7zM</t>
  </si>
  <si>
    <t>#Python: Decimal to Binary #Tech #News #HowTo https://t.co/DQQCgWXExJ</t>
  </si>
  <si>
    <t>okipow</t>
  </si>
  <si>
    <t>よさがあった／正規表現リテラルは本当に必要なのか？ #pyconjp2014 #python https://t.co/wRsByO5aOs @SlideShareさんから</t>
  </si>
  <si>
    <t>備忘録としてつぶやいています。プライベートを大切に。</t>
  </si>
  <si>
    <t>#Python: Decimal to Binary #Tech #Question #HowTo https://t.co/zXUtWiQ4SZ</t>
  </si>
  <si>
    <t>Na'Tosha Bard</t>
  </si>
  <si>
    <t>Also, #Python vs. #Ruby: A genuine source of marital discord. #ProgrammerCoupleProblems</t>
  </si>
  <si>
    <t>Software developer, video game enthusiast, and fan of all things Linux. Builds teams that build tech. Lead of Engineering Tools at Unity Technologies.</t>
  </si>
  <si>
    <t>Mike</t>
  </si>
  <si>
    <t>@natosha_bard #Python!</t>
  </si>
  <si>
    <t>Nerdistan</t>
  </si>
  <si>
    <t>What I care &amp; talk about: @klustout &amp; her #NScnn &amp; #OnChina, #Linux, free speech, social justice, books, PC(!!) games, politics, #Schalke04</t>
  </si>
  <si>
    <t>Facundo Batista</t>
  </si>
  <si>
    <t>Turpial</t>
  </si>
  <si>
    <t>Buenos Aires, Argentina</t>
  </si>
  <si>
    <t>Me gusta de todo, especialmente Python, rocanrol, sexo, tenis, ingeniería, nudismo, sin orden en particular.</t>
  </si>
  <si>
    <t>[b0t]Demo / Portfolio Ideas for Back-End Dev https://t.co/ZrqFTM6COr #python</t>
  </si>
  <si>
    <t>mcleeren</t>
  </si>
  <si>
    <t>RT @MediaTekLabs: #IoT webinars next week - reserve your place for programming and commercial tips #developer #python #Linux #Arduino https…</t>
  </si>
  <si>
    <t>Stockholm</t>
  </si>
  <si>
    <t>Mimmis Cleeren, Global Director of Marketing, MediaTek Labs. Tweets reflect my own opinions and interests, not necessaily my employer's.</t>
  </si>
  <si>
    <t>Алексей Подгорный</t>
  </si>
  <si>
    <t>#Gunicorn 'Green Unicorn' is a #Python WSGI HTTP Server for #UNIX https://t.co/CXhkMPWEya</t>
  </si>
  <si>
    <t>AllegiantRecruitment</t>
  </si>
  <si>
    <t>Hiring for clients in #Brighton #python #django https://t.co/Mr5MvNxgOf</t>
  </si>
  <si>
    <t>#Recruitment experts across #FinTech and #Payments #Search #Interims #Contract #resources with exceptional standards of service and quality.</t>
  </si>
  <si>
    <t>RT @InDataLabs: Still not sure which one to choose between #R &amp; #Python?Check out our blog to make a decision https://t.co/DtY0xsmiU5 #BigD…</t>
  </si>
  <si>
    <t>LearnLanguages</t>
  </si>
  <si>
    <t>RT @jamsovaluesmart: Learning #python language? See our Pinterest board with 40+ guides and tips https://t.co/Oel1Kv3BZn #data https://t.co…</t>
  </si>
  <si>
    <t>England</t>
  </si>
  <si>
    <t>Bringing you the latest news from language learning websites.</t>
  </si>
  <si>
    <t>en tiempo real #python</t>
  </si>
  <si>
    <t>Rasha Rashad</t>
  </si>
  <si>
    <t>#comingsoon #backpacks #camouflage #3colors #musthave #ss16 #super #trendy #python #leather #style #madrid... https://t.co/0R4SyBqAlG</t>
  </si>
  <si>
    <t>Cairo-Barcelona</t>
  </si>
  <si>
    <t>A Marketer With Special Interest In Social Media, Fashion and Middle Eastern Cuisine, I Break Rules, Chase My Dreams, I Run, I Box And I'm Addicted to Spinnng !</t>
  </si>
  <si>
    <t>Frederick Wagner</t>
  </si>
  <si>
    <t>Seriously: why is a SyntaxError still the easiest way to discover that a #PyPI package only supports #Python 2? https://t.co/zbCyCjNyC5</t>
  </si>
  <si>
    <t>Python Wrangler</t>
  </si>
  <si>
    <t>Experfy</t>
  </si>
  <si>
    <t>Join a vibrant #Slack community w/ hundreds interested in #bigdata #analytics #apachespark #tableau #python &amp; more. https://t.co/Jc3DtZtDxd</t>
  </si>
  <si>
    <t>Harvard Innovation Lab, Boston</t>
  </si>
  <si>
    <t>Based in The Harvard Innovation Launch Lab (@innovationlab). We are a disruptive platform for on-demand hiring of #bigdata experts. Think McKinsey in the cloud.</t>
  </si>
  <si>
    <t>CICS-NC</t>
  </si>
  <si>
    <t>The Cooperative Institute for Climate and Satellites-North Carolina. A NOAA and North Carolina State University cooperative institute.</t>
  </si>
  <si>
    <t>RT @ABERDYN_Recrute: @PyQR Bonjour Abdelmalek, nous avons une offre de #dév #fullstack avec des projets en #Python ? Si vous êtes intéressé…</t>
  </si>
  <si>
    <t>As an exercise in learning Python I wrote a Ferret Motion Detection algorithm! https://t.co/j2JynygT8j #Python I've been programming C++…</t>
  </si>
  <si>
    <t>Pycharm database / model diagrammes https://t.co/LzWHuNe6CB #Python Has anyone used pycharm model or database diagrammes? Whenn I try to…</t>
  </si>
  <si>
    <t>Cant get out of my password loop https://t.co/qXsmIxilMQ #Python Hey everyone. After being gone for about half a year I started programm…</t>
  </si>
  <si>
    <t>I linguaggi di programmazione più amati? #Java, l'universo C... e #Python! https://t.co/MBunUsD8FZ</t>
  </si>
  <si>
    <t>Python Eggs</t>
  </si>
  <si>
    <t>Running Compiled Code on Azure ML in R and Python https://t.co/xe9H0jePWQ #python https://t.co/2td3TsEkqs</t>
  </si>
  <si>
    <t>amazing-news</t>
  </si>
  <si>
    <t>#python addict</t>
  </si>
  <si>
    <t>s.kitty●•°○~•▪°</t>
  </si>
  <si>
    <t>RT @PythonEggs: Running Compiled Code on Azure ML in R and Python https://t.co/xe9H0jePWQ #python https://t.co/2td3TsEkqs</t>
  </si>
  <si>
    <t xml:space="preserve">soⓂewhere </t>
  </si>
  <si>
    <t>Tech enthusiast. Founder of Open My Lab. Clinical epidemiologist. Robotics manager (Arduino, VR, drones) @daiyangIoT. Join our community robotics workshops!</t>
  </si>
  <si>
    <t>David Golden</t>
  </si>
  <si>
    <t>Senior engineer @MongoDB. I like building things, solving problems and playing games, occasionally at the same time.</t>
  </si>
  <si>
    <t>agramajo</t>
  </si>
  <si>
    <t>Hotot for Chrome</t>
  </si>
  <si>
    <t>Director at BAICOM Networks and extremely curious</t>
  </si>
  <si>
    <t>NaimiRoaYusti</t>
  </si>
  <si>
    <t>Dra. Área de la salud. Lectora ávida.Ciencia ,política ,arte, jazz y ¡el fútbol! UCV Atenta..</t>
  </si>
  <si>
    <t>RT @randal_olson: Is there a #Python #DataScience package that automatically cleans data sets for analysis? Encodes strings as numbers, imp…</t>
  </si>
  <si>
    <t>[b0t]Debugging memory usage in a live Python web app https://t.co/t7weFH0XWv #python</t>
  </si>
  <si>
    <t>久しぶりに読書メーターの読んだ本の記録更新。これで7冊完了。しかし7冊中5冊が #Python 本って、どうなのorz #stapy →https://t.co/qCRRFCYuZr #bookmeter</t>
  </si>
  <si>
    <t>Oliver Seidel</t>
  </si>
  <si>
    <t>RT @Aspekt_32: Which programming language should you use #codeing #lordoftherings #aspekt32 #developers #java #python #JS #php #c https://t…</t>
  </si>
  <si>
    <t>Tech #recruiter helping software talent (#Java) (#PHP) (#Javascript) (#mobile) (#Ruby) finding #jobs all over the #DACH region --- #Aspekt32</t>
  </si>
  <si>
    <t>Karl Watkins</t>
  </si>
  <si>
    <t>Dreamer. Creator. Humanist. I love stories and relish every opportunity to apply my passion for technologies old and new to tell them. 3D art is my forte.</t>
  </si>
  <si>
    <t>Metro Pulse</t>
  </si>
  <si>
    <t>RT @ledzeptickets: "CONSTRICTING" thought "SCALING" the spectrum of thought. https://t.co/biwcyGXfkY #python #Florida</t>
  </si>
  <si>
    <t>Hyperlocal focused entertainment information for targeted markets.</t>
  </si>
  <si>
    <t>Big DataScience Flow</t>
  </si>
  <si>
    <t>Big Data news flow</t>
  </si>
  <si>
    <t>Big Data, Data Science, Huge Data, Analytics, Business Intelligence, Hadoop, Data Influencer news</t>
  </si>
  <si>
    <t>Practical Predictive Modeling with Python https://t.co/gZTiFjM2Mw #DataScience #Python #MachineLearning</t>
  </si>
  <si>
    <t>Lannhu Khuat</t>
  </si>
  <si>
    <t>Sneaking love notes into #python hw https://t.co/7XUy6EM2zD</t>
  </si>
  <si>
    <t>UCSB</t>
  </si>
  <si>
    <t>Researcher &amp; writer on the low</t>
  </si>
  <si>
    <t>Job - Senior Content Publishing Manager - 949353. Are you a fit? in Redmond, WA https://t.co/4ANu5iNTkV #python #ruby #angular</t>
  </si>
  <si>
    <t>Lola Fariñas</t>
  </si>
  <si>
    <t>Maldigo a #Matlab que modificó mi mente para que me sea más difícil pensar en #Python (desde Consejo Sup…) en #Yelp https://t.co/cdIWlzhLDc</t>
  </si>
  <si>
    <t>Yelp</t>
  </si>
  <si>
    <t>Madrid, Spain</t>
  </si>
  <si>
    <t>En los momentos de crisis,sólo la imaginación es más importante que el conocimiento~Einstein #Series #Cine #Deporte #ArtistaFrustrada #Investigación #RealMadrid</t>
  </si>
  <si>
    <t>Javier Colmenero</t>
  </si>
  <si>
    <t>RT @tonyojeda3: Practical Predictive Modeling with Python https://t.co/gZTiFjM2Mw #DataScience #Python #MachineLearning</t>
  </si>
  <si>
    <t>Senior Software Engineer interested in IoT, Big Data and embedded systems development</t>
  </si>
  <si>
    <t>Dong Nguyen</t>
  </si>
  <si>
    <t>Simple Augmented Reality With OpenCV, Three.js and WebSockets #augmented #reality #3d #opencv #threejs #python https://t.co/yTFBZUkaXj</t>
  </si>
  <si>
    <t>Da Nang, Vietnam</t>
  </si>
  <si>
    <t>Full-stack web developer who love Node.js, Python, system architect, UX design and Agile development.</t>
  </si>
  <si>
    <t>OliverBernard</t>
  </si>
  <si>
    <t>JavaScript and Java fend off challenges from PHP, Python https://t.co/r5wIkjby0q #Java #Python #Javascript #technology #london #jobs #php</t>
  </si>
  <si>
    <t>London - www.agilelondon.com</t>
  </si>
  <si>
    <t>A leading #Technology #recruitment consultancy (Perm &amp; Contract - UK &amp; Europe) Java, .Net, Web, QA, BA/PM &amp; DevOps | 020 7952 5720 | Organisers of Agile London</t>
  </si>
  <si>
    <t>Alex</t>
  </si>
  <si>
    <t>I'm case you missed my updates: all the @CCLGroupLtd open source #python modules can be found: https://t.co/HDMlDNRIGI #DFIR</t>
  </si>
  <si>
    <t>Music, Fuzz Pedals, Digital Forensics, Cat Pictures</t>
  </si>
  <si>
    <t>Diego van Haaster</t>
  </si>
  <si>
    <t>Trelew</t>
  </si>
  <si>
    <t>The 'van' has no capital letter!</t>
  </si>
  <si>
    <t>#Python pandas extract values from dict within a list #Tech #News #HowTo https://t.co/6ePUE3Ysgu</t>
  </si>
  <si>
    <t>RT @Learningcode_Qc: On cherche quelques passionnés de #Python pour un petit #CodeCafé le 5 mars @lecampquebec. https://t.co/f0sQLQfhrg</t>
  </si>
  <si>
    <t>#python logging to stdout in git bash #Tech #News #HowTo https://t.co/cia5gGEf4B</t>
  </si>
  <si>
    <t>Jesse Roberts</t>
  </si>
  <si>
    <t>MRW I misuse an API... That I just wrote. #python https://t.co/q0PMLDxkLf</t>
  </si>
  <si>
    <t>Idaho</t>
  </si>
  <si>
    <t>Saved by Grace; Husband; Father; Python; Linux, 3D Printing; Bicycling;</t>
  </si>
  <si>
    <t>Recommended Reading: Think Complexity: Complexity Science and Computational Modeling https://t.co/9wlMl9y9Fc #DataScience #BigData #Python</t>
  </si>
  <si>
    <t>#Python pandas extract values from dict within a list #Tech #Question #HowTo https://t.co/NYQLYUuZaU</t>
  </si>
  <si>
    <t>#python logging to stdout in git bash #Tech #Question #HowTo https://t.co/54QjbM8UPv</t>
  </si>
  <si>
    <t>Mikko Ohtamaa</t>
  </si>
  <si>
    <t>#Python package dependency analysis from PyPi https://t.co/vRLRBX5vvB - 74k packages</t>
  </si>
  <si>
    <t>Bitcoin, open source, infosec hacker and Helsinki Python meetup organizer</t>
  </si>
  <si>
    <t>fogproxy - FogBugz scout report proxy with attachment support pypi: https://t.co/GbFBllpG0A www: https://t.co/YV11VoIKFa #python</t>
  </si>
  <si>
    <t>[b0t]XPath/lxml for JSON objects https://t.co/NDSuAvj7gC #python</t>
  </si>
  <si>
    <t>RT @yashaka: @yashaka true #selenium wrapper https://t.co/JPQWQWQGJ1 &amp; howto implement it https://t.co/6QPfzs6AkK #seleniumcamp #selenide #…</t>
  </si>
  <si>
    <t>Learn Viral</t>
  </si>
  <si>
    <t>#BIGDATA #Python Step by Step: Build a Data Analysis Program 92% off – $15 https://t.co/EVgahY01WR #LearnViral.com #course #udemycoupon.l…</t>
  </si>
  <si>
    <t>#learn, #freebies, #courses, #learnfree,#webinarreply, #contest</t>
  </si>
  <si>
    <t>RT @py3k: fogproxy - FogBugz scout report proxy with attachment support pypi: https://t.co/GbFBllpG0A www: https://t.co/YV11VoIKFa #python</t>
  </si>
  <si>
    <t>#Python Matthew Rocklin: Distributed Dask Arrays: This work is supported by Continuum… https://t.co/WCgM2ydGXD https://t.co/QKYO39oof2</t>
  </si>
  <si>
    <t>#Python Peter Bengtsson: Whatsdeployed on only one site: Last year I developed a web app called "Whatsdeployed".… https://t.co/2xFOmNAmWu</t>
  </si>
  <si>
    <t>Cennet</t>
  </si>
  <si>
    <t>Part of this #responsibility is STOP buying species that outgrow its aquarium/vivarium #python #iguana #goldfish etc https://t.co/qoZ7otgUBv</t>
  </si>
  <si>
    <t>Ncentral Ohio</t>
  </si>
  <si>
    <t>Blogging interpretive naturalist/citizen scientist working 2 replenish heaven on earth. Nature's still teaching me. Member OH Prairie Association.</t>
  </si>
  <si>
    <t>Benjamin M. Brown</t>
  </si>
  <si>
    <t>Basic zeromq request/response pattern in Python: https://t.co/J8u90CSmtO #zeromq #python #messaging #distributed</t>
  </si>
  <si>
    <t>Sr Front End Engineer at AIM Consulting, Formerly @PinpointCare #AngularJs, #node, #javascript, #js, #blockchain, #dataviz #datascience #python #zeromq #d3</t>
  </si>
  <si>
    <t>Slackbot in python, draws monitoring graphs https://t.co/BLBlWs4h7d #Python submitted by /u/morinonaka[link] [comments]</t>
  </si>
  <si>
    <t>#python local variables vs self #HowTo #Question #Tech https://t.co/ZLoxleeXid</t>
  </si>
  <si>
    <t>Alejandro Santos</t>
  </si>
  <si>
    <t>Django Girls at @CERN @djangogirls #python https://t.co/1yQzkFwg1b</t>
  </si>
  <si>
    <t>"Slackbot in python, draws monitoring graphs" via #Python https://t.co/j6RIUzkCMO</t>
  </si>
  <si>
    <t>"As an exercise in learning Python I wrote a Ferret Motion Detection algorithm!" via #Python https://t.co/FeftXmPhNH</t>
  </si>
  <si>
    <t>Interactive Plotting with rBokeh - great @BokehPlots post via @tejaykodali on @datascienceplus https://t.co/Cc6KwLA8C0 #Python</t>
  </si>
  <si>
    <t>Hiring: Sr. Software Engineer (Seattle, WA) https://t.co/cDt1wCyhFS #job @awscloud #AWS #java #python #ruby #fullstackengineer</t>
  </si>
  <si>
    <t>Pablo Pefaur Guevara</t>
  </si>
  <si>
    <t>Paris - Rue Mouffetard</t>
  </si>
  <si>
    <t>Una pizca de Chile, beaucoup de SEO and some lama dreams...</t>
  </si>
  <si>
    <t>DATAVERSITY</t>
  </si>
  <si>
    <t>Today's new blog by Steve Miller on The Evolution of #Python for #DataScience https://t.co/jQiauodHpy #NumPy #Pandas #Rlanguage #SmartData</t>
  </si>
  <si>
    <t>DATAVERSITY is an online trade journal that provides centralized education &amp; resources in data management with webinars, seminars, &amp; conferences</t>
  </si>
  <si>
    <t>Klodian Dhana</t>
  </si>
  <si>
    <t>RT @ContinuumIO: Interactive Plotting with rBokeh - great @BokehPlots post via @tejaykodali on @datascienceplus https://t.co/Cc6KwLA8C0 #Py…</t>
  </si>
  <si>
    <t>Rotterdam, Netherlands</t>
  </si>
  <si>
    <t>PhD student in Cardiovascular Epidemiology at the Erasmus MC</t>
  </si>
  <si>
    <t>Mkonline</t>
  </si>
  <si>
    <t>.Antonmc's #Confoo session Exploring David Bowie's lyrics with #Python, Watson &amp;amp;amp; #Bluemix. (Fontaine H) https://t.co/dSWVwjl53E</t>
  </si>
  <si>
    <t>España</t>
  </si>
  <si>
    <t>En constante aprendizaje en un mundo digital en cambio. #Marketing, #socialmedia</t>
  </si>
  <si>
    <t>Kutu Kampret</t>
  </si>
  <si>
    <t>RT @pyletter: Building a better user experience for deploying #Python web applications. https://t.co/syMih780VT</t>
  </si>
  <si>
    <t>Happy Cute Bug!!; Running (in background) on 32-bit;</t>
  </si>
  <si>
    <t>Projeto Eu Posso Programar da Microsoft https://t.co/9wXU3t7lAU #Microsoft #EuPossoProgramar #HoraDoCódigo #Python https://t.co/GZ4Tn8PJoM</t>
  </si>
  <si>
    <t>Projeto Eu Posso Programar da Microsoft https://t.co/IPWJ4SXB3n #Microsoft #EuPossoProgramar #HoraDoCódigo #Python https://t.co/4QO07PShlK</t>
  </si>
  <si>
    <t>Jadson Santos</t>
  </si>
  <si>
    <t>RT @wp_mais: Projeto Eu Posso Programar da Microsoft https://t.co/9wXU3t7lAU #Microsoft #EuPossoProgramar #HoraDoCódigo #Python https://t.…</t>
  </si>
  <si>
    <t xml:space="preserve">Pinhão </t>
  </si>
  <si>
    <t>Desenvolvedor Nokia, Microsoft Windows Phone 8! Criador e desenvolvedor dos Apps Frases S2, Bloquear Photos, Bloquear Face e ZAP ZAP Lock!</t>
  </si>
  <si>
    <t>KingsIey Tagbo</t>
  </si>
  <si>
    <t>IT Career Coach on What Jobs Can You Do With SQL? https://t.co/n2YhM1gpoV #sas #rdbms #hadoop #python #bigdata https://t.co/JNB7fm4prA</t>
  </si>
  <si>
    <t>IT Career Coach</t>
  </si>
  <si>
    <t>O'Fallon, Missouri, USA</t>
  </si>
  <si>
    <t>#Discover Your #Passion Or #Strengths #Develop Your #Strengths Or Do The #Work You #Love Bring Your #Strengths To #Market Learn More: http://t.co/YQwhq9PP2L</t>
  </si>
  <si>
    <t>Jack Nolddor</t>
  </si>
  <si>
    <t>In Cádiz (Spain)</t>
  </si>
  <si>
    <t>#SegaGenesis / #Megadrive Homebrew Developer</t>
  </si>
  <si>
    <t>Jody Burnett</t>
  </si>
  <si>
    <t>@TeeBusters Let's make a #python shirt for all the #DataScience fans. @ThePSF it puts the squeeze on #BigData https://t.co/9q1jyxll0r</t>
  </si>
  <si>
    <t>Texas, USA</t>
  </si>
  <si>
    <t>@ArrowedEagle @IT_Discreet @CiboloComputer @MyLawnCleaners @ThreatDetectors @buttonpushgames @BigDataBurnett @MyChocoBox @TigerTieDyes @MissionNeptune</t>
  </si>
  <si>
    <t>Big Data Hour</t>
  </si>
  <si>
    <t>RT @IGSoldiersCoach: @TeeBusters Let's make a #python shirt for all the #DataScience fans. @ThePSF it puts the squeeze on #BigData https://…</t>
  </si>
  <si>
    <t>Follow us for the latest #BigData and #Analytics news, articles and trends across the globe!</t>
  </si>
  <si>
    <t>How to Setup #Microservices Architecture in #Python with ZeroMQ &amp; #Docker https://t.co/e0hZlrhtJ8 https://t.co/hr5Lziuu3N</t>
  </si>
  <si>
    <t>Codea</t>
  </si>
  <si>
    <t>RT @py3k: qcrash - A crash report framework for PyQt/PySide applications pypi: https://t.co/qJdnaHqukF www: https://t.co/BzNdsqKbrf #python</t>
  </si>
  <si>
    <t> El wootsbot</t>
  </si>
  <si>
    <t>Trying to write my first markov bot using markovify... https://t.co/gWZ4yaHKce #Python I am simply trying to run this basic code given a…</t>
  </si>
  <si>
    <t>#python fogproxy 0.5.0: FogBugz scout report proxy with attachment support https://t.co/u9w1ykfdwG</t>
  </si>
  <si>
    <t>#python pstats_print2list 1.1.2: Add to pstats library of cProfile the feature of get the result in a list with… https://t.co/fY5UhIzhMn</t>
  </si>
  <si>
    <t>#python msbackup 1.2: Generic backup utility. https://t.co/V81m0zOUYY</t>
  </si>
  <si>
    <t>#python barySSH v0.1.2: Proxy which uses simple time-based XOR scheme to make heuristic detection of underlying… https://t.co/pLjeoE851j</t>
  </si>
  <si>
    <t>#python wetransferpy 0.1.5: WeTransfer https://t.co/XKCwaQ8Rxy</t>
  </si>
  <si>
    <t>#python fh-django-common 0.2.4: A Django app to provide common functionality in Django projects https://t.co/JVLIFpzXxT</t>
  </si>
  <si>
    <t>#python proteome 5.1.3: project management for neovim https://t.co/zxBDzU0nEc</t>
  </si>
  <si>
    <t>#python python-object-persistence 0.9.1: Easily save, load, query your Python objects with SQLite3. https://t.co/wJPxatkDy5</t>
  </si>
  <si>
    <t>#python klue-client-server 0.0.60: Swagger + Flask + Grequests + Bravado = Client/Server auto-spawning https://t.co/SkITo8QMe4</t>
  </si>
  <si>
    <t>#python andor 1.14: Object-oriented interface for Andor EMCCD cameras https://t.co/NORx2BKNHJ</t>
  </si>
  <si>
    <t>kappa121</t>
  </si>
  <si>
    <t>OpenTween</t>
  </si>
  <si>
    <t>駒場幼稚園の離れの鶏小屋</t>
  </si>
  <si>
    <t>大学院でぷらすちっくを融かして遊んでいます。 / サイエンスカフェ・科学実験教室・宇宙教育リーダー・科学コミュニケーション / RasPiとかQtとか / 横浜県民 / 柏陽だった 千葉大だった</t>
  </si>
  <si>
    <t>Skilloak</t>
  </si>
  <si>
    <t>Getting the Most Out of Anaconda for Your Cluster https://t.co/MkMTnW4Hfv #python #DataScience</t>
  </si>
  <si>
    <t>-- Quality tutorials to learn #BigData , #Analytics &amp; #Python - -</t>
  </si>
  <si>
    <t>Django Stars</t>
  </si>
  <si>
    <t>@EuroPython #conference announced call for proposals and early bird tickets sale. Hurry up! https://t.co/Ni7blsmRAf #events #django #python</t>
  </si>
  <si>
    <t>We are a top #agile software development company in Europe: #Python, #Django, #Nodejs, #AngularJS, #iOS, #Android Experts</t>
  </si>
  <si>
    <t>Olly Downs</t>
  </si>
  <si>
    <t>Abhineet</t>
  </si>
  <si>
    <t>Python script to get open ports on list of IPs stored in censys.io : https://t.co/HFkx2g4Qum #Python @rapid7 https://t.co/Zy6WmGs1e5</t>
  </si>
  <si>
    <t>1.0.0.721</t>
  </si>
  <si>
    <t>I know you can find more about me :)</t>
  </si>
  <si>
    <t>[b0t]Simple Python 3 Script to Monitor Google Apps https://t.co/HSOezFnecP #python</t>
  </si>
  <si>
    <t>Johannes Hoppe</t>
  </si>
  <si>
    <t>django-zappa just joined Django-CC, w00t! https://t.co/LuXhJUPQDr #Django #Contributing #OpenSource #Python</t>
  </si>
  <si>
    <t>Lead Software Engineer &amp; Design Thinker Python &amp; Django</t>
  </si>
  <si>
    <t>Bruno Wu 吳本浩</t>
  </si>
  <si>
    <t>RT @DistrictDataLab: Recommended Reading: Think Complexity: Complexity Science and Computational Modeling https://t.co/9wlMl9y9Fc #DataScie…</t>
  </si>
  <si>
    <t>Data Scientist @realtordotcom. Building data products. Work in progress.</t>
  </si>
  <si>
    <t>Talent.io</t>
  </si>
  <si>
    <t>Vous êtes #développeur: trouvez votre dream job sur Talent.io - #Startups ou groupes établis, 1000 des meilleures entreprises #tech sont sur notre plateforme.</t>
  </si>
  <si>
    <t>[b0t] How hard is the Py-3 upgrade path? https://t.co/NjlumSHQhN #python</t>
  </si>
  <si>
    <t>#GetConnected: #Data engineers. If you're into #gaming, our contact has the perfect job. #AWS #Python #SQL #R https://t.co/ZB7mLhGZCD</t>
  </si>
  <si>
    <t>Gabriela Voicu</t>
  </si>
  <si>
    <t>maker and breaker of things. one day you'll get to brag about knowing me. pronouns: she, her, hers</t>
  </si>
  <si>
    <t>RT @ITCareerCoach: IT Career Coach on What Jobs Can You Do With SQL? https://t.co/n2YhM1gpoV #sas #rdbms #hadoop #python #bigdata https://…</t>
  </si>
  <si>
    <t>#dask provides a natural parallel computing approach on #BigData for #Python and #PyData. https://t.co/NeCNmRb5D4, https://t.co/0O0KW6yq4k</t>
  </si>
  <si>
    <t>Dave Warner</t>
  </si>
  <si>
    <t>RT @teoliphant: #dask provides a natural parallel computing approach on #BigData for #Python and #PyData. https://t.co/NeCNmRb5D4, https:/…</t>
  </si>
  <si>
    <t>Beaver Creek, AZ</t>
  </si>
  <si>
    <t>EduardoRL</t>
  </si>
  <si>
    <t>Málaga</t>
  </si>
  <si>
    <t>El fracaso solo es la oportunidad de volver a empezar de un modo más inteligente. Henry Ford</t>
  </si>
  <si>
    <t>engineering_tech</t>
  </si>
  <si>
    <t>#Research #engineering #technology #datascientist #science #physics</t>
  </si>
  <si>
    <t>Chicago, IL Senior Software Engineer - Full stack Python #HTML5 #PHP #Python #SQL #AWS #WebServices #Django #GIT</t>
  </si>
  <si>
    <t>RT @codek_tv: Automate the Boring Stuff with Python Programming ☞ https://t.co/KcBF99wJBh #python #programming https://t.co/lWz196yRCp</t>
  </si>
  <si>
    <t>Atlanta, GA Senior Linux Systems Administrator - Linux Engineer #Perl #PHP #Python #Linux #Unix #MySQL</t>
  </si>
  <si>
    <t>Seattle, WA Build Engineers: 2 #CSharp #CPP #Java #JavaScript #Perl #Python #Ruby #SQL #Linux #Mac #ASPNET #Apache #IIS75 #GIT</t>
  </si>
  <si>
    <t>New Orleans, LA GIS and Applications Developer #HTML5 #Java #JavaScript #Python #SQL #WebServices #MySQL</t>
  </si>
  <si>
    <t>T.J. Alumbaugh</t>
  </si>
  <si>
    <t>developer @ContinuumIO</t>
  </si>
  <si>
    <t>Denver, CO Software Delivery Engineer #Java #Perl #Python #Ruby #AWS #Linux</t>
  </si>
  <si>
    <t>San Diego, CA Senior Python Developer #CSS3 #HTML5 #JavaScript #Python #JSON #WebServices #Unix #MySQL #jQuery</t>
  </si>
  <si>
    <t>Gimp Scripts</t>
  </si>
  <si>
    <t>#GIMP #gimpscripts Diego Mosaic Lyle Style https://t.co/knOSZQCHr8 #scheme #python</t>
  </si>
  <si>
    <t>GIMP Script and Plug-in Repository</t>
  </si>
  <si>
    <t>San Francisco, CA Security Analyst @ Glassdoor #Python #Ruby #AWS #WebServices #Linux #Mac</t>
  </si>
  <si>
    <t>#python local variables vs self #Tech #News #HowTo https://t.co/2PPnLfOmLp</t>
  </si>
  <si>
    <t>Codesters</t>
  </si>
  <si>
    <t>Codesters is the platform and curriculum empowering educators to teach coding in schools. #codinginschool #cs4all #csk8 #teachkidscode</t>
  </si>
  <si>
    <t>Christine Spies</t>
  </si>
  <si>
    <t>RT @PythonWeekly: watson-word-watcher - A proof of concept using IBM's Speech-to-Text API to do quick-and-dirty transcriptions https://t.co…</t>
  </si>
  <si>
    <t>“It’s nice to be important, but it’s more important to be nice.”</t>
  </si>
  <si>
    <t>Андрей Палий</t>
  </si>
  <si>
    <t>Украина, г. Киев</t>
  </si>
  <si>
    <t>San Francisco, CA Senior Platform Engineer - JAVA, AWS, NoSQL #Java #Perl #Python #SQL #AWS #MySQL</t>
  </si>
  <si>
    <t>Los Angeles, CA Backend Developer #PHP #Python #AWS #WebServices #AngularJS</t>
  </si>
  <si>
    <t>Los Angeles, CA Open Source Web Developers #CSS #Java #JavaScript #NodeJS #PHP #Python #Ruby #SQL #Mac #AngularJS #Laravel #MySQL #GIT</t>
  </si>
  <si>
    <t>Boston, MA Systems Architect #PHP #Python #Ruby #AWS #WebServices</t>
  </si>
  <si>
    <t>Boston, MA Senior Web Developer: AngularJS #CSharp #Java #JavaScript #Python #Ruby #MVC</t>
  </si>
  <si>
    <t>#python local variables vs self #Tech #Question #HowTo https://t.co/3MjjlOmWJf</t>
  </si>
  <si>
    <t>Miami, FL Software Developer / Front-end #CSharp #CSS3 #HTML5 #Java #JavaScript #NodeJS #PHP #Python #Ruby #SQL #WebServices #AngularJS</t>
  </si>
  <si>
    <t>jobs alibaba search</t>
  </si>
  <si>
    <t>#Python Developer Full Stack Python API TDD Web #jobs #UK #: #London-London, Python Developer / Full Stack Pyt... https://t.co/ACKbNAkFiM</t>
  </si>
  <si>
    <t>https://t.co/WfSZPIjWyJ | #Jobs #Vacancies #Career #jobsearch The Best Job Search Websites https://t.co/WfSZPIjWyJ worldwide jobs ali baba 500K $ for you</t>
  </si>
  <si>
    <t xml:space="preserve"> Elmer Thomas </t>
  </si>
  <si>
    <t>#Python API tools: https://t.co/XaapdFOif5</t>
  </si>
  <si>
    <t>Inland Empire, California</t>
  </si>
  <si>
    <t>Father, Husband and Friend. Continually learning, so I can serve with quality. Developer Experience Engineer @SendGrid</t>
  </si>
  <si>
    <t>Herson Leite</t>
  </si>
  <si>
    <t>Simple zsh function to load virtualenv and rename tmux window - https://t.co/g5STCw5oa8 #python #django #zsh</t>
  </si>
  <si>
    <t>Imperatriz</t>
  </si>
  <si>
    <t>Can you answer this? Python command-line Tic Tac Toe for two humans https://t.co/7oKSiZMoj3 #python</t>
  </si>
  <si>
    <t>Vinay Babu</t>
  </si>
  <si>
    <t>RT @cambridgecoding: #ccadatasci launch!! Super excited for Day 1 of the Data Science Bootcamp in #Python https://t.co/ZZmtVo0DxG</t>
  </si>
  <si>
    <t>I’m real and I hope someone I following are too..90% of your problems can be solved by marketing. Solving the other 10% just requires good procrastination skill</t>
  </si>
  <si>
    <t>RT webdevers Los Angeles, CA Open Source Web Developers #CSS #Java #JavaScript #NodeJS #PHP #Python #Ruby #SQL #Mac #AngularJS #Laravel #My…</t>
  </si>
  <si>
    <t>Python 3 in 2016 https://t.co/aPk1w2SWXx via @pycoders #python #django</t>
  </si>
  <si>
    <t>#python pinax-lms-activities 0.16.2: framework and base learning activities for Pinax LMS https://t.co/6ri2MPzCbo</t>
  </si>
  <si>
    <t>"Cant get out of my password loop" via #Python https://t.co/0D9XnGslGj</t>
  </si>
  <si>
    <t>Piotr Stola</t>
  </si>
  <si>
    <t>#PyCode #Carrots starting soon in Koszalin Poland, #mc2kwadrat is full on new #python developers :) https://t.co/K0zMRRFVnZ</t>
  </si>
  <si>
    <t>.NET Developer / Software Architect of web applications. Enthusiast of https://t.co/qKRmcNLmCu MVC and Devexpress MVC. Trying to improve code every day.</t>
  </si>
  <si>
    <t>Jice Lavocat</t>
  </si>
  <si>
    <t>Toulon</t>
  </si>
  <si>
    <t>Jean-Christophe Lavocat. Founder @elokenz_com Tags : #Centralien, #SEO, #Science, #PhD, #Startup #Blogging #MarTech #Growth #frenchTech</t>
  </si>
  <si>
    <t>[b0t] Just finished Automate The Boring Stuff With Python, what are some good next steps to dig deeper? https://t.co/2Tu1xjXFg3 #python</t>
  </si>
  <si>
    <t>Raspberry Pi</t>
  </si>
  <si>
    <t>The official Twitter account for the Raspberry Pi Foundation. News and info about our low-cost mini PC.</t>
  </si>
  <si>
    <t>hypercat.py - Library for working with Hypercat catalogues pypi: https://t.co/of3xS8QELs www: https://t.co/qMemE1TgYE #python</t>
  </si>
  <si>
    <t>RT @py3k: hypercat.py - Library for working with Hypercat catalogues pypi: https://t.co/of3xS8QELs www: https://t.co/qMemE1TgYE #python</t>
  </si>
  <si>
    <t>Vincent</t>
  </si>
  <si>
    <t>Washington, D.C.</t>
  </si>
  <si>
    <t>Wondering, wandering, always idea-ating. You can lean on me while you tie your shoes. #Design #Data #Bicyles #Inequalities. RT ^!~=endorsement.</t>
  </si>
  <si>
    <t>RT https://t.co/E7FwfWMyZL Los Angeles, CA Open Source Web Developers #CSS #Java #JavaScript #NodeJS #PHP #Python #Ruby #SQL #Mac #Angular…</t>
  </si>
  <si>
    <t>RT https://t.co/PEZeLu3Iae Boston, MA Senior Web Developer: AngularJS #CSharp #Java #JavaScript #Python #Ruby #MVC</t>
  </si>
  <si>
    <t>RT @LillianEdmiston: RT https://t.co/E7FwfWMyZL Los Angeles, CA Open Source Web Developers #CSS #Java #JavaScript #NodeJS #PHP #Python #Rub…</t>
  </si>
  <si>
    <t>RT @LillianEdmiston: RT https://t.co/PEZeLu3Iae Boston, MA Senior Web Developer: AngularJS #CSharp #Java #JavaScript #Python #Ruby #MVC</t>
  </si>
  <si>
    <t>RT https://t.co/cOrt1hjVWa Miami, FL Software Developer / Front-end #CSharp #CSS3 #HTML5 #Java #JavaScript #NodeJS #PHP #Python #Ruby #SQL…</t>
  </si>
  <si>
    <t>RT @LillianEdmiston: RT https://t.co/cOrt1hjVWa Miami, FL Software Developer / Front-end #CSharp #CSS3 #HTML5 #Java #JavaScript #NodeJS #PH…</t>
  </si>
  <si>
    <t>sugan</t>
  </si>
  <si>
    <t>RT https://t.co/lh1gGm4KBC RT webdevers Los Angeles, CA Open Source Web Developers #CSS #Java #JavaScript #NodeJS #PHP #Python #Ruby #SQL …</t>
  </si>
  <si>
    <t>RT @LillianEdmiston: RT https://t.co/lh1gGm4KBC RT webdevers Los Angeles, CA Open Source Web Developers #CSS #Java #JavaScript #NodeJS #PHP…</t>
  </si>
  <si>
    <t>Chris Neugebauer</t>
  </si>
  <si>
    <t>Did you know that #Python has optional static typing? You don't? Come to St-Pierre at 14:00 and learn how! #ConFoo https://t.co/ohmSvKjqUl</t>
  </si>
  <si>
    <t>Hobart, Australia</t>
  </si>
  <si>
    <t>Man about the world; Tasmanian open tech community guy (looking for work: https://t.co/wOjFskDZGg); once #pyconau and now #lca2017 director. He/Him/His</t>
  </si>
  <si>
    <t>Alan McCullagh</t>
  </si>
  <si>
    <t>Orange/Caderousse/Courthézon84</t>
  </si>
  <si>
    <t>Rower - Rameur - Irish+French geek/nerd - Introverted optimist : Fabro Ergo Sum - I tink(er) therefore I am - Je bricole donc je suis</t>
  </si>
  <si>
    <t>Debian New Packages</t>
  </si>
  <si>
    <t>New package: #python-positional Version: 1.0.1-1 by Thomas Goirand ... https://t.co/lFlEP8ATKT</t>
  </si>
  <si>
    <t>The new Debian packages waiting in the NEW queue. See also @debianupload, @debianbug and @debianremove Maintained by @SylvestreLedru</t>
  </si>
  <si>
    <t>#Python Log file count per Hour per IP #Tech #Question #HowTo https://t.co/4c1DvKNFNc</t>
  </si>
  <si>
    <t>Zeke Hausfather</t>
  </si>
  <si>
    <t>Climate/Energy Scientist, U.C. Berkeley. Focus on instrumental temperature data, model/observation comparisons, and lifecycle climate impacts of energy systems.</t>
  </si>
  <si>
    <t>Zack Labe</t>
  </si>
  <si>
    <t>Irvine, CA</t>
  </si>
  <si>
    <t>UC Irvine ESS PhD student | Cornell U Atmospheric Sci BSc | Brazen weather freak | Shy foodie | Roadside oddity navigator | Likely outside in your nearest storm</t>
  </si>
  <si>
    <t>Benjamin Cook</t>
  </si>
  <si>
    <t>Climate scientist, interested in drought, phenology, and land surface feedbacks. Occasional dendrochronologist. All opinions solely my own and not my employer.</t>
  </si>
  <si>
    <t>Treasure Data, Inc.</t>
  </si>
  <si>
    <t>Level UP! #Python Client Library v0.4.1 was released: https://t.co/YgnhsViQBk</t>
  </si>
  <si>
    <t>Treasure Data provides analytics infrastructures designed for simplicity and scale. The company that created @fluentd, @msgpack, @embulk and @fluentbit</t>
  </si>
  <si>
    <t>On the #MachineLearning blog: Running Compiled Code on #AzureML in #R and #Python https://t.co/IiBski7nAU</t>
  </si>
  <si>
    <t>Freddy Pant Room</t>
  </si>
  <si>
    <t>Friday Night! Let's go Out! Sweet JoyceJoanFit in her Wr.Up Snakeprint! #wrup #python #freddypantroom https://t.co/9T5MvFXoVJ</t>
  </si>
  <si>
    <t>Antwerp, Belgium</t>
  </si>
  <si>
    <t>Freddy Pant Room - the Freddy WR.UP Denim, Fashion &amp; Sports Pants flagship store in Antwerp (BE) #FreddyPantRoom #WRUP - Like us on http://t.co/b03XpQKX7A</t>
  </si>
  <si>
    <t>Zahir Gudiño</t>
  </si>
  <si>
    <t>Desarrollador (frustrado) fullstack | OSS | Pro defensa animales | Loving @Maliben2886</t>
  </si>
  <si>
    <t>Python MySQL connection https://t.co/BGhh6KXklD #Python Hello - currently learning python and I want to connect my PyCharm IDE to my My…</t>
  </si>
  <si>
    <t xml:space="preserve"> Initios Desarrollos</t>
  </si>
  <si>
    <t>¿Cómo programar tu propio asistente personal en #python ? vía @fossbytes https://t.co/gPvLxFKIRz https://t.co/djo7ilZ24X</t>
  </si>
  <si>
    <t>#Python cycle through functions for each list item #HowTo #Question #Tech https://t.co/yJxYbtUWhH</t>
  </si>
  <si>
    <t>#Python re.compile, split string into two while preserving delimiter #HowTo #Question #Tech https://t.co/LE3jc9J3uh</t>
  </si>
  <si>
    <t>carles san agustin</t>
  </si>
  <si>
    <t>Django stack on Docker - https://t.co/Z4jcZR3T9Z #docker #container #django #python #stack</t>
  </si>
  <si>
    <t>Twuffer</t>
  </si>
  <si>
    <t>For hire! DevOps Coach &amp; Trainer. Team &amp; Project Manager. Photos, mountains, movies, swimming &amp; beers!</t>
  </si>
  <si>
    <t>MSAdvAnalytics: On the #MachineLearning blog: Running Compiled Code on #AzureML in #R and #Python https://t.co/ntvxMfn1sc</t>
  </si>
  <si>
    <t>Convinced one lab member to upgrade his code base from #Python 2 to Python 3. Small victories. :-) #programming</t>
  </si>
  <si>
    <t>ggCarrots</t>
  </si>
  <si>
    <t>#GoCarrots #Python Po raz pierwszy w #Koszalin https://t.co/wC5ttUgTPe</t>
  </si>
  <si>
    <t>Warsaw, Poland</t>
  </si>
  <si>
    <t>Community for women who love IT &amp; Tech. Regular meetings &amp; workshops in Poland, USA, Berlin, London, Luxembourg, Dublin ... - open to anybody interested in IT.</t>
  </si>
  <si>
    <t>Noor Din</t>
  </si>
  <si>
    <t>13 graphs on Outer Space, Satellites, and #Astrophysics made in #Python or #R HT @Rbloggers https://t.co/yd3F9kVA4X https://t.co/noer1C3kGj</t>
  </si>
  <si>
    <t>Tech Enthusiast | Special interests #Analytics #BigData #MachineLearning | @Dreamforce #DF15 | MSc ACT #DataAnalytics student @BirkbeckBEI</t>
  </si>
  <si>
    <t>MarinerLLC: MSAdvAnalytics: On the #MachineLearning blog: Running Compiled Code on #AzureML in #R and #Python https://t.co/KXduZrKgvG</t>
  </si>
  <si>
    <t>Remote OK Jobs</t>
  </si>
  <si>
    <t>.@unhaggle is now hiring! Looking for a remote Python Developer #python #dev #digitalnomad 👉 https://t.co/EpEbAtdIgj</t>
  </si>
  <si>
    <t>Remote OK | Firehose</t>
  </si>
  <si>
    <t>This account tweets all new @remote_ok jobs / @remoteok_nodejs @remoteok_php @remoteok_ux @remoteok_ios</t>
  </si>
  <si>
    <t>GEPRODE</t>
  </si>
  <si>
    <t>Consultora especializada en la gestión del CONOCIMIENTO y la INNOVACIÓN. Experiencia, conocimiento y flexibilidad para ayudarte https://t.co/ZWeizmybWA</t>
  </si>
  <si>
    <t>Daycry</t>
  </si>
  <si>
    <t>RT @dirfooddrink: RT webdevers Los Angeles, CA Open Source Web Developers #CSS #Java #JavaScript #NodeJS #PHP #Python #Ruby #SQL #Mac #Angu…</t>
  </si>
  <si>
    <t>oauthwebamazon</t>
  </si>
  <si>
    <t>NL Energiecollectief</t>
  </si>
  <si>
    <t>Vanwege enorme groei zijn wij op zoek naar een #Python Developer. Kijk op onze #Facebook pagina voor meer informatie #vacature</t>
  </si>
  <si>
    <t>Gemert</t>
  </si>
  <si>
    <t>NL Energiecollectief is het meest unieke en onafhankelijke energiecollectief voor de particulier en klein zakelijke markt in Nederland.</t>
  </si>
  <si>
    <t>RT @webdevers: Los Angeles, CA Open Source Web Developers #CSS #Java #JavaScript #NodeJS #PHP #Python #Ruby #SQL #Mac #AngularJS #Laravel #…</t>
  </si>
  <si>
    <t>franck ebel</t>
  </si>
  <si>
    <t>RT @yprez: How to Setup #Microservices Architecture in #Python with ZeroMQ &amp; #Docker https://t.co/e0hZlrhtJ8 https://t.co/hr5Lziuu3N</t>
  </si>
  <si>
    <t>Maubeuge, Nord-Pas-de-Calais</t>
  </si>
  <si>
    <t>IT Security &amp; hacking Expert R&amp;D pour #servalconcept, Responsable licence #CDAISI , Commandant de gendarmerie reserviste</t>
  </si>
  <si>
    <t>Hans Mooibroek</t>
  </si>
  <si>
    <t>RT @NLenergiecollec: Vanwege enorme groei zijn wij op zoek naar een #Python Developer. Kijk op onze #Facebook pagina voor meer informatie #…</t>
  </si>
  <si>
    <t>Patrick Bartmess</t>
  </si>
  <si>
    <t>RT @LondonAppDev: Our personal fav is #6 - The 9 Most In-Demand Programming Languages of 2016 https://t.co/4pzeSKxwMl via @codingdojo #pyth…</t>
  </si>
  <si>
    <t>Omaha, Nebraska</t>
  </si>
  <si>
    <t>Jack of some trades, Master of none; Dabbler; Dilettante; Neurology, pen and ink, history, economics, weaving, physics, psychology, clay sculpture, religion?</t>
  </si>
  <si>
    <t>Dr. Alireza Mokri</t>
  </si>
  <si>
    <t>DBA from Edinburgh Business School . Vision : Organizing the world's resources ...</t>
  </si>
  <si>
    <t>PerfectGebouwbeheer</t>
  </si>
  <si>
    <t>Purebred Breeders (purebredbreeder) is hiring https://t.co/WuyzTtW2Ps #manager #python</t>
  </si>
  <si>
    <t>RT https://t.co/OPVPpLCfIF RT webdevers: Los Angeles, CA Open Source Web Developers #CSS #Java #JavaScript #NodeJS #PHP #Python #Ruby #SQL…</t>
  </si>
  <si>
    <t>RT @LillianEdmiston: RT https://t.co/OPVPpLCfIF RT webdevers: Los Angeles, CA Open Source Web Developers #CSS #Java #JavaScript #NodeJS #PH…</t>
  </si>
  <si>
    <t>#Python data #visualizations on the Iris dataset | Kaggle https://t.co/V2XZFYAElk</t>
  </si>
  <si>
    <t>Bitly</t>
  </si>
  <si>
    <t>#Python cycle through functions for each list item #Tech #News #HowTo https://t.co/DKZDnCGsl2</t>
  </si>
  <si>
    <t>Django Girls Rio</t>
  </si>
  <si>
    <t>Domingo serão finalizadas as inscrições para o melhor workshop do mundo! https://t.co/FZ2KMnweIW #Python #Django https://t.co/bAHIFbnr3D</t>
  </si>
  <si>
    <t>chibaf</t>
  </si>
  <si>
    <t>RT @mattmcd: #Python data #visualizations on the Iris dataset | Kaggle https://t.co/V2XZFYAElk</t>
  </si>
  <si>
    <t>$L^p(\Omega)$</t>
  </si>
  <si>
    <t>i am interested in mathematical sciences and other things (anime, manga, music, ...). i often tweet as my memorandums.</t>
  </si>
  <si>
    <t>Mark Asbach</t>
  </si>
  <si>
    <t>(Co-)Founder of @pixolus, a mobile vision startup based in Cologne.</t>
  </si>
  <si>
    <t>philip_w_morris: MSAdvAnalytics: On the #MachineLearning blog: Running Compiled Code on #AzureML in #R and #Python https://t.co/qij1XQ1j4N</t>
  </si>
  <si>
    <t>#Python cycle through functions for each list item #Tech #Question #HowTo https://t.co/87PuFbZ90j</t>
  </si>
  <si>
    <t>Always more to learn, a few good ones in here: https://t.co/SfPIQ5z35H #python #code #programming</t>
  </si>
  <si>
    <t>GlukAlex</t>
  </si>
  <si>
    <t>#Python #Data #Visualizations #tutorial by #BenHamner in Iris pandas, #matplotlib, &amp; seaborn libraries https://t.co/19v583ccZ8</t>
  </si>
  <si>
    <t>Бывает непреодолимое желание почитать короткие тексты ...</t>
  </si>
  <si>
    <t>Sourav Basu</t>
  </si>
  <si>
    <t>Developer, Python Enthusiast, Social Coder</t>
  </si>
  <si>
    <t>Masahiro Tanaka 田中昌宏</t>
  </si>
  <si>
    <t>twitcle plus</t>
  </si>
  <si>
    <t>Tsukuba</t>
  </si>
  <si>
    <t>Research fellow at CCS, University of Tsukuba | Pwrake | Ruby/NArray | Infrared Astronomy</t>
  </si>
  <si>
    <t>😍 Sublime! 😍 @HelloTrussle need a Full-stack Developer &gt; https://t.co/LUD22wZQDR &lt; #AngularJS #nodejs #AWS #python https://t.co/RQ57Cp7D9X</t>
  </si>
  <si>
    <t>Pablo Ferreira</t>
  </si>
  <si>
    <t>"A primeira linha importa a biblioteca 'datetime' para que possamos usá-la." Tá aprendendo a programar? Acostume-se com isso. #Python</t>
  </si>
  <si>
    <t>Blogueiro não profissional. Telegram: https://t.co/AzQ1uj7T29</t>
  </si>
  <si>
    <t>Félix Gómez</t>
  </si>
  <si>
    <t>RT @initios_com: ¿Cómo programar tu propio asistente personal en #python ? vía @fossbytes https://t.co/gPvLxFKIRz https://t.co/djo7ilZ24X</t>
  </si>
  <si>
    <t>Vigo</t>
  </si>
  <si>
    <t>Freelance Web Programmer &amp; PHPVigo Organizer</t>
  </si>
  <si>
    <t>oneshotlife_tom</t>
  </si>
  <si>
    <t>はてなブログに投稿しました #はてなブログ Python文法:文字列 #Python - oneshotlife-pythonのブログ https://t.co/Vvlk4VvTI9 https://t.co/9wl0sHhrZK</t>
  </si>
  <si>
    <t>宮城県黒川郡大郷町</t>
  </si>
  <si>
    <t>30歳無職透明。憂国愛国日本男児。写真はとある漫画喫茶にて。必死にパソコンにかじりついております・・・。</t>
  </si>
  <si>
    <t>Quest Groups</t>
  </si>
  <si>
    <t>Hiring: Senior Automation Engineer #javascript #python #engineering #BayArea Apply here: https://t.co/xihsnUuAww https://t.co/UKAIbBHavD</t>
  </si>
  <si>
    <t xml:space="preserve">California, Texas, NYC </t>
  </si>
  <si>
    <t>We're a human capital investment firm, Connecting Hand-Selected Talent and Emerging Companies</t>
  </si>
  <si>
    <t>Mike Rodrick</t>
  </si>
  <si>
    <t>Host at https://t.co/rdBExvB5Jo, providing the most up to date IT training available. Streaming live everyday. Watch for free at https://t.co/hKK7xaI8OD</t>
  </si>
  <si>
    <t>Twitter Search Rule: #rstats</t>
  </si>
  <si>
    <t>R-bloggers</t>
  </si>
  <si>
    <t>inegiR version 1.2 https://t.co/IdQuQnyI8L #rstats #DataScience</t>
  </si>
  <si>
    <t>r-bloggers.com</t>
  </si>
  <si>
    <t>Twitting blog posts from the R blogosphere</t>
  </si>
  <si>
    <t>RProgramming.net</t>
  </si>
  <si>
    <t>inegiR version 1.2: (This article was first published on En El Margen - R-English, and... https://t.co/JPngZdwFXP @rbloggers #rstats</t>
  </si>
  <si>
    <t>http://t.co/FJLZ7rPGRK provides help to R users with simple explanations and examples of commonly used R code.</t>
  </si>
  <si>
    <t>Matthew Giglia</t>
  </si>
  <si>
    <t>How to get your very own RStudio Server and Shiny Server with DigitalOcean https://t.co/B2U7n6PJ41 #rstats via daattali</t>
  </si>
  <si>
    <t>Rochester NY</t>
  </si>
  <si>
    <t>Andrew B. Collier</t>
  </si>
  <si>
    <t>inegiR version 1.2 https://t.co/QEGgpJqGHF #rstats</t>
  </si>
  <si>
    <t>RSS/Atom Feed Tweeter</t>
  </si>
  <si>
    <t>Durban, South Africa</t>
  </si>
  <si>
    <t>Geek, hacker, (mung|wrangl)er, speaker, runner, blogger. Social media automation. #rstats http://t.co/mwziKOcd6a</t>
  </si>
  <si>
    <t>Philip Marais</t>
  </si>
  <si>
    <t>RT @Rbloggers: text2vec GloVe implementation details https://t.co/wLl6YvrKqa #rstats #DataScience</t>
  </si>
  <si>
    <t>Everything analytics, science and sports.</t>
  </si>
  <si>
    <t>RT @AnalyticsVidhya: What does the output of rotated components in R display? https://t.co/98tgmnxNxP #rstats #helpdatascientist #datascien…</t>
  </si>
  <si>
    <t>DailyRpackage</t>
  </si>
  <si>
    <t>coxrobust - Robust Estimation in Cox Model https://t.co/rwzOQxhTBn #RStats</t>
  </si>
  <si>
    <t>I tweet one random R package every day #R #rstats #data #stats #ML by @ASvanevik</t>
  </si>
  <si>
    <t>RT @Rbloggers: Working with the Clinton State Dept Email Dumps in R (Part 1: Graphs) https://t.co/isTfTbr9KM #rstats #DataScience</t>
  </si>
  <si>
    <t>Raymond E Peck III</t>
  </si>
  <si>
    <t>Los Altos, CA</t>
  </si>
  <si>
    <t>Hacker at amazing OS Big Data Machine Learning startup @h2oai. Been doing lots of different kinds of startups since Pure Software (great IPO in 1995).</t>
  </si>
  <si>
    <t>Daeseong Kim</t>
  </si>
  <si>
    <t>RT @Rbloggers: inegiR version 1.2 https://t.co/IdQuQnyI8L #rstats #DataScience</t>
  </si>
  <si>
    <t>Seoul, South Korea</t>
  </si>
  <si>
    <t>Math, Stat, Programming, Energy Trading and Risk Management</t>
  </si>
  <si>
    <t>Esteban Ponce d León</t>
  </si>
  <si>
    <t>RT @PythonDaily: Essentials of #MachineLearning Algorithms (with #Python and R Code) https://t.co/GJytcSRw8C #BigData #DataScience #Rstats …</t>
  </si>
  <si>
    <t>México, D.F.</t>
  </si>
  <si>
    <t>Data visualization with JavaScript libraries and Python. Developing Programa EVA: Analysis of Congress</t>
  </si>
  <si>
    <t>D</t>
  </si>
  <si>
    <t>RT @Rbloggers: Read from hdfs with R. Brief overview of SparkR. https://t.co/VjED2lxRbb #rstats #DataScience</t>
  </si>
  <si>
    <t>curious and happy girl!</t>
  </si>
  <si>
    <t>Abdulfatai Shakir</t>
  </si>
  <si>
    <t>Twitter for BlackBerry®</t>
  </si>
  <si>
    <t>M.sc Statistics. #an Hotelier, Estimator, Auditor. #Passionate about Big Data world. Hospitality professional#Making it hapen in the Data world.</t>
  </si>
  <si>
    <t>Ermia Bivatan</t>
  </si>
  <si>
    <t>RT @hadleywickham: Using multiple models for EDA: purrr + tidyr + dplyr = https://t.co/lDZ7G8Ce9S #rstats #wombat2016</t>
  </si>
  <si>
    <t>Data Scientist &amp; Open Source Developer, Interested in NoSQL, Big Data &amp; Mongodb. R, Python, Matlab &amp; Latex Expert.</t>
  </si>
  <si>
    <t>Ndjido Ardo BAR</t>
  </si>
  <si>
    <t>Paris/France</t>
  </si>
  <si>
    <t>new name</t>
  </si>
  <si>
    <t>RT @LearnRinaDay: Read from hdfs with R. Brief overview of SparkR: https://t.co/T5nUmoj337 #hdf #BigData #DataScience #rstats #OpenSource #…</t>
  </si>
  <si>
    <t>Klamath Falls, OR</t>
  </si>
  <si>
    <t>ditch digging to earn money veteran umatilla Indian.</t>
  </si>
  <si>
    <t>Suman Khanal</t>
  </si>
  <si>
    <t>RT @earlconf: Exciting news! R Conference reception for #EARL2016 to be held at Tower of London! #rstats https://t.co/dBlZeoV3P9 https://t.…</t>
  </si>
  <si>
    <t>Kathmandu, Nepal</t>
  </si>
  <si>
    <t>Lumbini, Nepal: Birthplace of Gautam Buddha, Messenger of Peace</t>
  </si>
  <si>
    <t>Erin P. Price</t>
  </si>
  <si>
    <t>RT @Rbloggers: bayesboot: An R package for doing the Bayesian bootstrap https://t.co/Rq7IM9GkZQ #rstats #DataScience</t>
  </si>
  <si>
    <t>Darwin, Northern Territory</t>
  </si>
  <si>
    <t>Microbiologist | Molecular biologist | B. pseudomallei MLST database curator | Bioinformatics enthusiast @MenziesResearch. ORCID ID: 0000-0002-1079-4882</t>
  </si>
  <si>
    <t>Sourav Chatterjee</t>
  </si>
  <si>
    <t>Don't like histograms? Density estimators might be better. #rstats #DataScience #analytics https://t.co/fHuotZh11g</t>
  </si>
  <si>
    <t>San Jose, CA</t>
  </si>
  <si>
    <t>Then Scientist, now Data Scientist. PhD. Engineer. Curious. Politics,science nerd. @CarnegieMellon, @iitmadras Alum.</t>
  </si>
  <si>
    <t>CRAN Package Updates</t>
  </si>
  <si>
    <t>New CRAN package ggbeeswarm with initial version 0.5.0 https://t.co/0QdYpl5sce #rstats</t>
  </si>
  <si>
    <t>CRANberries Feed</t>
  </si>
  <si>
    <t>New CRAN package SensMixed with initial version 2.0-9 https://t.co/0QdYpl5sce #rstats</t>
  </si>
  <si>
    <t>CRAN updates: babynames midrangeMCP RNetCDF https://t.co/y5W2NTKSXT #rstats</t>
  </si>
  <si>
    <t>Neeraj Khanchandani</t>
  </si>
  <si>
    <t>RT @rdpeng: Possible sale of Yahoo makes me sad. It was their search engine that led me to #rstats in the first place! https://t.co/uHm1IgR…</t>
  </si>
  <si>
    <t>Fabio Zottele</t>
  </si>
  <si>
    <t>Trento, ITALY</t>
  </si>
  <si>
    <t>Coding for food</t>
  </si>
  <si>
    <t>UKStartupEvents</t>
  </si>
  <si>
    <t>Top Email Retweets</t>
  </si>
  <si>
    <t>Live updates for Startup + Tech Events &amp; Jobs Throughout the United Kingdom!</t>
  </si>
  <si>
    <t>Jianguo Jiang</t>
  </si>
  <si>
    <t>RT @KirkDBorne: A Complete Tutorial on Time Series Modeling in R: https://t.co/7oI6JKyU4E #MachineLearning #DataScience #Rstats by @Analyti…</t>
  </si>
  <si>
    <t>Eduardo Flores</t>
  </si>
  <si>
    <t>Economist from @TecdeMty | Data Scientist @Fahorro | Columnist @Reporte_Indigo</t>
  </si>
  <si>
    <t>PyDataMadrid2016</t>
  </si>
  <si>
    <t>Entre las propuestas tenemos mucho Python. #julialang #rstats #spark tenéis hasta hoy para proponer charla/taller https://t.co/k0rJ36qGAG :)</t>
  </si>
  <si>
    <t>Conferencia sobre Python, R, Julia, datos, análisis, visualización,... 8-10, Abril, 2016, Madrid</t>
  </si>
  <si>
    <t>Steve Powell</t>
  </si>
  <si>
    <t>Great overview of tools for #reproducible science research #rstats Full Stack Science https://t.co/yTym5x0ES9</t>
  </si>
  <si>
    <t>Sarajevo.</t>
  </si>
  <si>
    <t>I am a social scientist and program evaluator based in Sarajevo specialising in research methods</t>
  </si>
  <si>
    <t>Peter Dalgaard</t>
  </si>
  <si>
    <t>@AgEconomist It's actually easier these days (since #rstats 2.14.0): read.table() and scan() allow text=</t>
  </si>
  <si>
    <t>Taya AC</t>
  </si>
  <si>
    <t>@TierneyNicholas And we're off!! Visualising data completeness with visdat. #rstats https://t.co/AmN9oxD8zU https://t.co/sQqof0a3D3</t>
  </si>
  <si>
    <t>Statistics may be dull, but it has its moments. Junior Biostatistician - Monash Univerity, Victoria Australia</t>
  </si>
  <si>
    <t>Liam Ellul</t>
  </si>
  <si>
    <t>RT @ExpectAPatronum: Movement patterns of my cat. Looks like his appointments change with the season B-) @Tractive @RCatLadies #rstats http…</t>
  </si>
  <si>
    <t>program manager @microsoft. words my own.</t>
  </si>
  <si>
    <t>Ilari Scheinin</t>
  </si>
  <si>
    <t>Snowsplows of Helsinki, Finland with #rstats, #shiny, and #leafletjs https://t.co/PEzQGa1T8N #opendata #avoindata https://t.co/slQM4OPt77</t>
  </si>
  <si>
    <t>#OneWorldOneFuture</t>
  </si>
  <si>
    <t>RT @RLangTip: Change the direction of plot axis labels with las {0,1,2,3} e.g. plot(x,y,las=1) #rstats https://t.co/yppChnYeJf</t>
  </si>
  <si>
    <t>RT @RLangTip: search() is an easy way to find out what packages are loaded and available for use: https://t.co/p09MqF45Au #rstats</t>
  </si>
  <si>
    <t>RT @KirkDBorne: Useful packages (libraries) for Data Analysis in R: https://t.co/haRKopFyly #DataScience #Rstats by @analyticsvidhya https:…</t>
  </si>
  <si>
    <t>RT @datiobdEng: 13 #graphs on Outer Space, Satellites and #Astrophysics made in Python or R https://t.co/Ctt1VA1Tv4 #rstats #datascience vi…</t>
  </si>
  <si>
    <t>Mango Solutions</t>
  </si>
  <si>
    <t>Introduction to #Python for Data Analysis course - London 24-25 Feb https://t.co/XiTtqRiPVw #rstats #analysis https://t.co/UmAKi3PB7B</t>
  </si>
  <si>
    <t>Bath</t>
  </si>
  <si>
    <t>Leading Data Science &amp; Pharma Software Company &amp; R Language Experts. Top R Training Company. Organisers of @earlconf #LondonR #rstats #datascience #R</t>
  </si>
  <si>
    <t>Harold Velásquez</t>
  </si>
  <si>
    <t>Estadístico Especialista en Finanzas y Administración Pública.</t>
  </si>
  <si>
    <t>Victor Perrier</t>
  </si>
  <si>
    <t>RT @hadleywickham: Cool ggplot2 exts: interactive https://t.co/WCGJCLrT3e, horizontal https://t.co/iGg12A4DIg, tech themes https://t.co/qYw…</t>
  </si>
  <si>
    <t>Rommel Carvalho</t>
  </si>
  <si>
    <t>Brasília, DF, Brazil</t>
  </si>
  <si>
    <t>Tuija Sonkkila</t>
  </si>
  <si>
    <t>Goal: write the decrypt function of https://t.co/GdFjeaNqX9 in #rstats Tough, but on the bright side, opportunity to learn some AES @YleAPI</t>
  </si>
  <si>
    <t>Helsinki, Finland</t>
  </si>
  <si>
    <t>Data curator at Aalto University. When out of office, in the (rain)forest with binoculars and a travel zoom.</t>
  </si>
  <si>
    <t>Sonja Eisenbeiss</t>
  </si>
  <si>
    <t>update #Rstats list: #downloads #reading #tutorial #resources https://t.co/m03JEBd5K0 #bigdata #corpusresources #linguistics #CogSci #NLProc</t>
  </si>
  <si>
    <t>Colchester,UK</t>
  </si>
  <si>
    <t>#CogSci #rstats #bigdata #NLProc #Psycholinguistics #LanguageLearning #LanguageDevelopment #LanguageGames https://t.co/8fni2mCElr</t>
  </si>
  <si>
    <t>RT @ilarischeinin: Snowsplows of Helsinki, Finland with #rstats, #shiny, and #leafletjs https://t.co/PEzQGa1T8N #opendata #avoindata https:…</t>
  </si>
  <si>
    <t>Dr Roger Seiler</t>
  </si>
  <si>
    <t>Zurich</t>
  </si>
  <si>
    <t>#digital #CRM, #mobile, #disruptive #tech, #trust, #business #informatics, #eHealth &amp; #Zurich.</t>
  </si>
  <si>
    <t>Christian</t>
  </si>
  <si>
    <t>markheckmann</t>
  </si>
  <si>
    <t>RT @BobMuenchen: War may settle what the best langage for #analytics is. https://t.co/sBWz0YVXX3 #rstats #python #julialang #statistics @Th…</t>
  </si>
  <si>
    <t>Bremen</t>
  </si>
  <si>
    <t>Lecturer University of Bremen, Germany http://t.co/1CWqNfxhlb</t>
  </si>
  <si>
    <t>RT @abresler: Another must check out #rstats presentation from @cpsievert with tons of @plotlygraphs goodness https://t.co/EWhVv1llL3</t>
  </si>
  <si>
    <t>Andreas Giesen</t>
  </si>
  <si>
    <t>[The only constant is change - Nobody said it was easy - Devil in the details] #IoT #Industrie40 #BigData #Knowledge #Analytics #DevOps #AI Views are my own.</t>
  </si>
  <si>
    <t>Up to 97% off all #Udemy online courses, inc. #rstats courses: https://t.co/70baHzoEX0 https://t.co/i4B7QnsMud</t>
  </si>
  <si>
    <t>Juan A. Lleó</t>
  </si>
  <si>
    <t>#R #Rstats #programming #python #resources #MachineLearning #Analytics #DataScience #tutorial https://t.co/hcZVviWh4R</t>
  </si>
  <si>
    <t>Madrid (Spain)</t>
  </si>
  <si>
    <t>Arte digital y electroacústica / Digital art &amp; Electroacoustic Music</t>
  </si>
  <si>
    <t>Yle API</t>
  </si>
  <si>
    <t>RT @ttso: Goal: write the decrypt function of https://t.co/GdFjeaNqX9 in #rstats Tough, but on the bright side, opportunity to learn some A…</t>
  </si>
  <si>
    <t>Official account of Finnish Broadcasting Company (YLE) API team</t>
  </si>
  <si>
    <t>significantstats</t>
  </si>
  <si>
    <t>sig_statsServerBot</t>
  </si>
  <si>
    <t>Sharing statistical quotes and interesting statistical topics</t>
  </si>
  <si>
    <t>Frederik Naujoks</t>
  </si>
  <si>
    <t>Bayern, Deutschland</t>
  </si>
  <si>
    <t>Phd in cognitive ergonomics, working on topics related to human factors and ergonomics. Personal account.</t>
  </si>
  <si>
    <t>carl carrie</t>
  </si>
  <si>
    <t>Analyzing and visualizing using R, Clinton State Dept Email Dumps #rstats - part 1 https://t.co/C8G0SUptjb</t>
  </si>
  <si>
    <t>Meanderings on markets, maths, miasmas, multiverses, mayhem ... maybe more. ¯\_(ツ)_/¯ Views are my own. BBG: NH TWT_CARLCARRIE</t>
  </si>
  <si>
    <t>How to see arguments of a function in R? https://t.co/LQa5uqCUNi #helpdatascientist #rstats #analytics</t>
  </si>
  <si>
    <t>Bo Schwartz Madsen</t>
  </si>
  <si>
    <t>Nogen har taget https://t.co/SsHGhkJMvU og lavet det til farvepaletter i #rstats. Undskyld mig, mens jeg tegner alle mine grafer om.</t>
  </si>
  <si>
    <t>PhD student in climate science. Data juggler. NBA writer. Makes the Danish NBA podcast 'Under Kurven'. Tweets in Danish/English. Snapchat: boschwartz</t>
  </si>
  <si>
    <t>Pepper Lii</t>
  </si>
  <si>
    <t>(future ;)data scientist</t>
  </si>
  <si>
    <t>Taking the Next Step with Census Data https://t.co/scRrwfDvFM #rstats #DataScience via @RBloggers</t>
  </si>
  <si>
    <t>cywhale Weng</t>
  </si>
  <si>
    <t>Ecol-ist</t>
  </si>
  <si>
    <t>RT @arun_sriniv: My #useR2015 talk on 6 useful features for data wrangling with #rdatatable #rstats http://t.co/eTOdp4Ygr0 http://t.co/LV7d…</t>
  </si>
  <si>
    <t>Jaroslav Reken</t>
  </si>
  <si>
    <t>RT @dr_eldersveld: Getting Started w/ R Maps in Microsoft #PowerBI - a short tutorial: https://t.co/MA2nG39icm #rstats #dataviz https://t.c…</t>
  </si>
  <si>
    <t>Czech Republic</t>
  </si>
  <si>
    <t>Joyful Craftsmen, Microsoft SQL Server Enthusiast, Czech PASS Co-Leader, Business Intelligence Consultant</t>
  </si>
  <si>
    <t>Jonathon Frampton</t>
  </si>
  <si>
    <t>director people analytics @ bswh || father of amazing kids || wife not a day over fast cars and freedom || crossfit || http://t.co/QV4ctMAIfw</t>
  </si>
  <si>
    <t>Jeffrey Yu</t>
  </si>
  <si>
    <t>GloVe vs word2vec revisited. https://t.co/DYtpkdff1H #rstats #DataScience</t>
  </si>
  <si>
    <t>Analyzing texts with text2vec package https://t.co/uj3Igxefrn #rstats #DataScience</t>
  </si>
  <si>
    <t>Marouane Hachicha</t>
  </si>
  <si>
    <t>RT @Rbloggers: Analyzing texts with text2vec package https://t.co/uj3Igxefrn #rstats #DataScience</t>
  </si>
  <si>
    <t>Nantes, Pays de la Loire</t>
  </si>
  <si>
    <t>PhD in Computer Sc. Researcher @UnivNantes #datascience #crowdsourcing. Outside office: running, swimming, reading, cooking, travelling &amp; learning languages. :)</t>
  </si>
  <si>
    <t>david f</t>
  </si>
  <si>
    <t>in limbo</t>
  </si>
  <si>
    <t>RT @Rbloggers: GloVe vs word2vec revisited. https://t.co/DYtpkdff1H #rstats #DataScience</t>
  </si>
  <si>
    <t>RT @DailyRpackage: coxrobust - Robust Estimation in Cox Model https://t.co/rwzOQxhTBn #RStats</t>
  </si>
  <si>
    <t>Antonio Sergio 安藤</t>
  </si>
  <si>
    <t>Campinas - São Paulo - Brasil</t>
  </si>
  <si>
    <t>Software developer and open source software enthusiast.</t>
  </si>
  <si>
    <t>haribhajan prajapati</t>
  </si>
  <si>
    <t>Indore, Mumbai, New Jersey</t>
  </si>
  <si>
    <t>IT Analyst, follows indian politics, puts his faith in books.</t>
  </si>
  <si>
    <t>jbryer</t>
  </si>
  <si>
    <t>Bayes Billiards problem as an #Rstats #Shiny app: https://t.co/1dIu0W8jTG</t>
  </si>
  <si>
    <t>albany, ny</t>
  </si>
  <si>
    <t>James Lloyd</t>
  </si>
  <si>
    <t>RT @michaelhoffman: It's funny @talyarkoni thinks that 2 ways to assign in #Rstats is excessive. Try: x &lt;- 1 x = 2 3 -&gt; x x &amp;lt;&amp;lt;- 4 5 -&amp;gt;&amp;gt; x …</t>
  </si>
  <si>
    <t>Berkeley, CA</t>
  </si>
  <si>
    <t>British molecular geneticist interested in splicing and RNA decay. Currently in the USA learning some computational biology.</t>
  </si>
  <si>
    <t>Punit Mishra</t>
  </si>
  <si>
    <t>Noida</t>
  </si>
  <si>
    <t>Manager (Data Science) @ Cognizant Technology Solutions. Ex-ThomsonReuters. Machine learning and Graph Analytics excite me.</t>
  </si>
  <si>
    <t>William Garcia Jr</t>
  </si>
  <si>
    <t>Seek wisdom, elevate your intellect and serve humanity (AAU)</t>
  </si>
  <si>
    <t>Pablo Vicente</t>
  </si>
  <si>
    <t>Bioinformatics. Vegetarian. Ecosia Ambassador. Complex networks. Passionate. Trying to help the environment. Open mind &amp; hard work.</t>
  </si>
  <si>
    <t>Reinnard Cabuy</t>
  </si>
  <si>
    <t>Michigan, USA</t>
  </si>
  <si>
    <t>Forest Ecologist | Papua State Univ (UNIPA) &amp; Michigan State Univ (MSU) | ~ tree growth models, tree-climate relationships &amp; global environmental issues#</t>
  </si>
  <si>
    <t>Frogwaves</t>
  </si>
  <si>
    <t>RT @jasonpriem: Great paper on the problem of fragmenting #rstats distribution ecosystem. https://t.co/e3huZA4JTJ https://t.co/WYcLpTcSA1</t>
  </si>
  <si>
    <t>San Francisco, CA | Oslo, NO</t>
  </si>
  <si>
    <t>#Enterprise #Intelligence Platform leveraging the Power of #AI, #BigData + #MachineLearning to enable intelliget business operations.</t>
  </si>
  <si>
    <t>Recent Shiny Apps</t>
  </si>
  <si>
    <t>New Shiny App: Power&amp;Sample Sizes Tool https://t.co/9I8XnNst4U #rstats https://t.co/qNIhaNyzgt</t>
  </si>
  <si>
    <t>ShinyappsRecent</t>
  </si>
  <si>
    <t>HOXOM, Japan</t>
  </si>
  <si>
    <t>Unofficial BOT to tweet recently created Shiny apps on http://t.co/9EhhBw9hud. Shiny apps are interactive web applications for data analysis using R.</t>
  </si>
  <si>
    <t>Andrea Kimberlin</t>
  </si>
  <si>
    <t>RT @microheather: woo i used #python and #rstats to understand how @PerezHilton viewed @thegrammys this year! https://t.co/OcKkwfe8vW https…</t>
  </si>
  <si>
    <t>Kentucky</t>
  </si>
  <si>
    <t>Miss Kentucky International 2016, Pageant girl, IT Professional, model, advocate for ADHD and #WomenInSTEM . All opinions are my own. https://t.co/GHL7vTUVeP</t>
  </si>
  <si>
    <t>10 great books about R: https://t.co/RshtkVQ4UF #abdsc #Rstats #DataScience via @DataScienceCtrl</t>
  </si>
  <si>
    <t>Jen Stirrup</t>
  </si>
  <si>
    <t>RT @KirkDBorne: 10 great books about R: https://t.co/RshtkVQ4UF #abdsc #Rstats #DataScience via @DataScienceCtrl</t>
  </si>
  <si>
    <t>Hertfordshire</t>
  </si>
  <si>
    <t>Business Intelligence &amp; Data Viz. PASS Board Director for Business Analytics. Author. Blogger. Tech maven. Flectere si nequeo superos, Acheronta movebo.</t>
  </si>
  <si>
    <t>Alex Bresler</t>
  </si>
  <si>
    <t>@hrbrmstr Bob you are seriously one of the best at making #rstats fun and pertinent to make even Joe Sixpack want to learn #rstats</t>
  </si>
  <si>
    <t>Gotham</t>
  </si>
  <si>
    <t>The stop-watch of history is running. The race is on . .</t>
  </si>
  <si>
    <t>Ashwin Swarup</t>
  </si>
  <si>
    <t>Bioecologie</t>
  </si>
  <si>
    <t>RT @annakrystalli: Our @Sheffield_R_ #BiodiversityHack delving into @NBNTrust data to help @WildSheffield coming soon, Join us! https://t.c…</t>
  </si>
  <si>
    <t>All things ecology, evolutionary biology, environmental sciences and ecotoxicology. Bioecologie is managed by 4 researchers: http://t.co/rh8geWJbq7</t>
  </si>
  <si>
    <t>Yari Lorenzo</t>
  </si>
  <si>
    <t>RT @Rbloggers: Read from hdfs with R. Brief overview of SparkR. https://t.co/1YPDtUVlqN #rstats #DataScience</t>
  </si>
  <si>
    <t>Almería, Andalucía</t>
  </si>
  <si>
    <t>Data Scientist, Machine Learning and Big Data.</t>
  </si>
  <si>
    <t>Sergio García</t>
  </si>
  <si>
    <t>Computer Programming, Data Visualization, Artificial Intelligence, Statistics, Data Mining, Security, Technology and Gadgets</t>
  </si>
  <si>
    <t>Gregory Dumas</t>
  </si>
  <si>
    <t>RT @odsc: Taking the Next Step with Census Data https://t.co/scRrwfDvFM #rstats #DataScience via @RBloggers</t>
  </si>
  <si>
    <t>GWU political science major interested in the intersection between #tech and #policy. Tweets about opensource, data, foreign policy, and defense issues.</t>
  </si>
  <si>
    <t>Great quick and fun tutorial showing you how to do some #BayseianBootstrapping in #rstats by @rabaath! https://t.co/QgF6cVr24h</t>
  </si>
  <si>
    <t>Drinalda Hoti</t>
  </si>
  <si>
    <t>RT @dirkvandenpoel: First session of Advanced #Predictive #Analytics Class using #rstats at @UGentFEB for @UGentDA @MMA_CRM students https:…</t>
  </si>
  <si>
    <t>Lisa@StellaDentalFam</t>
  </si>
  <si>
    <t>Houston, TX  Normandy, I 10</t>
  </si>
  <si>
    <t>Providing the best Care for Our Families, is our priority!! and being part of the community is our Mission!!:)</t>
  </si>
  <si>
    <t>Ibrahim AlSayed</t>
  </si>
  <si>
    <t>Riyadh</t>
  </si>
  <si>
    <t>#IT #strategy &amp; #policy, #innovation, #entrepreneurship, #startups, #datascience, #SaaS, #cloudcomputing, respect for past, live in present, work for #future</t>
  </si>
  <si>
    <t>Tom</t>
  </si>
  <si>
    <t>RT @abresler: Great quick and fun tutorial showing you how to do some #BayseianBootstrapping in #rstats by @rabaath! https://t.co/QgF6cVr24h</t>
  </si>
  <si>
    <t>Co-founder and Football Analyst @AnalyticsFC. Enjoys crap puns. @FanalyticsBlogs for more great blogs!</t>
  </si>
  <si>
    <t>Frank Neff</t>
  </si>
  <si>
    <t>Behind your Firewall</t>
  </si>
  <si>
    <t>Software Dev Ninja, OSS Contributor, Conf Speaker; #Scala, #Java, #R; Twittering about #DataScience, #DistributedSys, #FP &amp; #InfoSec; Opinions are my own...</t>
  </si>
  <si>
    <t>Gapminder #DataViz using GoogleVis and R: https://t.co/sZRvnAbO8n #abdsc #BigData #DataScience #Rstats https://t.co/kymvvc21CL</t>
  </si>
  <si>
    <t>Kristine Bucasas</t>
  </si>
  <si>
    <t>RT @KirkDBorne: Gapminder #DataViz using GoogleVis and R: https://t.co/sZRvnAbO8n #abdsc #BigData #DataScience #Rstats https://t.co/kymvvc2…</t>
  </si>
  <si>
    <t>i heart planet earth</t>
  </si>
  <si>
    <t>techiemom, wife, scientist, healthnut, minimalist, philanthropist, global citizen | RTs are not endorsements; opinions/tweets are my own</t>
  </si>
  <si>
    <t>John Burn-Murdoch</t>
  </si>
  <si>
    <t>RT @abresler: Just when I think @hrbrmstr couldnt get better he goes all reporter on me! Amazing #rstats work https://t.co/l6aXS8p77F</t>
  </si>
  <si>
    <t>Data journalist at @FinancialTimes. Visiting #ddj lecturer @cityjournalism. #dataviz geek.</t>
  </si>
  <si>
    <t>michelle smekal</t>
  </si>
  <si>
    <t>calgary, canada</t>
  </si>
  <si>
    <t>Interests: #science #BigData #DataAnalytics, personalized/precision medicine, #MachineLearning, coffee, mountains, hanging with my kids :)</t>
  </si>
  <si>
    <t>Gabor Csardi</t>
  </si>
  <si>
    <t>RT @MangoTheCat: Introduction to #Python for Data Analysis course - London 24-25 Feb https://t.co/XiTtqRiPVw #rstats #analysis https://t.c…</t>
  </si>
  <si>
    <t>V Murali K Raju</t>
  </si>
  <si>
    <t>Shannon Haymond, PhD</t>
  </si>
  <si>
    <t>.@DrDanHolmes and @srmaster set to kick off another #rstats session for #labmed crowd #msacl</t>
  </si>
  <si>
    <t>Clinical Chemist Lab Director Asst Prof Pathol @NUFeinbergMed OpEd Public Voices Fellow, tweets my own: peds, lab med, #dataviz, #Rstats, #digitalhealth, #meded</t>
  </si>
  <si>
    <t>Nicholas Horton</t>
  </si>
  <si>
    <t>Amherst, MA</t>
  </si>
  <si>
    <t>Biostatistician, statistical educator (with a focus on integrating computing into the curriculum), juggler, and avid supporter of rail trails</t>
  </si>
  <si>
    <t>New CRAN package md with initial version 1.0.4 https://t.co/0QdYpl5sce #rstats</t>
  </si>
  <si>
    <t>New CRAN package mptools with initial version 1.0.1 https://t.co/0QdYpl5sce #rstats</t>
  </si>
  <si>
    <t>New CRAN package shazam with initial version 0.1.2 https://t.co/0QdYpl5sce #rstats</t>
  </si>
  <si>
    <t>CRAN updates: archivist dtwclust eva vudc xergm https://t.co/y5W2NTKSXT #rstats</t>
  </si>
  <si>
    <t>Christian Tucker</t>
  </si>
  <si>
    <t>It's Chess Not Checkers #Hustle</t>
  </si>
  <si>
    <t>Maëlle Salmon</t>
  </si>
  <si>
    <t>There is now a #rstats pkg with a function for getting sample mid-quantiles! https://t.co/zRLFsOLL1o Thank you for Qtools, @geracimg 👍</t>
  </si>
  <si>
    <t>Barcelona, Catalunya</t>
  </si>
  <si>
    <t>#publichealth statistician at #CREAL for @chaiproject on weekdays, PhD student in statistics on the week-end, #rstats user. https://t.co/vUenu9ulh3</t>
  </si>
  <si>
    <t>atakan ince</t>
  </si>
  <si>
    <t>Marcos Matabuena</t>
  </si>
  <si>
    <t>Matemático y atleta</t>
  </si>
  <si>
    <t>Lovedeep Gondara</t>
  </si>
  <si>
    <t>Statistician,#Machinelearning, #DataMining, #DataScience</t>
  </si>
  <si>
    <t>José Enrique Pérez</t>
  </si>
  <si>
    <t>Madrid - Spain</t>
  </si>
  <si>
    <t>-I'm “data scientist.” I'm a high-ranking professional with the training and curiosity to make discoveries in the world of big data.</t>
  </si>
  <si>
    <t>Henrik Bengtsson</t>
  </si>
  <si>
    <t>Any #rstats package(s) for the #GoogleCalendar API out there? Want to query my calendar events.</t>
  </si>
  <si>
    <t>UC San Francisco</t>
  </si>
  <si>
    <t>CoAStAL NLP</t>
  </si>
  <si>
    <t>RT @SonjaEisenbeiss: update #Rstats list: #downloads #reading #tutorial #resources https://t.co/m03JEBd5K0 #bigdata #corpusresources #lingu…</t>
  </si>
  <si>
    <t>Lowlands CPH Project</t>
  </si>
  <si>
    <t>Copenhagen #NLProc group, incl. LOWLANDS (LOW-resource LANguages and DomainS)</t>
  </si>
  <si>
    <t>Abcd'R</t>
  </si>
  <si>
    <t>Comment obtenir une table de contingence ? : melt, acast, dcast. https://t.co/L9dQ7xHWH8 #Rstats #Rtips</t>
  </si>
  <si>
    <t>MigrationScholars.CH</t>
  </si>
  <si>
    <t>RT @duc_qn: Dublin accords - its sad #asylumseekers ping pong game https://t.co/3N530GIcje #dataviz #ddj #rstats #htmlwidget https://t.co/D…</t>
  </si>
  <si>
    <t>The Swiss Network of Young Migration Scholars encourages cooperation among the different scientific disciplines, universities and linguistic regions.</t>
  </si>
  <si>
    <t>Alessandra</t>
  </si>
  <si>
    <t>Roma, Lazio</t>
  </si>
  <si>
    <t>Sono io, Digit-Ale! #digitale non è dotarsi dell'ultima #tecnologia. E' non avere una #visione codificata del #mondo. Il #coding ci salverà!</t>
  </si>
  <si>
    <t>R Cheat Sheet and Guide for Graphical Parameters. #rstats https://t.co/8r80I4KgMj</t>
  </si>
  <si>
    <t>Ana María Bisbé York</t>
  </si>
  <si>
    <t>Alcobendas, Spain</t>
  </si>
  <si>
    <t>Consultora Business Intelligence. SQL Server BI, Office BI, VFP, CR</t>
  </si>
  <si>
    <t>Alessio Palmisano</t>
  </si>
  <si>
    <t>RT @m_wegmann: working w/ #remotesensing using #Landsat and #rstats https://t.co/pOPtTJv4Ao @USGS_R @USGSLandsat @NASA_Landsat https://t.co…</t>
  </si>
  <si>
    <t>Researcher at @UCLarchaeology, Near Eastern Archaeology and History, spatial analysis, computational methods. @SeshatDatabank collaborator</t>
  </si>
  <si>
    <t>Jenifer Jones</t>
  </si>
  <si>
    <t>msgbi mathbubble</t>
  </si>
  <si>
    <t>Peter Meilstrup auf Twitter: Obscure #rstats feature: '. . . ' is like varargs, but you can also use the symbo https://t.co/MGQPqtnysJ</t>
  </si>
  <si>
    <t>msgbimathbubble/t</t>
  </si>
  <si>
    <t>Popular Links from my friends @ @msgbi around 5pm CET math tweets tagged m. News Bot, average 4h of tweets /24-48h https://t.co/oF6GhbzRs4 mirr @sagebiel</t>
  </si>
  <si>
    <t>Markus Sagebiel</t>
  </si>
  <si>
    <t>Peter Meilstrup auf Twitter: Obscure #rstats feature: '. . . ' is like varargs, but you can also use the symbo https://t.co/EgfnfMT7v0</t>
  </si>
  <si>
    <t>sagebielCLI</t>
  </si>
  <si>
    <t>Popular Links from my friends @ @msgbi around 5pm CET math tweets tagged m. News Bot, average 4h of tweets /24-48h https://t.co/h4ehSlRCLs mirr @msgbimathbubble</t>
  </si>
  <si>
    <t>Large scale eigenvalue decomposition and SVD with rARPACK https://t.co/jIKXJZrtTf #rstats #DataScience</t>
  </si>
  <si>
    <t>Using showtext in knitr https://t.co/yZx7jX7wrd #rstats #DataScience</t>
  </si>
  <si>
    <t>Introduction to dynamic document and knitr https://t.co/MRYxCy7yE7 #rstats #DataScience</t>
  </si>
  <si>
    <t>Using system fonts in R graphs https://t.co/LA34JGVjLQ #rstats #DataScience</t>
  </si>
  <si>
    <t>A Conversation with Hadley Wickham https://t.co/CljmQvmAFf #rstats #DataScience</t>
  </si>
  <si>
    <t>Prestone Adie</t>
  </si>
  <si>
    <t>https://t.co/P6d7MWV1dt #rstats</t>
  </si>
  <si>
    <t>Kenya</t>
  </si>
  <si>
    <t>#Rstats #Python #Julialang #BigData, #DataScience, #OpenData, #TwitterBookClub, #formula1</t>
  </si>
  <si>
    <t>RT @Rbloggers: Using system fonts in R graphs https://t.co/LA34JGVjLQ #rstats #DataScience</t>
  </si>
  <si>
    <t>Timo Rainio</t>
  </si>
  <si>
    <t>RT @mikkopiippo: Tutorial: From 0 to R with @GoogleAnalytics - #Analytics Demystified https://t.co/sKNRS5iZxo #rstats</t>
  </si>
  <si>
    <t>Finland, Tampere</t>
  </si>
  <si>
    <t>Development manager, Cluster coordinator, Community manager http://t.co/ZO9fab1GIz</t>
  </si>
  <si>
    <t>Salvino</t>
  </si>
  <si>
    <t>Buon Anno, Signor Presidente ! Analisi statistica dei messaggi presidenziali di fine anno #rstats #dataAnalysis https://t.co/ABFag2ofoN</t>
  </si>
  <si>
    <t>I am a restless oxymoron in a Daft Punk video clip</t>
  </si>
  <si>
    <t>Lorenzo Clementi</t>
  </si>
  <si>
    <t>Lugano, Switzerland</t>
  </si>
  <si>
    <t>More about me: http://t.co/yErM0X9tos</t>
  </si>
  <si>
    <t>Jamie Monogan</t>
  </si>
  <si>
    <t>If you've run a Generalized Estimating Equations model in R, I'd appreciate your help on a question I have: https://t.co/h0XtLXVzPm #rstats</t>
  </si>
  <si>
    <t>Political scientist at the University of Georgia.</t>
  </si>
  <si>
    <t>Félix Casares</t>
  </si>
  <si>
    <t>RT @Rbloggers: Introduction to dynamic document and knitr https://t.co/MRYxCy7yE7 #rstats #DataScience</t>
  </si>
  <si>
    <t>Guayaquil, Ecuador</t>
  </si>
  <si>
    <t>Economista - Presidente y Fundador @BetametricaEC. Director Reporte Macroeconómico #PLANIFICA.[Opiniones Personales] Felizmente casado con @Giuliana_Coello</t>
  </si>
  <si>
    <t>Stéphane Fréchette</t>
  </si>
  <si>
    <t>Top story: #rstats Read from hdfs with R. Brief overview of SparkR. | R-bloggers https://t.co/Tlw0k7FNXx, see more https://t.co/wHGxkjjAmH</t>
  </si>
  <si>
    <t>The Tweeted Times</t>
  </si>
  <si>
    <t>Gatineau, QC - Canada</t>
  </si>
  <si>
    <t>Data Platform Solution Architect @Microsoft | Speaker... Drums, good food and fine wine. Tweets are my own, I speak for myself!</t>
  </si>
  <si>
    <t>Stats SOS</t>
  </si>
  <si>
    <t>Perú</t>
  </si>
  <si>
    <t>Mostramos la #estadística de manera divertida #Blog. #Data, #R geek y fanático deportivo. Ríe, se feliz.</t>
  </si>
  <si>
    <t>David Nusinow</t>
  </si>
  <si>
    <t>@mmillions btw #rstats is the usual hashtag. Welcome to the fold 😀👍</t>
  </si>
  <si>
    <t>Computational biology postdoc studying cancer proteomics at Harvard Medical School. R user and fanboy. Debianite and Free Software dilettante. GWJ gravity.</t>
  </si>
  <si>
    <t>Awesome time-varying data support in #sqlserver. Combine with #rstats for predictive analytics on temporal data. https://t.co/b5bZqbupiB</t>
  </si>
  <si>
    <t>Javier Alonso</t>
  </si>
  <si>
    <t>Read from HDFS with R. Brief overview of SparkR: https://t.co/3mE9LReZxf #BigData #DataScience #Rstats</t>
  </si>
  <si>
    <t>RT @KirkDBorne: Read from HDFS with R. Brief overview of SparkR: https://t.co/3mE9LReZxf #BigData #DataScience #Rstats</t>
  </si>
  <si>
    <t>Satinder Singh</t>
  </si>
  <si>
    <t>RT @josephsirosh: Awesome time-varying data support in #sqlserver. Combine with #rstats for predictive analytics on temporal data. https://…</t>
  </si>
  <si>
    <t>YATB-Codepedia</t>
  </si>
  <si>
    <t>Geek, Programmer, Blogger @ http://t.co/u9egGmMGve. Sharing tutorials focused on Programming, Aspnet, C#, Ajax, jQuery, Javascript, SQL, AngularJs, Web Design</t>
  </si>
  <si>
    <t>Jack Williamson</t>
  </si>
  <si>
    <t>Sales Executive - Mind Commerce Publishing #Telecom #RFID #M2M #NFC #Broadband #LBS #BigData #Mobile #Wireless #Network #WiFi [Email: jack@mindcommerce.com]</t>
  </si>
  <si>
    <t>DataScienceMadeEasy</t>
  </si>
  <si>
    <t>#DataScience, #machinelearning, and #bigdata #news, #tips, #tutorials, and much more.</t>
  </si>
  <si>
    <t>Martin Söderström</t>
  </si>
  <si>
    <t>A great resource for learning, refreshing: https://t.co/lCOiRNkVcF #rstats via @datascienceplus/</t>
  </si>
  <si>
    <t>Dubai, United Arab Emirates</t>
  </si>
  <si>
    <t>Analyst - Stategic Initiatives Group at Agility | Strict Data Diet | Amateur Developer | Williams '14.</t>
  </si>
  <si>
    <t>RT @Sodersoder: A great resource for learning, refreshing: https://t.co/lCOiRNkVcF #rstats via @datascienceplus/</t>
  </si>
  <si>
    <t>Data Science Ankara</t>
  </si>
  <si>
    <t>#datascience community of #datascientist around #bigdata #analytics #iot #machinelearning #deeplearning #smartcity</t>
  </si>
  <si>
    <t>Luke Johnston</t>
  </si>
  <si>
    <t>RT @Rbloggers: A Conversation with Hadley Wickham https://t.co/CljmQvmAFf #rstats #DataScience</t>
  </si>
  <si>
    <t>Seesmic</t>
  </si>
  <si>
    <t>PhD student at University of Toronto. #rstats user</t>
  </si>
  <si>
    <t>Thomas Leeper</t>
  </si>
  <si>
    <t>MTurkR v0.7 is shipped to CRAN. Release notes here: https://t.co/pECfgsRCAh. Lots of streamlining and expanded documentation. #rstats #mturk</t>
  </si>
  <si>
    <t>#openscience+#opendata+#R evangelist, political psychologist @LSEGovernment, minnesotan abroad, RT implies: *hey, look at this*</t>
  </si>
  <si>
    <t>Raken Data Group</t>
  </si>
  <si>
    <t>Calzada San Pedro No. 250 Nte.</t>
  </si>
  <si>
    <t>Analizamos y entendemos sus datos, su gobierno, sus metas y estructuras humanas para construir modelos de datos que general valor tangible a su empresa.</t>
  </si>
  <si>
    <t>Dr. Arturo Erdely</t>
  </si>
  <si>
    <t>Mexico</t>
  </si>
  <si>
    <t>Profesor-investigador de tiempo completo en UNAM FES Acatlán.</t>
  </si>
  <si>
    <t>Big Data Minded</t>
  </si>
  <si>
    <t>Focused on unstructured data and #IoT #BigData #BigDataAnalytics #BigDataIoT #IPv6 #DataManagement #DataSecurity</t>
  </si>
  <si>
    <t>Vineet Vashishta</t>
  </si>
  <si>
    <t>Dynamic Stochastic General Equilibrium models made (relatively) easy with R https://t.co/sJfF5UTcPc #rstats #predictiveanalytics</t>
  </si>
  <si>
    <t>San Francisco &amp; Reno</t>
  </si>
  <si>
    <t>Founder, #DataScience Adviser: @V2_Consulting. Building data science products &amp; strategies for #startups to the Fortune 100. Spinning data into gold.</t>
  </si>
  <si>
    <t>sehau_2</t>
  </si>
  <si>
    <t>New resources in #MachineLearning for #BigData #DataScience: https://t.co/UkWRyy65v5 #abdsc #Python #Rstats https://t.co/Ysm9Fh6yEK</t>
  </si>
  <si>
    <t>Miami</t>
  </si>
  <si>
    <t>Tweets about complex math, algorithm, hacking, python, physics, cloud-computing, startups, deep learning, machine learning, investment and data ware house.</t>
  </si>
  <si>
    <t>NLP and CSS</t>
  </si>
  <si>
    <t>Natural Language Processing (#nlproc) and Computational Social Science</t>
  </si>
  <si>
    <t>Tarun Rodrigues</t>
  </si>
  <si>
    <t>Scott Cunningham</t>
  </si>
  <si>
    <t>RT @v_vashishta: Dynamic Stochastic General Equilibrium models made (relatively) easy with R https://t.co/sJfF5UTcPc #rstats #predictiveana…</t>
  </si>
  <si>
    <t>Delft, Holland</t>
  </si>
  <si>
    <t>Strategy and foresight, Associate Professor of Policy Analysis at the Delft University of Technology.</t>
  </si>
  <si>
    <t>Large scale eigenvalue decomposition and SVD with rARPACK https://t.co/j5uqmQfxS2 #rstats</t>
  </si>
  <si>
    <t>Scott Siemens</t>
  </si>
  <si>
    <t>#IBMer, Client Executive excited about #retail #iot, and #analytics (Views are my own and don't reflect my employer, RT's are not endorsements)</t>
  </si>
  <si>
    <t>Y11n</t>
  </si>
  <si>
    <t>Chillin' for creativity</t>
  </si>
  <si>
    <t>Pierre Alquier</t>
  </si>
  <si>
    <t>ENSAE ParisTech Professor of Statistics @ENSAE_Paristech @U_ParisSaclay</t>
  </si>
  <si>
    <t>Abby Lawson</t>
  </si>
  <si>
    <t>Anybody have experience with #rstats suncalc function? Consistently off ~45 min desp tweaking. Use this code: https://t.co/CU6u1oasSI</t>
  </si>
  <si>
    <t>Clemson, SC</t>
  </si>
  <si>
    <t>PhD candidate, #alligator population ecology @SCCoopUnit @ClemsonUniv. @IUCN CSG member, #Alaska expatriate, #scicomm, #rstats. Own opinions.</t>
  </si>
  <si>
    <t>nano_unanue</t>
  </si>
  <si>
    <t>RT @perisaccadic: Obscure #rstats feature: '...' is like varargs, but you can also use the symbols '..1', '..2', etc. to get individual ele…</t>
  </si>
  <si>
    <t>Toying wt @rabaath #bayesboot to decide on this SG who my #rstats C50 model says needs &gt; 17pts for value, passing https://t.co/47puM4TTmV</t>
  </si>
  <si>
    <t>Joshua Fink</t>
  </si>
  <si>
    <t>#SundayFunday... #rstats https://t.co/5YAqpqmpI8</t>
  </si>
  <si>
    <t>Duke University</t>
  </si>
  <si>
    <t>Data &amp; social scientist, PhD candidate @DukeU. I study crime+policing, sports, &amp; quant methods. --https://t.co/NHacecIMlB co-creator-- #rstats #DataScience</t>
  </si>
  <si>
    <t>R user? Share your experience at the leading UK #rstats conf #EARL2016 - call for abstracts https://t.co/YIqP2fRsMt https://t.co/VDyV44icQJ</t>
  </si>
  <si>
    <t>Tweetium for Windows</t>
  </si>
  <si>
    <t>Frank Wu</t>
  </si>
  <si>
    <t>RT @Rbloggers: Using showtext in knitr https://t.co/yZx7jX7wrd #rstats #DataScience</t>
  </si>
  <si>
    <t>Boston</t>
  </si>
  <si>
    <t>Get me some wine.</t>
  </si>
  <si>
    <t>Mara Averick</t>
  </si>
  <si>
    <t>The best animations since 1900, gathered the geek way. – @themexindian https://t.co/phUqbpwbO9 #rstats #datascraping https://t.co/J1MLS4Eu6r</t>
  </si>
  <si>
    <t>Non-profit #datanerd, #civictech enthusiast, #NBA stats junkie, using #data4good (and/or dominating fantasy sports), less popular half of @batpigandme</t>
  </si>
  <si>
    <t>Abdulkadir A Lamido</t>
  </si>
  <si>
    <t>Leafy Eric</t>
  </si>
  <si>
    <t>Uh oh, I'm getting sucked into an #rstats hole and spending lots of time trying to figure out things that are only marginally important.</t>
  </si>
  <si>
    <t>Ecologist, teacher, tea geek. I enjoy studying, steeping, and eating plants.</t>
  </si>
  <si>
    <t>Learnetto</t>
  </si>
  <si>
    <t>Fascinating analysis by @hrbrmstr - "Visualizing the Clinton Emails in R" - https://t.co/reQGvGHYlW #rstats https://t.co/vDk7P3WoO2</t>
  </si>
  <si>
    <t>https://t.co/HAjJQFN4qJ Online courses on making web and mobile apps. Founded by @hrishio</t>
  </si>
  <si>
    <t>@mjbsp @lakens @ecsalomon @FredHasselman Some #rstats code here might be useful as a start: https://t.co/CMKO1ZOX5l</t>
  </si>
  <si>
    <t>Hadley Wickham</t>
  </si>
  <si>
    <t>babynames package now includes 2014 data: https://t.co/TcaJxiEjZl #rstats</t>
  </si>
  <si>
    <t>R, data, visualisation.</t>
  </si>
  <si>
    <t>Karl Broman</t>
  </si>
  <si>
    <t>RT @hadleywickham: babynames package now includes 2014 data: https://t.co/TcaJxiEjZl #rstats</t>
  </si>
  <si>
    <t>Madison, Wisconsin</t>
  </si>
  <si>
    <t>statistician; professor at UW-Madison; genetics and genomics, open science, programming, interactive data visualization</t>
  </si>
  <si>
    <t>Dan Kellett</t>
  </si>
  <si>
    <t>Nottingham</t>
  </si>
  <si>
    <t>Ingesting, munging &amp; interrogating data to make sense of the world</t>
  </si>
  <si>
    <t>Piotr Tompalski</t>
  </si>
  <si>
    <t>Starting to share what I find interesting in #forestry #LiDAR #remotesensing #rstats #myfirstTweet https://t.co/kpad36npMo</t>
  </si>
  <si>
    <t>Anthony Towry</t>
  </si>
  <si>
    <t>OKC</t>
  </si>
  <si>
    <t>Risk/Opportunity Practitioner. Redsox Fan. Amateur data nerd.</t>
  </si>
  <si>
    <t>Luca Bardone</t>
  </si>
  <si>
    <t>Torino</t>
  </si>
  <si>
    <t>Data, information visualisation, data interfaces [javascript, python, nodejs, mongodb]. Above all father</t>
  </si>
  <si>
    <t>Quan Nguyen</t>
  </si>
  <si>
    <t>Montreal, Quebec Canada</t>
  </si>
  <si>
    <t>IT Flickr Photoshop F1 Engineering Network Computer LAN SAN WAN Software Hardware Photography iOS OS/X Windows Linux Ethernet Wi-Fi ITIL Excel Pivot, R, Python</t>
  </si>
  <si>
    <t>Ari Lamstein</t>
  </si>
  <si>
    <t>Interesting new #opendata from California https://t.co/Rwr2MYvtw4 #rstats</t>
  </si>
  <si>
    <t>I help R programmers map open data sets. #rstats #gis #opendata</t>
  </si>
  <si>
    <t>Using R with MySQL https://t.co/jFHYL2To5O #rstats #mysql #programmiing</t>
  </si>
  <si>
    <t>Stefan Bolta</t>
  </si>
  <si>
    <t>Truth seeker. Voracious reader. Enjoys problem solving... philosophy, quant, social sciences. Convinced God is a fractal.</t>
  </si>
  <si>
    <t>SheffieldR Group</t>
  </si>
  <si>
    <t>RT @Rbloggers: Large scale eigenvalue decomposition and SVD with rARPACK https://t.co/jIKXJZrtTf #rstats #DataScience</t>
  </si>
  <si>
    <t>Sheffield, UK</t>
  </si>
  <si>
    <t>Group for #Rstats enthusiasts of all levels - sponsored by @RevolutionR</t>
  </si>
  <si>
    <t>Estadística UMH</t>
  </si>
  <si>
    <t>Elche, Comunidad Valenciana</t>
  </si>
  <si>
    <t>Twitter oficial del grado en Estadística Empresarial, de la Universidad Miguel Hernández de Elche</t>
  </si>
  <si>
    <t>Aous abdo</t>
  </si>
  <si>
    <t>Alexandria, VA</t>
  </si>
  <si>
    <t>Lead Data Scientist at Jones Lang Lasalle. Ph.D. Astrophysicist.</t>
  </si>
  <si>
    <t>Luciano Selzer</t>
  </si>
  <si>
    <t>Diferencia entre #rstats y #SPSS. En R a alguien le pasó lo mismo y puso la solución en internet. En SPSS la ponen pero hay que pagar 😑</t>
  </si>
  <si>
    <t>Ushuaia</t>
  </si>
  <si>
    <t>Biólogo, cocinero amateur, amante de la comida, kayakista.</t>
  </si>
  <si>
    <t>CMU Stats</t>
  </si>
  <si>
    <t>"Hey, so what happened to ggplot1?" "They made it better" @hadleywickham #overheardatTDSC #rstats</t>
  </si>
  <si>
    <t>New CRAN package ChannelAttributionApp with initial version 1.1 https://t.co/0QdYpl5sce #rstats</t>
  </si>
  <si>
    <t>Sam Ventura</t>
  </si>
  <si>
    <t>RT @CMU_Stats: "Hey, so what happened to ggplot1?" "They made it better" @hadleywickham #overheardatTDSC #rstats</t>
  </si>
  <si>
    <t>Visiting Assistant Professor, Statistics, CMU</t>
  </si>
  <si>
    <t>New CRAN package RNewsflow with initial version 1.0 https://t.co/0QdYpl5sce #rstats</t>
  </si>
  <si>
    <t>CRAN updates: ClustMMDD epinet gstat Hmisc likeLTD quanteda rms SimDesign Surrogate https://t.co/y5W2NTKSXT #rstats</t>
  </si>
  <si>
    <t>Joël Léonard</t>
  </si>
  <si>
    <t>Superbe interview d'@hadleywickham ! Passionnant ! #rstats https://t.co/cWdWrvUbgP</t>
  </si>
  <si>
    <t>Laon (France)</t>
  </si>
  <si>
    <t>Researcher at @INRA (#soils, #GHG, environmental modelling). Other interests: #running, #photography</t>
  </si>
  <si>
    <t>RoyCostilla</t>
  </si>
  <si>
    <t>Wellington, New Zealand</t>
  </si>
  <si>
    <t>Peruvian-kiwi Bayesian Statistician, retired football player and active part-time musician.</t>
  </si>
  <si>
    <t>Ghislain Nono Gueye</t>
  </si>
  <si>
    <t>If you use the cut() function a lot, you need to read on the "right" argument in the help file. I think it's new. #rstats</t>
  </si>
  <si>
    <t>Auburn, AL</t>
  </si>
  <si>
    <t>#JESUS, #Economics, #Econometrics, #DataScience, #rstats</t>
  </si>
  <si>
    <t>Mick Watson</t>
  </si>
  <si>
    <t>Edinburgh</t>
  </si>
  <si>
    <t>Edinburgh. Tweets are my own. If you're blocked, it's because you've been rude.</t>
  </si>
  <si>
    <t>STHDA-EN</t>
  </si>
  <si>
    <t>survminer 0.2.0: New release for Drawing Survival Curves using ggplot2 and #rstats https://t.co/9NA7Rtfpg3</t>
  </si>
  <si>
    <t>R statistics and data visualization</t>
  </si>
  <si>
    <t>Brian</t>
  </si>
  <si>
    <t>RT @dataandme: The best animations since 1900, gathered the geek way. – @themexindian https://t.co/phUqbpwbO9 #rstats #datascraping https:/…</t>
  </si>
  <si>
    <t>Waterloo, Ontario</t>
  </si>
  <si>
    <t>Your friendly source for: visualization, machine learning and physics.</t>
  </si>
  <si>
    <t>Julian Hong</t>
  </si>
  <si>
    <t>ok that only took me two days but i got the @rstudio server up and running #rstats #touchdown 🙌</t>
  </si>
  <si>
    <t>@DukeU radiation oncology resident | #sportsanalytics rookie | @Stanford, @UWSMPH alum | #bioe #bioinformatics #healthdata | views=mine, RT≠endorsement</t>
  </si>
  <si>
    <t>Shiny App for Bayes Billiards Problem https://t.co/wMRB4LIFy7 #rstats #DataScience</t>
  </si>
  <si>
    <t>Touchdown Bot</t>
  </si>
  <si>
    <t>RT @julian_hong: ok that only took me two days but i got the @rstudio server up and running #rstats #touchdown 🙌</t>
  </si>
  <si>
    <t>touchdownbotapp</t>
  </si>
  <si>
    <t>All for the love of Touchdowns!</t>
  </si>
  <si>
    <t>RT @Rbloggers: Shiny App for Bayes Billiards Problem https://t.co/wMRB4LIFy7 #rstats #DataScience</t>
  </si>
  <si>
    <t>Top story: #rstats Analyzing texts with text2vec package | R-bloggers https://t.co/U1dpDHhjOD, see more https://t.co/wHGxkjjAmH</t>
  </si>
  <si>
    <t>Faye McNeill</t>
  </si>
  <si>
    <t>RT @ma_salmon: How to make an animated map of PM2.5 concentrations w/ #rstats? https://t.co/oMTcVGFatX @Open_AQ @airqualityindia https://t.…</t>
  </si>
  <si>
    <t>@Columbia professor, environmental scientist, chemical engineer, mom</t>
  </si>
  <si>
    <t>Mathias Picker</t>
  </si>
  <si>
    <t>Munich, Germany</t>
  </si>
  <si>
    <t>Space / Africa / Social and Sociotechnical Systems / AI / Big Data / Open Data / ddj / Fermi Paradox / Clojure / Erlang CEO virtual earth GmbH, München, Germany</t>
  </si>
  <si>
    <t>Andrew Landgraf</t>
  </si>
  <si>
    <t>. @hadleywickham I built this app a few years ago the compares the ages of people based on their names #rstats https://t.co/QBvHTmp1P4</t>
  </si>
  <si>
    <t>Research statistician @Battelle</t>
  </si>
  <si>
    <t>Ziyad Mestour</t>
  </si>
  <si>
    <t>#rstats #data https://t.co/oux4TBF8qz</t>
  </si>
  <si>
    <t>Morocco</t>
  </si>
  <si>
    <t>Content Muslim, Big Data Major, Python &amp; Javascript enthusiast | Knowledge Seeker.</t>
  </si>
  <si>
    <t>Javier Moreno</t>
  </si>
  <si>
    <t>Toronto</t>
  </si>
  <si>
    <t>Data Processor</t>
  </si>
  <si>
    <t>Tim Boomer</t>
  </si>
  <si>
    <t>From the center of the Hadleyverse, an intervies: https://t.co/78V3AjRvib #R #Rstats #datascience</t>
  </si>
  <si>
    <t>How can #Technology, #Datascience, #Economics, #BehavioraFinance, and #OpenData help us create a better future?</t>
  </si>
  <si>
    <t>Kristy@TurkerNation</t>
  </si>
  <si>
    <t>RT @thosjleeper: MTurkR v0.7 is shipped to CRAN. Release notes here: https://t.co/pECfgsRCAh. Lots of streamlining and expanded documentati…</t>
  </si>
  <si>
    <t>Amazon Mechanical Turk</t>
  </si>
  <si>
    <t>Throwing a sabot into the digital crowd work machine. Dehumanized human intelligence (ty @hautepop!)</t>
  </si>
  <si>
    <t>Vivek Sharma Randev</t>
  </si>
  <si>
    <t>RT @Rbloggers: 13 graphs on Outer Space, Satellites, and Astrophysics made in Python or R https://t.co/735XEgsgG2 #rstats #DataScience</t>
  </si>
  <si>
    <t xml:space="preserve">evan litsa </t>
  </si>
  <si>
    <t>RT @dasaptaerwin: trying out aRxiv pkg from @rOpenSci to analyse @arxivblog data. #rstats #scicomm #openscience https://t.co/rxuaZyUFTv</t>
  </si>
  <si>
    <t>#PhD #Researcher #Education #Fellowship #Scientific #Scientificpaper</t>
  </si>
  <si>
    <t>Alnis Bajars</t>
  </si>
  <si>
    <t>MCSE (BI) SQL Server. Community speaker. Interest in BIML and data science/R. BI Mgr at Inabox Group. #sqlfamily When too much data is barely enough.</t>
  </si>
  <si>
    <t>Cesar A. Jimenez B.</t>
  </si>
  <si>
    <t>Monterrey, Mexico</t>
  </si>
  <si>
    <t>What are anonymous function in R? https://t.co/XSfmrQrpSM #helpdatascientist #rstats #datascience</t>
  </si>
  <si>
    <t>Vitor Santos</t>
  </si>
  <si>
    <t>RT @JennyBryan: This is your spreadsheet. This is your spreadsheet on XML. #rstats https://t.co/yzRahnEBO9</t>
  </si>
  <si>
    <t>VITOR SANTOS é jornalista,escritor, consultor, pesquisador, e autor de vários artigos Facebook https://t.co/zr7gpVbzhp…</t>
  </si>
  <si>
    <t>David Söderlund</t>
  </si>
  <si>
    <t>Dave Kincaid</t>
  </si>
  <si>
    <t>Eau Claire, WI, USA</t>
  </si>
  <si>
    <t>Nicole White</t>
  </si>
  <si>
    <t>My 2015 Amazon spending by category 😐#rstats https://t.co/N9bLRAPZ9g</t>
  </si>
  <si>
    <t>doing things at @neo4j</t>
  </si>
  <si>
    <t>Jun Ma</t>
  </si>
  <si>
    <t>@Rbloggers Convert Car2go Austin into an EV Fleet https://t.co/rZpv9GitsW #rstats #DataScience</t>
  </si>
  <si>
    <t>Champaign</t>
  </si>
  <si>
    <t>Oliver Keyes</t>
  </si>
  <si>
    <t>Related question; any #rstats users wanna volunteer to read a manual I've been working on?</t>
  </si>
  <si>
    <t>Tired immigrant</t>
  </si>
  <si>
    <t>This Machine Kills Null Hypotheses. Social justice, hip-hop and science. Oversized sociologist, undersized sociologist, Senior Scientist at some infosec company</t>
  </si>
  <si>
    <t>Walter Adamson</t>
  </si>
  <si>
    <t>Survey: #datascience skills fall into three broad areas: domain expertise, technology, and math/statistics” https://t.co/Yn9c9gBWqV #rstats</t>
  </si>
  <si>
    <t>Melbourne, Australia</t>
  </si>
  <si>
    <t>I believe social technologies enable abundance | I encourage all children as if they're my own | #socbiz #watson #socialanalytics | ♥ #datascience 4 biz</t>
  </si>
  <si>
    <t>arupaka</t>
  </si>
  <si>
    <t>100円ショップの棚の上</t>
  </si>
  <si>
    <t>社会や統計、ネットワーク、物理、情報技術と社会と科学などです。あほで浅はかだなぁと思うこと現実では言えないことも書いていこうと思います..。賢い人がきみアホだよといってくれるかもしれないので..。このパンダは現実の私とは別人格です。同人格だと恥ずかしすぎて何も書けなくなるので..。2つ大学の学生かも..個人見解です</t>
  </si>
  <si>
    <t>Political Math</t>
  </si>
  <si>
    <t>Data nerd, visualizations, and jokes. Staunch defender of Kids These Days.</t>
  </si>
  <si>
    <t>ホクソバイアス</t>
  </si>
  <si>
    <t>NLP, R, データ分析, 機械学習. このアカウントの発言は所属組織を代表するものではなく私個人の見解です. https://t.co/mUgS8AA0Ru https://t.co/1idXCCJG71 https://t.co/7Q2aFZfqg8 https://t.co/GDTBK1oefQ</t>
  </si>
  <si>
    <t>nichola raihani</t>
  </si>
  <si>
    <t>when are we nice? when are we nasty? why? evolutionary biologist masquerading as psychologist. Royal Society fellow. UCL. live in #Peckham. not a hipster.</t>
  </si>
  <si>
    <t>Tom Houslay</t>
  </si>
  <si>
    <t>I've provided code for the supp info figures in that #dataviz paper using #rstats + #ggplot2 https://t.co/QHHcOPkR7M https://t.co/qvWy2D7ZcO</t>
  </si>
  <si>
    <t>Penryn, England</t>
  </si>
  <si>
    <t>Evolutionary biologist / stats nerd / photo-taker. Research interests: stress, personality, hormones, quant gen, sex, food, life, death. I co-host @BreakingBio.</t>
  </si>
  <si>
    <t>Charles Verdon</t>
  </si>
  <si>
    <t>Montreal, QC</t>
  </si>
  <si>
    <t>Find the #BlueOcean in your data! Technology Solutions Professional Data Platform &amp; BI at Microsoft</t>
  </si>
  <si>
    <t>Isaac Ben-Akiva</t>
  </si>
  <si>
    <t>R for Deep Learning (I): Build Fully Connected Neural Network from Scratch #rstats https://t.co/LIQDsrsMRi</t>
  </si>
  <si>
    <t>Mathematician, Computer Scientist, data nerd, tinkerer, Android Developer. #BigData, #MachineLearning, #AI</t>
  </si>
  <si>
    <t>RT @adamson: Survey: #datascience skills fall into three broad areas: domain expertise, technology, and math/statistics” https://t.co/Yn9c9…</t>
  </si>
  <si>
    <t>Hajji Hicham</t>
  </si>
  <si>
    <t>Rabat, Morocco</t>
  </si>
  <si>
    <t>PhD, Computer Sciences,INSA Lyon. A. Professor of Geospatial technologies in School of Geomatic Sciences and more than 10yrs Senior consultant in GIS &amp; Finance</t>
  </si>
  <si>
    <t>#rstats users: so I'm working on some documentation for a thing. Who wants to read over it and beta test it?</t>
  </si>
  <si>
    <t>Dan Ion Oprea</t>
  </si>
  <si>
    <t>Bucharest Romania Europe</t>
  </si>
  <si>
    <t>Simon Knight</t>
  </si>
  <si>
    <t>The example #openNLP parse_annotator is giving me a "cannot coerce" error...any suggestions? #rstats</t>
  </si>
  <si>
    <t>I'm a Research Fellow @uts_cic I'm interested in how people think about &amp; represent knowledge - their epistemic commitments (especially in search contexts).</t>
  </si>
  <si>
    <t>//Leo</t>
  </si>
  <si>
    <t>I just completed the chapter "Factors". @datacamp https://t.co/OqWgZLcURX #rstats</t>
  </si>
  <si>
    <t>full stack technical #recruiter: #analytics &amp; #datascience at @altertweet. tweeting about #recruitment, #innovation, and #tech.</t>
  </si>
  <si>
    <t>Owl</t>
  </si>
  <si>
    <t>North West, England</t>
  </si>
  <si>
    <t>Business intelligence and data visualisation in Lancashire website coming soon</t>
  </si>
  <si>
    <t>Chitu Okoli</t>
  </si>
  <si>
    <t>Good overview of memory issues in #rstats, including handling datasets larger than RAM size https://t.co/Dsd5AC0795</t>
  </si>
  <si>
    <t>Associate Professor in Business Technology Management, John Molson School of Business, Concordia University, Montréal</t>
  </si>
  <si>
    <t>more e’s [and R’s] https://t.co/zeEg4yiogA #rstats #DataScience</t>
  </si>
  <si>
    <t>Nicholas Tierney</t>
  </si>
  <si>
    <t>@hadleywickham #rstats Thanks! Do you know if there is an easy way to get to the source, to avoid `edit` returning just `UseMethod("edit")`?</t>
  </si>
  <si>
    <t>Brisbane, Queensland</t>
  </si>
  <si>
    <t>PhD Candidate in Statistics at QUT, Brisbane, Australia. Loves the R Statistical Programming Language. Rock Climber at UQMC. Coffee Geek.</t>
  </si>
  <si>
    <t>Magistr OM MAK</t>
  </si>
  <si>
    <t>RT @Rbloggers: more e’s [and R’s] https://t.co/zeEg4yiogA #rstats #DataScience</t>
  </si>
  <si>
    <t>more es [and Rs] https://t.co/72HyLD1fTU #rstats</t>
  </si>
  <si>
    <t>Mol Cell Proteomics.</t>
  </si>
  <si>
    <t>RT @brennanpcardiff: #rstats tutorial material for @vizbi using @molcellprot published data from #leukaemia cells https://t.co/W8jEBU9RZW h…</t>
  </si>
  <si>
    <t>Rockville, Maryland USA</t>
  </si>
  <si>
    <t>Molecular and Cellular Proteomics | Research, perspective, technological innovation and resources, and issues in proteomics articles | Published by @ASBMB</t>
  </si>
  <si>
    <t>Haruhiko Okumura</t>
  </si>
  <si>
    <t>twmode</t>
  </si>
  <si>
    <t>Japan</t>
  </si>
  <si>
    <t>三重大学教育学部教授 / 専門：情報科学・情報教育 / 転載はご自由に</t>
  </si>
  <si>
    <t>Bálint Pető</t>
  </si>
  <si>
    <t>Nick</t>
  </si>
  <si>
    <t>@ecsalomon your ggplots are awesome! Hooray for #rstats!</t>
  </si>
  <si>
    <t>FL for now; CA native</t>
  </si>
  <si>
    <t>Personality/social psychology PhD candidate. Unabashed nerd. #rstats. I tweet about psychology (and other random stuff.)</t>
  </si>
  <si>
    <t>Erika Salomon</t>
  </si>
  <si>
    <t>@snickolas Aw, thanks! ggplot2 is what brought me to #rstats. I stayed for the delicious flexibility + reproducibility.</t>
  </si>
  <si>
    <t>Urbana, Illinois</t>
  </si>
  <si>
    <t>phd candidate in social psychology at #UIUC; lover of #openscience, #rstats, and the majestic #pyredoodle</t>
  </si>
  <si>
    <t>Carlos Eduardo Caê</t>
  </si>
  <si>
    <t>From STHDA (FB) survminer 0.2.0: New release for Drawing Survival Curves using ggplot2 #rstats https://t.co/mGnS9wvu4F</t>
  </si>
  <si>
    <t>PhD candidate at #fgv #eaesp #branding #marketresearch #rstats #analytics #dataviz #datavisualization #acwrimo #ECR #ecrchat #phdchat</t>
  </si>
  <si>
    <t>New Shiny App: Regression model - Predict mpg in mtcars dataset https://t.co/5dHvXqcO9q #rstats https://t.co/R8KqZU6f6j</t>
  </si>
  <si>
    <t>Adam Duncan</t>
  </si>
  <si>
    <t>Westfield, NJ</t>
  </si>
  <si>
    <t>Manager Research, Cambridge Associates. Carnegie Mellon University grad and lifelong supporter. Runner, R enthusiast.</t>
  </si>
  <si>
    <t>RT @PyDataMad: Entre las propuestas tenemos mucho Python. #julialang #rstats #spark tenéis hasta hoy para proponer charla/taller https://t.…</t>
  </si>
  <si>
    <t>Simon Frost</t>
  </si>
  <si>
    <t>RT @BatesDmbates: https://t.co/8REVG9PjdL describes reading saved #rstats data sets in #julialang using RCall. @JennyBryan @hadleywickham</t>
  </si>
  <si>
    <t>Cambridge, England</t>
  </si>
  <si>
    <t>Computational biologist, data scientist, interested in all things infectious</t>
  </si>
  <si>
    <t>NEOMATRIX</t>
  </si>
  <si>
    <t>Julia developer, Electronica, Seguridad, hardware, linux, robotica, videojuegos, ciencia</t>
  </si>
  <si>
    <t>Best Courses Ever</t>
  </si>
  <si>
    <t>Up to 97% off all #Udemy online courses, including #rstats courses. Use https://t.co/XKwsG0qt7A for discount.</t>
  </si>
  <si>
    <t>CRAN updates: FedData memisc MTurkR https://t.co/y5W2NTKSXT #rstats</t>
  </si>
  <si>
    <t>Working with MS SQL server on non-windows systems https://t.co/t2qB2xIQIZ #rstats #DataScience</t>
  </si>
  <si>
    <t>Installing cuda toolkit and related R packages https://t.co/mXiQT3zSwM #rstats #DataScience</t>
  </si>
  <si>
    <t>Locality Sensitive Hashing in R https://t.co/3zaaKswgdK #rstats #DataScience</t>
  </si>
  <si>
    <t>rmongodb 1.8.0 https://t.co/sl6uI9RDqK #rstats #DataScience</t>
  </si>
  <si>
    <t>Soroor</t>
  </si>
  <si>
    <t>RT @Rbloggers: Locality Sensitive Hashing in R https://t.co/3zaaKswgdK #rstats #DataScience</t>
  </si>
  <si>
    <t>Research Technician @WEHI_research. Computational Biology | #rstats</t>
  </si>
  <si>
    <t>RT @Rbloggers: Working with MS SQL server on non-windows systems https://t.co/t2qB2xIQIZ #rstats #DataScience</t>
  </si>
  <si>
    <t>RT @Rbloggers: Installing cuda toolkit and related R packages https://t.co/mXiQT3zSwM #rstats #DataScience</t>
  </si>
  <si>
    <t>RT @Rbloggers: rmongodb 1.8.0 https://t.co/sl6uI9RDqK #rstats #DataScience</t>
  </si>
  <si>
    <t>Rob Porter</t>
  </si>
  <si>
    <t>Interested in #StartUps #Photography &amp; #Politics. Studied #PoliSci @UCC &amp; #DataAnalytics @ditofficial.</t>
  </si>
  <si>
    <t>"bayesboot: An R package for doing the #Bayesian bootstrap" https://t.co/17Cdw9m2cr via @rabaath #rstats https://t.co/RUFCi7Tgcc</t>
  </si>
  <si>
    <t>nekrum</t>
  </si>
  <si>
    <t>zingzungsang</t>
  </si>
  <si>
    <t>Puedo ser Biólogo, Científico, Fotógrafo, Ciclista, Programador o Batusai según la inestabilidad espacio-temporal en que caiga.</t>
  </si>
  <si>
    <t>xHiE</t>
  </si>
  <si>
    <t>Call me wierd, but i feel the joy of programming #rstats #rstudio #sexynerd #distractinglysexy https://t.co/noZZseh57v</t>
  </si>
  <si>
    <t>#blah #blah @usponline @uchile @utem http://t.co/WENAh0gRaO http://t.co/MsJZ5MZ5dH… http://t.co/MEkXoItD2m</t>
  </si>
  <si>
    <t>Josh</t>
  </si>
  <si>
    <t>library(ggvis) library(dplyr) library(tidyr) I like to tell stories about data</t>
  </si>
  <si>
    <t>Christophe Lalanne</t>
  </si>
  <si>
    <t>"Another text analysis package" #rstats https://t.co/hfwY9XfnYE</t>
  </si>
  <si>
    <t>Biostatistics/Psychometrics consulting, bohemian scientist</t>
  </si>
  <si>
    <t>RT @chlalanne: "Another text analysis package" #rstats https://t.co/hfwY9XfnYE</t>
  </si>
  <si>
    <t>Abdul Kudus</t>
  </si>
  <si>
    <t>Mia Costa</t>
  </si>
  <si>
    <t>Singing teenagers + #rstats errors = the worst 2 hour train ride ever</t>
  </si>
  <si>
    <t>Political Science PhD @UMassAmherst. representation, political networks, behavior, experiments, @UMassPoll-ster</t>
  </si>
  <si>
    <t>Oommen K M</t>
  </si>
  <si>
    <t>Bangalore, Chengannur, Kochi</t>
  </si>
  <si>
    <t>#Computational_Biology Research Scholar at NCBS, Bangalore. Algorithm development, for Biology, in #Python utilizing my experience in IT industry is my passion.</t>
  </si>
  <si>
    <t>Tom Kelly</t>
  </si>
  <si>
    <t>Would highly recommend the @datacarpentry materials for #RStats. Great intro to the data munging we do day-to-day. https://t.co/Y733NvBA02</t>
  </si>
  <si>
    <t>Dunedin, New Zealand</t>
  </si>
  <si>
    <t>Bioinfomagician | PhD Student @otago | Black Research Group | Cancer Genetics | Evolution | Computational Biology | Career Maths Geek | @swcarpentry Instructor</t>
  </si>
  <si>
    <t>I think this applies in any discipline, worked great for our new influx of molecular biologists. #rstats #resbazdun https://t.co/4rHhmvVj67</t>
  </si>
  <si>
    <t>Al-Ahmadgaid Asaad</t>
  </si>
  <si>
    <t>Diliman, Q.C., Philippines</t>
  </si>
  <si>
    <t>Sinama, Statistician (#DataScience), Programmer (#Rstats &amp; #Python) and #Blogger. Editor of Analysis with Programming blog.</t>
  </si>
  <si>
    <t>"Rstats" on Tweeted Times #rstats https://t.co/X6haMFDKGP - top stories by @data_made_easy, @harrysuntech, @KikePerez75</t>
  </si>
  <si>
    <t>RT @hadleywickham: Forecast package (by @robjhyndman) used to forecast 100 of millions of series each week. Next version will feature ggplo…</t>
  </si>
  <si>
    <t>Handwriting recognition using R https://t.co/JasXOqCkrZ #rstats #DataScience</t>
  </si>
  <si>
    <t>Windows binary of RMySQL https://t.co/yPAhHAOduq #rstats #DataScience</t>
  </si>
  <si>
    <t>How to run regression on large datasets in R https://t.co/9A6tlon4A4 #rstats #DataScience</t>
  </si>
  <si>
    <t>Bill Cotter</t>
  </si>
  <si>
    <t>RT @Rbloggers: How to run regression on large datasets in R https://t.co/9A6tlon4A4 #rstats #DataScience</t>
  </si>
  <si>
    <t>Joint PhD student in @UALinguistics &amp; @UA_Anthropology - I primarily tweet about my dog, cycling, coffee, and language.</t>
  </si>
  <si>
    <t>Jenice Tom</t>
  </si>
  <si>
    <t>I'm just a girl in the world. UCLA '95 BA / Cornell '02 MBA, self-proclaimed data geek and map enthusiast. And yes, I do work at a wine school.</t>
  </si>
  <si>
    <t>Pastel BioScience</t>
  </si>
  <si>
    <t>MetroTwit</t>
  </si>
  <si>
    <t>Developing revolutionary #next-gen platform #technology, InVenio, for #proteomics and protein #biomarker #discovery and #validation</t>
  </si>
  <si>
    <t>Smart @rstudio trick -- if you hold down "Alt" and click up or down in the text editor, it moves the line of code #rstats</t>
  </si>
  <si>
    <t>RT @Rbloggers: Windows binary of RMySQL https://t.co/yPAhHAOduq #rstats #DataScience</t>
  </si>
  <si>
    <t>RT @Rbloggers: Handwriting recognition using R https://t.co/JasXOqCkrZ #rstats #DataScience</t>
  </si>
  <si>
    <t>jmsl</t>
  </si>
  <si>
    <t>Interested in reliable real-time systems, analytics and machine learning at scale. I like ☕️, new music, and technological progress. Opinions are my own.</t>
  </si>
  <si>
    <t>Networkx #Datascience #Bigdata Tools is out! https://t.co/7Kj8Sejwbz #rstats #python Stories via @BraydenMegan @abresler @7cintaindonesia</t>
  </si>
  <si>
    <t>Vijay Barve</t>
  </si>
  <si>
    <t>Done bug fixes and additional functionality in #bdvis https://t.co/z9Ho0wo253 …this week. Please send your comments / bug reports #rstats</t>
  </si>
  <si>
    <t>https://t.co/z9g9Wy3VLU</t>
  </si>
  <si>
    <t>Att-if</t>
  </si>
  <si>
    <t>A culture junkie, with a nasty travel habit.</t>
  </si>
  <si>
    <t>Nico Procopio</t>
  </si>
  <si>
    <t>Calabria, Italy</t>
  </si>
  <si>
    <t>Data Scientist @ ICAR-CNR. In love with Catia, #data and #bicycle. Wannabe #civicHacker. Co-Founder at @MagicBusApp. #dataculture author on @CalabriaStartup.</t>
  </si>
  <si>
    <t>Professor Red Owl</t>
  </si>
  <si>
    <t>Announcements/info for Prof. Red Owl's doctoral courses in research methods &amp; statistics plus general items of interest re doctoral education &amp; research.</t>
  </si>
  <si>
    <t>600 websites about R: https://t.co/9xeqx06FTD #abdsc #Rstats #DataScience #Statistics #MachineLearning https://t.co/0kKVoqrphx</t>
  </si>
  <si>
    <t>RT @KirkDBorne: 600 websites about R: https://t.co/9xeqx06FTD #abdsc #Rstats #DataScience #Statistics #MachineLearning https://t.co/0kKVoqr…</t>
  </si>
  <si>
    <t>RT @sfrechette: "Rstats" on Tweeted Times #rstats https://t.co/X6haMFDKGP - top stories by @data_made_easy, @harrysuntech, @KikePerez75</t>
  </si>
  <si>
    <t>Mudra Mukherjee</t>
  </si>
  <si>
    <t>Data Scientist at Sears Holdings Corporation,Reader,foodie.moviebuff.</t>
  </si>
  <si>
    <t>Ali Shoaib</t>
  </si>
  <si>
    <t>A Doctor, Mathematician, Musician, Coder and an Entrepreneur. I work at the intersection of #BigData, #mHealth, #SystemsBiology and #Synbio.</t>
  </si>
  <si>
    <t>Kay Endriss</t>
  </si>
  <si>
    <t>Winston-Salem, North Carolina</t>
  </si>
  <si>
    <t>AP Statistics. Systems Modeling. Standby Task Force. CERT. You can lead or you can follow, but if you don't connect, your data won't matter.</t>
  </si>
  <si>
    <t>Jorge Palacios</t>
  </si>
  <si>
    <t>Palooney</t>
  </si>
  <si>
    <t>PREFiX</t>
  </si>
  <si>
    <t>我见青山多妩媚，料青山见我多烦气。</t>
  </si>
  <si>
    <t>RK</t>
  </si>
  <si>
    <t>Quezon City</t>
  </si>
  <si>
    <t>Geomatics grad student. Code. Comics. Cartography. Information junkie. Researcher at PHL-Microsat DPAD @maptimediliman</t>
  </si>
  <si>
    <t>..S..h..i..S..h..</t>
  </si>
  <si>
    <t>47.6768° N, 122.1100° W</t>
  </si>
  <si>
    <t>Big Data. Internet Of Things. Windsurfing. Retail. Life. Psychology.</t>
  </si>
  <si>
    <t>Convert Car2go Austin into an EV Fleet https://t.co/oSbJ7IWyrc #rstats #DataScience</t>
  </si>
  <si>
    <t>R.C. Serban</t>
  </si>
  <si>
    <t>RT @Rbloggers: Convert Car2go Austin into an EV Fleet https://t.co/oSbJ7IWyrc #rstats #DataScience</t>
  </si>
  <si>
    <t>Amsterdam, The Netherlands</t>
  </si>
  <si>
    <t>A.I. enthousiast, with interests in Text and Data Mining, Semantic Web Services, Big Data Analytics, Cloud Services, Business Process Simulation&amp;Optimization.</t>
  </si>
  <si>
    <t>Alice Toll</t>
  </si>
  <si>
    <t>Spent hours trying to edit some #rstats code, only to discover they threw in some Fortran code. I surrender.</t>
  </si>
  <si>
    <t>Jamestown, RI</t>
  </si>
  <si>
    <t>Biostatistics MS student at Vanderbilt. Nashville currently. Rhode Island always. stats. #rstats. rabbits.</t>
  </si>
  <si>
    <t>Daro</t>
  </si>
  <si>
    <t>München, Deutschland</t>
  </si>
  <si>
    <t>musician / physician / adventurer / friend / human being</t>
  </si>
  <si>
    <t>Rajiv Shah</t>
  </si>
  <si>
    <t>Analyzing bb trajectories (visualizing, simplifying, and similarity) #rstats on #SportVu, https://t.co/HWE3R254lB https://t.co/lbdcTm7413</t>
  </si>
  <si>
    <t>data scientist. professor. Asks the simple questions and likes shiny new tools.</t>
  </si>
  <si>
    <t>CallbackWomen</t>
  </si>
  <si>
    <t>Code women who are tech speakers. Programming conferences, shout out with Call for Proposals when you're looking for code women to callback to it.</t>
  </si>
  <si>
    <t>nathan hutchison</t>
  </si>
  <si>
    <t>dalconpro12</t>
  </si>
  <si>
    <t>Working at @MacropodHQ</t>
  </si>
  <si>
    <t>Vinay Thakur</t>
  </si>
  <si>
    <t>RT @idigdata: Using R w/#SQLServer 2016 https://t.co/k5rG7Akl1C #rstats https://t.co/h8BlCIFJ3M</t>
  </si>
  <si>
    <t>Vinay is a MS Sql Server Developer/DBA, Husband and Father.</t>
  </si>
  <si>
    <t>Sebnem Özdemir,PhD</t>
  </si>
  <si>
    <t>istanbul</t>
  </si>
  <si>
    <t>Educational Data Mining, Informatics, Mathematics, Math Teaching, GeoGebra, Learnification, Gamification, Information Overlood, Infollution, Digital Natives</t>
  </si>
  <si>
    <t>Jose Carrasco</t>
  </si>
  <si>
    <t>Granada, España</t>
  </si>
  <si>
    <t>Apasionado de la programación, de las tecnologías de la información. Programador Freelance.</t>
  </si>
  <si>
    <t>DataFinest</t>
  </si>
  <si>
    <t>I tweet about #Rstats, #DataScience, #statistics, #analytics, #dataviz, #datamining... (in french &amp; english)</t>
  </si>
  <si>
    <t>Raphaël Couturier</t>
  </si>
  <si>
    <t>Belfort, France</t>
  </si>
  <si>
    <t>Professor of computer science in the University of Bourgogne Franche Comte / Bassist of Carcariass</t>
  </si>
  <si>
    <t>The R Cast</t>
  </si>
  <si>
    <t>Interviews with @rstudio JJ Allaire @TrestleJeff @hadleywickham @jcheng in episode 18! https://t.co/3eCHiGnnKR #rstats #shinydevcon</t>
  </si>
  <si>
    <t>RT @theRcast: Interviews with @rstudio JJ Allaire @TrestleJeff @hadleywickham @jcheng in episode 18! https://t.co/3eCHiGnnKR #rstats #shin…</t>
  </si>
  <si>
    <t>pattern</t>
  </si>
  <si>
    <t>Jeffrey Shaffer</t>
  </si>
  <si>
    <t>Cincinnati</t>
  </si>
  <si>
    <t>Data Visualization Professor and Tableau Zen Master. Data Mining Geek and Recovering Musician https://t.co/SzBWN5cZlg and https://t.co/f5rFjyO3gg.</t>
  </si>
  <si>
    <t>teksbrain</t>
  </si>
  <si>
    <t>Momeneh Foroutan</t>
  </si>
  <si>
    <t xml:space="preserve">Melbourne, Australia </t>
  </si>
  <si>
    <t>PhD Student at The University of Melbourne</t>
  </si>
  <si>
    <t>○○めも@時間の浪費</t>
  </si>
  <si>
    <t>Japan, Tokyo</t>
  </si>
  <si>
    <t>{Work:[web,php,python,analysis], Interesting: [English, Machine Learning]}</t>
  </si>
  <si>
    <t>Cristina Del Biaggio</t>
  </si>
  <si>
    <t>Genève</t>
  </si>
  <si>
    <t>Géographe &amp; citoyenne engagée. Je twitte surtout sur les migrations et les réfugiés, mais aussi sur la cartographie et qqs autres petits trucs qui me font envie</t>
  </si>
  <si>
    <t>fGarch - Rmetrics - Autoregressive Conditional Heteroskedastic Modelling https://t.co/ol6RmMqX4S #RStats</t>
  </si>
  <si>
    <t>Pawel Jedrzejewicz</t>
  </si>
  <si>
    <t>Warszawa, Mazowieckie</t>
  </si>
  <si>
    <t>Passionate about programming especially DB ,Oracle and PL/SQL.Currently explore the secrets of The Bright Side of Big Data and The Dark Side of Data Science :-)</t>
  </si>
  <si>
    <t>Pradeepta Mishra</t>
  </si>
  <si>
    <t>A Dad, Chief Data Scientist, Machine Learning, NLP &amp; Text Analytics Practitioner, Author, Trainer, Blogger &amp; Continuous Learner</t>
  </si>
  <si>
    <t>John Bellettiere</t>
  </si>
  <si>
    <t>San Diego, CA</t>
  </si>
  <si>
    <t>I'm a PhD student of #Epidemiology | #BehaviorScience | #DataScience interetested in behavior and its relation to health #BehavioralDataScientist #rstats</t>
  </si>
  <si>
    <t>Yu-Fu Wu</t>
  </si>
  <si>
    <t>Yunlin-Taiwan</t>
  </si>
  <si>
    <t>Medical Hacker Powered By Emacs and Python</t>
  </si>
  <si>
    <t>Paul Gardner</t>
  </si>
  <si>
    <t>RT @tomkXY: I think this applies in any discipline, worked great for our new influx of molecular biologists. #rstats #resbazdun https://t.c…</t>
  </si>
  <si>
    <t>Christchurch, NZ</t>
  </si>
  <si>
    <t>Bioinformatics lecturer @ UCanterbury. Editor for RNA Biology &amp; PLOS Computational Biology. Rutherford Discovery Fellow.</t>
  </si>
  <si>
    <t>Nested Data Frames illustrated by @hadleywickham Melbourne R Users Group #rstats #datascience https://t.co/5pBxvDxzl5</t>
  </si>
  <si>
    <t>Edgar García de P.</t>
  </si>
  <si>
    <t>Ingeniero superior en informática. Experto en BI, Data Management, Web, TI. Interesado tambien en temas de actualidad.</t>
  </si>
  <si>
    <t>New R job: Data analyst https://t.co/9c4FReEztJ #rstats #DataScience #jobs</t>
  </si>
  <si>
    <t>New R job: Root word and Noun Phrase Extraction https://t.co/SEPjRBPHuF #rstats #DataScience #jobs</t>
  </si>
  <si>
    <t>Chris Nezar</t>
  </si>
  <si>
    <t>Johannesburg, South Africa</t>
  </si>
  <si>
    <t>Husband, BI developer, Qlikview evangelist, DWH enthusiast, Tech lead, Fantasy reader, conspiracist, cat butler &amp; professional mini-tennisball thrower</t>
  </si>
  <si>
    <t>Besim Ismaili</t>
  </si>
  <si>
    <t>Oslo, Norway</t>
  </si>
  <si>
    <t>#BusinessIntelligence #MCTS and #DataScience #professional. My #tweets are my #private #opinion!</t>
  </si>
  <si>
    <t>New CRAN package lrequire with initial version 0.1.3 https://t.co/0QdYpl5sce #rstats</t>
  </si>
  <si>
    <t>CRAN updates: clifro jagsUI TSP https://t.co/y5W2NTKSXT #rstats</t>
  </si>
  <si>
    <t>Der findes en pakke til #rstats, som indeholder navnedata for USA. Jeg tror at jeg har fundet en effekt: https://t.co/uynO5HZAoh</t>
  </si>
  <si>
    <t>RT @Rbloggers: New R job: Root word and Noun Phrase Extraction https://t.co/SEPjRBPHuF #rstats #DataScience #jobs</t>
  </si>
  <si>
    <t>RT @Rbloggers: New R job: Data analyst https://t.co/9c4FReEztJ #rstats #DataScience #jobs</t>
  </si>
  <si>
    <t>Hilary Wynne</t>
  </si>
  <si>
    <t>Research associate in psycholinguistics, final year DPhil student, recovering medievalist and dog enthusiast.</t>
  </si>
  <si>
    <t>Learning statistics in R (in Indonesia language). Avail soon. Next book project -&gt; R for hydrology #rstats https://t.co/XJLj5UYn5Q</t>
  </si>
  <si>
    <t>Hydrogeology ITB</t>
  </si>
  <si>
    <t>Avail soon -&gt; #rstats #datascience #opensource https://t.co/2vXfopdOMp</t>
  </si>
  <si>
    <t>Bandung, West Java</t>
  </si>
  <si>
    <t>Hydrogeology Master Program, Institut Teknologi Bandung, tweet from: @dasaptaerwin &amp; @impipsqueak</t>
  </si>
  <si>
    <t>CapeR Users Group</t>
  </si>
  <si>
    <t>Western Cape, South Africa</t>
  </si>
  <si>
    <t>Cape-R User group - mainly used for announcements and some other R tips.</t>
  </si>
  <si>
    <t>abel gonzález</t>
  </si>
  <si>
    <t>I used to be much more muchier but I've lost my muchness.</t>
  </si>
  <si>
    <t>R user in Nottingham? First Meetup of NottinghamR on Feb 23rd. https://t.co/gpVKfichEK #rstats #R https://t.co/BRN8ZMg7kA</t>
  </si>
  <si>
    <t>RT @tomkXY: Would highly recommend the @datacarpentry materials for #RStats. Great intro to the data munging we do day-to-day. https://t.co…</t>
  </si>
  <si>
    <t>RT @MangoTheCat: R user in Nottingham? First Meetup of NottinghamR on Feb 23rd. https://t.co/gpVKfichEK #rstats #R https://t.co/BRN8ZMg7kA</t>
  </si>
  <si>
    <t>Introduction to #Python for Data Analysis course - London 24-25 Feb https://t.co/XiTtqRiPVw #rstats #analysis https://t.co/TzM3Ik9q38</t>
  </si>
  <si>
    <t>Barrie Robertson</t>
  </si>
  <si>
    <t>Corsham, England</t>
  </si>
  <si>
    <t>I play rugby, union &amp; touch, cycle a bit, love skiing &amp; follow the NHL. Currently an #AwesomeAdmin running @salesforce @ResearchMedia</t>
  </si>
  <si>
    <t>Andrew Jackson</t>
  </si>
  <si>
    <t>mini-data/R workshops here. Good opportunity for speakers mentors to put their hands up. #Rstats #GenderEquality https://t.co/JjHIn0q9g1</t>
  </si>
  <si>
    <t>Assoc Prof Theoretical #Ecology &amp; #Evolution, Trinity College Dublin. My familiars @OctaviaCuddles &amp; @Serpico_HH keep me company</t>
  </si>
  <si>
    <t>Neil Charles</t>
  </si>
  <si>
    <t>Trying something different... I've done this week's #MakeoverMonday in R Markdown https://t.co/5hxzH32TtC #rstats https://t.co/CPxLJDkp3F</t>
  </si>
  <si>
    <t>Leeds</t>
  </si>
  <si>
    <t>Complicated data; simple answers.</t>
  </si>
  <si>
    <t>Dani Rabaiotti</t>
  </si>
  <si>
    <t>RT @yodacomplex: mini-data/R workshops here. Good opportunity for speakers mentors to put their hands up. #Rstats #GenderEquality https://t…</t>
  </si>
  <si>
    <t>Lewisham</t>
  </si>
  <si>
    <t>Conservation and policy enthusiast researching climate change + African wild dogs. Ex bat researcher. #wildlife #PhDchat #rstats Based at @ZSLScience @UCLCBER</t>
  </si>
  <si>
    <t>Quartz Bio</t>
  </si>
  <si>
    <t>Here's a great demo of zoomable networks with the ggnetwork and svgPanZoom packages #rstats https://t.co/RptXBqzA5v</t>
  </si>
  <si>
    <t>Plan-les-Ouates, Genève</t>
  </si>
  <si>
    <t>Quartz Bio performs clinical bioinformatics and exploratory biomarker data analyses to make precision medicine a reality. @Fongit1</t>
  </si>
  <si>
    <t>Iñaki Aldasoro</t>
  </si>
  <si>
    <t>"Using R for Introductory Econometrics": https://t.co/EkkWjmd5uS #rstats #econometrics</t>
  </si>
  <si>
    <t>Mostly economics with occasional random commentary. Mostly just channeling other's views. RT is NOT endorsement.</t>
  </si>
  <si>
    <t>R User up North? ManchesterR date announced: Mon 29th Feb at https://t.co/w0N9vlIpX5 #rstats #R #analytics https://t.co/lLFMmh2tZM</t>
  </si>
  <si>
    <t>R user? Share your experience at the leading UK #rstats conf #EARL2016 - call for abstracts https://t.co/YIqP2fRsMt https://t.co/UtmRUb9X6L</t>
  </si>
  <si>
    <t>François Michonneau</t>
  </si>
  <si>
    <t>RT @vijaybarve: Done bug fixes and additional functionality in #bdvis https://t.co/z9Ho0wo253 …this week. Please send your comments / bug r…</t>
  </si>
  <si>
    <t>Underwater, I tame spineless marine creatures. On land, large data sets and computer code. I teach these skills at @swcarpentry and @datacarpentry workshops.</t>
  </si>
  <si>
    <t>Yuan Wang</t>
  </si>
  <si>
    <t>RT @rstudio: New release of RStudio (v0.99.878) available now https://t.co/d58CL0l8Be #rstats</t>
  </si>
  <si>
    <t>Data Scientist in Health Informatics. PhD in Biomedical Engineering</t>
  </si>
  <si>
    <t>Thomas Pedersen</t>
  </si>
  <si>
    <t>So, to write that thesis... *blocks @twitter, blocks @github, stops making new #rstats packages* ... Well this is boring!</t>
  </si>
  <si>
    <t>Capital Region</t>
  </si>
  <si>
    <t>Visualisation, Biology and Data Science</t>
  </si>
  <si>
    <t>RT @dasaptaerwin: Learning statistics in R (in Indonesia language). Avail soon. Next book project -&gt; R for hydrology #rstats https://t.co/X…</t>
  </si>
  <si>
    <t>BigData Shift</t>
  </si>
  <si>
    <t>World Cluster</t>
  </si>
  <si>
    <t>We are streaming relevant info &amp; news about BigData - mHealth - Tech - FinTech - Media Disruption</t>
  </si>
  <si>
    <t>Pierre P.</t>
  </si>
  <si>
    <t>Gérer des dates sous R https://t.co/8tDIkbCeq2 #rstats #Sociologie #Quanti</t>
  </si>
  <si>
    <t>#Doctorant en #sociologie, travaille sur les #violences #masculines et les #masculinistes. Végé, geek, pro-féministe et anti-raciste.</t>
  </si>
  <si>
    <t>EARL Conference</t>
  </si>
  <si>
    <t>Do you have a R talk waiting to be heard? Call for Abstracts! #EARL2016 Conference #rstats https://t.co/FpUDaN7Vpu https://t.co/MACih55Ugy</t>
  </si>
  <si>
    <t>London/Boston</t>
  </si>
  <si>
    <t>Effective Applications of the R Language. London 13th - 15th September 2016, Boston dates TBC. Organised by Mango Solutions @mangothecat #rstats</t>
  </si>
  <si>
    <t>RT @earlconf: Do you have a R talk waiting to be heard? Call for Abstracts! #EARL2016 Conference #rstats https://t.co/FpUDaN7Vpu https://t.…</t>
  </si>
  <si>
    <t>Alexander Bernal</t>
  </si>
  <si>
    <t>Statistician at Banco Agrario de Colombia. Atheist. Msc. Of Science student. Truth enlightens the mind, but won't always bring happiness to your heart U_U</t>
  </si>
  <si>
    <t>Why should you backup your R objects? https://t.co/NQZWbzF2Xp via @rbloggers #rstats</t>
  </si>
  <si>
    <t>ICYMI: paper on why not to use bar graphs for continuous data https://t.co/J8ScZPBdpY &amp; some #rstats/#ggplot2 code https://t.co/QHHcOPkR7M</t>
  </si>
  <si>
    <t>SCISYS</t>
  </si>
  <si>
    <t>Offices in UK and Germany</t>
  </si>
  <si>
    <t>#AIM listed #Software and services company that solves real-world problems for #broadcast #radio #space #defence #marine #government #environment #satellites</t>
  </si>
  <si>
    <t>Post your resume to https://t.co/asK5rWSZYI (+6 new R jobs for 2016-02-22) https://t.co/ntejEkVIBD #rstats #DataScience</t>
  </si>
  <si>
    <t>Post your resume to https://t.co/m93599Uxfn (+6 new R jobs for 2016-02-22): New in R-users – ... https://t.co/GFHCNHk6Q4 @rbloggers #rstats</t>
  </si>
  <si>
    <t>Manipuler des données calendaires sous R https://t.co/XHqvL4XU37 #rstats #Sociologie #Quanti #PDF</t>
  </si>
  <si>
    <t>Tom Finch</t>
  </si>
  <si>
    <t>RT @tomhouslay: ICYMI: paper on why not to use bar graphs for continuous data https://t.co/J8ScZPBdpY &amp; some #rstats/#ggplot2 code https://…</t>
  </si>
  <si>
    <t>Regular food eater, keen birdnoticer, amateur photo taker, occasional music maker &amp; UEA PhD faker. Tweet about birds &amp; science, mostly</t>
  </si>
  <si>
    <t>Tian Zheng</t>
  </si>
  <si>
    <t>RT @Rbloggers: Post your resume to https://t.co/asK5rWSZYI (+6 new R jobs for 2016-02-22) https://t.co/ntejEkVIBD #rstats #DataScience</t>
  </si>
  <si>
    <t>Associate Professor of Statistics, Columbia Univeristy</t>
  </si>
  <si>
    <t>Announcement! Early Bird R Conference tickets now on Sale! https://t.co/iftCaIPbRS #rstats #R https://t.co/AtRJ63aq7Q</t>
  </si>
  <si>
    <t>Kirsty MacLeod</t>
  </si>
  <si>
    <t>Postdoc at @Cambridge_Uni, soon to be at @penn_state. Behavioural ecologist: maternal effects, parental investment &amp; repro strategies. Tweets all mine!</t>
  </si>
  <si>
    <t>SudhirVoleti</t>
  </si>
  <si>
    <t>RT @juliasilge: NEW POST: I used @hadleywickham's NEISS package to analyze injuries and injury rates #rstats https://t.co/KlllLxTHMI https:…</t>
  </si>
  <si>
    <t>Hyderabad, India</t>
  </si>
  <si>
    <t>Assistant Professor of Marketing, ISB</t>
  </si>
  <si>
    <t>Dr. Ariadna</t>
  </si>
  <si>
    <t>Looking forward to the #DataScience workshop in R #rstats by @leach_jim organised by @icdatasoc #DSAmb https://t.co/USW0It1nMf</t>
  </si>
  <si>
    <t>London Uk</t>
  </si>
  <si>
    <t>A #Physicist #Science doing #ComputationalChemistry using #hpc that loves #Tech #dataviz #DataScience #ScienceComunitation #BritRock #running #humanist</t>
  </si>
  <si>
    <t>More R User Group Sites https://t.co/ffhpF6cS6e via @rbloggers #rstats #LondonR</t>
  </si>
  <si>
    <t>Lewis Spurgin</t>
  </si>
  <si>
    <t>Research fellow in population genomics.</t>
  </si>
  <si>
    <t>Want to speak at #EARL2016 #rstats #R Conference in #London? Call for Abstracts https://t.co/FpUDaN7Vpu https://t.co/kAFhlaVpn2</t>
  </si>
  <si>
    <t>Do you have a talk waiting to be heard? Call for Abstracts! #EARL2016 R Conference #rstats https://t.co/lvS7qgNZhH https://t.co/7KTuCBsKHl</t>
  </si>
  <si>
    <t>Convert Car2go Austin into an EV Fleet https://t.co/3Ol9TlINUz #rstats</t>
  </si>
  <si>
    <t>RT @MangoTheCat: Do you have a talk waiting to be heard? Call for Abstracts! #EARL2016 R Conference #rstats https://t.co/lvS7qgNZhH https:/…</t>
  </si>
  <si>
    <t>Post your resume to https://t.co/3b4yJKLzGW (+6 new R jobs for 2016-02-22) https://t.co/8zmd0TeWcp #rstats</t>
  </si>
  <si>
    <t>Seems like a good time to note that data visualisation is a key part of our @PRstatistics #rstats course in May... https://t.co/jW0t6gjT7B</t>
  </si>
  <si>
    <t>PR~statistics</t>
  </si>
  <si>
    <t>RT @tomhouslay: Seems like a good time to note that data visualisation is a key part of our @PRstatistics #rstats course in May... https://…</t>
  </si>
  <si>
    <t>RT @drob: Wife: You're not sleeping? Me: Gotta finish this W: You're writing rants about ggplot2 aren't you Me: maybe literally every nigh…</t>
  </si>
  <si>
    <t>RT @drob: I dream of a day when base plots appear only in BuzzFeed articles, under title "22 graphs only a 90s statistician will understand…</t>
  </si>
  <si>
    <t>Meg Wilmore</t>
  </si>
  <si>
    <t>Data-girl : wunderbar ! Data Mining, Marketing, Big Data, Analytics, Consumption, Digital Tech, Programming, R, SQL, Tech Hacks, Sociology, Human Behaviour,</t>
  </si>
  <si>
    <t>The inevitable, inexorable grip of Bayesian thinking on R practitioners #rstats https://t.co/0qQKioOCcN</t>
  </si>
  <si>
    <t>Shankar Vaidyaraman</t>
  </si>
  <si>
    <t>Exciting news! R Conference reception for #EARL2016 to be held at Tower of London! #rstats https://t.co/dBlZeoV3P9 https://t.co/bWxx4nKMPT</t>
  </si>
  <si>
    <t>Adolfo Sanz De Diego</t>
  </si>
  <si>
    <t>RT @DrQz: How to create D3 interactive network graphs from within R https://t.co/Soo2MLigll #rstats #javascript https://t.co/jct5ZCR7Mt</t>
  </si>
  <si>
    <t>Desarrollador web. Asesor en la @ComunidadMadrid. Fundador de @HackathonLovers. Colaborador como profesor en @ciffbusiness y como formador en @Pronoide.</t>
  </si>
  <si>
    <t>nando</t>
  </si>
  <si>
    <t>Algunos piídos NO son aptos para MAYORES DE 18 años. En inglés los suelto en @colgado_en y en http://t.co/ag98nuyMLr puede salirme cualquier sonido... cuidadín!</t>
  </si>
  <si>
    <t>SSCAnnualMeeting</t>
  </si>
  <si>
    <t>Moderated by Dr. Dan Gillis (University of Guelph) and Dr. Dave Campbell (Simon Fraser University).</t>
  </si>
  <si>
    <t>Filipe Pais Lenfers</t>
  </si>
  <si>
    <t>Matthias De Lozzo</t>
  </si>
  <si>
    <t>#Rstats et ses erreurs : "Error in check_twitter_oauth() : OAuth authentication error:" #rahhhh</t>
  </si>
  <si>
    <t>Aix-en-Provence</t>
  </si>
  <si>
    <t>Rêveur. Ingénieur de recherche en statistiques. Militant écosocialiste. #JLM2017</t>
  </si>
  <si>
    <t>Carina M. Gsottbauer</t>
  </si>
  <si>
    <t>Austria</t>
  </si>
  <si>
    <t>#PhD student: #shellfish &amp; #ClimateChange | love working w/ #wildlife/ #animals | interested in #conservation &amp; animal welfare | Austrian | Views are my own.</t>
  </si>
  <si>
    <t>José Ángel Cuadrado</t>
  </si>
  <si>
    <t>Desarrollador iOS en @Intelygenz || Cofundador de @t3chfest || Mis sueños son mentiras que algún día dejarán de serlo</t>
  </si>
  <si>
    <t>Jason Green</t>
  </si>
  <si>
    <t>Pittsburgh, PA, USA</t>
  </si>
  <si>
    <t>Lover of data and the magical things we can do with it.</t>
  </si>
  <si>
    <t>Relearn ML</t>
  </si>
  <si>
    <t>#machinelearning news and stories in english and french.</t>
  </si>
  <si>
    <t>Sammi Chekroud</t>
  </si>
  <si>
    <t>RT @itschekkers: TFW after 18 months you finally fit an individual-patient model across multiple #clinicaltrials &amp; #lme4 sprinkles stars on…</t>
  </si>
  <si>
    <t>Oxford, UK</t>
  </si>
  <si>
    <t>RA in cog neuro at Oxford, Assistant Coach for OULRC. Unhealthy obsession with coffee and good stationery.</t>
  </si>
  <si>
    <t>Mozilla Science Lab</t>
  </si>
  <si>
    <t>Helping researchers around the world leverage the open web. We facilitate learning around open source, data and offer fellowships for early-career researchers.</t>
  </si>
  <si>
    <t>Axel Bizel</t>
  </si>
  <si>
    <t>Datajournalisme et infographie @agenceIDE / Ex-journaliste médias &amp; numérique @mind_Satellinet et service web @LaCroixCom #NewMedia #Ddj #NoisyMusic</t>
  </si>
  <si>
    <t>Bad Joy Cave</t>
  </si>
  <si>
    <t>GreaterLala</t>
  </si>
  <si>
    <t>Programmer. Maker. Guitar Player. Music lover. Jackrabbit. Boilermaker. Part Animal, Part Machine. The ESPN guy is @DJacoby. The Info Sec guy is @JacobyDavid.</t>
  </si>
  <si>
    <t>Markus Meierer</t>
  </si>
  <si>
    <t>TwInbox</t>
  </si>
  <si>
    <t>Zurich, Switzerland</t>
  </si>
  <si>
    <t>Leveraging data to build more customer-centric organizations. #DataScience #MarketingAnalytics #UniversityOfZurich</t>
  </si>
  <si>
    <t>Open Data Durban</t>
  </si>
  <si>
    <t>RT @DataScience_Afr: Join us for our first EVER Durban #Rstats Users Group Meetup https://t.co/fLdSIx61Nz @revodavid @RevoJoe @RevoAndrie …</t>
  </si>
  <si>
    <t>Open Data Durban is a civic technology lab that implements and advocates for open data, open government, and civic technology.</t>
  </si>
  <si>
    <t>CRAN updates: depmix RSA https://t.co/y5W2NTKSXT #rstats</t>
  </si>
  <si>
    <t>Diego Valle-Jones</t>
  </si>
  <si>
    <t>When not fighting evil I tweet my thoughts on programming, data science, and the drug war in Mexico.</t>
  </si>
  <si>
    <t>Top story: #rstats How to run regression on large datasets in R | R-bloggers https://t.co/rgipMfRTd7, see more https://t.co/wHGxkjjAmH</t>
  </si>
  <si>
    <t>Abel Coronado</t>
  </si>
  <si>
    <t>Aguascalientes</t>
  </si>
  <si>
    <t>Filósofo,Desarrollador de Software,M.C. en Estadística CIMAT, Emprendedor,Aprendiz de Mago,SDMX Expert, programador de #R, #DataScientist #BigData #Scala #Spark</t>
  </si>
  <si>
    <t>the vexed muddler</t>
  </si>
  <si>
    <t>Fashion for the Scientific Body™. Etsy shop: https://t.co/39e3Z5wc1y RedBubble shop: https://t.co/s6k0qbX7oT</t>
  </si>
  <si>
    <t>Jim Leach</t>
  </si>
  <si>
    <t>RT @starignus: Looking forward to the #DataScience workshop in R #rstats by @leach_jim organised by @icdatasoc #DSAmb https://t.co/USW0It1n…</t>
  </si>
  <si>
    <t>Person</t>
  </si>
  <si>
    <t>Will</t>
  </si>
  <si>
    <t>Gov't monkey by day, crowdworker at night. I'm all about production.</t>
  </si>
  <si>
    <t>Manuel Jose Mambru</t>
  </si>
  <si>
    <t>Santo Domingo</t>
  </si>
  <si>
    <t>Dios, patria y mi libertad, lo demás es ego.</t>
  </si>
  <si>
    <t>Max Schloemer</t>
  </si>
  <si>
    <t>RT @ArnoCandel: video of my H2O #deeplearning presentation at #reworkDL https://t.co/V0PBopNYob @teamrework @h2oai #opensource #datascienc…</t>
  </si>
  <si>
    <t>Technology Enthusiast</t>
  </si>
  <si>
    <t>Derick Winkworth</t>
  </si>
  <si>
    <t>RT @dataandme: "bayesboot: An R package for doing the #Bayesian bootstrap" https://t.co/17Cdw9m2cr via @rabaath #rstats https://t.co/RUFCi7…</t>
  </si>
  <si>
    <t>I disrupt the shit out of things!</t>
  </si>
  <si>
    <t>Dr Mike Whitfield</t>
  </si>
  <si>
    <t>Lancaster, England</t>
  </si>
  <si>
    <t>Environmental scientist. Development Coordinator at New Phytologist. Occasional DJ. #rstats, #openscience, #scicomm. Opinions mine, RTs not always endorsement.</t>
  </si>
  <si>
    <t>The R Graph Gallery</t>
  </si>
  <si>
    <t xml:space="preserve"> +120 plots available in the https://t.co/94JzuHm8wV, with the associated #R code! #data #dataviz #graph #rstats https://t.co/jGPDebh6nh</t>
  </si>
  <si>
    <t>Montpellier, France</t>
  </si>
  <si>
    <t>David Meza</t>
  </si>
  <si>
    <t>in god we trust, all others bring data. Chief Knowledge Architect at NASA. Making it easier to explore our knowledge.</t>
  </si>
  <si>
    <t>Ieva Druva-Lūsīte</t>
  </si>
  <si>
    <t>Rīga, Latvija (Latvia)</t>
  </si>
  <si>
    <t>bioloģe, augu un mikorizu pētniece biologist, plant and mycorrhiza researcher</t>
  </si>
  <si>
    <t>Haitham H. Saleh</t>
  </si>
  <si>
    <t>Industrial&amp;Systems Engineer / Faculty - Lecturer @ KFUPM - an Optimizer (On Leave at University of Illinois at Urbana-Champaign) #البسطاء</t>
  </si>
  <si>
    <t>Aubrey KC Maseko</t>
  </si>
  <si>
    <t>JHB, South Africa</t>
  </si>
  <si>
    <t>Husband | Business Intelligence/Data Warehousing maven with a passion for ICT Networking technology. Tech Entrepreneur. Trainer for middleware apps.</t>
  </si>
  <si>
    <t>Bill Petti</t>
  </si>
  <si>
    <t>A function to check how long until Opening Day, because #rstats and baseball https://t.co/TJxxN0xAdJ https://t.co/bkUMa1kY0k</t>
  </si>
  <si>
    <t>New Jersey, USA</t>
  </si>
  <si>
    <t>Consultant @Gallup. Data Science/Analytics/Baseball/baseballr package for #rstats. Moonlight @Hardball_Times. Numbers don't lie, people do</t>
  </si>
  <si>
    <t>Ryan Nel</t>
  </si>
  <si>
    <t>FeedScraper</t>
  </si>
  <si>
    <t>Durban South Africa</t>
  </si>
  <si>
    <t>Web developer @Derivco. Tweeting the latest articles on #DataScience and #MachineLearning.</t>
  </si>
  <si>
    <t>Webinar: Getting Started with Spatial Data Analysis with R https://t.co/3LT5iCE11O #rstats #DataScience via @RBloggers</t>
  </si>
  <si>
    <t>DataMinerX</t>
  </si>
  <si>
    <t>Looking @ some old code. Fighting between 'I've learned a lot since then' and 'Man, I stunk at coding.' (I kind of still do) #rstats</t>
  </si>
  <si>
    <t>United  States</t>
  </si>
  <si>
    <t>Just a solo data nerd, learning the art, and hacking on open data that interests me.</t>
  </si>
  <si>
    <t>Data Carpentry</t>
  </si>
  <si>
    <t>Data Carpentry is teaching researchers basic concepts, skills and tools for working more effectively with data. Take a workshop or help us develop or teach!</t>
  </si>
  <si>
    <t>Data Education DC</t>
  </si>
  <si>
    <t>DC area Meetup promoting #datascience through workshops, lectures, and social events.</t>
  </si>
  <si>
    <t>dogvile</t>
  </si>
  <si>
    <t>RT @Emaasit: Webinar: Getting Started with Spatial Data Analysis with R https://t.co/xBSMCUmxjv via @Emaasit #Rstats @DominoDataLab</t>
  </si>
  <si>
    <t>Tweets about web development,UX, data visualization, data analytics, infographics,e-marketing, BI,Big Data, (geo)politics, transhumanism</t>
  </si>
  <si>
    <t>Pedro Rubio Chacón</t>
  </si>
  <si>
    <t>RT @jrcajide: Clustering en R para descomposición de imágenes #DataScience #Rstats CC @kschoolcom https://t.co/f3LEQoiw0C</t>
  </si>
  <si>
    <t>Empezando la andadura en el mundo de la #AnaliticaWeb y el #SEO. Trabajo en @seocializame http://t.co/lSYcNQXsTO</t>
  </si>
  <si>
    <t>Volker B. Duetsch</t>
  </si>
  <si>
    <t>Text mining south park | https://t.co/KBGWOdBfzm | #datascience #rstats</t>
  </si>
  <si>
    <t>Nuremberg, Germany</t>
  </si>
  <si>
    <t>Vim enthusiast, zealous developer (R, JS, PHP). Practicing continuous refactoring of my wetware. Starting to learn https://t.co/0dfCkMt2C9.</t>
  </si>
  <si>
    <t>RT @odsc: Webinar: Getting Started with Spatial Data Analysis with R https://t.co/3LT5iCE11O #rstats #DataScience via @RBloggers</t>
  </si>
  <si>
    <t>For my #rstats tweeps - wearable box and whisker plots ftw. https://t.co/VyID5V44cy #sciart #dataviz https://t.co/n6o1LbI6TU</t>
  </si>
  <si>
    <t>Catherine Scott</t>
  </si>
  <si>
    <t>RT @vexedmuddler: For my #rstats tweeps - wearable box and whisker plots ftw. https://t.co/VyID5V44cy #sciart #dataviz https://t.co/n6o1LbI…</t>
  </si>
  <si>
    <t>grad student. spider advocate. biologist - behavioural ecology of spiders. Rstats. knitting. arachnology. photos by @Ibycter</t>
  </si>
  <si>
    <t>R for Deep Learning (I): Build Fully Connected Neural Network from Scratch https://t.co/B6UkYhrT91 #rstats #DataScience</t>
  </si>
  <si>
    <t>The R Parallel Programming Blog https://t.co/H9ad2mJFzb #rstats #DataScience</t>
  </si>
  <si>
    <t>RT @Rbloggers: R for Deep Learning (I): Build Fully Connected Neural Network from Scratch https://t.co/B6UkYhrT91 #rstats #DataScience</t>
  </si>
  <si>
    <t>Yonemoto N</t>
  </si>
  <si>
    <t xml:space="preserve">Kyoto, Leuven and Tokyo </t>
  </si>
  <si>
    <t>Epidemiologist and Biostatistician</t>
  </si>
  <si>
    <t>Annoyed useR</t>
  </si>
  <si>
    <t>. @MangoTheCat How much do your courses cost? #rstats</t>
  </si>
  <si>
    <t>"Analyzing Trajectories in #SportVu Data" by @rajcs4 https://t.co/lZD9T1Zm4v #rstats #dataviz #nba #spatialtracking https://t.co/iHyQMjKGEr</t>
  </si>
  <si>
    <t>Gianinna Ardaneswari</t>
  </si>
  <si>
    <t>RT @Rbloggers: The R Parallel Programming Blog https://t.co/H9ad2mJFzb #rstats #DataScience</t>
  </si>
  <si>
    <t>Part of MathgisterUI2015 @mathui09 @CintahijauID Maths and bioinformatics</t>
  </si>
  <si>
    <t>David Springate</t>
  </si>
  <si>
    <t>Manchester, UK</t>
  </si>
  <si>
    <t>Senior data scientist @Realityminetech</t>
  </si>
  <si>
    <t>boB Rudis</t>
  </si>
  <si>
    <t>Looks like I'm perma-moving from readLines() to stringi::stri_read_lines() #rstats https://t.co/KcYweqOAbM</t>
  </si>
  <si>
    <t>Upper Pylon 2</t>
  </si>
  <si>
    <t>Don't look at me…I do what he does—just slower. #rstats + co-author of Data-Driven Security @ddsecbook • Chef • Cyclist • Christian • DataSci at @rapid7</t>
  </si>
  <si>
    <t>NWU eResearch</t>
  </si>
  <si>
    <t>North-West, South Africa</t>
  </si>
  <si>
    <t>The North-West University</t>
  </si>
  <si>
    <t>Frans van Dunné</t>
  </si>
  <si>
    <t>Los 7 componentes claves de ciencia de datos de acuerdo a @hadleywickham #rstats https://t.co/v6IcSH54lH</t>
  </si>
  <si>
    <t>Costa Rica</t>
  </si>
  <si>
    <t>Biólogo trabajando en ciencia de datos y análisis de negocios en Costa Rica</t>
  </si>
  <si>
    <t>La nvlle version de #Rstudio est sortie depuis qq jours. Solution à mon problème d'Oauth avec twitteR ?! #Rstats https://t.co/5xcdbCbDCz</t>
  </si>
  <si>
    <t>Michael Sumner</t>
  </si>
  <si>
    <t>RT @hrbrmstr: Looks like I'm perma-moving from readLines() to stringi::stri_read_lines() #rstats https://t.co/KcYweqOAbM</t>
  </si>
  <si>
    <t>Hobart</t>
  </si>
  <si>
    <t>R spatial nut, futileologist, vegetarian trapped inside a carnivore, Rick &amp; Morty.</t>
  </si>
  <si>
    <t>Artem Klevtsov</t>
  </si>
  <si>
    <t>Research analytic, R addict, psychologist</t>
  </si>
  <si>
    <t>Lee Garcia</t>
  </si>
  <si>
    <t>A marketing and lifestyle experience twitter. Chewing the fat on real life/on-line integration. Loving life's little lightbulb moments.</t>
  </si>
  <si>
    <t>CRAN updates: Lmoments seriation spnet sprm https://t.co/y5W2NTKSXT #rstats</t>
  </si>
  <si>
    <t>2 days unlimited access to DataCamp! https://t.co/KXuGwgqduI #Datacamp #rstats #python</t>
  </si>
  <si>
    <t>Mike Potter</t>
  </si>
  <si>
    <t>Theoretical Chemistry, mathematics, software, also philosophy, history, anthropology. Inter. in interdisciplinary and edu projects. Practiced face-palmist</t>
  </si>
  <si>
    <t>Marco Hoogendijk</t>
  </si>
  <si>
    <t>Hong Kong</t>
  </si>
  <si>
    <t>Derivatives Specialist, Financial Engineer, R enthusiast and driver of Data Visualization for Financial Markets.</t>
  </si>
  <si>
    <t>Check out a list of R events @mangothecat are hosting or exhibiting at https://t.co/BCFK1RfLKR #rstats https://t.co/rWYfTU3Tou</t>
  </si>
  <si>
    <t>. @abresler errr…no. I forked a repo to add some DESCRIPTION elements and better examples + figures + a vignette #rstats :-)</t>
  </si>
  <si>
    <t>Sunit</t>
  </si>
  <si>
    <t>Flipboard</t>
  </si>
  <si>
    <t>{ Opinions = My own } { RT != Endorsement } Bioinformatics | Data Wrangling | Meta*omics | Geomicrobiology | Meta'omics Scientist @SecondGenome</t>
  </si>
  <si>
    <t>alastair rushworth</t>
  </si>
  <si>
    <t>RT @rstatsNEWS: 2016-02-13: CHANGES IN R-devel NEW FEATURES R now uses a new logo (donated to the R Foundation by RS... https://t.co/moRG…</t>
  </si>
  <si>
    <t>Glasgow</t>
  </si>
  <si>
    <t>environmental statistics @unistrathclyde</t>
  </si>
  <si>
    <t>RT @rajcs4: Analyzing bb trajectories (visualizing, simplifying, and similarity) #rstats on #SportVu, https://t.co/HWE3R254lB https://t.co/…</t>
  </si>
  <si>
    <t>Daniel Emaasit</t>
  </si>
  <si>
    <t>5 more ##ggplot2 extensions added to https://t.co/xTNBSezYgm https://t.co/7zfCzl4O4W #DataViz #Rstats cc @ricardobion @hadleywickham</t>
  </si>
  <si>
    <t>Las Vegas, Kampala, Cape Town</t>
  </si>
  <si>
    <t>Founder at @SparkIQ_Labs, PhD Student in #UrbanMobility, Organizer of #DataScience &amp; #Rstats Meetups. Big Data Scientist. #ApacheSpark Developer. #Data4Good</t>
  </si>
  <si>
    <t>Advanced R website by Hadley Wickham. https://t.co/gNvYrEOlKY #rstats</t>
  </si>
  <si>
    <t>Virgilio Gómez-Rubio</t>
  </si>
  <si>
    <t>My tutorial on 'Small Area Estimation with R' has been accepted at useR! 2016!! :D https://t.co/NEEunu0xbo #rstats #user2016</t>
  </si>
  <si>
    <t>Albacete</t>
  </si>
  <si>
    <t>Spatial Tweetstistician and Rficionado</t>
  </si>
  <si>
    <t>Improving with R. A screen full of red error messages no longer inspires panic, but a sigh and a search for the missing "," or "=" #rstats</t>
  </si>
  <si>
    <t>RT @dataandme: "Analyzing Trajectories in #SportVu Data" by @rajcs4 https://t.co/lZD9T1Zm4v #rstats #dataviz #nba #spatialtracking https://…</t>
  </si>
  <si>
    <t>Bioconductor</t>
  </si>
  <si>
    <t>#rstats / #Bioconductor Course: Statistics and Computing in Genome Data Science, July 10-15, 2016, https://t.co/5199hAaiIu</t>
  </si>
  <si>
    <t>Roswell Park Cancer Institute</t>
  </si>
  <si>
    <t>doyoupoincare</t>
  </si>
  <si>
    <t>Destitutus ventis, remos adhibe.</t>
  </si>
  <si>
    <t>André Batista</t>
  </si>
  <si>
    <t>- SQL Server DBA - Oracle OCP</t>
  </si>
  <si>
    <t>RT @earlconf: Check out a list of R events @mangothecat are hosting or exhibiting at https://t.co/BCFK1RfLKR #rstats https://t.co/rWYfTU3Tou</t>
  </si>
  <si>
    <t>Page Piccinini</t>
  </si>
  <si>
    <t>Lesson 2 of my R course goes over what a #linearmodel is and how to run it in R. #rstats https://t.co/ZX8OyWpqeg</t>
  </si>
  <si>
    <t>Postdoc who likes reading, baseball, and hills and dislikes cold weather.</t>
  </si>
  <si>
    <t>Bill White</t>
  </si>
  <si>
    <t>R -e "rmarkdown::render(\"$1\")" #rstats #commandLine</t>
  </si>
  <si>
    <t>ÜT: 36.1573208,-95.9526115</t>
  </si>
  <si>
    <t>Computer programmer and scientist. Currently at the University of Tulsa in Tulsa, Oklahoma working for the http://t.co/Q3A1NNys lab.</t>
  </si>
  <si>
    <t>Jonathan Robinson</t>
  </si>
  <si>
    <t>@Catalist_US Analytics Department. Interests: vegetarian food, computational social science, progressive politics &amp; punk rock. Views are my own.</t>
  </si>
  <si>
    <t>David Robinson</t>
  </si>
  <si>
    <t>When you start writing a loop then turn it into dplyr #rstats https://t.co/M0gXUXuYCP</t>
  </si>
  <si>
    <t>Data Scientist at @StackOverflow, #rstats fan/evangelist</t>
  </si>
  <si>
    <t>Kevin O'Brien</t>
  </si>
  <si>
    <t>"Modeling with R" - Thu Feb 25th @hypoport Berlin #Rstats Users Group! https://t.co/fUDJwio6Ux</t>
  </si>
  <si>
    <t>Statistician and Coder - Data Sciences, Rstats, Python, Julia, MatLab, etc. (many tweets intended for my students)</t>
  </si>
  <si>
    <t>Brian Kreeger</t>
  </si>
  <si>
    <t>Interesting proposals for R language syntax. https://t.co/oSeHSGNVPJ #rstats</t>
  </si>
  <si>
    <t>Belle Plaine, MN</t>
  </si>
  <si>
    <t>If I go missing, I want my picture on a 40 oz beer so fun people will find me.</t>
  </si>
  <si>
    <t>David Roberson</t>
  </si>
  <si>
    <t>RT @drob: When you start writing a loop then turn it into dplyr #rstats https://t.co/M0gXUXuYCP</t>
  </si>
  <si>
    <t>Rockville, MD</t>
  </si>
  <si>
    <t>Cancer Genomics Research Laboratory / National Cancer Institute</t>
  </si>
  <si>
    <t>Hypoport</t>
  </si>
  <si>
    <t>RT @dragonflystats: "Modeling with R" - Thu Feb 25th @hypoport Berlin #Rstats Users Group! https://t.co/fUDJwio6Ux</t>
  </si>
  <si>
    <t>Berlin</t>
  </si>
  <si>
    <t>Wir bieten mit @Europace und @Dr_Klein_de den besten Zugang zu Finanzdienstleistungen. #FinTech Imp.:http://t.co/m3kvrxTJ5U</t>
  </si>
  <si>
    <t>Amazing resources appeared on my desk! Really #inspired to couple #rstats, @Qualtrics, &amp; #program #outcomes https://t.co/FCWYNYxkmD</t>
  </si>
  <si>
    <t>Read from hdfs with R. Brief overview of SparkR. https://t.co/cxDGGJKK5P #rstats #spark #hadoop</t>
  </si>
  <si>
    <t>Damien C-C</t>
  </si>
  <si>
    <t>Human geneticist, bioinformagician, and choral musician</t>
  </si>
  <si>
    <t>Hans-Rudolf Hotz</t>
  </si>
  <si>
    <t>RT @Bioconductor: #rstats / #Bioconductor Course: Statistics and Computing in Genome Data Science, July 10-15, 2016, https://t.co/5199hAaiIu</t>
  </si>
  <si>
    <t>Mark Dunning</t>
  </si>
  <si>
    <t>Cambridge, Uk</t>
  </si>
  <si>
    <t>Cancer Researcher. Interests include: Bioinformatics , booze (real ale), birds (feathered kind), bad movies and games (pre-2000). From Yorkshire.</t>
  </si>
  <si>
    <t>Martijn Schoonvelde</t>
  </si>
  <si>
    <t>Political Science Postdoc at Vrije Universiteit Amsterdam. Fan of football.</t>
  </si>
  <si>
    <t>Evan Tachovsky</t>
  </si>
  <si>
    <t>▲▼▲▼▲▼▲▼▲▼▲▼▲▼▲▼</t>
  </si>
  <si>
    <t>Miha Trošt</t>
  </si>
  <si>
    <t>Stefan Piatek</t>
  </si>
  <si>
    <t>Science with a smattering of bees, bikes and baking</t>
  </si>
  <si>
    <t>Randy Zwitch</t>
  </si>
  <si>
    <t>Calling RSiteCatalyst From Python https://t.co/VRXsgUsutC #adobeanalytics #measure #rstats #pydata</t>
  </si>
  <si>
    <t>Data Scientist. Open Source contributor. Loudmouth. My tweets are your views, you just don't know it yet.</t>
  </si>
  <si>
    <t>ukituki</t>
  </si>
  <si>
    <t>#Rstats for #DeepLearning: Build Fully Connected Neural Network from Scratch – ParallelR https://t.co/BRAlinltoc</t>
  </si>
  <si>
    <t>Data Science. Predictive analytics. Customer Intelligence. Networks. Startups. Thinking.</t>
  </si>
  <si>
    <t>Daniel Schultz</t>
  </si>
  <si>
    <t>Data Scientist and Political scientist with heart and mind. Underwater rugby player and board gamer with heart and sometimes even with mind.</t>
  </si>
  <si>
    <t>Ryan Praskievicz</t>
  </si>
  <si>
    <t>RT @randyzwitch: Calling RSiteCatalyst From Python https://t.co/VRXsgUsutC #adobeanalytics #measure #rstats #pydata</t>
  </si>
  <si>
    <t>Digital Analyst @ EY | @Semphonic was acquired by Ernst &amp; Young| Web Analytics | Skiing | Travel | Audiobooks | Rock Climbing | Podcasts| http://t.co/rfSInYNHFI</t>
  </si>
  <si>
    <t>Mehdi Nemlaghi</t>
  </si>
  <si>
    <t>@drob Well, when you begin to master #rstats #datatable package with Keys &amp; joins, u feel like this (fast and agile) https://t.co/qBVivKC9cY</t>
  </si>
  <si>
    <t xml:space="preserve">Paris. </t>
  </si>
  <si>
    <t>Data Scientist . Search Advertising. Some other stuff. Applied Maths are cool. #machinelearning enthousiast. ECP, Promotion 2009</t>
  </si>
  <si>
    <t>The R-Podcast Episode 18: Interviews with the RStudio Team https://t.co/2qDSD69hEO #rstats #DataScience</t>
  </si>
  <si>
    <t>Jean-Robert</t>
  </si>
  <si>
    <t>RT @Mehdi_Nemlaghi: @drob Well, when you begin to master #rstats #datatable package with Keys &amp; joins, u feel like this (fast and agile) ht…</t>
  </si>
  <si>
    <t>John Muschelli</t>
  </si>
  <si>
    <t>Baltimore, MD</t>
  </si>
  <si>
    <t>PhD candidate at @jhubiostat. Trying not to drown in the sea of data</t>
  </si>
  <si>
    <t>RT @Rbloggers: The R-Podcast Episode 18: Interviews with the RStudio Team https://t.co/2qDSD69hEO #rstats #DataScience</t>
  </si>
  <si>
    <t>Max H. Nierhoff</t>
  </si>
  <si>
    <t>bayesboot: An R package for doing the Bayesian bootstrap - Publishable Stuff https://t.co/t222Xl7oJ4 #rstats https://t.co/z6gEJuvrNX</t>
  </si>
  <si>
    <t>Cologne</t>
  </si>
  <si>
    <t>I consider myself a lifelong learner and I am mainly interested in digital marketing, analytics tools, #Rstats, data analysis, reading, mobile gaming &amp; hiking.</t>
  </si>
  <si>
    <t>T-Pren</t>
  </si>
  <si>
    <t>The R-Podcast Episode 18: Interviews with the RStudio Team https://t.co/5DstiUiLRE #rstats</t>
  </si>
  <si>
    <t>Inventarsi Parole. Omaggio a Umberto Eco #rstats #dataAnalysis https://t.co/rRTyYGBFcS</t>
  </si>
  <si>
    <t>Vik S</t>
  </si>
  <si>
    <t> Apple. Data junkie. Music. Knicks. Chelsea. Good times.</t>
  </si>
  <si>
    <t>Inventarsi Parole. Omaggio a #UmbertoEco #rstats #dataAnalysis https://t.co/rRTyYGBFcS</t>
  </si>
  <si>
    <t>Hilary Parker</t>
  </si>
  <si>
    <t xml:space="preserve">Brooklyn </t>
  </si>
  <si>
    <t>Data Analyst at @Etsy. Biostatistics PhD from Hopkins. Bon vivant and frivolity advocate. My cat's name is Kima #rstats #rcatladies</t>
  </si>
  <si>
    <t>Exaptive</t>
  </si>
  <si>
    <t>All the recent space news has been fun. "13 graphs on Outer Space" https://t.co/yshjh3LudM #datavis #python #rstats https://t.co/Py2zGjMnWY</t>
  </si>
  <si>
    <t>Our mission is more data-driven aha moments, and we believe interoperability, modularity, and community make them happen. Tweets are on data and software dev.</t>
  </si>
  <si>
    <t>Colton McCurdy</t>
  </si>
  <si>
    <t>Allegheny College 2017</t>
  </si>
  <si>
    <t>Programmer. Dog-Lover. Tech Geek. I love blue cheese.</t>
  </si>
  <si>
    <t>Creating Colorblind-Friendly Figures https://t.co/xMxp8kHlvh via @briandconnelly #rstats</t>
  </si>
  <si>
    <t>Thug Metrics</t>
  </si>
  <si>
    <t>RT @salvag63: Inventarsi Parole. Omaggio a Umberto Eco #rstats #dataAnalysis https://t.co/rRTyYGBFcS</t>
  </si>
  <si>
    <t>#BigData #EHR #HealthcareIT stream of things (SoT) created by @bryanwempen</t>
  </si>
  <si>
    <t>Brian Au</t>
  </si>
  <si>
    <t>Senior Web Analytics Technical Developer @Sony @PlayStation. Tweets are my own. | IG: https://t.co/TAY2bdPLnf</t>
  </si>
  <si>
    <t>Garrett Grolemund</t>
  </si>
  <si>
    <t>New Korean translation of the @rstudio #rmarkdown cheatsheet, thanks to @statkclee! #rstats https://t.co/OZVUTm5lDl</t>
  </si>
  <si>
    <t>Data Scientist and Master Instructor for RStudio</t>
  </si>
  <si>
    <t>Callabagels</t>
  </si>
  <si>
    <t>market research, behavioral analytics, corporate finance, Ball State economics, and geography. I can do a kickflip, dad.</t>
  </si>
  <si>
    <t>Briti Deb</t>
  </si>
  <si>
    <t>@unirdg_alumni</t>
  </si>
  <si>
    <t>USGS R Community</t>
  </si>
  <si>
    <t>Supports the use of R scientific programming for statistics, data analysis, and visualization of USGS data. Tweets do not = endorsement: http://t.co/uNq2si6Hek</t>
  </si>
  <si>
    <t>New Shiny App: GlioVis - Visualization Tools for Glioma Datasets https://t.co/oitYWmoUY4 #rstats https://t.co/gnoIBW3Phz</t>
  </si>
  <si>
    <t>RT @exaptive: All the recent space news has been fun. "13 graphs on Outer Space" https://t.co/yshjh3LudM #datavis #python #rstats https://t…</t>
  </si>
  <si>
    <t>ValidR developed by us to deliver a validated version of R language https://t.co/76AtvjQnUB #rstats https://t.co/dp31ZjPh7u</t>
  </si>
  <si>
    <t>Shoaib Taimur</t>
  </si>
  <si>
    <t>The Middle of Nowhere, the centre of everywhere. Looking for a Big Data Placement . Studying #BigData at QMUL #DataScience #London</t>
  </si>
  <si>
    <t>. @MangoTheCat Would you tweet me the cost of the course then or do I have to sign a non-disclosure agreement? #rstats</t>
  </si>
  <si>
    <t>Matthew Glover</t>
  </si>
  <si>
    <t>RT @MangoTheCat: ValidR developed by us to deliver a validated version of R language https://t.co/76AtvjQnUB #rstats https://t.co/dp31ZjPh…</t>
  </si>
  <si>
    <t>Chippenham, England</t>
  </si>
  <si>
    <t>Kevin Ushey</t>
  </si>
  <si>
    <t>@hrbrmstr main thing #rstats could use is memory mapped file input; this is part of what makes data.table's fread so fast</t>
  </si>
  <si>
    <t>Vancouver, BC → Seattle, WA</t>
  </si>
  <si>
    <t>R Wizard / Music maker.</t>
  </si>
  <si>
    <t>R for all #rstats -&gt; https://t.co/2vXfopdOMp</t>
  </si>
  <si>
    <t>Polong Lin</t>
  </si>
  <si>
    <t>3/19 Tokyo #meetup on R データサイエンティストのためのRイントロダクション #rstats #datascience #tokyo @BigDataU https://t.co/vgh865pJER</t>
  </si>
  <si>
    <t>Data Scientist at IBM. My tweets are my own.</t>
  </si>
  <si>
    <t>Erica L. Chenoweth</t>
  </si>
  <si>
    <t>Biologist, educator, historian, musician. State of Alaska genetics lab. Looking for the planet with all the polymaths. Cheers!</t>
  </si>
  <si>
    <t>Use ModSpace to manage complex statistical knowledge, data, documents, images etc https://t.co/qk1G2tXuVS #rstats https://t.co/sYpsdeOUNA</t>
  </si>
  <si>
    <t>Angela Roberts</t>
  </si>
  <si>
    <t>Marketing Coordinator at Mango Solutions @mangothecat leading Data Science and R - Consultancy and Training Company. #datascience #rstats Also @AngelaRobertsx</t>
  </si>
  <si>
    <t>RT @MangoTheCat: Use ModSpace to manage complex statistical knowledge, data, documents, images etc https://t.co/qk1G2tXuVS #rstats https:/…</t>
  </si>
  <si>
    <t>Kirsi Hyytiäinen</t>
  </si>
  <si>
    <t>RT @nierhoff: bayesboot: An R package for doing the Bayesian bootstrap - Publishable Stuff https://t.co/t222Xl7oJ4 #rstats https://t.co/z6g…</t>
  </si>
  <si>
    <t>Bioinformatician, MSIT, MSc in Bioinformatics</t>
  </si>
  <si>
    <t>Jenny Bryan</t>
  </si>
  <si>
    <t>If you need a truly maddening set of Excel and Google Sheets to import into #rstats, Gapminder can hook you up. https://t.co/75N7qBPSxf</t>
  </si>
  <si>
    <t>prof at UBC, humane #rstats, statistics, genomics, teach @STAT545</t>
  </si>
  <si>
    <t>One R Tip a Day</t>
  </si>
  <si>
    <t>sessionInfo()$otherPkgs will print the details of non base R packages attached to your session. https://t.co/0cJy25Sgtt #rstats</t>
  </si>
  <si>
    <t>One tip per day on the R programming language #rstats M-F. Brought to you by the community team at Revolution Analytics.</t>
  </si>
  <si>
    <t>Top #datascience skills employers want in 2016 https://t.co/HKDK823UUi via @alex_woodie @datanami #rstats #python https://t.co/1JpUOA0pPF</t>
  </si>
  <si>
    <t>inside-R Community</t>
  </si>
  <si>
    <t>#rstats More RUGs meeting this week, Independence OH, NYC, Las Vegas and Koeln https://t.co/NIAvmp9FZp</t>
  </si>
  <si>
    <t>http://t.co/K4T8CjAjVF is a collection of resources for the R Open Source Statistics Community -- sponsored by Revolution Analytics.</t>
  </si>
  <si>
    <t>#rstats RUGs meeting this week: Melbourne, Munich, Cardiff, Wiesbaden, Nottingham, Brussels, Luxembourg https://t.co/NIAvmp9FZp</t>
  </si>
  <si>
    <t>Ming Tang</t>
  </si>
  <si>
    <t>wet biologist learning bioinformatics. #rstats and #python. Epigenetics, genomics and cancer biology @roelverhaak lab #Glioblastoma #MD_Anderson</t>
  </si>
  <si>
    <t>Sarah Aerni</t>
  </si>
  <si>
    <t>Data scientist by profession</t>
  </si>
  <si>
    <t>RT @JennyBryan: If you need a truly maddening set of Excel and Google Sheets to import into #rstats, Gapminder can hook you up. https://t.c…</t>
  </si>
  <si>
    <t>Rick Wargo</t>
  </si>
  <si>
    <t>Newly available on CRAN - lrequire offers module support similar to node.js when developing R software https://t.co/O2G7DKjUhw #rstats</t>
  </si>
  <si>
    <t>Blue Bell, PA</t>
  </si>
  <si>
    <t>Competent and cross-functional technology leader with 25+ years of experience in software development, data, analytics, and business intelligence.</t>
  </si>
  <si>
    <t>Andrew Clark</t>
  </si>
  <si>
    <t>#rstats Shiny app for Rpubs Select from authors (suggestions please) or enter own faves https://t.co/MdHbfful17 https://t.co/GojBkj0wUx</t>
  </si>
  <si>
    <t>North Vancouver</t>
  </si>
  <si>
    <t>myTinyShinys app developer focusing on dashboards for sport and social issues inc unique #premierleague data</t>
  </si>
  <si>
    <t>RT @flexiodata: Top #datascience skills employers want in 2016 https://t.co/HKDK823UUi via @alex_woodie @datanami #rstats #python https://t…</t>
  </si>
  <si>
    <t>RT @RLangTip: sessionInfo()$otherPkgs will print the details of non base R packages attached to your session. https://t.co/0cJy25Sgtt #rsta…</t>
  </si>
  <si>
    <t>Sharla Gelfand</t>
  </si>
  <si>
    <t>dog obsessed, product data analyst @Unbounce</t>
  </si>
  <si>
    <t>NISHANT UPADHYAY</t>
  </si>
  <si>
    <t>Pune.India</t>
  </si>
  <si>
    <t>Investment Banker..Doctoral student of macro-econometric modelling &amp; .an analytics junkie.Holds degree in civil engg. along with MBA(Finance) &amp; MA(Economics)..</t>
  </si>
  <si>
    <t>allison barner</t>
  </si>
  <si>
    <t>Try to install pkg-&gt; "compilation fails" &amp; has "non-zero exit status", but still loads when I call library()...what is happening? #rstats</t>
  </si>
  <si>
    <t>oregon &amp; west of the sun</t>
  </si>
  <si>
    <t>studying the interconnectedness of nature. almost-phd'd ecologist in search of universality. disclaimer, &amp;tc.</t>
  </si>
  <si>
    <t>A Barros</t>
  </si>
  <si>
    <t>aveiro, portugal</t>
  </si>
  <si>
    <t>just learning. metabolomics, functional programming</t>
  </si>
  <si>
    <t>Rakan</t>
  </si>
  <si>
    <t>Andrew MacDonald</t>
  </si>
  <si>
    <t>Fierce and fabulous Text Editor Fashion Show at today's Study Group! @minisciencegirl @billdoesphysics #rstats #WERQ https://t.co/Hx4DEkUncJ</t>
  </si>
  <si>
    <t>What determines where organisms are found, and what do they do once present? My opinions, data and code are mine; please freely use them (with attribution).</t>
  </si>
  <si>
    <t>Bill Mills</t>
  </si>
  <si>
    <t>RT @polesasunder: Fierce and fabulous Text Editor Fashion Show at today's Study Group! @minisciencegirl @billdoesphysics #rstats #WERQ http…</t>
  </si>
  <si>
    <t>Bill Mills is a physicist and scientific software developer in Vancouver: http://t.co/cjfHv8LkOt</t>
  </si>
  <si>
    <t>Amy Lee</t>
  </si>
  <si>
    <t>80% Microbiologist, 10% foodie/baker, 5% ceramic artist and 5% knitter. Loves data, food and art.</t>
  </si>
  <si>
    <t>YorkUScientists</t>
  </si>
  <si>
    <t>York University, Toronto</t>
  </si>
  <si>
    <t>Each week, a different #YorkU scientist or @YorkUScience office tweets about their work. Feb 21 2016 is @aliczner, Master's student in Biology</t>
  </si>
  <si>
    <t>Rajesh ツ</t>
  </si>
  <si>
    <t>Samarth Bhaskar</t>
  </si>
  <si>
    <t>Hi @hadleywickham, or other #rstats wizards, any ideas on whether I can map between lists in purrr? https://t.co/tfZtHAC7Cq</t>
  </si>
  <si>
    <t>Newsroom analytics at NYTimes. Data-nerd. Social-scientist. Policy-wonk. Bookworm. Film-geek. Audiophile. Marathoner/triathlete. Multitudes-container.</t>
  </si>
  <si>
    <t>Michael Hultström</t>
  </si>
  <si>
    <t>Uppsala</t>
  </si>
  <si>
    <t>Kidney physiologist who works in anaesthesia and intensive care, some additional interests might shine through.</t>
  </si>
  <si>
    <t>Kacper Zukowski</t>
  </si>
  <si>
    <t>Halifax, Canada</t>
  </si>
  <si>
    <t>Researcher in Bioinformatics and Genomics, involved GS studies. PhD at NRIAP in Kraków-Balice. Currently postdoc at Dalhousie University/PGI.</t>
  </si>
  <si>
    <t>. #rstats @philmassicotte looks like @hadleywickham wins yet again :-) readr::read_lines() &gt; stri_read_lines() https://t.co/oqBB0YKOdF</t>
  </si>
  <si>
    <t>Related: just found this excellent package to access &amp; install specific versions of packages from CRAN -&gt; https://t.co/5BIVkWWmXv #rstats</t>
  </si>
  <si>
    <t>. @philmassicotte Here's the naïve (cld tweak bnchmrk a bit &amp; add &gt;cases) microbenchmark "read lines" #rstats code: https://t.co/bT601k8HWD</t>
  </si>
  <si>
    <t>plotly</t>
  </si>
  <si>
    <t>Check out the plotly build of the official ggplot2 docs: https://t.co/HBaUOeH6FB #ggplot2 #rstats https://t.co/aEtHh57c30</t>
  </si>
  <si>
    <t>The easiest way to graph and share your data. Free and online or on-prem. Graphing Libraries and APIs for Python, R, MATLAB.</t>
  </si>
  <si>
    <t>TheVillageCricketer</t>
  </si>
  <si>
    <t>Village Green, TheVillage, UK</t>
  </si>
  <si>
    <t>Very keen village cricket player, and If you like my views then they are mine otherwise they are somebody elses. Big Data enthusiast.</t>
  </si>
  <si>
    <t>Hilmar Lapp</t>
  </si>
  <si>
    <t>Open source, data, science enthusiast. I like free, as in speech, not beer. And cappuccino. And the South.</t>
  </si>
  <si>
    <t>Arun Srinivasan</t>
  </si>
  <si>
    <t>RT @plotlygraphs: Check out the plotly build of the official ggplot2 docs: https://t.co/HBaUOeH6FB #ggplot2 #rstats https://t.co/aEtHh57c30</t>
  </si>
  <si>
    <t>Analyst at Open Analytics, Co-developer of #rdatatable</t>
  </si>
  <si>
    <t>lukas</t>
  </si>
  <si>
    <t>Gini coefficient (point distribution) of top five leagues since 1993 #rstats //@Sauze7 https://t.co/3fX7iDnd14</t>
  </si>
  <si>
    <t>Friedrichshafen</t>
  </si>
  <si>
    <t>Student at Zeppelin University | Statistics | Math | Football | #rstats Avatar from https://t.co/477yM5ZgKq</t>
  </si>
  <si>
    <t>BoyNamedSioux</t>
  </si>
  <si>
    <t>A Pole in California</t>
  </si>
  <si>
    <t>After how many games the league winner was clear? #rstats https://t.co/Lco9xitvDX</t>
  </si>
  <si>
    <t>TIL: use Sys.setlocale function to handle date-related issues encountered in non-English OS #rstats #msacl</t>
  </si>
  <si>
    <t>Daniel Holmes</t>
  </si>
  <si>
    <t>Stephen @srmaster lecturing @MSACL about Breaking up with Excel using #Rstats. Podium label is prophetic! https://t.co/BX3IuqwE3d</t>
  </si>
  <si>
    <t>Medical Biochemist @Providence_Hlth St. Paul's Hospital. Clinical Assoc. Professor Pathology and Lab Medicine @UBC. #lcmsms #endocrinology #rstats &amp; #Jesus</t>
  </si>
  <si>
    <t>Mike Wulder</t>
  </si>
  <si>
    <t>RT @PiotrTompalski: Starting to share what I find interesting in #forestry #LiDAR #remotesensing #rstats #myfirstTweet https://t.co/kpad36…</t>
  </si>
  <si>
    <t>Victoria, BC, Canada</t>
  </si>
  <si>
    <t>Senior Research Scientist with the Canadian Forest Service. Landsat super-fan. Lidar. Forests. Remote sensing.</t>
  </si>
  <si>
    <t>#rstats @plotlygraphs shiny interactive #OECD map app https://t.co/zkT2k6ZIWJ @cpsievert @JennyBryan https://t.co/hmvy4aapCy</t>
  </si>
  <si>
    <t>RT @pssGuy: #rstats @plotlygraphs shiny interactive #OECD map app https://t.co/zkT2k6ZIWJ @cpsievert @JennyBryan https://t.co/hmvy4aapCy</t>
  </si>
  <si>
    <t>Laura Parnas</t>
  </si>
  <si>
    <t>RT @DrDanHolmes: Stephen @srmaster lecturing @MSACL about Breaking up with Excel using #Rstats. Podium label is prophetic! https://t.co/BX3…</t>
  </si>
  <si>
    <t>Redwood City, CA</t>
  </si>
  <si>
    <t>PhD Clinical Chemist @SutterHealth, Passionate about Lab Medicine, Food Lover, Addicted to Travel and Family. Views my own. RTs not endorsements.</t>
  </si>
  <si>
    <t>Student in our #rstats class also my FB friend writes awesome Haiku. @gracieinthecity @srmaster @LauraParnas @MSACL https://t.co/WwRjKniGjq</t>
  </si>
  <si>
    <t>christina lin master</t>
  </si>
  <si>
    <t>#msacl #rstats #breakingupwithexcel great course! @srmaster @DrDanHolmes @SHaymondSays</t>
  </si>
  <si>
    <t>Denise Bruesewitz</t>
  </si>
  <si>
    <t>Finding my own unique mixture of R and Excel for data exploration! #rstats #oldschool #sabbatical</t>
  </si>
  <si>
    <t>Waterville, ME</t>
  </si>
  <si>
    <t>aquatic ecology @ Colby College</t>
  </si>
  <si>
    <t>Machine Learning Project Template in R - Machine Learning Mastery https://t.co/LnMrOWXUzT #ml #rstats</t>
  </si>
  <si>
    <t>ngamita</t>
  </si>
  <si>
    <t>RT @nierhoff: Machine Learning Project Template in R - Machine Learning Mastery https://t.co/LnMrOWXUzT #ml #rstats</t>
  </si>
  <si>
    <t>Nairobi</t>
  </si>
  <si>
    <t>I'm a black rebel • ♡ #rstats #linux #opendata • data at @medic • alumni @google</t>
  </si>
  <si>
    <t>.@srmaster covering regular expressions #rstats - reminds me of https://t.co/R4zWsTuoca post with cheat sheet https://t.co/oHDMBUSWfM #msacl</t>
  </si>
  <si>
    <t>Conducting Assessments and Surveys with Shiny https://t.co/xf8ldHqkSu #rstats #DataScience</t>
  </si>
  <si>
    <t>RT @drtinamaster: #msacl #rstats #breakingupwithexcel great course! @srmaster @DrDanHolmes @SHaymondSays</t>
  </si>
  <si>
    <t>Via Claudia Augusta in MTB #rstats #dataAnalysis #bigData https://t.co/DDRmBy7WWS</t>
  </si>
  <si>
    <t>Robbie Hart</t>
  </si>
  <si>
    <t>St. Louis, MO</t>
  </si>
  <si>
    <t>Alpine ecology, Himalayan climate change and montane ethnobotany Missouri Botanical Garden</t>
  </si>
  <si>
    <t>Sebastián P. Saaibi</t>
  </si>
  <si>
    <t>I brew data</t>
  </si>
  <si>
    <t>Gopala Tumuluri</t>
  </si>
  <si>
    <t>Milton, GA</t>
  </si>
  <si>
    <t>Data scientist, technologist, dad of 3 sons, fitness freak, amateur nutritionist, outdoors nut, lifelong learner, political junkie....what else should i list?</t>
  </si>
  <si>
    <t>STAT 545 at UBC</t>
  </si>
  <si>
    <t>UBC Statistics course in data wrangling, exploration, and analysis with R; Taught by @JennyBryan</t>
  </si>
  <si>
    <t>RT @salvag63: Via Claudia Augusta in MTB #rstats #dataAnalysis #bigData https://t.co/DDRmBy7WWS</t>
  </si>
  <si>
    <t>Large scale eigenvalue decomposition and SVD with rARPACK https://t.co/ASukTb7rNY #DataScience #rstats</t>
  </si>
  <si>
    <t>Tim Knutsen</t>
  </si>
  <si>
    <t>Ås</t>
  </si>
  <si>
    <t>PhD student genomics at the Norwegian University of Life Sciences. Recreational runner. #bioinformatics #rstats #openscience.</t>
  </si>
  <si>
    <t>Anakin</t>
  </si>
  <si>
    <t>RT @Rbloggers: Conducting Assessments and Surveys with Shiny https://t.co/xf8ldHqkSu #rstats #DataScience</t>
  </si>
  <si>
    <t>Some where around the globe</t>
  </si>
  <si>
    <t>Josef Šlerka</t>
  </si>
  <si>
    <t>Prague, Czech republic</t>
  </si>
  <si>
    <t>Head of New Media Studies at Charles University, Head of R&amp;D at Socialbakers</t>
  </si>
  <si>
    <t>André Santos</t>
  </si>
  <si>
    <t>Belém, PA - BR</t>
  </si>
  <si>
    <t>Doutorando em Bioinformática, aspirante a Professor e Pesquisador. Notícias, fofoca e ciência, você não vê por aqui! Só eu destilando inutilidades gerais. www.r</t>
  </si>
  <si>
    <t>RT @SHaymondSays: .@srmaster covering regular expressions #rstats - reminds me of https://t.co/R4zWsTuoca post with cheat sheet https://t.c…</t>
  </si>
  <si>
    <t>Denis Riney</t>
  </si>
  <si>
    <t>Always thinking about what's next</t>
  </si>
  <si>
    <t>JaviStem</t>
  </si>
  <si>
    <t>Empiezo #ruby #rubyonrails Mientras seguimos #R #rstats #python #scipypara #DataScience #STEM. buscando #django mooc https://t.co/LnF5DiaqNG</t>
  </si>
  <si>
    <t>facebook.com/ingeorrecursos</t>
  </si>
  <si>
    <t>MSc geotechnical &amp; MSc Petroleum engineering. Lover of #science and #code. Looking for #job #trabajo as #engineer #ingeniero</t>
  </si>
  <si>
    <t>Felicity Splatt</t>
  </si>
  <si>
    <t>Melbourne</t>
  </si>
  <si>
    <t>Fabian Gil</t>
  </si>
  <si>
    <t>Statistician, Biostatistician, senior investigador, R user</t>
  </si>
  <si>
    <t>Ken A. Thompson</t>
  </si>
  <si>
    <t>Sharing things I'm learning through my research and elsewhere.</t>
  </si>
  <si>
    <t>Calling RSiteCatalyst From Python https://t.co/b4bLUjrxJx #rstats #DataScience</t>
  </si>
  <si>
    <t>Adam Goodkind</t>
  </si>
  <si>
    <t>Falcon Pro Material</t>
  </si>
  <si>
    <t>NYC, NY</t>
  </si>
  <si>
    <t>MA/Researcher in Computational Linguistics @GC_CUNY, focusing on cognition, NLP, and biometrics. Opinions are those of the Admissions Committee.</t>
  </si>
  <si>
    <t>Franck Scandolera</t>
  </si>
  <si>
    <t>RT @Rbloggers: Calling RSiteCatalyst From Python https://t.co/b4bLUjrxJx #rstats #DataScience</t>
  </si>
  <si>
    <t>French CRO Digital Analyst Enthusiast #googleAnalytics #googleTagManager #digitalAnalytics, #CRO #conversionRates #dashboard #dataVisualization</t>
  </si>
  <si>
    <t>Andrea Cirillo ن</t>
  </si>
  <si>
    <t>Free Must Read Books on Statistics &amp; Mathematics for #DataScience #rstats https://t.co/mQqDoFIZIk</t>
  </si>
  <si>
    <t>iOS</t>
  </si>
  <si>
    <t>Internal Auditor &amp; Data Analyst, married to @FrancescaFVD for 3, father of 3 = pro-life :). Passionate about #datascience and #rstats</t>
  </si>
  <si>
    <t>Sirhind_Khujliwal</t>
  </si>
  <si>
    <t>By all means an Indian .</t>
  </si>
  <si>
    <t>Chip Oglesby</t>
  </si>
  <si>
    <t>Has anyone successfully used SimpleNLG with #rstats? I haven't seen much documentation online. https://t.co/G8eL6IJmWg</t>
  </si>
  <si>
    <t>Fort Collins, CO</t>
  </si>
  <si>
    <t>Christian, husband to @michellegambill, Data Analyst &amp; SEM manager.</t>
  </si>
  <si>
    <t>Bind exercises https://t.co/0wIkhAtIGz #rstats #DataScience</t>
  </si>
  <si>
    <t>Jean Gobin</t>
  </si>
  <si>
    <t>Engineer tinkering with things, with an insatiable appetite for math, physics, science and baroque music. Learning a bunch of stuff every day.</t>
  </si>
  <si>
    <t>RT @Rbloggers: Bind exercises https://t.co/0wIkhAtIGz #rstats #DataScience</t>
  </si>
  <si>
    <t>is there an easy way to access functions from a .dll in R ? #rstats</t>
  </si>
  <si>
    <t>Aberystwyth</t>
  </si>
  <si>
    <t>Postdoctoral Researcher at IBERS, Aberystwyth: High Resolution Metabolomics, Chemistry, Part time cyclist</t>
  </si>
  <si>
    <t>Julien Grout</t>
  </si>
  <si>
    <t>Passion for #datascience</t>
  </si>
  <si>
    <t>Prateek Sharma</t>
  </si>
  <si>
    <t>Want to put something about stewardship research here one day, Podcast and public radio enthusiast</t>
  </si>
  <si>
    <t>Bhaskar Karambelkar</t>
  </si>
  <si>
    <t>Do #python|#javascript|#julialang have a #dataviz library based on the Grammar of Graphics, like #rstats's #ggplot2 ? If not, why ?</t>
  </si>
  <si>
    <t>#Analytics|#DataScience|#MachineLearning|#InfoSec|#Rstats|#Unix &amp; occasionally #GIS|#cartography. #IndianClassicalMusic Tweets at @bhaskarvk_music</t>
  </si>
  <si>
    <t>Matt Bawn</t>
  </si>
  <si>
    <t>"Calling RSiteCatalyst From Python" https://t.co/uoYD9aVXTb #programming #rstats #python</t>
  </si>
  <si>
    <t>Lima</t>
  </si>
  <si>
    <t>Biophysicist and bioinformatician working in human genetics</t>
  </si>
  <si>
    <t>Jos van Dongen</t>
  </si>
  <si>
    <t>Twelve advantages to calling R from the SAS/IML language https://t.co/F6zaYpPxYy #Rstats</t>
  </si>
  <si>
    <t>Bussum, Netherlands</t>
  </si>
  <si>
    <t>Principal Consultant at SAS Netherlands BI-DWH-Analytics practitioner/consultant/analyst/author/ presenter/teacher since 1991</t>
  </si>
  <si>
    <t>So @Gartner says #rstats isn't worth your time b/c you can't use dragon droppings to do your data analyses. huh. https://t.co/XuXMyNPnrq</t>
  </si>
  <si>
    <t>PD-value</t>
  </si>
  <si>
    <t>Provider in pharmacometrics. Broad experience in translational approaches and partner in early clinical development. jeroen@pd-value.com +31623118438</t>
  </si>
  <si>
    <t>David Smith</t>
  </si>
  <si>
    <t>.@redmonk's rankings are reassuringly steady over time. R holds at #13 https://t.co/quDaI2kyWZ #rstats https://t.co/0yy5cghZ6w</t>
  </si>
  <si>
    <t>Blogger and R Community Lead at Microsoft (formerly of Revolution Analytics). Proud husband to @nonfamousjay.</t>
  </si>
  <si>
    <t>TheRedZoneCIO</t>
  </si>
  <si>
    <t>RT @Rbloggers: R for Deep Learning (I): Build Fully Connected Neural Network from Scratch https://t.co/ZjYjlWE2bc #rstats #DataScience</t>
  </si>
  <si>
    <t>Annapolis, MD</t>
  </si>
  <si>
    <t>World Class IT Security – Strategic and Tactical Thought Leadership Advanced Topics for Top IT Leaders: Innovation, Creativity, Neuroscience of Performance</t>
  </si>
  <si>
    <t>RT @bhaskar_vk: Do #python|#javascript|#julialang have a #dataviz library based on the Grammar of Graphics, like #rstats's #ggplot2 ? If no…</t>
  </si>
  <si>
    <t>RT @revodavid: .@redmonk's rankings are reassuringly steady over time. R holds at #13 https://t.co/quDaI2kyWZ #rstats https://t.co/0yy5cghZ…</t>
  </si>
  <si>
    <t>Megan Jones</t>
  </si>
  <si>
    <t>RT @LeahAWasser: Learn to work with free #remotesensing #NEONdata. #workwithdata institute 2016 #ecology #rstats https://t.co/IihGcDj8yP</t>
  </si>
  <si>
    <t>Boulder, CO</t>
  </si>
  <si>
    <t>Science Educator at NEON; PhD in Ecology &amp; Evolutionary Biology w/ Animal Behavior emphasis (expected 2016); MSc in College Science Teaching.</t>
  </si>
  <si>
    <t>RT @LeahAWasser: get started with #raster #gis data in #rstats with @neoninc tutorial-series https://t.co/H6aD9xlQHs @datacarpentry https:/…</t>
  </si>
  <si>
    <t>New CRAN package wrswoR with initial version 1.0 https://t.co/0QdYpl5sce #rstats</t>
  </si>
  <si>
    <t>CRAN updates: bigmemory cffdrs crunch molaR openair rmarkdown https://t.co/y5W2NTKSXT #rstats</t>
  </si>
  <si>
    <t>Michelle Homes</t>
  </si>
  <si>
    <t>RT @josvandongen: Twelve advantages to calling R from the SAS/IML language https://t.co/F6zaYpPxYy #Rstats</t>
  </si>
  <si>
    <t>Brisbane, Australia</t>
  </si>
  <si>
    <t>Founder &amp; BDM (@metacoda) Consultant &amp; Trainer specializing in @SASsoftware #techie #metadata #sasusers #socialmedia #analytics #dataviz #entrepreneur #SANZOC</t>
  </si>
  <si>
    <t>@randal_olson what about our friend #rstats? a slow but fatal poison?</t>
  </si>
  <si>
    <t>Max Flöttmann</t>
  </si>
  <si>
    <t>Berlin, DE</t>
  </si>
  <si>
    <t>computational systems biologist, (data) scientist, developer, pythonista</t>
  </si>
  <si>
    <t>Sami Kallinen</t>
  </si>
  <si>
    <t>60.152756,24.655643</t>
  </si>
  <si>
    <t>I'm a humanist that dreams of 8-bit sheep. @ KSF Media. Chief Digital Officer. Dad &amp; collector of random tweetabilia #ux #data #tech #art</t>
  </si>
  <si>
    <t>Steve Lane</t>
  </si>
  <si>
    <t>Wajdi Ben Saad</t>
  </si>
  <si>
    <t>This weeks requirements for my students are available here: https://t.co/bT4iZKVT5t You guys better get to work! #rstats #d3js #datascience</t>
  </si>
  <si>
    <t xml:space="preserve">Tunis   | Tunisia </t>
  </si>
  <si>
    <t>Statistician,Data Analyst. faV quote: All models are wrong, but some are useful.</t>
  </si>
  <si>
    <t>J-F Bonnefon</t>
  </si>
  <si>
    <t>Research psychologist, Toulouse School of Economics. Enjoys fantasy and weird fiction. Editor of Cognition. Tweets on evolution, rationality, and wizards.</t>
  </si>
  <si>
    <t xml:space="preserve">Jaime Pinilla </t>
  </si>
  <si>
    <t>Las Palmas, Islas Canarias</t>
  </si>
  <si>
    <t>Profesor en la ULPGC</t>
  </si>
  <si>
    <t>Alex Filazzola</t>
  </si>
  <si>
    <t>Ecologist. Musician. Entrepreneur?</t>
  </si>
  <si>
    <t>Grad School Imposter</t>
  </si>
  <si>
    <t>Great, one of these 20 other packages is messing with dplyr's select function. #rstats</t>
  </si>
  <si>
    <t>Grad student in polisci @cornellgov Authoritarian Legacy Parties and Elections, Populism, Causal Inference. Ethnographicist of Political Scientists on Twitter</t>
  </si>
  <si>
    <t>Emma Spiro</t>
  </si>
  <si>
    <t>RT @DominoDataLab: A repository of learning &amp; R resources related to topic models https://t.co/EBVYBKatme #rstats #topicmodels</t>
  </si>
  <si>
    <t>Assistant Professor @UW_iSchool | PhD in Sociology from @UCIrvine | social networks, sociology, &amp; crisis informatics</t>
  </si>
  <si>
    <t>Corinne Maugrenier</t>
  </si>
  <si>
    <t>Paris France</t>
  </si>
  <si>
    <t>Data Science</t>
  </si>
  <si>
    <t>Data Science info and links. Maintained by Dr J Rogel-Salazar @quantum_tunnel</t>
  </si>
  <si>
    <t>Geist &amp; Gegenwart</t>
  </si>
  <si>
    <t>RT @RiversBenG: Inspired by @neuroecology here's the first chapter of George Orwell's 1984. Data: https://t.co/uBHvkZqfbG #rstats https://t…</t>
  </si>
  <si>
    <t>Leipzig - Berlin</t>
  </si>
  <si>
    <t>Erkenne dich selbst. Der Rest kommt (fast) von allein.</t>
  </si>
  <si>
    <t>CJ</t>
  </si>
  <si>
    <t>Calling RSiteCatalyst From Python https://t.co/n39UdtD08t #rstats</t>
  </si>
  <si>
    <t>Today @MurrayCadzow brings the @hadleywickham "Hadley-verse" packages to a new batch of biochemists. #Rstats #DataCarpentry #Bioinformatics</t>
  </si>
  <si>
    <t>RT @MangoTheCat: More R User Group Sites https://t.co/ffhpF6cS6e via @rbloggers #rstats #LondonR</t>
  </si>
  <si>
    <t>Dr. Joseph Santoro</t>
  </si>
  <si>
    <t>600 websites about #R: https://t.co/qvdQyna2O0 #abdsc #Rstats #DataScience #Statistics #MachineLearning #BigData via @kirkdborne</t>
  </si>
  <si>
    <t>Washington, DC 20009</t>
  </si>
  <si>
    <t>Neuro PhD, #Innovator, #Technologist, #Startup Angel, Fmr White House/OFA Honcho | #Politics #Data #Adventure | StartingBloc &amp; Fulbright | @DMVstartup @Forbes</t>
  </si>
  <si>
    <t>RT @MangoTheCat: Why should you backup your R objects? https://t.co/NQZWbzF2Xp via @rbloggers #rstats</t>
  </si>
  <si>
    <t>cherie sheriff</t>
  </si>
  <si>
    <t>Louisiana mostly</t>
  </si>
  <si>
    <t>Business Intelligence Architect, Data Scientist and Database/Data Warehouse Developer,</t>
  </si>
  <si>
    <t>RT @Joseph_Santoro: 600 websites about #R: https://t.co/qvdQyna2O0 #abdsc #Rstats #DataScience #Statistics #MachineLearning #BigData via @k…</t>
  </si>
  <si>
    <t>Yusuke HAYASHI</t>
  </si>
  <si>
    <t>RT @PD_value: Use ggmcmc to smoothly make #rstats ggplot graphs from your Stan runs! https://t.co/KJXrLmJvYP via @hadleywickham https://t.c…</t>
  </si>
  <si>
    <t>Umeda, Osaka, Japan</t>
  </si>
  <si>
    <t>林祐輔, Japan's Central Banker, Master of Science in Physics. *Any comments expressed represent those of the author only and not those of my organizaion.</t>
  </si>
  <si>
    <t>John David Smith</t>
  </si>
  <si>
    <t>A working example of the power of the tidyjson package: https://t.co/z6w8a1Olab #rstats https://t.co/VAmkWTCe2S</t>
  </si>
  <si>
    <t>Portland, Oregon, USA</t>
  </si>
  <si>
    <t>Coaching communities, their leaders, and their sponsors about technologies, politics, and learning.</t>
  </si>
  <si>
    <t>RT @hrbrmstr: . #rstats @philmassicotte looks like @hadleywickham wins yet again :-) readr::read_lines() &gt; stri_read_lines() https://t.co/o…</t>
  </si>
  <si>
    <t>ayeimanol</t>
  </si>
  <si>
    <t>Smelly T-shirt test shows how humans overcome disgust for others @myen #rstats #reproducible #open #science https://t.co/8hsyDd92dD</t>
  </si>
  <si>
    <t>goodhabits_badhabits_films_books_food</t>
  </si>
  <si>
    <t>I knew recoding all the old stata analyses from my papers into R wasn't totally psychotic... #rstats @DaveBrady72 https://t.co/P8WKpbjpRX</t>
  </si>
  <si>
    <t>Andriy Gazin</t>
  </si>
  <si>
    <t>rdrop2 - бібліотека для роботи із файлами і теками на дропбоксі https://t.co/59nliPZSp9 #rstats</t>
  </si>
  <si>
    <t>Kyiv, Ukraine</t>
  </si>
  <si>
    <t>Mr.Chartmaker #інфографіка #візуалізація #статистика</t>
  </si>
  <si>
    <t>How to use visualization to tell the story in the data @WHICH50 https://t.co/ihoAf7PXKp #dataviz #rstats https://t.co/BDKEvhqbNb</t>
  </si>
  <si>
    <t>.@NumFOCUS is proud to announce @mcmc_stan as our newest fiscally sponsored project! https://t.co/2fFWoh1kZs #rstats #cplusplus #julia</t>
  </si>
  <si>
    <t>Michael Betancourt</t>
  </si>
  <si>
    <t>RT @NumFOCUS: .@NumFOCUS is proud to announce @mcmc_stan as our newest fiscally sponsored project! https://t.co/2fFWoh1kZs #rstats #cpluspl…</t>
  </si>
  <si>
    <t>Once and future physicist masquerading as a statistician. Reluctant geometer. @mcmc_stan developer. Food snob.</t>
  </si>
  <si>
    <t>Stan</t>
  </si>
  <si>
    <t>Making Bayes fast since 2011</t>
  </si>
  <si>
    <t>New CRAN package MuViCP with initial version 1.3.2 https://t.co/0QdYpl5sce #rstats</t>
  </si>
  <si>
    <t>New CRAN package vcfR with initial version 1.0.0 https://t.co/0QdYpl5sce #rstats</t>
  </si>
  <si>
    <t>CRAN updates: alakazam params SpatialVx UpSetR https://t.co/y5W2NTKSXT #rstats</t>
  </si>
  <si>
    <t>Great summary of using #rstats pkgs in the data analysis process. Worth a look - you might discover a pkg or two! https://t.co/DRhRNGFuDt</t>
  </si>
  <si>
    <t>wooo merged: learning #rstats data structures at @swcarpentry by exploring the data frame: https://t.co/pvZvkqMrH3 - check it out!</t>
  </si>
  <si>
    <t>RT @billdoesphysics: wooo merged: learning #rstats data structures at @swcarpentry by exploring the data frame: https://t.co/pvZvkqMrH3 - c…</t>
  </si>
  <si>
    <t>Barton Poulson</t>
  </si>
  <si>
    <t>I used a #forloop in #Rstats. So sue me.</t>
  </si>
  <si>
    <t>Salt Lake City, Utah, USA</t>
  </si>
  <si>
    <t>Data &amp;&amp; Art</t>
  </si>
  <si>
    <t>Aankur Bhatia</t>
  </si>
  <si>
    <t>Strategy Consultant, Data Scientist...IBMer all the way !</t>
  </si>
  <si>
    <t>Nice tip frm @bhaskar_vk: Monoid—an alternative font to Fira Code for real ligatures (i.e. real #rstats &lt;- glyphs) https://t.co/luXCCMk5dk</t>
  </si>
  <si>
    <t>Andrea Adams</t>
  </si>
  <si>
    <t>Today, grid.arrange() brought me great joy. #rstats</t>
  </si>
  <si>
    <t>PhD candidate at @ucsantabarbara &amp; @Briggs_Lab_UCSB #Amphibians #Conservation #DiseaseEcology</t>
  </si>
  <si>
    <t>Robert M Flight</t>
  </si>
  <si>
    <t>Lexington, KY</t>
  </si>
  <si>
    <t>Senior Bioinformatics Research Associate @universityofky Interested in #openscience, #rstats, bioinformatics, #datavis https://t.co/Tg1TFdg8Ar</t>
  </si>
  <si>
    <t>RT @earlconf: Want to speak at #EARL2016 #rstats #R Conference in #London? Call for Abstracts https://t.co/FpUDaN7Vpu https://t.co/kAFhlaV…</t>
  </si>
  <si>
    <t>Andy Teucher</t>
  </si>
  <si>
    <t>Victoria, BC</t>
  </si>
  <si>
    <t>Father &amp; husband, concerned scientist, rationalist, photographer, data and #rstats nerd. Fueled by craft beer and good coffee.</t>
  </si>
  <si>
    <t>RT @hadleywickham: tidyr 0.4.0 is now out: https://t.co/3AqvTa37wm. New nested data frames + dplyr + purrr make handling multiple models a …</t>
  </si>
  <si>
    <t>#Machinelearning algorithms along with R &amp; #Python codes to run them. https://t.co/Ut6TZTGg4s #rstats https://t.co/MbjdwZLB1q</t>
  </si>
  <si>
    <t>Bruno Mairos</t>
  </si>
  <si>
    <t>Porto, Portugal</t>
  </si>
  <si>
    <t>Data Research &amp; Machine Learning @DevScope #MachineLearning #AzureML #rstats #PowerBI #TextMining #DataScience #DataViz</t>
  </si>
  <si>
    <t>RT @AnalyticsVidhya: #Machinelearning algorithms along with R &amp; #Python codes to run them. https://t.co/Ut6TZTGg4s #rstats https://t.co/Mbj…</t>
  </si>
  <si>
    <t>Data Science Hobart</t>
  </si>
  <si>
    <t>Hobart, Tasmania, Australia</t>
  </si>
  <si>
    <t>Dedicated to the dissemination of data science tools, knowledge, and experiences in Hobart, Tasmania, Australia.</t>
  </si>
  <si>
    <t>Do you want to know about Ridge regression using glmnet function in R? https://t.co/spglKPFLqW #rstats #analytics #helpdatascientist</t>
  </si>
  <si>
    <t>600 websites about R: https://t.co/qGfZPwfn49 #Rstats #DataScience #Statistics #MachineLearning | RT @KirkDBorne https://t.co/BkZVKrxR5o</t>
  </si>
  <si>
    <t>Top story: #rstats @drob: 'When you start writing a loop then turn it into dply… https://t.co/tVqObZfCbN, see more https://t.co/wHGxkjjAmH</t>
  </si>
  <si>
    <t>Glenn J. Hansen</t>
  </si>
  <si>
    <t>@drob: 'When you start writing a loop then turn it into dplyr #rstats ' https://t.co/fdO5qTcZ1e, see more https://t.co/Fk3JrUQ3vb</t>
  </si>
  <si>
    <t>University of Oklahoma | | Office of Business Analytics - tweets are my own</t>
  </si>
  <si>
    <t>JSON data in #Rstats has lists within lists within lists within lists. It's the #datascience version of #BeingJohnMalkovich.</t>
  </si>
  <si>
    <t>RT @bartonpoulson: JSON data in #Rstats has lists within lists within lists within lists. It's the #datascience version of #BeingJohnMalkov…</t>
  </si>
  <si>
    <t>tj mahr</t>
  </si>
  <si>
    <t>#rstats if I make a setAs(from = 'MyClass", to = 'list') method for an S4 object, should I still make an as.list.MyClass S3 method?</t>
  </si>
  <si>
    <t>Madison, WI</t>
  </si>
  <si>
    <t>grad student in speech-language pathology, phonetics, psycholinguistics at @UWMadison #slpeeps #rstats</t>
  </si>
  <si>
    <t>richard burcher</t>
  </si>
  <si>
    <t>trying out #emacs for #rstats</t>
  </si>
  <si>
    <t>ottawa</t>
  </si>
  <si>
    <t>love open source, open data and openstreetmap. big on trying new things. always learning. geek dad:)</t>
  </si>
  <si>
    <t>Shaun Jackman</t>
  </si>
  <si>
    <t>I am a computational biologist, a developer of ABySS, an open-source programmer, an avid traveller, a singer and an experimental amateur chef. I love food.</t>
  </si>
  <si>
    <t>Ben Hardisty</t>
  </si>
  <si>
    <t>Remember: "not rejecting H0 is a far cry from accepting it."-- Roff #statschat #stats #lifehistorytheory #rstats #R</t>
  </si>
  <si>
    <t>Salt Lake City, UT</t>
  </si>
  <si>
    <t>PhD candidate studying #evolution of #aging &amp; life-history theory in #SLC. Modeling causes of aging-associated disease. useR &amp; caffeiner ☕️@USouthFlorida @UUtah</t>
  </si>
  <si>
    <t>RT @PD_value: Familiar #rstats interfaces now also for #stan! Check 'm out in this blog https://t.co/e3VoHoAWMe</t>
  </si>
  <si>
    <t>Business Intelligence and Data Science Groups in East Tennessee https://t.co/n66hJtEEbv #rstats #DataScience</t>
  </si>
  <si>
    <t>Advanced Analytics Software’s Most Important Feature? Gartner Says it’s VCF https://t.co/Dt7aV6BxDt #rstats #DataScience</t>
  </si>
  <si>
    <t>Thomas Speidel</t>
  </si>
  <si>
    <t>Statistician and Data Scientist, I am interested in all aspects of research that involves data and uncertainty. I consider Statistics a way of thinking.</t>
  </si>
  <si>
    <t>#PAWWorkforce #rstats #yesthatissurvival SPKFR for 15% off! https://t.co/OnaFsdVPpy</t>
  </si>
  <si>
    <t>Sana Wajid</t>
  </si>
  <si>
    <t>rCharts: https://t.co/TnodbClXtH #rstats #lattice</t>
  </si>
  <si>
    <t>Bioinformatician, University of Pennsylvania #bioinformatics #genomics #evolutionarybiology #bioconductor #PS @RutgersU &amp; @iGEM alum (RTs are not endorsements)</t>
  </si>
  <si>
    <t>F Rodriguez-Sanchez</t>
  </si>
  <si>
    <t>RT @R_Graph_Gallery: +120 plots available in the https://t.co/94JzuHm8wV, with the associated #R code! #data #dataviz #graph #rstats https:…</t>
  </si>
  <si>
    <t>Sevilla</t>
  </si>
  <si>
    <t>Computational ecologist &amp; biogeographer @ebdonana. Rstats, data analysis, dataviz, GIS, ecology, biogeography, science. Also @_SevillaR @ecoinf_aeet</t>
  </si>
  <si>
    <t>Antonello Pareto</t>
  </si>
  <si>
    <t>Cerco un centro di gravità permanente</t>
  </si>
  <si>
    <t>@ETNAR_uk @Worville @Torvaney (hard writing #rstats in a tweet haha)</t>
  </si>
  <si>
    <t>[ The fire that kindles desire and illuminates thought never burns for more than a few seconds at a time; in between, we try to keep it in mind ]</t>
  </si>
  <si>
    <t>Carson Sievert</t>
  </si>
  <si>
    <t>Ames, IA</t>
  </si>
  <si>
    <t>PhD candidate @ISU_STAT. Visiting scholar @MonashUni. Lead #rstats developer for @plotlygraphs.</t>
  </si>
  <si>
    <t>&gt; parse(text = "x[[1\n]# lol\n]") expression(x[[1 ]# lol ]) #rstats</t>
  </si>
  <si>
    <t>R for Deep Learning (I): Build Fully Connected Neural Network from Scratch https://t.co/1BMihNHO9D #rstats #DeepLearning #machinelearning</t>
  </si>
  <si>
    <t>RT @dataiku: 600 websites about R: https://t.co/qGfZPwfn49 #Rstats #DataScience #Statistics #MachineLearning | RT @KirkDBorne https://t.co/…</t>
  </si>
  <si>
    <t>SevillaR</t>
  </si>
  <si>
    <t>Grupo de usuarios de R de Sevilla. Compartir experiencias, organizar reuniones mensuales en un bar y lo que surja; twitts de @ibartomeus y @frod_san #rstats</t>
  </si>
  <si>
    <t>ItsInfographics.Com</t>
  </si>
  <si>
    <t>WP Tweet Machine 4 ITSIN</t>
  </si>
  <si>
    <t>For those who know how to read, I have painted my autobiography. People who try to explain pictures r usually barking up the wrong tree.~#Picasso #Infographic</t>
  </si>
  <si>
    <t>RT @Rbloggers: Advanced Analytics Software’s Most Important Feature? Gartner Says it’s VCF https://t.co/Dt7aV6BxDt #rstats #DataScience</t>
  </si>
  <si>
    <t>Matt Dowle</t>
  </si>
  <si>
    <t>Mountain View, California</t>
  </si>
  <si>
    <t>Main author of R's data.table (#rdatatable) and Hacker at H2O.ai (@h2oai)</t>
  </si>
  <si>
    <t>RT @plotlygraphs: Check out the plotly build of the official ggplot2 docs: https://t.co/ZOP5Ri4Vhc #ggplot2 #rstats https://t.co/Z8wEcm8TUh</t>
  </si>
  <si>
    <t>Dave Edwards</t>
  </si>
  <si>
    <t>Bowling Green, OH</t>
  </si>
  <si>
    <t>PhD student, stream ecohydrology, GIS at BGSU</t>
  </si>
  <si>
    <t>Robbi Bishop-Taylor</t>
  </si>
  <si>
    <t>I *may* have broken ggplot2... #chernobyl #rstats https://t.co/IPRBfKLPya</t>
  </si>
  <si>
    <t>UNSW, Sydney, Australia</t>
  </si>
  <si>
    <t>Landscape #ecology PhD candidate &amp; #wildoz photographer at @CES_UNSW. Fascinated by all things #spatiotemporal, #ecological &amp; #archaeological...</t>
  </si>
  <si>
    <t>Join NumFOCUS and show your support for #opensource #datascience! https://t.co/y8ZQiOSaTp #julialang #rstats #matlab #python #cplusplus</t>
  </si>
  <si>
    <t>Melinda Higgins</t>
  </si>
  <si>
    <t>Atlanta, GA</t>
  </si>
  <si>
    <t>Biostatistician and Chemometrician</t>
  </si>
  <si>
    <t>Scott Chamberlain</t>
  </si>
  <si>
    <t>RT @NumFOCUS: Join NumFOCUS and show your support for #opensource #datascience! https://t.co/y8ZQiOSaTp #julialang #rstats #matlab #python …</t>
  </si>
  <si>
    <t>Portland</t>
  </si>
  <si>
    <t>making @rOpenSci - feminist - https://t.co/MjfQMYXLN7 https://t.co/6Z08uNKuMI</t>
  </si>
  <si>
    <t>Gavin Simpson</t>
  </si>
  <si>
    <t>Regina, Canada</t>
  </si>
  <si>
    <t>(Palaeo)limnologist &amp; quantitative ecologist, R &amp; Linux fanatic, open science advocate, husband &amp; father. All opinions my own blah blah...</t>
  </si>
  <si>
    <t>Amit Indap</t>
  </si>
  <si>
    <t>I'm a tall drink of water. I like human genetics, Python, swimming, Arizona, Phoenix Suns. Proud @UofA alum. Views are my own.</t>
  </si>
  <si>
    <t>Michael Schramm</t>
  </si>
  <si>
    <t>Early career researcher operating at the nexus of water and energy policies and science. Surfing and fly fishing on my days off. UNCW and UDel alum.</t>
  </si>
  <si>
    <t>Rafael Marcondes</t>
  </si>
  <si>
    <t>I wasted a good 10 min today trying to run a function in package #phytools before realizing it was really in package phyLoTools #rstats</t>
  </si>
  <si>
    <t>Ornithologist and Evolutionary Biologist (still trying to decide in which order) in the lab of @RTBrumfield at the amazing @LSU_MNS</t>
  </si>
  <si>
    <t>Maria D'Angelo</t>
  </si>
  <si>
    <t>Cognitive psychologist. Data visualization enthusiast. #Rstats user. Yarn crafter.</t>
  </si>
  <si>
    <t>Kyle Walker</t>
  </si>
  <si>
    <t>Fort Worth, TX</t>
  </si>
  <si>
    <t>Geography professor and director of the Center for Urban Studies (https://t.co/7Kfs2PzNN6) at @TCU.</t>
  </si>
  <si>
    <t>Bind exercises https://t.co/OSgMkfjS3P #rstats</t>
  </si>
  <si>
    <t>Teaching data skills: if not now, then when? #DataScience #rstats @ThisisStats @tpsemath https://t.co/1m38kw3JHT</t>
  </si>
  <si>
    <t>Henry Saputra</t>
  </si>
  <si>
    <t>https://github.com/hsaputra</t>
  </si>
  <si>
    <t>Member of @TheASF. Tinkering with platform and distributed systems. The tweets are MY OWN personal opinions and do not represent my employer.</t>
  </si>
  <si>
    <t>This afternoon MIk and @theboocock bring reproducible research to our new students: knitr, rmarkdown, etc... #Rstats #datacarpentry #resbaz</t>
  </si>
  <si>
    <t>RT @grssnbchr: 6 reasons why data journalists should finally start using R in 2016 https://t.co/IXLTtwCakM #ddj #rstats #rddj https://t.co/…</t>
  </si>
  <si>
    <t>This nifty quick Markdown site is great https://t.co/2UI2yozZgC for anyone wanting to get into rmarkdown / knitr, even for #Rstats workshops</t>
  </si>
  <si>
    <t>So, normally when I update to the latest #rstats version, I need to install ALL my r-pkgs again. Looks like @rstudio has fixed that! Praise!</t>
  </si>
  <si>
    <t>Arie Spirgel</t>
  </si>
  <si>
    <t>https://t.co/VszNN5UU9U Mapped and wrote about @MiamiDadeCounty traffic fatalities...used #rstats and #opendata</t>
  </si>
  <si>
    <t>Good guide #rstats #dataexploration from the prolific #practical @AnalyticsVidhya https://t.co/YJf2RNF5PV</t>
  </si>
  <si>
    <t>RT @DrDanHolmes: Student in our #rstats class also my FB friend writes awesome Haiku. @gracieinthecity @srmaster @LauraParnas @MSACL https:…</t>
  </si>
  <si>
    <t>Tinniam V Ganesh</t>
  </si>
  <si>
    <t>Analyzing cricket’s batting legends – Through the mirage with R https://t.co/OPipovADrU #cricket #rstats</t>
  </si>
  <si>
    <t>Pioneer-Architect-Programmer with 27++ years experience in software. Author of R package cricketr at CRAN. Part time philosopher and amateur photographer.</t>
  </si>
  <si>
    <t>I know people crap on newbs a lot but the #rstats Facebook group is making me really hate experienced devs.</t>
  </si>
  <si>
    <t>James Boocock</t>
  </si>
  <si>
    <t>.@tomkXY People really saw how useful R could when you use Rmd. This was made possible only with the great R intro though #rstats #resbaz</t>
  </si>
  <si>
    <t>Dunedin</t>
  </si>
  <si>
    <t>Masters Student in Genetics. Researching copy number changes in both Apples and Humans. #genomics #bioinformatics</t>
  </si>
  <si>
    <t>.@theboocock Was great to bring together the great stuff #Rstats can do. Must do it again. #Genomics #Bioinformatics #DataCarpentry #ResBaz</t>
  </si>
  <si>
    <t>Mladen Jovanović</t>
  </si>
  <si>
    <t>Sooo many books, sooo little time... @DavidGJoyce @rlmcelreath #RStats https://t.co/hnbUmiEmp5</t>
  </si>
  <si>
    <t>Adelaide, South Australia</t>
  </si>
  <si>
    <t>Physical Preparation Coach - Data Analyst - Bayesian wannabe - @PAFC - Views are my own</t>
  </si>
  <si>
    <t>Yuji Maezono</t>
  </si>
  <si>
    <t>RT @polonglin: 3/19 Tokyo #meetup on R データサイエンティストのためのRイントロダクション #rstats #datascience #tokyo @BigDataU https://t.co/vgh865pJER</t>
  </si>
  <si>
    <t>東京</t>
  </si>
  <si>
    <t>Get @neracoos data via their ERDDAP server in #rstats https://t.co/kIX0pQJS1L</t>
  </si>
  <si>
    <t>#GGPLOT2 prezzo updated! https://t.co/v7asERh5ha @hrbrmstr ggalt has vertical. #rstats @timelyportfolio @bhaskar_vk https://t.co/2rpHxJfKGF</t>
  </si>
  <si>
    <t>@quominus That sucks,also whoever said"you should learn C"on #rstats should learn R. C's syntax 4 creating a named fcn is totally different.</t>
  </si>
  <si>
    <t>RT @Hoog10HK: #GGPLOT2 prezzo updated! https://t.co/v7asERh5ha @hrbrmstr ggalt has vertical. #rstats @timelyportfolio @bhaskar_vk https://t…</t>
  </si>
  <si>
    <t>Austin Wehrwein</t>
  </si>
  <si>
    <t>*Caution may contain nerd stuff.</t>
  </si>
  <si>
    <t>David Joyce</t>
  </si>
  <si>
    <t>RT @Physical_Prep: Sooo many books, sooo little time... @DavidGJoyce @rlmcelreath #RStats https://t.co/hnbUmiEmp5</t>
  </si>
  <si>
    <t>Sydney, Australia</t>
  </si>
  <si>
    <t>Lifelong learner. Banter enthusiast | High Performance Training For Sports (HK) | Sports Injury Prevention and Rehab (Routledge) | @GWSGiants | @MizunoRunning</t>
  </si>
  <si>
    <t>Dawn Bazely</t>
  </si>
  <si>
    <t>Impatient, collaborative scientist wanting #FullCostAccounting. Canner, gardener, #FashionCrime perp. Past #YorkU Sustainability Inst Director. Mihi cura futuri</t>
  </si>
  <si>
    <t>Akihiro ASANO</t>
  </si>
  <si>
    <t>●株式会社イデアラボ 研究員 ●中央大学人文科学研究所 客員研究員 ●博士（心理学） ●1982年11月10日生まれ ●忠犬ハチ公と同じ誕生日 ●誕生日石は化石 ●好きな未亡人は音無響子 ●好きな高校生はSU-METALとMOAMETALとYUIMETAL</t>
  </si>
  <si>
    <t>Tutorial on using #jupyter notebook with the R kernel: https://t.co/FMsqFWx0td #rstats #jupyterday https://t.co/MMg9cIsdvb</t>
  </si>
  <si>
    <t>How to report abusive behaviour on twitter: https://t.co/UtF0H5FUue #rstats</t>
  </si>
  <si>
    <t>worst part of writing R package: write documentation. :( #rstats</t>
  </si>
  <si>
    <t>Elisa Holgate</t>
  </si>
  <si>
    <t>RT @robbibt: I *may* have broken ggplot2... #chernobyl #rstats https://t.co/IPRBfKLPya</t>
  </si>
  <si>
    <t>Sydney + Bathurst</t>
  </si>
  <si>
    <t>Environmental Engineer and Ecologist + amateur nature photographer</t>
  </si>
  <si>
    <t>Jemus42</t>
  </si>
  <si>
    <t>RT @JennyBryan: How to report abusive behaviour on twitter: https://t.co/UtF0H5FUue #rstats</t>
  </si>
  <si>
    <t>Ultraknorkeskestens.</t>
  </si>
  <si>
    <t>Alex Branham</t>
  </si>
  <si>
    <t>@JennyBryan Wow, that's awful. I went through and reported those tweets. #rstats is usually such a nice, supportive place!</t>
  </si>
  <si>
    <t>Soccer, Biking, Android, Public Transit, Austin, Political Science, Politics, Grad School Life. Not in that order.</t>
  </si>
  <si>
    <t>Joey Martinez</t>
  </si>
  <si>
    <t>Ben Johnson</t>
  </si>
  <si>
    <t>RT @plotlygraphs: Tutorial on using #jupyter notebook with the R kernel: https://t.co/FMsqFWx0td #rstats #jupyterday https://t.co/MMg9cIs…</t>
  </si>
  <si>
    <t>Michigan State University</t>
  </si>
  <si>
    <t>PhD student studying Mycobacterium tuberculosis. Drug discovery. Bioinformatics. Home brewer. Hops farmer (http://t.co/7gMPBsotgt). Bicycle builder.</t>
  </si>
  <si>
    <t>@reiver (Charles)</t>
  </si>
  <si>
    <t>RT @sandakano: Manipulating data frames in #rstats with #SQL : https://t.co/ftiLgOKwaH</t>
  </si>
  <si>
    <t>Vancouver · http://reiver.ca/</t>
  </si>
  <si>
    <t>Software Engineering, Data Science, Machine Learning, AI, ALife, Evolutionary Biology &amp; Psychology, Psychometrics, Genetics, Neuroscience, Behavioral Ecology,…</t>
  </si>
  <si>
    <t>"Rstats" on Tweeted Times #rstats https://t.co/X6haMFDKGP - top stories by @mmeierer, @earlconf, @S_Foroutan</t>
  </si>
  <si>
    <t>wrathematics</t>
  </si>
  <si>
    <t>CODE FOR THE CODE GOD, SEGFAULTS FOR THE SEGFAULT THRONE</t>
  </si>
  <si>
    <t>RT @BrockTibert: A really solid post on machine learning in #rstats with caret. https://t.co/QmwV8jAZFk</t>
  </si>
  <si>
    <t>Latest Redmonk and Tiobe language rankings for R https://t.co/lVWw17oEPB #rstats #DataScience</t>
  </si>
  <si>
    <t>RT @reichlab: Like the looks of broom package for #rstats by @drob. Sadly, too late to include in my MLR lecture this week. https://t.co/0y…</t>
  </si>
  <si>
    <t>RT @Rbloggers: Latest Redmonk and Tiobe language rankings for R https://t.co/lVWw17oEPB #rstats #DataScience</t>
  </si>
  <si>
    <t>Networkx #Datascience #Bigdata Tools is out! https://t.co/nhizjSvaOi #rstats #python Stories via @quality_jamie @PlainSpeak13 @lisa_monk</t>
  </si>
  <si>
    <t>RT @quominus: I know people crap on newbs a lot but the #rstats Facebook group is making me really hate experienced devs.</t>
  </si>
  <si>
    <t>@joshjfink I am. Still painful. #firstworldproblems #rstats</t>
  </si>
  <si>
    <t>RT @jletteboer: Networkx #Datascience #Bigdata Tools is out! https://t.co/nhizjSvaOi #rstats #python Stories via @quality_jamie @PlainSpeak…</t>
  </si>
  <si>
    <t>Nitin Madasu</t>
  </si>
  <si>
    <t>Chennai</t>
  </si>
  <si>
    <t>Just keep scrolling down.</t>
  </si>
  <si>
    <t>Suprasanna Sarkar</t>
  </si>
  <si>
    <t>Why #pandas users should be excited about Apache Arrow #python #rstats https://t.co/LuqAqZIGyV</t>
  </si>
  <si>
    <t>Big Data engineer</t>
  </si>
  <si>
    <t>RT @souravc83: Don't like histograms? Density estimators might be better. #rstats #DataScience #analytics https://t.co/fHuotZh11g</t>
  </si>
  <si>
    <t>Alvin</t>
  </si>
  <si>
    <t>Singapore.</t>
  </si>
  <si>
    <t>Research, coffee and bake. Rinse, wash and repeat.</t>
  </si>
  <si>
    <t>Latest Redmonk and Tiobe language rankings for R https://t.co/hgSx01b7SU #rstats</t>
  </si>
  <si>
    <t>Matt Smith</t>
  </si>
  <si>
    <t>Phoenix,AZ</t>
  </si>
  <si>
    <t>Husband. Father. Thinker. Doer. Geek. Passionate innovator. Enterprise data fanatic at MSFT. http://t.co/8dEFFAHX2X</t>
  </si>
  <si>
    <t>Joerg Steinkamp</t>
  </si>
  <si>
    <t>Frankfurt/Main, Germany</t>
  </si>
  <si>
    <t>Post-Doc at the Biodiversity and Climate Research Centre, Modelling vegetation and biogeochemical cycles</t>
  </si>
  <si>
    <t>Tanmoy Chatterjee</t>
  </si>
  <si>
    <t>Growth - Development - Econometrics and R</t>
  </si>
  <si>
    <t>Various levels of time series modeling and its related techniques in R. https://t.co/mLuupTtlja #analytics #rstats https://t.co/A1L3aEdgj6</t>
  </si>
  <si>
    <t>Martin Monkman</t>
  </si>
  <si>
    <t>Statistics (or is it Data Science?): all day, every day, in any context. #datascience #dataviz #rstats #statistics #yyj RT does not equal endorsement.</t>
  </si>
  <si>
    <t>Thomas Sandmann</t>
  </si>
  <si>
    <t>Computational biologist</t>
  </si>
  <si>
    <t>@Teraa_Baapp Hey, leave @JennyBryan alone and stop spamming the #rstats timeline. I don't know what your problem is but give it a rest.</t>
  </si>
  <si>
    <t>Please help take down this account: report -&gt; abuse -&amp;gt; harassment -&amp;gt; targeted harassment https://t.co/2k0Wq59erG #rstats</t>
  </si>
  <si>
    <t>Marcelo Ventura</t>
  </si>
  <si>
    <t>Biker, professor, statistician, programmer, washboard luthier, and sorcerer apprentice</t>
  </si>
  <si>
    <t>RT @AnalyticsVidhya: Various levels of time series modeling and its related techniques in R. https://t.co/mLuupTtlja #analytics #rstats htt…</t>
  </si>
  <si>
    <t>RT @hspter: Please help take down this account: report -&gt; abuse -&amp;gt; harassment -&amp;gt; targeted harassment https://t.co/2k0Wq59erG #rstats</t>
  </si>
  <si>
    <t>Avraham Adler</t>
  </si>
  <si>
    <t>New York Metropolitan Area</t>
  </si>
  <si>
    <t>Actuary interested in statistics, Bayesian methods, R, cybersecurity, wordplay, &amp; learning about nearly anything. ¬(RTs→endorsements). Opinions are my own.</t>
  </si>
  <si>
    <t>Emmanuel Anique</t>
  </si>
  <si>
    <t>Blog on #BusinessStrategy #APIeconomy #crowdsourcing #startup #GrowghHacking #BigData #OpenData #Uberization #iot #hplus</t>
  </si>
  <si>
    <t>Sainath Adapa</t>
  </si>
  <si>
    <t>#rstats, Data Analytics &amp; Indian politics Research and Development engineer @systeminsights</t>
  </si>
  <si>
    <t>Mark</t>
  </si>
  <si>
    <t>Thanks @JennyBryan for the foofactors template,helped me a lot with nitty gritties of package bulding. #rstats https://t.co/bFigAuXzMH</t>
  </si>
  <si>
    <t>Persontyle</t>
  </si>
  <si>
    <t>Using #rstats #machinelearning script as a #PowerBI desktop data source. https://t.co/FNMapJa7Kl https://t.co/kTO1arXk7U</t>
  </si>
  <si>
    <t>Data Literacy, Data Science, Data Engineering, Smart IoT and Machine Intelligence.</t>
  </si>
  <si>
    <t>RT @Persontyle: Using #rstats #machinelearning script as a #PowerBI desktop data source. https://t.co/FNMapJa7Kl https://t.co/kTO1arXk7U</t>
  </si>
  <si>
    <t>Ali Syed</t>
  </si>
  <si>
    <t>London,UK</t>
  </si>
  <si>
    <t>Interested in design, extreme deviations, meaningful life, coffee, open anything &amp; machine learning. Founder @persontyle exploring data science ∩ social change.</t>
  </si>
  <si>
    <t>Sayooj Das</t>
  </si>
  <si>
    <t>Denver, Colorado</t>
  </si>
  <si>
    <t>Data Enthusiast. Lucid dreamer. Family guy. Bathroom singer. Life embracer.</t>
  </si>
  <si>
    <t>Xavier Company</t>
  </si>
  <si>
    <t>RT @yrochat: Snake, the twitterbot – an experiment in game design #Rstats https://t.co/dZJtAB4jxv</t>
  </si>
  <si>
    <t>Lausanne</t>
  </si>
  <si>
    <t>Avocat-stagiaire, @JeunesVertEsVD au comité des @VertsLausannois, co-fondateur Brasserie @DocteurGabs, candidat au #CCLausanne le 28 février 2016. #VD2016</t>
  </si>
  <si>
    <t>orthogonalsplinebasis - Orthogonal Bspline Basis Functions https://t.co/Pqp6ZBw3bA #RStats</t>
  </si>
  <si>
    <t>Flowfields</t>
  </si>
  <si>
    <t>Somos consultóricos. Un tren que partió en el año 2007. Disponemos de nueva maquinaria y más cicatrices. No todo es Dynamics NAV, que también.</t>
  </si>
  <si>
    <t>Fernando Perez</t>
  </si>
  <si>
    <t>Physicist, data scientist, @IPythonDev creator (now @ProjectJupyter). Scientist at LBNL/UC Berkeley, climber, advisor to @plotlygraphs, @terminalcloud.</t>
  </si>
  <si>
    <t>Atabey Kaygun</t>
  </si>
  <si>
    <t>Istanbul, Turkey</t>
  </si>
  <si>
    <t>mathematician, batteries included.</t>
  </si>
  <si>
    <t>M Edward/Ed Borasky</t>
  </si>
  <si>
    <t>Buck Borasky, Frontier Programmer: saving Earth for octothorpes since 2007. Former Boy Genius, Sit-down Comic, Thought Follower, Curmudgeon-in-Residence</t>
  </si>
  <si>
    <t>Data Science School</t>
  </si>
  <si>
    <t>Reimagining Learning. Education project of @Persontyle. Launching in 2016.</t>
  </si>
  <si>
    <t>New Shiny App: Predict the height of your child https://t.co/NviBrNFrct #rstats https://t.co/8UuuUFDHQs</t>
  </si>
  <si>
    <t>all the nothing</t>
  </si>
  <si>
    <t>To sum things up: sum() is your friend. #rstats @RLangTip https://t.co/02xR8u3jZT</t>
  </si>
  <si>
    <t>Standort</t>
  </si>
  <si>
    <t>Counting black dots since 1885.</t>
  </si>
  <si>
    <t>Pierre-OlivierBourge</t>
  </si>
  <si>
    <t>Patent mapping, information. Work @ Picarré. Like astrophysics, asteroseismology, sciences, stats, technologies, data, IT, R, Haskell, *nix, ...Views are my own</t>
  </si>
  <si>
    <t>Urban Demographics</t>
  </si>
  <si>
    <t>Oxford-UK / Brasilia-BR</t>
  </si>
  <si>
    <t>Rafa Pereira PhD candidate at @UniofOxford, Structured procrastination on Cities, Demography, Transport Policy, Spatial Analysis, Equity. @ipeaonline researcher</t>
  </si>
  <si>
    <t>Rupert Schiessl</t>
  </si>
  <si>
    <t>Founder of https://t.co/h6ZeIACpBP &amp; https://t.co/eoQpBNapVn. Father of 3, son of 2.</t>
  </si>
  <si>
    <t>Can anyone help me get an advanced tutorial in #R #Functional &amp; #MetaProgramming? #rstats @RStatsJobs</t>
  </si>
  <si>
    <t>@TweetingRichy I've put up code for template figs in #rstats in case you ever make the switch: https://t.co/QHHcOPkR7M</t>
  </si>
  <si>
    <t>Tonight we kick-off our #rstats data hack of the @NBNTrust data for Sheffield - coding starts later - tonight's about ideas @WildSheffield</t>
  </si>
  <si>
    <t>Im.Richy</t>
  </si>
  <si>
    <t>RT @tomhouslay: @TweetingRichy I've put up code for template figs in #rstats in case you ever make the switch: https://t.co/QHHcOPkR7M</t>
  </si>
  <si>
    <t>Co.kildare</t>
  </si>
  <si>
    <t>I like a good Tweet, have you got one? I bet you think you do. Scientist, microbiologist, bioinformatics - general slave.</t>
  </si>
  <si>
    <t>Dejan Lavbič</t>
  </si>
  <si>
    <t>RT @Rbloggers: Advanced Analytics Software’s Most Important Feature? Gartner Says it’s VCF https://t.co/bdlRF5HQAV #rstats #DataScience</t>
  </si>
  <si>
    <t>Celje, Slovenia</t>
  </si>
  <si>
    <t>Assistant Professor at Faculty of Computer and Information Science, University of Ljubljana</t>
  </si>
  <si>
    <t>#Rstats nous surprendra toujours. https://t.co/8oobw980hR</t>
  </si>
  <si>
    <t>Aki Vehtari</t>
  </si>
  <si>
    <t>Associate Professor in Computational Science, Bayesian methods, @CSAalto @AaltoUniversity</t>
  </si>
  <si>
    <t>tweets of ggtree https://t.co/MbNuU36hrK #rstats #DataScience</t>
  </si>
  <si>
    <t>Mathew Hall</t>
  </si>
  <si>
    <t>RT @Sheffield_R_: Tonight we kick-off our #rstats data hack of the @NBNTrust data for Sheffield - coding starts later - tonight's about ide…</t>
  </si>
  <si>
    <t>Researcher in software testing and QA at the Advanced Computing Research Centre</t>
  </si>
  <si>
    <t>RT @Rbloggers: Business Intelligence and Data Science Groups in East Tennessee https://t.co/n66hJtEEbv #rstats #DataScience</t>
  </si>
  <si>
    <t>New CRAN package condvis with initial version 0.2-1 https://t.co/0QdYpl5sce #rstats</t>
  </si>
  <si>
    <t>New CRAN package covafillr with initial version 0.2.1 https://t.co/0QdYpl5sce #rstats</t>
  </si>
  <si>
    <t>New CRAN package DetR with initial version 0.0.4 https://t.co/0QdYpl5sce #rstats</t>
  </si>
  <si>
    <t>New CRAN package httpcache with initial version 0.1.2 https://t.co/0QdYpl5sce #rstats</t>
  </si>
  <si>
    <t>CRAN updates: BayesTree glmnet gmeta gstat modules ndtv permGPU vcrpart vegdata WARN https://t.co/y5W2NTKSXT #rstats</t>
  </si>
  <si>
    <t>Alberto Negron</t>
  </si>
  <si>
    <t>Statistician, social hacker, Atari veteran, Judo aficionado &amp; dogs lover. Great believer of statistics as vehicle for society improvement</t>
  </si>
  <si>
    <t>Rakesh Gopinath</t>
  </si>
  <si>
    <t>Staines, United Kingdom</t>
  </si>
  <si>
    <t>tweets of ggtree https://t.co/drgdoUpSAQ #rstats</t>
  </si>
  <si>
    <t>Symbolic Goods</t>
  </si>
  <si>
    <t>RT @jacob_c_fisher: Fun @rstudio trick -- if you hold down "Alt" and click up or down in the text editor, it moves the line of code #rstats</t>
  </si>
  <si>
    <t>Social Science, Sports, and Data-Driven Philosophizing</t>
  </si>
  <si>
    <t>Matthias Bogaert</t>
  </si>
  <si>
    <t>@dirkvandenpoel is teaching his favorite topic in the class of predictive analytics #ensembles #rstats #analytics https://t.co/MtfmBfqjtA</t>
  </si>
  <si>
    <t>Ghent</t>
  </si>
  <si>
    <t>Phd Researcher (Social Media Analytics) @Ghent University, guitarist and a soccer lover. #BigData #Analytics #SocialMedia</t>
  </si>
  <si>
    <t>Sheffield Digital</t>
  </si>
  <si>
    <t>Sheffield, UK.</t>
  </si>
  <si>
    <t>The new association for Sheffield's digital community.</t>
  </si>
  <si>
    <t>Sebastian Jeworutzki</t>
  </si>
  <si>
    <t>A bug fix release of readstata13 is now available on #rstats #CRAN. Fixes some issues with dates and infinite values in #stata</t>
  </si>
  <si>
    <t xml:space="preserve">Bochum, Germany </t>
  </si>
  <si>
    <t>social scientist interested in data analysis &amp; statistics</t>
  </si>
  <si>
    <t>Guangchuang Yu</t>
  </si>
  <si>
    <t>RT @Rbloggers: tweets of ggtree https://t.co/MbNuU36hrK #rstats #DataScience</t>
  </si>
  <si>
    <t>PhD candidate at the University of Hong Kong. #rstats #phylogeny #influenza #bioinformatics</t>
  </si>
  <si>
    <t>The equivalence of the ellipsis argument and an infinite set of closures #rstats https://t.co/Xq1PHH5KIG via @cartesianfaith</t>
  </si>
  <si>
    <t>Types in lambda.r versus classes in S4 #rstats https://t.co/EznmOb2KZM via @cartesianfaith</t>
  </si>
  <si>
    <t>Good luck NottinghamR user group with your 1st meetup tonight https://t.co/Cfxg9CYSMb and to @sellorm ! #rstats https://t.co/4cjYRoFcvo</t>
  </si>
  <si>
    <t>T D James</t>
  </si>
  <si>
    <t>Sheffield, England</t>
  </si>
  <si>
    <t>Novice ecological modeller and conservation biologist @sheffielduni. Using modelling framework to develop effective conservation strategies for parrots.</t>
  </si>
  <si>
    <t>Exciting news! R Conf reception for #EARL2016 to be held at Tower of London! #rstats https://t.co/ntFANNs83j https://t.co/DuuKJcXuVH</t>
  </si>
  <si>
    <t>Ricardo</t>
  </si>
  <si>
    <t>Started with BI. Went to Analytics. Going for Data Science?</t>
  </si>
  <si>
    <t>RT @MangoTheCat: Good luck NottinghamR user group with your 1st meetup tonight https://t.co/Cfxg9CYSMb and to @sellorm ! #rstats https://t…</t>
  </si>
  <si>
    <t>Andrew Newman</t>
  </si>
  <si>
    <t>Sheffield</t>
  </si>
  <si>
    <t>Data &amp; Geo geek, husband &amp; dad. Helping lead the @DefraGovUK Data Programme. Includes: #OpenDefra, @inspire_eu &amp; a bit of #GIS</t>
  </si>
  <si>
    <t>R User up North? ManchesterR date announced: Mon 29th Feb at https://t.co/w0N9vlIpX5 #rstats #R #analytics https://t.co/j5e8RcQ83I</t>
  </si>
  <si>
    <t>Teppo Tammisto</t>
  </si>
  <si>
    <t>New era in #CloudComputing? Meet us at #GCPNEXT! #machinelearning, #simulation, #RStats, #MATLAB, #Python https://t.co/mJNkbUqwXT</t>
  </si>
  <si>
    <t>Specialist in #CloudComputing &amp; #GridComputing // CTO at @techilatech // Speeding up your #research in #MATLAB, #Python, #R, #CSharp, ...</t>
  </si>
  <si>
    <t>RT @TeppoTammisto: New era in #CloudComputing? Meet us at #GCPNEXT! #machinelearning, #simulation, #RStats, #MATLAB, #Python https://t.co/…</t>
  </si>
  <si>
    <t>NBN Trust</t>
  </si>
  <si>
    <t>Nottingham, UK    0115 9247133</t>
  </si>
  <si>
    <t>The UK's largest partnership for nature. Collecting and sharing biological data and information and managing one of the world's biggest biodiversity databases.</t>
  </si>
  <si>
    <t>Aymeric Bds</t>
  </si>
  <si>
    <t>Business Intelligence and #Data Science Groups in East Tennessee | @rbloggers https://t.co/MOAW5LaK5s #rstats group &amp; #BI</t>
  </si>
  <si>
    <t>France Local Scene</t>
  </si>
  <si>
    <t>Veille entre utopie et dystopie ... Données entre innovation et société</t>
  </si>
  <si>
    <t>I _think_ I might have finally figured out how to properly handle people and roles on @theincomparable https://t.co/9W6amyBKZl 😪😌 #rstats</t>
  </si>
  <si>
    <t>Dirk Van den Poel</t>
  </si>
  <si>
    <t>RT @MatthBogaert: @dirkvandenpoel is teaching his favorite topic in the class of predictive analytics #ensembles #rstats #analytics https:…</t>
  </si>
  <si>
    <t>Ghent, Belgium</t>
  </si>
  <si>
    <t>Professor of Data Analytics / Big Data / predictive analytics at Ghent University. Data scientist using Spark/ensemble classification. #avgeek #opensource</t>
  </si>
  <si>
    <t>UGent Data Analytics</t>
  </si>
  <si>
    <t>Ghent University's Data Analytics Business Engineering</t>
  </si>
  <si>
    <t>Developing Web Aps with Shiny Training Course https://t.co/A1tBg0qyJv 8th March #rstats #R #Shiny https://t.co/31vyaybGsd</t>
  </si>
  <si>
    <t>Tung Nguyen</t>
  </si>
  <si>
    <t>The Palouse</t>
  </si>
  <si>
    <t>R + Hydrology + Milan</t>
  </si>
  <si>
    <t>Daniel Padfield</t>
  </si>
  <si>
    <t>Best line of code I'll use today. Finding the length of a vector without NAs : sum(!is.na(x)). So useful and yet never remember it. #Rstats</t>
  </si>
  <si>
    <t>Falmouth, Cornwall</t>
  </si>
  <si>
    <t>PhDer at the ESI in Cornwall. hipsteR, metabolic ecology and plankton. And football. Mainly football.</t>
  </si>
  <si>
    <t>Carmelo Iantosca</t>
  </si>
  <si>
    <t>„5 Easy Steps to Using #RStats &amp; #Google #Analytics to Optimize your #Marketing #ROI“ von @BigDataGal on @LinkedIn https://t.co/PsUFVt5sWe</t>
  </si>
  <si>
    <t>Zürich, Schweiz</t>
  </si>
  <si>
    <t>#DataScience #BigData #SAS #R #Python</t>
  </si>
  <si>
    <t>„R Programming for Data Science - What's it all about?“ via @BigDataGal on @LinkedIn https://t.co/YDuhCENreR #RStats #DataScience</t>
  </si>
  <si>
    <t>Experience the Tower of London at our R conference reception! Get earlybird tickets https://t.co/iftCaIPbRS #rstats https://t.co/sLL2SaV2E8</t>
  </si>
  <si>
    <t>RT @c_iantosca: „R Programming for Data Science - What's it all about?“ via @BigDataGal on @LinkedIn https://t.co/YDuhCENreR #RStats #DataS…</t>
  </si>
  <si>
    <t>„Course GIVEAWAY - R Programming for Data Science!!“ von @BigDataGal auf @LinkedIn https://t.co/hS1j8PI9wn #Rstats</t>
  </si>
  <si>
    <t>CRAN updates: bdots boot causaleffect permPATH rmumps https://t.co/y5W2NTKSXT #rstats</t>
  </si>
  <si>
    <t>Valuence Analytics</t>
  </si>
  <si>
    <t>RT @c_iantosca: „Course GIVEAWAY - R Programming for Data Science!!“ von @BigDataGal auf @LinkedIn https://t.co/hS1j8PI9wn #Rstats</t>
  </si>
  <si>
    <t>In love with #bigdata analytics. Helping companies take better decisions through data.</t>
  </si>
  <si>
    <t>Reshama Shaikh</t>
  </si>
  <si>
    <t>DATA EXPLORER: #Statistics #MBA #DataScience PLUS: #tech #cinema #tennis #dairyfree #education #nutrition #politics #tv #SocialMedia | @wimlds</t>
  </si>
  <si>
    <t>Philippe</t>
  </si>
  <si>
    <t>Because #DataScience is the future.</t>
  </si>
  <si>
    <t>magrittr: The best thing to have ever happened to R? https://t.co/GpotFzoyCv #rstats #R</t>
  </si>
  <si>
    <t>Hive plots coming to #ggraph - stay tuned. #ggplot2 #rstats #dataviz @MKrzywinski https://t.co/o8fH1ycaBr</t>
  </si>
  <si>
    <t>Integrating Python and R into a Data Analysis Pipeline Part 1 https://t.co/bkJD9OgiTC #python #rstats #R #blog https://t.co/d6itpMYz9m</t>
  </si>
  <si>
    <t>Do you have a talk waiting to be heard? Call for Abstracts! #EARL2016 R Conference #rstats https://t.co/lvS7qgNZhH https://t.co/2QrwDwpuwf</t>
  </si>
  <si>
    <t>Colin Gillespie</t>
  </si>
  <si>
    <t>Advanced #rstats programming course (https://t.co/YZqOtSt3ND)</t>
  </si>
  <si>
    <t>Newcastle, UK</t>
  </si>
  <si>
    <t>Submit an abstract for #EARL2016 #rstats conference? Check out last years agenda https://t.co/JJ3RVx3eFO #analytics https://t.co/gNKzOPXRUc</t>
  </si>
  <si>
    <t>Kamal Romero</t>
  </si>
  <si>
    <t>Package funModeling: data cleaning, importance variable analysis and model perfomance https://t.co/AozWtIHiYV #Rstats</t>
  </si>
  <si>
    <t>Writing and reading stuff ...</t>
  </si>
  <si>
    <t>Liang Bo Wang (亮亮)</t>
  </si>
  <si>
    <t>Taipei, Taiwan</t>
  </si>
  <si>
    <t>Former Intern at Pinkoi/Microsoft Research Asia. Bioinfo master student at National Taiwan University.</t>
  </si>
  <si>
    <t>Brais López Yáñez</t>
  </si>
  <si>
    <t>Ciudad de Dublín, Irlanda</t>
  </si>
  <si>
    <t>Graduate Software Engineer by the University of Santiago de Compostela.</t>
  </si>
  <si>
    <t>téouch analytics</t>
  </si>
  <si>
    <t>A metric to compare EPL teams across seasons #sportsanalytics #MachineLearning #rstats… https://t.co/uY8C2EdM3M https://t.co/TOW9pPCIWa</t>
  </si>
  <si>
    <t>Machine learning algorithms for football prediction. R language, data analysis and football tips. #machinelearning #socceranalytics #PredictiveModeling #rstats</t>
  </si>
  <si>
    <t>Tony Corke</t>
  </si>
  <si>
    <t>RT @teouchanalytics: A metric to compare EPL teams across seasons #sportsanalytics #MachineLearning #rstats… https://t.co/uY8C2EdM3M https:…</t>
  </si>
  <si>
    <t>The Matter Of Stats website (aka MAFL Online) is mostly concerned with predicting and analysing results of games of Australian Rules Football (AFL games).</t>
  </si>
  <si>
    <t>Dermott McMorrough</t>
  </si>
  <si>
    <t>Thinking of potential changes to a course on data handling w/#rstats I help teach. Should we be teaching students base plotting or #ggplot2?</t>
  </si>
  <si>
    <t>Dublin City, Ireland</t>
  </si>
  <si>
    <t>PhD @tcddublin via @imperialcollege. Chair of @tcdgsu council. Using #Rstats to make a living. Will science for beer. Dubliner.</t>
  </si>
  <si>
    <t>agan</t>
  </si>
  <si>
    <t xml:space="preserve">On my way </t>
  </si>
  <si>
    <t>I Analyse Therefore I Am..</t>
  </si>
  <si>
    <t>Tom Ravalde</t>
  </si>
  <si>
    <t>How to include interactive input in #rstats script to be run from the command line https://t.co/OqpbRdom9g #PhDchat #nerdery</t>
  </si>
  <si>
    <t>Northern. Geek. Christian. Views my own (and not those of @imperialcollege where I am a PhD student).</t>
  </si>
  <si>
    <t>Dmitriy Selivanov</t>
  </si>
  <si>
    <t>Data scientist at ok.ru.</t>
  </si>
  <si>
    <t>Eugene Teo</t>
  </si>
  <si>
    <t>devtools::install_github(“SKKU-SKT/ggplot2.SparkR”) #rstats</t>
  </si>
  <si>
    <t>My tweets are my own, and not that of my employer. Retweets are not endorsement of views.</t>
  </si>
  <si>
    <t>Andrew Worsley</t>
  </si>
  <si>
    <t>forcast package in #rstats has a handy function called fourier() that makes seasonal harmonic modelling soo much easier. cheers @robjhyndman</t>
  </si>
  <si>
    <t>R. Python. Data mining. Machine learning. Spatial Statistics. Statistical Programming.</t>
  </si>
  <si>
    <t>Oscar Perpiñán</t>
  </si>
  <si>
    <t>Mañana 3ª edición del curso introductorio a R para profesores e investigadores en el ICE de @La_UPM https://t.co/9ZxQjWKRhy #rstats</t>
  </si>
  <si>
    <t>Associate Professor at UPM (Electrical Engineering, Photovoltaic and Solar Energy). R, LaTeX, Emacs enthusiast. Always learning.</t>
  </si>
  <si>
    <t>Rob J Hyndman</t>
  </si>
  <si>
    <t>RT @aworsleynz: forcast package in #rstats has a handy function called fourier() that makes seasonal harmonic modelling soo much easier. ch…</t>
  </si>
  <si>
    <t>Professor of Statistics, Monash University, Australia. I mostly tweet about forecasting, R, statistics, machine learning and research issues.</t>
  </si>
  <si>
    <t>Daniel Teske</t>
  </si>
  <si>
    <t>🚀 #gdal (gdal_calc.py) is faster than 🐢 #python (rasterio) 🐌 #rstats (raster) https://t.co/FqTpFKiRYs https://t.co/xxMQJLYFpO</t>
  </si>
  <si>
    <t>GIS Engineer. Interested in spatio-tempora­l datasets like traffic, weather, sport.</t>
  </si>
  <si>
    <t>New #rstats package looks interesting... "httpcache: Query Cache for HTTP Clients" https://t.co/5VsxeHY5Vc</t>
  </si>
  <si>
    <t>Dennis Ward</t>
  </si>
  <si>
    <t>-105, +40</t>
  </si>
  <si>
    <t>Maker, e-NABLE, science educator, citizen science practitioner, cartographer, drone pilot, feline sanitation engineer.</t>
  </si>
  <si>
    <t>RT @tomhouslay: I've provided code for the supp info figures in that #dataviz paper using #rstats + #ggplot2 https://t.co/QHHcOPkR7M https:…</t>
  </si>
  <si>
    <t>Hiroaki Yutani</t>
  </si>
  <si>
    <t>どうやら、このユーザーは、それらについて謎めいたアトモスフィアを維持することを好むのだ。Stack Overflowな。</t>
  </si>
  <si>
    <t>Zhou Zihao</t>
  </si>
  <si>
    <t>RT @Mark_A_Thornton: New blog! Exploring the #openscience twitterverse: analyzing activity #data and #network structure w/#rstats &amp; #d3js h…</t>
  </si>
  <si>
    <t>Singapore, China, USA(2017)</t>
  </si>
  <si>
    <t>A dormant artist, infant linguistics researcher@NTU, explorer in various fields (i.e. classical music, lit, philo, biz, psycho&amp; neurosci~) and once, maverick.</t>
  </si>
  <si>
    <t>Chad Murphy</t>
  </si>
  <si>
    <t>Professor of Political Science focusing on Soccer and Data. #rstats</t>
  </si>
  <si>
    <t>Maria Terol</t>
  </si>
  <si>
    <t>RT @oscarperpinan: Mañana 3ª edición del curso introductorio a R para profesores e investigadores en el ICE de @La_UPM https://t.co/9ZxQjWK…</t>
  </si>
  <si>
    <t>Salud Pública. Atención Primaria. Sueño que se sueña sólo es una ilusión. Sueño que se sueña juntos es una solución.</t>
  </si>
  <si>
    <t>Thomas Willi</t>
  </si>
  <si>
    <t>RT @thosjleeper: New #rstats package looks interesting... "httpcache: Query Cache for HTTP Clients" https://t.co/5VsxeHY5Vc</t>
  </si>
  <si>
    <t>MA Political Science | Data Mining | Pasta Producer | Events | R</t>
  </si>
  <si>
    <t>Noticias sobre R</t>
  </si>
  <si>
    <t>Validación cruzada en R: Está de moda usar caret para estas cosas, pero yo estoy todavía acostumbrado ... https://t.co/hhyBfuUKzg #rstats</t>
  </si>
  <si>
    <t>Cheng Soon Ong</t>
  </si>
  <si>
    <t>Nuzzel</t>
  </si>
  <si>
    <t>Curious. Machine learning for Scientific Discovery. I choose open science.</t>
  </si>
  <si>
    <t>Techila</t>
  </si>
  <si>
    <t>Techila and @googlecloud bring HPC to every desk. #MATLAB #Python #rstats HPC made easy. See you at #GCPNEXT. https://t.co/Iw6YVUKoyx</t>
  </si>
  <si>
    <t>Techila is a distributed computing middleware and management solution, which creates a self-managing and scalable computing service and execution environment.</t>
  </si>
  <si>
    <t>Big Data Engineering</t>
  </si>
  <si>
    <t>Offensive Value of A Player – Part I: NBA shot log analysis https://t.co/gt0IzZ1iaj #rstats #datascience via @Rbloggers</t>
  </si>
  <si>
    <t>✯ #BigData ✯ #DataScience ✯ #Analytics ✯ #DataViz ✯ #NoSQL ✯ #IoT ✯</t>
  </si>
  <si>
    <t>Brian Rowe</t>
  </si>
  <si>
    <t>RT @ErmiaBivatan: Types in lambda.r versus classes in S4 #rstats https://t.co/EznmOb2KZM via @cartesianfaith</t>
  </si>
  <si>
    <t>Democratizing data and analytics • Pez.AI = conversational AI + Data Analytics • Professor, MS Data Analytics, CUNY</t>
  </si>
  <si>
    <t>Drew Tyre</t>
  </si>
  <si>
    <t>Lincoln, Nebraska</t>
  </si>
  <si>
    <t>Professor of Wildlife Ecology</t>
  </si>
  <si>
    <t>Hannes</t>
  </si>
  <si>
    <t>RT @dnltsk: 🚀 #gdal (gdal_calc.py) is faster than 🐢 #python (rasterio) 🐌 #rstats (raster) https://t.co/FqTpFKiRYs https://t.co/xxMQJLYFpO</t>
  </si>
  <si>
    <t>Hamburg, Germany</t>
  </si>
  <si>
    <t>geoinfo/geoviz at HCU Hamburg. Everything is my own viewpoint. Do not rely on Twitter DMs to contact me, it usually fails to work.</t>
  </si>
  <si>
    <t>Claire Hanley-Öpik</t>
  </si>
  <si>
    <t>Derbyshire</t>
  </si>
  <si>
    <t>Writer, forager, researcher</t>
  </si>
  <si>
    <t>Sheffield WT</t>
  </si>
  <si>
    <t>Sheffield and Rotherham</t>
  </si>
  <si>
    <t>Sheffield &amp; Rotherham Wildlife Trust aims to work alongside local people to protect &amp; enhance the environment for the benefit of people &amp; wildlife</t>
  </si>
  <si>
    <t>CRAN updates: sfsmisc https://t.co/y5W2NTKSXT #rstats</t>
  </si>
  <si>
    <t>RT @techilatech: Techila and @googlecloud bring HPC to every desk. #MATLAB #Python #rstats HPC made easy. See you at #GCPNEXT. https://t.co…</t>
  </si>
  <si>
    <t>@BioStew Sankey tricky with ggplot2. Try this https://t.co/2QaBGheKa0 from @timelyportfolio #rstats</t>
  </si>
  <si>
    <t>New Shiny App: Tox21 Activity Profiler https://t.co/GHhwdsgCqW #rstats https://t.co/Vx7Qc4OmG0</t>
  </si>
  <si>
    <t>node.js "require()" for R scripts. I still think maintaining local, formal pkgs is better approach. #rstats https://t.co/PLeXDKnr65</t>
  </si>
  <si>
    <t>RT @hrbrmstr: node.js "require()" for R scripts. I still think maintaining local, formal pkgs is better approach. #rstats https://t.co/PLeX…</t>
  </si>
  <si>
    <t>Daniel Levy</t>
  </si>
  <si>
    <t>That weird feeling of being simultaneously saved and judged when using profvis #rstats</t>
  </si>
  <si>
    <t>#rstats</t>
  </si>
  <si>
    <t>AgroInformatica</t>
  </si>
  <si>
    <t>Río Cuarto, Argentina</t>
  </si>
  <si>
    <t>Agronomia - Python - Ecofisiologia vegetal - BigData - SIG - Imagenes satelitales - Excel - Agricultura de Precisión - Modelos de simulación - Sensores remotos.</t>
  </si>
  <si>
    <t>Rachel Spinks</t>
  </si>
  <si>
    <t>Think outside the box! Tree models – #rpart pkg – as an alternative #rstats tool to glm. New insight from the Advanced R course at #UQ</t>
  </si>
  <si>
    <t>Townsville, Queensland</t>
  </si>
  <si>
    <t>PhD student @CoralCoE @jcu Evolutionary biologist &amp; fish nerd. #ecology #climatechange #epigenetics</t>
  </si>
  <si>
    <t>Gamechanger Here</t>
  </si>
  <si>
    <t>RT @RKSpinks: Think outside the box! Tree models – #rpart pkg – as an alternative #rstats tool to glm. New insight from the Advanced R cour…</t>
  </si>
  <si>
    <t>Game changer bot</t>
  </si>
  <si>
    <t>The Big Apple</t>
  </si>
  <si>
    <t>Huuuuuge Value Add from @poorlilritchie</t>
  </si>
  <si>
    <t>Lisa Winter</t>
  </si>
  <si>
    <t>„R Programming for Data Science - What's it all about?“ via @BigDataGal https://t.co/OTT7lRPxFg #RStats #DataScience</t>
  </si>
  <si>
    <t>Passionate about #BigData #DataScience #Statistics #Psychology #IntelligenceAnalysis #Security ✯ #WillisTowersWatson https://t.co/xpSw08HoKx</t>
  </si>
  <si>
    <t>RT @lisachwinter: „R Programming for Data Science - What's it all about?“ via @BigDataGal https://t.co/OTT7lRPxFg #RStats #DataScience</t>
  </si>
  <si>
    <t>Merel van Dijke</t>
  </si>
  <si>
    <t>Den Haag, NL</t>
  </si>
  <si>
    <t>Communicator || Graduate @IBM Consultant || Lover of everything surrounding Data, Information and Knowledge || No Change, No Progress! || Views are my own</t>
  </si>
  <si>
    <t>Christopher Johnson</t>
  </si>
  <si>
    <t>#Branding #Technology Entrepreneur. #Nonprofit Board Member. #Museum Co-Chairman. Proud Father. TV-Radio-Print Contributor on #Strategy #Innovation #Parenting</t>
  </si>
  <si>
    <t>Premroshan Nair</t>
  </si>
  <si>
    <t>Enterprise software Developer @SAP @saphcp @sapcloud. Technocrat, Arm chair activist. Cloud computing enthusiast #sap #saphcp #devops</t>
  </si>
  <si>
    <t>James Feigenbaum</t>
  </si>
  <si>
    <t>RT @sjewor: A bug fix release of readstata13 is now available on #rstats #CRAN. Fixes some issues with dates and infinite values in #stata</t>
  </si>
  <si>
    <t>Economics PhD Candidate at Harvard</t>
  </si>
  <si>
    <t>iDATA ®</t>
  </si>
  <si>
    <t>#FelizMartes a la comunidad #BigData Analytics los invitamos a suscribirse a nuestro #Blog #RStats #DeFrente https://t.co/vKc61JsSZk</t>
  </si>
  <si>
    <t>Bogotá | Medellín | Colombia</t>
  </si>
  <si>
    <t>Firma experta en herramientas de análisis predictivo y soluciones de #BigDataAnalytics. Síguenos en @Datamarketing_ @DatametricsBI #RStats #KNime #SPSS #Python</t>
  </si>
  <si>
    <t>Alex Damián</t>
  </si>
  <si>
    <t>Providence, RI</t>
  </si>
  <si>
    <t>BS Marine Scientist, Eco-Evo PhD student, Fulbrighter, passionate about gelatinous zooplankton, SCUBA diving addict. Ambassador of the deep ocean midwaters.</t>
  </si>
  <si>
    <t>Jordi Vidal</t>
  </si>
  <si>
    <t>RT @mathvsoldage: Remember: "not rejecting H0 is a far cry from accepting it."-- Roff #statschat #stats #lifehistorytheory #rstats #R</t>
  </si>
  <si>
    <t>Linux &amp; Mac user and amateur photographer with very nerdy influences</t>
  </si>
  <si>
    <t>RT @analyticbridge: 10 great books about R #Rstats https://t.co/q7OiOWzLWJ https://t.co/816hIttkIG</t>
  </si>
  <si>
    <t>Rick Scavetta</t>
  </si>
  <si>
    <t>Just registered for the interactive graphics and shiny apps webinar tomorrow at 17:00 CET @rstudio #Rstats #datavis</t>
  </si>
  <si>
    <t>Decidedly multivariate: Love for #Science, #Biology, #Data, #SciComm, #DataViz, #rstats, #StartUp, #Berlin, and #Art Geeks. Co-Founder of Science Craft.</t>
  </si>
  <si>
    <t>Deep Learning Ally</t>
  </si>
  <si>
    <t>DL4Twitter</t>
  </si>
  <si>
    <t>Bind exercises #rstats https://t.co/Xc0hn1HVyr</t>
  </si>
  <si>
    <t>Alistair Auffret</t>
  </si>
  <si>
    <t>Easy to georef multiple rasters in #rstats with gdalUtils, using list.files() to populate the loop and dir.create() to organise the output.</t>
  </si>
  <si>
    <t>An ecologist into dispersal and diversity. Postdoc at Stockholm University</t>
  </si>
  <si>
    <t>Chris Clark</t>
  </si>
  <si>
    <t>Actuary, father of 5, and occasional researcher into applied math and economics problems.</t>
  </si>
  <si>
    <t>RT @riannone: I made a thing! SF salaries, plotted with #rstats DiagrammeR. Code available at: https://t.co/nWsWH5so7Q. https://t.co/pk9eQd…</t>
  </si>
  <si>
    <t>Nairobi Data Science Meet Up:Finding deep structures in data with Chris Orwa https://t.co/Z9fDeAN2Ad #rstats #DataScience</t>
  </si>
  <si>
    <t>RT @Rbloggers: Nairobi Data Science Meet Up:Finding deep structures in data with Chris Orwa https://t.co/Z9fDeAN2Ad #rstats #DataScience</t>
  </si>
  <si>
    <t>whoa @blackorwa i didn't know you were this famous man. #rstats https://t.co/Z18V8etwmH</t>
  </si>
  <si>
    <t>JB Tibbits</t>
  </si>
  <si>
    <t>Wow, someone created a #Rstats package for bird song analysis: https://t.co/AxTfHsMeAF</t>
  </si>
  <si>
    <t>OK</t>
  </si>
  <si>
    <t>Researching birds, fish, &amp; parasites | All views my own.</t>
  </si>
  <si>
    <t>Ranaivoson</t>
  </si>
  <si>
    <t>RT @Hoog10HK: building a website for #rstats #visualization with #ggplot2 scripts embedded. Let me know what you think! http://t.co/eSYidYs…</t>
  </si>
  <si>
    <t>Madagascar</t>
  </si>
  <si>
    <t>#Bioatistician at IPM #MachineLearning scientist , #rstats #GIS #meteorjs users #NewTech addicted. avid learner</t>
  </si>
  <si>
    <t>New CRAN package linERR with initial version 1.0 https://t.co/0QdYpl5sce #rstats</t>
  </si>
  <si>
    <t>CRAN updates: hsdar https://t.co/y5W2NTKSXT #rstats</t>
  </si>
  <si>
    <t>Áine Uí Ghiollagáin</t>
  </si>
  <si>
    <t>Alison Appling</t>
  </si>
  <si>
    <t>techrsr</t>
  </si>
  <si>
    <t>RT @jbtibbits: Wow, someone created a #Rstats package for bird song analysis: https://t.co/AxTfHsMeAF</t>
  </si>
  <si>
    <t>R Explorations</t>
  </si>
  <si>
    <t>Tweets and blog posts about #rstats, statistics, data analysis, machine learning and related topics.</t>
  </si>
  <si>
    <t>Bob Muenchen</t>
  </si>
  <si>
    <t>Most important feature of #analytics software https://t.co/czGjskv0Bp #bigdata #statistics @knime @IBMSPSS @SASsoftware #rstats @RapidMiner</t>
  </si>
  <si>
    <t>Knoxville, TN</t>
  </si>
  <si>
    <t>Analyzing the World of Analytics, Author of R for SAS and SPSS Users, R for Stata Users and http://t.co/70pm9s9Gbd</t>
  </si>
  <si>
    <t>Dr Elizabeth Sargent</t>
  </si>
  <si>
    <t>Living and teaching in the US. Lover of mountains, rivers &amp; coasts. Celiac tweeting mostly about ocean science, microscopy,&amp; phytoplankton. #SciArt when I can.</t>
  </si>
  <si>
    <t>#rstats - I've completed 23 courses @datacamp #datascience &gt; get 2 days unlimited access https://t.co/RhbztU6YtY https://t.co/moFUrnsLwq</t>
  </si>
  <si>
    <t>ManageFlitter</t>
  </si>
  <si>
    <t>Thx for fully adopting the pipe @riannone, gonna be dictorial, #rstats core needs pipe &amp; all tutorials/packages should be written wt them</t>
  </si>
  <si>
    <t>Dennis A V Dittrich</t>
  </si>
  <si>
    <t>RT @ceptional: Some R code for better forest &amp; funnel plots from @JohnSakaluk https://t.co/rvh3tC05xE good for RRRs @profsimons #rstats</t>
  </si>
  <si>
    <t>Professor of Economics at Touro College Berlin; research in Behavioral &amp; Social Sciences, Experimental &amp; Behavioral Economics, Applied Quantitative Methods.</t>
  </si>
  <si>
    <t>Could you explain that I get this error with #Rstudio, but not with #Rstats "Error in check_twitter_oauth() : OAuth authentication error" ?!</t>
  </si>
  <si>
    <t>A crazier hive plot. Nodes divided into source, sink and both. Top node edges coloured #rstats #ggplot2 #ggraph https://t.co/J2qms60loq</t>
  </si>
  <si>
    <t>KNIME</t>
  </si>
  <si>
    <t>RT @BobMuenchen: Most important feature of #analytics software https://t.co/czGjskv0Bp #bigdata #statistics @knime @IBMSPSS @SASsoftware #r…</t>
  </si>
  <si>
    <t>KNIME | Open for Innovation Navigate complex data with the agility and freedom that only an open platform can bring</t>
  </si>
  <si>
    <t>Tenmode</t>
  </si>
  <si>
    <t>RT @walkingrandomly: x=seq(-2,2,0.001) y=Re((sqrt(cos(x))*cos(200*x)+sqrt(abs(x))-0.7)*(4-x*x)^0.01) plot(x,y) #rstats https://t.co/trpgEnN…</t>
  </si>
  <si>
    <t>ENFP.</t>
  </si>
  <si>
    <t>Big Data University</t>
  </si>
  <si>
    <t>The world's best education on Big Data and the UN #GlobalGoals. Start today to establish the skills you need to change the world. Proudly an IBM Initiative</t>
  </si>
  <si>
    <t>Dalal Hanna</t>
  </si>
  <si>
    <t>@dschillereff @csbq_qcbs has this great online workshop on #ggplot2 in #rstats It was a good place to start for me! https://t.co/JQ8m6DbKLE</t>
  </si>
  <si>
    <t>Ecologist &amp; Explorer, PhD Student @McGillU</t>
  </si>
  <si>
    <t>MarauderPixie</t>
  </si>
  <si>
    <t>home is, where you mounted it.</t>
  </si>
  <si>
    <t>Der Text hier hat ja auch schon länger nichts mehr ausgesagt.</t>
  </si>
  <si>
    <t>Lynn Cherny</t>
  </si>
  <si>
    <t>Framingham, MA</t>
  </si>
  <si>
    <t>Data Consultant (Data Analysis/Graphical Data); Datavis, Python, R, Javascript/D3, NLP, Gender, Science Fiction, TV, ex-researcher with Stanford PhD.</t>
  </si>
  <si>
    <t>Top story: #rstats Plotly Charts in Jupyter notebooks using R | Examples | Plot… https://t.co/qY8LpE1PMU, see more https://t.co/wHGxkjjAmH</t>
  </si>
  <si>
    <t>David Duncan</t>
  </si>
  <si>
    <t>Unpleasant #rstats surprise of the day: model.matrix appears to be O(n^3) as you add terms. WHY?</t>
  </si>
  <si>
    <t>Soil ecologist and statsy guy in a world full of shiny distracting ideas</t>
  </si>
  <si>
    <t>Sev</t>
  </si>
  <si>
    <t>Portlandia</t>
  </si>
  <si>
    <t>Data sci &amp; dev consultant. Building https://t.co/tucVCdqehz. Snappy dresser, food lover, outdoorsman. Curator of dad jokes. blog: https://t.co/AWB0Og2RXm</t>
  </si>
  <si>
    <t>Miguel Rodriguez</t>
  </si>
  <si>
    <t>The Top 21 Programming Languages of 2015 (R &lt;- 13) #rstats https://t.co/lF4w1wVkfo</t>
  </si>
  <si>
    <t>Robby West</t>
  </si>
  <si>
    <t>@kimreadthis without R, I have no idea :( but I would be more than happy to share my #rstats script. It would be pretty much plug and play!</t>
  </si>
  <si>
    <t>Durham, NH</t>
  </si>
  <si>
    <t>#prospectresearch and data wrangler at @UofNH by day, homebrewer and whitewater kayaker by night. proud #UNHAlumni and @NOLSedu alumni. Tweets are my own.</t>
  </si>
  <si>
    <t>.@edinb_r looking for speakers for next meeting 16th March - any #Rstats topic welcomed. https://t.co/GAUq4xEL0j</t>
  </si>
  <si>
    <t>RT @dragonflystats: .@edinb_r looking for speakers for next meeting 16th March - any #Rstats topic welcomed. https://t.co/GAUq4xEL0j</t>
  </si>
  <si>
    <t>Mike Cox</t>
  </si>
  <si>
    <t>Curious…</t>
  </si>
  <si>
    <t>Laabidi Raissi</t>
  </si>
  <si>
    <t>Isabel Sassooon</t>
  </si>
  <si>
    <t>Data scientist and Informatics PhD student at KCL. #statistics #datamining #datascience #evidencebaseddecisions #artificialintelligence</t>
  </si>
  <si>
    <t>RT @UrbanDemog: Mapping the Transit System of Rio using R and #GTFS data http://t.co/Amw7u9bEXL #transit #rio #rstats Cc @techiesDC http://…</t>
  </si>
  <si>
    <t>RT @kdnuggets: 20+ #DeepLearning Libraries in #Python, #MATLAB, C++, #Java, Lua, Julia, R #rstats http://t.co/6uqEbzPCDY</t>
  </si>
  <si>
    <t>Joran Elias</t>
  </si>
  <si>
    <t>According to babynames #rstats package there should be six people born in the same year as me with my first name. Where are you guys?</t>
  </si>
  <si>
    <t>Montana</t>
  </si>
  <si>
    <t>This is my personal twitter feed. Statistical Skier related tweets can be found @statskier.</t>
  </si>
  <si>
    <t>.@alex_filazzola also made this #Rstats video https://t.co/6DEm0RJoxW</t>
  </si>
  <si>
    <t>@sckottie Is there a template for a #rstats project to wrap a REST API ? cc @hrbrmstr</t>
  </si>
  <si>
    <t>#job https://t.co/rZzLPy8VXg extract business contact info #vacances #rstats</t>
  </si>
  <si>
    <t>Esteban Muñoz</t>
  </si>
  <si>
    <t>Barcelona, Cataluña</t>
  </si>
  <si>
    <t>ITOP | Ingeniero Civil | Máster Climatología | Máster BI | #Ingeniería #Hidrología #Visualización #data #BI #IT para otras cosas también soy @achicopaladito</t>
  </si>
  <si>
    <t>Econometrics by Simulation: Hillary 1993: Largest Drop in Girl Names EVER https://t.co/2OQi6Cbynx #rstats https://t.co/ioqXjYncaA</t>
  </si>
  <si>
    <t>#gig #rstats #blogging data mine using our software https://t.co/rZzLPy8VXg</t>
  </si>
  <si>
    <t>How to auto-update a Package version number https://t.co/v1Kg2XyApW #rstats #R https://t.co/1UkoLkHPfD</t>
  </si>
  <si>
    <t>Chris Black</t>
  </si>
  <si>
    <t>#Rstats tip: If you’re like me and keep flooding your console with str(big_recursive_object), define str1=function(x)str(x, max.level=1)</t>
  </si>
  <si>
    <t>97 ± 5% of a PhD in plant roots, soil, climate. Also: Justice, computers, buses, error bars, food, cursing.</t>
  </si>
  <si>
    <t>RT @YorkUScientists: .@alex_filazzola also made this #Rstats video https://t.co/6DEm0RJoxW</t>
  </si>
  <si>
    <t>Jeff Hollister</t>
  </si>
  <si>
    <t>All, I am looking for some cool example #GIS in #rstats examples. Both analysis and vis. If I get a big enough list, I'll compile.</t>
  </si>
  <si>
    <t>Rhode Island</t>
  </si>
  <si>
    <t>Tired parent, landscape ecologist with US. EPA, #Rstats evangelist, aspiring data geek! Likes apples and beer... Opinions are all my own.</t>
  </si>
  <si>
    <t>R, HDF5 Data and Lightning https://t.co/9oi1gurwNR #rstats #DataScience</t>
  </si>
  <si>
    <t>R, HDF5 Data and Lightning: (This article was first published on R – Exegetic Analytic... https://t.co/DYm58zmn2z @rbloggers #rstats</t>
  </si>
  <si>
    <t>Ben Bond-Lamberty</t>
  </si>
  <si>
    <t>RT @jhollist: All, I am looking for some cool example #GIS in #rstats examples. Both analysis and vis. If I get a big enough list, I'll …</t>
  </si>
  <si>
    <t>College Park, MD, USA</t>
  </si>
  <si>
    <t>Forest ecologist and carbon cycle scientist at @PNNLab, open data &amp; R proponent, editor for @PLOSONE and @GlobalChangeBio. I know how to do a blind hem stitch.</t>
  </si>
  <si>
    <t>Andrea Kirkwood</t>
  </si>
  <si>
    <t>RT @Dalal_EL_Hanna: @dschillereff @csbq_qcbs has this great online workshop on #ggplot2 in #rstats It was a good place to start for me! ht…</t>
  </si>
  <si>
    <t>UOIT, Oshawa, ON</t>
  </si>
  <si>
    <t>Algae | Microbial Ecology | Limnology | Tweets (mostly) related to academia, outreach, teaching &amp; learning |</t>
  </si>
  <si>
    <t>Jay Sun Bee</t>
  </si>
  <si>
    <t>Party of One</t>
  </si>
  <si>
    <t>New CRAN package ChaosGame with initial version 0.1 https://t.co/0QdYpl5sce #rstats</t>
  </si>
  <si>
    <t>Andrew Ba Tran</t>
  </si>
  <si>
    <t>RMarkdown output html files, why are you so large? #rstats https://t.co/5TkTzMaqmI</t>
  </si>
  <si>
    <t>abtran@trendct.org</t>
  </si>
  <si>
    <t>Senior Data Editor @TrendCT @CTMirror. Taught at @CCSU. Previously @GlobeDataDesk @PilotNews @SunSentinel. Texan.</t>
  </si>
  <si>
    <t>Plenty new in latest version of @RStudio rMarkdown #rstats https://t.co/6nxncl0lWN</t>
  </si>
  <si>
    <t>Jonathan Stewart</t>
  </si>
  <si>
    <t>RT @thomasp85: A crazier hive plot. Nodes divided into source, sink and both. Top node edges coloured #rstats #ggplot2 #ggraph https://t.co…</t>
  </si>
  <si>
    <t>PhD Student in Statistics. Things that interest me: Networks, Graphs, Probability, Statistics, Rstats, Computational Methods, Data Visualization.</t>
  </si>
  <si>
    <t>Sam Firke</t>
  </si>
  <si>
    <t>Does anyone already have the historical basketball team ratings from https://t.co/OEvofeFkap in an #rstats package or csv format?</t>
  </si>
  <si>
    <t>Ann Arbor, MI</t>
  </si>
  <si>
    <t>Data analysis with #rstats, Ann Arbor and Michigan politics (esp. #a2council). Opinions tweeted are my own.</t>
  </si>
  <si>
    <t>Follow-up #Rstats tip: etails. str is generic and some methods hide key details. str is generic and some methods hide key details. str is ge</t>
  </si>
  <si>
    <t>David Ruau</t>
  </si>
  <si>
    <t>Very proud that my team support the #1 #machinelearning #rstats package: gbm with a full time developer @AstraZeneca https://t.co/ipCJFriHfu</t>
  </si>
  <si>
    <t>Director, Head of the Scientific Computing Solutions group at AstraZeneca. Systems medicine; Data mining and inferences; useR;</t>
  </si>
  <si>
    <t>RT @Rbloggers: R, HDF5 Data and Lightning https://t.co/9oi1gurwNR #rstats #DataScience</t>
  </si>
  <si>
    <t>Owen Jones</t>
  </si>
  <si>
    <t>Are there any intro-level #rstats courses coming up soon in Europe? Asking for a student.</t>
  </si>
  <si>
    <t>Islets of Langerhans</t>
  </si>
  <si>
    <t>Asst. Professor at University of Southern Denmark. Evolutionary biologist/demographer researching comparative senescence and life history evolution.</t>
  </si>
  <si>
    <t>Nairobi Data Science Meet Up:Finding deep structures in data with Chris Orwa https://t.co/fInDWyuQYS #rstats</t>
  </si>
  <si>
    <t>Daniel Storage</t>
  </si>
  <si>
    <t>Champaign, IL</t>
  </si>
  <si>
    <t>PhD student in child psychology at the University of Illinois. Interests: gender gaps, child cognition, everything else.</t>
  </si>
  <si>
    <t>R, HDF5 Data and Lightning https://t.co/fDvcOq3pKN #rstats</t>
  </si>
  <si>
    <t>Jhonny Capichoni</t>
  </si>
  <si>
    <t>Rio de Janeiro, Brazil</t>
  </si>
  <si>
    <t>MSc student at Universidade Federal Fluminense, Brazil. Interested in plant interactions, plant-soil feedbacks, restoration ecology, python and R.</t>
  </si>
  <si>
    <t>Shiny App for Bayes Billiards Problem https://t.co/3FvSfm1mxU #rstats</t>
  </si>
  <si>
    <t>Conducting Assessments and Surveys with Shiny https://t.co/jriBeMFDA9 #rstats</t>
  </si>
  <si>
    <t>Orogénesis S.G.</t>
  </si>
  <si>
    <t>RT @sharon000: Beginner's how-to: Make an interactive map with R &amp; the Leaflet pkg https://t.co/fJmvPu4O4u #rstats #gis #ddj https://t.co/I…</t>
  </si>
  <si>
    <t>Caracas, Venezuela</t>
  </si>
  <si>
    <t>Cursos. Proyectos. Cartografía Digital. SIG. Investigación. Geomarketing / Projects. Courses. Digital Cartography. GIS. Research. orogenesis.ve@gmail.com</t>
  </si>
  <si>
    <t>Web scraping with R &amp; novel classification algorithms on unbalanced data https://t.co/JyhIcdz81s #rstats #DataScience</t>
  </si>
  <si>
    <t>Maarten-Jan Kallen</t>
  </si>
  <si>
    <t>ICYMI March 3 I host a webinar to introduce #renjin, the #rstats interpreter in the JVM: https://t.co/rDVbNeF85L https://t.co/JX86YZBnDI</t>
  </si>
  <si>
    <t>Netherlands</t>
  </si>
  <si>
    <t>Managing director at BeDataDriven BV in the Netherlands. Tweets mostly on #rstats and #renjin</t>
  </si>
  <si>
    <t>Juan Mateos Garcia</t>
  </si>
  <si>
    <t>RT @Rbloggers: Web scraping with R &amp; novel classification algorithms on unbalanced data https://t.co/JyhIcdz81s #rstats #DataScience</t>
  </si>
  <si>
    <t>Economist @nesta_uk. Doing analytics and policy for innovation + creative economy. #Rstats user, #Python learner, sci-fi reader, game player, @xxjfg writer.</t>
  </si>
  <si>
    <t>Severin</t>
  </si>
  <si>
    <t>Was hier so läuft, während ich mit #rstats Tweets zu #COP21 #ParisAgreement analysier... https://t.co/03YJSFJe49</t>
  </si>
  <si>
    <t>political scientist | crunching data @ university | internet policy</t>
  </si>
  <si>
    <t>Microsoft uses R to analyze Xbox usage trends https://t.co/LasicoyCEj #rstats https://t.co/8MTsPYJ94U</t>
  </si>
  <si>
    <t>RT @revodavid: Microsoft uses R to analyze Xbox usage trends https://t.co/LasicoyCEj #rstats https://t.co/8MTsPYJ94U</t>
  </si>
  <si>
    <t>Mary Branscombe</t>
  </si>
  <si>
    <t>omnivorous UK technology journalist; girl with the USB earring; author of 2 Windows 8 books &amp; the Cassidy At Large technomysteries. warning; contains opinions</t>
  </si>
  <si>
    <t>Richie Cotton</t>
  </si>
  <si>
    <t>I have just spent 900 hours locating a bug in a knitr doc caused by declaring engine="Rcpp" in a chunk of R code. Do not do this. #rstats</t>
  </si>
  <si>
    <t>Doha, Qatar</t>
  </si>
  <si>
    <t>Proteomics data scientist. Possibly the best R programmer in Qatar.</t>
  </si>
  <si>
    <t>Neil French Collier</t>
  </si>
  <si>
    <t>#rstats https://t.co/ggwKWaJaTC</t>
  </si>
  <si>
    <t>Too far north</t>
  </si>
  <si>
    <t>I study landscapes, freedive, and drink beer. Once described as the grumpiest man to ever wear a satchel. #rstats #foodsecurity #landscapes</t>
  </si>
  <si>
    <t>#advertising extract business contact info https://t.co/mLa9JFfUwb #imbroke #rstats</t>
  </si>
  <si>
    <t>RT @monsoontrader: #rstats https://t.co/ggwKWaJaTC</t>
  </si>
  <si>
    <t>Use xtabs(formula,data) {stats} to create a contingency table from cross-classifying factors. https://t.co/wyIRzEDEkQ #rstats</t>
  </si>
  <si>
    <t>Hrishikesh</t>
  </si>
  <si>
    <t>A Data Analyst. Interest in Statistics, Machine Learning, Economics and Data Science</t>
  </si>
  <si>
    <t>Isaac Annoh Jnr</t>
  </si>
  <si>
    <t>RT @RLangTip: Use xtabs(formula,data) {stats} to create a contingency table from cross-classifying factors. https://t.co/wyIRzEDEkQ #rstats</t>
  </si>
  <si>
    <t>Munich</t>
  </si>
  <si>
    <t>Be good to me while I live that I may obey your word. - Psalm 119:17 #Love #YoungActuary #Gunner4lyf #BleooBoy #Conqueror #TravellerAroundTheWorld #TUMunich</t>
  </si>
  <si>
    <t>Robert Grant</t>
  </si>
  <si>
    <t>Tomorrow I will mostly be testing mobile phone sensors + #rstats to micro-map a threatened Neolithic monument near Heathrow airport.</t>
  </si>
  <si>
    <t>Statistician: Bayesian methods, dataviz, R &amp; JS &amp; C++, health research, GAISE teacher, dreadful name-dropper, once had a coffee with Brad Efron</t>
  </si>
  <si>
    <t>Luis Sevillano</t>
  </si>
  <si>
    <t>madrid</t>
  </si>
  <si>
    <t>working in @elespanolcom newspaper, ↷ d3js, datavisualization, maps</t>
  </si>
  <si>
    <t>Mango Pharma</t>
  </si>
  <si>
    <t>New account. Providing data analysis software services to the worlds largest pharmaceutical companies. #pkpd #lifesciences Part of Mango Solutions @mangothecat</t>
  </si>
  <si>
    <t>DataScienceWeekly</t>
  </si>
  <si>
    <t>An in-depth look at the world of Data Science. Sign up for our free weekly newsletter featuring curated news, articles and jobs related to Data Science...</t>
  </si>
  <si>
    <t>With that monstrosity fixed, the first draft of my forthcoming book "Testing R Code" is now complete! #rstats</t>
  </si>
  <si>
    <t>psolymos</t>
  </si>
  <si>
    <t>Revisiting RSPF and single-visit methods https://t.co/OfhdP6aZKn with reproducible #rstats code https://t.co/JRaDeUVmKu</t>
  </si>
  <si>
    <t>Edmonton, AB</t>
  </si>
  <si>
    <t>I make sure that statistical computing meets environmental conservation @ABbiodiversity with #rstats</t>
  </si>
  <si>
    <t>Tanya Cashorali</t>
  </si>
  <si>
    <t>current: @tcbanalytics, @stattleship, @musicroamer, #datascience, #rstats, #dataviz, #startups, former: @biogen, @comlinkdata, @basho @gnshealthcare</t>
  </si>
  <si>
    <t>Here's a guide to complete process of time series modeling in R. https://t.co/q6FecBYPmv #rstats #businessanalytics https://t.co/9rXZByLdfF</t>
  </si>
  <si>
    <t>NYC Data Hackers</t>
  </si>
  <si>
    <t>Come see @khakieconomist talk machine learning at tomorrow's #rstats meetup at @CivicHall thanks to @TechAtBloomberg https://t.co/nQSbRdaYTI</t>
  </si>
  <si>
    <t xml:space="preserve">Manhattan, Universe </t>
  </si>
  <si>
    <t>Official Twitter account for NYC Open Statistical Programming Meetup. Curator is @jaredlander</t>
  </si>
  <si>
    <t>Jim Savage</t>
  </si>
  <si>
    <t>RT @nyhackr: Come see @khakieconomist talk machine learning at tomorrow's #rstats meetup at @CivicHall thanks to @TechAtBloomberg https://t…</t>
  </si>
  <si>
    <t>Cortisol, coffee, Bayesian econometrics. Data scientist at lendable.io. Formerly at @GrattanInst, @datascifellows &amp; @Treasury_AU</t>
  </si>
  <si>
    <t>RT @AnalyticsVidhya: Here's a guide to complete process of time series modeling in R. https://t.co/q6FecBYPmv #rstats #businessanalytics ht…</t>
  </si>
  <si>
    <t>Jose L. Salmeron</t>
  </si>
  <si>
    <t>Seville, Spain</t>
  </si>
  <si>
    <t>Professor of Information Systems Catedrático de Universidad de Sistemas de Información e Informática de Gestión</t>
  </si>
  <si>
    <t>Goonesh</t>
  </si>
  <si>
    <t>#rstats Visualize data with R | https://t.co/UF6mmq5Y7J https://t.co/Qkg2NhJ041</t>
  </si>
  <si>
    <t>“Choose a job you love, and you will never have to work a day in your life.” ~Confucius</t>
  </si>
  <si>
    <t>@sckottie @hrbrmstr Agreed, but a boilerplate would go a long way in providing native #rstats SDKs for web APIs quickly.</t>
  </si>
  <si>
    <t>Marcus W Beck</t>
  </si>
  <si>
    <t>All, I need simple, compelling arguments for R Shiny vs Qlik Sense for data viz and app sharing #rstats</t>
  </si>
  <si>
    <t>Mark Nunnikhoven</t>
  </si>
  <si>
    <t>RT @hrbrmstr: Nice tip frm @bhaskar_vk: Monoid—an alternative font to Fira Code for real ligatures (i.e. real #rstats &lt;- glyphs) https://t.…</t>
  </si>
  <si>
    <t>::1</t>
  </si>
  <si>
    <t>Vice President, Cloud Research @TrendMicro. Researching &amp; teaching cloud &amp; usable security systems at scale. Opinionated but always looking to learn.</t>
  </si>
  <si>
    <t>@Jemus42 @bhaskar_vk @sckottie no, he needs to interface to another API, not make an umaintainable Flask-like API out of #rstats code</t>
  </si>
  <si>
    <t>Data Analysis: Correlation Tables in R flagged with significance level stars (*, **, and ***) https://t.co/10OlX3OtkJ #rstats</t>
  </si>
  <si>
    <t>Learn #RStats while laughing at cat memes: https://t.co/uWb6EuZJfc https://t.co/mU7J6NKmtA #learnR https://t.co/tfOCnrK83G</t>
  </si>
  <si>
    <t>*Ste Summermatter*</t>
  </si>
  <si>
    <t>Berna</t>
  </si>
  <si>
    <t>Giornalista a @swissinfo_it / Un occhio puntato sulle rotte dei migranti, l'altro dietro la cinepresa / *Per la stessa ragione del viaggio, viaggiare*</t>
  </si>
  <si>
    <t>Andy South</t>
  </si>
  <si>
    <t>job : #datavis &amp; #rstats UK office for national statistics https://t.co/FD6HfXxVKt</t>
  </si>
  <si>
    <t>Norwich</t>
  </si>
  <si>
    <t>Scientist into inter-disciplinary research, pretty coloured maps, R and ginkgo trees. #rworldmap creator.</t>
  </si>
  <si>
    <t>guido romeo</t>
  </si>
  <si>
    <t>Milan and elsewhere</t>
  </si>
  <si>
    <t>Data &amp; Business journalist - Co Founder of Diritto Di Sapere, Foia4Italy activist</t>
  </si>
  <si>
    <t>Conducting Assessments and Surveys with Shiny https://t.co/Q1VJbxxkXo #rstats #DataScience</t>
  </si>
  <si>
    <t>Shiny App for Bayes Billiards Problem https://t.co/KrgxXm2Slo #rstats #DataScience</t>
  </si>
  <si>
    <t>Really inspiring @NBNTrust data brainstorm - this #rstats hack is gonna rock!</t>
  </si>
  <si>
    <t>Haakon Gjerløw</t>
  </si>
  <si>
    <t>RT @Rbloggers: Shiny App for Bayes Billiards Problem https://t.co/KrgxXm2Slo #rstats #DataScience</t>
  </si>
  <si>
    <t>Phd candidate in political science at University of Oslo. Opinions are my own.</t>
  </si>
  <si>
    <t>RT @southmapr: job : #datavis &amp; #rstats UK office for national statistics https://t.co/FD6HfXxVKt</t>
  </si>
  <si>
    <t>Michaël Benesty</t>
  </si>
  <si>
    <t>Falcon Pro 2015</t>
  </si>
  <si>
    <t xml:space="preserve">Paris, France </t>
  </si>
  <si>
    <t>Tax law @ Deloitte. #NLP. Love Scala &amp; R. Fluent in Java &amp; Python. Viz. #DMLC member.</t>
  </si>
  <si>
    <t>Dario Hernández</t>
  </si>
  <si>
    <t>Statistician (National University of Colombia)</t>
  </si>
  <si>
    <t>Adolfo Álvarez</t>
  </si>
  <si>
    <t>Hey @mberesewicz @smarterpoland @jakub_nowosad who are your #Rheroes? #rstats</t>
  </si>
  <si>
    <t>Getafe - Poznań - Curicó</t>
  </si>
  <si>
    <t>Engineer, former thesis writer. Once I was asked if I had another hobby besides #rstats. Find me at @analyxcompany.</t>
  </si>
  <si>
    <t>Pankaj Singh</t>
  </si>
  <si>
    <t>Quick package reference #Rstudio #rstats #DataScience #analytics https://t.co/6xe1ndBKam</t>
  </si>
  <si>
    <t>Tempe, AZ</t>
  </si>
  <si>
    <t>Free Willed person, making my way to be the best practical data scientist</t>
  </si>
  <si>
    <t>added @juliasilge to list on my #rstats rpubs shiny app https://t.co/MdHbfful17 ht @AriLamstein</t>
  </si>
  <si>
    <t>#rstats Anyone else having trouble getting broom to output variance estimates for lmer models? https://t.co/t3hg1se9fS</t>
  </si>
  <si>
    <t>RT @pssGuy: added @juliasilge to list on my #rstats rpubs shiny app https://t.co/MdHbfful17 ht @AriLamstein</t>
  </si>
  <si>
    <t>Conducting Assessments and Surveys with Shiny https://t.co/wtJB9R3YWV via @rbloggers #rstats #shinyapp</t>
  </si>
  <si>
    <t>Michaël</t>
  </si>
  <si>
    <t>Belgium / Luxembourg</t>
  </si>
  <si>
    <t>I cover all things 'Big Data', with a focus on #DataScience, #Statistics, #DataMining, #MachineLearning, #DeepLearning and #BusinessIntelligence &amp; #Analytics.</t>
  </si>
  <si>
    <t>Buon Anno, Signor Presidente. Analisi statistica dei messaggi presidenziali di fine anno #rstats #dataAnalysis https://t.co/xu95ORYC8e</t>
  </si>
  <si>
    <t>Inventarsi Parole. Omaggio a Umberto Eco #rstats #dataAnalysis #bigData https://t.co/FICHof5fj7</t>
  </si>
  <si>
    <t>Joe Abusamra</t>
  </si>
  <si>
    <t>RT @HudsonKent: A list of free resources to get your #datascience career started! https://t.co/QWeYgcdiHR #freestuffisthebest #bigdata #rst…</t>
  </si>
  <si>
    <t>Washington, DC; Melbourne, AU</t>
  </si>
  <si>
    <t>HR Tech | Technology | Marketing | Coastal Living | Native New Englander living in the South -- VP, Product Marketing at http://t.co/fv0qjZ0clS. Tweets my own.</t>
  </si>
  <si>
    <t>Neil Gunther</t>
  </si>
  <si>
    <t>#DataVisualization cheat sheet for ggplot2 @rstudio https://t.co/3C19FEikpr #rstats #BigData</t>
  </si>
  <si>
    <t>The Other Hills, California</t>
  </si>
  <si>
    <t>Speeds &amp; feeds geekery, physics, math, hireable-Gun, author, teacher, speaker: the nexus being information (&amp; ♬)</t>
  </si>
  <si>
    <t>RA Fisher</t>
  </si>
  <si>
    <t>RT @DrQz: #DataVisualization cheat sheet for ggplot2 @rstudio https://t.co/3C19FEikpr #rstats #BigData</t>
  </si>
  <si>
    <t>HoseMeDownWithData</t>
  </si>
  <si>
    <t>RT @salvag63: Buon Anno, Signor Presidente. Analisi statistica dei messaggi presidenziali di fine anno #rstats #dataAnalysis https://t.co/x…</t>
  </si>
  <si>
    <t>RT @salvag63: Inventarsi Parole. Omaggio a Umberto Eco #rstats #dataAnalysis #bigData https://t.co/FICHof5fj7</t>
  </si>
  <si>
    <t>RT @behaviordots: Learn #RStats while laughing at cat memes: https://t.co/uWb6EuZJfc https://t.co/mU7J6NKmtA #learnR https://t.co/tfOCnrK83G</t>
  </si>
  <si>
    <t>Analysis of swiss #armsexports with #rstats and #ggplot @srfdata #ddj https://t.co/YzBUQrKv8p</t>
  </si>
  <si>
    <t>Une excellente #introduction à #R pour les sciences sociales https://t.co/efbx0Nx51k #Sociologie #Quanti #rstats #PDF @lapply</t>
  </si>
  <si>
    <t>Curry Cunningham</t>
  </si>
  <si>
    <t>Fairbanks, AK</t>
  </si>
  <si>
    <t>Quantitative ecologist with a propensity for fisheries problems.</t>
  </si>
  <si>
    <t>sellorm</t>
  </si>
  <si>
    <t>Here's @ChrisBeeley introducing #shiny at the 1st #NottinghamR meet up. #rstats cc @MangoTheCat https://t.co/vIzAMlItvk</t>
  </si>
  <si>
    <t>~</t>
  </si>
  <si>
    <t>Technical Architect with @MangoTheCat, #DataScience, #DevOps, #DataOps and random stuff.</t>
  </si>
  <si>
    <t>RT @sellorm: Here's @ChrisBeeley introducing #shiny at the 1st #NottinghamR meet up. #rstats cc @MangoTheCat https://t.co/vIzAMlItvk</t>
  </si>
  <si>
    <t>Sigrid Keydana</t>
  </si>
  <si>
    <t>Oracle Performance Aficionada | Oracle Certified Master 11g | Linux | Functional Programming | Haskell | Data Mining | Statistics</t>
  </si>
  <si>
    <t>Learn to map US Religion Adherence using R: https://t.co/uO8rIloAoh #rstats #opendata https://t.co/laffRBHTrL</t>
  </si>
  <si>
    <t>Anjul Sahu</t>
  </si>
  <si>
    <t>Oracle DBA, Performance Tuning Aficionado, Loves photography.</t>
  </si>
  <si>
    <t>New CRAN package WikiSocio with initial version 0.7.0 https://t.co/0QdYpl5sce #rstats</t>
  </si>
  <si>
    <t>CRAN updates: haplo.stats LSAfun https://t.co/y5W2NTKSXT #rstats</t>
  </si>
  <si>
    <t>According to CRAN it takes almost 90 days of computing time to conduct daily tests of every #rstats pkg on every OS. https://t.co/ZwmEPYMvw3</t>
  </si>
  <si>
    <t>RT @Rbloggers: Conducting Assessments and Surveys with Shiny https://t.co/Q1VJbxxkXo #rstats #DataScience</t>
  </si>
  <si>
    <t>RT @thosjleeper: According to CRAN it takes almost 90 days of computing time to conduct daily tests of every #rstats pkg on every OS. https…</t>
  </si>
  <si>
    <t>DavidLawrenceMiller</t>
  </si>
  <si>
    <t>Tweetings for Android</t>
  </si>
  <si>
    <t>Woods Hole/St Andrews</t>
  </si>
  <si>
    <t>Fake statistician. Fake ecologist. Fake doctor.</t>
  </si>
  <si>
    <t>Mikhail Popov</t>
  </si>
  <si>
    <t>It's not perfect but if you're curious about your followers too, here's my #rstats code for https://t.co/YBNUTLJ06o: https://t.co/UtGB1dDosi</t>
  </si>
  <si>
    <t>Orange County, California</t>
  </si>
  <si>
    <t>Data Scientist at Wikimedia Foundation, Bayesian statistician, unapologetically Hufflepuff, pumpkin spice fangirl, big Russian teddy bear</t>
  </si>
  <si>
    <t>#blog #rstats https://t.co/mLa9JFfUwb Get some leads using our scrapers #singlemom</t>
  </si>
  <si>
    <t>@thosjleeper (90 days of #rstats CRAN checks) You might want to disregard the 37 days it takes on Solaris/SPARC though.</t>
  </si>
  <si>
    <t>Hrm…this _just_ might work out nicely after all #vegalite #rstats #ggplot2 https://t.co/P1Yy2XBq6Y</t>
  </si>
  <si>
    <t>Alexander Junge</t>
  </si>
  <si>
    <t>I am amazed how easy it is to build web apps in #Rstats using shiny. Tutorial here: https://t.co/fBvhk6LKTb</t>
  </si>
  <si>
    <t>PhD fellow at Center for non-coding RNA in Technology and Health, #UCPH | Vice Chair @ISCBSC | Interests: RNA Bioinformatics, Machine Learning</t>
  </si>
  <si>
    <t>Accuracy Prediction for Loan Risk Using #MachineLearning Models https://t.co/tueUqhzguT #rstats #fintech</t>
  </si>
  <si>
    <t>Bruce Swihart</t>
  </si>
  <si>
    <t>※ PhD/Postdoc by way of Johns Hopkins Biostatistics. Career Mathematical Statistician. Loved by @bcaffo, stiffarmed by @tenuredbcaffo. Opinions are my own. ※</t>
  </si>
  <si>
    <t>Elea McDonnell Feit</t>
  </si>
  <si>
    <t>What a delightful surprise to get an email from the "Task Force on Women in the #rstats Community" encouraging women presenters at useR!</t>
  </si>
  <si>
    <t>Philadelphia</t>
  </si>
  <si>
    <t>Assistant Professor of Marketing at Drexel University. Fellow at the Wharton Customer Analytics Initiative. Co-author of R for Marketing Research and Analytics.</t>
  </si>
  <si>
    <t>Andrew Allyn</t>
  </si>
  <si>
    <t>Great for adehabitat kernel density contours mapping #rstats geom_holygon in ggplot2 2.0 by @kohske on @Qiita https://t.co/WGAhOowR7T</t>
  </si>
  <si>
    <t>Portland, ME</t>
  </si>
  <si>
    <t>I am a quantitative marine ecologist trying to understand where things are, why they are there and where they might go in the future.</t>
  </si>
  <si>
    <t>Danielle Higgins</t>
  </si>
  <si>
    <t>RT @v_vashishta: Accuracy Prediction for Loan Risk Using #MachineLearning Models https://t.co/tueUqhzguT #rstats #fintech</t>
  </si>
  <si>
    <t>KoreConX a Global leader providing eco-system Infrastructure Platform (ESIP) for crowdfunding and capital markets #equitycrowdfunding, Marketing @KoreConX</t>
  </si>
  <si>
    <t>Analysis of Xbox Usage Trends with R: Time Series Decompositions https://t.co/F6xYB6M9zZ #rstats</t>
  </si>
  <si>
    <t>Noé De La Sancha</t>
  </si>
  <si>
    <t>RT @Rbloggers: Dynamic Stochastic General Equilibrium models made (relatively) easy with R https://t.co/S1JIxpjV33 #rstats #DataScience</t>
  </si>
  <si>
    <t>Small #mammal #ecologist. I study effects of human driven habitat change on #biodiversity at different scales. @ChiStateCougars @ChicagoState @FieldMuseum</t>
  </si>
  <si>
    <t>RT @bearloga: It's not perfect but if you're curious about your followers too, here's my #rstats code for https://t.co/YBNUTLJ06o: https://…</t>
  </si>
  <si>
    <t>Gaming Dude</t>
  </si>
  <si>
    <t>A phd-candidate without a clue. I like tweets about gaming, R and statistics.</t>
  </si>
  <si>
    <t>Ash Zemenick</t>
  </si>
  <si>
    <t>is there a standard way to report results from a quasibinomial model? #rstats #ecology</t>
  </si>
  <si>
    <t>Davis, CA</t>
  </si>
  <si>
    <t>ecologist // flowers, insects, microbes // sustainable ag // trans* // feminist // herbivore // hockey player // jam band lover</t>
  </si>
  <si>
    <t>Noam Ross</t>
  </si>
  <si>
    <t>RT @mtn_ash: is there a standard way to report results from a quasibinomial model? #rstats #ecology</t>
  </si>
  <si>
    <t>Back in the New York Groove</t>
  </si>
  <si>
    <t>Disease Ecologist, @EcoHealthNYC. Theory, dynamical systems, computational tools, economics, open science and code, teaching. Also fun, love, progress + justice</t>
  </si>
  <si>
    <t>Tiffany Timbers</t>
  </si>
  <si>
    <t>Looking for suggestions for #R packages to do parallelization &amp; Monte Carlo analysis #rstats</t>
  </si>
  <si>
    <t>Geneticist trying to unravel how we see, smell and taste the world around us.</t>
  </si>
  <si>
    <t>Aaron Sidder</t>
  </si>
  <si>
    <t>#rstats finding that sometimes dplyr conflicts with other packages. when beset by illogical errors, try writing fx as dplyr::select(), e.g.</t>
  </si>
  <si>
    <t>Ecology MS. Research associate with the US Geological Survey. Specialize in species distribution models and climate change analysis.</t>
  </si>
  <si>
    <t>Andrew Barr</t>
  </si>
  <si>
    <t>I NEVER remember how the simple MID() function works in Excel formulae. I relearn it every time. I wish I could do this data prep in #rstats</t>
  </si>
  <si>
    <t>Post-doc at George Washington University (CASHP). Interested in human evolution, paleoecology, and #Rstats...among other things.</t>
  </si>
  <si>
    <t>New CRAN package benchmarkmeData with initial version 0.2.2 https://t.co/0QdYpl5sce #rstats</t>
  </si>
  <si>
    <t>New CRAN package radarchart with initial version 0.1.1 https://t.co/0QdYpl5sce #rstats</t>
  </si>
  <si>
    <t>New CRAN package scs with initial version 1.1-1 https://t.co/0QdYpl5sce #rstats</t>
  </si>
  <si>
    <t>CRAN updates: d3heatmap mbbefd PReMiuM prevR RcppEigen RDS sensory tablaxlsx https://t.co/y5W2NTKSXT #rstats</t>
  </si>
  <si>
    <t>R, HDF5 Data and Lightning https://t.co/HyPZUM44Wz #rstats</t>
  </si>
  <si>
    <t>"Machine Learning Project Template in R" https://t.co/WzxIUvXdWv via @TeachTheMachine #rstats #machinelearning</t>
  </si>
  <si>
    <t>naynerz</t>
  </si>
  <si>
    <t>RT @dataandme: "Machine Learning Project Template in R" https://t.co/WzxIUvXdWv via @TeachTheMachine #rstats #machinelearning</t>
  </si>
  <si>
    <t>New York City / Seattle</t>
  </si>
  <si>
    <t>I'm not a player I just crush a lot • I do marketing for SaaS startups and Fortune 500 brands • Formerly: @ap @JWT_Worldwide @bcg @columbia_biz @nyustern</t>
  </si>
  <si>
    <t>RT @hrbrmstr: Hrm…this _just_ might work out nicely after all #vegalite #rstats #ggplot2 https://t.co/P1Yy2XBq6Y</t>
  </si>
  <si>
    <t>Robin Choudhury</t>
  </si>
  <si>
    <t>Plant pathology PhD at UC Davis, epidemiology, cooking, beer, spinach downy mildew</t>
  </si>
  <si>
    <t>Buttetsu Batou</t>
  </si>
  <si>
    <t>RT @TiffanyTimbers: Looking for suggestions for #R packages to do parallelization &amp; Monte Carlo analysis #rstats</t>
  </si>
  <si>
    <t>Cybertron</t>
  </si>
  <si>
    <t>Condiments engineering at Weylan-Yutani. Test pilot for Team Hikita/Banzai. Melodica player. Arachnatarian.</t>
  </si>
  <si>
    <t>Pedro Murúa</t>
  </si>
  <si>
    <t>Aberdeen</t>
  </si>
  <si>
    <t>Ingeniero en Acuicultura UACh - PhD en formacion University of Aberdeen</t>
  </si>
  <si>
    <t>eoda</t>
  </si>
  <si>
    <t>Want driving the road to Data Scientist? via @JoachimGarraud check out our #rstats Academy https://t.co/9W59nZOy0x https://t.co/jp3nSMcJHe</t>
  </si>
  <si>
    <t>We at eoda have a passion for data and analysis. We are data scientists, software developers, management consultants and personal trainers.</t>
  </si>
  <si>
    <t>New R package for Eyelink eye-trackers https://t.co/Z6cZIcqfeR #rstats #DataScience</t>
  </si>
  <si>
    <t>RT @Rbloggers: New R package for Eyelink eye-trackers https://t.co/Z6cZIcqfeR #rstats #DataScience</t>
  </si>
  <si>
    <t>That feeling when you realize @hadleywickham already "trademarked" a perfect #rstats class name #BetamaxVsVHS https://t.co/UV7YMIEZZo</t>
  </si>
  <si>
    <t>SparkIQ Labs, Inc</t>
  </si>
  <si>
    <t>magrittr: The best thing to have ever happened to R? https://t.co/wXXfUn48zl #Rstats</t>
  </si>
  <si>
    <t>A #BigData &amp; #DataScience Consulting Firm. Organizers of #Rstats groups in Las Vegas, Nairobi, Jo'burg, Durban, Cairo, Casablanca, Dar, Kampala, Accra &amp; Lagos.</t>
  </si>
  <si>
    <t>Web scraping with R &amp; novel classification algorithms on unbalanced data https://t.co/3PCtAZibw9 #rstats</t>
  </si>
  <si>
    <t>DataCamp</t>
  </si>
  <si>
    <t>Embrace your inner #datanerd with 7 Best #datascience cartoons https://t.co/SdKlyB1IHr #rstats #stem #bigdata https://t.co/S02afrLkbY</t>
  </si>
  <si>
    <t>Learn data analysis and R interactively. Or check our other projects: http://t.co/dxnLeSmyjw and http://t.co/E09nDJav7m</t>
  </si>
  <si>
    <t>RT @DataCamp: Embrace your inner #datanerd with 7 Best #datascience cartoons https://t.co/SdKlyB1IHr #rstats #stem #bigdata https://t.co/S0…</t>
  </si>
  <si>
    <t>Tracking #ggplot2 Extensions for Data Visualization https://t.co/qAk2CqMzCj via @SparkIQ_labs #Rstats #DataViz</t>
  </si>
  <si>
    <t>Lalaina R.</t>
  </si>
  <si>
    <t>#Rstats #MachineLearning #Forex #Metatrader - Those charts below have been created by using a custom... https://t.co/xpeoOg8R9J</t>
  </si>
  <si>
    <t>Tumblr</t>
  </si>
  <si>
    <t>Geneva, Switzerland</t>
  </si>
  <si>
    <t>IT Professional , musician, interest in global macro challenges.</t>
  </si>
  <si>
    <t>How to separate values of multiple class in R? https://t.co/24HocFFrRT #helpdatascientist #rstats #datascience</t>
  </si>
  <si>
    <t>Martin Krzywinski</t>
  </si>
  <si>
    <t>RT @thomasp85: Hive plots coming to #ggraph - stay tuned. #ggplot2 #rstats #dataviz @MKrzywinski https://t.co/o8fH1ycaBr</t>
  </si>
  <si>
    <t>science + art</t>
  </si>
  <si>
    <t>Andy Murray</t>
  </si>
  <si>
    <t>Manhattan, New York</t>
  </si>
  <si>
    <t>New PI at the Sainsbury Wellcome Centre for Neural Circuits, UCL, Studying balance and movement to figure out how the brain works. Terrible at tennis.</t>
  </si>
  <si>
    <t>Armand Ruiz</t>
  </si>
  <si>
    <t>Chicago - Illinois</t>
  </si>
  <si>
    <t>Product Manager Advanced Analytics #IBM #BigData #Analytics #RStats #Cloud - Born in Barcelona Living in Chicago - All tweets and opinions are my own</t>
  </si>
  <si>
    <t>A Faster Scale Function https://t.co/lxfL2ry2aS #rstats #DataScience</t>
  </si>
  <si>
    <t>RT @Rbloggers: A Faster Scale Function https://t.co/lxfL2ry2aS #rstats #DataScience</t>
  </si>
  <si>
    <t>Should I post screenshots of this guy's "rape and death" tweets at me? Those accts have now of course been deleted or suspended. #rstats</t>
  </si>
  <si>
    <t>Brenda Carolina</t>
  </si>
  <si>
    <t>Puerto Rico</t>
  </si>
  <si>
    <t>Ecuadorian Mathematician/Statistician &amp; PhD Student dreaming to work at NASA &amp; truly in love with Puerto Rico: The Enchanted Island stole my heart!</t>
  </si>
  <si>
    <t>Amy Hogan</t>
  </si>
  <si>
    <t>R lesson of the day: calculate power, n, effect size, etc for any sig test (@tslumley corrected) #rstats #statschat https://t.co/8HFDvMF6xw</t>
  </si>
  <si>
    <t>Statistics and Math Teacher, Math Team Coach, @MathforAmerica Master Teacher, AP Statistics Reader, 20th percentile for height.</t>
  </si>
  <si>
    <t>Here is what this guy has been tweeting at me. Please help me shut down these accounts as they crop up. #rstats https://t.co/lZnLga4Rw0</t>
  </si>
  <si>
    <t>Auriel Fournier</t>
  </si>
  <si>
    <t>RT @JennyBryan: Here is what this guy has been tweeting at me. Please help me shut down these accounts as they crop up. #rstats https://t.c…</t>
  </si>
  <si>
    <t>PhD Student - U of Arkansas</t>
  </si>
  <si>
    <t>Studying #wetland management &amp; fall #migration of rails | #rstats | #birds | promoting diversity in #stem | #PhD2017</t>
  </si>
  <si>
    <t>A Faster Scale Function https://t.co/VnKDHBqglo #rstats</t>
  </si>
  <si>
    <t>Interactive #DataScience with #Rstats in #ApacheZeppelin Notebook https://t.co/hv3igO4rAV via @SparkIQ_labs #BigData</t>
  </si>
  <si>
    <t>hujk</t>
  </si>
  <si>
    <t>RT @SparkIQ_Labs: Interactive #DataScience with #Rstats in #ApacheZeppelin Notebook https://t.co/hv3igO4rAV via @SparkIQ_labs #BigData</t>
  </si>
  <si>
    <t>.@tpoi Please keep doing this on the accounts: report -&gt; abuse -&amp;gt; harassment -&amp;gt; targeted harassment https://t.co/UtF0H5FUue #rstats</t>
  </si>
  <si>
    <t>S Dynarski</t>
  </si>
  <si>
    <t>RT @alittlestats: R lesson of the day: calculate power, n, effect size, etc for any sig test (@tslumley corrected) #rstats #statschat https…</t>
  </si>
  <si>
    <t>Univ of Michigan prof | economist | 1st gen college grad | @fordschool | @umichECON | @nytimes columnist | @BrookingsEcon | former union organizer | tweets own</t>
  </si>
  <si>
    <t>Daniel Gillis</t>
  </si>
  <si>
    <t>University of Guelph</t>
  </si>
  <si>
    <t>I am an Assistant Professor and Statistician in the School of Computer Science at the University of Guelph.</t>
  </si>
  <si>
    <t>RT @ucfagls: @Teraa_Baapp Hey, leave @JennyBryan alone and stop spamming the #rstats timeline. I don't know what your problem is but give i…</t>
  </si>
  <si>
    <t>Daniel Standage</t>
  </si>
  <si>
    <t>Bloomington, Indiana, USA</t>
  </si>
  <si>
    <t>Grad student, aspiring scientist, avid programmer, but most importantly...husband and father! Retweet or like is not (necessarily) endorsement.</t>
  </si>
  <si>
    <t>Jaime Ashander</t>
  </si>
  <si>
    <t>Environmental scientist / population biologist at UC Davis. Sourdough farmer in Sacramento. Some RTs are endorsements.</t>
  </si>
  <si>
    <t>Ethan White</t>
  </si>
  <si>
    <t>The Rim</t>
  </si>
  <si>
    <t>I'm a happily married dad and a scientist. I like ecology, computers, math, stats, &amp; good scotch. I believe in the value of open science and a free &amp; open web.</t>
  </si>
  <si>
    <t>RT @JennyBryan: .@tpoi Please keep doing this on the accounts: report -&gt; abuse -&amp;gt; harassment -&amp;gt; targeted harassment https://t.co/UtF0H5FUue…</t>
  </si>
  <si>
    <t>Titus Brown</t>
  </si>
  <si>
    <t>Echofon</t>
  </si>
  <si>
    <t>A secure, hidden bunker.</t>
  </si>
  <si>
    <t>Tripping the light academic. Titus is a professor in the School of VetMed at UC Davis.</t>
  </si>
  <si>
    <t>Timothée Poisot</t>
  </si>
  <si>
    <t>Community ecologist. Data artist. Code writer. Open scientist. Turing test failer. @umontreal/@PoisotLab. Views are my own, but really they should be yours too.</t>
  </si>
  <si>
    <t>Andrew Musselman</t>
  </si>
  <si>
    <t>Math and software</t>
  </si>
  <si>
    <t>Do you know how to make overlaid line distributions with and without using ggplot2 in R? https://t.co/Md3L4gAVHu #helpdatascientist #rstats</t>
  </si>
  <si>
    <t>Alton BH Worthington</t>
  </si>
  <si>
    <t>All Over The Place</t>
  </si>
  <si>
    <t>Cars, Politics, Economics, Sports, Soaring, Brewing, Old Motorcycles, Snark. ∃ RTs ∉ {Endorsements} ∧ ∀ Tweets ⊂ {Nonsense}. UFPO.</t>
  </si>
  <si>
    <t>MJ</t>
  </si>
  <si>
    <t>East Palo Alto, CA, USA</t>
  </si>
  <si>
    <t>ports software/does hpc dev/parallelizes workflows/fixes * with bash/hoards papers/hates buzzwords</t>
  </si>
  <si>
    <t>Ivã Cielo</t>
  </si>
  <si>
    <t>RT @AnalyticsVidhya: How to separate values of multiple class in R? https://t.co/24HocFFrRT #helpdatascientist #rstats #datascience</t>
  </si>
  <si>
    <t>Brasília, Distrito Federal</t>
  </si>
  <si>
    <t>Big Data, IoT, Open Data Government, Analytics enthusiastic, student and evangelist. Analytics solutions Salesman, blog writer and enterpreneur.</t>
  </si>
  <si>
    <t>Yuriko con K</t>
  </si>
  <si>
    <t>Lima - Perú</t>
  </si>
  <si>
    <t>Vida: Estadística, delivery, puré, familia y amigos. Pasiones: AL, Rstats, Rockband, DDR, artículos de rubik y Trekking. You only live once so Hakuna Matata.</t>
  </si>
  <si>
    <t>jweber3rd</t>
  </si>
  <si>
    <t>Decatur, GA</t>
  </si>
  <si>
    <t>I am an Assistant Professor of mathematics at a two-year college. My interests include photography and mathematics.</t>
  </si>
  <si>
    <t>Topical Reference</t>
  </si>
  <si>
    <t>Perth, Australia</t>
  </si>
  <si>
    <t>Hello. Follow me for talk about beer/chips/tai chi/playing the drums/mathematics/the unbearable inevitability of life</t>
  </si>
  <si>
    <t>ARTbio</t>
  </si>
  <si>
    <t>#usegalaxy based facility at IBPS for Accessible Reproducible and Transparent bioinformatics</t>
  </si>
  <si>
    <t>WMC</t>
  </si>
  <si>
    <t>@JennyBryan Hate to hear that. Thank you for your #rstats content; pls don't leave. And if someone threatened a crime, let the police know.</t>
  </si>
  <si>
    <t>Jake Beam</t>
  </si>
  <si>
    <t>Maine, USA</t>
  </si>
  <si>
    <t>Human, skier, postdoc, views are my own.</t>
  </si>
  <si>
    <t>aj</t>
  </si>
  <si>
    <t>Coder.</t>
  </si>
  <si>
    <t>Chris Chapman</t>
  </si>
  <si>
    <t>RT @eleafeit: What a delightful surprise to get an email from the "Task Force on Women in the #rstats Community" encouraging women presente…</t>
  </si>
  <si>
    <t>Quant UX Researcher @ Google. Co-author, R for Marketing Research and Analytics, http://t.co/HIDjDBnpM6 Opinions all mine.</t>
  </si>
  <si>
    <t>phnk</t>
  </si>
  <si>
    <t>@JennyBryan the entire #rstats community needs to be aware that this kind of behaviour exists and needs to be weeded out (2/3)</t>
  </si>
  <si>
    <t>@JennyBryan in the meantime you have my full support as well as the support of countless other anonymous #rstats users; all the best (3/3)</t>
  </si>
  <si>
    <t>Paul J. Hurtado</t>
  </si>
  <si>
    <t>Anyone have examples where externally studentized residuals are more appropriate/informative than internally studentized residuals? #rstats</t>
  </si>
  <si>
    <t>Mathematical biologist, birder, outdoor enthusiast, assistant professor.</t>
  </si>
  <si>
    <t>Diego Diez</t>
  </si>
  <si>
    <t>Osaka, Japan</t>
  </si>
  <si>
    <t>Bioinformatics+R+Immunology</t>
  </si>
  <si>
    <t>RT @MathBioPaul: Anyone have examples where externally studentized residuals are more appropriate/informative than internally studentized r…</t>
  </si>
  <si>
    <t>Life is good when #rstan &amp; #rstats make the wall at Johnys PROPS TO MY MAN @djsyclik https://t.co/v3C8NjjOFe</t>
  </si>
  <si>
    <t>Top story: #rstats Analysis of Xbox Usage Trends with R: Time Series Decomposit… https://t.co/diyjzP4Xpb, see more https://t.co/wHGxkjjAmH</t>
  </si>
  <si>
    <t>Rockhopper Penguin</t>
  </si>
  <si>
    <t>Okay, #rstats question: Analyzing ggplot2 diamonds dataset Want # and overall % in groupings by cut and color What's a good way to get this?</t>
  </si>
  <si>
    <t>Minnesota</t>
  </si>
  <si>
    <t>PhD (geo)chemist, research in U-Pb geochronology; fan of mass spectrometers, citizen science, science communication, and ham radio.</t>
  </si>
  <si>
    <t>Kieran Healy</t>
  </si>
  <si>
    <t>North Carolina</t>
  </si>
  <si>
    <t>Now on the lam in Bolivia.</t>
  </si>
  <si>
    <t>Jordan Amdahl</t>
  </si>
  <si>
    <t>RT @phnk: @JennyBryan the entire #rstats community needs to be aware that this kind of behaviour exists and needs to be weeded out (2/3)</t>
  </si>
  <si>
    <t>Needham, MA</t>
  </si>
  <si>
    <t>R Programmer, Shiny App Developer, Research Analyst at HEOR Consultancy</t>
  </si>
  <si>
    <t>RT @JennyBryan: Should I post screenshots of this guy's "rape and death" tweets at me? Those accts have now of course been deleted or suspe…</t>
  </si>
  <si>
    <t>24 March #pdxrlang meetup https://t.co/IZopi3ePXH w/ @RevoJoe &amp; @john_lam -&gt; #rstats at Microsoft and in Visual Studio</t>
  </si>
  <si>
    <t>PDX R</t>
  </si>
  <si>
    <t>24 March #pdxrlang meetup https://t.co/uQAuukIKJH w/ @RevoJoe &amp; @john_lam -&gt; #rstats at Microsoft and in Visual Studio</t>
  </si>
  <si>
    <t>Portland R User Group (tweets by @sckottie) https://t.co/b7iLkyRHmX</t>
  </si>
  <si>
    <t>RT @sckottie: 24 March #pdxrlang meetup https://t.co/IZopi3ePXH w/ @RevoJoe &amp; @john_lam -&gt; #rstats at Microsoft and in Visual Studio</t>
  </si>
  <si>
    <t>Bill Hooker</t>
  </si>
  <si>
    <t>Sarasota, FL</t>
  </si>
  <si>
    <t>Thinkmonkey for hire. Ceterum censeo, @SantaCruzBio delenda est.</t>
  </si>
  <si>
    <t>Shaina Race</t>
  </si>
  <si>
    <t>Assistant Professor of Analytics at @AnalyticsInst @NCState. PhD OR/Mathematics. MS Analytics. #Mathematology #DataScience</t>
  </si>
  <si>
    <t>Alison Hill</t>
  </si>
  <si>
    <t>RT @pdxrlang: 24 March #pdxrlang meetup https://t.co/uQAuukIKJH w/ @RevoJoe &amp; @john_lam -&gt; #rstats at Microsoft and in Visual Studio</t>
  </si>
  <si>
    <t>Developmental psychology + statistics, asst professor at #OHSU, autism researcher since 2003, #rstats fan and teacher, devoted dog lover</t>
  </si>
  <si>
    <t>I just completed the course "R for SAS, SPSS and STATA Users"! @datacamp https://t.co/hCU9CEzUFT #rstats</t>
  </si>
  <si>
    <t>stephen carnagua</t>
  </si>
  <si>
    <t>Multi-armed economist</t>
  </si>
  <si>
    <t>Romeo Kienzler</t>
  </si>
  <si>
    <t>VERY good paper on data cleaning in R https://t.co/WvT2daHGgz #rstats</t>
  </si>
  <si>
    <t>Data Scientist &amp; Advisory Architect @IBM Innovation Center - Member of IBM Academy of Technology, Technical Expert Council, BigData BlackBelts/tweets are my own</t>
  </si>
  <si>
    <t>RT @phnk: @JennyBryan in the meantime you have my full support as well as the support of countless other anonymous #rstats users; all the b…</t>
  </si>
  <si>
    <t>Olivia Chen</t>
  </si>
  <si>
    <t>Data Geek</t>
  </si>
  <si>
    <t>Vince Buffalo</t>
  </si>
  <si>
    <t>Aspiring evolutionary geneticist, PhD student with @graham_coop, former bioinformatician. ♥s probability, statistics. Author of book Bioinformatics Data Skills.</t>
  </si>
  <si>
    <t>Florian Hollenbach</t>
  </si>
  <si>
    <t>College Station, TX</t>
  </si>
  <si>
    <t>Assistant Prof @TAMU, @DukeU PhD. Interested in taxation, conflict, development &amp; methods.</t>
  </si>
  <si>
    <t>Scott Johnson</t>
  </si>
  <si>
    <t>Listening to @datastories podcast with #Rstats #ggplot creator, @hadleywickham. https://t.co/Pp4oOIQsxv https://t.co/yIgYombAXp</t>
  </si>
  <si>
    <t>St Paul, MN</t>
  </si>
  <si>
    <t>Following developments in higher ed and int'l affairs - with special interest in program eval and policy analysis. Polyglot, francophone. Formerly @Global_MN.</t>
  </si>
  <si>
    <t>pmL</t>
  </si>
  <si>
    <t>pgh, pa</t>
  </si>
  <si>
    <t>Towards a more perfect humanity, &amp; a more perfect human union. I work with tweets, text, images, &amp; networks. I eat an appalling amount of pop culture.</t>
  </si>
  <si>
    <t>Desmond Ramirez</t>
  </si>
  <si>
    <t>PhD candidate in the Oakley lab at UC Santa Barbara. I like invertebrates, weird sensory systems and macroevolution.</t>
  </si>
  <si>
    <t>Matt Harris</t>
  </si>
  <si>
    <t>Embrace your uncertainty. Fun with Gaussian Processes and #archeology data in @mcmc_stan. #rstan #rstats https://t.co/D8nfNgT3oh</t>
  </si>
  <si>
    <t>Archaeologist, Dir. of GIS, Data Analysis, &amp; Geoarch in Cultural Resources Dept. of AECOM. Dad, #rstats, maps, viz, models, Bayes, fishing, running, and beer</t>
  </si>
  <si>
    <t>Gabe Becker</t>
  </si>
  <si>
    <t>@JennyBryan Ugh, Sorry you have to deal with asshats like that :(. I think the best revenge is to just keep being awesome #rstats (kinda?)</t>
  </si>
  <si>
    <t>Pleasant Hill, CA</t>
  </si>
  <si>
    <t>Assoc Scientist @genentech, researcher in statistical computing/bioinformatics. Interests: reproducibility, scalable #Rstats computing, dynamic docs</t>
  </si>
  <si>
    <t>@xangregg They're doing it wrong if they don't think it's heaven #rstats</t>
  </si>
  <si>
    <t>Tennessee</t>
  </si>
  <si>
    <t>I do statistics - all of them. All the time. And I game. Now, thanks to @fitocracy, I exercise.</t>
  </si>
  <si>
    <t>Joe Blitzstein</t>
  </si>
  <si>
    <t>Statistics professor at Harvard; statistician and data scientist; probability and paradoxes; Bayesian frequentist reconciliation; chess.</t>
  </si>
  <si>
    <t>Dani Sherman</t>
  </si>
  <si>
    <t>RT @jonesor: Are there any intro-level #rstats courses coming up soon in Europe? Asking for a student.</t>
  </si>
  <si>
    <t>PhD student, University of Southern Denmark, comparative life history and demography of ageing</t>
  </si>
  <si>
    <t>RT @Md_Harris: Embrace your uncertainty. Fun with Gaussian Processes and #archeology data in @mcmc_stan. #rstan #rstats https://t.co/D8nfNg…</t>
  </si>
  <si>
    <t>Erin Jonaitis</t>
  </si>
  <si>
    <t>surrounded by reality</t>
  </si>
  <si>
    <t>Number-crunching hippie. Formerly-feral statistician. I tweet about data, privacy, and scientific communication.</t>
  </si>
  <si>
    <t>Rob M.</t>
  </si>
  <si>
    <t>Jesus christ. At literally one of the the most pleasant people in #rstats twitter community, from what I have seen. https://t.co/DwWzK3Mhfc</t>
  </si>
  <si>
    <t>random, jarring switches b/w machine learning/#nlproc &amp; subtweeting NPR hosts; ``If you shoot an arrow and it goes real high, hooray for you..'' - Dorian Corey</t>
  </si>
  <si>
    <t>Hurricane Diana</t>
  </si>
  <si>
    <t>I am my own Empire.</t>
  </si>
  <si>
    <t>Actor. Model. Vegan. Feminist. Jean Grey IRL. Ice Pokemon Trainer. Ginger. Loving every moment. 日本語も分かる。 https://t.co/rO5UXq5w4d</t>
  </si>
  <si>
    <t>Joe Thorley</t>
  </si>
  <si>
    <t>Nelson, BC</t>
  </si>
  <si>
    <t>Computational Biologist.</t>
  </si>
  <si>
    <t>Nick Ungson</t>
  </si>
  <si>
    <t>@NickUngson #rstats taken from this article by @talgalili | @Rbloggers https://t.co/9L4VVlzUrv</t>
  </si>
  <si>
    <t>Bethlehem, PA</t>
  </si>
  <si>
    <t>phd student in social psychology. group processes, loyalty, leadership, morality, and humor. Also, ⚽ and</t>
  </si>
  <si>
    <t>@chaz_thomas the @stattleship API and #rstats package are super beginner friendly too. But #rstats and #python both have plenty o merits!</t>
  </si>
  <si>
    <t>David Jansen</t>
  </si>
  <si>
    <t>Info on "Data Driven" virtual event introducing SQL Server 2016, R Services https://t.co/ZLvfM51EMl #SQLServer2016 #DataDriven #rstats</t>
  </si>
  <si>
    <t>Fresno/Clovis, CA</t>
  </si>
  <si>
    <t>Connecting the dots. Technology, data, education, frameworks, ideas, people. Views are my own</t>
  </si>
  <si>
    <t>Heidi</t>
  </si>
  <si>
    <t>Well, analyses didn't happen, but I did figure out how to make this plot in #rstats: https://t.co/uGklh0OgNs</t>
  </si>
  <si>
    <t>California central coast, USA</t>
  </si>
  <si>
    <t>Geo/climate scientist, writer, educator, indigenous SE Asian, #TCK. Bitter PhD candidate on my very last chance to finish. Tweets are my own. #decolonizeSTEM</t>
  </si>
  <si>
    <t>Dirk Eddelbuettel</t>
  </si>
  <si>
    <t>Another Rcpp milestone: over 1k questions on SO! #rstats #rcpp https://t.co/ugZOPdXj5g</t>
  </si>
  <si>
    <t>Chicago, IL, USA</t>
  </si>
  <si>
    <t>Quantitative Trading. Data Engineering. HPC. Machine Learning. Econometrics. Unix. Open Source. (Co-)creator of Rcpp and other R packages. Debian developer.</t>
  </si>
  <si>
    <t>Running R from Eclipse – StatET Features https://t.co/nSxynDQlDr #rstats #DataScience</t>
  </si>
  <si>
    <t>RT @Rbloggers: Running R from Eclipse – StatET Features https://t.co/nSxynDQlDr #rstats #DataScience</t>
  </si>
  <si>
    <t>Stevie Strychnine</t>
  </si>
  <si>
    <t>NY. NY</t>
  </si>
  <si>
    <t>Comic artist, post production &amp; coffee expert https://t.co/ClqSE863ea https://t.co/wPc3aEYxlZ sw.inku at gmail</t>
  </si>
  <si>
    <t>Running R from Eclipse StatET Features https://t.co/lUj4TNC5sX #rstats</t>
  </si>
  <si>
    <t>m-ezekiel</t>
  </si>
  <si>
    <t>Quite possibly the most cold-blooded sentence a computer has ever written. #rstats #linguistics https://t.co/ETimYVBeHL</t>
  </si>
  <si>
    <t>R, design, linguistics, Processing</t>
  </si>
  <si>
    <t>Froogal Stoodent</t>
  </si>
  <si>
    <t>The Hmisc library won't load for the latest version of #R. That messed up #Rcmdr, too. #Rstats https://t.co/5pbq2rU5ls</t>
  </si>
  <si>
    <t>Talking sen$e about dollars! Keeper of The Froogal Stoodent blog. I write about #personalfinance, #frugalliving, #collegetips, and the #MillionaireMindset</t>
  </si>
  <si>
    <t>Very thoughtful (and thought provoking) article on non-tidy data by @jtleek https://t.co/flD4eJJ5aR #datascience #rstats</t>
  </si>
  <si>
    <t>RT @PhilGrosjean: The new stubthat package for #rstats creates stubs for unit tests in R, see https://t.co/lKItJ6kKMp</t>
  </si>
  <si>
    <t>Chris Brown</t>
  </si>
  <si>
    <t>Auto-reply on statistics help line: "there's a #rstats package for that"</t>
  </si>
  <si>
    <t>Marine Ecologist and modeller. Interested in conserving nature and eating fish. Griffith University</t>
  </si>
  <si>
    <t>RT @monkmanmh: Very thoughtful (and thought provoking) article on non-tidy data by @jtleek https://t.co/flD4eJJ5aR #datascience #rstats</t>
  </si>
  <si>
    <t>Philip Durbin</t>
  </si>
  <si>
    <t>RT @mf_viz: Tried to solve the @FiveThirtyEight riddle w/ #rstats, visualized w/ @plotlygraphs &amp; Shiny: https://t.co/yvMFBzs0sv https://t.…</t>
  </si>
  <si>
    <t>open source geek</t>
  </si>
  <si>
    <t>Scott McCain</t>
  </si>
  <si>
    <t>Santosh Srinivas</t>
  </si>
  <si>
    <t>RT @eddelbuettel: Another Rcpp milestone: over 1k questions on SO! #rstats #rcpp https://t.co/ugZOPdXj5g</t>
  </si>
  <si>
    <t>New Shiny App: Welcome to the MARC Malaria Data Repository! https://t.co/Gycuf0jU09 #rstats https://t.co/Wf33r0vuEz</t>
  </si>
  <si>
    <t>Is deep learning a Markov chain in disguise? https://t.co/L3m7HkUSgO #rstats #DataScience</t>
  </si>
  <si>
    <t>RT @Rbloggers: Is deep learning a Markov chain in disguise? https://t.co/L3m7HkUSgO #rstats #DataScience</t>
  </si>
  <si>
    <t>Jeff Allen</t>
  </si>
  <si>
    <t>If there's any interest.. #rstats code to geocode based on shapefile of streets in Dallas. Works with intersections! https://t.co/jY2iJfE7ds</t>
  </si>
  <si>
    <t>Software Engineer at RStudio, Inc. Background in Bioinformatics and Computer Science. Looking to use the latest technology to solve big problems.</t>
  </si>
  <si>
    <t>In related news... #rstats Shiny/leaflet map of current @DallasPD activity back online: https://t.co/ljfWToFUz5</t>
  </si>
  <si>
    <t>RT @SparkIQ_Labs: magrittr: The best thing to have ever happened to R? https://t.co/wXXfUn48zl #Rstats</t>
  </si>
  <si>
    <t>Dino Christenson</t>
  </si>
  <si>
    <t>Neat blog post on visualizing the Clinton email #network in #Rstats https://t.co/DhLWZNb3Xf from @hrbrmstr https://t.co/CIy90B4I0J</t>
  </si>
  <si>
    <t>Detroit ⇄ Boston</t>
  </si>
  <si>
    <t>political science prof, dataviz, elections, public opinion, surveys, networks, statistics, italo-americano, gourmand, mass transit, soccer, ski, ecofriendly</t>
  </si>
  <si>
    <t>"Rstats" on Tweeted Times #rstats https://t.co/X6haMFDKGP - top stories by @abhworthington, @akm, @JennyBryan</t>
  </si>
  <si>
    <t>Jerry Higgins</t>
  </si>
  <si>
    <t>Data || ∀. Data Visualization, Physics, Hacking/Making, Coffee &amp; random musings Views are my own.</t>
  </si>
  <si>
    <t>Clark Richards</t>
  </si>
  <si>
    <t>What to learn why #rstats is a good tool for #oceanography? See my tutorial at AGU #OS16 Wednesday Feb 24 in Room R03</t>
  </si>
  <si>
    <t>Ottawa, Ontario</t>
  </si>
  <si>
    <t>Oceanographer, father, musician, cyclist. Co-author of the Rstats oce package for ocean data analysis. Views are my own. See also: https://t.co/4kIdr1FsQE</t>
  </si>
  <si>
    <t>Vinh Luong</t>
  </si>
  <si>
    <t>@jcheng Just heard your interview on @theRcast. Where can I find the reactivity presentation mentioned?#rstats</t>
  </si>
  <si>
    <t>Networkx #Datascience #Bigdata Tools is out! https://t.co/OLmGeCuQPj #rstats #python Stories via @PieterHumphrey @PythonDaily @ghost22sas</t>
  </si>
  <si>
    <t>Rstats Ocean</t>
  </si>
  <si>
    <t>RT @ClarkGRichards: What to learn why #rstats is a good tool for #oceanography? See my tutorial at AGU #OS16 Wednesday Feb 24 in Room R03</t>
  </si>
  <si>
    <t>Tweets about using R for oceanography, courtesy of the oce package</t>
  </si>
  <si>
    <t>Why have I not known about the with function in R? #MindBlown #rstats</t>
  </si>
  <si>
    <t>theWPSA</t>
  </si>
  <si>
    <t>RT @archimedino: Neat blog post on visualizing the Clinton email #network in #Rstats https://t.co/DhLWZNb3Xf from @hrbrmstr https://t.co/CI…</t>
  </si>
  <si>
    <t>the new west</t>
  </si>
  <si>
    <t>This account is associated with the Western Political Science Association || next conference is in San Diego March 24-26|| use #wpsa16</t>
  </si>
  <si>
    <t>Comment trier un vecteur numérique dans l’ordre croissant ou décroissant ? sort, rev. https://t.co/myhd96WZxk #Rstats #Rtips</t>
  </si>
  <si>
    <t>Dr Raul Pacheco-Vega</t>
  </si>
  <si>
    <t>Vancouver/Aguascalientes</t>
  </si>
  <si>
    <t>Professor @CIDE_MX Water governance, public policy, environmental politics, experimental methods, North America. #ScholarSunday founder. Coffee lover. SNI 1</t>
  </si>
  <si>
    <t>stephen winkler</t>
  </si>
  <si>
    <t>#PoliSci grad student @UW | Development, nonstate actors, ideology | Spirit food: dance, cookies.</t>
  </si>
  <si>
    <t>Matt Shirley</t>
  </si>
  <si>
    <t>@JennyBryan That is absolutely disgusting. However, it seems like this brought out lots of great #rstats for me to follow! Bright-side?</t>
  </si>
  <si>
    <t>Computational biologist. Oncology, and rare disease genetics. Python user.</t>
  </si>
  <si>
    <t>Tahir Enes Gedik</t>
  </si>
  <si>
    <t>What is Qualitative Comparative Analysis (#QCA): https://t.co/3CYwbMXavL and here is the R package: https://t.co/HqIte0jgBl #rstats</t>
  </si>
  <si>
    <t>Steve Marshall</t>
  </si>
  <si>
    <t>i like eating, drinking, traveling and analyzing data</t>
  </si>
  <si>
    <t>Jennifer Berdahl</t>
  </si>
  <si>
    <t>Montalbano Professor of Leadership Studies: Gender and Diversity * Sauder School of Business * University of British Columbia</t>
  </si>
  <si>
    <t>Ekonometri nedir?</t>
  </si>
  <si>
    <t>2013 mezunu 'bir veri bir kemik' öğrenci.</t>
  </si>
  <si>
    <t>scott jacobs</t>
  </si>
  <si>
    <t>If you could put one piece of #data in front of the Mayor of #Oakland every day, what would it be? #dashboard #socialintelligence #rstats</t>
  </si>
  <si>
    <t>Husband &amp; Father * Head Chef at My House * SMC M.S. Business Analytics '16 *</t>
  </si>
  <si>
    <t>Pure R melt function is 2x faster then reshape2 version: https://t.co/AqJUygHsmI #rstats @hadleywickham</t>
  </si>
  <si>
    <t>Carrie Booth</t>
  </si>
  <si>
    <t>Albuquerque</t>
  </si>
  <si>
    <t>Curiosity killed the cat, but satisfaction brought her back! Header credit: http://t.co/4TRjCAeTXV</t>
  </si>
  <si>
    <t>Saem Ghani</t>
  </si>
  <si>
    <t>Functional and distributed noob, systems architect, cofounder/organizer of PolyglotVancouver, @devopsdaysyvr organizer, and chaser of frisbees.</t>
  </si>
  <si>
    <t>Richard Soderberg</t>
  </si>
  <si>
    <t>Silicon Valley, California</t>
  </si>
  <si>
    <t>Trigger warnings are in effect on this account. I do my best to make clear what I'm linking, but there are difficult topics being linked here. Beware, all ye.</t>
  </si>
  <si>
    <t>Trevor A. Branch</t>
  </si>
  <si>
    <t>.@mickelsp depends on your programming language. In #rstats most functions have option to remove NA, e.g. mean(x.vector, na.rm = T)</t>
  </si>
  <si>
    <t>Seattle, USA</t>
  </si>
  <si>
    <t>Associate Prof @UW_SAFS @UW_CoEnv @UW. Global fisheries status, blue whales, @bluewhalenews, beautiful graphics, catch shares, #LeopoldLP, Rstats</t>
  </si>
  <si>
    <t>"Running R from Eclipse – StatET Features" https://t.co/p6kgwo8zp3 #programming #rstats</t>
  </si>
  <si>
    <t>"Web scraping with R &amp; novel classification algorithms on unbalanced data" https://t.co/tpTxSG83xv #programming #rstats</t>
  </si>
  <si>
    <t>Currently fitting a large Markov random field via mgcv &amp; gam() to model species interactions; #ESA2016 abstracts must be due soon... #rstats</t>
  </si>
  <si>
    <t>UBCSexualAssault</t>
  </si>
  <si>
    <t>UBC alumna who reported sexual harassment. Interests: institutional transparency, accountability, opportunities for growth. Goal: bring out UBC's best self</t>
  </si>
  <si>
    <t>RT @gvegayon: Very intersting example on NN: "Build your own neural network classifier in R" - by Jun Ma https://t.co/MJVMe38O0U #rstats</t>
  </si>
  <si>
    <t>RT @pachamaltese: a timeline dedicated to David Bowie made with R @pamdavinci @copano @t_redactyl @lisachwinter @cesifoti https://t.co/JcX…</t>
  </si>
  <si>
    <t>RT @kyle_e_walker: Fun w/#rstats @plotlygraphs &amp; #rshiny making animated population pyramids - will follow #shinydevcon closely https://t.c…</t>
  </si>
  <si>
    <t>seqinr - Biological Sequences Retrieval and Analysis https://t.co/3xk5VjtPFZ #RStats</t>
  </si>
  <si>
    <t>Joel G</t>
  </si>
  <si>
    <t>Marseille</t>
  </si>
  <si>
    <t>Science politique (@upjv), politique, extimité, mobilités, enseignement (@sciencespo, @Sciences_Po_Aix, @ambreussite). Standard déviant.</t>
  </si>
  <si>
    <t>Peter Ellis</t>
  </si>
  <si>
    <t>All done with #rstats and Shiny https://t.co/kURFCiaRzH</t>
  </si>
  <si>
    <t>Wellington City, New Zealand</t>
  </si>
  <si>
    <t>Statistician, backgammon player, tramper and very part time climber. Tweets represent my views (if that), definitely no-one else.</t>
  </si>
  <si>
    <t>åłęssįø</t>
  </si>
  <si>
    <t>En un futuro no muy lejano Estadístico y en mis sueños Data scientist</t>
  </si>
  <si>
    <t>Mark Edmondson</t>
  </si>
  <si>
    <t>Google Developer Expert - Google Analytics. RStudio Advocate. I work at IIH Nordic playing with web data. Tweets about GA, GTM, Adobe, R, Shiny, Statistics.</t>
  </si>
  <si>
    <t>IreneKoren</t>
  </si>
  <si>
    <t>ear candy for italophiles “@salvag63: Inventarsi Parole. Omaggio a Umberto Eco #rstats #dataAnalysis #bigData https://t.co/kZUMadVZeJ”</t>
  </si>
  <si>
    <t>Belgium, Europe</t>
  </si>
  <si>
    <t>Your partner for insight &amp; inspiration ❘ Talking to people is my hobby, curiosity is my middle name and whatever your business question is, I find an answer.</t>
  </si>
  <si>
    <t>Victor Ordu</t>
  </si>
  <si>
    <t>Good data visualization so are what gives rigorous statistics some kind of mass appeal. #dataviz #rstats</t>
  </si>
  <si>
    <t>Abuja, Nigeria</t>
  </si>
  <si>
    <t>Under construction. Partner at @GHMCL. Number-driven. Realpolitik. Spirit-being. #rstats #NEPAD #GPEI</t>
  </si>
  <si>
    <t>Analysis of Xbox Usage Trends with R: Time Series Decompositions https://t.co/vSKN06Pabe #rstats #DataScience</t>
  </si>
  <si>
    <t>RT @irenekoren: ear candy for italophiles “@salvag63: Inventarsi Parole. Omaggio a Umberto Eco #rstats #dataAnalysis #bigData https://t.co/…</t>
  </si>
  <si>
    <t>jcarlos</t>
  </si>
  <si>
    <t>RT @Rbloggers: Analysis of Xbox Usage Trends with R: Time Series Decompositions https://t.co/vSKN06Pabe #rstats #DataScience</t>
  </si>
  <si>
    <t>Dados, informação e conhecimento como suporte a tomada de decisão esclarecida sempre que possível.</t>
  </si>
  <si>
    <t>andrew dalby</t>
  </si>
  <si>
    <t>oxford uk</t>
  </si>
  <si>
    <t>An accidental statistician - who can spot lies and damn lies. I believe in Evidence Based Policy and Electoral Reform.RT is not endorsement it might be wtf!</t>
  </si>
  <si>
    <t>Kyle Hamilton</t>
  </si>
  <si>
    <t>Merced, CA</t>
  </si>
  <si>
    <t>PhD Student in Health Psychology @ucmerced #rstats</t>
  </si>
  <si>
    <t>david schmidt</t>
  </si>
  <si>
    <t>Academic Medicine / Hematology &amp; Crit Care / Translational Research / compassion</t>
  </si>
  <si>
    <t>PLOS Biology</t>
  </si>
  <si>
    <t>San Francisco/ Cambridge, UK</t>
  </si>
  <si>
    <t>PLOS Biology is an open-access, peer-reviewed general biology journal published by PLOS (http://t.co/FO8JQ3FkQW)</t>
  </si>
  <si>
    <t>Jay Blanco</t>
  </si>
  <si>
    <t>I science the data, play the games, love to code, and noob the GTD. Associate Research Scientist at EMC. My words are my own.</t>
  </si>
  <si>
    <t>Drew Cronin</t>
  </si>
  <si>
    <t>Post-doc, Primatologist, &amp; Conservationist working in Central Africa.</t>
  </si>
  <si>
    <t>Hugh Parsonage</t>
  </si>
  <si>
    <t>RT @ellis2013nz: All done with #rstats and Shiny https://t.co/kURFCiaRzH</t>
  </si>
  <si>
    <t>Associate at Grattan Institute.</t>
  </si>
  <si>
    <t>Marcos Colebrook</t>
  </si>
  <si>
    <t>Tenerife • Spain</t>
  </si>
  <si>
    <t>Universidad de La Laguna [https://t.co/HYUyWgmCpH] • #Analytics • #DataScience • #BigData • #Bioinformatics [https://t.co/mSLiw0fP62]</t>
  </si>
  <si>
    <t>Twitter Data Analysis and Topic Modeling in R: https://t.co/W6wqtRNYy3 #abdsc #Rstats #BigData #DataScience https://t.co/hIl5G7cn7H</t>
  </si>
  <si>
    <t>ATTN KIWIS! Maybe of interest to those working with climate data... could save a lot of time? https://t.co/aDRZ54GJBA #rstats</t>
  </si>
  <si>
    <t>Twitter Data Analysis and Topic Modeling in R: https://t.co/nXCvlpYeLz #abdsc #Rstats #BigData #DataScience … https://t.co/jUt8nTqDKR</t>
  </si>
  <si>
    <t>ahmed fouad farghaly</t>
  </si>
  <si>
    <t>RT @dataprix: Twitter Data Analysis and Topic Modeling in R: https://t.co/nXCvlpYeLz #abdsc #Rstats #BigData #DataScience … https://t.co/jU…</t>
  </si>
  <si>
    <t>الإسكندريه..كفر عبده</t>
  </si>
  <si>
    <t>ليسانس حقوق جامعه الاسكندريه...كنت لمده 7 سنوات رئيس جمعيه محافظه البحيره للثروه الحيوانيه..لي مزرعه في محافظه اسيوط ..ومزرعه كبيره في محافظه البحيره</t>
  </si>
  <si>
    <t>George Dontas</t>
  </si>
  <si>
    <t>Review of Machine Learning With R #rstats https://t.co/NcNCkloiWm via @TeachTheMachine</t>
  </si>
  <si>
    <t>Hellas</t>
  </si>
  <si>
    <t>Statistician, Scientific Programmer, Civil Engineer</t>
  </si>
  <si>
    <t>RT @datasciencefan: Twitter Data Analysis and Topic Modeling in R: https://t.co/W6wqtRNYy3 #abdsc #Rstats #BigData #DataScience https://t.c…</t>
  </si>
  <si>
    <t>Amparo HerreraDueñas</t>
  </si>
  <si>
    <t>Lund, Sverige</t>
  </si>
  <si>
    <t>Bióloga (ecofisiología de aves urbanas).Investigadora en formación / Biologist (Ecophisiology of urban birds) PhD student at Complutense University of Madrid</t>
  </si>
  <si>
    <t>Ecoinformática AEET</t>
  </si>
  <si>
    <t>Grupo de Trabajo sobre ECOINFORMÁTICA de la @_AEET_ #ecology #programming #statistics #DataScience #openscience</t>
  </si>
  <si>
    <t>Matthew1471</t>
  </si>
  <si>
    <t>Just wanted to check I wasn't missing the twitter action. The opinions expressed here are not those of my employer.</t>
  </si>
  <si>
    <t>Dr Matt Upson</t>
  </si>
  <si>
    <t>I wrote a blog post about light sensing with the #raspberrypi #iot #rstats #sensors https://t.co/P5Ar8PXvmE</t>
  </si>
  <si>
    <t>Data scientist working in education. Former soil/forest scientist, arborist, bushcraft instructor. #datablogger #Rstats #IoT #RaspberryPi ftw</t>
  </si>
  <si>
    <t>Johannes Hofrichter</t>
  </si>
  <si>
    <t>R-Box is now #SublimeText3 only, check out: https://t.co/LW3CaPAteT to fix "send code" functionality. #rstats</t>
  </si>
  <si>
    <t>Graz - Wien / Austria</t>
  </si>
  <si>
    <t>statistician - sole proprietor // solutions for better decisions</t>
  </si>
  <si>
    <t>Usman Bashir</t>
  </si>
  <si>
    <t xml:space="preserve">london, england </t>
  </si>
  <si>
    <t>An engineer</t>
  </si>
  <si>
    <t>Philippe Massicotte</t>
  </si>
  <si>
    <t>Future enhancement of the #rstats pkg for @Open_AQ? https://t.co/y3KCZaQ8hp Adding AQI algos from different countries. I gladly accept code!</t>
  </si>
  <si>
    <t>ValidR developed by us to deliver a validated version of R language https://t.co/rIO7SzqzvP #rstats #pkpd #pharma https://t.co/J2nonK9UHd</t>
  </si>
  <si>
    <t>Martin M</t>
  </si>
  <si>
    <t>R in Ecology @ https://t.co/eS34OnUjsj #RStats</t>
  </si>
  <si>
    <t>Data engineer. Fond of anything represented as strings of ones and zeros which can be analysed and visualized. I don't represent my past/present employers.</t>
  </si>
  <si>
    <t>Doug Ashton</t>
  </si>
  <si>
    <t>Introducing radarchart, a new htmlwidgets #rstats package on CRAN for @MangoTheCat. https://t.co/NHyyv54n5x https://t.co/f8wepwweOA</t>
  </si>
  <si>
    <t>Statistical physicist and now data scientist. Interested in anything with lots of interacting components.</t>
  </si>
  <si>
    <t>Rui Marcelino</t>
  </si>
  <si>
    <t>2 #Futsal teams facing 2 def strategies (conservative &amp; risky) #Rstats @UEFAFutsal https://t.co/Bu8Qncj35p https://t.co/TKsv2BoUMN</t>
  </si>
  <si>
    <t>CreativeLab (Portugal)</t>
  </si>
  <si>
    <t>Postdoctoral Researcher in Sports Sciences. Interested in performance and collective behavior of sport team players and firefighters.</t>
  </si>
  <si>
    <t>Entheogenic Research</t>
  </si>
  <si>
    <t>We advocate the interdisciplinary research of Entheogens covering all relevant fields from Neuroscience, to Neuropsychopharmacology to Anthropology.</t>
  </si>
  <si>
    <t>Sergey Sosnovsky</t>
  </si>
  <si>
    <t>Saarbrücken, Germany</t>
  </si>
  <si>
    <t>RcppEigen 0.3.2.8.0 https://t.co/gJsLUmrBYN #rstats #DataScience</t>
  </si>
  <si>
    <t>Jaime Sampaio</t>
  </si>
  <si>
    <t>RT @RuiMarcelino4: 2 #Futsal teams facing 2 def strategies (conservative &amp; risky) #Rstats @UEFAFutsal https://t.co/Bu8Qncj35p https://t.co/…</t>
  </si>
  <si>
    <t>Vila Real, Portugal</t>
  </si>
  <si>
    <t>CreativeLab - research on collective behavior and creativity in team sports.</t>
  </si>
  <si>
    <t>Andrés Parada </t>
  </si>
  <si>
    <t>Director @futsal_360 . Lcdo INEF-UPM N•col: 53071. Profe y deportista. Fútbol sala y fútbol. Autor del libro: https://t.co/TjsfxWOn9V</t>
  </si>
  <si>
    <t>taneem</t>
  </si>
  <si>
    <t>Just joined Amazon MTurk to lead Developer Experience. We are building an API to the world's human intelligence. RT != endorsement https://t.co/z901zcbGA3</t>
  </si>
  <si>
    <t>RT @Rbloggers: RcppEigen 0.3.2.8.0 https://t.co/gJsLUmrBYN #rstats #DataScience</t>
  </si>
  <si>
    <t>Pavan Mirla</t>
  </si>
  <si>
    <t>creator of ggplot @hadleywickham on data visualization. #rstats #dataviz https://t.co/2MrcefDjia</t>
  </si>
  <si>
    <t>Investment Analyst .#machinelearning #finance #datavisualization.Big fan of Richard Feynman, Mike Bostock. Proud ex- CPPIB, Cisco,Lucent</t>
  </si>
  <si>
    <t>Steph Locke</t>
  </si>
  <si>
    <t>#user2016's taking submissions &amp; has a funky submission form If you fancy California + #rstats in June, get on it! https://t.co/s87AAnPkq4</t>
  </si>
  <si>
    <t>Cardiff, UK</t>
  </si>
  <si>
    <t>By day, a (not very) mild-mannered data scientist @ @censornet. By night, a fiend for learning &amp; MVP: @SQLCardiff, @CardiffRUG, @SQLRelay_uk, @diffdotnet &amp; more</t>
  </si>
  <si>
    <t>Experience the Tower of London at our R conference reception! Get earlybird tickets https://t.co/iftCaJ6Ngs #rstats https://t.co/p7BVyBkkrl</t>
  </si>
  <si>
    <t>Cranfield U Library</t>
  </si>
  <si>
    <t>RT @m_a_upson: I wrote a blog post about light sensing with the #raspberrypi #iot #rstats #sensors https://t.co/P5Ar8PXvmE</t>
  </si>
  <si>
    <t>Cranfield University, UK</t>
  </si>
  <si>
    <t>Follow for the latest news from Cranfield University Library (Cranfield Campus). Feel free to ask us questions too. Clare, Emma, Sheila and Georgina say hello!</t>
  </si>
  <si>
    <t>RT @earlconf: Experience the Tower of London at our R conference reception! Get earlybird tickets https://t.co/iftCaJ6Ngs #rstats https://t…</t>
  </si>
  <si>
    <t>New CRAN package mlt.docreg with initial version 0.0-30 https://t.co/0QdYpl5sce #rstats</t>
  </si>
  <si>
    <t>New CRAN package powerplus with initial version 1.0 https://t.co/0QdYpl5sce #rstats</t>
  </si>
  <si>
    <t>New CRAN package survMisc with initial version 0.5.0 https://t.co/0QdYpl5sce #rstats</t>
  </si>
  <si>
    <t>CRAN updates: apcluster ctmm future gld reddPrec yuima https://t.co/y5W2NTKSXT #rstats</t>
  </si>
  <si>
    <t>Ian Sudbery</t>
  </si>
  <si>
    <t>Lecturer in bioinformatics, political junkie, geek.</t>
  </si>
  <si>
    <t>Dándo los últimos retoques a la versión 3.0 de BioStatFLOSS. Casi lista para su publicación #rstats #Pascal #Lazarus https://t.co/dYq8xUSd02</t>
  </si>
  <si>
    <t>Using Excel versus using R https://t.co/wRjSuayhdP via @rbloggers #rstats #R</t>
  </si>
  <si>
    <t>Open_AQ</t>
  </si>
  <si>
    <t>RT @ma_salmon: Future enhancement of the #rstats pkg for @Open_AQ? https://t.co/y3KCZaQ8hp Adding AQI algos from different countries. I gla…</t>
  </si>
  <si>
    <t>info@openaq.org</t>
  </si>
  <si>
    <t>We're making an open, real-time global air quality data hub because we think it'll let people do amazing things. And it's all open-source. Wanna help?</t>
  </si>
  <si>
    <t>Christa Hasenkopf</t>
  </si>
  <si>
    <t>I'm an atmospheric scientist. Science is my superhero, and the power of open, real-time air pollution data is my passion. I'm all about @Open_AQ.</t>
  </si>
  <si>
    <t>LC1824L</t>
  </si>
  <si>
    <t>Twidere for Android #3</t>
  </si>
  <si>
    <t>Check out a list of R events @mangothecat are hosting or exhibiting at https://t.co/BCFK1QYaTj #rstats https://t.co/Qzd7fNBOqH</t>
  </si>
  <si>
    <t>Jarrod Wade Brockman</t>
  </si>
  <si>
    <t>Statistics, Data Science, Travel, and Privacy</t>
  </si>
  <si>
    <t>RT @earlconf: Check out a list of R events @mangothecat are hosting or exhibiting at https://t.co/BCFK1QYaTj #rstats https://t.co/Qzd7fNBOqH</t>
  </si>
  <si>
    <t>Felix Haass</t>
  </si>
  <si>
    <t>I like how my #ggplot2 mistakes resemble modern art. Not that it would help my PhD, but still. #rstats https://t.co/ZKbsHJRgCk</t>
  </si>
  <si>
    <t>Hamburg</t>
  </si>
  <si>
    <t>PhD cand @GIGA_Institute &amp; U of Greifswald | diss. on foreign aid &amp; post-war pol. development | Data &amp; R | space, science &amp; sci-fi | @bretterblog | Views my own</t>
  </si>
  <si>
    <t>Arndt Leininger</t>
  </si>
  <si>
    <t>RT @felixhaass: I like how my #ggplot2 mistakes resemble modern art. Not that it would help my PhD, but still. #rstats https://t.co/ZKbsHJR…</t>
  </si>
  <si>
    <t>#PhD student @thehertieschool, founding member of @CorrelAid. interested in #DirectDemocracy, #ComparativePolitics, #ElectoralStudies, #QuantitativeMethods</t>
  </si>
  <si>
    <t>RT @MangoTheCat: Using Excel versus using R https://t.co/wRjSuayhdP via @rbloggers #rstats #R</t>
  </si>
  <si>
    <t>|A|</t>
  </si>
  <si>
    <t>aggsum&lt;-function(x){colnames(x)[1] &amp;lt;- "group_by_column" aggregate(values ~ group_by_column,x,sum} Not the best way, right? #Rstats</t>
  </si>
  <si>
    <t>(Basement Researcher, Abstract &amp; Minimal,Traveler)</t>
  </si>
  <si>
    <t>#DataScience #R #Rstats #tutorial #analytics #statistics #resources #BigData https://t.co/T4vPGl4XRJ</t>
  </si>
  <si>
    <t>RT @Juan_A_Lleo: #DataScience #R #Rstats #tutorial #analytics #statistics #resources #BigData https://t.co/T4vPGl4XRJ</t>
  </si>
  <si>
    <t>BaselR Meetup confirmed 13th April. https://t.co/gL7FWWK0hx Register at the MeetUp https://t.co/fp3w5ZHfhh #rstats https://t.co/tWCxHD775S</t>
  </si>
  <si>
    <t>Enrico Ferrero</t>
  </si>
  <si>
    <t>I find most #rstats vs #python comparisons boring, but this is a good one. https://t.co/DlHcISI4eT</t>
  </si>
  <si>
    <t>Stevenage, England</t>
  </si>
  <si>
    <t>Computational biologist and data scientist @GSK. #genomics, #bioinformatics and #rstats enthusiast. Views my own.</t>
  </si>
  <si>
    <t>manos.p</t>
  </si>
  <si>
    <t>New syntax proposed for R language | https://t.co/Ts2UkLFG3k #rstats</t>
  </si>
  <si>
    <t>Athens,GR</t>
  </si>
  <si>
    <t>Web (et al) Analytics @pamediakopes &amp; @trip_ru. Might also catch me RTing on cool #rstats stuff. Addict of music and #nowplaying, #nowlistening hashtags</t>
  </si>
  <si>
    <t>Michael Linden</t>
  </si>
  <si>
    <t>Studying strategic and innovation management at Lappeenranta University of Technology. Big fan of data analytics and technology in general.</t>
  </si>
  <si>
    <t>Philipp Ottolinger</t>
  </si>
  <si>
    <t>2 Addins for #ggplot2: @calli993's https://t.co/JtXrzKnELk and mine https://t.co/14lqTFDHnh #rstats</t>
  </si>
  <si>
    <t>Rostock, Deutschland</t>
  </si>
  <si>
    <t>Mainly #rstats</t>
  </si>
  <si>
    <t>RT @Sheffield_R_: Really inspiring @NBNTrust data brainstorm - this #rstats hack is gonna rock!</t>
  </si>
  <si>
    <t>Berlin R Users Group</t>
  </si>
  <si>
    <t>Don't forget to RSVP for our next #meetup on Feb 25 https://t.co/Re2CPMH2aq where @wolass talks about modeling in #rstats! #BerlinRUG</t>
  </si>
  <si>
    <t>Thijs Chr. van Son</t>
  </si>
  <si>
    <t>Wanna reproduce the analysis? All data and code available @github https://t.co/JoiwrO5Jj3 #rstats #opendata #oa https://t.co/LTKj6Ehpc9</t>
  </si>
  <si>
    <t>Norway</t>
  </si>
  <si>
    <t>Marine quantitative ecologist interested in conservation, spatial planning and modelling of the aquatic environment. Researcher at https://t.co/DgC9wLFKcu</t>
  </si>
  <si>
    <t>Wojciech Francuzik</t>
  </si>
  <si>
    <t>RT @BerlinRUG: Don't forget to RSVP for our next #meetup on Feb 25 https://t.co/Re2CPMH2aq where @wolass talks about modeling in #rstats! #…</t>
  </si>
  <si>
    <t>calli</t>
  </si>
  <si>
    <t>RT @0ttlngr: 2 Addins for #ggplot2: @calli993's https://t.co/JtXrzKnELk and mine https://t.co/14lqTFDHnh #rstats</t>
  </si>
  <si>
    <t>Frankfurt</t>
  </si>
  <si>
    <t>I'm what the hood made me.</t>
  </si>
  <si>
    <t>Fergus Wadsley</t>
  </si>
  <si>
    <t>Nottingham, UK</t>
  </si>
  <si>
    <t>Organising chaos/making you see things you didn't previously know. Data - #NFFC - ForestViz - Real ale - Schnauzers.</t>
  </si>
  <si>
    <t>Capital One Geek!</t>
  </si>
  <si>
    <t>Tweets on tech and digital topics from the geeks at Capital One UK. Check out http://t.co/YnDvI9nyWR to join us!</t>
  </si>
  <si>
    <t>Antoine Blanchard</t>
  </si>
  <si>
    <t>04/03 : présentation aux enseignants bordelais des ressources pédagogiques #rstats développées par le projet Begin'R https://t.co/rEwSLKmA2N</t>
  </si>
  <si>
    <t>Bordeaux</t>
  </si>
  <si>
    <t>Transfert et numérique @univbordeaux. Co-fondateur @deuxieme_labo et @cafe_sciences. Coordinateur @sciencehackday Bordeaux. — © P. Mulloy</t>
  </si>
  <si>
    <t>#rstats #rgl How would you like to visualize that model? https://t.co/AwNwJrZwkx</t>
  </si>
  <si>
    <t>Using Microsoft R Server to Operationalize your #Analytics Feb 25 10AM PST #RStats https://t.co/A8ZrTIRbzi</t>
  </si>
  <si>
    <t>Is deep learning a Markov chain in disguise? https://t.co/Q4aDrNGBTz #rstats</t>
  </si>
  <si>
    <t>Phoenix TUG</t>
  </si>
  <si>
    <t>RT @jenstirrup: Using Microsoft R Server to Operationalize your #Analytics Feb 25 10AM PST #RStats https://t.co/A8ZrTIRbzi</t>
  </si>
  <si>
    <t>Phoenix Tableau User Group</t>
  </si>
  <si>
    <t>Use ModSpace to manage complex statistical knowledge, data, documents, images etc https://t.co/qk1G2tXuVS #rstats https://t.co/L5NazQcjQH</t>
  </si>
  <si>
    <t>Edit your #ggplot2-Themes interactively with ggthemeR - Available on Github https://t.co/14lqTFDHnh #rstats #RStudio https://t.co/YeI0XRSiqr</t>
  </si>
  <si>
    <t>Jean Adams</t>
  </si>
  <si>
    <t>Recent advances in interactive visualizations in R, brief intro w code #rstats https://t.co/iEgiG89gml</t>
  </si>
  <si>
    <t>Antigo, WI   USA</t>
  </si>
  <si>
    <t>Statistician, working with Great Lakes Scientists</t>
  </si>
  <si>
    <t>Bobby Caudill</t>
  </si>
  <si>
    <t>RT @thijschr: Wanna reproduce the analysis? All data and code available @github https://t.co/JoiwrO5Jj3 #rstats #opendata #oa https://t.co/…</t>
  </si>
  <si>
    <t>Potomac Falls, Virginia</t>
  </si>
  <si>
    <t>Connecting business problems to the right technology for over 30 years – #Cloud #BigData #Analytics #Technology #Marketing - Opinions expressed here are my own.</t>
  </si>
  <si>
    <t>Rafael Motta</t>
  </si>
  <si>
    <t>tenso city</t>
  </si>
  <si>
    <t>tenso</t>
  </si>
  <si>
    <t>Roman Luštrik</t>
  </si>
  <si>
    <t>RT @0ttlngr: Edit your #ggplot2-Themes interactively with ggthemeR - Available on Github https://t.co/14lqTFDHnh #rstats #RStudio https://t…</t>
  </si>
  <si>
    <t>Sluvenija</t>
  </si>
  <si>
    <t>Veterinary technician, high school graduate, animal husbandry drop-out, bioloecologist, biostatistician in making. Mainly works as IT and data crunching chump.</t>
  </si>
  <si>
    <t>Mickael Temporão</t>
  </si>
  <si>
    <t>"Is deep learning a Markov chain in disguise?" https://t.co/Y03cFpKNS2 #rstats</t>
  </si>
  <si>
    <t>Ph.D. student @universiteLaval | Computational social science, political behaviour, predictive analytics, public opinion [#polisci, #rstats]</t>
  </si>
  <si>
    <t>Analysis of Xbox Usage Trends with R: Time Series Decompositions https://t.co/LdeHYvp2mZ #rstats</t>
  </si>
  <si>
    <t>New CRAN package benchmarkme with initial version 0.2.2 https://t.co/0QdYpl5sce #rstats</t>
  </si>
  <si>
    <t>CRAN updates: joint.Cox seqHMM https://t.co/y5W2NTKSXT #rstats</t>
  </si>
  <si>
    <t>Jean-François Cosson</t>
  </si>
  <si>
    <t>UMR BIPAR, Paris, France</t>
  </si>
  <si>
    <t>Ecology of infectious diseases; interested in wildlife-borne diseases, new molecular methods and publishing policy in science @INRA_Intl @gr_pathobiome</t>
  </si>
  <si>
    <t>Elin Waring</t>
  </si>
  <si>
    <t>Sociologist, book author, teacher, wannabe developer. Hopelessly bad at no.</t>
  </si>
  <si>
    <t>New Zealand Tourism Dashboard pushes Shiny to the max https://t.co/HMvqcM3aBV #rstats #DataScience</t>
  </si>
  <si>
    <t>PirateGrunt</t>
  </si>
  <si>
    <t>Future R programmer #rstats @GirlsWhoCode @msdsug https://t.co/VgKkQJHv1U</t>
  </si>
  <si>
    <t>RT @Rbloggers: New Zealand Tourism Dashboard pushes Shiny to the max https://t.co/HMvqcM3aBV #rstats #DataScience</t>
  </si>
  <si>
    <t>RT @Rbloggers: 100 “must read” R-bloggers’ posts for 2015 https://t.co/FmHhzMegg4 #rstats #DataScience</t>
  </si>
  <si>
    <t>Patrick Liyanage</t>
  </si>
  <si>
    <t>Epsom, England</t>
  </si>
  <si>
    <t>Love all things Microsoft, SharePoint Infrastructure, Design &amp; Support. Father, Classic car enthusiast.</t>
  </si>
  <si>
    <t>RcppEigen 0.3.2.8.0 https://t.co/gAnvBuUWl9 #rstats</t>
  </si>
  <si>
    <t>RT @MangoTheCat: BaselR Meetup confirmed 13th April. https://t.co/gL7FWWK0hx Register at the MeetUp https://t.co/fp3w5ZHfhh #rstats https:…</t>
  </si>
  <si>
    <t>RT @SteffLocke: #user2016's taking submissions &amp; has a funky submission form If you fancy California + #rstats in June, get on it! https://…</t>
  </si>
  <si>
    <t>Jose Ramón Cajide</t>
  </si>
  <si>
    <t>Digital &amp; Big Data Analyst at http://t.co/pSHCtNUvHA</t>
  </si>
  <si>
    <t>Peter Meissner</t>
  </si>
  <si>
    <t>RT @CRANberriesFeed: New CRAN package benchmarkme with initial version 0.2.2 https://t.co/0QdYpl5sce #rstats</t>
  </si>
  <si>
    <t>Konstanz, Baden-Württemberg</t>
  </si>
  <si>
    <t>Data over Matter! R-enthusiastic-dog-fellow. Full stack computational social scientist. Specialized in munching and crunching, web, text, and dirty data.</t>
  </si>
  <si>
    <t>Alfonso Crisci</t>
  </si>
  <si>
    <t>Firenze</t>
  </si>
  <si>
    <t>Cerca sempre quello che non sa di trovare.</t>
  </si>
  <si>
    <t>Oleg Prylypko</t>
  </si>
  <si>
    <t>Ales Maver</t>
  </si>
  <si>
    <t>Ljubljana, Slovenia</t>
  </si>
  <si>
    <t>Leading the Centre for Mendelian Genomics at UMCL hospital, Slovenia. Human disease genetics and big data are my primary interests.</t>
  </si>
  <si>
    <t>Still adding hive plot functionality to #ggraph. Facets are perfect for this #rstats #dataviz #ggplot2 @MKrzywinski https://t.co/RWyliekc9A</t>
  </si>
  <si>
    <t>Paul Segal</t>
  </si>
  <si>
    <t>Senior Analytics Consultant for Teradata, based in Southern California.</t>
  </si>
  <si>
    <t>@Gastove Ok. @JennyBryan I did not mean to minimize your suffering. I simply find it amazing that the #rstats community is so caring.</t>
  </si>
  <si>
    <t>Joseph Stachelek</t>
  </si>
  <si>
    <t>Coastal ecology, #Rstats, #python</t>
  </si>
  <si>
    <t>RT @thomasp85: Still adding hive plot functionality to #ggraph. Facets are perfect for this #rstats #dataviz #ggplot2 @MKrzywinski https://…</t>
  </si>
  <si>
    <t>Sophie Harries</t>
  </si>
  <si>
    <t>Nottingham, England</t>
  </si>
  <si>
    <t>Nationally famous disrupter</t>
  </si>
  <si>
    <t>Chris Beeley</t>
  </si>
  <si>
    <t>Slides from my #shiny talk last night at the inaugural #NottinghamR #rstats group https://t.co/cdUVHgkkvd Click to the end for the code</t>
  </si>
  <si>
    <t>All things statistical and open source in the NHS</t>
  </si>
  <si>
    <t>Champ Pairach</t>
  </si>
  <si>
    <t>Chiang Mai, Thailand</t>
  </si>
  <si>
    <t>R, Supply Chain, MICE</t>
  </si>
  <si>
    <t>jebyrnes</t>
  </si>
  <si>
    <t>Folk doing #rstats raster extraction - can you get sensible NAs when combining marine &amp; terrestrial layers? https://t.co/4zhT96nzyW</t>
  </si>
  <si>
    <t>marine ecologist, online bon vivant, science crowdfunding curious - http://t.co/p1IaXldzYR | http://t.co/NX1jY0Kj4a | http://t.co/sz9AlRvCQr</t>
  </si>
  <si>
    <t>fqz</t>
  </si>
  <si>
    <t>データをビジネスに生かすお仕事を2013年から行っています。まだまだ知らないことが多いので広く浅く勉強中です。/ 音楽 / 囲碁 / 映画 / アニメ / フットサル / 福岡</t>
  </si>
  <si>
    <t>Myfanwy</t>
  </si>
  <si>
    <t>Expect hilarious R code.</t>
  </si>
  <si>
    <t>Christopher Tufts</t>
  </si>
  <si>
    <t>importing shape files into #rstats from url/zip can be difficult, great post about how to do it https://t.co/LvfU9fug7D by @zevross</t>
  </si>
  <si>
    <t>Engineer with a focus on all things data | sometimes I tweet @ MMA</t>
  </si>
  <si>
    <t>Model Overfitting - Some basics (w/ #gganimate) by @md_harris https://t.co/UOFcNe26ul #overfitting #rstats #dataviz https://t.co/C1zGMRge5G</t>
  </si>
  <si>
    <t>RT @dataandme: Model Overfitting - Some basics (w/ #gganimate) by @md_harris https://t.co/UOFcNe26ul #overfitting #rstats #dataviz https://…</t>
  </si>
  <si>
    <t>Vakul More</t>
  </si>
  <si>
    <t>Using R w/#SQLServer 2016 https://t.co/DCypu3AG4c #rstats https://t.co/Pu643xPHUF</t>
  </si>
  <si>
    <t>Working on http://t.co/nrf8yMb3 &amp; SharePoint...like blogging.Love learning new technologies and sharing. Aspire to be a successful Entrepreneur and Leader.</t>
  </si>
  <si>
    <t>Chris Madan</t>
  </si>
  <si>
    <t>Boston [YEG-HAM-BOS]</t>
  </si>
  <si>
    <t>Postdoc at @BostonCollege. Studying motivated memory-influence of reward, emotion, and motor processes on memory and decisions. Use behav, fMRI, modeling</t>
  </si>
  <si>
    <t>/me is slightly envious of @jayjacobs's new skill in crafting #rstats statistical charts using his seekrit theme_tolkien package.</t>
  </si>
  <si>
    <t>Tyler Rinker</t>
  </si>
  <si>
    <t>tweets of ggtree https://t.co/4DsdGMzODH #rstats</t>
  </si>
  <si>
    <t>Buffalo, NY</t>
  </si>
  <si>
    <t>I’m a husband and father of 2 girls. I’m a data scientist @ CampusLabs, R enthusiast, data viz geek, and NLP buff.</t>
  </si>
  <si>
    <t>Raj Ghosh</t>
  </si>
  <si>
    <t>Genetics. Currently @clingenresource @bcmhouston. Former nematode biologist. Budding gardner.</t>
  </si>
  <si>
    <t>RT @jebyrnes: Folk doing #rstats raster extraction - can you get sensible NAs when combining marine &amp; terrestrial layers? https://t.co/4zhT…</t>
  </si>
  <si>
    <t>Early Bird #EARL2016 #London R Conference tickets now on sale https://t.co/dBlZeoV3P9 #rstats #analytics https://t.co/jmNzIzmQlk</t>
  </si>
  <si>
    <t>Lucas H. de Almeida</t>
  </si>
  <si>
    <t>R in Ecology! Nice article #rstats https://t.co/fqYN3hthYu via @dominodatalab</t>
  </si>
  <si>
    <t>Curitiba, BR and Waterloo, CAN</t>
  </si>
  <si>
    <t>Software developer, data scientist wannabe, and Jiu Jitsu lover!</t>
  </si>
  <si>
    <t>Monica Widmann</t>
  </si>
  <si>
    <t>Political Science PhD Student at UW-Madison. Interested in IOs and IPE. RTs aren't endorsements.</t>
  </si>
  <si>
    <t>ValidR developed by us to deliver a validated version of R language https://t.co/76AtvjQnUB #rstats https://t.co/jJHBRP9OOS</t>
  </si>
  <si>
    <t>RKWard Team</t>
  </si>
  <si>
    <t>Cross-platform extensible GUI &amp; IDE for R</t>
  </si>
  <si>
    <t>Want to speak at #EARL2016 #rstats #R Conference in #London? Call for Abstracts https://t.co/FpUDaN7Vpu https://t.co/xPFh5LYVBi</t>
  </si>
  <si>
    <t>London App</t>
  </si>
  <si>
    <t>RT @earlconf: Want to speak at #EARL2016 #rstats #R Conference in #London? Call for Abstracts https://t.co/FpUDaN7Vpu https://t.co/xPFh5LY…</t>
  </si>
  <si>
    <t>London App - The Ultimate Guide</t>
  </si>
  <si>
    <t>The Alternative London Tourist Guide. Coming soon.</t>
  </si>
  <si>
    <t>Angela Bassa</t>
  </si>
  <si>
    <t>#Mathematician from @MIT leading #DataScience @EnerNOC &amp; #Tech advisor to @Mirah_inc; changing the world. Professional nerd by day, amateur nerd by night.</t>
  </si>
  <si>
    <t>Luca Parlamento</t>
  </si>
  <si>
    <t>Quant trader / Machine 'learner' / PhD candidate @UNSW https://t.co/G12XIoMP2Y (invite only)</t>
  </si>
  <si>
    <t>RT @vakulkumarmore: Using R w/#SQLServer 2016 https://t.co/DCypu3AG4c #rstats https://t.co/Pu643xPHUF</t>
  </si>
  <si>
    <t>Ryan Stanley</t>
  </si>
  <si>
    <t>New computer installation list: #rstats #rstudio #Github #Notepad++, everything else.. In that order.</t>
  </si>
  <si>
    <t>Halifax, Nova Scotia</t>
  </si>
  <si>
    <t>Postdoc with the Canadian Healthy Oceans Network &amp; Bedford Institute of Oceanography. PEI is Home : @stfxuniversity @MemorialU alumn</t>
  </si>
  <si>
    <t>IDN=central resource for data viz expertise. Provides e.g. a Professional account @ Shinyapps.io. Respect! #rstats https://t.co/MaSVUyYGmZ</t>
  </si>
  <si>
    <t>RT @MangoTheCat: ValidR developed by us to deliver a validated version of R language https://t.co/76AtvjQnUB #rstats https://t.co/jJHBRP9O…</t>
  </si>
  <si>
    <t>#iLoveLondon</t>
  </si>
  <si>
    <t>RoundTeamRT</t>
  </si>
  <si>
    <t>I Love London. Part of the I Love™ Twitter Network. We RT across the London and UK Network. Use #iLoveLondon &amp; #London for re-tweets. Managed by @Promotology™</t>
  </si>
  <si>
    <t>RT @TrestleJeff: Finally! We can receive emails in #rstats https://t.co/JdomJlAXl1</t>
  </si>
  <si>
    <t>Sharon Machlis</t>
  </si>
  <si>
    <t>Before I head down a rabbit hole, anyone know if you can use the Leaflet.js address search plug-in with RStudio's Leaflet pkg? #rstats #gis</t>
  </si>
  <si>
    <t>Executive editor, online &amp; data analytics at Computerworld tweeting about tech news &amp; trends #dataviz #rstats #gis #data #security #ddj</t>
  </si>
  <si>
    <t>Laura Molloy</t>
  </si>
  <si>
    <t>RT @ttso: IDN=central resource for data viz expertise. Provides e.g. a Professional account @ Shinyapps.io. Respect! #rstats https://t.co/M…</t>
  </si>
  <si>
    <t>DPhil aspirant @OIIOxford; affiliate researcher @HATII_Glasgow; research data management, digital preservation, curation, creative arts archiving practice. Etc.</t>
  </si>
  <si>
    <t>data.frame(), data_frame(), "local data frames"... did I explain this correctly? https://t.co/8iPD6EG7KJ #rstats @hadleywickham @JennyBryan</t>
  </si>
  <si>
    <t>Devin Judge-Lord</t>
  </si>
  <si>
    <t>on a bike, train, or picnic</t>
  </si>
  <si>
    <t>phd student @uwpolisci. @YaleFES and @Reed_College_ alum. ★ = reading list. PGP: 2B17BD96</t>
  </si>
  <si>
    <t>Brandon Knight</t>
  </si>
  <si>
    <t>Jack talking about better integration between #rstats/#python stats and Esri platform and I just threw my first in the air. #fedgis</t>
  </si>
  <si>
    <t>maps // open data //public health // built environment // @maptimeDC // @mappingDC</t>
  </si>
  <si>
    <t>Is this how #rstats #lazyeval should look like? https://t.co/KNUlpgyKUQ</t>
  </si>
  <si>
    <t>Lyn Dunagan</t>
  </si>
  <si>
    <t>RT @justmarkham: data.frame(), data_frame(), "local data frames"... did I explain this correctly? https://t.co/8iPD6EG7KJ #rstats @hadleywi…</t>
  </si>
  <si>
    <t>East Bay, California</t>
  </si>
  <si>
    <t>I do a bit of this and a bit of that</t>
  </si>
  <si>
    <t>Scheithauer</t>
  </si>
  <si>
    <t>Data Visualization Cheat Sheets from @rstudio https://t.co/cnnTcTFTBX #datascience #rstats https://t.co/6LJZRKg2d0</t>
  </si>
  <si>
    <t>Dr. Gregor Scheithauer - Business Process Management (BPM) and Data Science Enthusiast - Manager/ Head of Process Analytics - Corporate Strategy @ Capgemini</t>
  </si>
  <si>
    <t>RT @gscheithauer: Data Visualization Cheat Sheets from @rstudio https://t.co/cnnTcTFTBX #datascience #rstats https://t.co/6LJZRKg2d0</t>
  </si>
  <si>
    <t>John Rauser</t>
  </si>
  <si>
    <t>I make complicated things simple.</t>
  </si>
  <si>
    <t>Zanion</t>
  </si>
  <si>
    <t>The Verse</t>
  </si>
  <si>
    <t>Quality Analysis Software Engineer at 3D Systems. When I'm not writing code, I build and then break 3D printers.</t>
  </si>
  <si>
    <t>Announcement! Early Bird R Conference tickets now on Sale! https://t.co/iftCaIPbRS #rstats #R https://t.co/Nsnp1FS0Wx</t>
  </si>
  <si>
    <t>Nick Record</t>
  </si>
  <si>
    <t>Oceanographer, ecologist, computer scientist, space helmet wearer. Nobody approves these messages.</t>
  </si>
  <si>
    <t>ggThemeR-Addin now covers additional themes and labels: https://t.co/14lqTFDHnh #ggplot2 #rstats #RStudio https://t.co/AFMFB9dvCK</t>
  </si>
  <si>
    <t>xристиан Саарлэндер</t>
  </si>
  <si>
    <t xml:space="preserve"> Симферополь</t>
  </si>
  <si>
    <t>Texter @NewsFrontDE</t>
  </si>
  <si>
    <t>Dubamochi</t>
  </si>
  <si>
    <t>その時その時で影響を受けたものによってアカウント名が変わるタイプの餅ですが、言及される際のハンドルネームは「ぼたもち」でお願いします</t>
  </si>
  <si>
    <t>Milos Miljkovic</t>
  </si>
  <si>
    <t>Fine tuned R is like a Porsche! Intel’s Clear Linux blows other distros outta water. https://t.co/mzDLQoGGxJ #rstats https://t.co/bFhEHM5otk</t>
  </si>
  <si>
    <t>I play with infrared, laser, and ion beams. Advanced chemometrics for life sciences and hyperspectral imaging data analysis using Python, R, and MATLAB.</t>
  </si>
  <si>
    <t>Tayler Blake</t>
  </si>
  <si>
    <t>Oh sh&amp;%, is this thing on?</t>
  </si>
  <si>
    <t>James Eddy</t>
  </si>
  <si>
    <t>Systems biologist, dog lover, climber, music fan, beer nerd</t>
  </si>
  <si>
    <t>Been noticing some great #rstats Shiny apps recently - a couple good ones are in the tweets that follow:</t>
  </si>
  <si>
    <t>Roisin Stanbrook</t>
  </si>
  <si>
    <t>A PhD candidate @ManMetUni with a great fondness of dung beetles</t>
  </si>
  <si>
    <t>ubdaemon</t>
  </si>
  <si>
    <t>@ma_salmon What's #rstats? An alias of R?</t>
  </si>
  <si>
    <t>Ulaanbaatar, Mongolia</t>
  </si>
  <si>
    <t>/etc/init.d/ulaanbaatard status</t>
  </si>
  <si>
    <t>This #rstats Shiny app by @ellis2013nz integrates custom templates, dygraphs, and ggvis really well - check it out! https://t.co/8Bvb1oZcJn</t>
  </si>
  <si>
    <t>Nikolay Dudaev</t>
  </si>
  <si>
    <t>Krakow, Poland</t>
  </si>
  <si>
    <t>Proud father of 3 kids, Consultant in IT Company, #python #c #linux #machinelearning #r #octave</t>
  </si>
  <si>
    <t>Edwin de Jonge</t>
  </si>
  <si>
    <t>The Nederlands</t>
  </si>
  <si>
    <t>Data afficionado, data scientist, datavis, R, python, d3, javascript, machine learning</t>
  </si>
  <si>
    <t>This #rstats Shiny app has ggplot2 charts &amp; interactive tables triggered by @LeafletJS events for malaria in Myanmar https://t.co/6cgsyCsNGe</t>
  </si>
  <si>
    <t>thanks @JennyBryan for the #rstats googlesheets pkg. Took only 4 lines of code to read in data! https://t.co/5gcJTYogXd</t>
  </si>
  <si>
    <t>Data analyst who likes R, #Rstats and uses Spotfire. Messing around with #MachineLearning. More importantly: a Dad. Also investor and enjoyer of craft beer</t>
  </si>
  <si>
    <t>Darren Dahly</t>
  </si>
  <si>
    <t>RT @USGS_R: thanks @JennyBryan for the #rstats googlesheets pkg. Took only 4 lines of code to read in data! https://t.co/5gcJTYogXd</t>
  </si>
  <si>
    <t>Cork, Ireland</t>
  </si>
  <si>
    <t>Darren L Dahly PhD. Principal Statistician and Senior Lecturer at the Clinical Research Facility - Cork. @UCC @DEPHUCC Views my own. RTs not endorsements</t>
  </si>
  <si>
    <t>Sean Davis</t>
  </si>
  <si>
    <t>Looking forward webinar to @winston_chang from @rstudio on “Interactactive graphics with #rstats Shiny”—starting now.</t>
  </si>
  <si>
    <t>Bethesda, MD</t>
  </si>
  <si>
    <t>Bioinformatics and cancer researcher, pediatric oncologist, Bioconductor developer, views my own</t>
  </si>
  <si>
    <t>@rstudio webinar for using interactive graphics in #rstats #Shiny given by @winston_chang is starting now!</t>
  </si>
  <si>
    <t>RT @seandavis12: Looking forward webinar to @winston_chang from @rstudio on “Interactactive graphics with #rstats Shiny”—starting now.</t>
  </si>
  <si>
    <t>And link to @rstudio webinar code and slides: https://t.co/XePaZe5PGi #rstats</t>
  </si>
  <si>
    <t>New CRAN package CONDOP with initial version 1.0 https://t.co/0QdYpl5sce #rstats</t>
  </si>
  <si>
    <t>New CRAN package inpdfr with initial version 0.1.1 https://t.co/0QdYpl5sce #rstats</t>
  </si>
  <si>
    <t>CRAN updates: cp4p FactoMineR fitbitScraper HandTill2001 iClick mirtCAT mma pvrank rstpm2 https://t.co/y5W2NTKSXT #rstats</t>
  </si>
  <si>
    <t>MissMolaMola</t>
  </si>
  <si>
    <t>Loves Molas, evidence-based reasoning, invertebrates &amp; cats. Considering grad school to supplement her BS in Marine Science. Any suggestions warmly welcomed.</t>
  </si>
  <si>
    <t>RT @kyle_e_walker: This #rstats Shiny app has ggplot2 charts &amp; interactive tables triggered by @LeafletJS events for malaria in Myanmar htt…</t>
  </si>
  <si>
    <t>RT @LucasHauptmann: R in Ecology! Nice article #rstats https://t.co/fqYN3hthYu via @dominodatalab</t>
  </si>
  <si>
    <t>WinVector LLC</t>
  </si>
  <si>
    <t>More Shiny user showcase demonstrations https://t.co/YUuKoERttv #datascience #analytics #rlang #rstats #r https://t.co/STMJbDuMq0</t>
  </si>
  <si>
    <t>Data Science consulting by John Mount and Nina Zumel. Check out our data science book https://t.co/aWnW4SHisP and blog https://t.co/aPPH3GpCsM</t>
  </si>
  <si>
    <t>RT @WinVectorLLC: More Shiny user showcase demonstrations https://t.co/YUuKoERttv #datascience #analytics #rlang #rstats #r https://t.co/ST…</t>
  </si>
  <si>
    <t>@RallidaeRule Nice post on #rstats in Eco! Do you know about https://t.co/esbw2Ni3rJ? Relatively friendly (as listservs go).</t>
  </si>
  <si>
    <t>Cool shiny trick with plots: plotOutput(…, click=“plot_click”) to get click location on shiny plot. @rstudio #rstats</t>
  </si>
  <si>
    <t>And then use nearPoints() to get the nearest point(s) from current shiny plot. @rstudio #rstats</t>
  </si>
  <si>
    <t>Eli Roberson</t>
  </si>
  <si>
    <t>RT @seandavis12: Cool shiny trick with plots: plotOutput(…, click=“plot_click”) to get click location on shiny plot. @rstudio #rstats</t>
  </si>
  <si>
    <t>Human geneticist with just enough stats and server to make me very dangerous with data. All views are my own. RT != endorsement. Research is #NonStop</t>
  </si>
  <si>
    <t>How to get started pulling automated daily data from the Google Search Console with R #measure #rstats #moredataSAN https://t.co/q2eVm3t0ql</t>
  </si>
  <si>
    <t>Adding a point to a shiny plot @rstudio #rstats https://t.co/tnK68gbixt</t>
  </si>
  <si>
    <t>And other potential interactions with shiny plots: @rstudio #rstats https://t.co/4gsQThYgsM</t>
  </si>
  <si>
    <t>Jim Grange</t>
  </si>
  <si>
    <t>What's the equivalent of X &lt;- c(1, 0) in RCPP if I've already declared x as a NumericVector? #rstats</t>
  </si>
  <si>
    <t>Keele &amp; Bangor, UK.</t>
  </si>
  <si>
    <t>Experimental cognitive psychologist and university lecturer. Views my own</t>
  </si>
  <si>
    <t>I don't personally know the victim of the recent #rstats harassment, but I admire and respect her and her work immensely. It's shaken me.</t>
  </si>
  <si>
    <t>brushing and brushedPoints() in @rstudio shiny #rstats app. https://t.co/XudipHpbJY</t>
  </si>
  <si>
    <t>Linked brushing using shiny: @rstudio #rstats https://t.co/0zHsMJHvHM</t>
  </si>
  <si>
    <t>And linked zooming example for shiny @rstudio #rstats https://t.co/O9n1ZCttgV</t>
  </si>
  <si>
    <t>Recho</t>
  </si>
  <si>
    <t>Delhi Zoo</t>
  </si>
  <si>
    <t>A bot, perhaps.</t>
  </si>
  <si>
    <t>Naupaka Zimmerman</t>
  </si>
  <si>
    <t>Cool new features in #rstats Shiny (as of v0.13.0, released about a month ago) https://t.co/vcPyi9OcuE</t>
  </si>
  <si>
    <t>Postdoc @UofA. Microbial ecology, biogeochemistry, micro-mycology. Aspirant boffin, epicure, geek. Also moonlight at @INNGEcologist</t>
  </si>
  <si>
    <t>RT @andyteucher: I don't personally know the victim of the recent #rstats harassment, but I admire and respect her and her work immensely. …</t>
  </si>
  <si>
    <t>Robin Lovelace</t>
  </si>
  <si>
    <t>If you use #rstats, how fast is your setup? Find out with this awesome new package: https://t.co/kFai1hqNh5 https://t.co/cMliUIAVtg</t>
  </si>
  <si>
    <t>Environmental geographer into maps, bikes and energy.</t>
  </si>
  <si>
    <t>.@rstudio so are Shiny gadgets the new incarnation of ggvis? or a separate thing? #rstats</t>
  </si>
  <si>
    <t>E. Ariño de la Rubia</t>
  </si>
  <si>
    <t>husband, father, feminist, data scientist, student in negotiation, conflict resolution and peacebuilding. dual citizenship #blacklivesmatter</t>
  </si>
  <si>
    <t>Johannes Becker</t>
  </si>
  <si>
    <t>Wrote an 'all kind of data things' pipeline in #rstats https://t.co/Q5oSj3RHDz @dataandme @treycausey @rasbt @StatsbyLopez @StatsInTheWild</t>
  </si>
  <si>
    <t>Germany, Munich</t>
  </si>
  <si>
    <t>There is sport, there is data, there is the question of how to combine those two.</t>
  </si>
  <si>
    <t>New feature in shiny—shiny gadgets for “local” use to allow interaction and then return results to #rstats. @rstudio https://t.co/lC5KqZ12Zl</t>
  </si>
  <si>
    <t>Raj Rohit</t>
  </si>
  <si>
    <t>TIL: Not every long-tailed distribution is a power law #rstats #DataScience</t>
  </si>
  <si>
    <t>Gurgaon, Haryana</t>
  </si>
  <si>
    <t>#DataScientist at @Kayako. A wannabe full stack data scientist (#hustler + #software + #growth + #datascience) Thrives on books. Aspiring #author</t>
  </si>
  <si>
    <t>RT @data__wizard: TIL: Not every long-tailed distribution is a power law #rstats #DataScience</t>
  </si>
  <si>
    <t>Domino Data Lab</t>
  </si>
  <si>
    <t>Enterprise Data Science Platform &amp;emsp;&amp;emsp; Host of @datapopup</t>
  </si>
  <si>
    <t>Anna Anisin</t>
  </si>
  <si>
    <t>SF Bay Area</t>
  </si>
  <si>
    <t>Growth Hacker @formulatedby Marketing @dominodatalab Entrepreneur, Geek in Heels @iwanthershoes Start-up Advisor, Liaison ➟ Named Tech Industry Insider by CNN</t>
  </si>
  <si>
    <t>Daniel Enthoven</t>
  </si>
  <si>
    <t>? is a shortcut for help(). ?? is a shortcut for help.search(). https://t.co/290B5xPTuC #rstats</t>
  </si>
  <si>
    <t>Maximilian Held</t>
  </si>
  <si>
    <t>or maybe, @Qmethod SHOULD be informed by the limitations of the stats it's using? #HDLSS #rstats #pca #paran https://t.co/ZtEiKPm2gQ</t>
  </si>
  <si>
    <t>Bremen, Germany</t>
  </si>
  <si>
    <t>PhD fellow BIGSSS @JacobsBremen, Germany: #DeliberativeDemocracy, #Tax, @civicon_de Citizen Conference, @qmethod, #OpenScience, #Rstats and wannabe #OSS hacker.</t>
  </si>
  <si>
    <t>Paul E Brewer</t>
  </si>
  <si>
    <t>RT @sidquan: #rstats finding that sometimes dplyr conflicts with other packages. when beset by illogical errors, try writing fx as dplyr::s…</t>
  </si>
  <si>
    <t>Colorado State U - Ft Collins</t>
  </si>
  <si>
    <t>Microbial ecologist and agricultural biogeochemist at Colorado State University - Making sense of the massive diversity and heterogeneity in soils</t>
  </si>
  <si>
    <t>@sidquan good suggestion! I've run into those hard to track errors from #rstats package conflicts too many times.</t>
  </si>
  <si>
    <t>Data Science Notes</t>
  </si>
  <si>
    <t>Check out our new post on data exploration techniques for #bigdata in #rstats https://t.co/wn0M0HBOwA</t>
  </si>
  <si>
    <t>Lenexa, KS</t>
  </si>
  <si>
    <t>Twitter account for the Data Science Notes Blog.</t>
  </si>
  <si>
    <t>Dianne Cook</t>
  </si>
  <si>
    <t>Really likes drawing pictures of data. Teaches/researches data mining, data technologies, EDA. Like data analysis competitions, and working with students.</t>
  </si>
  <si>
    <t>SITW</t>
  </si>
  <si>
    <t>RT @SportsTribution: Wrote an 'all kind of data things' pipeline in #rstats https://t.co/Q5oSj3RHDz @dataandme @treycausey @rasbt @StatsbyL…</t>
  </si>
  <si>
    <t>Professor. Statistician. Artist. http://t.co/gdry5hSlbr Kaggle Champion http://t.co/ZL9N4vyZK2 openWAR author http://t.co/0qNhiDw59p</t>
  </si>
  <si>
    <t>Danny Page</t>
  </si>
  <si>
    <t>Sports analytics, programming, data visualizations. Current focus on NWSL/MLS. - @dpage_ebooks is a replicant</t>
  </si>
  <si>
    <t>texreg (https://t.co/TVnYzXC2Fz) and stargazer (https://t.co/6xBU5VpBQu) for formatting regression tables in R #rstats</t>
  </si>
  <si>
    <t>RT @datasciencenote: Check out our new post on data exploration techniques for #bigdata in #rstats https://t.co/wn0M0HBOwA</t>
  </si>
  <si>
    <t>Doug Bates gives some info on using rCall to run mixed models in Julia from #rstats https://t.co/8DADktvOe1</t>
  </si>
  <si>
    <t>Dmytro Kryvokhyzha</t>
  </si>
  <si>
    <t>Avoid using bar graphs for continuous data https://t.co/UoqAQYwAvM #rstats</t>
  </si>
  <si>
    <t>Uppsala University, Sweden</t>
  </si>
  <si>
    <t>PhD student in Evolutionary Biology, interested in #speciation and #adaptation through #hybridization and #polyploidy</t>
  </si>
  <si>
    <t>I've added a half dozen new apps to the #Shiny Showcase, including these by @WinVectorLLC https://t.co/klQi3GWqlT #rstats</t>
  </si>
  <si>
    <t>Tom Krebs</t>
  </si>
  <si>
    <t>Sometimes I cover very interesting meetings. Sometimes, not so much. Either way, you get the lowdown!</t>
  </si>
  <si>
    <t>Useful packages (libraries) for Data Analysis in R: https://t.co/AbLMAynl8I #DataScience #Rstats by @ https://t.co/WeXOOWdlOQ</t>
  </si>
  <si>
    <t>RT @StatGarrett: I've added a half dozen new apps to the #Shiny Showcase, including these by @WinVectorLLC https://t.co/klQi3GWqlT #rstats</t>
  </si>
  <si>
    <t>JuliaStewart Lowndes</t>
  </si>
  <si>
    <t>Collaborative and communicable science with the Ocean Health Index and Humboldt squid. Currently at @nceas, formerly at @stanford/@hopkinsmarine</t>
  </si>
  <si>
    <t>Join us for our 9th community call Wed. March 2nd 9 am PST https://t.co/iGsF78G15w #rstats</t>
  </si>
  <si>
    <t>rOpenSci</t>
  </si>
  <si>
    <t>Join us for our 9th community call Wed. March 2nd 9 am PST https://t.co/o1MryUc4bT #rstats</t>
  </si>
  <si>
    <t>Berkeley &amp; Portland</t>
  </si>
  <si>
    <t>rOpenSci develops R-based tools to facilitate open science and access to open data. Tweets by @sckottie &amp; @_inundata</t>
  </si>
  <si>
    <t>Thanks everyone for your support. Much appreciated! Until proven we need to do otherwise, let's give the incident no more airtime. #rstats</t>
  </si>
  <si>
    <t>Tiernan Martin</t>
  </si>
  <si>
    <t>@rstudio lag undercut today's Shiny webinar =( Consider adding inspirational examples of interactivity in a data analysis workflow? #rstats</t>
  </si>
  <si>
    <t>speaking of google sheets, #rstats, and @JennyBryan ... https://t.co/vXRnXbQmiN</t>
  </si>
  <si>
    <t>Emilia Gan</t>
  </si>
  <si>
    <t>Just finished viewing the Shiny tutorials -- highly recommended! #shinyR #Rstats</t>
  </si>
  <si>
    <t>RT @USGS_R: speaking of google sheets, #rstats, and @JennyBryan ... https://t.co/vXRnXbQmiN</t>
  </si>
  <si>
    <t>Whalen Dillon</t>
  </si>
  <si>
    <t>In line with about 30-40 others for #PlinyTheYounger tix #stillworking #rstats #gradlife #beer https://t.co/X8iwtiLZ5A</t>
  </si>
  <si>
    <t>NCSU grad student, landscape ecologist, adventurer, brewer of (sometimes) extraordinary beverages , enjoyer of beer, food, &amp; forests</t>
  </si>
  <si>
    <t>Hoyt Emerson</t>
  </si>
  <si>
    <t>Kids and #rstats: My son's first calculator. https://t.co/YyaslQjQj5</t>
  </si>
  <si>
    <t>Data Analyst at @Pointmarc, R Programmer, Digital Marketer, Music Producer</t>
  </si>
  <si>
    <t>Benj.. Guinebertière</t>
  </si>
  <si>
    <t>Reporting Services 2016 : Mr et Mme R ont un fils… https://t.co/sbwctT2WW7 par @FranmerMS #rstats</t>
  </si>
  <si>
    <t>Benjamin Guinebertière, #Azure #cloud, #machinelearning and #BigData. Developer Experience (DX) division, #Microsoft #France. 3-4.fr</t>
  </si>
  <si>
    <t>See you at 11am ➟ Getting Started with Spatial Data Analysis in R Webinar w/ @Emaasit https://t.co/qBwB7ASEvu #rstats #datascience</t>
  </si>
  <si>
    <t>Boris Shor</t>
  </si>
  <si>
    <t>@JennyBryan Impossible to do this web site without your awesome #googlesheets package for #rstats https://t.co/e9hA0dAgKD</t>
  </si>
  <si>
    <t>Visiting Assistant professor, Department of Government, Georgetown University.</t>
  </si>
  <si>
    <t>RT @rOpenSci: Join us for our 9th community call Wed. March 2nd 9 am PST https://t.co/o1MryUc4bT #rstats</t>
  </si>
  <si>
    <t>@DirtBrew The conflicts() fx is also useful. it lists which functions conflict across the loaded packages. easier to diagnose errors #rstats</t>
  </si>
  <si>
    <t>New CRAN package GiRaF with initial version 1.0 https://t.co/0QdYpl5sce #rstats</t>
  </si>
  <si>
    <t>New CRAN package qualityTools with initial version 1.55 https://t.co/0QdYpl5sce #rstats</t>
  </si>
  <si>
    <t>CRAN updates: IntegratedJM https://t.co/y5W2NTKSXT #rstats</t>
  </si>
  <si>
    <t>RT @DominoDataLab: See you at 11am ➟ Getting Started with Spatial Data Analysis in R Webinar w/ @Emaasit https://t.co/qBwB7ASEvu #rstats #d…</t>
  </si>
  <si>
    <t>Graph 119 : learn how to add a legend on a #R #graphics! #rstats #dataviz #DataScience https://t.co/i78DM39mVv https://t.co/CAC1VpqgYa</t>
  </si>
  <si>
    <t>RT @sckottie: Join us for our 9th community call Wed. March 2nd 9 am PST https://t.co/iGsF78G15w #rstats</t>
  </si>
  <si>
    <t>Jacob Rozran</t>
  </si>
  <si>
    <t>I'd wouldn't even wish having to install "RGtk2" in R on OSX on my worst enemy... Spent all day and still having problems #rstats</t>
  </si>
  <si>
    <t>Just a guy trying to figure it all out, one tweet at a time...</t>
  </si>
  <si>
    <t>RT @JennyBryan: Thanks everyone for your support. Much appreciated! Until proven we need to do otherwise, let's give the incident no more a…</t>
  </si>
  <si>
    <t>RT @RLangTip: ? is a shortcut for help(). ?? is a shortcut for help.search(). https://t.co/290B5xPTuC #rstats</t>
  </si>
  <si>
    <t>RT @R_Graph_Gallery: Graph 119 : learn how to add a legend on a #R #graphics! #rstats #dataviz #DataScience https://t.co/i78DM39mVv https:…</t>
  </si>
  <si>
    <t>Robert King</t>
  </si>
  <si>
    <t>RT @CRANberriesFeed: CRAN updates: apcluster ctmm future gld reddPrec yuima https://t.co/y5W2NTKSXT #rstats</t>
  </si>
  <si>
    <t>New Zealand Tourism Dashboard pushes Shiny to the max https://t.co/Mp6qz2106e #rstats</t>
  </si>
  <si>
    <t>Luis A. Apiolaza</t>
  </si>
  <si>
    <t>"A Faster Scale Function" #rstats https://t.co/fkifAPYh6C</t>
  </si>
  <si>
    <t>Christchurch, New Zealand</t>
  </si>
  <si>
    <t>Wog, quantitative geneticist, forester &amp; pigeon whisperer, new Kiwi — Caveat lector: https://t.co/4sretiHx0d</t>
  </si>
  <si>
    <t>Adam Chekroud</t>
  </si>
  <si>
    <t>I found out the #apollo misson only had 145k lines of code, so I spent today refactoring mine from 2050 &gt; 750 #springcleaning #rstats #dplyr</t>
  </si>
  <si>
    <t>New Haven, CT</t>
  </si>
  <si>
    <t>Love: owls, lasagne, MUFC, brains, the Queen, electronic music, and gradient boosting. Hate: Luis Suarez</t>
  </si>
  <si>
    <t>Girls Who Code</t>
  </si>
  <si>
    <t>RT @FanninQED: Future R programmer #rstats @GirlsWhoCode @msdsug https://t.co/VgKkQJHv1U</t>
  </si>
  <si>
    <t>We are Girls Who Code &amp; together we are closing the gender gap in tech! Apply to our Summer Immersion Program &amp; join our movement! #BeAGirlWhoCodes</t>
  </si>
  <si>
    <t>sabin muzaffar</t>
  </si>
  <si>
    <t>Dubai</t>
  </si>
  <si>
    <t>@UN_Women Global Champion for Women Economic Empowerment Dreamer | Thinker | Activist | Writer</t>
  </si>
  <si>
    <t>Rise ofthe Geeklings</t>
  </si>
  <si>
    <t>We are parents who are joining in our kids' passions for all things geeky, nerdy, science, and books. FB: http://t.co/fa4HieWOcR</t>
  </si>
  <si>
    <t>Dave Radcliffe</t>
  </si>
  <si>
    <t>Why isn't row.names = F the default? #rstats</t>
  </si>
  <si>
    <t>St. Paul, MN</t>
  </si>
  <si>
    <t>I am an independent software developer and former college math instructor. Still trying to find the answers to life's persistent questions.</t>
  </si>
  <si>
    <t>Phil Ninh</t>
  </si>
  <si>
    <t>RT @journocode: Analysis of swiss #armsexports with #rstats and #ggplot @srfdata #ddj https://t.co/YzBUQrKv8p</t>
  </si>
  <si>
    <t>Visual Interaction Designer at Rheinische Post @rponline / Düsseldorf – Germany. Interested in #dataviz #ddj. @journocode -member @codefordus -Co-Organizer</t>
  </si>
  <si>
    <t>Leah Wasser</t>
  </si>
  <si>
    <t>#rstats help pls - trying to retroject this data https://t.co/6iugk9PPRy (lat long WGS84) into WGS84 Mercator in #rstats. it won’t project?</t>
  </si>
  <si>
    <t>Boulder, Colorado</t>
  </si>
  <si>
    <t>supervising scientist @NEONinc #remoteSensing, #ecology, #data, #openScience, #GIS, #lidar, #education, mountains,#rockClimbing, labradors, tweets r my own</t>
  </si>
  <si>
    <t>Christine Fermo</t>
  </si>
  <si>
    <t>Warning: May contain satire. Not for the type who tend to obsessively scrutinize celebrities.</t>
  </si>
  <si>
    <t>Tim Assal</t>
  </si>
  <si>
    <t>Spatial ecologist @USGS; research interests in forest &amp; ecosystem disturbance. Views are mine; not organizations I represent.</t>
  </si>
  <si>
    <t>Having lots of fun experimenting with animated population pyramids in #rstats ggplot2 using my idbr package https://t.co/rgXvGsvwnW</t>
  </si>
  <si>
    <t>Reproduce for yourselves or try out a different country with the code here (requires a Census API key): https://t.co/RrxtijNbMA #rstats</t>
  </si>
  <si>
    <t>Using saveGIF &amp; a for loop rather than gganimate as I can't quite get the latter to work w/population pyramids; suggestions welcome #rstats</t>
  </si>
  <si>
    <t>RT @kyle_e_walker: Having lots of fun experimenting with animated population pyramids in #rstats ggplot2 using my idbr package https://t.co…</t>
  </si>
  <si>
    <t>Census SDC Network</t>
  </si>
  <si>
    <t>Nationwide, USA</t>
  </si>
  <si>
    <t>Crunching the numbers in the 50 states &amp; US territories. Census State Data Centers extend guidance and access to #census data. (Not a Fed Gov twitter page.)</t>
  </si>
  <si>
    <t>David Pappano</t>
  </si>
  <si>
    <t>Just put up my data and code from paper submitted to IJP last month on @github #rstats #openscience PS- #packrat is awesome @rstudio</t>
  </si>
  <si>
    <t>Vanessa Tobias</t>
  </si>
  <si>
    <t>Revising figs in R. First lesson: setting cex and mfrow in the same par statement makes cex not work. #rstats</t>
  </si>
  <si>
    <t>#wetland ecologist, mud enthusiast, statistical analyst. PhD from @LSU, Postdoc @UCDavis http://t.co/LQH4rHhGiW</t>
  </si>
  <si>
    <t>I think gamlss package is my leading find for the year so far. Amazing flexibility #rstats</t>
  </si>
  <si>
    <t>Watching @Emaasit combine two of my favorite things, #rstats &amp; #GIS over at @DominoDataLab https://t.co/ZTtf2MLrtX</t>
  </si>
  <si>
    <t>RT @ErmiaBivatan: The equivalence of the ellipsis argument and an infinite set of closures #rstats https://t.co/Xq1PHH5KIG via @cartesianf…</t>
  </si>
  <si>
    <t>RT @pssGuy: #rstats Shiny app for Rpubs Select from authors (suggestions please) or enter own faves https://t.co/MdHbfful17 https://t.co/G…</t>
  </si>
  <si>
    <t>luis hernan graffe</t>
  </si>
  <si>
    <t>Caracas</t>
  </si>
  <si>
    <t>Microbiólogo, Profesor Universitario de la Universidad Central de Venezuela.</t>
  </si>
  <si>
    <t>Anshuman Srivastava</t>
  </si>
  <si>
    <t>THE DYNAMIC ARTS</t>
  </si>
  <si>
    <t>Union, WA</t>
  </si>
  <si>
    <t>The Dynamic Arts</t>
  </si>
  <si>
    <t>James Arlen</t>
  </si>
  <si>
    <t>Hamilton, Ontario, Canada</t>
  </si>
  <si>
    <t>Infosec Geek, Hacker, Social Activist, Author, Speaker, Parent.</t>
  </si>
  <si>
    <t>Nuovella Williams</t>
  </si>
  <si>
    <t>Wales (UK)</t>
  </si>
  <si>
    <t>I tweet about Mathematics, Statistics, Computing, Science and Inspiration.</t>
  </si>
  <si>
    <t>RT @Md_Harris: Watching @Emaasit combine two of my favorite things, #rstats &amp; #GIS over at @DominoDataLab https://t.co/ZTtf2MLrtX</t>
  </si>
  <si>
    <t>Good data visualizations are what give rigorous statistics some kind of mass appeal. #dataviz #rstats</t>
  </si>
  <si>
    <t>Juuso Parkkinen</t>
  </si>
  <si>
    <t>Espoo, Finland</t>
  </si>
  <si>
    <t>Data Scientist at @ReaktorNow, believes in all things open and data-driven. Tweets about #datascience, #rstats, #startups and #healthcare.</t>
  </si>
  <si>
    <t>Oregon Econ Analysis</t>
  </si>
  <si>
    <t>Salem, OR</t>
  </si>
  <si>
    <t>The Oregon Office of Economic Analysis provides forecasts of the state's economy, revenue, population, corrections population, and Youth Authority population.</t>
  </si>
  <si>
    <t>Caitlin Garrett</t>
  </si>
  <si>
    <t>Is there a way to see more than the first 42 columns when viewing a dataframe in @rstudio? @rstudiotips #rstats</t>
  </si>
  <si>
    <t>austin, tx</t>
  </si>
  <si>
    <t>data analysis / viz, predictive modeling, traveling, tacos, live music, and craft beer. data science @yodle</t>
  </si>
  <si>
    <t>In Shiny from @rstudio #rstats. https://t.co/15jGeIcW3N</t>
  </si>
  <si>
    <t>Vande Kerckhove Core</t>
  </si>
  <si>
    <t>RT @tmickael: "Is deep learning a Markov chain in disguise?" https://t.co/Y03cFpKNS2 #rstats</t>
  </si>
  <si>
    <t>Projected population structure of Japan to 2050 - check out the centenarians! #rstats @emayfarris https://t.co/sC9zfQjXl7</t>
  </si>
  <si>
    <t>Data from @uscensusbureau IDB; #rstats code here: https://t.co/QdsUd4melU; visualization inspired by @aronstrandberg</t>
  </si>
  <si>
    <t>Jasmine Dumas</t>
  </si>
  <si>
    <t>Does anyone know what version of Bootstrap, shiny is using now? #rstats</t>
  </si>
  <si>
    <t>Connecticut</t>
  </si>
  <si>
    <t>MS Student in Predictive Analytics @CDMDePaul • Co-Host of @Rtalkpodcast • Developer of @shiny_GEO | #datascience #rstats</t>
  </si>
  <si>
    <t>Corey Sparks</t>
  </si>
  <si>
    <t>An example from #DEM7903 #Longitudinal Models for Change using Generalized Estimating Equations #rstats @EdNCES https://t.co/w7QmwJ2NC2</t>
  </si>
  <si>
    <t>San Antonio, TX</t>
  </si>
  <si>
    <t>#Demography, #datascience, #statistics, #anthropology, #GIS, #Healthdisparities, proud papa, adoring husband @UTSA @policyutsa, and hey, I've got tenure!</t>
  </si>
  <si>
    <t>Visualizing the #Clinton Emails in R #rstats https://t.co/DKQ8EPZDvk</t>
  </si>
  <si>
    <t>RT @kdnuggets: Visualizing the #Clinton Emails in R #rstats https://t.co/DKQ8EPZDvk</t>
  </si>
  <si>
    <t>Thug Metrics News</t>
  </si>
  <si>
    <t>Gathering #data intelligence posts from Twitter and other channels to augment old media reporting with # media.</t>
  </si>
  <si>
    <t>In a print method, is there an argument for using cat() vs message() or vice versa? #rstats</t>
  </si>
  <si>
    <t>Emeka Azuka Okoye</t>
  </si>
  <si>
    <t>ÜT: 6.504795,3.360384</t>
  </si>
  <si>
    <t>Software Engineer, #SemanticWeb Architect, Tech Evangelist - #mAgric #mHealth #mCommerce #LinkedData #OpenData #mBanking #SemanticSEO @OpenDataNG @cymantiks</t>
  </si>
  <si>
    <t>Nuria Rico</t>
  </si>
  <si>
    <t>Profesora de Estadística y Subdirectora de la Oficina de Software Libre en la Universidad de Granada.</t>
  </si>
  <si>
    <t>Frederic G····S···</t>
  </si>
  <si>
    <t>Barcelona, Catalonia, Universe</t>
  </si>
  <si>
    <t>not the man you think:i am:not the droid you're looking for | Barcelona | Social:Media:Effects | new RL: Singularity:Transhumanism | physician:philologist</t>
  </si>
  <si>
    <t>David Lusseau</t>
  </si>
  <si>
    <t>Aberdeen, UK</t>
  </si>
  <si>
    <t>Scientist working on the margins of life, physical, and social sciences. // everything flows, nothing stands still // Conseiller Consulaire - get in touch!</t>
  </si>
  <si>
    <t>a nice short post on including .R scripts in RMD docs by @zevross #rstats #workwithdata</t>
  </si>
  <si>
    <t>Angelo Laino</t>
  </si>
  <si>
    <t>Come dire ... quasi un picaro</t>
  </si>
  <si>
    <t>Daniele</t>
  </si>
  <si>
    <t>Apulia-Verona</t>
  </si>
  <si>
    <t>Bioinfomatician lover/runner</t>
  </si>
  <si>
    <t>Tim Shea</t>
  </si>
  <si>
    <t>Venice, CA</t>
  </si>
  <si>
    <t>Dir Agency Partnerships @DataSift || Data Scientist || Political Junkie || Looks Great in Black || Predicts the Future** {p&gt;0.05}</t>
  </si>
  <si>
    <t>In my data management class, students are asked to bring in a "wild-caught" dataset to clean with dplyr, tidyr for an assignment #rstats</t>
  </si>
  <si>
    <t>Raúl Vaquerizo</t>
  </si>
  <si>
    <t>Está muy bien la nueva web de la Comunidad de R hispana https://t.co/AXxCQ2Wqk3 #rstats</t>
  </si>
  <si>
    <t>Transformando datos en decisiones.</t>
  </si>
  <si>
    <t>Noèlia</t>
  </si>
  <si>
    <t>PhD Mathematics - Data Scientist</t>
  </si>
  <si>
    <t>Marcelo Aragao</t>
  </si>
  <si>
    <t>I am engaged in problem solving and decision making, I am also pursuing self-learning about information, technology, economics, and the connections among them.</t>
  </si>
  <si>
    <t>RT @polesasunder: In my data management class, students are asked to bring in a "wild-caught" dataset to clean with dplyr, tidyr for an ass…</t>
  </si>
  <si>
    <t>Danilo Bzdok</t>
  </si>
  <si>
    <t>Reddit discussion on the relation between ML and CS https://t.co/5P5yEDd4Y1 #machinelearning #rstats</t>
  </si>
  <si>
    <t>Paris &amp; Aachen</t>
  </si>
  <si>
    <t>Neuroscience, Psychiatry &amp; Social Psychology, Machine-Learning Enthusiast. Music junky. TEDx talk: https://t.co/C9DUQp7ldD</t>
  </si>
  <si>
    <t>Luis Chamba-Eras</t>
  </si>
  <si>
    <t>Loja-Ecuador</t>
  </si>
  <si>
    <t>Professor in @utpl and @UIDE. Research for Proposed a Trust Model for Virtual Learning Communities (Doctoral Student in @upvehu)</t>
  </si>
  <si>
    <t>After writing #rstats to read, tidy, &amp; write data to a new .csv, students are randomly assigned to code review each other (as we speak!)</t>
  </si>
  <si>
    <t>New Zealand ministry uses R and Shiny for public tourism impact dashboard: https://t.co/fRygI2SbFA #rstats #OpenData</t>
  </si>
  <si>
    <t>Luis Terán</t>
  </si>
  <si>
    <t>Bern</t>
  </si>
  <si>
    <t>Assistant Doctor and Lecturer at the Information Systems Research Group. University of Fribourg. Switzerland. Professor at ESPE, Ecuador.</t>
  </si>
  <si>
    <t>RT @revodavid: New Zealand ministry uses R and Shiny for public tourism impact dashboard: https://t.co/fRygI2SbFA #rstats #OpenData</t>
  </si>
  <si>
    <t>Tea</t>
  </si>
  <si>
    <t>over the hill and far away</t>
  </si>
  <si>
    <t>この虚無と狂気に満ちた世界の中で生きていく心の痛みを和らげる為には、サイエンスするしかないんだ。科学によって目に見えない知の壁を押し広げていくしかないんだ。ただそれのみが、私を正気に保っている。それに気づいた。</t>
  </si>
  <si>
    <t>Yosel</t>
  </si>
  <si>
    <t>Here we go! #SentimentAnalysis #rstats</t>
  </si>
  <si>
    <t>@xieyihui or anyone else have answerr to this https://t.co/xW5JP4lwpZ #rstats #markdown</t>
  </si>
  <si>
    <t>Emily Darling</t>
  </si>
  <si>
    <t>WCS conservation scientist thinking about coral reefs, fisheries, climate change, big data, and how to tweet about it. Tweets my own.</t>
  </si>
  <si>
    <t>Help needed reviewing Ganglia GSoC changes https://t.co/tqYPeAFGNR #rstats #DataScience</t>
  </si>
  <si>
    <t>Ganglia welcomes Google Summer of Code students for 2014 https://t.co/TQNzAYa1th #rstats #DataScience</t>
  </si>
  <si>
    <t>Alex Bond</t>
  </si>
  <si>
    <t>@BioInFocus the new #rstats package: foldr! Streamline your laundRy workflow &amp; better manage #OtherPeoplesLaundry today!</t>
  </si>
  <si>
    <t>Bedfordshire</t>
  </si>
  <si>
    <t>Visitor of strange lands, connoisseur of fine teas, natural philosopher, LGBT, storyteller, Canuck. Not in that order. My own idle musings.</t>
  </si>
  <si>
    <t>Network w/i Clinton Email dump. Nice nodes! #toosoon https://t.co/RfIX6pgxRl #rstats #r https://t.co/ksdnu9HgMu</t>
  </si>
  <si>
    <t>Gary Stringer</t>
  </si>
  <si>
    <t>Exeter, UK</t>
  </si>
  <si>
    <t>Technical Manager and Digital Humanities Researcher, at the University of Exeter, UK</t>
  </si>
  <si>
    <t>TIL: facet_wrap(…, space=“free”) #Rstats</t>
  </si>
  <si>
    <t>Ian Hansel</t>
  </si>
  <si>
    <t>Data Scientist, Male model (of data)</t>
  </si>
  <si>
    <t>Sarah Catherine Paul</t>
  </si>
  <si>
    <t>RT @tomhouslay: Doug Bates gives some info on using rCall to run mixed models in Julia from #rstats https://t.co/8DADktvOe1</t>
  </si>
  <si>
    <t>Cornwall, UK</t>
  </si>
  <si>
    <t>Behavioural ecologist and blogger. Currently studying a PhD on maternal effects in ladybirds at UoE.</t>
  </si>
  <si>
    <t>RT @Rbloggers: Help needed reviewing Ganglia GSoC changes https://t.co/tqYPeAFGNR #rstats #DataScience</t>
  </si>
  <si>
    <t>Setting up the Twitter R package for text analytics https://t.co/hyT72j5D2q #rstats #DataScience</t>
  </si>
  <si>
    <t>RT @Rbloggers: Setting up the Twitter R package for text analytics https://t.co/hyT72j5D2q #rstats #DataScience</t>
  </si>
  <si>
    <t>kemal</t>
  </si>
  <si>
    <t>Software Developer, Java. Husband and father, son and daughter. Football, Besiktas JK. linkedin : http://t.co/V5cF5zVdF4</t>
  </si>
  <si>
    <t>Guillermo</t>
  </si>
  <si>
    <t>Santiago</t>
  </si>
  <si>
    <t>Liberal en $ y lo valórico. No comulgo con: teología de la liberación, el comunismo, el potato Francisco ni el catolicismo</t>
  </si>
  <si>
    <t>Multiple regression lines in ggpairs https://t.co/ecAnggODvs #rstats #DataScience</t>
  </si>
  <si>
    <t>Data analysis with ProjectTemplate in RStudio with Git https://t.co/VriCPuaT8t #rstats #DataScience</t>
  </si>
  <si>
    <t>RT @Rbloggers: Multiple regression lines in ggpairs https://t.co/ecAnggODvs #rstats #DataScience</t>
  </si>
  <si>
    <t>John D. Martin III</t>
  </si>
  <si>
    <t>Chapel Hill, NC</t>
  </si>
  <si>
    <t>PhD student @UNCSILS: user trust &amp; interface credibility at the intersection of language &amp; culture. PGP: 67BB C847 14E0 C31A 736A 5E08 C787 DF8D D41F A8D1</t>
  </si>
  <si>
    <t>RT @Rbloggers: Data analysis with ProjectTemplate in RStudio with Git https://t.co/VriCPuaT8t #rstats #DataScience</t>
  </si>
  <si>
    <t>David Bikard</t>
  </si>
  <si>
    <t>Microbiology, CRISPR and Synthetic Biology enthusiast. Head of lab at Institut Pasteur (@aiderpasteur). Founder and CSO @EligoBio</t>
  </si>
  <si>
    <t>Marie Susan Lee, CPA</t>
  </si>
  <si>
    <t>Greater New York Area</t>
  </si>
  <si>
    <t>Fraud data scientist advising on white collar crime cases and civil damages.</t>
  </si>
  <si>
    <t>Maarten Hermans</t>
  </si>
  <si>
    <t>#Rstats snippet: remade #Eurofound job strain graph, demonstrating #ggrepel for label adj. https://t.co/t8WtOgmQSW https://t.co/D4A8pfXlFg</t>
  </si>
  <si>
    <t>Sociologist &amp; researcher at @HIVA_KULeuven: labour relations, social stratification, data analysis &amp; open source/data.</t>
  </si>
  <si>
    <t>How to Pimp Your .Rprofile https://t.co/xopzVta7CH #rstats #DataScience</t>
  </si>
  <si>
    <t>Upgrade R on Windows with the installr Package https://t.co/lB7mApnb19 #rstats #DataScience</t>
  </si>
  <si>
    <t>Calculate Inflation with R https://t.co/cfS3Wd36GW #rstats #DataScience</t>
  </si>
  <si>
    <t>Interactive plotting with rbokeh https://t.co/1YlmA7Aequ #rstats</t>
  </si>
  <si>
    <t>sppitt</t>
  </si>
  <si>
    <t>CIO at Binghamton University in NY, supporter of highered &amp; edtech, social CIO, interested in The Cloud, infosec &amp; analytics, change agent, mom</t>
  </si>
  <si>
    <t>RT @Rbloggers: Calculate Inflation with R https://t.co/cfS3Wd36GW #rstats #DataScience</t>
  </si>
  <si>
    <t>RT @Rbloggers: How to Pimp Your .Rprofile https://t.co/xopzVta7CH #rstats #DataScience</t>
  </si>
  <si>
    <t>RT @Rbloggers: Upgrade R on Windows with the installr Package https://t.co/lB7mApnb19 #rstats #DataScience</t>
  </si>
  <si>
    <t>Antonio Sabogal</t>
  </si>
  <si>
    <t>Surya Narayan Dev</t>
  </si>
  <si>
    <t>Bangalore, India | London, UK</t>
  </si>
  <si>
    <t>#BigData #DeepLearning #MachineLearning #Boinformatics #Neurosciences @project42labs Wannabe marathoner.Occasional generic rants &amp; musings.</t>
  </si>
  <si>
    <t>My students' Interactive map NYC water complaints #opendata #rstats shiny app https://t.co/QIe26Gn9bJ .@IQuantNY https://t.co/cJG7DDFG8r</t>
  </si>
  <si>
    <t>Anja Pilz</t>
  </si>
  <si>
    <t>Köln, Nordrhein-Westfalen</t>
  </si>
  <si>
    <t>Natural Language Processing, Computational Linguistics, Machine Learning for #NLProc, #TextMining, #informationretrieval, Search.</t>
  </si>
  <si>
    <t>MineCastellanos</t>
  </si>
  <si>
    <t>Monterrey</t>
  </si>
  <si>
    <t>Reunión Shiny y Big Data Miercoles día 2 marzo, a las 20:00 @Bulebar_cafe : https://t.co/N4X59rnqy4 #rstats</t>
  </si>
  <si>
    <t>german marin robles</t>
  </si>
  <si>
    <t>Vitacura, Chile</t>
  </si>
  <si>
    <t>interested in #Data #BI #CRM #PredictiveModelling #FeatureExtraction #ComputationalIntelligence #MachineLearning #DataMining</t>
  </si>
  <si>
    <t>Libardo Lopez</t>
  </si>
  <si>
    <t>Bogotá, D.C., Colombia</t>
  </si>
  <si>
    <t>From data to knowledge. Professional interest in #DataScience #CX #UX #IoT #BigData #PrecisionMarketing #MarketingAnalytics #Strategy #CRISPDM #Arduino</t>
  </si>
  <si>
    <t>Usuarios R Almería</t>
  </si>
  <si>
    <t>Visualizando estaciones meteorológicas con ggmap+ggplot2 #DataScience #rstats https://t.co/oMqoWaLQbp</t>
  </si>
  <si>
    <t>Sherman Distin</t>
  </si>
  <si>
    <t>"Automate Your Oscars Pool with R" https://t.co/I526C9xV4B #datascience #data #rstats</t>
  </si>
  <si>
    <t>Digital Marketing &amp; Analytics Expert - The data made me do it! #DataScience #Travel #Retail #Ecommerce</t>
  </si>
  <si>
    <t>Raul Ortiz</t>
  </si>
  <si>
    <t>RT @_SevillaR: Reunión Shiny y Big Data Miercoles día 2 marzo, a las 20:00 @Bulebar_cafe : https://t.co/N4X59rnqy4 #rstats</t>
  </si>
  <si>
    <t>Spain (most of the time)</t>
  </si>
  <si>
    <t>Sólo soy un pequeño acrídido que intenta comprender el funcionamiento de su entorno.</t>
  </si>
  <si>
    <t>Derek Harding</t>
  </si>
  <si>
    <t>RT @ShermanDistin: "Automate Your Oscars Pool with R" https://t.co/I526C9xV4B #datascience #data #rstats</t>
  </si>
  <si>
    <t>Blountville, TN</t>
  </si>
  <si>
    <t>Master's student, data scientist in training, armchair theologian, Vol lovin', son, brother, friend, East Tennesseean, follower of Jesus.</t>
  </si>
  <si>
    <t>M.B. O'Neill</t>
  </si>
  <si>
    <t>Genetics Graduate Student at UW-Madison</t>
  </si>
  <si>
    <t>Morocco Data Science</t>
  </si>
  <si>
    <t>Rabat/Amsterdam</t>
  </si>
  <si>
    <t>Our mission is to educate, inspire, empower scholars and professionals to apply data sciences to address social and economic challenges.</t>
  </si>
  <si>
    <t>jesus leal trujillo</t>
  </si>
  <si>
    <t>Useful cheat sheet for #spatial analysis in #rstats #GIS #geography https://t.co/KIgiOeKpqK</t>
  </si>
  <si>
    <t>DC</t>
  </si>
  <si>
    <t>Public policy researcher, data science and analytic's aficionado. Brookings Metro Program.</t>
  </si>
  <si>
    <t>More Shiny user showcase demonstrations https://t.co/ea2y8AHfEU #rstats #DataScience</t>
  </si>
  <si>
    <t>Emily M. Farris</t>
  </si>
  <si>
    <t>RT @kyle_e_walker: Projected population structure of Japan to 2050 - check out the centenarians! #rstats @emayfarris https://t.co/sC9zfQjXl7</t>
  </si>
  <si>
    <t>Political Scientist. Interested in cities, racial and ethnic politics, sheriffs, surveys, teaching, and sometimes a little snark.</t>
  </si>
  <si>
    <t>Maryann Barakso, PhD</t>
  </si>
  <si>
    <t>Shouty in Cambridge, MA / RT=?</t>
  </si>
  <si>
    <t>#PoliSci Prof~#gender+#politics,#NGOs+#movements,#nonprofits,#governance+#methods. #MIT PhD. #Maine,#Paris, reading widely+channeling #AmyPoehler. Proud Mom!</t>
  </si>
  <si>
    <t>RT @Rbloggers: More Shiny user showcase demonstrations https://t.co/ea2y8AHfEU #rstats #DataScience</t>
  </si>
  <si>
    <t>Annie Pettit</t>
  </si>
  <si>
    <t>Left Field</t>
  </si>
  <si>
    <t>Nut | Surveys | Sampling | Data Quality | #BigData | #MRX | Speaker | Canadian Chair ISO/TC 225 | Huff Post blogger | I don't share dessert</t>
  </si>
  <si>
    <t>Christie Bahlai</t>
  </si>
  <si>
    <t>Lansing, MI</t>
  </si>
  <si>
    <t>Applied ecologist, @MozillaScience Fellow, #LTER scientist, #otherpeoplesdata wrangler, #openscience practitioner, bug counter, mom x2, intermittent crafter</t>
  </si>
  <si>
    <t>Twitter network analysis using R. #rstats #twitter #datamining https://t.co/Uool16Soru</t>
  </si>
  <si>
    <t>Performing ANOVA Test in R: Results and Interpretation. #rstats #statistics https://t.co/2knC3NZB5I</t>
  </si>
  <si>
    <t>Hunter Ratliff</t>
  </si>
  <si>
    <t>“@NAMIAustin: Machine learning to decode #depression. The science is fascinating! https://t.co/6Q9fvcoCKd” #rstats #healthIT</t>
  </si>
  <si>
    <t>Opinions my dog's; humans are far too irrational | #UTMB #rstats #OpenScience ~ Livin' the dream w/ narcolepsy ~</t>
  </si>
  <si>
    <t>Lihang Ying</t>
  </si>
  <si>
    <t>Analyzing Facebook Networks using #rstats: https://t.co/1j3wTJJmeD https://t.co/nwqHzvp30w</t>
  </si>
  <si>
    <t>Edmonton, Canada</t>
  </si>
  <si>
    <t>Passion of consistant&amp;systematic practice,continuous improvement &amp;execution with vision,strategy and realistic steps.Architecting on Open Data,Smart Bus,SAP Mob</t>
  </si>
  <si>
    <t>RT @vereseufert: Coolest #rstats discovery of the day: Wes Anderson colour palettes https://t.co/H3IIxAHnL6</t>
  </si>
  <si>
    <t>"Analysis of Xbox Usage Trends with R: #TimeSeries Decompositions" https://t.co/q5lduOue47 via @revodavid #rstats https://t.co/E9cNcF8EZU</t>
  </si>
  <si>
    <t>Dan MacLean</t>
  </si>
  <si>
    <t>Norwich, UK (may vary)</t>
  </si>
  <si>
    <t>Bioinformatics, genomics, evolution, plants, pathogens, open science, training, Head of Bioinformatics at The Sainsbury Lab and Reader in Comp Bio at UEA</t>
  </si>
  <si>
    <t>Kate Mills</t>
  </si>
  <si>
    <t>Developmental cognitive neuroscientist | Advocate for young people &amp; open science</t>
  </si>
  <si>
    <t>Making R Files Executable (under Windows). #rstats https://t.co/ydHKs2UKHy</t>
  </si>
  <si>
    <t>Jamie Hanson</t>
  </si>
  <si>
    <t>Duke University, Durham, NC</t>
  </si>
  <si>
    <t>Studying the Impact of Early Life #Stress, Interested in #Brain Development | #Psychology | #Neuroscience | NC Now, WI = Home | RT≠Endorsements</t>
  </si>
  <si>
    <t>Jonathan Peelle</t>
  </si>
  <si>
    <t>Saint Louis, USA</t>
  </si>
  <si>
    <t>Looking for meaningful (mostly auditory) things in the human brain. Excited about neuroscience, #openscience, and inclusiveness. Lab news: @peellelab</t>
  </si>
  <si>
    <t>A.T.</t>
  </si>
  <si>
    <t>Talkshows with &gt;2 guest don't work! Likes 2 program in gretl: https://t.co/35N3kTfvzI ; interested in economics &amp; politics</t>
  </si>
  <si>
    <t>6 Steps to call a C function in R. #rstats #C https://t.co/MtbogNRn9d</t>
  </si>
  <si>
    <t>Michael Lopez</t>
  </si>
  <si>
    <t>Fun #rstats NBA demo: NBA Expected Possession Value model, via @dcervone0 and the XY hoops group https://t.co/QHT4KREfcN</t>
  </si>
  <si>
    <t>Skidmore via Brown/UMass/Bates</t>
  </si>
  <si>
    <t>Statistics Professor. I love Set A, where A = {statistics, sports, causal inference, wife, daughters}. I teach all except A[4]</t>
  </si>
  <si>
    <t>Marco Lübbecke</t>
  </si>
  <si>
    <t>RT @danilobzdok: Reddit discussion on the relation between ML and CS https://t.co/5P5yEDd4Y1 #machinelearning #rstats</t>
  </si>
  <si>
    <t>Aachen</t>
  </si>
  <si>
    <t>professor of operations research @RWTH, #math optimization in theory and practice, prescriptive #analytics, @INFORMS VP IT</t>
  </si>
  <si>
    <t>Dr. Apathy</t>
  </si>
  <si>
    <t>RT @StatsbyLopez: Fun #rstats NBA demo: NBA Expected Possession Value model, via @dcervone0 and the XY hoops group https://t.co/QHT4KREfcN</t>
  </si>
  <si>
    <t xml:space="preserve">On a Beach. </t>
  </si>
  <si>
    <t>Non-obvious, out of consensus, data driven discoveries &amp; the subsequent profit based exploitation of market inefficiencies. Misanthropic iconoclastic anarchist</t>
  </si>
  <si>
    <t>Marc L Seal</t>
  </si>
  <si>
    <t>3052, Australia</t>
  </si>
  <si>
    <t>Enthusiast | Neuroimager | Academic | R stats | Childhood Development</t>
  </si>
  <si>
    <t>Do you know if u learn both R and #Python, u can earn ~ 11Lakhs per annum ? https://t.co/IDZY61HROF #careers #rstats https://t.co/WT9UCfFsVn</t>
  </si>
  <si>
    <t>Fantasy Douche</t>
  </si>
  <si>
    <t>Geno Smith apologist. RotoViz editor. Marvin McNutt truther.</t>
  </si>
  <si>
    <t>After doing some #rstats learning #datascience using #python -&gt; https://t.co/ATKgC9ExsX</t>
  </si>
  <si>
    <t>Aart Franken</t>
  </si>
  <si>
    <t>Utrecht  - The Netherlands</t>
  </si>
  <si>
    <t>EFPSA; Psychology; Personality; Sociometrics; Peer Relations; PhD; RU; UU; SIENA; social network analysis; trainer; pestalozzi programme</t>
  </si>
  <si>
    <t>IQuantNY</t>
  </si>
  <si>
    <t>RT @tz33cu: My students' Interactive map NYC water complaints #opendata #rstats shiny app https://t.co/QIe26Gn9bJ .@IQuantNY https://t.co/…</t>
  </si>
  <si>
    <t>Ben Wellington telling stories hidden within NYC #opendata, Public Policy &amp; Urban Planning. http://t.co/CW87kLxYQ2; (Mailing list: http://t.co/AnaJzRpSD3)</t>
  </si>
  <si>
    <t>Most of the #ggplot theme elements can now be altered with ggthemeassist. #rstats https://t.co/GziYnCmCzg https://t.co/i9OzVuAChK</t>
  </si>
  <si>
    <t>Unicode symbols in R. #rstats https://t.co/EB20KNUufB</t>
  </si>
  <si>
    <t>The 2016 NY R Conference is April 8-9 at @Work_Bench! Use code nyhackr for 20% discount. https://t.co/ZKuvL2dKwa #rstats #rstatsnyc</t>
  </si>
  <si>
    <t>Eduard Szöcs</t>
  </si>
  <si>
    <t>Palatinate Forest</t>
  </si>
  <si>
    <t>R, Eco(toxico-)logy and Environmental Sciences</t>
  </si>
  <si>
    <t>Work-Bench</t>
  </si>
  <si>
    <t>RT @nyhackr: The 2016 NY R Conference is April 8-9 at @Work_Bench! Use code nyhackr for 20% discount. https://t.co/ZKuvL2dKwa #rstats #rsta…</t>
  </si>
  <si>
    <t>Work-Bench is an enterprise technology VC fund in NYC. We support early go-to-market enterprise startups with community, workspace, and corporate engagement.</t>
  </si>
  <si>
    <t>Mickey Graham</t>
  </si>
  <si>
    <t>Comms manager at @Work_Bench. Developer, marketer &amp; designer. @USC Annenberg &amp; @SidwellFriends Alum.</t>
  </si>
  <si>
    <t>XY.W</t>
  </si>
  <si>
    <t>Ian Dworkin</t>
  </si>
  <si>
    <t>Hamilton, Ontario</t>
  </si>
  <si>
    <t>Drosophila geneticist, Evolutionary biologist, occasional genomicist, chocolate lover.</t>
  </si>
  <si>
    <t>Graeme Hein</t>
  </si>
  <si>
    <t>Hard questions, graph analysis, cloud and datacentre management, finance, and startups. http://t.co/bZrE1TUPvo</t>
  </si>
  <si>
    <t>JohnJHall</t>
  </si>
  <si>
    <t>Ops Research for NYPD, All thought are my own.</t>
  </si>
  <si>
    <t>I think @hadleywickham gives great advice on this- pick a topic you are passionate about and use #rstats start to finish @JaySun_Bee</t>
  </si>
  <si>
    <t>Put some more effort in ggThemeR-Addin. Covers the most important tasks. https://t.co/SlGsEtCNr4 #rstats #ggplot2 https://t.co/m1hQvfmO6W</t>
  </si>
  <si>
    <t>This is a pretty darn cool map. #gis #demographics #rstats https://t.co/us6sM53w9w</t>
  </si>
  <si>
    <t>Dr Will</t>
  </si>
  <si>
    <t>An evolutionary biologist &amp; computer nerd. Apistevist. Reader of books. Fun at parties.</t>
  </si>
  <si>
    <t>Mariam Rafique</t>
  </si>
  <si>
    <t>motivated to immerse deeper in development,social research,'poverty' debate,inequality,urban planning, excess capacities,data science,humor code and myself.</t>
  </si>
  <si>
    <t>Using time series analysis in R to analyze Xbox usage trends: https://t.co/fUTKhRAIXV #rstats #datascience https://t.co/7Fo85NOPeQ</t>
  </si>
  <si>
    <t>RT @DataRobot: Using time series analysis in R to analyze Xbox usage trends: https://t.co/fUTKhRAIXV #rstats #datascience https://t.co/7Fo8…</t>
  </si>
  <si>
    <t>Thomas Hütter</t>
  </si>
  <si>
    <t>@IBMbigdata R. #rstats</t>
  </si>
  <si>
    <t>East-Holland' ;-) Germany</t>
  </si>
  <si>
    <t>Husband, Dad &amp; Opa • Dominican cigars, French wine, German food • Dataholic: SQL, PASS, R, Mac</t>
  </si>
  <si>
    <t>Going to hold an #rstats crash course at work (1.5-2 hours) for SAS/SPSS users. Thoughts on must cover elements, good examples, etc.?</t>
  </si>
  <si>
    <t>J</t>
  </si>
  <si>
    <t>Diary of a sane, white man</t>
  </si>
  <si>
    <t>It's hard to express how excited I am about folding code and navigation for #Rstats in @rstudio. (See, we Scandinavians CAN get passionate.)</t>
  </si>
  <si>
    <t>Enterprise grade-level dashboard using #Shiny and #Rstats by New Zealand's Tourist Industry https://t.co/ePVXKM1Xcg</t>
  </si>
  <si>
    <t>You got your nerd peanut butter in my nerd chocolate! #rstats #prideanddplyr https://t.co/TCU5ZmjW7Y</t>
  </si>
  <si>
    <t>#retweet #rstats #affiliatemarketing https://t.co/mQrTNAnYfv scrape targeted leads</t>
  </si>
  <si>
    <t>datalab.cc</t>
  </si>
  <si>
    <t>Salt Lake City, Utah</t>
  </si>
  <si>
    <t>data science within reach</t>
  </si>
  <si>
    <t>SequenceAnalysis</t>
  </si>
  <si>
    <t>Norwich, UK</t>
  </si>
  <si>
    <t>Genomics, Analysis and Genome News!</t>
  </si>
  <si>
    <t>eric english</t>
  </si>
  <si>
    <t>Frederik Aust</t>
  </si>
  <si>
    <t>Cologne, Germany</t>
  </si>
  <si>
    <t>PhD student in cognitive psychology interested in formal models of cognition. Open science &amp; R enthusiast.</t>
  </si>
  <si>
    <t>How to resolve error while connecting to twitter api in R? https://t.co/DjW4Hql4a9 #rstats #datascience #helpdatascientist</t>
  </si>
  <si>
    <t>Remi Daigle</t>
  </si>
  <si>
    <t>@RallidaeRule use @figshare it's totally free for public archives, you get a DOI and you can upload directly from #rstats with rfigshare</t>
  </si>
  <si>
    <t>Wolfville, Nova Scotia</t>
  </si>
  <si>
    <t>I'm a marine ecologist studying larval ecology, ocean health, and the design of marine protected areas at the University of Toronto and McGill</t>
  </si>
  <si>
    <t>Alex M. Chubaty</t>
  </si>
  <si>
    <t>new user group and discussion forum for the SpaDES package https://t.co/wT8ChzXJ0t #rstats</t>
  </si>
  <si>
    <t>Calgary, Alberta</t>
  </si>
  <si>
    <t>awesome guy; loves biology, coffee, computers, insects, and maths.</t>
  </si>
  <si>
    <t>Ari Friedman</t>
  </si>
  <si>
    <t>Fellow @PennLDI and Penn CECPR. Tweeting on health policy/econ, emergency med, and #Rstats/#opendata/#replication. RT not endorsement.</t>
  </si>
  <si>
    <t>Indraneel Chatterjee</t>
  </si>
  <si>
    <t>RT @AnalyticsVidhya: How to resolve error while connecting to twitter api in R? https://t.co/DjW4Hql4a9 #rstats #datascience #helpdatascien…</t>
  </si>
  <si>
    <t>Cornell MBA Class of 2016 #CornellMBA ; Analytics Marketing Predictive Analytics IoT; Tweets are my personal views ; RT's != endorsements</t>
  </si>
  <si>
    <t>RT @RemiDaigle: @RallidaeRule use @figshare it's totally free for public archives, you get a DOI and you can upload directly from #rstats w…</t>
  </si>
  <si>
    <t>Lawrence Wu</t>
  </si>
  <si>
    <t>Made my first R package, a few simple wrappers around LiveChat's REST API. Accepted by CRAN! https://t.co/Z2tW1qFqh7 #rstats @LiveChat</t>
  </si>
  <si>
    <t>husband and christian. #rstats enthusiast. @UCBerkeley graduate. analytical dude @Payoff</t>
  </si>
  <si>
    <t>HOU via DFW</t>
  </si>
  <si>
    <t>DFS and dynasty football dork. Mechanical R&amp;D Engineer. ADHD advocate. Proud supporter of schadenfreude. Gig 'em!</t>
  </si>
  <si>
    <t>Natalie Cooper</t>
  </si>
  <si>
    <t>RT @TeamShrub: For all the Austen-loving ggplot2 geeks out there #rstats #hadleyvsgeorge https://t.co/XdIEsd18gL</t>
  </si>
  <si>
    <t>Researcher at Natural History Museum, London. I like macroevolution, macroecology, #rstats, phylogenetic comparative methods. Opinions my own.</t>
  </si>
  <si>
    <t>Mike Cornell</t>
  </si>
  <si>
    <t>Awesome blog and short vid from @dr_eldersveld, @alathrop , and @BlueGraniteInc about R in #SQLServer2016. https://t.co/9qc10Xrkc6 #rstats</t>
  </si>
  <si>
    <t>The Woodlands, Texas</t>
  </si>
  <si>
    <t>Passionate Advanced Analytics Pro. Data Viz Enthusiast. Machine Learning &amp; R Curious. Big Green Egg Chef. Blues Fan.</t>
  </si>
  <si>
    <t>David Eldersveld</t>
  </si>
  <si>
    <t>RT @DataMic: Awesome blog and short vid from @dr_eldersveld, @alathrop , and @BlueGraniteInc about R in #SQLServer2016. https://t.co/9qc10X…</t>
  </si>
  <si>
    <t>Solution Consultant at BlueGranite, MBA, Microsoft &amp; Hortonworks data platforms</t>
  </si>
  <si>
    <t>Do it Right | Do it Well | Do It Once</t>
  </si>
  <si>
    <t>Pierre Roudier</t>
  </si>
  <si>
    <t>Palmerston North, NZ</t>
  </si>
  <si>
    <t>Spatial data wrangler, open-source minded. Doing science to soils in NZ and Antarctica at @LCR_NZ and @PunahaMatatini. Tweets are my own and all that.</t>
  </si>
  <si>
    <t>New CRAN package livechatR with initial version 0.1.0 https://t.co/0QdYpl5sce #rstats</t>
  </si>
  <si>
    <t>New CRAN package wfg with initial version 0.1 https://t.co/0QdYpl5sce #rstats</t>
  </si>
  <si>
    <t>CRAN updates: metap MM2S qqtest rangeBuilder rockchalk rvg transport https://t.co/y5W2NTKSXT #rstats</t>
  </si>
  <si>
    <t>Karen Grace Bondoc</t>
  </si>
  <si>
    <t>I must confess I am also an R nerd in analyzing ecology data #rstats https://t.co/jYYDmSq0QX via @dominodatalab</t>
  </si>
  <si>
    <t>Jena, DE</t>
  </si>
  <si>
    <t>frustrated marine biologist living in a land-locked area. director of diatom tv. fascinated by behavior. kept by His grace.</t>
  </si>
  <si>
    <t>fishR.ogle</t>
  </si>
  <si>
    <t>Performing fisheries analyses in R</t>
  </si>
  <si>
    <t>#social https://t.co/17GzKynpXo data mine using our software #rstats #changeyourlife</t>
  </si>
  <si>
    <t>Do you know how to run R on Jupyter ipython Notebooks? https://t.co/WnQABnTAbt #rstats #python #helpdatascientist</t>
  </si>
  <si>
    <t>Jo Williams-Newkirk</t>
  </si>
  <si>
    <t>Using runApp in @rstudio and ggplot passed to renderPlot and uiOutput appears in rstudio viewer window, not app. Any ideas? #rstats</t>
  </si>
  <si>
    <t>Microbiologist by training, bioinformatician by necessity. All around technology nerd. Speaks #rstats, #python, and a smattering of others.</t>
  </si>
  <si>
    <t>YeiCG</t>
  </si>
  <si>
    <t>Julia Silge</t>
  </si>
  <si>
    <t>Astronomer and physicist by training, now learning the tools of data science. Other things I care about: my family, books, food &amp; wine, coffee.</t>
  </si>
  <si>
    <t>RT @fransvandunne: Los 7 componentes claves de ciencia de datos de acuerdo a @hadleywickham #rstats https://t.co/v6IcSH54lH</t>
  </si>
  <si>
    <t>RT @JulioTrujillo_: Useful packages (libraries) for Data Analysis in R: https://t.co/oM5aEWj6ky #DataScience #Rstats by @analyticsvidhya ví…</t>
  </si>
  <si>
    <t>RT @AlmeriaRUsers: Generando gráficos y mapas interactivos a través de rbokeh @Rbloggers #DataScience #rstats https://t.co/TUjr5oT91W</t>
  </si>
  <si>
    <t>BharataBhagyaVidhata</t>
  </si>
  <si>
    <t>Bhagyanagaram</t>
  </si>
  <si>
    <t>The typical good guy next door. Interested in Politics, Science, Spirituality.</t>
  </si>
  <si>
    <t>ECOSCOPE</t>
  </si>
  <si>
    <t>#rstats workshop series #UBC April18-27 https://t.co/Bm4Xl03aDC Will sell out fast! #datascience #bctech #ubcscience https://t.co/Um7FEeMBZ8</t>
  </si>
  <si>
    <t>Ecosystem Services, Commercialization Platforms &amp; Entrepreneurship incubates start-up founders &amp; science communicators &amp; matches start-up needs with HQP</t>
  </si>
  <si>
    <t>RT @ecoscope_ubc: #rstats workshop series #UBC April18-27 https://t.co/Bm4Xl03aDC Will sell out fast! #datascience #bctech #ubcscience http…</t>
  </si>
  <si>
    <t>Random Forests is panacea to all #datascience problems! https://t.co/oUB2lYeO6x #algorithms #python #rstats https://t.co/sUo8TfZXo5</t>
  </si>
  <si>
    <t>Mary E. Lennon</t>
  </si>
  <si>
    <t>Awesome #Mapping with #rstats @GeoPHL meetup!</t>
  </si>
  <si>
    <t>Wilmington, DE</t>
  </si>
  <si>
    <t>GIS Specialist/Archaeologist in the Mid-Atlantic Region</t>
  </si>
  <si>
    <t>Abdalla Mohamed</t>
  </si>
  <si>
    <t>When the computer crashes at iteration number 10,000. 😩 #rstats</t>
  </si>
  <si>
    <t>I take an inordinate amount of screenshots.</t>
  </si>
  <si>
    <t>Machine Learning Project Template in R https://t.co/TIRqPmt1w2 @TeachTheMachine #rstats #machinelearning #DataScience</t>
  </si>
  <si>
    <t>Jorge Sua</t>
  </si>
  <si>
    <t>RT @AnalyticsVidhya: Random Forests is panacea to all #datascience problems! https://t.co/oUB2lYeO6x #algorithms #python #rstats https://t.…</t>
  </si>
  <si>
    <t>Statistician. #datamining #bigdata #CustomerAnalytics #rstats #ULA #Venezuela</t>
  </si>
  <si>
    <t>Learning machine learning with parametric models from @khakieconomist #rstats https://t.co/6WXwuBogUB https://t.co/XvLvnEogep</t>
  </si>
  <si>
    <t>Travel time to markets predicts reef fish biomass. Novel use of #rstats gdistance package https://t.co/3S9EsDjgXg @JoshuaCinner</t>
  </si>
  <si>
    <t>Ron Leisti</t>
  </si>
  <si>
    <t>RT @kevlbass1024: Machine Learning Project Template in R https://t.co/TIRqPmt1w2 @TeachTheMachine #rstats #machinelearning #DataScience</t>
  </si>
  <si>
    <t>Kitchener, Ontario</t>
  </si>
  <si>
    <t>Programmer, functional language enthusiast, Debian Linux user, Puppy owner.</t>
  </si>
  <si>
    <t>Jason Scot Barker</t>
  </si>
  <si>
    <t>UBC</t>
  </si>
  <si>
    <t>Ecologist and applied biostatistician. Tweets represent personal opinions.</t>
  </si>
  <si>
    <t>Deivid Faulstich</t>
  </si>
  <si>
    <t>RT @rquintino: @Mairos_B #sqlsatportugal session: all about R in #SqlServer 2016 #rstats https://t.co/DHrqIZrz1e</t>
  </si>
  <si>
    <t>Richard Weber</t>
  </si>
  <si>
    <t>Abhay Singh</t>
  </si>
  <si>
    <t>must know to get started #rstats Setting up the Twitter R package for text analytics https://t.co/txFUDCXcP7 via @rbloggers</t>
  </si>
  <si>
    <t>Perth, Western Australia</t>
  </si>
  <si>
    <t>Researcher in Quantitative Finance and Data Analytics with interest in applications of R</t>
  </si>
  <si>
    <t>Francisco Fernández</t>
  </si>
  <si>
    <t>Santiago - Chile</t>
  </si>
  <si>
    <t>Todo tiene su momento justo</t>
  </si>
  <si>
    <t>James Johnson</t>
  </si>
  <si>
    <t>A good post on #rstats https://t.co/JkaqdNGekh @LeopoldLabESF</t>
  </si>
  <si>
    <t>Masters Student Restoration Ecology, Adjunct Instructor Anatomy &amp; Physiology. Lover of biology, plants, taxonomy, and cooking.</t>
  </si>
  <si>
    <t>Ken Tien</t>
  </si>
  <si>
    <t>RT @hadleywickham: Very excited to announce the release of ggplot2 2.0.0! https://t.co/pwGtFt8MAk #rstats. Enjoy the early Christmas presen…</t>
  </si>
  <si>
    <t>#Marketing at @EMCcorp #b2b #b2c Spreading STEM Education around the world with @ThoughtSTEM &amp; @LearnToMod Alumnus @UCSanDiego '15 Tweets are my own.</t>
  </si>
  <si>
    <t>What is the best way to create a CSV with YAML metadata? Aka .csvy Do you just type it in? Use #rstats?</t>
  </si>
  <si>
    <t>RT @polesasunder: What is the best way to create a CSV with YAML metadata? Aka .csvy Do you just type it in? Use #rstats?</t>
  </si>
  <si>
    <t>David Abernathy</t>
  </si>
  <si>
    <t>Finally fired up the #raspberrypizero for the first time. On a 15-yr-old monitor. Works like a charm. Installed #Rstats, now SSHing in.</t>
  </si>
  <si>
    <t>Professor at Warren Wilson College, Global Studies, Network Society, Maps, GIS, Geoweb, Educational technology, Open source, Sensor networks, Panama, Dad.</t>
  </si>
  <si>
    <t>Lindsey Allen</t>
  </si>
  <si>
    <t>Work @Microsoft SQL Server</t>
  </si>
  <si>
    <t>Jonathan Lehr</t>
  </si>
  <si>
    <t>All enterprise tech, all the time || VC @Work_Bench, Founder of @NYETM, and @KauffmanFellows Class 19 || I also tweet (a lot) about the @MiamiHEAT</t>
  </si>
  <si>
    <t>A Complete Tutorial on Time Series Modeling in R: https://t.co/h1siG5EOAa #MachineLearning #DataScience #Rstats</t>
  </si>
  <si>
    <t>RT @KirkDBorne: A Complete Tutorial on Time Series Modeling in R: https://t.co/h1siG5EOAa #MachineLearning #DataScience #Rstats</t>
  </si>
  <si>
    <t>Hal4</t>
  </si>
  <si>
    <t>Enterprise Architect, increasing transparency in government. Former art conservator, translator, and metal-working craftsman. Fifer. All about transformation.</t>
  </si>
  <si>
    <t>"Rstats" on Tweeted Times #rstats https://t.co/X6haMFDKGP - top stories by @kurai_yousei, @JBerdahl, @runcibleansible</t>
  </si>
  <si>
    <t>John Boles</t>
  </si>
  <si>
    <t>Happy hubby and father of two teens. Leveraging open source, data analytics and cloud computing in the life science domain. Enjoys Cross-fit and GoRuck.</t>
  </si>
  <si>
    <t>Ivanik Saglietti</t>
  </si>
  <si>
    <t>Torino, Piemonte</t>
  </si>
  <si>
    <t>Torinese, papà di Edoardo. Informatico, runner</t>
  </si>
  <si>
    <t>Matt Hill</t>
  </si>
  <si>
    <t>I'll give YOU non-conformable arrays in a minute son... #rstats</t>
  </si>
  <si>
    <t>Biological invasions and agriculturally important terrestrial arthropods. Tweets often about ECR life, #rstats and mountain bikes.</t>
  </si>
  <si>
    <t>Are u looking at learning / revising your concepts of Data Visualization? https://t.co/EjN9ZS5WPr #dataviz #rstats https://t.co/szwkb8OSma</t>
  </si>
  <si>
    <t>Networkx #Datascience #Bigdata Tools is out! https://t.co/rHSiUy2RKu #rstats #python Stories via @jobmote @Talaikis @bibenchmarking</t>
  </si>
  <si>
    <t>Data Grokker</t>
  </si>
  <si>
    <t>Algorithms, Machine Learning , Data Science</t>
  </si>
  <si>
    <t>RT @0ttlngr: Put some more effort in ggThemeR-Addin. Covers the most important tasks. https://t.co/SlGsEtCNr4 #rstats #ggplot2 https://t.co…</t>
  </si>
  <si>
    <t>Jeff Musgrave</t>
  </si>
  <si>
    <t>Ottawa On</t>
  </si>
  <si>
    <t>Live Music Addict, DMB/Foos/OAR fantatic, Habs and Jays Fan</t>
  </si>
  <si>
    <t>RT @sidquan: @DirtBrew The conflicts() fx is also useful. it lists which functions conflict across the loaded packages. easier to diagnose …</t>
  </si>
  <si>
    <t>Ant O'Fearghail</t>
  </si>
  <si>
    <t>Irish emigrant. Secularist. Classical liberal. Likes bad sports teams: #lfc, #redskins</t>
  </si>
  <si>
    <t>Aman Gulia</t>
  </si>
  <si>
    <t>RT @AnalyticsVidhya: Are u looking at learning / revising your concepts of Data Visualization? https://t.co/EjN9ZS5WPr #dataviz #rstats ht…</t>
  </si>
  <si>
    <t xml:space="preserve">Delhi | Agra </t>
  </si>
  <si>
    <t>Peace ✌</t>
  </si>
  <si>
    <t>#influence https://t.co/PqkIhaMBie extract valuable data and save time using scrapers #online #rstats</t>
  </si>
  <si>
    <t>today: removed devtools::check() notes, then build failed on win-builder, travis still trying its hand. Fun times pkg writing. #rstats</t>
  </si>
  <si>
    <t>@DogSandFishGirl Thanks for coming! :) You can find the slides at: https://t.co/xNAkbi5jyT #rstats #oce</t>
  </si>
  <si>
    <t>@jjstache You can find it here: https://t.co/xNAkbi5jyT #rstats #oce #OSM16</t>
  </si>
  <si>
    <t>Explore New Zealand’s Tourist Industry with R and Shiny https://t.co/9auVCPOKfG #rstats #DataScience</t>
  </si>
  <si>
    <t>RT @Rbloggers: Explore New Zealand’s Tourist Industry with R and Shiny https://t.co/9auVCPOKfG #rstats #DataScience</t>
  </si>
  <si>
    <t>Setting up the Twitter R package for text analytics https://t.co/egTZdutBK6 #rstats</t>
  </si>
  <si>
    <t>Explore New Zealands Tourist Industry with R and Shiny https://t.co/JpPvGBxmO2 #rstats</t>
  </si>
  <si>
    <t>Gaëlle Vallée-T.</t>
  </si>
  <si>
    <t>RT @FrederikAust: Now on CRAN: "prereg: R Markdown Template to Preregister Scientific Studies" https://t.co/xdrrI5wPI1 #rstats #RMarkdown #…</t>
  </si>
  <si>
    <t>Kingston-upon-Thames</t>
  </si>
  <si>
    <t>Professor of Organisational Behaviour at Kingston Business School</t>
  </si>
  <si>
    <t>howard</t>
  </si>
  <si>
    <t>RT @rabaath: On my blog -- bayesboot: An R package for doing the Bayesian bootstrap. https://t.co/3mkDQLFLD3 #rstats #bayesian</t>
  </si>
  <si>
    <t>suburbs of San Francisco</t>
  </si>
  <si>
    <t>On the payroll of a tech company in an analytics function</t>
  </si>
  <si>
    <t>Serguei Mikhailov</t>
  </si>
  <si>
    <t>How to use #rbokeh to build interactive graphs and maps in R https://t.co/BNsQEVG7lu #rstats</t>
  </si>
  <si>
    <t>Lipetsk, Russian Federation</t>
  </si>
  <si>
    <t>GIS specialist, RU #gvSIG translator, #geodata #rstats #python #ddj #NoSQL #IoT #fedora #openSUSE #culturalheritage #accessibility</t>
  </si>
  <si>
    <t>CRAN updates: CryptRndTest https://t.co/y5W2NTKSXT #rstats</t>
  </si>
  <si>
    <t>ref - References for R https://t.co/VuDHOJg5ah #RStats</t>
  </si>
  <si>
    <t>Arindam Banerji</t>
  </si>
  <si>
    <t>Paul PETON</t>
  </si>
  <si>
    <t>Intégrer du code R #rstats et donc des #dataviz interactives dans #PowerBI desktop Cela ouvre bien des portes ! https://t.co/f9J314FXNV</t>
  </si>
  <si>
    <t>Data Scientist (Code + Datamining + Dataviz sur Big Data): R, SPSS, XLStat, Minitab, Power BI, Excel PowerPivot (DAX) + Power Query (M), Azure Machine Learning</t>
  </si>
  <si>
    <t>Himanshu lohiya</t>
  </si>
  <si>
    <t>bhilwara</t>
  </si>
  <si>
    <t>RT @paulpeton: Intégrer du code R #rstats et donc des #dataviz interactives dans #PowerBI desktop Cela ouvre bien des portes ! https://t.co…</t>
  </si>
  <si>
    <t>Uğur Şahin</t>
  </si>
  <si>
    <t>Bu ikbal meyhanesinde çok gururlanma! Biz gururla başı dönen yüzlerce sarhoş görmüşüz.</t>
  </si>
  <si>
    <t>K-State Big Data</t>
  </si>
  <si>
    <t>Manhattan, KS</t>
  </si>
  <si>
    <t>Big Data Initiatives at Kansas State University (KSU); #news @ #BigData #research &amp; #courses #academic, #scientific, &amp; #business institutions worldwide. #kstate</t>
  </si>
  <si>
    <t>Ryan Rosario</t>
  </si>
  <si>
    <t>Today I took a look at some C code meant to be called from #Rstats. Pretty basic interface but adds a ton of crud to the code. Hard to read.</t>
  </si>
  <si>
    <t>Mammoth Lakes, CA</t>
  </si>
  <si>
    <t>Statistics, Machine Learning, Natural Language Processing, Mountain Biking, Hiking. Ex-Facebook. UCLA Bruin. LA native.</t>
  </si>
  <si>
    <t>Now feeling like I should (a) do a bit of #MATLAB to keep my hand in and (b) look into using dependency injection in #Python (or #Rstats).</t>
  </si>
  <si>
    <t>RT @DailyRpackage: ref - References for R https://t.co/VuDHOJg5ah #RStats</t>
  </si>
  <si>
    <t>Finally submitted my first pkg to #CRAN. keeping fingers crossed. #rstats #DataScience #machinelearning #adaboost https://t.co/tKmFUExqPf</t>
  </si>
  <si>
    <t>Daniel</t>
  </si>
  <si>
    <t>What is currently most "en vogue" way of naming arguments in #rstats functions (what would you prefer)?</t>
  </si>
  <si>
    <t>kool people</t>
  </si>
  <si>
    <t>Data Science Workbench for Ubuntu 14.04 https://t.co/Tc1a8rxF1k #rstats #DataScience</t>
  </si>
  <si>
    <t>Install Shiny Server for R on Ubuntu the Right Way https://t.co/GQ5r6Kndim #rstats #DataScience</t>
  </si>
  <si>
    <t>Hacking The New Lahman Package 4.0-1 with R-Studio https://t.co/TqE9ROOuBn #rstats #DataScience</t>
  </si>
  <si>
    <t>Using PL/R and PL/Python to find Medians and Quartiles in Postgres https://t.co/JOyQJFzDQF #rstats #DataScience</t>
  </si>
  <si>
    <t>#Zeitreihenanalyse mit #Rstats: Datenstrukturen erkennen, Prognosen erstellen https://t.co/DyhzeSgJL4 https://t.co/63yGe7U4Ws</t>
  </si>
  <si>
    <t>Mohamed El-Kholy</t>
  </si>
  <si>
    <t>RT @Rbloggers: Using PL/R and PL/Python to find Medians and Quartiles in Postgres https://t.co/JOyQJFzDQF #rstats #DataScience</t>
  </si>
  <si>
    <t>بحب التكنولوجي و الرياضة و زهقت من السياسة و المزايدات</t>
  </si>
  <si>
    <t>Rosaria Silipo</t>
  </si>
  <si>
    <t>Constance, Baden-Württemberg</t>
  </si>
  <si>
    <t>I mind my own data ...</t>
  </si>
  <si>
    <t>RT @Rbloggers: Data Science Workbench for Ubuntu 14.04 https://t.co/Tc1a8rxF1k #rstats #DataScience</t>
  </si>
  <si>
    <t>RT @Rbloggers: Install Shiny Server for R on Ubuntu the Right Way https://t.co/GQ5r6Kndim #rstats #DataScience</t>
  </si>
  <si>
    <t>RT @Rbloggers: Hacking The New Lahman Package 4.0-1 with R-Studio https://t.co/TqE9ROOuBn #rstats #DataScience</t>
  </si>
  <si>
    <t>&lt;ahem&gt; as I was saying, what a handy tool! great not to need all of devtools #rstats https://t.co/2AcL6tE1Rz https://t.co/NuuwaeeVHK</t>
  </si>
  <si>
    <t>Sir Trolls alot</t>
  </si>
  <si>
    <t>The moon</t>
  </si>
  <si>
    <t>Atheist. Data Analyst. Programming enthusiast. Marathon runner.</t>
  </si>
  <si>
    <t>RT @JennyBryan: In the spirit of paste0, I give you str1: str1 &lt;- function(...) str(..., max.level = 1) #rstats To be used in case of XML::…</t>
  </si>
  <si>
    <t>RT @lapply: Many bugfixes on `readthedown` #rmarkdown HTML format. Demo : https://t.co/je40vSRNSJ - rmdformats package : https://t.co/6XzxE…</t>
  </si>
  <si>
    <t>Micheline Campbell</t>
  </si>
  <si>
    <t>Good #rstats session at #UWA - PhD student Jason took us through loading data, installing packages, and using dplyr and tidyr. Awesome.</t>
  </si>
  <si>
    <t>PhD Candidate in Physical Geography at the University of Western Australia</t>
  </si>
  <si>
    <t>#rstats #science get your business started by scraping data! #entrepreneur https://t.co/H8Hx3rItv9</t>
  </si>
  <si>
    <t>desertnaut</t>
  </si>
  <si>
    <t>Walking around, trying to make good things happen... Former UN Peacekeeper, now Data Scientist @ Nodalpoint Systems</t>
  </si>
  <si>
    <t>fung</t>
  </si>
  <si>
    <t>anyone knows how to write image(jpg/ping format ) into a cell in excel with #rstats</t>
  </si>
  <si>
    <t>GZ</t>
  </si>
  <si>
    <t>R, data</t>
  </si>
  <si>
    <t>Nicolas Cantu</t>
  </si>
  <si>
    <t>#rstats #science get your business started by scraping data! #entrepreneur https://t.co/BNViuL6whn</t>
  </si>
  <si>
    <t>Bondy, France</t>
  </si>
  <si>
    <t>Post modern Y serial startupper Libertarien révolté. No more state no more religion. Start a new world-plan of compassion and kindness by the web #worldstartup</t>
  </si>
  <si>
    <t>#rstats #science get your business started by scraping data! #entrepreneur https://t.co/jGnPm4DlJc</t>
  </si>
  <si>
    <t>Bondy, Ile-de-France</t>
  </si>
  <si>
    <t>Fondateur CTO chez https://t.co/jAFfT832OO Incubé chez Hubstart #happenstance #serendipity #cto #startup #realesrate #immobilier #digital</t>
  </si>
  <si>
    <t>Can we have 16-bit color support in grid and base plot please... I want more than 256 levels of alpha! #rstats</t>
  </si>
  <si>
    <t>Pasquale Andriani</t>
  </si>
  <si>
    <t>Rome, Brindisi</t>
  </si>
  <si>
    <t>R Grouping functions: sapply vs. lapply vs. apply. vs. tapply vs. by vs. aggregate - Stack Overflow https://t.co/8rphzI6G8a #rstats</t>
  </si>
  <si>
    <t>納得の拳</t>
  </si>
  <si>
    <t>Explore New Zealand’s Tourist Industry with R and Shiny https://t.co/U0rD5tIlOD via @rbloggers #rstats i am also getting some ideas..</t>
  </si>
  <si>
    <t>Gilad Feldman</t>
  </si>
  <si>
    <t>Maastricht, Netherlands</t>
  </si>
  <si>
    <t>Psychology research at @MaastrichtU mainly looking at morality-ethics, beliefs, and values-goals.</t>
  </si>
  <si>
    <t>Damian Widera</t>
  </si>
  <si>
    <t>Katowice</t>
  </si>
  <si>
    <t>SQL Server MVP | MCT | Husband and father | Sauna enthusiast</t>
  </si>
  <si>
    <t>RT @kyle_e_walker: I think @hadleywickham gives great advice on this- pick a topic you are passionate about and use #rstats start to finish…</t>
  </si>
  <si>
    <t>Conducting #Assessments and Surveys with #Shiny https://t.co/HGghTbeGLX #rstats</t>
  </si>
  <si>
    <t>Corvirtus, LLC</t>
  </si>
  <si>
    <t>RT @sjgknight: Conducting #Assessments and Surveys with #Shiny https://t.co/HGghTbeGLX #rstats</t>
  </si>
  <si>
    <t>Colorado Springs, CO</t>
  </si>
  <si>
    <t>We make businesses remarkable places to work. Account run by Chief Scientist @dryugo and other members of our A Player Team. https://t.co/HvjgjTWiYC</t>
  </si>
  <si>
    <t>Nick Holway</t>
  </si>
  <si>
    <t>R, HDF5 Data and Lightning https://t.co/AoaLLAMX8b via @rbloggers #rstats</t>
  </si>
  <si>
    <t>Basel, Switzerland</t>
  </si>
  <si>
    <t>Hackathon Lovers</t>
  </si>
  <si>
    <t>A community of developers, designers and entrepreneurs that are hackathon lovers \o/ https://t.co/2IFBcjL58x</t>
  </si>
  <si>
    <t>IanCroos</t>
  </si>
  <si>
    <t>Deja que abra el G.P.S.</t>
  </si>
  <si>
    <t>Interesado en lo relacionado con cultura, y forma de pensamientos sociales (Hago geodatabases corporativas. Cuando me dejan el #ArcgisServer)</t>
  </si>
  <si>
    <t>Bert Jehoul</t>
  </si>
  <si>
    <t>New Zealand Tourism Dashboard pushes Shiny to the max https://t.co/JvE2YCGu7e Awesome #shinyapp via @rbloggers #rstats</t>
  </si>
  <si>
    <t>Brussels</t>
  </si>
  <si>
    <t>Psychometrician &amp; enthusiast R-user. Working @Selor. Team member &amp; Ambassador of @be_badges. Co-Organizer of Belgian @OpenBadges &amp; @BeDigitalG Meetup groups</t>
  </si>
  <si>
    <t>Heidi Seibold</t>
  </si>
  <si>
    <t>Next Zurich R User meetup is coming up in March. @grssnbchr will talk about #rstats in journalism https://t.co/YFZJzv9neb</t>
  </si>
  <si>
    <t>PhD student in Computational Biostatistics at UZH</t>
  </si>
  <si>
    <t>Timo Grossenbacher</t>
  </si>
  <si>
    <t>RT @HeidiBaya: Next Zurich R User meetup is coming up in March. @grssnbchr will talk about #rstats in journalism https://t.co/YFZJzv9neb</t>
  </si>
  <si>
    <t>Geographer. Coder / reporter @srfdata, the #ddj unit of Swiss Radio &amp; TV. Co-organizer HacksHackersZurich. PGP: https://t.co/r0q3Va89V0 Threema: K4MC43PA</t>
  </si>
  <si>
    <t>Exciting news! R Conf reception for #EARL2016 to be held at Tower of London! #rstats https://t.co/ntFANNs83j https://t.co/LTmp8GgrqQ</t>
  </si>
  <si>
    <t>Ilaria Prosdocimi</t>
  </si>
  <si>
    <t>Wallingford</t>
  </si>
  <si>
    <t>Statistician and useR - currently at CEH Wallingford working on floods and water in general. This is my stats/hydrology account - favourite means read it later</t>
  </si>
  <si>
    <t>takeshou</t>
  </si>
  <si>
    <t>RT @R_Programming: R Tip: You can use round() function to round dates too. See pic. #rstats #DataScience https://t.co/WfPXmf1thg https://t.…</t>
  </si>
  <si>
    <t>Kiyotake, Miyazaki</t>
  </si>
  <si>
    <t>興味：tennis, infectious diseases epidemiology, Windows tablet, R, android, ubuntu and xyzzy</t>
  </si>
  <si>
    <t>Yann Abraham</t>
  </si>
  <si>
    <t>RT @nickholway: R, HDF5 Data and Lightning https://t.co/AoaLLAMX8b via @rbloggers #rstats</t>
  </si>
  <si>
    <t>Biologist turned Bioinformatician with a knack for data visualization, trail running, moutain biking, bouldering and whisky tasting iwork@JnJ</t>
  </si>
  <si>
    <t>R User up North? ManchesterR date announced: Mon 29th Feb at https://t.co/w0N9vlIpX5 #rstats #R #analytics https://t.co/fC1jogvQqd</t>
  </si>
  <si>
    <t>Want to speak at #EARL2016 #rstats #R Conference in #London? Call for Abstracts https://t.co/FpUDaN7Vpu https://t.co/q5aMpVkDsw</t>
  </si>
  <si>
    <t>RT @MangoTheCat: R User up North? ManchesterR date announced: Mon 29th Feb at https://t.co/w0N9vlIpX5 #rstats #R #analytics https://t.co/fC…</t>
  </si>
  <si>
    <t>@strengejacke Hm, yeah, not sure either. I'd recommend opening a github issue/discussion for maybe more of #rstats to chime in, in any case.</t>
  </si>
  <si>
    <t>Hmm, #Rstats blue or a darker blue? https://t.co/wNRV0EDYwq</t>
  </si>
  <si>
    <t>Submit an abstract for #EARL2016 #rstats conference? Check out last years agenda https://t.co/JJ3RVx3eFO #analytics https://t.co/nqc5Oiz0wj</t>
  </si>
  <si>
    <t>SAS to R Migration https://t.co/77drOyfxzx #SAS #pkpd #rstats</t>
  </si>
  <si>
    <t>CDC has begun to post machine readable #Zika #opendata on github. Start hacking if interested. https://t.co/32dhJjVOea #rstats</t>
  </si>
  <si>
    <t>Is #deeplearning a Markov chain in disguise? https://t.co/YSHtvhykOH via @Rbloggers #rstats</t>
  </si>
  <si>
    <t>Johann de Boer</t>
  </si>
  <si>
    <t>Would you like to make Google Analytics data easier to query and analyse in R?: http://t.co/c5sV9pF4da</t>
  </si>
  <si>
    <t>Rowland Mosbergen</t>
  </si>
  <si>
    <t>Brisbane Queensland</t>
  </si>
  <si>
    <t>Project Manager, Full Stack Developer, UX and BA. #bioinformatics #BioJS #visualization and #webframeworks for @Stemformatics. Loves #hackathons.</t>
  </si>
  <si>
    <t>Google Summer of Code opportunities in data science and machine learning with Ganglia https://t.co/vfx7FJKC6S #rstats #DataScience</t>
  </si>
  <si>
    <t>RT @Rbloggers: Google Summer of Code opportunities in data science and machine learning with Ganglia https://t.co/vfx7FJKC6S #rstats #DataS…</t>
  </si>
  <si>
    <t>Open Science</t>
  </si>
  <si>
    <t>RT @djpappano: Just put up my data and code from paper submitted to IJP last month on @github #rstats #openscience PS- #packrat is awesome …</t>
  </si>
  <si>
    <t>LHR | SFO | SEA</t>
  </si>
  <si>
    <t>to open science … on Google+ at http://t.co/KqSaca1BsG #openscience</t>
  </si>
  <si>
    <t>Do you have a R talk waiting to be heard? Call for Abstracts! #EARL2016 Conference #rstats https://t.co/FpUDaN7Vpu https://t.co/3HropkRbsk</t>
  </si>
  <si>
    <t>Rhaydrick Sandokhan</t>
  </si>
  <si>
    <t>Brazilian,Information Manager, Programmer, Data Scientist, Solution Architect, Musician, GeEk, Working in data analysis and Researching Indicators ;-)</t>
  </si>
  <si>
    <t>Delighted to see the interest in my #prereg pkg: 9 days on CRAN, 77 downloads. https://t.co/RwGSUaWmvx #rstats #RMarkdown #PreRegChallenge</t>
  </si>
  <si>
    <t>Tom Hardwicke</t>
  </si>
  <si>
    <t>RT @FrederikAust: Delighted to see the interest in my #prereg pkg: 9 days on CRAN, 77 downloads. https://t.co/RwGSUaWmvx #rstats #RMarkdown…</t>
  </si>
  <si>
    <t>PhD student in Cognitive &amp; Brain Sciences @EP_UCL | Only human.</t>
  </si>
  <si>
    <t>#rstats https://t.co/SFPEdVoaE3 @MarkovMonty and Miles reveal `shist`, the sliding histogram.</t>
  </si>
  <si>
    <t>UKDSCensus</t>
  </si>
  <si>
    <t>Your resource for UK Census data. Funded by @ESRC. @UKDataService @UKDSImpact @UKDSIntdata @UKDSBigdata http://t.co/cUjUXg5vg8</t>
  </si>
  <si>
    <t>Exciting news! R Conference reception for #EARL2016 to be held at Tower of London! #rstats https://t.co/dBlZeoV3P9 https://t.co/PREudLZKaJ</t>
  </si>
  <si>
    <t>Rambujo</t>
  </si>
  <si>
    <t>RT @plotlygraphs: Plotly's R library v2.0 now renders Plotly graphs offline in #RStudio and #RShiny. https://t.co/UVDnoQWN12 #rstats https:…</t>
  </si>
  <si>
    <t>Switzerland</t>
  </si>
  <si>
    <t>Data Scientist @snsf_ch, CTO @SciMts, Tweeter @scigeist, Overzealous @LinkedIn Endorser</t>
  </si>
  <si>
    <t>Bill Clay</t>
  </si>
  <si>
    <t>Finally had a use-case for tidyr::complete today. Wow. My brain would've hurt so bad doing that manually with joins.#rstats @hadleywickham</t>
  </si>
  <si>
    <t>I do data analysis for the Nakatomi Corporation. Tweeting pseudonymously.</t>
  </si>
  <si>
    <t>Do you have a talk waiting to be heard? Call for Abstracts! #EARL2016 R Conference #rstats https://t.co/lvS7qgNZhH https://t.co/SUsLGLU5zQ</t>
  </si>
  <si>
    <t>يالله</t>
  </si>
  <si>
    <t>RT @TierneyNicholas: #rstats https://t.co/SFPEdVoaE3 @MarkovMonty and Miles reveal `shist`, the sliding histogram.</t>
  </si>
  <si>
    <t>Brisbane, Queensland, QUT</t>
  </si>
  <si>
    <t>دكتوراه في العمليات والبحوث الاحصائيه. سأنال حلمي يوما بإذن ربي.. اللهم احفظ بلادي..</t>
  </si>
  <si>
    <t>Erick Loomis</t>
  </si>
  <si>
    <t>Sometimes I love #rstats It combines my love of basic scripts and horrendous one-liners</t>
  </si>
  <si>
    <t>Postdoc @ImperialCollege in cancer epigenetics</t>
  </si>
  <si>
    <t>I know responsive is old hat, but it's fab to watch our analysts build a tool in Shiny &amp; know it will look good on 5" to 80" screens #rstats</t>
  </si>
  <si>
    <t>André Blazko</t>
  </si>
  <si>
    <t xml:space="preserve">Paulínia, São Paulo, </t>
  </si>
  <si>
    <t>Statistician, actionable analytics enthusiastic and passionate about the effective use of data + technology to turn companies smarter! And music, just love it!</t>
  </si>
  <si>
    <t>Sebastian Geukes</t>
  </si>
  <si>
    <t>The only plot better than a #ggplot2: A plot made of things #dataviz #rstats https://t.co/6No1sTAiId</t>
  </si>
  <si>
    <t>Münster, Germany</t>
  </si>
  <si>
    <t>Experimental Psychology and Statistical Support at @WWU_Muenster and #OCCMünster | Handball at @SCWestfalia | @BVB supporter</t>
  </si>
  <si>
    <t>#rstats what differences can there be when reading a csv file on Windows vs. Linux?</t>
  </si>
  <si>
    <t>9-month sessional position teaching stats (with #rstats) &amp; conservation biology at @MountAllison https://t.co/VZaE7i5zm7 #PhDjobs</t>
  </si>
  <si>
    <t>ValidR developed by us to deliver a validated version of R language https://t.co/rIO7SzIann #rstats #pkpd #pharma https://t.co/O7ugmaspJA</t>
  </si>
  <si>
    <t>Reproducible map of ice sheet decline 1985-2015. #rstats code: https://t.co/SJ80P9pUtQ. Thanks @NOAA for data. https://t.co/e4M2c7FuNm</t>
  </si>
  <si>
    <t>ODI Leeds</t>
  </si>
  <si>
    <t>RT @robinlovelace: Reproducible map of ice sheet decline 1985-2015. #rstats code: https://t.co/SJ80P9pUtQ. Thanks @NOAA for data. https://t…</t>
  </si>
  <si>
    <t>Leeds, Yorkshire</t>
  </si>
  <si>
    <t>ODI Leeds a Pioneer Node of @ODIHQ unleashing the power of data &amp; open innovation for the City region. Tweets mostly by @paulcconnell &amp; @thomasforth</t>
  </si>
  <si>
    <t>RT @MangoPharma: ValidR developed by us to deliver a validated version of R language https://t.co/rIO7SzIann #rstats #pkpd #pharma https:…</t>
  </si>
  <si>
    <t>RT @thelabandfield: 9-month sessional position teaching stats (with #rstats) &amp; conservation biology at @MountAllison https://t.co/VZaE7i5zm…</t>
  </si>
  <si>
    <t>Nils Schaetti</t>
  </si>
  <si>
    <t>Swiss software engineer. Artificial Intelligence enthusiast. @fc_univ alumni (Computer Science) and student at @OpenUniversity (Mathematics).</t>
  </si>
  <si>
    <t>AC Rooke</t>
  </si>
  <si>
    <t>Peterborough, ON, CANADA</t>
  </si>
  <si>
    <t>PhD Candidate at Trent University using introduced fish to study adaptive physiology &amp; evolution of animal behavior. Data lover &amp; amateur detective novelist.</t>
  </si>
  <si>
    <t>RT @R_Programming: Ggplot2 Quick reference by tasks and code examples - Bookmarked! #rstats #DataScience https://t.co/F5QDvLzonR</t>
  </si>
  <si>
    <t>Las VIII Jornadas de Usuarios de R, en Albacete: Por si alguien aún no lo sabe: estamos todos citados ... https://t.co/VSddF5xdc8 #rstats</t>
  </si>
  <si>
    <t>RT R_Programming: Ggplot2 Quick reference by tasks and code examples - Bookmarked! #rstats #DataScience … https://t.co/wQGwIBFn44</t>
  </si>
  <si>
    <t>Danielle Haulsee</t>
  </si>
  <si>
    <t>RT @ClarkGRichards: @DogSandFishGirl Thanks for coming! :) You can find the slides at: https://t.co/xNAkbi5jyT #rstats #oce</t>
  </si>
  <si>
    <t>Lewes, DE</t>
  </si>
  <si>
    <t>Oceanography PhD candidate interested in all things fishy, robotic-y and science-y. Addictions include scuba diving, disc golfing, cooking, crafting &amp; gardening</t>
  </si>
  <si>
    <t>Anthony Truskinger</t>
  </si>
  <si>
    <t>Peregrine</t>
  </si>
  <si>
    <t>Senior Research Assistant (full stack programmer) at QUT. Programmer at heart, researcher by day, gamer by night.</t>
  </si>
  <si>
    <t>Masa（自然知能）</t>
  </si>
  <si>
    <t>RT @drob: gganimate can now preview animations within your RStudio browser https://t.co/UBWKHmIc0e #rstats @ramnath_vaidya https://t.co/8ry…</t>
  </si>
  <si>
    <t>バカ田大学の馬科出身</t>
  </si>
  <si>
    <t>【お仕事】民間企業の研究員(Data Scientist?→データ・マエショリスト！)【特技】霞が関文学の読解及び作成 （前職：司法系官僚） 【言語】Python/R【学生時代】哲学・社会学（Derrida / Luhmann等）、キックボクシング等</t>
  </si>
  <si>
    <t>RT @drob: Animation of tournament chess moves w/ gganimate https://t.co/UBWKHmqB8G https://t.co/n5SjKyDXSL #rstats @jbkunst https://t.co/BX…</t>
  </si>
  <si>
    <t>Brent Brewington</t>
  </si>
  <si>
    <t>Purdue Physics Grad &amp; budding #DataScientist. Want to change the world w/ #OpenData &amp; #Lean. Continuous Improvement addict. http://t.co/JDhZebnJ6S</t>
  </si>
  <si>
    <t>RT @ShinyappsRecent: New Shiny App: Welcome to the MARC Malaria Data Repository! https://t.co/Gycuf0jU09 #rstats https://t.co/Wf33r0vuEz</t>
  </si>
  <si>
    <t>ホクそうむ</t>
  </si>
  <si>
    <t>総務部の電波なサラリーマン R/Emacs/Ubuntu/SKK/LaTeX/C/C++ で仕事しています。/統計学/論理学/幸腹</t>
  </si>
  <si>
    <t>Gagan Bansal</t>
  </si>
  <si>
    <t>Maps on Blackboard</t>
  </si>
  <si>
    <t>Learn how to create online #javasript #maps with lot of flexibility. #dataviz #OSM</t>
  </si>
  <si>
    <t>Michael Hassell</t>
  </si>
  <si>
    <t>Imperial College London</t>
  </si>
  <si>
    <t>Honorary Principal Research Fellow at Imperial College, Chairman of the National Biodiversity Network, President Elect of the Royal Entomological Society</t>
  </si>
  <si>
    <t>外atたにと</t>
  </si>
  <si>
    <t>部屋のちょっといったとこ</t>
  </si>
  <si>
    <t>ボドゲで遊びたい</t>
  </si>
  <si>
    <t>David Mellor</t>
  </si>
  <si>
    <t>Charlottesville, Virginia, USA</t>
  </si>
  <si>
    <t>I'm at the Center for #OpenScience and also like exploring #CitizenScience &amp; #Ecology | Take the #PreRegChallenge at https://t.co/siHnHliz5Z</t>
  </si>
  <si>
    <t>Derek Price</t>
  </si>
  <si>
    <t>Fanny Meyer</t>
  </si>
  <si>
    <t>RT @seankross: Introducing minimap, an R package for making tile grid maps: https://t.co/hMM2uPek4G #rstats https://t.co/sA0prNnevo</t>
  </si>
  <si>
    <t>Christophe Cariou</t>
  </si>
  <si>
    <t>The #Oscars: nomination and competition via a network #rstats https://t.co/83UoyZ5js3 https://t.co/CVMQLViUJd</t>
  </si>
  <si>
    <t>Nantes (France)</t>
  </si>
  <si>
    <t>Freelance - Datavisualisation with R</t>
  </si>
  <si>
    <t>RT @lapply: Thanks to @timelyportfolio and d3-lasso-plugin, scatterD3 now has lasso selection https://t.co/e50nbGkqua #rstats https://t.co/…</t>
  </si>
  <si>
    <t>The #César: nomination and competition via a network #rstats https://t.co/83UoyZ5js3 https://t.co/KuOHZDPxO1</t>
  </si>
  <si>
    <t>Statistik in Dresden</t>
  </si>
  <si>
    <t>Dresden</t>
  </si>
  <si>
    <t>Statistische Analysen, Signifikanztests, Data Mining, R, SPSS, Statistik-Blogger.</t>
  </si>
  <si>
    <t>#R Zertifizierung: Intermediate R. Danke an / Thanks to @DataCamp #rstats #datascience https://t.co/CiK7rClGhb</t>
  </si>
  <si>
    <t>Why #R Matters to a #SQLServer Professional, from @alathrop @bluegraniteinc: https://t.co/h4y8wONTZc #rstats #sqlserver2016</t>
  </si>
  <si>
    <t>Hope Foley</t>
  </si>
  <si>
    <t>RT @dr_eldersveld: Why #R Matters to a #SQLServer Professional, from @alathrop @bluegraniteinc: https://t.co/h4y8wONTZc #rstats #sqlserver2…</t>
  </si>
  <si>
    <t>Work for Microsoft as Data Platform TSP, big fan of PoSH, mom, wife, general mover and shaker</t>
  </si>
  <si>
    <t>Setting up the Twitter R package for text analytics https://t.co/LqmstmX8xk via @rbloggers #rstats</t>
  </si>
  <si>
    <t>Shadab Shah</t>
  </si>
  <si>
    <t>SQL Server Developer, Big data crazy ,some cooking abilities and husband to lovely wife</t>
  </si>
  <si>
    <t>This just made my day... pimpin' my .Rprofile right now. #rstats https://t.co/CJ5smzAIY4</t>
  </si>
  <si>
    <t>Die "R" Abteilung der @oh22data auf der #sqlkonferenz #rstats https://t.co/uRZxEqcYjg</t>
  </si>
  <si>
    <t>Vitor Aguiar</t>
  </si>
  <si>
    <t>can't see the plots in chapter "Model" of R for Data Science. Missing fig icon in Safari, nothing on Firefox #Rstats https://t.co/Ao5zDxI2i3</t>
  </si>
  <si>
    <t>Postdoc in the Laboratory of Evolutionary Genetics (Meyer Group) at @usponline. #Rstats aficionado and bicycle advocate.</t>
  </si>
  <si>
    <t>Tyler Hunt</t>
  </si>
  <si>
    <t>Utah</t>
  </si>
  <si>
    <t>Data driven prognosticator, Data Scientist, College Football stats junkie</t>
  </si>
  <si>
    <t>Stephanie Manning</t>
  </si>
  <si>
    <t>Community &amp; talent @Work_Bench, formerly @AppNexus recruiting, @colgateuniv grad &amp; #JerseyStrong.</t>
  </si>
  <si>
    <t>Fascinating discussion: "Is deep learning a Markov chain in disguise?" https://t.co/Mf40sEUuBM #rstats #datascience https://t.co/XDC4gvWkkA</t>
  </si>
  <si>
    <t>RT @exaptive: Fascinating discussion: "Is deep learning a Markov chain in disguise?" https://t.co/Mf40sEUuBM #rstats #datascience https://t…</t>
  </si>
  <si>
    <t>Niko Neugebauer</t>
  </si>
  <si>
    <t>RT @DerFredo: Die "R" Abteilung der @oh22data auf der #sqlkonferenz #rstats https://t.co/uRZxEqcYjg</t>
  </si>
  <si>
    <t xml:space="preserve">Portugal </t>
  </si>
  <si>
    <t>Community-Driven Data Guy passionate about Columnstore, who loves optimisation &amp; design. #OH22 crew. TUGA Association President.</t>
  </si>
  <si>
    <t>Jens Preiß</t>
  </si>
  <si>
    <t>We are the worlds leading R training company and run both private and public courses https://t.co/A1tBg0qyJv #rstats https://t.co/BbIssCI0Yh</t>
  </si>
  <si>
    <t>Great way to learn randomForests in R!!! Highly recommend it! https://t.co/2MJ3ICmMyQ #Kaggle #RStats via @trevs</t>
  </si>
  <si>
    <t>10 Top Tips For Becoming A Better Coder! https://t.co/iMp5Hkrpfs #programming #rstats https://t.co/rStSPyU5Bu https://t.co/gRNfdY19HP</t>
  </si>
  <si>
    <t>Hilia Boris</t>
  </si>
  <si>
    <t>brussels</t>
  </si>
  <si>
    <t>Transport Economics - Tweets are my own!</t>
  </si>
  <si>
    <t>The Evolution of Distributed Programming in R by @paulinshek https://t.co/rTxoYAxlP5 #rstats #R https://t.co/z8Z1Nj3ith</t>
  </si>
  <si>
    <t>Nice read: The fallacy of famous 'premature optimisation is the root of all evil' (by Sir Tony Hoare) #rstats https://t.co/2aFEVM4jCY</t>
  </si>
  <si>
    <t>tom reilly</t>
  </si>
  <si>
    <t>How Good is R's Outlier Detection? #rstats #timeseries #forecasting #datascience https://t.co/LlSUu3RhFk</t>
  </si>
  <si>
    <t>Forecasting, Time series analysis, outliers, ARIMA, Transfer Function modeling, level shifts, lead, lags, Box-Jenkins</t>
  </si>
  <si>
    <t>Our piece yesterday: tools for quick exploration of new data to find relationships and trends #bigdata #rstats https://t.co/wn0M0HBOwA</t>
  </si>
  <si>
    <t>Matt Breece</t>
  </si>
  <si>
    <t>Alex Perrier</t>
  </si>
  <si>
    <t>Boston MA</t>
  </si>
  <si>
    <t>Data Scientist, Software Engineer @Berklee and Contributor @ODSC, Fascinated by everything stochastic Alum @TelecomPTech #MachineLearning #DataScience #Math</t>
  </si>
  <si>
    <t>Eugenie Roudaia</t>
  </si>
  <si>
    <t>Clint Weathers</t>
  </si>
  <si>
    <t>One of my yearly objectives at $JOB is to teach someone #rstats. Step 1: Don't send him running to Google for "How to install Ruby."</t>
  </si>
  <si>
    <t>MSP</t>
  </si>
  <si>
    <t>I use #rstats and #pydata to fight fraud. +100kg Judo player with a mean tai otoshi. Hasselblad + TriX + Rodinal. Full-stack baker.</t>
  </si>
  <si>
    <t>RT @MangoTheCat: The Evolution of Distributed Programming in R by @paulinshek https://t.co/rTxoYAxlP5 #rstats #R https://t.co/z8Z1Nj3ith</t>
  </si>
  <si>
    <t>CTheData</t>
  </si>
  <si>
    <t>Tech, Big Data Analytics, Cyber-security, Cryptocurrency.</t>
  </si>
  <si>
    <t>Tank Of Vines</t>
  </si>
  <si>
    <t>Diane BELDAME</t>
  </si>
  <si>
    <t>#rstats, #cooking and #Montessori. Nothing to do with the price of tea in China</t>
  </si>
  <si>
    <t>Spatial and Temporal Viz of Gas Price, in France https://t.co/f0KqYY5J9e #rstats #DataScience</t>
  </si>
  <si>
    <t>RT @Rbloggers: Spatial and Temporal Viz of Gas Price, in France https://t.co/f0KqYY5J9e #rstats #DataScience</t>
  </si>
  <si>
    <t>LT pour utiliser #rstats sous #PowerBI vérifier le chemin d'installation de R dans les options &gt; R script</t>
  </si>
  <si>
    <t>#rstats sous #PowerBI penser à mettre les noms de variables entre singles quotes dataset$'Ma Mesure' ou bien arrêter les espaces :-)</t>
  </si>
  <si>
    <t>@DWD_presse released a python3 script to process REGNIE #data. Use my read_regnie() #rstats fnx to read into R. https://t.co/7zLowDksny</t>
  </si>
  <si>
    <t>RT @paulpeton: #rstats sous #PowerBI penser à mettre les noms de variables entre singles quotes dataset$'Ma Mesure' ou bien arrêter les esp…</t>
  </si>
  <si>
    <t>Rizky Kurniawan</t>
  </si>
  <si>
    <t>RT @bartonpoulson: I used a #forloop in #Rstats. So sue me.</t>
  </si>
  <si>
    <t>Manuel Pachón</t>
  </si>
  <si>
    <t>Entrepreneur, Business Administrator. Passionate 4 digital &amp; innovation based businesses. Traveller, adventurer, committing mistakes &amp; Captain of my soul.</t>
  </si>
  <si>
    <t>#Clusteranalyse #FaktorAnalyse und #Regressionanalyse mit #Rstats lernen https://t.co/RSvuqBWIIg #DataSience https://t.co/KY9PLmcPQG</t>
  </si>
  <si>
    <t>Eco-explore</t>
  </si>
  <si>
    <t>R U getting Eggcited this Easter? U should be, there's a new Ecoexplore data analysis course! #rstats #stats https://t.co/dkbkden22k</t>
  </si>
  <si>
    <t>Wales, UK</t>
  </si>
  <si>
    <t>We are a team of ecologists who love exploring. We are passionate about conservation. We also love R stats (and have a lovely book on it!)</t>
  </si>
  <si>
    <t>Dr Rob Thomas</t>
  </si>
  <si>
    <t>RT @Ecoexplore: R U getting Eggcited this Easter? U should be, there's a new Ecoexplore data analysis course! #rstats #stats https://t.co/d…</t>
  </si>
  <si>
    <t>Cardiff</t>
  </si>
  <si>
    <t>Committed latte-drinker &amp; Senior Lecturer, Cardiff University. Views mainly other people's, retweeted.</t>
  </si>
  <si>
    <t>Jorge Fabrega</t>
  </si>
  <si>
    <t>netdiffuseR: Network Analysis for Diffusion of Innovations #rstats by @gvegayon</t>
  </si>
  <si>
    <t>Observando lo que emerge de la interacción entre animales sociales https://t.co/04z8aFAOw9</t>
  </si>
  <si>
    <t>Richard Facey</t>
  </si>
  <si>
    <t>35, bird ringer, ecologist and conservationist. Can sometimes be found wide awake.</t>
  </si>
  <si>
    <t>Zev Ross</t>
  </si>
  <si>
    <t>Excellent series of free tutorials on working with raster data in #rstats | https://t.co/oHNoMDHoNh</t>
  </si>
  <si>
    <t>Ithaca, NY</t>
  </si>
  <si>
    <t>Data Science, Spatial Analysis, Statistics, R Enthusiast &amp; Instructor, Web Development, Python, Data Vizualization, Public Health. Tech: http://t.co/GDOrXgFnMh</t>
  </si>
  <si>
    <t>Shubhanshu Mishra</t>
  </si>
  <si>
    <t>Urbana, Illinois, USA</t>
  </si>
  <si>
    <t>PhD Student at @GSLIS @UIUC working on Scholarly data analysis and Machine Learning application in social sciences. https://t.co/SfHkmPyPMw</t>
  </si>
  <si>
    <t>NLP Stories</t>
  </si>
  <si>
    <t>nlp_twitter_bot</t>
  </si>
  <si>
    <t>Created by @outpark. Retweeting Natural Language Processing and Deep Learning related stories.</t>
  </si>
  <si>
    <t>Derick Lung'aho</t>
  </si>
  <si>
    <t>RT @ngamita: CDC has begun to post machine readable #Zika #opendata on github. Start hacking if interested. https://t.co/32dhJjVOea #rstats</t>
  </si>
  <si>
    <t>RT @arun_sriniv: Nice read: The fallacy of famous 'premature optimisation is the root of all evil' (by Sir Tony Hoare) #rstats https://t.co…</t>
  </si>
  <si>
    <t>Working with the 'prob' package in #rstats and I really find it easier to set up probability spaces manually... maybe I'm missing something.</t>
  </si>
  <si>
    <t>RT @zevross: Excellent series of free tutorials on working with raster data in #rstats | https://t.co/oHNoMDHoNh</t>
  </si>
  <si>
    <t>Kenji Fukushima</t>
  </si>
  <si>
    <t>Carnivorous plants / Convergent evolution</t>
  </si>
  <si>
    <t>just reproduce code for R - @plotlygraphs connection. we can use #plotly graphs from within R #rstats https://t.co/QTla6NI9c9</t>
  </si>
  <si>
    <t>Add a dash of #rstats to your Thursday: Using a multi-plot layout in R with 1800s shipping data https://t.co/0glBIzM0mr</t>
  </si>
  <si>
    <t>Marlon Ribunal</t>
  </si>
  <si>
    <t>SQL, Code, Coffee, etc.</t>
  </si>
  <si>
    <t>I'm sorry for the neglect...Officially re-launching #hackyhour and #rstats meetings on March 17: "Using caret to tune models" Details TK</t>
  </si>
  <si>
    <t>Koen Verbeeck</t>
  </si>
  <si>
    <t>BI Professional and #sqlserver / SSIS geek. Delving into data warehousing, data visualization and other stuff that starts with data. Married &amp; father of two.</t>
  </si>
  <si>
    <t>George Vega Yon</t>
  </si>
  <si>
    <t>RT @jorgefabrega: netdiffuseR: Network Analysis for Diffusion of Innovations #rstats by @gvegayon</t>
  </si>
  <si>
    <t>Pasadena, CA</t>
  </si>
  <si>
    <t>PhD Student @Caltech. Thinking of: #complexity, #sna, #rstats, #ogov/#opendata &amp; policy making. Proud geek =)! http://t.co/eZ7nFMe77y</t>
  </si>
  <si>
    <t>archeomatic</t>
  </si>
  <si>
    <t>D. Apostolopoulos</t>
  </si>
  <si>
    <t>@rstudio Should't already exist a 64x bit version of RStudio for us the poor Windows users??? #rstats</t>
  </si>
  <si>
    <t>Athens - Greece</t>
  </si>
  <si>
    <t>Father/Husband/Business Intelligence Developer, Tweets in Greek and English, Expresses personal opinions</t>
  </si>
  <si>
    <t>Just released to CRAN, new v0.2 of my `luzlogr` package: lightweight logging for #rstats scripts https://t.co/6vkOiA5zT6</t>
  </si>
  <si>
    <t>Predicting winners of the Rugby World Cup https://t.co/aitI7dkaxt #datascience #rstats</t>
  </si>
  <si>
    <t>Don't get confused when working with @HansRosling &amp; other #Scientists from #Europe https://t.co/qTr4TchSWP #rstats https://t.co/noFtGvmctN</t>
  </si>
  <si>
    <t>rle(x) {base} computes the lengths of runs of equal values in a vector. https://t.co/IGSNgat7R0 #rstats</t>
  </si>
  <si>
    <t>Natalie Keene</t>
  </si>
  <si>
    <t>@datacarpentry Can we use #rstats for questions regarding using R, asking for resources to learn something, etc.? Just making sure!</t>
  </si>
  <si>
    <t>Environmental Engineering PhD Student, photographer, outdoor lover</t>
  </si>
  <si>
    <t>RT @RLangTip: rle(x) {base} computes the lengths of runs of equal values in a vector. https://t.co/IGSNgat7R0 #rstats</t>
  </si>
  <si>
    <t>Installing the additional R packages in #Oracle Big Data Lite VM 4.4.0 https://t.co/a715f2bVWd by yours truly #rstats #bigdata</t>
  </si>
  <si>
    <t>Using ROracle with #Oracle Instant Client 12c https://t.co/UOPEiOHNPA by yours truly #rstats</t>
  </si>
  <si>
    <t>@heyaudy its a real thing! https://t.co/1182ovxQ0L and will read into #rstats just fine in several ways. But i want to know how to *make* it</t>
  </si>
  <si>
    <t>Michael C. Frank</t>
  </si>
  <si>
    <t>Know any talented folks interested in development, #openscience, and #rstats? Research assistant position in my lab https://t.co/Gy8snMIe5x</t>
  </si>
  <si>
    <t>Palo Alto, CA</t>
  </si>
  <si>
    <t>Developmental psychologist at Stanford studying language, thought, babies, pragmatics, numbers, cognition, teaching, and learning. Reader, climber, runner, dad.</t>
  </si>
  <si>
    <t>patrick.shafto</t>
  </si>
  <si>
    <t>RT @mcxfrank: Know any talented folks interested in development, #openscience, and #rstats? Research assistant position in my lab https://…</t>
  </si>
  <si>
    <t>Rutgers University - Newark</t>
  </si>
  <si>
    <t>Professor of Math and CS at Rutgers - Newark, Data science! Human learning! Machine learning! Exclamation points!</t>
  </si>
  <si>
    <t>Jacqueline Floyd</t>
  </si>
  <si>
    <t>Austin via Brooklyn</t>
  </si>
  <si>
    <t>Research Geophysicist, Seismologist, Machine Learning, NLP, Media Junkie. Columbia PhD. Principal Geophysicist at Sfile.</t>
  </si>
  <si>
    <t>RT @desertnaut: Installing the additional R packages in #Oracle Big Data Lite VM 4.4.0 https://t.co/a715f2bVWd by yours truly #rstats #bigd…</t>
  </si>
  <si>
    <t>Emine mustafa</t>
  </si>
  <si>
    <t>RT @c_iantosca: „5 Easy Steps to Using #RStats &amp; #Google #Analytics to Optimize your #Marketing #ROI“ von @BigDataGal on @LinkedIn https://…</t>
  </si>
  <si>
    <t>#pdxrlang meetup 24 March https://t.co/IZopi3ePXH on #rstats at Microsoft and in Visual Studio</t>
  </si>
  <si>
    <t>#pdxrlang meetup 24 March https://t.co/uQAuukIKJH on #rstats at Microsoft and in Visual Studio</t>
  </si>
  <si>
    <t>Course announcement: Interactive graphics with shiny #rstats #shiny https://t.co/YZqOtSt3ND</t>
  </si>
  <si>
    <t>Jorge Centurion</t>
  </si>
  <si>
    <t>Resistencia,  Argentina</t>
  </si>
  <si>
    <t>Apasionado por las telecomunicaciones, todo lo que fluya de #BigData, el futbol y a viajar a todo el mundo!!</t>
  </si>
  <si>
    <t>Step by Step Beginners' Guide to learn Data Visualization in R. https://t.co/J3g7PGds0g #dataviz #rstats #analytics https://t.co/joXrDPFwOG</t>
  </si>
  <si>
    <t>All Data Science</t>
  </si>
  <si>
    <t>RT @AnalyticsVidhya: Step by Step Beginners' Guide to learn Data Visualization in R. https://t.co/J3g7PGds0g #dataviz #rstats #analytics ht…</t>
  </si>
  <si>
    <t>Your source of everything you need to become a data scientist or to keep you up to date if you consider yourself one. #DataScience</t>
  </si>
  <si>
    <t>Interested in videos from EARL 2015 London? Then you're in luck -&gt; https://t.co/emcQlS0Zmy #rstats #DataScience</t>
  </si>
  <si>
    <t>RT @earlconf: Interested in videos from EARL 2015 London? Then you're in luck -&gt; https://t.co/emcQlS0Zmy #rstats #DataScience</t>
  </si>
  <si>
    <t>Maria Teresa Ortiz</t>
  </si>
  <si>
    <t>I am a data scientist working in ecology at CONABIO and a lecturer of statistics at ITAM.</t>
  </si>
  <si>
    <t>Mark Brandt</t>
  </si>
  <si>
    <t>Tilburg, Netherlands</t>
  </si>
  <si>
    <t>Assistant Professor of Social Psychology, Tilburg University | ♥ Burritos+Vinyl+</t>
  </si>
  <si>
    <t>Max Triba</t>
  </si>
  <si>
    <t>Omaha, NE</t>
  </si>
  <si>
    <t>Coffee &amp; Cool Tech</t>
  </si>
  <si>
    <t>Why should you come to #EARL2016? See the videos from the London EARL2015 https://t.co/TCwLzwWKCt #rstats https://t.co/1iivkaAxzx</t>
  </si>
  <si>
    <t>Matias Garcia</t>
  </si>
  <si>
    <t>Wirral, UK</t>
  </si>
  <si>
    <t>Data Scientist, KTP Research Associate at @livuni and @RiverviewLaw, guitar player and photographer.</t>
  </si>
  <si>
    <t>Tony Freitas</t>
  </si>
  <si>
    <t>Stony Brook, NY USA</t>
  </si>
  <si>
    <t>Assoc Prof of Psychology, Stony Brook University; Senior Assoc Editor, J Exp Soc Psychol; Assistant Coach, twin daughters' 2nd grade soccer team.</t>
  </si>
  <si>
    <t>Oliver Engels</t>
  </si>
  <si>
    <t>ÜT: 50.307688,8.232989</t>
  </si>
  <si>
    <t>CEO, Data Platform MVP, PASS Community Leader Germany, CRM + BI Fokus, Vita Assistance Dogs supporter, happy man</t>
  </si>
  <si>
    <t>Michelle Hoque</t>
  </si>
  <si>
    <t>St. John's, Newfoundland</t>
  </si>
  <si>
    <t>#Mysphhs Health Informatics Masters Student. Tweets on healthcare improvement, data analytics, &amp; More. @tcdalumni @memorialualumni https://t.co/X3fji2McRJ</t>
  </si>
  <si>
    <t>Modified line graph used as a title slide for a #dataviz presentation. #adobe #illustrator #ggplot #rstats https://t.co/XLQZlrFRJ0</t>
  </si>
  <si>
    <t>For all my #rstats folks out there https://t.co/rHNXXBKvVg</t>
  </si>
  <si>
    <t>#market #rstats #influence competition is already scraping so you better get started https://t.co/FPVChmOLV9</t>
  </si>
  <si>
    <t>New CRAN package getPass with initial version 0.1-0 https://t.co/0QdYpl5sce #rstats</t>
  </si>
  <si>
    <t>New CRAN package rnrfa with initial version 0.4.3 https://t.co/0QdYpl5sce #rstats</t>
  </si>
  <si>
    <t>New CRAN package WACS with initial version 1.0 https://t.co/0QdYpl5sce #rstats</t>
  </si>
  <si>
    <t>CRAN updates: addhaz bcRep CARBayesST checkmate htmlwidgets LMest ltmle luzlogr OpenMx rstatscn https://t.co/y5W2NTKSXT #rstats</t>
  </si>
  <si>
    <t>Web scraping with R https://t.co/kxYNC7ypMU #rstats #DataScience</t>
  </si>
  <si>
    <t>RT @Rbloggers: Web scraping with R https://t.co/kxYNC7ypMU #rstats #DataScience</t>
  </si>
  <si>
    <t>Matt</t>
  </si>
  <si>
    <t>Rcpp: Making R Applications Go Faster and Further @eddelbuettel @earlconf 2015 https://t.co/5FoEzhGqWB https://t.co/cktbpEplOc #rstats #rcpp</t>
  </si>
  <si>
    <t>C++, Generic Programming, GPGPU, HPC, Machine Learning, Numerics, Parallel Computing, Quantitative Finance</t>
  </si>
  <si>
    <t>RT @matt_dz: Rcpp: Making R Applications Go Faster and Further @eddelbuettel @earlconf 2015 https://t.co/5FoEzhGqWB https://t.co/cktbpEplOc…</t>
  </si>
  <si>
    <t>RT @CRANberriesFeed: New CRAN package getPass with initial version 0.1-0 https://t.co/0QdYpl5sce #rstats</t>
  </si>
  <si>
    <t>Tim Moore</t>
  </si>
  <si>
    <t>An analyst by trade but a programmer by heart. Do various civic and public service projects. Love impacting the world with data. #BigData #MachineLearning</t>
  </si>
  <si>
    <t>varshaa</t>
  </si>
  <si>
    <t>Michael Stumpf</t>
  </si>
  <si>
    <t>RT @csgillespie: Course announcement: Interactive graphics with shiny #rstats #shiny https://t.co/YZqOtSt3ND</t>
  </si>
  <si>
    <t>Covering systems biology; cell fate decision making; molecular networks and information processing; statistical inference; ABC; inverse problems; #JuliaLang</t>
  </si>
  <si>
    <t>José Carlos García</t>
  </si>
  <si>
    <t>Software craftsmanship advocate, avid reader, amateur geologist and astronomer.</t>
  </si>
  <si>
    <t>Full house at our #BerlinRUG #meetup at @Hypoport tonight! #rstats https://t.co/0hxrDULYJ3</t>
  </si>
  <si>
    <t>.@TwinGuyBerlin taking the stage (again), talking about normalization in #rstats at our #BerlinRUG #meetup https://t.co/PISB6CQHWk</t>
  </si>
  <si>
    <t>Dustin Albert</t>
  </si>
  <si>
    <t>Developmental scientist at Bryn Mawr College.</t>
  </si>
  <si>
    <t>Christine Baugh</t>
  </si>
  <si>
    <t>Thanks @Anas_ET for teaching us about parallel processing &amp; #rstats @HPDSLab meeting today. #NerdAlert #DataScience</t>
  </si>
  <si>
    <t>Health Policy PhD student @Harvard. Concussion work @SportsMedBoston. Health Policy Data Science @HPDSLab. Lover of sports. Promoter of health.</t>
  </si>
  <si>
    <t>Brian Knutson</t>
  </si>
  <si>
    <t>affect mapping / acid jazz</t>
  </si>
  <si>
    <t>RT @Rbloggers: Science announces a new short-form video competition – beginning March 7th https://t.co/fPM6RnbI2r #rstats #DataScience</t>
  </si>
  <si>
    <t>Paul Smyth</t>
  </si>
  <si>
    <t>Theoretical Physicist turned Data Scientist. Deloitte Belgium.</t>
  </si>
  <si>
    <t>claudia engel</t>
  </si>
  <si>
    <t>Diversity scholarships now available for @useR_Stanford 2016 #rstats https://t.co/D7eW7eCK3x</t>
  </si>
  <si>
    <t>academic technologist, anthropologist, and sometimes musician #oboe #stanfordats</t>
  </si>
  <si>
    <t>Refactoring feels *almost* as good as cleaning out the garage. #rstats https://t.co/qKt2IjCD0N</t>
  </si>
  <si>
    <t>Build Fully Connected Neural Network from Scratch https://t.co/hunDkzVJ39 #deeplearning #rstats via @Rbloggers https://t.co/9HzkhbZZTt</t>
  </si>
  <si>
    <t>RT @datiobdEng: Build Fully Connected Neural Network from Scratch https://t.co/hunDkzVJ39 #deeplearning #rstats via @Rbloggers https://t.co…</t>
  </si>
  <si>
    <t>#pdxrlang meetup 9 May https://t.co/U3BV4RF8Yl Collaborative coding with GitHub and @rstudio server #rstats</t>
  </si>
  <si>
    <t>#pdxrlang meetup 9 May https://t.co/xtjUG6mveE Collaborative coding with GitHub and @rstudio server #rstats</t>
  </si>
  <si>
    <t>Victoria Holt</t>
  </si>
  <si>
    <t>RT @DataCamp: Don't get confused when working with @HansRosling &amp; other #Scientists from #Europe https://t.co/qTr4TchSWP #rstats https://t.…</t>
  </si>
  <si>
    <t>Bath, UK</t>
  </si>
  <si>
    <t>Database Architect &amp; Senior DBA - SQL Server. Passionately curious about Data, Databases and Systems Complexity. PhD database researcher. Musician: trombone</t>
  </si>
  <si>
    <t>Always a great feeling to use new tricks with old code to clean it up! #rstats https://t.co/U8I5D92iD6</t>
  </si>
  <si>
    <t>Sonia Gill</t>
  </si>
  <si>
    <t>All tweets made in a personal capacity</t>
  </si>
  <si>
    <t>RT @USGS_R: Always a great feeling to use new tricks with old code to clean it up! #rstats https://t.co/U8I5D92iD6</t>
  </si>
  <si>
    <t>@rstudio @rstudiotips Dumb as it sounds, an addin to rename dataframe columns would rock. Anyone written one yet? #rstats</t>
  </si>
  <si>
    <t>RT @pdxrlang: #pdxrlang meetup 9 May https://t.co/xtjUG6mveE Collaborative coding with GitHub and @rstudio server #rstats</t>
  </si>
  <si>
    <t>I have heard great things about this one ;) (happy to field any Qs re suitability) https://t.co/jW0t6gjT7B #rstats https://t.co/YdVuFcXhyQ</t>
  </si>
  <si>
    <t>HELIOP</t>
  </si>
  <si>
    <t>PARIS</t>
  </si>
  <si>
    <t>Inventeur d'applications complexes et mobiles</t>
  </si>
  <si>
    <t>Ryan Hafen</t>
  </si>
  <si>
    <t>Cool - rbokeh in O'Reilly data newsletter https://t.co/YBjAttSRUo #rstats @BokehPlots</t>
  </si>
  <si>
    <t>statistician, data scientist, independent consultant, adjunct asst. prof. @Purdue - http://t.co/QQ3yhA5oRD, https://t.co/D0ML52nqSI, @TesseraIO</t>
  </si>
  <si>
    <t>Interactive visualization of multivariate data in R with https://t.co/VScNToV0nD https://t.co/CWsDbloYLr #rstats https://t.co/g0stJTB9pE</t>
  </si>
  <si>
    <t>First steps with Non-Linear Regression in R https://t.co/OcrP7kVdVB #rstats</t>
  </si>
  <si>
    <t>RT @revodavid: Interactive visualization of multivariate data in R with https://t.co/VScNToV0nD https://t.co/CWsDbloYLr #rstats https://t.c…</t>
  </si>
  <si>
    <t>Jesús I.</t>
  </si>
  <si>
    <t>Cuerna</t>
  </si>
  <si>
    <t>I'm an economist graduated from CIDE and nowadays I work as a public official. Also, a former international debate champion</t>
  </si>
  <si>
    <t>ggplot2 tip: plot in a loop with aes_string https://t.co/09aGTm6Xgd https://t.co/yC5JnVDMUW #rstats</t>
  </si>
  <si>
    <t>Mike Freeman</t>
  </si>
  <si>
    <t>Introduction to using @rstudio's Shiny framework for making web applications in R: https://t.co/PaIKk1Atbi #rstats https://t.co/601RtjzPH0</t>
  </si>
  <si>
    <t>Turning data into information</t>
  </si>
  <si>
    <t>Mike DeCrescenzo</t>
  </si>
  <si>
    <t>Proto-professional nerd. PhD student @UWMadison, @uwpolisci, @ElectionsCenter. U.S. electoral politics, representation, methods. @Mizzou alum. GIF connoisseur</t>
  </si>
  <si>
    <t>#pdxrlang meetup 5 Apr https://t.co/HQf2VuN79E NLP meets Politics - Experiment­s w/ Word-Vectors and 2016 Campaign Debate Rhetoric #rstats</t>
  </si>
  <si>
    <t>#pdxrlang meetup 5 Apr https://t.co/ISa59DhIEN NLP meets Politics - Experiment­s w/ Word-Vectors and 2016 Campaign Debate Rhetoric #rstats</t>
  </si>
  <si>
    <t>RT @pdxrlang: #pdxrlang meetup 5 Apr https://t.co/ISa59DhIEN NLP meets Politics - Experiment­s w/ Word-Vectors and 2016 Campaign Debate R…</t>
  </si>
  <si>
    <t>RT @jenstirrup: 10 great books about R: https://t.co/apSVPRgxdB #abdsc #Rstats #DataScience by @DataScienceCtrl via @KirkDBorne</t>
  </si>
  <si>
    <t>Passing arguments to an R script from command lines https://t.co/eZGewFALxy #rstats</t>
  </si>
  <si>
    <t>rubus idaeus</t>
  </si>
  <si>
    <t>Versuch mal, was über die Anbindung von #Rustlang an #Rstats zu googeln. Kriegste graue Haare /o\</t>
  </si>
  <si>
    <t>yet another angry feminist™ • computer science/data stuff [R, python] • de/en • https://t.co/5vyJpSPebD https://t.co/5KxSMaLuld • profile pic: wikimedia commons</t>
  </si>
  <si>
    <t>Robin Penfold</t>
  </si>
  <si>
    <t>Having fun with #rstats, #rmarkdown and #jekyll. Using it to report my little #PremierLeague competition. https://t.co/cVoN3LpfHm</t>
  </si>
  <si>
    <t>Using #DataScience to improve research on #AssetManagers @AssetOwners (https://t.co/Lk69wswTGs). Chair, Investment Committee @TheSPP1</t>
  </si>
  <si>
    <t>Jeremy Freese</t>
  </si>
  <si>
    <t>Sort of like the XPrizes, I wonder if I could offer RPrize bounty for someone to translate my grad class Stata examples into R. #rstats</t>
  </si>
  <si>
    <t>Palo Alto</t>
  </si>
  <si>
    <t>Social scientist. Stanford University. Prone to microaddictions and odd enthusiasms (often in tandem).</t>
  </si>
  <si>
    <t>Web scraping with R: (This article was first published on BNOSAC - Belgium Network of ... https://t.co/kekJIjslEz @rbloggers #rstats</t>
  </si>
  <si>
    <t>Generating and Visualizing Multivariate Data with R https://t.co/ugnL3lMwBH #rstats #DataScience</t>
  </si>
  <si>
    <t>Nujcharee</t>
  </si>
  <si>
    <t>North Yorkshire, UK</t>
  </si>
  <si>
    <t>Business Intelligence + data enthusiast #datascience #machinelearnibg #api #powerbi #azureml #ssrs #ssas #opendata #mindfulness I love data &amp; meditaion :)</t>
  </si>
  <si>
    <t>RT @Rbloggers: Generating and Visualizing Multivariate Data with R https://t.co/ugnL3lMwBH #rstats #DataScience</t>
  </si>
  <si>
    <t>Emily Harajuku</t>
  </si>
  <si>
    <t>RT @BerlinRUG: Full house at our #BerlinRUG #meetup at @Hypoport tonight! #rstats https://t.co/0hxrDULYJ3</t>
  </si>
  <si>
    <t>Canada!</t>
  </si>
  <si>
    <t>Carol A. Willson</t>
  </si>
  <si>
    <t>Manhattan, HARLEM, NewYork</t>
  </si>
  <si>
    <t>I am a mother of 8. Their ages are 27,25,21,18,15,14,10, and 9 years old! I have 4 boys and 4 girls. I love my family. #blessing #proudmom #feelinggreatful</t>
  </si>
  <si>
    <t>Kevin is teaching us all the basic #rstats functions we didn't know before. Also, why 1 is not an int. #BerlinRUG https://t.co/TBYXDxIm7Z</t>
  </si>
  <si>
    <t>Daijiang Li</t>
  </si>
  <si>
    <t>Confession: I am a terrible files organizer: I cannot find my #rstats codes for figure 2 in my first chapter, which was done 2.5yrs ago...</t>
  </si>
  <si>
    <t>Ph.D candidate, University of Wisconsin-Madison. Plant community ecologist; Statistician; R user. ORCID: http://t.co/K9e9czujne</t>
  </si>
  <si>
    <t>dorou</t>
  </si>
  <si>
    <t>Athens  Greece</t>
  </si>
  <si>
    <t>Statistician</t>
  </si>
  <si>
    <t>Even https://t.co/43lKHQMPIb let me down. So, if you happen to know if there's sth. like Rcpp for #rustlang, please let me know. #rstats</t>
  </si>
  <si>
    <t>Michael &amp; Hauke about their environmental modeling as the last of our 3 impromptu #rstats pres tonight. #BerlinRUG https://t.co/gyLeEnA7x1</t>
  </si>
  <si>
    <t>I bet this dude is coding #rstats https://t.co/t4ZrIm59sd</t>
  </si>
  <si>
    <t>Alistair McGowan</t>
  </si>
  <si>
    <t>A Field in Scotland</t>
  </si>
  <si>
    <t>Self-employed quantitative palaeobiologist, geologist, natural historian, hillwalker/runner, cyclist. Unreconstructed child of the Enlightenment.</t>
  </si>
  <si>
    <t>Softblocking random ppl who add me to lists because I dared to tweet under #rstats. OK we got you can write a Twitter bot. Now stop, please.</t>
  </si>
  <si>
    <t>Forget it! Coding is hard work, but it's worth the effort when you get desired output. #rstats</t>
  </si>
  <si>
    <t>Kozo Nishida</t>
  </si>
  <si>
    <t>bioinformaticsデスマ中</t>
  </si>
  <si>
    <t>userR! Stanford</t>
  </si>
  <si>
    <t>useR is offering diversity scholarships this year. #rstats https://t.co/WrPPKw1wxz</t>
  </si>
  <si>
    <t>Stanford, CA</t>
  </si>
  <si>
    <t>Official twitter account of useR! 2016 to be held at Stanford June 27-30, 2016. http://t.co/5haiFr3CZB</t>
  </si>
  <si>
    <t>RT @jenstirrup: 10 great books about R: https://t.co/gSxzz0x43T #abdsc #Rstats #DataScience by @DataScienceCtrl via @KirkDBorne</t>
  </si>
  <si>
    <t>RT @useR_Stanford: useR is offering diversity scholarships this year. #rstats https://t.co/WrPPKw1wxz</t>
  </si>
  <si>
    <t>Setting up the #Twitter R package for text analytics https://t.co/YWa37C0nsh #rstats #DataScience</t>
  </si>
  <si>
    <t>RT @kierisi: Modified line graph used as a title slide for a #dataviz presentation. #adobe #illustrator #ggplot #rstats https://t.co/XLQZl…</t>
  </si>
  <si>
    <t>Kusan</t>
  </si>
  <si>
    <t>Delhi, India</t>
  </si>
  <si>
    <t>Research scholar(Computer Science) at SC&amp;SS, JNU, New Delhi. Working towards my PhD :)</t>
  </si>
  <si>
    <t>RT @hafenstats: Cool - rbokeh in O'Reilly data newsletter https://t.co/YBjAttSRUo #rstats @BokehPlots</t>
  </si>
  <si>
    <t>#rstats / #bioconductor New Package Submission Deadline March 25 https://support.bioconductor,org/p/78868/</t>
  </si>
  <si>
    <t>Web scraping with R https://t.co/vJSoVuoqI5 #rstats</t>
  </si>
  <si>
    <t>Spatial and Temporal Viz of Gas Price, in France https://t.co/tQoWx43PRE #rstats</t>
  </si>
  <si>
    <t>RT @Bioconductor: #rstats / #bioconductor New Package Submission Deadline March 25 https://support.bioconductor,org/p/78868/</t>
  </si>
  <si>
    <t>New CRAN package Evomorph with initial version 0.9 https://t.co/0QdYpl5sce #rstats</t>
  </si>
  <si>
    <t>New CRAN package jmuOutlier with initial version 1.0 https://t.co/0QdYpl5sce #rstats</t>
  </si>
  <si>
    <t>#vegalite #rstats https://t.co/SQGnwJfgJq</t>
  </si>
  <si>
    <t>I'd like to convert a data.frame in #rstats to an object with CSV formatting directly. Like: newdat &lt;- write.csv(dat) Suggestions?</t>
  </si>
  <si>
    <t>#rstats logging in-line todos in knitr documents. it's something i'm playing with. https://t.co/tv5wtxFmKW</t>
  </si>
  <si>
    <t>In good news, it looks like the large dataset (600K rows) is going to be no problem from a computational standpoint. #Rstats</t>
  </si>
  <si>
    <t>Rocky</t>
  </si>
  <si>
    <t>Brooklyn, New York</t>
  </si>
  <si>
    <t>Award-Winning Journalist, Producer, Writer &amp; TV Personality #NPR #WNYC #PBS #NBC Bullying Sucks.Don't be a Sucka. Follow my Journey on #MTV http://t.co/vaIRAaMJ</t>
  </si>
  <si>
    <t>Drewrey Lupton</t>
  </si>
  <si>
    <t>Implementing a logger in R, and lazy evaluation strikes again! Don't forget to wrap a paste with eval. #rstats</t>
  </si>
  <si>
    <t>Make love, life, software.</t>
  </si>
  <si>
    <t>This looks useful! https://t.co/f1VztszneH #rstats #rustlang Thanks to @Argorak</t>
  </si>
  <si>
    <t>Thomas Lumley</t>
  </si>
  <si>
    <t>Auckland (mostly)</t>
  </si>
  <si>
    <t>Statistics. Genetics. Computing. Choral music. Product of more than one country. May contain nuts.</t>
  </si>
  <si>
    <t>Alex Hanna</t>
  </si>
  <si>
    <t>This is a newb #rstats question, but is there an equivalent to Python's slice notation? e.g. a[3:] or a[:3]</t>
  </si>
  <si>
    <t>PhD candidate @UWSoc: social movements, media, computational social science. Trans. Derby: @MadRollinDolls. Blog: @BadHessian. Pronouns: she/her | they/them.</t>
  </si>
  <si>
    <t>@THR so I have my answer for #Bones :) #rstats https://t.co/IeSflxG8VO https://t.co/XtN1KBGKlB</t>
  </si>
  <si>
    <t>David Winter</t>
  </si>
  <si>
    <t>Tempe, AZ, USA</t>
  </si>
  <si>
    <t>Geek of many colours, kiwi postdoc-ing in the US. Doesn't quite understand how anyone can do science without wanting to tell the world about it</t>
  </si>
  <si>
    <t>Christina Bergmann</t>
  </si>
  <si>
    <t>Cognitive Scientist, studying early language acquisition. Or: Wondering what babies actually do and what models and theories say they should be doing.</t>
  </si>
  <si>
    <t>Karen Cranston</t>
  </si>
  <si>
    <t>geeky evolutionary biologist @DukeU and @opentreeoflife</t>
  </si>
  <si>
    <t>First steps with Non-Linear Regression in R https://t.co/NAxWXS8nk6 #rstats #basicstatistics #linearregression #nls</t>
  </si>
  <si>
    <t>David Stephens</t>
  </si>
  <si>
    <t>Learn R in a Day</t>
  </si>
  <si>
    <t>Web scraping with R: https://t.co/SRItKcXyGb #rstats #WebScraping #programming #coding #OpenSource #BigData #DataScience #DataAnalytics</t>
  </si>
  <si>
    <t>Provides the reader with key programming skills through an examples-oriented approach. Assumes no prior knowledge. Ideal for academics, scientists &amp; engineers.</t>
  </si>
  <si>
    <t>RT @LearnRinaDay: Web scraping with R: https://t.co/SRItKcXyGb #rstats #WebScraping #programming #coding #OpenSource #BigData #DataScience …</t>
  </si>
  <si>
    <t>Deepesh Desai</t>
  </si>
  <si>
    <t>RT @v_vashishta: Setting up the #Twitter R package for text analytics https://t.co/YWa37C0nsh #rstats #DataScience</t>
  </si>
  <si>
    <t xml:space="preserve">Johannesburg, South Africa </t>
  </si>
  <si>
    <t>Aspiring actuary, aspiring athlete, aspiring politician, aspiring teacher, leader, entrepreneur, stand up comedian, basically all still a work in progress!</t>
  </si>
  <si>
    <t>MINAKA Nobuhiro</t>
  </si>
  <si>
    <t>RT @CRANberriesFeed: New CRAN package Evomorph with initial version 0.9 https://t.co/0QdYpl5sce #rstats</t>
  </si>
  <si>
    <t>オモテの仕事は生物統計学の研究者，ウラの仕事は進化生物学者です．日々の記録は「dagboek」 http://t.co/ZUXEJ7Y4Km にて，また本に関わることは「leeswijzer」 http://t.co/OyvYEPDu6D で公開中．</t>
  </si>
  <si>
    <t>Kafkas Caprazli</t>
  </si>
  <si>
    <t>Rome-Italy</t>
  </si>
  <si>
    <t>Working at FAO of the UN - for a world free of hunger: #ICAS2016 #SDGs. Tweets are personal. I'm trying to think, don't confuse me with facts.</t>
  </si>
  <si>
    <t>Dirk Schumacher</t>
  </si>
  <si>
    <t>Rotavirus cases in Germany. Testing gganimate for #rstats. Thanks @drob, great package! Data from @rki_de https://t.co/VwlHLPsIZU</t>
  </si>
  <si>
    <t>R, data science, optimization, data viz., functional programming, infectious disease epi., global health, bla bla bla</t>
  </si>
  <si>
    <t>Med Lazhari</t>
  </si>
  <si>
    <t>Marrakech</t>
  </si>
  <si>
    <t>My care is to develop wonderful secure software applications keeping using the best practices to respond in the best way to the business needs.</t>
  </si>
  <si>
    <t>Venkatesh Balakumar</t>
  </si>
  <si>
    <t>Interim CTO/CIO, Entrepreneur, Author, SOA, Big Data, IoT, Data Science, Mobile &amp; Cloud.</t>
  </si>
  <si>
    <t>RT @datascienceplus: First steps with Non-Linear Regression in R https://t.co/NAxWXS8nk6 #rstats #basicstatistics #linearregression #nls</t>
  </si>
  <si>
    <t>Airwrecka Bahdew</t>
  </si>
  <si>
    <t>Canaderp</t>
  </si>
  <si>
    <t>Scientist learning about microbial ecology. Passionate about bubble wrap and nap-crastination. Many things interest me. Sometimes I tweet them.</t>
  </si>
  <si>
    <t>In-depth introduction to machine learning in 15 hours of expert videos https://t.co/OPOuufiq0a #rstats</t>
  </si>
  <si>
    <t>Qualitative data coding (ala NVivo) using R: Welcome to RQDA Project https://t.co/1udDYC1EE3 #rstats</t>
  </si>
  <si>
    <t>MedMen</t>
  </si>
  <si>
    <t>Tustin, CA</t>
  </si>
  <si>
    <t>MedMen is a team of specialists schooled in the anatomy of health care animation and video. Call 714-734-0372 or visit http://t.co/VOxPLTrXmy.</t>
  </si>
  <si>
    <t>RT @dirk_sch: Rotavirus cases in Germany. Testing gganimate for #rstats. Thanks @drob, great package! Data from @rki_de https://t.co/VwlHLP…</t>
  </si>
  <si>
    <t>RT @hrbrmstr: #vegalite #rstats https://t.co/SQGnwJfgJq</t>
  </si>
  <si>
    <t>data science lab</t>
  </si>
  <si>
    <t>RT @christinebaugh: Thanks @Anas_ET for teaching us about parallel processing &amp; #rstats @HPDSLab meeting today. #NerdAlert #DataScience</t>
  </si>
  <si>
    <t>The Health Policy Data Science Lab is an informal group of researchers at Harvard developing statistical methods for health policy; led by @bioannie/@sherrirose</t>
  </si>
  <si>
    <t>Knut Behrends</t>
  </si>
  <si>
    <t>Interests include computer programming, science and technology, photography, sports, history... Views expressed are my own.</t>
  </si>
  <si>
    <t>@alexhanna #rstats avoids context-dependent indexing, but head() and tail() do similar things. Or substr() for strings.</t>
  </si>
  <si>
    <t>Adam Giambrone</t>
  </si>
  <si>
    <t>Toronto and Montreal, Canada</t>
  </si>
  <si>
    <t>Former Chair of the Toronto Transit Commission (TTC) and transportation consultant.</t>
  </si>
  <si>
    <t>Michael Sachs</t>
  </si>
  <si>
    <t>If you are using plotROC in #rstats an want to customize the label locations, here's a workaround: https://t.co/2dr3skGBHj</t>
  </si>
  <si>
    <t>Did you read the manual?</t>
  </si>
  <si>
    <t>Tim Foster</t>
  </si>
  <si>
    <t>Reproducible policy documents? https://t.co/ac0XOdQqhe #rstats #rmarkdown</t>
  </si>
  <si>
    <t>Uddingston</t>
  </si>
  <si>
    <t>Cyclist, Mapper, Ecologist, Geekster.</t>
  </si>
  <si>
    <t>Marcelo Cerullo</t>
  </si>
  <si>
    <t>student, fiction devourer, amateur footballer, gustatory enthusiast</t>
  </si>
  <si>
    <t>In which @RverbsR discovers S3 #rstats https://t.co/p6c44B1WGM</t>
  </si>
  <si>
    <t>How To Forecast With Tableau And R https://t.co/6qOVz2CzBf #rstats #DataScience</t>
  </si>
  <si>
    <t>How to Upgrade R Without Losing Your Packages https://t.co/txR5UQPJrO #rstats #DataScience</t>
  </si>
  <si>
    <t>How to Add WAR Metrics to your Lahman Database https://t.co/3vX6VFiO0V #rstats #DataScience</t>
  </si>
  <si>
    <t>RT @Rbloggers: How To Forecast With Tableau And R https://t.co/6qOVz2CzBf #rstats #DataScience</t>
  </si>
  <si>
    <t>RT @Rbloggers: How to Upgrade R Without Losing Your Packages https://t.co/txR5UQPJrO #rstats #DataScience</t>
  </si>
  <si>
    <t>RT @Rbloggers: How to Add WAR Metrics to your Lahman Database https://t.co/3vX6VFiO0V #rstats #DataScience</t>
  </si>
  <si>
    <t>Gordon Shotwell</t>
  </si>
  <si>
    <t>Lawyer, Statistical Programmer, Meditator</t>
  </si>
  <si>
    <t>Generating and Visualizing Multivariate Data with R https://t.co/R1WdHVnq5r #rstats</t>
  </si>
  <si>
    <t>David M. Weigl</t>
  </si>
  <si>
    <t>Music, information, cognition, and cheesecake (auditory or otherwise).</t>
  </si>
  <si>
    <t>CRAN updates: apt erer ggdendro ggpmisc highcharter MetFns PBImisc perARMA usl vcdExtra https://t.co/y5W2NTKSXT #rstats</t>
  </si>
  <si>
    <t>Deval</t>
  </si>
  <si>
    <t xml:space="preserve">houston tx </t>
  </si>
  <si>
    <t>Computational Scientist , Future Energy Enthusiast #predictiveanalytics #Sustainability #DataScience #EnergyFuture</t>
  </si>
  <si>
    <t>"Google Analytics Dashboards with R &amp; Shiny" by @mcpasin https://t.co/LbY84AYumg #rstats #dataviz #dashboards https://t.co/EFQ2ukQhZU</t>
  </si>
  <si>
    <t>H Dugan</t>
  </si>
  <si>
    <t>Reservoir art, courtesy of Canyon Lake, Texas #limnology #lakeart #rstats @accidental__aRt https://t.co/Uv9n9xyXAr</t>
  </si>
  <si>
    <t>Limnologist. Pocket enthusiast. Ben: You have an opinion on pockets! Leslie: Yes! I think they should all be bigger!</t>
  </si>
  <si>
    <t>Nora Turoman</t>
  </si>
  <si>
    <t>Experimental psych grad student @UniofOxford researching perception, crossmodal &amp; multisensory processes. Geek. Aesthete me lives here: https://t.co/9WI1B1qCkO</t>
  </si>
  <si>
    <t>Ross Virginia</t>
  </si>
  <si>
    <t>RT @hildug: Reservoir art, courtesy of Canyon Lake, Texas #limnology #lakeart #rstats @accidental__aRt https://t.co/Uv9n9xyXAr</t>
  </si>
  <si>
    <t>Hanover, NH, USA</t>
  </si>
  <si>
    <t>Director Inst of Arctic Studies @DartArctic, Prof. Envl Studies @Dartmouth, Co- lead scholar Fulbright Arctic Initiative @FulbrightArctic, Antarctic ecologist</t>
  </si>
  <si>
    <t>Istvan Hajnal</t>
  </si>
  <si>
    <t>Boutersem, Belgium</t>
  </si>
  <si>
    <t>|Statistics | Market Research | Survey Methodology | Data Science| Big Data Analytics|Data Journalism |Python,R, SPSS, SAS, Groovy| Gfk |</t>
  </si>
  <si>
    <t>Jan vdS</t>
  </si>
  <si>
    <t>RT @dataandme: "Google Analytics Dashboards with R &amp; Shiny" by @mcpasin https://t.co/LbY84AYumg #rstats #dataviz #dashboards https://t.co/E…</t>
  </si>
  <si>
    <t>Reluctant stockbroker. Hopes to send capital in the right direction; currently working on constructing the algorithm to culture score corporations.</t>
  </si>
  <si>
    <t>Know what you want to do but can't find a fx in #rstats? search using RSiteSearch("AICc", restrict="functions") arg1 = string, arg2 = format</t>
  </si>
  <si>
    <t>Ezra Brooks</t>
  </si>
  <si>
    <t>East Lansing, MI</t>
  </si>
  <si>
    <t>If you can solve it, it is an exercise; otherwise it's a research problem. -- Richard Bellman</t>
  </si>
  <si>
    <t>Camilo  Garavito</t>
  </si>
  <si>
    <t xml:space="preserve">Madrid - Spain  </t>
  </si>
  <si>
    <t>International Project Manager #PMI #PRINCE2 #PMO #HCMBOK #AGILE #BIGDATA Love languages, swimming &amp; biking. Optimism drive all my thoughts &amp; actions!</t>
  </si>
  <si>
    <t>helena*hmd</t>
  </si>
  <si>
    <t>So Curious and so Adventrures, lets see how these two drive my life ....</t>
  </si>
  <si>
    <t>Anas ET</t>
  </si>
  <si>
    <t>Healthcare policy, practice and research.</t>
  </si>
  <si>
    <t>JoseMiguel Benavente</t>
  </si>
  <si>
    <t>Ingeniero y Economista. Actualmente, Jefe de la División de Innovación y Competitividad del BID. Comentarios son personales.</t>
  </si>
  <si>
    <t>Tim Radtke</t>
  </si>
  <si>
    <t>RT @BerlinRUG: Kevin is teaching us all the basic #rstats functions we didn't know before. Also, why 1 is not an int. #BerlinRUG https://t.…</t>
  </si>
  <si>
    <t>Statistics student. Performing SQL queries @AmorelieDE. Previously at Tado, ZEW, and SAP.</t>
  </si>
  <si>
    <t>Anthony</t>
  </si>
  <si>
    <t>Thx again to @BoraBeran and @mariojasper1s for their presentations at last night's @SeattleTUG! #rstats, @tableau tips and great community!</t>
  </si>
  <si>
    <t>@Tableau Community Ambassador @Slalom Information Management &amp; Analytics Consultant, viz enthusiast, SeaTUG leader and father of 2. Be good to each other.</t>
  </si>
  <si>
    <t>Dan Montgomery</t>
  </si>
  <si>
    <t>RT @Agould15: Thx again to @BoraBeran and @mariojasper1s for their presentations at last night's @SeattleTUG! #rstats, @tableau tips and gr…</t>
  </si>
  <si>
    <t>@tableau Data Visualizer, Business Intelligence Engineer for @AmazonVideo sportsball enthusiast. Opinions and statements are my own.</t>
  </si>
  <si>
    <t>Tableau Viz Feed</t>
  </si>
  <si>
    <t>Tableau Twitter Bot</t>
  </si>
  <si>
    <t>I retweet #tableau and @tableau! Follow to get a feed of all that is tweeted about Tableau! Created by @xlth. Statistics on: https://t.co/mGJYEhHGjm</t>
  </si>
  <si>
    <t>today’s lesson: Mercator has latitude limit ~80-85 degrees. hence ambiguous #rstats error. #gis #workwithdata https://t.co/Y2Atz5kQ2Y :)</t>
  </si>
  <si>
    <t>Can anyone share some good #rstats resources to help teach undergrads how to merge datasets? cc: @jalapic @UTVilla</t>
  </si>
  <si>
    <t>Doug Wiig</t>
  </si>
  <si>
    <t>Urbandale, IA, USA</t>
  </si>
  <si>
    <t>Professor of Political Science, Grand View University. Interests include Raspberry Pi computers and the R statistics programming language.</t>
  </si>
  <si>
    <t>Tara McAllister Byun</t>
  </si>
  <si>
    <t>This joke does not work in my dialect of lme4. #rstats https://t.co/vRRLTweNR3</t>
  </si>
  <si>
    <t>Linguist and SLP at NYU</t>
  </si>
  <si>
    <t>Katharina Best</t>
  </si>
  <si>
    <t>Naumburg (Saale)</t>
  </si>
  <si>
    <t>Daten, Analyse, Visualisierung</t>
  </si>
  <si>
    <t>RT @LeahAWasser: today’s lesson: Mercator has latitude limit ~80-85 degrees. hence ambiguous #rstats error. #gis #workwithdata https://t.co…</t>
  </si>
  <si>
    <t>Alexander Lex</t>
  </si>
  <si>
    <t>For all the #rstats fans: there is also an R version of UpSet for your set visualization needs https://t.co/1FEtr9uLJ3 #datavis</t>
  </si>
  <si>
    <t>Data and Biology Visualization Researcher, Assistant Prof at the University of Utah, Caleydo Core Developer http://t.co/mXTTpNVlS3</t>
  </si>
  <si>
    <t>Humbled. My best speaking achievement: My #RStats #AzureML #SQLPass session chosen for Best of PASS Summit 2015 DVD #MVPBuzz #SQLBits #SQL16</t>
  </si>
  <si>
    <t>Sergio Pacheco</t>
  </si>
  <si>
    <t>RT @jenstirrup: Humbled. My best speaking achievement: My #RStats #AzureML #SQLPass session chosen for Best of PASS Summit 2015 DVD #MVPBuz…</t>
  </si>
  <si>
    <t>Las Cruces, NM</t>
  </si>
  <si>
    <t>SQL DBA, Azurenaut and Try-Athlete</t>
  </si>
  <si>
    <t>Dialectal variation in #rstats! How do you pronounce lmer()?</t>
  </si>
  <si>
    <t>Jake Chapman</t>
  </si>
  <si>
    <t>Lake Stevens, WA</t>
  </si>
  <si>
    <t>Business Intelligence Architect - Loves Data - Work for Philips Healthcare in Bothell WA</t>
  </si>
  <si>
    <t>Sam Kirkham</t>
  </si>
  <si>
    <t>RT @ByunLab: Dialectal variation in #rstats! How do you pronounce lmer()?</t>
  </si>
  <si>
    <t>Lancaster, UK</t>
  </si>
  <si>
    <t>Lecturer in Sociophonetics @LancasterUni @LAEL_LU @PhoneticsLab. Musician (drums, guitar, computers).</t>
  </si>
  <si>
    <t>Daphna</t>
  </si>
  <si>
    <t>Assistant Professor of Applied Statistics with the #PRIISMCenter at @nyusteinhardt. McGill Math and Stats alum. All opinions are my own.</t>
  </si>
  <si>
    <t>twilight zone [of statistics] https://t.co/mdArRc24f5 #rstats #DataScience</t>
  </si>
  <si>
    <t>RT @Rbloggers: twilight zone [of statistics] https://t.co/mdArRc24f5 #rstats #DataScience</t>
  </si>
  <si>
    <t>[devəd læko]</t>
  </si>
  <si>
    <t>Kelowna, British Columbia</t>
  </si>
  <si>
    <t>Scuba diver, researcher in language revitalization and videogaming, general love for computing. President of @ilsaubco and Internal Coordinator of UBCO SCUBA.</t>
  </si>
  <si>
    <t>How to find the square root of a number in R without using any function? https://t.co/71QjDTgQ7G #rstats #helpdatascientist #datascience</t>
  </si>
  <si>
    <t>Leopold Lab</t>
  </si>
  <si>
    <t>RT @nygreenguy: A good post on #rstats https://t.co/JkaqdNGekh @LeopoldLabESF</t>
  </si>
  <si>
    <t>Syracuse, NY</t>
  </si>
  <si>
    <t>Plant ecology lab of Donald J. Leopold SUNY-ESF</t>
  </si>
  <si>
    <t>Mark Bourget</t>
  </si>
  <si>
    <t>Generating and Visualizing Multivariate Data with R https://t.co/OlNA24fwNp #rstats</t>
  </si>
  <si>
    <t>twilight zone [of statistics] https://t.co/SpjGVQAiCH #rstats</t>
  </si>
  <si>
    <t>New CRAN package pdftools with initial version 0.1 https://t.co/0QdYpl5sce #rstats</t>
  </si>
  <si>
    <t>CRAN updates: ctsem epiR ModelMap nhanesA radarchart https://t.co/y5W2NTKSXT #rstats</t>
  </si>
  <si>
    <t>Students' shiny app on interactive map of rats in NYC #opendata #rstats https://t.co/2HCYjEzmKI .@IQuantNY https://t.co/S0ux5QBR6j</t>
  </si>
  <si>
    <t>Robert Monfera</t>
  </si>
  <si>
    <t>Making novel #reactive #d3js and #webgl visualizations</t>
  </si>
  <si>
    <t>New Shiny App: JHU Data Science Capstone Project: A shiny app in R that does https://t.co/tP7fqqnmdE #rstats https://t.co/stsoVPJnr6</t>
  </si>
  <si>
    <t>Just got my copies of Advanced R in Japanese! #rstats https://t.co/VhjguU4cDU</t>
  </si>
  <si>
    <t>RT @hadleywickham: Just got my copies of Advanced R in Japanese! #rstats https://t.co/VhjguU4cDU</t>
  </si>
  <si>
    <t>牧場のわくてか</t>
  </si>
  <si>
    <t>本棚</t>
  </si>
  <si>
    <t>Rと統計と機械学習と生物学とアニメと声優さんとアイドルと音楽の話題に反応します。</t>
  </si>
  <si>
    <t>Dr Johan Ibrahim</t>
  </si>
  <si>
    <t>Penang, Malaysia</t>
  </si>
  <si>
    <t>缶これ@ミルキィ舞台挨拶新宿</t>
  </si>
  <si>
    <t>三森すずこ</t>
  </si>
  <si>
    <t>缶これです。Askに対する回答とか、ダジャレとかがメインです。基本、真面目なことはつぶやかない人です。㋔㋟㋗じゃないけど、実況もしてました。</t>
  </si>
  <si>
    <t>(株) ずかし と たくい</t>
  </si>
  <si>
    <t>ミシシッピィ</t>
  </si>
  <si>
    <t>三度の飯より食うのが好き。脳画像解析: DTI&amp;fMRIとか 遺伝子とか 聴覚とか。アマチュア言語学者。英検３級です。</t>
  </si>
  <si>
    <t>kazutan v3.2.3</t>
  </si>
  <si>
    <t>広島</t>
  </si>
  <si>
    <t>Wooden Christmas-Tree. 短大で働いてる残念なぞうさんです。好きな拡張子は.Rmdです。小咲を応援しています。発言はすべて私的。ブログ→ https://t.co/BV7yOe5hsw</t>
  </si>
  <si>
    <t>I want to exponentially extrapolate this data https://t.co/VRE1jJw2kU for next few yrs (w/ ggplot?) but only find confusing examples #rstats</t>
  </si>
  <si>
    <t>accidental aRt</t>
  </si>
  <si>
    <t xml:space="preserve">Submit your art at: </t>
  </si>
  <si>
    <t>When data visualization goes beautifully wrong. Brought to you by @ErikaMudrak &amp; @kara_woo.</t>
  </si>
  <si>
    <t>Hiroshi Shimizu</t>
  </si>
  <si>
    <t>Hyogo, Japan</t>
  </si>
  <si>
    <t>関西学院大学で准教授をしています。 社会心理学を研究しています。また，フリーの統計解析ソフトを開発しています(http://t.co/FO8UuG35lN)。つぶやきは個人の見解で，所属機関とは関係ありません。</t>
  </si>
  <si>
    <t>Masa-aki Yoshida</t>
  </si>
  <si>
    <t>島根県 隠岐の島町</t>
  </si>
  <si>
    <t>隠岐臨海でイカのゲノムと発生やってます。シングルセルも始めました。</t>
  </si>
  <si>
    <t>いっち</t>
  </si>
  <si>
    <t>Janetter</t>
  </si>
  <si>
    <t>ただの人。今日もお酒とご飯が美味しい。RT多め。</t>
  </si>
  <si>
    <t>Pete Riess James</t>
  </si>
  <si>
    <t>How to separate values of multiple class in R? https://t.co/ULCaxmgkz1 #rstats #helpdatascientist #analytics https://t.co/RDqR35cWJz</t>
  </si>
  <si>
    <t>Kevin Connolly</t>
  </si>
  <si>
    <t>Generating and Visualizing Multivariate Data with R https://t.co/MhFxoQyPY9 #datascience #rstats #analysis #dataanalysis</t>
  </si>
  <si>
    <t>Introvert, INTJ, Democratic Socialist, Liberal Quaker, love Shoegazing, MUSIC, percussion, love nature, IT, &amp; travel https://t.co/pH047COixv</t>
  </si>
  <si>
    <t>Bricio vasquez</t>
  </si>
  <si>
    <t>Bennet Voorhees</t>
  </si>
  <si>
    <t>#Rstats tip of the day: copy and "paste" data into R by running read.delim("clipboard") after copying your data.</t>
  </si>
  <si>
    <t>NYC | Washington DC</t>
  </si>
  <si>
    <t>USITC data analyst, former @IMFnews #WEO research analyst. Data science in R + Python. Tech-tinkerer. @HopkinsNanjing grad: Sinophile. Tweets==own opinions.</t>
  </si>
  <si>
    <t>RT @QuakerHealth: Generating and Visualizing Multivariate Data with R https://t.co/MhFxoQyPY9 #datascience #rstats #analysis #dataanalysis</t>
  </si>
  <si>
    <t>Incase you missed it: My Webinar on Spatial Data Analysis with R https://t.co/XUwzFGHUpv #rstats #DataScience</t>
  </si>
  <si>
    <t>First steps with Non-Linear Regression in R https://t.co/qsAnRNSvG9 #rstats #DataScience</t>
  </si>
  <si>
    <t>Seva Gumeniuk</t>
  </si>
  <si>
    <t>RT @Rbloggers: First steps with Non-Linear Regression in R https://t.co/qsAnRNSvG9 #rstats #DataScience</t>
  </si>
  <si>
    <t>RT @Rbloggers: Incase you missed it: My Webinar on Spatial Data Analysis with R https://t.co/XUwzFGHUpv #rstats #DataScience</t>
  </si>
  <si>
    <t>B. Tyson Dube</t>
  </si>
  <si>
    <t>Marco Pasin</t>
  </si>
  <si>
    <t>venezia ✈ buenos aires</t>
  </si>
  <si>
    <t>Digital Analyst. Interested in data analytics, digital marketing , world facts. Occasional blogger &amp; avid traveler.</t>
  </si>
  <si>
    <t>Network representation and analysis in R #rstats • presentation • https://t.co/tQoYH1nOwN… https://t.co/4DlsbVPrr9</t>
  </si>
  <si>
    <t>Sean</t>
  </si>
  <si>
    <t>RT @carlcarrie: Network representation and analysis in R #rstats • presentation • https://t.co/tQoYH1nOwN… https://t.co/4DlsbVPrr9</t>
  </si>
  <si>
    <t>Computational Mathematics. Quantitative Finance. Disruptive Science. Motorcycle engineering hobbyist. #FinTech #AI #MathsIsTheFuture #ducatista</t>
  </si>
  <si>
    <t>Jose Valadez</t>
  </si>
  <si>
    <t>this is water.</t>
  </si>
  <si>
    <t>Rchaeology: Idioms of R Programming #rstats paper https://t.co/Y8yL8pSsoL</t>
  </si>
  <si>
    <t>Thanks @DominoDataLab for hosting this webinar. #Rstats https://t.co/gMbZoPoCmX</t>
  </si>
  <si>
    <t>RT @Emaasit: Thanks @DominoDataLab for hosting this webinar. #Rstats https://t.co/gMbZoPoCmX</t>
  </si>
  <si>
    <t>Fábio Dossi</t>
  </si>
  <si>
    <t>Piracicaba, São Paulo</t>
  </si>
  <si>
    <t>Biologist &amp; Entomologist (PhD). Tech, Music &amp; Nature addict. | #research #insects #microscopy #devbio #molbio #datascience #foss #naturephoto #macrophotography</t>
  </si>
  <si>
    <t>André Mafei</t>
  </si>
  <si>
    <t>Travelling around</t>
  </si>
  <si>
    <t>Google Analytics &amp; Google Tag Manager Consultant. Upmize founder (Analyze, Improve, Repeat). Money is not my God.</t>
  </si>
  <si>
    <t>久保拓弥</t>
  </si>
  <si>
    <t>北大・環境科学</t>
  </si>
  <si>
    <t>「データ解析のための統計モデリング入門: 一般化線形モデル・階層ベイズモデル・MCMC」https://t.co/0gjkwsN17x Twilog は https://t.co/Eexa83lLJ5</t>
  </si>
  <si>
    <t>k1z.tanzen</t>
  </si>
  <si>
    <t>原材料: 主として、社会心理学×コンテンツ・ビジネス×データ・サイエンス。PKD、Gnosis、サブカル、JAZZ等オタクエキス配合。効能: 潮目を読む。保存方法: 宴会場、会議室をさけて保存すること。</t>
  </si>
  <si>
    <t>Jim Z</t>
  </si>
  <si>
    <t>Ottawa</t>
  </si>
  <si>
    <t>biochem, drumming, video games and all sorts of fun things :)</t>
  </si>
  <si>
    <t>Answer? Yes. (7 of 11 atm) Still, some #rstats #dataviz EDA fun to be had though... https://t.co/brj5V7maO5</t>
  </si>
  <si>
    <t>that moment when you are teaching #rstats and you forgot to warn everyone to update their R version before class 😲😲😲</t>
  </si>
  <si>
    <t>David Thyresson</t>
  </si>
  <si>
    <t>RT @dataandme: Answer? Yes. (7 of 11 atm) Still, some #rstats #dataviz EDA fun to be had though... https://t.co/brj5V7maO5</t>
  </si>
  <si>
    <t>street art, coffee, hockey, sports data, and good design. co-founder @stattleship</t>
  </si>
  <si>
    <t>pSTS</t>
  </si>
  <si>
    <t>@mwpennell @kwbroman @JennyBryan well look at us all PhDs trying to master #rstats #R I mean that's a scientific proof! Not!</t>
  </si>
  <si>
    <t>I Am Only Six Degrees Of Separation Away From Santiago Ramón y Cajal! Biomedical Engineer, Computational Neuroscientist Wannabe- PhD'ing</t>
  </si>
  <si>
    <t>matthis</t>
  </si>
  <si>
    <t>Someone should make an #rstats binding for https://t.co/H9BJjLoyna</t>
  </si>
  <si>
    <t>RT @StatGarrett: "If #rstats were an airplane, @rstudio is the airport." Awesome intro to @rstudio by @juliesquid https://t.co/cx65uK5Udx</t>
  </si>
  <si>
    <t>RT @hadleywickham: Someone should make an #rstats binding for https://t.co/H9BJjLoyna</t>
  </si>
  <si>
    <t>岩田基広</t>
  </si>
  <si>
    <t>TOKYO</t>
  </si>
  <si>
    <t>もぎたてッR情報お届けbot</t>
  </si>
  <si>
    <t>joshua brant merrell</t>
  </si>
  <si>
    <t>Math! Chess! Data!</t>
  </si>
  <si>
    <t>Eli Knaap</t>
  </si>
  <si>
    <t>4 standard deviations above the mean</t>
  </si>
  <si>
    <t>urban/computational social science; housing, neighborhoods, inequality, segregation; spatial econometrics w/ sociological imagination; PhD candidate at UMD</t>
  </si>
  <si>
    <t>Huyen Le</t>
  </si>
  <si>
    <t>Living things lover. PhD student at VT. #planning #transportation #publictransit #walking #bike #statistics #modeling #datascience</t>
  </si>
  <si>
    <t>Mayumi</t>
  </si>
  <si>
    <t>Sapporo</t>
  </si>
  <si>
    <t>サッポロで美味しいもの食べたり、GISさわったり。千葉生まれ→東京→大阪→バンクーバー→オレゴン→東京→札幌【さっぽろ保育園マップ 】http://t.co/YS32D5GPLS 全国版 https://t.co/Lbx4HElNZ3</t>
  </si>
  <si>
    <t>Fong Chun Chan</t>
  </si>
  <si>
    <t>Can #dplyr tbl_df() work with S4 objects? https://t.co/OLiLfP60em #rstats</t>
  </si>
  <si>
    <t>#Bioinformatics #PhD Candidate, #UBC; BC #CancerResearch Centre. #rstats | #genomics | #DataScience | #BigData; Views are Mine</t>
  </si>
  <si>
    <t>加賀谷勝史</t>
  </si>
  <si>
    <t>和歌山県</t>
  </si>
  <si>
    <t>シャコパンチ研究者</t>
  </si>
  <si>
    <t>Alex Pawlowski</t>
  </si>
  <si>
    <t>Prez of @tntrivols. Mobility + #3dp @ORNL by day. Racecars, #IoT, #rstats, Urbanism + Data Science by night. | ME + MSE @UVa '14 | ESE PhD @UTKnoxville '18</t>
  </si>
  <si>
    <t>afiqcjohari</t>
  </si>
  <si>
    <t>RT @hrbrmstr: ggnetwork + ggrepel are going to be a _powerful_ combo #rstats https://t.co/WLfLDMLOHN</t>
  </si>
  <si>
    <t>luky prasetya</t>
  </si>
  <si>
    <t>Conway's Game of Zombies in #ggplot2 w/ #gganimate!! #rstats https://t.co/yipv0xsW5w Based on GOL code by @ramhiser https://t.co/94w3uRqqz7</t>
  </si>
  <si>
    <t>RT @Md_Harris: Conway's Game of Zombies in #ggplot2 w/ #gganimate!! #rstats https://t.co/yipv0xsW5w Based on GOL code by @ramhiser https://…</t>
  </si>
  <si>
    <t>Geoffrey Hannigan</t>
  </si>
  <si>
    <t>University of Michigan</t>
  </si>
  <si>
    <t>Postdoctoral Research Fellow at University of Michigan with Pat Schloss. Blogging at http://t.co/rO7KzjZnNj</t>
  </si>
  <si>
    <t>SeattleTUG</t>
  </si>
  <si>
    <t>#SeaTUG providing Seattle Tableau User Group with updates on group events and information on #Tableau</t>
  </si>
  <si>
    <t>RT @alexander_lex: For all the #rstats fans: there is also an R version of UpSet for your set visualization needs https://t.co/1FEtr9uLJ3 #…</t>
  </si>
  <si>
    <t>Kazu Ogaki</t>
  </si>
  <si>
    <t>public side of kgbu 私はいかなる分野の専門家でもありません。便利屋のおっさんです。 RTした内容はいちいち読んでないことも多いです。デマ拡散要注意人物です。死ぬ前に脳みそを作りたいです。元気玉を送ってくださると喜びます。</t>
  </si>
  <si>
    <t>ホクソリヲ</t>
  </si>
  <si>
    <t>ソドー島</t>
  </si>
  <si>
    <t>HOXOXのグリーン担当な気が。 息子の父親業(4年目)と、データ分析便利屋がお仕事。 統計/機械学習/DB/R/Python/Finance/会計/ *発言は所属する組織とは関係ありません</t>
  </si>
  <si>
    <t>Kara Woo</t>
  </si>
  <si>
    <t>Data valkyrie</t>
  </si>
  <si>
    <t>Top story: #rstats useR2016 Diversity Scholarships https://t.co/HSwcWMQ5ye, see more https://t.co/wHGxkjjAmH</t>
  </si>
  <si>
    <t>RT @tz33cu: Students' shiny app on interactive map of rats in NYC #opendata #rstats https://t.co/2HCYjEzmKI .@IQuantNY https://t.co/S0ux5QB…</t>
  </si>
  <si>
    <t>SilviculturaFCF</t>
  </si>
  <si>
    <t>FCF/UANL</t>
  </si>
  <si>
    <t>Cursos Dr. Marco González @FCF</t>
  </si>
  <si>
    <t>Barter is Evil</t>
  </si>
  <si>
    <t>Grand Forks, ND</t>
  </si>
  <si>
    <t>Economist, forecaster, economic historian, numbers guy, commentator about North Dakota economy and anything catching my eye. RTs not necessarily endorsement.</t>
  </si>
  <si>
    <t>"Generating and Visualizing Multivariate Data with #Rstats" https://t.co/t1ZXmAfFHs via @revodavid #dataviz https://t.co/cIXGnVkb5L</t>
  </si>
  <si>
    <t>After Ben Carson’s fruit salad line, can’t wait to re-run my log likelihood analyses of the #GOPdebate transcripts #rstats</t>
  </si>
  <si>
    <t>Pancho Moreno</t>
  </si>
  <si>
    <t>Investigador. Enamorado.</t>
  </si>
  <si>
    <t>''''  ''''  '''''</t>
  </si>
  <si>
    <t>北西隅</t>
  </si>
  <si>
    <t>Silly my way... 話題がばらばらですいません</t>
  </si>
  <si>
    <t>digging #vegalite facet plots (bottom of https://t.co/POhD9mZRgH) #rstats</t>
  </si>
  <si>
    <t>ホクソシエロ_悪魔の囁き</t>
  </si>
  <si>
    <t>千葉県千葉市</t>
  </si>
  <si>
    <t>関東の某大学でヒトの健康に関する研究をしています。つぶやきは所属組織を代表・代弁するものではありません。アイコン(Attribution: By Abacenis, CC3.0)</t>
  </si>
  <si>
    <t>Venn Damme</t>
  </si>
  <si>
    <t>One of the more bizarre, yet creative uses of #opendata #Shiny #RStats https://t.co/FnSaaKcs30</t>
  </si>
  <si>
    <t>World is too small</t>
  </si>
  <si>
    <t>Software professional, innovative solutions guy. Do-er. Go-getter. Leader. Follower. Talker. Sharer. Actor. Runner. Biker. Kayaker. Jack of many trades.</t>
  </si>
  <si>
    <t>RT @venkatvedam: One of the more bizarre, yet creative uses of #opendata #Shiny #RStats https://t.co/FnSaaKcs30</t>
  </si>
  <si>
    <t>Mark J. Richardson</t>
  </si>
  <si>
    <t>Nullius in verba.' Father, Husband, IT Business Owner, Taxpayer, Voter &amp; Citizen of East-End Toronto. SAP Analytics Software-Nerd.</t>
  </si>
  <si>
    <t>Balachandar K</t>
  </si>
  <si>
    <t>is a Professor working with Sona College of Technology. Love music and sports. Basketball player and a good athlete,typical ambivert personality. Fan of Federer</t>
  </si>
  <si>
    <t>Multiple Linear Regression (including stepwise regression) in R https://t.co/TvZ1uThvpP #rstats</t>
  </si>
  <si>
    <t>Introduction to Spatial Data and ggplot2 using R https://t.co/JuyfX2Ml7b #rstats #GIS #SpatialData</t>
  </si>
  <si>
    <t>Introduction to visualizing spatial data in R https://t.co/PQheoYnPCj #rstats #GIS #SpatialData #dataviz</t>
  </si>
  <si>
    <t>Sean Leonard</t>
  </si>
  <si>
    <t>Just discovered stringr and I LOVE IT. Way easier to use than built in regex in #Rstats. Not surprising it's from @hadleywickham</t>
  </si>
  <si>
    <t>Graduate student at UT Austin. Veteran. Bacterial communities, microbiome engineering, evolution, bees, and data.</t>
  </si>
  <si>
    <t>Comprehensive Tutorial for the Spatio-Temporal R-package https://t.co/ojowchGJ0g #rstats #SpatialData #GIS #Temporal</t>
  </si>
  <si>
    <t>botchagalupe</t>
  </si>
  <si>
    <t>Bad people eat good systems for breakfast - Dremming</t>
  </si>
  <si>
    <t>"Rstats" on Tweeted Times #rstats https://t.co/X6haMFDKGP - top stories by @useR_Stanford, @MusiCog, @precariobecario</t>
  </si>
  <si>
    <t>RT @slowkow: #ggrepel v0.5 recomputes on resize, #Rcpp code 2.5X faster. Thanks to @hadley for advice! #ggplot2 #rstats #dataviz https://t.…</t>
  </si>
  <si>
    <t>New Urban Grit</t>
  </si>
  <si>
    <t>Brooklyn, NYC</t>
  </si>
  <si>
    <t>Transportation planning/engineering &amp; data. Taking a stand against suburbanite-friendly cities since 2010. Car-less since 2005. #Cleveland, NYC, Rust Belt.</t>
  </si>
  <si>
    <t>chemfemme</t>
  </si>
  <si>
    <t>Sacramento, CA</t>
  </si>
  <si>
    <t>hopeless optimist, disillusioned realist</t>
  </si>
  <si>
    <t>Jeremy Leipzig</t>
  </si>
  <si>
    <t>Bioinformatics software developer working at a pediatric hospital. Author of Data Mashups in R. PhD student. Big ass servers, reproducible research.</t>
  </si>
  <si>
    <t>Arno Candel</t>
  </si>
  <si>
    <t>Nice use of H2O @DataScienceLA @kaggle https://t.co/mTkWLL3nZY @h2oai #DeepLearning #Ensembles #opensource #rstats #DataScience</t>
  </si>
  <si>
    <t>San Jose, CA, USA</t>
  </si>
  <si>
    <t>Chief Architect of H2O http://t.co/RtpHAHLXEN Fortune Magazine Big Data All Star http://t.co/ggShLFhG2X</t>
  </si>
  <si>
    <t>Office of Innovation</t>
  </si>
  <si>
    <t>shota yasui</t>
  </si>
  <si>
    <t>Bergen, Norway</t>
  </si>
  <si>
    <t>ノルウェーの修士で鮭養殖と環境の経済学を研究してた人。経済学・統計・数学、モンティ・パイソンが好き。データ分析でより良いネット広告戦略を作るお仕事をしてます。</t>
  </si>
  <si>
    <t>Ross Gayler</t>
  </si>
  <si>
    <t>I am certain that I am confused, but maybe I'm not.</t>
  </si>
  <si>
    <t>Exponential Smoothing of Time Series Data in R: https://t.co/eevtpRJUz3 #abdsc #Rstats #DataScience #Statistics by @stricklandjs</t>
  </si>
  <si>
    <t>RT @KirkDBorne: Exponential Smoothing of Time Series Data in R: https://t.co/eevtpRJUz3 #abdsc #Rstats #DataScience #Statistics by @strickl…</t>
  </si>
  <si>
    <t>New Shiny App: hospinf https://t.co/20KfGMulpt #rstats https://t.co/dxjfAP1CqA</t>
  </si>
  <si>
    <t>Алексей Сыса</t>
  </si>
  <si>
    <t>Аналитик проекта Умные сети</t>
  </si>
  <si>
    <t>.@DiegoKuonen @signmagazine direct link https://t.co/zxET0wBiXp #rstats @h2oai https://t.co/TkSsW7mrZA</t>
  </si>
  <si>
    <t>Rayna</t>
  </si>
  <si>
    <t>RT @spleonard1: Just discovered stringr and I LOVE IT. Way easier to use than built in regex in #Rstats. Not surprising it's from @hadley…</t>
  </si>
  <si>
    <t>scientist, enabler, teacher, little sister, native Texan, longboarder, dress maker. More bioinformatic tweets @UT_CCBB More neuro tweets @NSB_MBL</t>
  </si>
  <si>
    <t>Prof. Diego Kuonen</t>
  </si>
  <si>
    <t>RT @ArnoCandel: .@DiegoKuonen @signmagazine direct link https://t.co/zxET0wBiXp #rstats @h2oai https://t.co/TkSsW7mrZA</t>
  </si>
  <si>
    <t>Berne, Switzerland</t>
  </si>
  <si>
    <t>PhD #Statistics @EPFL; CStat @RoyalStatSoc PStat @AmstatNews CSci @C_Sci; CEO https://t.co/LdO5Lla1ci; Adjunct Professor #DataScience @UNIGEnews; #BigData #IoT</t>
  </si>
  <si>
    <t>Un maître article (en français !) sur l' #OpinionMining et le #SentimentAnalysis Qui sait faire sous #rstats ? https://t.co/xIRUyRoErU</t>
  </si>
  <si>
    <t>RT @dataandme: "Generating and Visualizing Multivariate Data with #Rstats" https://t.co/t1ZXmAfFHs via @revodavid #dataviz https://t.co/cIX…</t>
  </si>
  <si>
    <t>Make dashboard Tiles/Notecards in R https://t.co/AX3rvgba5d #rstats #DataScience</t>
  </si>
  <si>
    <t>John Ramey</t>
  </si>
  <si>
    <t>Austin, Texas, USA</t>
  </si>
  <si>
    <t>Lead Data Scientist at @uStudio. I lift. I like soccer. Huge @BUFootball fan.</t>
  </si>
  <si>
    <t>CRAN updates: crawl easyPubMed flora PSAboot rstatscn TriMatch https://t.co/y5W2NU2tPr #rstats</t>
  </si>
  <si>
    <t>RT @Rbloggers: Make dashboard Tiles/Notecards in R https://t.co/AX3rvgba5d #rstats #DataScience</t>
  </si>
  <si>
    <t>Blog: Play #IoT game on #Bluemix w/ colleagues using @NodeJS #NodeRED #IoTFoundation #dashDB &amp; R https://t.co/3djDTjcp2w #rstats #JavaScript</t>
  </si>
  <si>
    <t>Tom Maes</t>
  </si>
  <si>
    <t>live in +49 come from +32</t>
  </si>
  <si>
    <t>innovation manager at Bayer, interested in a lot of things. Views are mine</t>
  </si>
  <si>
    <t>Ralf Heineke</t>
  </si>
  <si>
    <t>RT @RomeoKienzler: Blog: Play #IoT game on #Bluemix w/ colleagues using @NodeJS #NodeRED #IoTFoundation #dashDB &amp; R https://t.co/3djDTjcp2w…</t>
  </si>
  <si>
    <t>Hannover</t>
  </si>
  <si>
    <t>Ecosystem Development (EcoD) #IBM Cloud Evangelist. Searching for #ISV, #Startups, #developers for #Softlayer, #Bluemix, IBM Marketplace /all tweets are my own</t>
  </si>
  <si>
    <t>Peter Kamerman</t>
  </si>
  <si>
    <t>New blog post: HIV neuropathy: down, but not out #neuropathy #pain #rstats https://t.co/O7D38rRRYk via @painblogR</t>
  </si>
  <si>
    <t>Johannesburg</t>
  </si>
  <si>
    <t>#neuropathic #pain researcher, advocate for #opendata and #openscience.</t>
  </si>
  <si>
    <t>BBmisc - Miscellaneous helper functions for B. Bischl https://t.co/3pPajD7gmr #RStats</t>
  </si>
  <si>
    <t>Natalie Kelly</t>
  </si>
  <si>
    <t>One of my favourite and well-thumbed #rstats books. Great for #GAMs of course, but lots of other goodies. #mgcv https://t.co/BgmKk2aqLX</t>
  </si>
  <si>
    <t>Ecological statistician · counts/models #whale populations of the Southern Ocean · Surveys and #stats for animal abundance.</t>
  </si>
  <si>
    <t>Andreas</t>
  </si>
  <si>
    <t>RT @hrbrmstr: digging #vegalite facet plots (bottom of https://t.co/POhD9mZRgH) #rstats</t>
  </si>
  <si>
    <t>Christopher D. Long</t>
  </si>
  <si>
    <t>RT @DrNatalieKelly: One of my favourite and well-thumbed #rstats books. Great for #GAMs of course, but lots of other goodies. #mgcv https:/…</t>
  </si>
  <si>
    <t>Versailles, KY</t>
  </si>
  <si>
    <t>Analyst for the Detroit Tigers and thoroughbred geneticist. Previously with the San Diego Padres, Houston Rockets and others. mailto:sabermetrics@gmail.com</t>
  </si>
  <si>
    <t>When is Python faster than R? #Rstats https://t.co/rE21reWvyH https://t.co/Nibjm0Viru</t>
  </si>
  <si>
    <t>RT @analyticbridge: When is Python faster than R? #Rstats https://t.co/rE21reWvyH https://t.co/Nibjm0Viru</t>
  </si>
  <si>
    <t>Data Science Central</t>
  </si>
  <si>
    <t>Data Science Central is the industry's single resource for Big Data practitioners. From Analytics to Data Integration to Visualization - You'll find it here</t>
  </si>
  <si>
    <t>Adam Sims</t>
  </si>
  <si>
    <t>tinker, typist, solder, spry</t>
  </si>
  <si>
    <t>rabi sharma</t>
  </si>
  <si>
    <t>nepal</t>
  </si>
  <si>
    <t>None</t>
  </si>
  <si>
    <t>JPK</t>
  </si>
  <si>
    <t>Kevin Yan</t>
  </si>
  <si>
    <t>New York City/Austin</t>
  </si>
  <si>
    <t>Wonky for int'l pol. econ. w/ focus on lots of stuff+CN/US/Asia/Energy/Econ. Currently @Stratfor, previously @RGE @globalNYC Alum=NYU+BU. Views are mine.RT=like</t>
  </si>
  <si>
    <t>Kartik Iyengar</t>
  </si>
  <si>
    <t>Skylab</t>
  </si>
  <si>
    <t>IoT, AI &amp; Robotics Dude at Virtusa. Intel Innovator, Ex-SAP Mentor. Chief Strategist at SMART BU. Author of book-series 'Horn OK Please' #Skylab #Cognitive</t>
  </si>
  <si>
    <t>A good intro.. First steps with Non-Linear Regression in R https://t.co/ON5VIsXlDM via @rbloggers #rstats</t>
  </si>
  <si>
    <t>Ranga Eunny</t>
  </si>
  <si>
    <t>Data Aggregation solutions, Love trains,</t>
  </si>
  <si>
    <t>Black Dragon</t>
  </si>
  <si>
    <t>Calcutta, Aryavarta</t>
  </si>
  <si>
    <t>Earth Science, Geospatial Analysis, Cartographic Analysis, AI n Gaming........thats about it for me ;)</t>
  </si>
  <si>
    <t>mats svensson</t>
  </si>
  <si>
    <t>Göteborg</t>
  </si>
  <si>
    <t>Forskning o Miljömålschef, Havs- o vattenmyndigheten, Twittrar om vatten, miljö o klimat. Eventuella åsikter är mina egna. Head of Res &amp; Env objectives, SWAM</t>
  </si>
  <si>
    <t>tarentum</t>
  </si>
  <si>
    <t>Patrick Cousins</t>
  </si>
  <si>
    <t>Android Dev. Astronomy fan. Opinions someone else's. RTs mean I love you. Favorites are accidental finger spasm clicks. Subject to change.</t>
  </si>
  <si>
    <t>vivek mishra</t>
  </si>
  <si>
    <t>Mumbai, India</t>
  </si>
  <si>
    <t>Engineer in making 7/8,computer geek...love to share some technical and insightful thoughts.</t>
  </si>
  <si>
    <t>Bob O'Hara</t>
  </si>
  <si>
    <t>This needs the #rstats hashtag https://t.co/PsQoIN2i0T</t>
  </si>
  <si>
    <t>.@JoshRosenau and you've written a package to do this &amp; are submitting to CRAN? #rstats</t>
  </si>
  <si>
    <t>.@JoshRosenau more seriously, I assume you've tried the ExtraFonts package #rstats</t>
  </si>
  <si>
    <t>Hédi Zaher</t>
  </si>
  <si>
    <t>Tunis</t>
  </si>
  <si>
    <t>Data Nerd - G33k inside - http://t.co/tnR5kcXqhE</t>
  </si>
  <si>
    <t>Josh Rosenau</t>
  </si>
  <si>
    <t>.@BobOHara I’m reading this and weeping. https://t.co/dh4fojeWPv https://t.co/NqU1w6LXs8 #rstats</t>
  </si>
  <si>
    <t>Evolution defender, climate hawk, fan of cephalopods, sometime Grand Canyon guide. Work for @NCSE, tweet on my own time. Hoping to be proven wrong. Like = fave.</t>
  </si>
  <si>
    <t>@BobOHara But yes, extrafonts seems like it’ll do what I need with enough effort. #rstats</t>
  </si>
  <si>
    <t>Barbara Jax</t>
  </si>
  <si>
    <t>Vienna, Austria</t>
  </si>
  <si>
    <t>Contact for ISV's, Start-ups, Developers and Universities @ IBM Austria , Tweets are my own</t>
  </si>
  <si>
    <t>Oleg R</t>
  </si>
  <si>
    <t>@ArnoCandel: Nice use of H2O @DataScienceLA @kaggle https://t.co/Qcrk1QKXG9 @h2oai #DeepLearning #Ensembles #opensource #rstats #DataScien…</t>
  </si>
  <si>
    <t>VP Marketing &amp; Growth @ H2O.ai, previously President @ Lexalytics and CEO/Founder @ Semantria.</t>
  </si>
  <si>
    <t>Geocurious</t>
  </si>
  <si>
    <t>Jo-fai (Joe) Chow</t>
  </si>
  <si>
    <t>RT @ArnoCandel: Nice use of H2O @DataScienceLA @kaggle https://t.co/mTkWLL3nZY @h2oai #DeepLearning #Ensembles #opensource #rstats #DataSci…</t>
  </si>
  <si>
    <t>Data Scientist @h2oai. Machine Learning @Water_UofExeter. Data Viz, Smart Apps, R, Python, Matlab, SQL. Ex @DominoDataLab @VirginMedia @STREAMstreamer @seamsltd</t>
  </si>
  <si>
    <t>Genesis Miranda</t>
  </si>
  <si>
    <t>#DataMining #TextMining Wikipedia: Using #RStats to Manipulate Clusters of Texts https://t.co/uxUWGwteOV</t>
  </si>
  <si>
    <t>Full Stack Developer, AWS Expert, Aspiring Data Scientist #PHP #Linux #Python #AWS #RStats #IoT #BigData #BI #DataScience https://t.co/iBoRHtZhwj</t>
  </si>
  <si>
    <t>Target Store Locations with rvest and ggmap https://t.co/KtbszT8NV1 #rstats #DataScience</t>
  </si>
  <si>
    <t>RT @BobOHara: This needs the #rstats hashtag https://t.co/PsQoIN2i0T</t>
  </si>
  <si>
    <t>RT @Rbloggers: Target Store Locations with rvest and ggmap https://t.co/KtbszT8NV1 #rstats #DataScience</t>
  </si>
  <si>
    <t>Mohammed Ali</t>
  </si>
  <si>
    <t>Michael Kuhn</t>
  </si>
  <si>
    <t>Twitterrific for Mac</t>
  </si>
  <si>
    <t>Dresden, Germany</t>
  </si>
  <si>
    <t>Hochleistungsfamilienvaterpostdoktorand</t>
  </si>
  <si>
    <t>michael carraz</t>
  </si>
  <si>
    <t>Data analyst, ultra runner and mountains lover</t>
  </si>
  <si>
    <t>Александр Заиграев</t>
  </si>
  <si>
    <t>Нижний Новгород</t>
  </si>
  <si>
    <t>Founder/CEO Of Premier Consulting Recruitment, ExecutiveRecruiter &amp; CareerAdvisor.#HRTrends #BigData #CareerDevelopment. Кадровое агентство Премьер-Консалтинг:)</t>
  </si>
  <si>
    <t>JENNY MUNOZ</t>
  </si>
  <si>
    <t>ok!at least I'm not the only one with that idea in mind after today #rstats, we will need a human to read it #anyway https://t.co/3k3s7AsP4U</t>
  </si>
  <si>
    <t>New CRAN package emojifont with initial version 0.3.1 https://t.co/0QdYpkNQNE #rstats</t>
  </si>
  <si>
    <t>CRAN updates: ggthemes https://t.co/y5W2NU2tPr #rstats</t>
  </si>
  <si>
    <t>CRAN removals: EMCC lcd PResiduals https://t.co/t6KpMVFMxP #rstats</t>
  </si>
  <si>
    <t>Harald Uebele</t>
  </si>
  <si>
    <t>Ehningen, Germany</t>
  </si>
  <si>
    <t>#IBM Cloud Ecosystem Development @IBMDeutschland, Cloud Technical Evangelist: @IBMBluemix #BMEcoD BTW: tweets are my own</t>
  </si>
  <si>
    <t>Dauwe Vercamer</t>
  </si>
  <si>
    <t>OR scientist @Amazon. PhD student @UGent. Interested in Business, Analytics, Technology, Logistics, Sports &amp; Movies.</t>
  </si>
  <si>
    <t>An online event on 10MAR about #SQLServer 2016 https://t.co/USPn57cEZf with @satyanadella @scottgu @josephsirosh #rstats</t>
  </si>
  <si>
    <t>RT @benjguin: An online event on 10MAR about #SQLServer 2016 https://t.co/USPn57cEZf with @satyanadella @scottgu @josephsirosh #rstats</t>
  </si>
  <si>
    <t>Scientific Gems</t>
  </si>
  <si>
    <t>Yes, that's what healthy women look like #AshleyGraham #HealthyWeight #RStats https://t.co/IDsozEhden https://t.co/iyWfwWIU0U</t>
  </si>
  <si>
    <t>Science blog by Tony Dekker</t>
  </si>
  <si>
    <t>Alberto Carrascal</t>
  </si>
  <si>
    <t>Basque Country</t>
  </si>
  <si>
    <t>Artificial intelligence, machine learning, data mining, big data and chess</t>
  </si>
  <si>
    <t>Trine Bekkby</t>
  </si>
  <si>
    <t>Oslo (Norway) + out and about</t>
  </si>
  <si>
    <t>Marine ecologist working with variation and changes in nature @NIVAforskning and @UniOslo_NHM. Tweets are personal (if not retweeted)</t>
  </si>
  <si>
    <t>@ArnoCandel: .@DiegoKuonen @signmagazine direct link https://t.co/MWCnLcGBWZ #rstats @h2oai https://t.co/kudFFjl0aV</t>
  </si>
  <si>
    <t>Francisco</t>
  </si>
  <si>
    <t>BE - EUROPE</t>
  </si>
  <si>
    <t>Biotechnologist. Biostatistics, bioinformatics &amp; data in general.</t>
  </si>
  <si>
    <t>Carlos Ivan Espinosa</t>
  </si>
  <si>
    <t>Loja</t>
  </si>
  <si>
    <t>Los amores de mi vida mi familia y la naturaleza.......</t>
  </si>
  <si>
    <t>TESS: an R package for efficiently simulating phylogenetic trees and performing Bayesian inference https://t.co/crbHctPVcM #genetics #rstats</t>
  </si>
  <si>
    <t>Gav</t>
  </si>
  <si>
    <t>Data guy, Photographer, Events Organiser &amp; Wantrepreneur. Support the #SmartBham &amp; #SiliconCanal agendas. Also love Music, Science, Space &amp; the #IoT</t>
  </si>
  <si>
    <t>Somayeh Taheri</t>
  </si>
  <si>
    <t>Research Associate at the University of Manchester having expertise in: Data Science, Smart &amp; Integrated Urbanism, Sustainability, Complex Social Systems, BIM</t>
  </si>
  <si>
    <t>Hans Mentz</t>
  </si>
  <si>
    <t>Nous sommes toujours là.</t>
  </si>
  <si>
    <t>| Venimus hoc cupidi/multo magius ire cupimus | nonrelated to @titanic | No, really not related to @titanic! | #JeSuisTriste</t>
  </si>
  <si>
    <t>Watch the @jcheng keynote from EARL 2015 London https://t.co/knZIamK3yM #rstats #shiny</t>
  </si>
  <si>
    <t>RT @MangoTheCat: Watch the @jcheng keynote from EARL 2015 London https://t.co/knZIamK3yM #rstats #shiny</t>
  </si>
  <si>
    <t>Julian Langer</t>
  </si>
  <si>
    <t>Philosophy &amp; Economics student who chose the dark side | PhD candidate @econ_uzh | Interested in political economy, economic history, and applied econometrics</t>
  </si>
  <si>
    <t>Brendan Babb</t>
  </si>
  <si>
    <t>Anchorage, Alaska</t>
  </si>
  <si>
    <t>Alaskan mathematician/DJ researching Mars Rover image compression, Biomimicry, GPUs, Genetic Algorithms, Renewable Energy, Crowdsourcing, Civic Hacking &amp; soccer</t>
  </si>
  <si>
    <t>head(x, n) shows the first n elements of x if n is positive, all but the last |n| elements if n is negative. https://t.co/tqV3bNhLP0 #rstats</t>
  </si>
  <si>
    <t>Show Me Shiny - Gallery of #rstats Web Apps https://t.co/c9oodBBXrh</t>
  </si>
  <si>
    <t>Lluís Ramon</t>
  </si>
  <si>
    <t>RT @chlalanne: Show Me Shiny - Gallery of #rstats Web Apps https://t.co/c9oodBBXrh</t>
  </si>
  <si>
    <t>RT @RLangTip: head(x, n) shows the first n elements of x if n is positive, all but the last |n| elements if n is negative. https://t.co/tqV…</t>
  </si>
  <si>
    <t>David Goldstein</t>
  </si>
  <si>
    <t>Tim Raupach</t>
  </si>
  <si>
    <t>One of the many things I like about ggplot is that you can write "colour" with the proper spelling, and it works. #rstats</t>
  </si>
  <si>
    <t>Lausanne, Switzerland</t>
  </si>
  <si>
    <t>Australian PhD student at EPFL. I take photos and climb mountains.</t>
  </si>
  <si>
    <t>Aradnix Veckhôm</t>
  </si>
  <si>
    <t>Clasificada</t>
  </si>
  <si>
    <t>Tipografía, LaTeX, tecnología, cultura libre, diseño y otras yerbas. Acá doy follow y like... no siempre. No tuitstars, no favwhores. #EnRecosntrucción</t>
  </si>
  <si>
    <t>confused_traveller</t>
  </si>
  <si>
    <t>Finally in the top 10 @AnalyticsVidhya #dateyourdata #hackathon Nothing like a few hours of #data wrangling &amp; analysis. #rstats #DataScience</t>
  </si>
  <si>
    <t>Awadh/Surat, India</t>
  </si>
  <si>
    <t>Hailing from a certain land of culture and chaos, just another one of them confused souls.</t>
  </si>
  <si>
    <t>Announcement! Early Bird R Conference tickets now on Sale! https://t.co/iftCaIPbRS #rstats #R https://t.co/LhbYIAYr1c</t>
  </si>
  <si>
    <t>Sal Keith</t>
  </si>
  <si>
    <t>#macroecologist working on #coral reefs... or any other data I can get my hands on! Love all things #science :)</t>
  </si>
  <si>
    <t>Matt Ashby</t>
  </si>
  <si>
    <t>#rstats packages for spatial crime analysis: 'ggplot2', 'spatstat' (KDE etc), 'spdep' (LISA stats), 'aoristic' #ICIAC16 1/2</t>
  </si>
  <si>
    <t>Lecturer at @TrentUni interested in policing, crime analysis, mapping and transport crime. Former police officer. Runs @CrimPapers</t>
  </si>
  <si>
    <t>#rstats packages for spatial crime analysis: rgeoprofile (geo profiling), crimelinkage (case links), igraph (network analysis) #ICIAC16 2/2</t>
  </si>
  <si>
    <t>Richard Arnett</t>
  </si>
  <si>
    <t>Our visualisation of #breastcancer tweets made cover of @RCSI_Irl abstract book. Created using #rstats &amp; @Gephi https://t.co/DsgO02tagN</t>
  </si>
  <si>
    <t>Numberphile. Interested in psychometrics and educational measurement. Writer of ugly R code. Wishes he was Kevin Bacon. Views his own.</t>
  </si>
  <si>
    <t>RCSI</t>
  </si>
  <si>
    <t>RT @dr_rtpa: Our visualisation of #breastcancer tweets made cover of @RCSI_Irl abstract book. Created using #rstats &amp; @Gephi https://t.co/D…</t>
  </si>
  <si>
    <t>Official Twitter account for RCSI. ‘Surgeons and Insurgents - RCSI and the Easter Rising' Exhibition &amp; lecture series open from 23 March-17 April 2016 #RCSI1916</t>
  </si>
  <si>
    <t>Jill Howlin</t>
  </si>
  <si>
    <t>Malmö, SWEDEN</t>
  </si>
  <si>
    <t>Irish scientist in self-imposed exile [cancer biologist, tech-junkie, mother, wife &amp; pug-lover ]</t>
  </si>
  <si>
    <t>Slides, #rstats resources and a demo #shinyapp for crime analysis are on @github at https://t.co/qMIH4WhHo4 #ICIAC16</t>
  </si>
  <si>
    <t>CRAN updates: rcppbugs rmetasim https://t.co/y5W2NU2tPr #rstats</t>
  </si>
  <si>
    <t>#GNAF (Oz Govt address DB) looks v. interesting. 1st glance in #rstats https://t.co/nrU6v9ve2Q https://t.co/zGQtCv90z7</t>
  </si>
  <si>
    <t>robert</t>
  </si>
  <si>
    <t>Florence, AL</t>
  </si>
  <si>
    <t>R geek, geographer, data maniac, learner, @nSideMapping | Auburn'10, UNA'14 | WDE, college football, bass fishing, outdoors, planting, man of many hobbies.</t>
  </si>
  <si>
    <t>Mikael Huss</t>
  </si>
  <si>
    <t>Currently running #rstats in three different sessions (RStudio, Jupyter notebook, vanilla Mac R GUI). Feels like I’m overindulging somehow.</t>
  </si>
  <si>
    <t>Bioinformatician, big data &amp; prediction geek</t>
  </si>
  <si>
    <t>GGJ Suisse</t>
  </si>
  <si>
    <t>Castle of La Tour-De-Peilz</t>
  </si>
  <si>
    <t>A Global Game Jam location inside a medieval castle, that also happens to be the Swiss Museum of Games. Tweets by @TafiaTchagata and @Roulinade</t>
  </si>
  <si>
    <t>serf</t>
  </si>
  <si>
    <t>John Swain</t>
  </si>
  <si>
    <t>Head of Data Science - Yang Brothers.</t>
  </si>
  <si>
    <t>EARL2015 videos now available https://t.co/TQxLvSeGoR #rstats https://t.co/uklVqDWjtM</t>
  </si>
  <si>
    <t>RT @MangoTheCat: EARL2015 videos now available https://t.co/TQxLvSeGoR #rstats https://t.co/uklVqDWjtM</t>
  </si>
  <si>
    <t>David Vicary</t>
  </si>
  <si>
    <t>Lives in Battersea, SW London analyses and manages natural catastrophe risk, bit of a geek and a part time Storm Chaser in the USofA</t>
  </si>
  <si>
    <t>Iain Agar</t>
  </si>
  <si>
    <t>RT @LessCrime: Slides, #rstats resources and a demo #shinyapp for crime analysis are on @github at https://t.co/qMIH4WhHo4 #ICIAC16</t>
  </si>
  <si>
    <t>Greater London</t>
  </si>
  <si>
    <t>Problem solving crime analyst. When I'm not immersed in my work I'm either following Middlesbrough FC or boxing.</t>
  </si>
  <si>
    <t>Want to learn #rstats #shinyapp? #ICIAC16 speaker recommends starting at https://t.co/PSVx1p4ArN or https://t.co/LQiZlK6vxB</t>
  </si>
  <si>
    <t>Davide Passaretti</t>
  </si>
  <si>
    <t>#ggplot user: deep thought-&gt;plot; other user: plot-&amp;gt; "damn!(should change col,axis lim,cex,pch,...)" -&amp;gt;deep(?)thought-&amp;gt;plot #rstats</t>
  </si>
  <si>
    <t>Scauri (LT)</t>
  </si>
  <si>
    <t>The perfect blossom is a rare thing. You could spend your life looking for one, and it would not be a wasted life. [The Last Samurai]</t>
  </si>
  <si>
    <t>How I Use Vagrant and Docker in Consultancy Projects by @dougashton https://t.co/BuWiJKP444 #rstats #R</t>
  </si>
  <si>
    <t>Watch the EARL 2015 day 2 keynote from @eddelbuettel https://t.co/UDBtcVwejc #rstats #rcpp</t>
  </si>
  <si>
    <t>RT @earlconf: Watch the EARL 2015 day 2 keynote from @eddelbuettel https://t.co/UDBtcVwejc #rstats #rcpp</t>
  </si>
  <si>
    <t>Anton Sviridov</t>
  </si>
  <si>
    <t>Thank heavens for reactive({...}). Re-wrote my Shiny apps getting rid of all the pain and anger. #rstats</t>
  </si>
  <si>
    <t>R&amp;D@idio</t>
  </si>
  <si>
    <t>Jamie cook</t>
  </si>
  <si>
    <t>RT @coolbutuseless: #GNAF (Oz Govt address DB) looks v. interesting. 1st glance in #rstats https://t.co/nrU6v9ve2Q https://t.co/zGQtCv90z7</t>
  </si>
  <si>
    <t>Thibaut Jombart</t>
  </si>
  <si>
    <t>What are the best packages for interactive graph viz accessible from #rstats? Besides igraph::tkplot that is. diagrammeR? RNeo4j?</t>
  </si>
  <si>
    <t>Researcher in disease outbreak response, Lecturer @ImperialCollege, R geek, muay thai enthusiast, vocalist for the grind/hardcore band The Brood</t>
  </si>
  <si>
    <t>Up to 97% off all #Udemy online courses, inc. #rstats courses: https://t.co/70baHz73yq https://t.co/i4B7QnsMud</t>
  </si>
  <si>
    <t>EnedinaTT</t>
  </si>
  <si>
    <t>Tony Hirst</t>
  </si>
  <si>
    <t>v nice… Shiny dashboard by New Zealand Tourism https://t.co/aHa7iYcyKC #shinyapps #rstats #shiny</t>
  </si>
  <si>
    <t>OU lecturer &amp; data tinkerer at a loose end; Isle of WIght resident and #f1datajunkie</t>
  </si>
  <si>
    <t>Obi Juan </t>
  </si>
  <si>
    <t>Bogotá-Neiva</t>
  </si>
  <si>
    <t>Estadístico en formación, todavía me robo las vueltas del mandado. Apple fan . Snapchat: juanfierro94</t>
  </si>
  <si>
    <t>sqL_handLe</t>
  </si>
  <si>
    <t>No-no-no… nobody's fault but mine. ~database systems tinker~</t>
  </si>
  <si>
    <t>¿Hay una epidemia en mi grafo?: Tengo un grafo, g cuyas aristas pueden ser cualquier cosa susceptible ... https://t.co/tHQJ6DfCpx #rstats</t>
  </si>
  <si>
    <t>BorisVish</t>
  </si>
  <si>
    <t>RT @carlcarrie: Rchaeology: Idioms of R Programming #rstats paper https://t.co/Y8yL8pSsoL</t>
  </si>
  <si>
    <t>Ben Sidders</t>
  </si>
  <si>
    <t>mutate(data, c = b / b[a=="foo"]) #rstats #dplyr #conditionalmutate #tookmeagestoworkthisout #loveit</t>
  </si>
  <si>
    <t>oncology bioinformatics @ AstraZeneca - blogger of bioinpharmatics</t>
  </si>
  <si>
    <t>Yrla Nor</t>
  </si>
  <si>
    <t>who would have guessed i'd be invited to talk about @RKWardNet at @MicrosoftDE one day? https://t.co/pCUYD5t25H #rstats @HHU_de @C3S</t>
  </si>
  <si>
    <t>lärm ist liebe. @angstalt @C3S</t>
  </si>
  <si>
    <t>RT @yrlaNor: who would have guessed i'd be invited to talk about @RKWardNet at @MicrosoftDE one day? https://t.co/pCUYD5t25H #rstats @HHU_d…</t>
  </si>
  <si>
    <t>Harry Southworth</t>
  </si>
  <si>
    <t>"Extreme Values "Masterclass"" with #rstats on @LinkedIn https://t.co/VbPFbvldCl</t>
  </si>
  <si>
    <t>In front of the computer</t>
  </si>
  <si>
    <t>#DataMining mit #Rstats: Lernen Sie aus Daten Wissen zu generieren https://t.co/TexUbg4lZn https://t.co/Vl7u78FqiA</t>
  </si>
  <si>
    <t>Daniel Dittenhafer</t>
  </si>
  <si>
    <t>Operationalizing R for Predictive Analytics in SQL Server 2016 https://t.co/JYPqQxywqY #rstats #sqlserver</t>
  </si>
  <si>
    <t>software dev, data analyst, M.Sc. CUNY student, father and husband. all opinions are my own and do not represent my employer.</t>
  </si>
  <si>
    <t>Eli Hueramo Lopez</t>
  </si>
  <si>
    <t>Nemanja Dundjerski</t>
  </si>
  <si>
    <t>Depth of life, habits, music, engineering and some arcade games.</t>
  </si>
  <si>
    <t>RT @dwdii: Operationalizing R for Predictive Analytics in SQL Server 2016 https://t.co/JYPqQxywqY #rstats #sqlserver</t>
  </si>
  <si>
    <t>Incase you missed it: My Webinar on Spatial Data Analysis with R https://t.co/aW9IF8qo0w #rstats</t>
  </si>
  <si>
    <t>Overwhelming Growth In National Support for Bernie Sanders Mapped https://t.co/pIxZWK0vVc #rstats</t>
  </si>
  <si>
    <t>RT @MangoTheCat: How I Use Vagrant and Docker in Consultancy Projects by @dougashton https://t.co/BuWiJKP444 #rstats #R</t>
  </si>
  <si>
    <t>Jake Levenson</t>
  </si>
  <si>
    <t>Boston, MA &amp; Washington, DC</t>
  </si>
  <si>
    <t>Director of Crazy Ideas @flukebook , co-founder @conserveio , education officer @SCBMarine , helper of good things @oceansforward (r/t not endorsement)</t>
  </si>
  <si>
    <t>#rstats extract valuable data and save time using scrapers https://t.co/H8Hx3rItv9 #clickbank #innovation</t>
  </si>
  <si>
    <t>Big Computing: Setting up the Twitter R package for text analytics https://t.co/pdAZ44iLum @ikorekpa #rstats</t>
  </si>
  <si>
    <t>Jose M Sallan</t>
  </si>
  <si>
    <t>Retweet does not mean necessarily endorsement. Here are my personal opinions.</t>
  </si>
  <si>
    <t>First steps with Non-Linear Regression in R https://t.co/AJrvwJW6v0 #rstats</t>
  </si>
  <si>
    <t>Make dashboard Tiles/Notecards in R https://t.co/fiht2ep3z9 #rstats</t>
  </si>
  <si>
    <t>Oliver Bothe（￣□￣；）</t>
  </si>
  <si>
    <t>east of the atlantic ✡☪✝</t>
  </si>
  <si>
    <t>#OceanAtmos #past1000 #Hydro | ... | RT =/= endorse. Hearts do not heart you. Sarcasm, Cynicism, views. @eclatmag. also @OlBothe. welcomes new challenges</t>
  </si>
  <si>
    <t>Cajamar Data Lab</t>
  </si>
  <si>
    <t>Big Data Analytics &amp; Business Intelligence Data Science</t>
  </si>
  <si>
    <t>Data Visualization with R Workshop on 4/2 https://t.co/AjvjnRKuRR #DataScience #BigData #DataViz #RStats #DataDC #DCTech</t>
  </si>
  <si>
    <t>RT @tonyojeda3: Data Visualization with R Workshop on 4/2 https://t.co/AjvjnRKuRR #DataScience #BigData #DataViz #RStats #DataDC #DCTech</t>
  </si>
  <si>
    <t>Should we do the same w/ @chaiproject data? For now no art, but analysis w/ our #rstats pkg https://t.co/hwHM1fi0Iv https://t.co/FiBTNFURVL</t>
  </si>
  <si>
    <t>.@biotweeps my only real contribution to #Rstats is some functions in #vegan, which I wrote for a paper about how they shouldn't be used.</t>
  </si>
  <si>
    <t>Tweets for Vegans</t>
  </si>
  <si>
    <t>RT @BobOHara: .@biotweeps my only real contribution to #Rstats is some functions in #vegan, which I wrote for a paper about how they should…</t>
  </si>
  <si>
    <t>tweets4gamerz</t>
  </si>
  <si>
    <t>beewell_network</t>
  </si>
  <si>
    <t>By Vegans for Vegans, spreading the love</t>
  </si>
  <si>
    <t>Data Science Fact</t>
  </si>
  <si>
    <t>Houston</t>
  </si>
  <si>
    <t>Daily data science tweets from @JohnDCook.</t>
  </si>
  <si>
    <t>Alessandro Affinito</t>
  </si>
  <si>
    <t>Titanic: Getting Started With R https://t.co/MvrDXjq4R0 #Kaggle #RStats via @trevs</t>
  </si>
  <si>
    <t>Rome</t>
  </si>
  <si>
    <t>IT student with a mountainbike and a guitar.</t>
  </si>
  <si>
    <t>huergo alberto️</t>
  </si>
  <si>
    <t>BELINDA POP</t>
  </si>
  <si>
    <t>Diego Roque</t>
  </si>
  <si>
    <t>Mathematician and coder. Best ranked mexican at the IMO and IOI.</t>
  </si>
  <si>
    <t>Dan Barua</t>
  </si>
  <si>
    <t>Windsor,  Berkshire</t>
  </si>
  <si>
    <t>Slinger of code. Herder of Cats. Distributor of Systems. HTML tags lea͠ki̧n͘g fr̶ǫm ̡yo​͟ur eye͢s̸ ̛l̕ik͏e liq​uid pain</t>
  </si>
  <si>
    <t>chaquator</t>
  </si>
  <si>
    <t>pronnounced [ˌtʃɒkwʌˈtʰɔəɹ]</t>
  </si>
  <si>
    <t>Narendra Legha</t>
  </si>
  <si>
    <t>Guwahati, Assam</t>
  </si>
  <si>
    <t>CSE Undergrad at IITG.</t>
  </si>
  <si>
    <t>Mark Peters</t>
  </si>
  <si>
    <t>Text and Sentiment Analysis may be in its infancy, but it is can also be the beginning for further analysis https://t.co/7rfhxmRhj1 #rstats</t>
  </si>
  <si>
    <t>Let's connect on LinkedIn:</t>
  </si>
  <si>
    <t>Passionate about #tech changing the world and teaching #data literacy. Analyst @SAP. Views are mine.</t>
  </si>
  <si>
    <t>MajkWu</t>
  </si>
  <si>
    <t>Why should you backup your R objects? https://t.co/PXkA34Dzjc via @smarterpoland #rstats</t>
  </si>
  <si>
    <t>industrial data scientist, phd in experimental particle physics, world citizen</t>
  </si>
  <si>
    <t>Bidkar Pojoy</t>
  </si>
  <si>
    <t>Wannabe mathematician, computer scientist, writer, professor, student...</t>
  </si>
  <si>
    <t>Charlotte Kirchner</t>
  </si>
  <si>
    <t>Today, I convinced a person to start using #rstats! Today was a good day! 😊</t>
  </si>
  <si>
    <t>Oldenburg, Niedersachsen</t>
  </si>
  <si>
    <t>Master Student - Geogeek - Traveller - Ocean Lover - Salsa Dancer - Diver</t>
  </si>
  <si>
    <t>Charles JolyB</t>
  </si>
  <si>
    <t>Better late than never, just learned about the lengths (with a s) function in #rstats</t>
  </si>
  <si>
    <t>PhD Student in Bioinformatics @ Laval University</t>
  </si>
  <si>
    <t>got to tell a Stats masters student that #rstats is used at Google, Facebook, Microsoft. He's been using SAS previously</t>
  </si>
  <si>
    <t>Web scraping with R https://t.co/a83qV3E5qQ #programming #rstats</t>
  </si>
  <si>
    <t>GLEON</t>
  </si>
  <si>
    <t>wherever GLEONites are</t>
  </si>
  <si>
    <t>Global Lake Ecological Observatory Network: Networked #Lake Science | #GLEONites #teamscience Header: Lake Annie by R. Bowman | tweets by @everglobe~29 Feb 2016</t>
  </si>
  <si>
    <t>Shaun Keegan</t>
  </si>
  <si>
    <t>Liverpool, England</t>
  </si>
  <si>
    <t>PhD student @livuniIIB in in the spatial ecology of disease. Wild rodents and their parasites - modelling and data analysis. Comics, tea and other stuff too.</t>
  </si>
  <si>
    <t>radarchart already updated along with htmlwidgets update https://t.co/1JRjvU0PVt #rstats</t>
  </si>
  <si>
    <t>Make dashboard Tiles/Notecards in R https://t.co/cXc5bDt1vk #rstats</t>
  </si>
  <si>
    <t>Anyone have a recommended tutorial of doing Monte Carlo simulations in R? #rstats</t>
  </si>
  <si>
    <t>NUS Linguistics</t>
  </si>
  <si>
    <t>Linguistics updates from NUS and elsewhere, from Dr. Rebecca Starr.</t>
  </si>
  <si>
    <t>R Visuals or Custom Visuals in Microsoft #PowerBI? https://t.co/VKRfWgmcKq #rstats #dataviz https://t.co/MEeptcgZIS</t>
  </si>
  <si>
    <t>Collection of R dashboards https://t.co/tzYEzejAOf #rstats</t>
  </si>
  <si>
    <t>RT @dr_eldersveld: R Visuals or Custom Visuals in Microsoft #PowerBI? https://t.co/VKRfWgmcKq #rstats #dataviz https://t.co/MEeptcgZIS</t>
  </si>
  <si>
    <t>New CRAN package graphTweets with initial version 0.2 https://t.co/0QdYpl5sce #rstats</t>
  </si>
  <si>
    <t>New CRAN package mrMLM with initial version 1.0 https://t.co/0QdYpl5sce #rstats</t>
  </si>
  <si>
    <t>CRAN updates: benchmarkme maSAE rmdformats vegan https://t.co/y5W2NTKSXT #rstats</t>
  </si>
  <si>
    <t>Web scraping with R https://t.co/ihEYBEcMdi via @rbloggers #rstats</t>
  </si>
  <si>
    <t>Re-writing my own code without for-loops. 😒 Maybe in the future I should use a no_for_loop_linter w/ #rstats @the_belal's lintr pkg!</t>
  </si>
  <si>
    <t>Awakened once again</t>
  </si>
  <si>
    <t>London, the road</t>
  </si>
  <si>
    <t>My beard is the oncoming storm. I’m on the RSpec core team. Cute Queer Boy. Tip of my iceberg blues are showing. He/Him. Computers @funandplausible</t>
  </si>
  <si>
    <t>The #Oscars: as the visualisation of @GoogleTrends but for @Wikipedia data with #rstats https://t.co/8WDMQ8Y7y2 https://t.co/xW3L8w0fbK</t>
  </si>
  <si>
    <t>⭐️ppiixx⭐️</t>
  </si>
  <si>
    <t>darachennis</t>
  </si>
  <si>
    <t>Dark Data Shoe Shine Shiny Shoes</t>
  </si>
  <si>
    <t>OK here goes. Is it possible to read a value out of a *formula* in an excel spreadsheet? either xlsx or google drive #rstats cc @JennyBryan</t>
  </si>
  <si>
    <t>Kristin Yeager</t>
  </si>
  <si>
    <t>historysquared</t>
  </si>
  <si>
    <t>RT @ChCariou: The #Oscars: as the visualisation of @GoogleTrends but for @Wikipedia data with #rstats https://t.co/8WDMQ8Y7y2 https://t.co…</t>
  </si>
  <si>
    <t xml:space="preserve">New York </t>
  </si>
  <si>
    <t>trader</t>
  </si>
  <si>
    <t>MannyB</t>
  </si>
  <si>
    <t>Enjoyed the presentation, @emaasit . Thanks!! #DataScience #rstats https://t.co/BmcncTHO7m</t>
  </si>
  <si>
    <t>Data scientist in training with a deference for #rstat, but learning #python.</t>
  </si>
  <si>
    <t>DataScience For Good</t>
  </si>
  <si>
    <t>I think @stevndmills will like this! #DataScience and #Rstats for Forests... https://t.co/zWlYsVeMxr</t>
  </si>
  <si>
    <t>Innovation through NextGen #BigData Analytics and #DataScience For Government, Business, and Social Good #Data4Good #DataScience4Good #DS4SG at @BoozAllen</t>
  </si>
  <si>
    <t>RT @DataSci4Good: I think @stevndmills will like this! #DataScience and #Rstats for Forests... https://t.co/zWlYsVeMxr</t>
  </si>
  <si>
    <t>RT @MannyBernabe: Enjoyed the presentation, @emaasit . Thanks!! #DataScience #rstats https://t.co/BmcncTHO7m</t>
  </si>
  <si>
    <t>Kristen DeAngelis</t>
  </si>
  <si>
    <t>...I stopped being afraid, because I read the truth, thats the scientifical truth, which is much better. You shouldn’t let poets lie to you.” ~Bjork</t>
  </si>
  <si>
    <t>Ulan</t>
  </si>
  <si>
    <t>короче, в #Rstats очень тяжело въезжать, особенно, когда тебе херова туча лет</t>
  </si>
  <si>
    <t>kyrgyzstan</t>
  </si>
  <si>
    <t>in between</t>
  </si>
  <si>
    <t>Eki.</t>
  </si>
  <si>
    <t>Jogja..</t>
  </si>
  <si>
    <t>ITSM Expert wanna be.</t>
  </si>
  <si>
    <t>Erick Asto Oblitas</t>
  </si>
  <si>
    <t>Miraflores, Arequipa</t>
  </si>
  <si>
    <t>zerazobz - Presagio Psicosomatico</t>
  </si>
  <si>
    <t>Bill Caputo</t>
  </si>
  <si>
    <t>λόγοςιτι - A programmer who tweets about things that interest me, incl: tech, philosophy, political science, orgs &amp; teams; creator of: https://t.co/smiY9wy34i</t>
  </si>
  <si>
    <t>Svante</t>
  </si>
  <si>
    <t>Options Chris</t>
  </si>
  <si>
    <t>The &gt;20hrs I poured into a spreadsheet dubbed "Volzilla" last wk has more than paid for itself. Ultimate goal is to replace it using #rstats</t>
  </si>
  <si>
    <t>I trade single stock volatility in narrow time frames using options</t>
  </si>
  <si>
    <t>AmarnathK</t>
  </si>
  <si>
    <t>Oracle EPM Consultant working on analytics, passionate about data and everything around data. wannabe data scientist.</t>
  </si>
  <si>
    <t>Charles in NJ</t>
  </si>
  <si>
    <t>Central NJ</t>
  </si>
  <si>
    <t>math guy; married; INTP; likes cats, reading, HPR, Python, being helpful and learning.</t>
  </si>
  <si>
    <t>How to create interactive graphics with R &amp; Shiny: Free @rstudio on-demand webinar https://t.co/H1luG89Vta #rstats https://t.co/5ZN8HTrj5x</t>
  </si>
  <si>
    <t>Lambda (Box-Cox transformation parameter) value for forecasting using ARIMA https://t.co/d2g6Pwi62d #rstats #DataScience</t>
  </si>
  <si>
    <t>RT @sharon000: How to create interactive graphics with R &amp; Shiny: Free @rstudio on-demand webinar https://t.co/H1luG89Vta #rstats https://t…</t>
  </si>
  <si>
    <t>Joe Harris</t>
  </si>
  <si>
    <t>entrant.bargain.unwitting</t>
  </si>
  <si>
    <t>The internet is my anti-library. | Data Wrangler | Work: AWS, Spark, Redshift, SQL, Azkaban, Bash, etc.</t>
  </si>
  <si>
    <t>Caner Türkmen</t>
  </si>
  <si>
    <t>Data &amp; analytics developer, consultant. PhD CMPE @UniBogazici.</t>
  </si>
  <si>
    <t>Albert Varela</t>
  </si>
  <si>
    <t>Yorkshire, UK</t>
  </si>
  <si>
    <t>Lecturer in Quantitative Methods. @SSPLeeds &amp; @QStepLeeds.</t>
  </si>
  <si>
    <t>Giovanni Pavolini</t>
  </si>
  <si>
    <t>Interested in #DataScience #DataViz #Productivity #rstats. Husband, father of 2. Productivity consultant. Ocassional opinion on #Colombia</t>
  </si>
  <si>
    <t>Johan d'Aguas</t>
  </si>
  <si>
    <t>Bogotá - Colombia.</t>
  </si>
  <si>
    <t>#Colombia #Science #Tech #OpenKnowledge #OpenData #DataVisualization #Complexity #Analytics #Innovation #Growth #Economics #Development #Institutions #Politics</t>
  </si>
  <si>
    <t>RT @Rbloggers: Lambda (Box-Cox transformation parameter) value for forecasting using ARIMA https://t.co/d2g6Pwi62d #rstats #DataScience</t>
  </si>
  <si>
    <t>Winston Chang</t>
  </si>
  <si>
    <t>Jessica Ricaldi</t>
  </si>
  <si>
    <t xml:space="preserve">LIM, IQT, DFW </t>
  </si>
  <si>
    <t>Microbiology and #NeglectedTropicalDiseases, mostly. Trying to push the frontiers of #science. Always hungry.</t>
  </si>
  <si>
    <t>Spatial and Temporal Viz of Gas Price, in France https://t.co/RW7sztG8Zu via @rbloggers #rstats</t>
  </si>
  <si>
    <t>@Emaasit thank you for the shout out &amp; for hosting such an AMAZING Webinar on Spatial Data Analysis with #rstats https://t.co/mBNfJtRjdU</t>
  </si>
  <si>
    <t>Zahid</t>
  </si>
  <si>
    <t>Areas of interest include data,applied economics, statistics, economy of cities, food security, creative culture and society.</t>
  </si>
  <si>
    <t>ahmet kadir doğan</t>
  </si>
  <si>
    <t>DATA VISUAL</t>
  </si>
  <si>
    <t>Subjects of #AI, #BI, #DataMining, #GraphicalDatamining #DataScience #bigdata @Datanalitik for @Riskonometri @Riskonomi @Riskanalitigi @RiskLabTurkey</t>
  </si>
  <si>
    <t>Biotweeps - Tim</t>
  </si>
  <si>
    <t>#rstats is a repeat offender for this. The VERY important "By the way, what you're doing is not meaningful" message is not really prominent.</t>
  </si>
  <si>
    <t>Tweets by a different biologist every week. • This week - @tpoi</t>
  </si>
  <si>
    <t>New Shiny App: A Shiny App for Good Bull Hunting's Predict the Score game https://t.co/vGiqngP01i #rstats https://t.co/2O5qmPZ6Y8</t>
  </si>
  <si>
    <t>Nick Caruso</t>
  </si>
  <si>
    <t>RT @biotweeps: #rstats is a repeat offender for this. The VERY important "By the way, what you're doing is not meaningful" message is not r…</t>
  </si>
  <si>
    <t>The mountains</t>
  </si>
  <si>
    <t>PhD candidate, #ecology #rstats #dataviz #salamanders #stlCards #stlBlues Tweets are mine.</t>
  </si>
  <si>
    <t>Writing #rstats code at 30,000 feet...</t>
  </si>
  <si>
    <t>And I blame #rstats as much as I blame users (in this case, me!) -- when we run an analysis, we have to own it.</t>
  </si>
  <si>
    <t>oceans initiative</t>
  </si>
  <si>
    <t>British Columbia &amp; Scotland</t>
  </si>
  <si>
    <t>Oceans Initiative: Science for the Sea. We conduct conservation-minded research on marine wildlife around the world. Tweets by Dr @erinashe &amp; Dr Rob Williams.</t>
  </si>
  <si>
    <t>Matthew RV Ross</t>
  </si>
  <si>
    <t>Systemologist–eco/hydro/geo, but most enthusiastically, magio</t>
  </si>
  <si>
    <t>Holly Kindsvater</t>
  </si>
  <si>
    <t>RT @biotweeps: And I blame #rstats as much as I blame users (in this case, me!) -- when we run an analysis, we have to own it.</t>
  </si>
  <si>
    <t>Academic nomad; fish enthusiast; quantitative ecology, evolution and conservation. Currently based at Rutgers University.</t>
  </si>
  <si>
    <t>FWIW, why I'm digging the simplicity, expressiveness &amp; utility of Vega-Lite, I like the way ggplot2 expresses the GoG better (still) #rstats</t>
  </si>
  <si>
    <t>cesar astudillo</t>
  </si>
  <si>
    <t>Curicó, Chile</t>
  </si>
  <si>
    <t>Computer scientist specialized in Machine Learning and Pattern Recognition. Currently an Assistant Professor at Universidad de Talca, Chile.</t>
  </si>
  <si>
    <t>Paula LC</t>
  </si>
  <si>
    <t>Data Scientist</t>
  </si>
  <si>
    <t>RT @AnnaOnTheWeb: @Emaasit thank you for the shout out &amp; for hosting such an AMAZING Webinar on Spatial Data Analysis with #rstats https://…</t>
  </si>
  <si>
    <t>Any #prospectresearch peeps want to try out an #RFMscoring script? I've written it in #rstats but no programming experience is needed.</t>
  </si>
  <si>
    <t>@AnnaOnTheWeb Thanks again for setting it up. I look forward to conducting more amazing webinars with @DominoDataLab . #Rstats</t>
  </si>
  <si>
    <t>Jeremy Needle</t>
  </si>
  <si>
    <t>Linguistics PhD student; language change/innovation, socio, networks, complex systems, computational, stats, … science, politics, lolcats. :)</t>
  </si>
  <si>
    <t>Use ModSpace to manage complex statistical knowledge, data, documents, images etc https://t.co/qk1G2tXuVS #rstats https://t.co/9izjYdkVK1</t>
  </si>
  <si>
    <t>Alex K.</t>
  </si>
  <si>
    <t>Seville</t>
  </si>
  <si>
    <t>working on #innovation #regionaldev | enthusiast 4 #opengov, #digital, #EU, #development, #ICT4dev. views mine alone</t>
  </si>
  <si>
    <t>@daniellynds @business @ImKevinYoung viz: @Gephi db: @neo4j processing: #rstats &amp; igraph - overview of method - https://t.co/rE2I5x39JN</t>
  </si>
  <si>
    <t>Lauren Ackerman</t>
  </si>
  <si>
    <t>I should be writing</t>
  </si>
  <si>
    <t>Visiting Assistant Professor of Linguistics @ Boise State ~ also tweets about movies, ghosts, movies about ghosts, cats, and True Facts™ (she/her|they/them)</t>
  </si>
  <si>
    <t>Carlota dBM</t>
  </si>
  <si>
    <t>Madrid/Zúrich</t>
  </si>
  <si>
    <t>Filóloga de cabeceras selectas. Me gustan los pronombres, especialmente si son átonos. Todo lo demás es ciertamente confuso.</t>
  </si>
  <si>
    <t>Les #César2016 c'est ce soir : petit rappel des nominations via un petit réseau #rstats https://t.co/83UoyZ5js3 https://t.co/El4PFrDLu4</t>
  </si>
  <si>
    <t>Yulun Liu</t>
  </si>
  <si>
    <t>K.</t>
  </si>
  <si>
    <t>Fair Haven, NJ</t>
  </si>
  <si>
    <t>college professor/child wrangler. hockey (rangers/pens/johnny gaudreau/NWHL), baseball (red sox), linguistics (historical), feminism (intersectional).</t>
  </si>
  <si>
    <t>Stefan Zeiger</t>
  </si>
  <si>
    <t>Rhein-Main area, Germany</t>
  </si>
  <si>
    <t>Tech lead for http://t.co/jMtFF24ZDM at @typesafe</t>
  </si>
  <si>
    <t>RT @hrbrmstr: FWIW, why I'm digging the simplicity, expressiveness &amp; utility of Vega-Lite, I like the way ggplot2 expresses the GoG better …</t>
  </si>
  <si>
    <t>Erik McCullen</t>
  </si>
  <si>
    <t>Engineer/Scientist. Over 10 years of experience in materials/failure analysis, and data analysis.Other interests are Austrian economics and foreign policy.</t>
  </si>
  <si>
    <t>library() vs require() in R | Yihui Xie. require == library except that it returns TRUE or FALSE instead https://t.co/SThDCAsZWU #rstats</t>
  </si>
  <si>
    <t>Nice tut.: "Spatial and Temporal Viz of Gas Price, in France" https://t.co/yGySncsjGy #opendata #rstats #datascience https://t.co/JCAFMsmrUU</t>
  </si>
  <si>
    <t>Marcos Fontela</t>
  </si>
  <si>
    <t>RT @AlmeriaRUsers: Visualizando estaciones meteorológicas con ggmap+ggplot2 #DataScience #rstats https://t.co/oMqoWaLQbp</t>
  </si>
  <si>
    <t>Vigo, Galicia</t>
  </si>
  <si>
    <t>Ciencia. Biología. Medio ambiente. Oceanografía desde el IIM-@CSIC.</t>
  </si>
  <si>
    <t>RT @0ttlngr: ggThemeR-Addin now covers additional themes and labels: https://t.co/14lqTFDHnh #ggplot2 #rstats #RStudio https://t.co/AFMFB9d…</t>
  </si>
  <si>
    <t>Julien Barnier</t>
  </si>
  <si>
    <t>rmdformats 0.2 on CRAN, with the new "readthedown" #rmarkdown HTML format. Demo : https://t.co/je40vSAd1b #rstats https://t.co/fgaXfTUunV</t>
  </si>
  <si>
    <t>Mostly #rstats.</t>
  </si>
  <si>
    <t>Lambda (Box-Cox transformation parameter) value for forecasting using ARIMA https://t.co/AisNQ9yMKI #rstats</t>
  </si>
  <si>
    <t>CRAN updates: changepoint gtable scales https://t.co/y5W2NTKSXT #rstats</t>
  </si>
  <si>
    <t>How to become G(l)AMorous #rstats https://t.co/xbL1i07RsC</t>
  </si>
  <si>
    <t>Eleanor Jennings</t>
  </si>
  <si>
    <t>How to become GAMorous #rstats #GAM https://t.co/NE1wLqDil0</t>
  </si>
  <si>
    <t>Generating and Visualizing Multivariate Data with R https://t.co/JmKJWwgU01 via @rbloggers #rstats</t>
  </si>
  <si>
    <t>Andrzej Muzaj</t>
  </si>
  <si>
    <t>RT @ryanpraski: How to get started pulling automated daily data from the Google Search Console with R #measure #rstats #moredataSAN https:/…</t>
  </si>
  <si>
    <t>Polska</t>
  </si>
  <si>
    <t>Motorcyclist, hiker and traveller... | Certified Inbound Marketer and Professional #SEM / #PPC Manager | #Google #Analytics / #AdWords Certified Trainer</t>
  </si>
  <si>
    <t>Harlan Harris</t>
  </si>
  <si>
    <t>Data Scientist, co-organizer of @DataScienceDC Meetup and co-founder of @DataCommunityDC. Director, Data Science at @TheAdvisoryBd.</t>
  </si>
  <si>
    <t>Early Bird #EARL2016 #London R Conference tickets now on sale https://t.co/dBlZeoDsXB #rstats #analytics https://t.co/cmVb9N4Y4J</t>
  </si>
  <si>
    <t>RT @earlconf: Early Bird #EARL2016 #London R Conference tickets now on sale https://t.co/dBlZeoDsXB #rstats #analytics https://t.co/cmVb9N4…</t>
  </si>
  <si>
    <t>Janek Thomas</t>
  </si>
  <si>
    <t>New way of error handling in #rstats, thanks @DevineOmega. Saves precious time https://t.co/WykOdHVdRP</t>
  </si>
  <si>
    <t>LeCapharnaümEclairé</t>
  </si>
  <si>
    <t>RT @ChCariou: Les #César2016 c'est ce soir : petit rappel des nominations via un petit réseau #rstats https://t.co/83UoyZ5js3 https://t.co…</t>
  </si>
  <si>
    <t>BZH</t>
  </si>
  <si>
    <t>Nelfe et Mr K depuis 8 ans on ze oueb au Capharnaüm éclairé ! #Blog littéraire et branché culture qui ne se prend pas au sérieux... #littérature #ciné #voyage</t>
  </si>
  <si>
    <t>Josh L</t>
  </si>
  <si>
    <t>Version 2.0 of #rstats pkg 'crawl' https://t.co/EmEGnUhuU3 dropped on CRAN today. Faster code and detailed vignette. #animalmovement</t>
  </si>
  <si>
    <t>Marco Torchiano</t>
  </si>
  <si>
    <t>effsize 0.6.1 is on #CRAN now #rstats https://t.co/USmR2iP7lB</t>
  </si>
  <si>
    <t>Associate Professor Sw Engineering at Politecnico di Torino. Fellow Nexa Center. Empirical and quantitative researcher and data visualizer.</t>
  </si>
  <si>
    <t>Szilard</t>
  </si>
  <si>
    <t>Santa Monica, California</t>
  </si>
  <si>
    <t>physics PhD, chief data scientist, meetup organizer, visiting professor, https://t.co/eybyZttfPL</t>
  </si>
  <si>
    <t>Caroline Kovacs</t>
  </si>
  <si>
    <t>Winchester</t>
  </si>
  <si>
    <t>University of Portsmouth Maths grad, fan of all things scientific. P/T PhD - Clinical outcome modelling. Portsmouth MathsJam organiser. Maths is for all!</t>
  </si>
  <si>
    <t>WeekendArchaeologist</t>
  </si>
  <si>
    <t>Málaga, Andalucía, Spain</t>
  </si>
  <si>
    <t>Education, Robotics and Archaeology... yes, it's possible ;) Universidad de Málaga @InfoUMA</t>
  </si>
  <si>
    <t>Brendan Tierney</t>
  </si>
  <si>
    <t>Recoding variable values using ore.recode #ore #oracle #rstats https://t.co/Lj1ksnn098 #fb</t>
  </si>
  <si>
    <t>Ireland - Visit my blog at</t>
  </si>
  <si>
    <t>Oracle ACE Director (Oracle Adavanced Analytics Option, ORE, R, SAS), Editor of UKOUG Oracle Scene, Enterprise Data Architect, Lecturer &amp; Wood Carver</t>
  </si>
  <si>
    <t>Jim Smiley</t>
  </si>
  <si>
    <t>South Philly, PA</t>
  </si>
  <si>
    <t>Philly native. Software engineer for civic startup @ReCollectnet. Web editor @FKDGztte. At play at @IndyHall</t>
  </si>
  <si>
    <t>MATSUSHIMA Nanigashi</t>
  </si>
  <si>
    <t>オタクとサブカルとギークとマイルドヤンキーの狭間で</t>
  </si>
  <si>
    <t>Mitch Sanders</t>
  </si>
  <si>
    <t>Using #R #Shiny examples and teaching #webinar - #Interactive #Graphics Winston https://t.co/Jh8xgyDS9K #datascience #Rstats</t>
  </si>
  <si>
    <t>Wimberley, TX</t>
  </si>
  <si>
    <t>data sci-guy, philosopher-at-large, businessman @Dell - think/grow/share -- tweets = thought breadcrumbs; find a wise trail.</t>
  </si>
  <si>
    <t>Shiny showcase - examples of interactive graphics in R - very nice! #Rstats #DataScience #graphics</t>
  </si>
  <si>
    <t>Teja Kodali</t>
  </si>
  <si>
    <t>Rochester, New York</t>
  </si>
  <si>
    <t>Tech Geek - Grad Student - #DataScience - #rstats - #Analytics</t>
  </si>
  <si>
    <t>Tony Fujs</t>
  </si>
  <si>
    <t>Overleaf</t>
  </si>
  <si>
    <t>Create, edit &amp; publish your research - all from your browser. Our real-time collaborative LaTeX editor automatically produces &amp; displays your typeset document.</t>
  </si>
  <si>
    <t>Have an hour? Learn how to create interactive #dataviz with #rstats Shiny and other pkgs! https://t.co/hb3Vnlx51T</t>
  </si>
  <si>
    <t>R packages that interface with journal full-text or metadata https://t.co/pKgd0PK69a #rstats @rOpenSci</t>
  </si>
  <si>
    <t>Recommended Reading: Social Media Mining with R https://t.co/jVj0CZJCYN #DataScience #BigData #RStats #RLang #Analytics</t>
  </si>
  <si>
    <t>work with vector data in #rstats ? Check out our free #data tutorials https://t.co/XNXQvAJYBi now ! #workwithdata https://t.co/JN2OxAyjka</t>
  </si>
  <si>
    <t>Recommended Reading: Introduction to Statistical Learning https://t.co/oWWixceGdE #DataScience #BigData #RStats #RLang #MachineLearning</t>
  </si>
  <si>
    <t>RT @DistrictDataLab: Recommended Reading: Social Media Mining with R https://t.co/jVj0CZJCYN #DataScience #BigData #RStats #RLang #Analytics</t>
  </si>
  <si>
    <t>RT @tonyojeda3: Recommended Reading: Introduction to Statistical Learning https://t.co/oWWixceGdE #DataScience #BigData #RStats #RLang #Mac…</t>
  </si>
  <si>
    <t>Japan's demographic future, 1990-2050. Animation in R by @kyle_e_walker https://t.co/jd1CQSP8Bu #rstats https://t.co/a2l0OJsVdy</t>
  </si>
  <si>
    <t>Jammi N Rao</t>
  </si>
  <si>
    <t>RT @revodavid: Japan's demographic future, 1990-2050. Animation in R by @kyle_e_walker https://t.co/jd1CQSP8Bu #rstats https://t.co/a2l0OJs…</t>
  </si>
  <si>
    <t>Walsall</t>
  </si>
  <si>
    <t>Public health physician. Arriving at the right answer is important, but getting the question right is vital. The self-proclaimed expert is likely a charlatan</t>
  </si>
  <si>
    <t>James King</t>
  </si>
  <si>
    <t>RT @LeahAWasser: work with vector data in #rstats ? Check out our free #data tutorials https://t.co/XNXQvAJYBi now ! #workwithdata https://…</t>
  </si>
  <si>
    <t>Faculty at Université de Montréal. Drylands scientist. Tweeting faculty/post-doc jobs, current research, and dryland news. Father, husband, and educator.</t>
  </si>
  <si>
    <t>#rstats #dataviz https://t.co/b1dbiWnzHV</t>
  </si>
  <si>
    <t>pablo</t>
  </si>
  <si>
    <t>Been there, done that, bought the fucking t-shirt</t>
  </si>
  <si>
    <t>Christian Hudon</t>
  </si>
  <si>
    <t>Montréal, Qc</t>
  </si>
  <si>
    <t>Pensar Infográfico</t>
  </si>
  <si>
    <t>Projeto de ensino sobre teoria, produção e uso de infográficos. contato@pensarinfografico.com.br</t>
  </si>
  <si>
    <t>Pedro Góis</t>
  </si>
  <si>
    <t xml:space="preserve"> Coimbra &amp; Porto (Portugal)</t>
  </si>
  <si>
    <t>Professor Auxiliar/Senior Reader, Sociologist, PhD</t>
  </si>
  <si>
    <t>Donna Hauser</t>
  </si>
  <si>
    <t>RT @jomilo75: Version 2.0 of #rstats pkg 'crawl' https://t.co/EmEGnUhuU3 dropped on CRAN today. Faster code and detailed vignette. #animalm…</t>
  </si>
  <si>
    <t>Fairbanks</t>
  </si>
  <si>
    <t>Marine ecology &amp; conservation, top marine predators, Arctic marine ecosystems, climate change biology, &amp; general lover of being outside. @UW_SAFS PhD candidate</t>
  </si>
  <si>
    <t>Daniel Lam</t>
  </si>
  <si>
    <t>Freelance Analysis &amp; Visualisation Consultant &amp; Omniscoper Nomnomnomz! Let me eat all your data! Studied MRes at UCL Centre of Adv Spatial Analysis.</t>
  </si>
  <si>
    <t>I just completed the chapter "Importing data from Excel". @datacamp https://t.co/dXRM8tNfvy #nerdlunch #rstats</t>
  </si>
  <si>
    <t>Top story: #rstats First steps with Non-Linear Regression in R | R-bloggers https://t.co/eomIg2HKeb, see more https://t.co/wHGxkjjAmH</t>
  </si>
  <si>
    <t>Nils Gehlenborg</t>
  </si>
  <si>
    <t>Boston, MA, USA</t>
  </si>
  <si>
    <t>Faculty @HarvardDBMI. Data Visualization. Biomedical Informatics. Genomics. Epigenomics. Cancer Biology. Views are my own.</t>
  </si>
  <si>
    <t>RT @tripartio: R packages that interface with journal full-text or metadata https://t.co/pKgd0PK69a #rstats @rOpenSci</t>
  </si>
  <si>
    <t>Search #CVE from #rstats. https://t.co/XI03YQjwIi</t>
  </si>
  <si>
    <t>Tom Moultrie</t>
  </si>
  <si>
    <t>Cape Town, South Africa</t>
  </si>
  <si>
    <t>Demographer at UCT; cricket and politics nut.</t>
  </si>
  <si>
    <t>Andrew Martin</t>
  </si>
  <si>
    <t>anytime anyone asks why @hadleywickham won't support double-y axis charts in ggplot2, this should be fig. 1 #rstats https://t.co/opNLR3DDWM</t>
  </si>
  <si>
    <t>Brooklyn</t>
  </si>
  <si>
    <t>because @carpstreamer was already taken. #rstats, charts, data, analysis etc @KIPPNJ.</t>
  </si>
  <si>
    <t>Asif Salam</t>
  </si>
  <si>
    <t>CRAN updates: effsize MRH openssl ReporteRs tmod https://t.co/y5W2NTKSXT #rstats</t>
  </si>
  <si>
    <t>Event Log</t>
  </si>
  <si>
    <t>This sheet will capture the program logs. Please do not edit or rename this sheet.</t>
  </si>
  <si>
    <t>Log sheet created for Twitter Archiver</t>
  </si>
  <si>
    <t>26-02 10:14:44</t>
  </si>
  <si>
    <t>[Save] Rule #rstats</t>
  </si>
  <si>
    <t>Trigger created for saving tweets</t>
  </si>
  <si>
    <t>26-02 10:17:36</t>
  </si>
  <si>
    <t>[Rule] #rstats 3070 tweets</t>
  </si>
  <si>
    <t>26-02 10:18:22</t>
  </si>
  <si>
    <t>[Save] Rule #python</t>
  </si>
  <si>
    <t>26-02 10:21:15</t>
  </si>
  <si>
    <t>[Rule] #python 3059 tweets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</si>
</sst>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H:mm:ss"/>
    <numFmt numFmtId="165" formatCode="m/d/yyyy h:mm:ss"/>
    <numFmt numFmtId="166" formatCode="dd/MM/yyyy HH:mm:ss"/>
  </numFmts>
  <fonts count="13">
    <font>
      <sz val="10.0"/>
      <color rgb="FF000000"/>
      <name val="Arial"/>
    </font>
    <font>
      <sz val="9.0"/>
      <color rgb="FFFFFFFF"/>
    </font>
    <font>
      <sz val="8.0"/>
      <color rgb="FFFFFFFF"/>
    </font>
    <font>
      <sz val="8.0"/>
    </font>
    <font>
      <b/>
      <sz val="8.0"/>
      <color rgb="FFFFFFFF"/>
      <name val="Trebuchet MS"/>
    </font>
    <font>
      <u/>
      <sz val="8.0"/>
      <color rgb="FF0000FF"/>
    </font>
    <font>
      <u/>
      <sz val="8.0"/>
      <color rgb="FF0000FF"/>
    </font>
    <font>
      <u/>
      <sz val="8.0"/>
      <color rgb="FF0000FF"/>
    </font>
    <font>
      <u/>
      <sz val="8.0"/>
      <color rgb="FF0000FF"/>
    </font>
    <font>
      <u/>
      <sz val="8.0"/>
      <color rgb="FF0000FF"/>
    </font>
    <font>
      <sz val="9.0"/>
      <color rgb="FFFFFFFF"/>
      <name val="Arial"/>
    </font>
    <font/>
    <font>
      <sz val="8.0"/>
      <name val="Arial"/>
    </font>
  </fonts>
  <fills count="4">
    <fill>
      <patternFill patternType="none"/>
    </fill>
    <fill>
      <patternFill patternType="lightGray"/>
    </fill>
    <fill>
      <patternFill patternType="solid">
        <fgColor rgb="FF1155CC"/>
        <bgColor rgb="FF1155CC"/>
      </patternFill>
    </fill>
    <fill>
      <patternFill patternType="solid">
        <fgColor rgb="FF4A86E8"/>
        <bgColor rgb="FF4A86E8"/>
      </patternFill>
    </fill>
  </fills>
  <borders count="6">
    <border>
      <left/>
      <right/>
      <top/>
      <bottom/>
    </border>
    <border>
      <left style="thin">
        <color rgb="FF000000"/>
      </left>
      <right style="thin">
        <color rgb="FF000000"/>
      </right>
      <top style="thin">
        <color rgb="FF000000"/>
      </top>
      <bottom style="thin">
        <color rgb="FF000000"/>
      </bottom>
    </border>
    <border>
      <left style="thin">
        <color rgb="FFFFFFFF"/>
      </left>
      <right style="thin">
        <color rgb="FFFFFFFF"/>
      </right>
      <top style="thin">
        <color rgb="FFFFFFFF"/>
      </top>
      <bottom style="thin">
        <color rgb="FFFFFFFF"/>
      </bottom>
    </border>
    <border>
      <left style="thin">
        <color rgb="FFFFFFFF"/>
      </left>
      <right/>
      <top style="thin">
        <color rgb="FFFFFFFF"/>
      </top>
      <bottom style="thin">
        <color rgb="FFFFFFFF"/>
      </bottom>
    </border>
    <border>
      <left/>
      <right/>
      <top style="thin">
        <color rgb="FFFFFFFF"/>
      </top>
      <bottom style="thin">
        <color rgb="FFFFFFFF"/>
      </bottom>
    </border>
    <border>
      <left/>
      <right style="thin">
        <color rgb="FFFFFFFF"/>
      </right>
      <top style="thin">
        <color rgb="FFFFFFFF"/>
      </top>
      <bottom style="thin">
        <color rgb="FFFFFFFF"/>
      </bottom>
    </border>
  </borders>
  <cellStyleXfs count="1">
    <xf borderId="0" fillId="0" fontId="0" numFmtId="0" applyAlignment="1" applyFont="1"/>
  </cellStyleXfs>
  <cellXfs count="37">
    <xf borderId="0" fillId="0" fontId="0" numFmtId="0" xfId="0" applyAlignment="1" applyFont="1">
      <alignment/>
    </xf>
    <xf borderId="0" fillId="2" fontId="1" numFmtId="0" xfId="0" applyAlignment="1" applyFill="1" applyFont="1">
      <alignment horizontal="center" vertical="center"/>
    </xf>
    <xf borderId="0" fillId="2" fontId="2" numFmtId="0" xfId="0" applyAlignment="1" applyFont="1">
      <alignment horizontal="center" vertical="center"/>
    </xf>
    <xf borderId="0" fillId="2" fontId="3" numFmtId="164" xfId="0" applyAlignment="1" applyFont="1" applyNumberFormat="1">
      <alignment horizontal="center"/>
    </xf>
    <xf borderId="1" fillId="3" fontId="4" numFmtId="164" xfId="0" applyAlignment="1" applyBorder="1" applyFill="1" applyFont="1" applyNumberFormat="1">
      <alignment horizontal="center" vertical="center"/>
    </xf>
    <xf borderId="1" fillId="3" fontId="4" numFmtId="0" xfId="0" applyAlignment="1" applyBorder="1" applyFont="1">
      <alignment horizontal="center" vertical="center"/>
    </xf>
    <xf borderId="1" fillId="3" fontId="4" numFmtId="0" xfId="0" applyAlignment="1" applyBorder="1" applyFont="1">
      <alignment horizontal="center" vertical="center"/>
    </xf>
    <xf borderId="0" fillId="0" fontId="3" numFmtId="14" xfId="0" applyAlignment="1" applyFont="1" applyNumberFormat="1">
      <alignment horizontal="center" vertical="center"/>
    </xf>
    <xf borderId="0" fillId="0" fontId="5" numFmtId="0" xfId="0" applyAlignment="1" applyFont="1">
      <alignment vertical="center"/>
    </xf>
    <xf borderId="0" fillId="0" fontId="6" numFmtId="0" xfId="0" applyAlignment="1" applyFont="1">
      <alignment vertical="center"/>
    </xf>
    <xf borderId="0" fillId="0" fontId="3" numFmtId="0" xfId="0" applyAlignment="1" applyFont="1">
      <alignment vertical="center"/>
    </xf>
    <xf borderId="0" fillId="0" fontId="7" numFmtId="0" xfId="0" applyAlignment="1" applyFont="1">
      <alignment horizontal="center" vertical="center"/>
    </xf>
    <xf borderId="0" fillId="0" fontId="3" numFmtId="0" xfId="0" applyAlignment="1" applyFont="1">
      <alignment horizontal="center" vertical="center"/>
    </xf>
    <xf borderId="0" fillId="0" fontId="3" numFmtId="0" xfId="0" applyAlignment="1" applyFont="1">
      <alignment horizontal="center" vertical="center"/>
    </xf>
    <xf borderId="0" fillId="0" fontId="3" numFmtId="0" xfId="0" applyAlignment="1" applyFont="1">
      <alignment horizontal="left" vertical="center"/>
    </xf>
    <xf borderId="0" fillId="0" fontId="3" numFmtId="0" xfId="0" applyAlignment="1" applyFont="1">
      <alignment horizontal="center" vertical="center"/>
    </xf>
    <xf borderId="0" fillId="0" fontId="3" numFmtId="0" xfId="0" applyAlignment="1" applyFont="1">
      <alignment horizontal="left" vertical="center"/>
    </xf>
    <xf borderId="0" fillId="0" fontId="8" numFmtId="0" xfId="0" applyAlignment="1" applyFont="1">
      <alignment horizontal="center" vertical="center"/>
    </xf>
    <xf borderId="0" fillId="0" fontId="9" numFmtId="0" xfId="0" applyAlignment="1" applyFont="1">
      <alignment horizontal="left" vertical="center"/>
    </xf>
    <xf borderId="0" fillId="0" fontId="3" numFmtId="11" xfId="0" applyAlignment="1" applyFont="1" applyNumberFormat="1">
      <alignment horizontal="left" vertical="center"/>
    </xf>
    <xf borderId="0" fillId="0" fontId="3" numFmtId="0" xfId="0" applyAlignment="1" applyFont="1">
      <alignment vertical="center"/>
    </xf>
    <xf borderId="0" fillId="0" fontId="3" numFmtId="0" xfId="0" applyAlignment="1" applyFont="1">
      <alignment horizontal="left" vertical="center"/>
    </xf>
    <xf borderId="0" fillId="0" fontId="3" numFmtId="0" xfId="0" applyAlignment="1" applyFont="1">
      <alignment vertical="center"/>
    </xf>
    <xf borderId="0" fillId="0" fontId="3" numFmtId="0" xfId="0" applyAlignment="1" applyFont="1">
      <alignment vertical="center"/>
    </xf>
    <xf borderId="0" fillId="0" fontId="3" numFmtId="3" xfId="0" applyAlignment="1" applyFont="1" applyNumberFormat="1">
      <alignment horizontal="left" vertical="center"/>
    </xf>
    <xf borderId="2" fillId="2" fontId="10" numFmtId="0" xfId="0" applyAlignment="1" applyBorder="1" applyFont="1">
      <alignment horizontal="center" vertical="center"/>
    </xf>
    <xf borderId="2" fillId="2" fontId="10" numFmtId="0" xfId="0" applyAlignment="1" applyBorder="1" applyFont="1">
      <alignment horizontal="center" vertical="center"/>
    </xf>
    <xf borderId="3" fillId="2" fontId="10" numFmtId="0" xfId="0" applyAlignment="1" applyBorder="1" applyFont="1">
      <alignment horizontal="center" vertical="center"/>
    </xf>
    <xf borderId="4" fillId="0" fontId="11" numFmtId="0" xfId="0" applyBorder="1" applyFont="1"/>
    <xf borderId="5" fillId="0" fontId="11" numFmtId="0" xfId="0" applyBorder="1" applyFont="1"/>
    <xf borderId="0" fillId="0" fontId="12" numFmtId="165" xfId="0" applyAlignment="1" applyFont="1" applyNumberFormat="1">
      <alignment horizontal="center" vertical="center"/>
    </xf>
    <xf borderId="0" fillId="0" fontId="12" numFmtId="0" xfId="0" applyAlignment="1" applyFont="1">
      <alignment vertical="center"/>
    </xf>
    <xf borderId="0" fillId="0" fontId="12" numFmtId="0" xfId="0" applyAlignment="1" applyFont="1">
      <alignment vertical="center"/>
    </xf>
    <xf borderId="0" fillId="0" fontId="12" numFmtId="166" xfId="0" applyAlignment="1" applyFont="1" applyNumberFormat="1">
      <alignment vertical="center"/>
    </xf>
    <xf borderId="0" fillId="0" fontId="12" numFmtId="0" xfId="0" applyAlignment="1" applyFont="1">
      <alignment horizontal="center" vertical="center"/>
    </xf>
    <xf borderId="0" fillId="0" fontId="12" numFmtId="0" xfId="0" applyAlignment="1" applyFont="1">
      <alignment horizontal="center" vertical="center"/>
    </xf>
    <xf borderId="0" fillId="0" fontId="12"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9617" Type="http://schemas.openxmlformats.org/officeDocument/2006/relationships/hyperlink" Target="https://twitter.com/mark_asbach/status/703280971962060801" TargetMode="External"/><Relationship Id="rId9618" Type="http://schemas.openxmlformats.org/officeDocument/2006/relationships/hyperlink" Target="https://pbs.twimg.com/profile_images/673648481/twitter-profilfoto_normal.jpg" TargetMode="External"/><Relationship Id="rId9619" Type="http://schemas.openxmlformats.org/officeDocument/2006/relationships/hyperlink" Target="https://twitter.com/MCanalytics" TargetMode="External"/><Relationship Id="rId9613" Type="http://schemas.openxmlformats.org/officeDocument/2006/relationships/hyperlink" Target="https://twitter.com/chibaf" TargetMode="External"/><Relationship Id="rId9614" Type="http://schemas.openxmlformats.org/officeDocument/2006/relationships/hyperlink" Target="https://twitter.com/chibaf/status/703280813979230208" TargetMode="External"/><Relationship Id="rId9615" Type="http://schemas.openxmlformats.org/officeDocument/2006/relationships/hyperlink" Target="https://pbs.twimg.com/profile_images/681923556561666049/XHDxWC8g_normal.png" TargetMode="External"/><Relationship Id="rId9616" Type="http://schemas.openxmlformats.org/officeDocument/2006/relationships/hyperlink" Target="https://twitter.com/mark_asbach" TargetMode="External"/><Relationship Id="rId9610" Type="http://schemas.openxmlformats.org/officeDocument/2006/relationships/hyperlink" Target="https://twitter.com/DjangoGirlsRio" TargetMode="External"/><Relationship Id="rId9611" Type="http://schemas.openxmlformats.org/officeDocument/2006/relationships/hyperlink" Target="https://twitter.com/DjangoGirlsRio/status/703280687739236352" TargetMode="External"/><Relationship Id="rId9612" Type="http://schemas.openxmlformats.org/officeDocument/2006/relationships/hyperlink" Target="https://pbs.twimg.com/profile_images/683802551993692160/czqta4Eo_normal.png" TargetMode="External"/><Relationship Id="rId9606" Type="http://schemas.openxmlformats.org/officeDocument/2006/relationships/hyperlink" Target="https://pbs.twimg.com/profile_images/1401189383/me_skecth_no2_dark_800x800_normal.jpg" TargetMode="External"/><Relationship Id="rId9607" Type="http://schemas.openxmlformats.org/officeDocument/2006/relationships/hyperlink" Target="https://twitter.com/AdamSmitht1" TargetMode="External"/><Relationship Id="rId9608" Type="http://schemas.openxmlformats.org/officeDocument/2006/relationships/hyperlink" Target="https://twitter.com/AdamSmitht1/status/703280676175482881" TargetMode="External"/><Relationship Id="rId9609" Type="http://schemas.openxmlformats.org/officeDocument/2006/relationships/hyperlink" Target="https://pbs.twimg.com/profile_images/671623862916812800/yGsDKiP4_normal.jpg" TargetMode="External"/><Relationship Id="rId9602" Type="http://schemas.openxmlformats.org/officeDocument/2006/relationships/hyperlink" Target="https://twitter.com/ameanmbot/status/703280261837025280" TargetMode="External"/><Relationship Id="rId9603" Type="http://schemas.openxmlformats.org/officeDocument/2006/relationships/hyperlink" Target="https://pbs.twimg.com/profile_images/481334978161029120/iu3zZFEk_normal.png" TargetMode="External"/><Relationship Id="rId9604" Type="http://schemas.openxmlformats.org/officeDocument/2006/relationships/hyperlink" Target="https://twitter.com/mattmcd" TargetMode="External"/><Relationship Id="rId9605" Type="http://schemas.openxmlformats.org/officeDocument/2006/relationships/hyperlink" Target="https://twitter.com/mattmcd/status/703280394578305024" TargetMode="External"/><Relationship Id="rId9600" Type="http://schemas.openxmlformats.org/officeDocument/2006/relationships/hyperlink" Target="https://pbs.twimg.com/profile_images/655014978101993476/ZpsnJW8B_normal.jpg" TargetMode="External"/><Relationship Id="rId9601" Type="http://schemas.openxmlformats.org/officeDocument/2006/relationships/hyperlink" Target="https://twitter.com/ameanmbot" TargetMode="External"/><Relationship Id="rId8309" Type="http://schemas.openxmlformats.org/officeDocument/2006/relationships/hyperlink" Target="https://twitter.com/C_LCote" TargetMode="External"/><Relationship Id="rId8308" Type="http://schemas.openxmlformats.org/officeDocument/2006/relationships/hyperlink" Target="https://pbs.twimg.com/profile_images/3312468366/129323224633d71286101d517a2f9817_normal.png" TargetMode="External"/><Relationship Id="rId9639" Type="http://schemas.openxmlformats.org/officeDocument/2006/relationships/hyperlink" Target="https://pbs.twimg.com/profile_images/636008630844678148/xgzovIZl_normal.jpg" TargetMode="External"/><Relationship Id="rId9630" Type="http://schemas.openxmlformats.org/officeDocument/2006/relationships/hyperlink" Target="https://pbs.twimg.com/profile_images/700782075595481088/NiHciBeU_normal.jpg" TargetMode="External"/><Relationship Id="rId8303" Type="http://schemas.openxmlformats.org/officeDocument/2006/relationships/hyperlink" Target="https://twitter.com/freefazee/status/703229686529323008" TargetMode="External"/><Relationship Id="rId9635" Type="http://schemas.openxmlformats.org/officeDocument/2006/relationships/hyperlink" Target="https://twitter.com/rmad1717/status/703281784000159744" TargetMode="External"/><Relationship Id="rId8302" Type="http://schemas.openxmlformats.org/officeDocument/2006/relationships/hyperlink" Target="https://twitter.com/freefazee" TargetMode="External"/><Relationship Id="rId9636" Type="http://schemas.openxmlformats.org/officeDocument/2006/relationships/hyperlink" Target="https://pbs.twimg.com/profile_images/657453239789420544/faZgs1i1_normal.jpg" TargetMode="External"/><Relationship Id="rId8301" Type="http://schemas.openxmlformats.org/officeDocument/2006/relationships/hyperlink" Target="https://pbs.twimg.com/profile_images/523203529620484096/fzN_Plp5_normal.jpeg" TargetMode="External"/><Relationship Id="rId9637" Type="http://schemas.openxmlformats.org/officeDocument/2006/relationships/hyperlink" Target="https://twitter.com/masa16tanaka" TargetMode="External"/><Relationship Id="rId8300" Type="http://schemas.openxmlformats.org/officeDocument/2006/relationships/hyperlink" Target="https://twitter.com/GetUdemyDeals/status/703229682959982592" TargetMode="External"/><Relationship Id="rId9638" Type="http://schemas.openxmlformats.org/officeDocument/2006/relationships/hyperlink" Target="https://twitter.com/masa16tanaka/status/703282053974917120" TargetMode="External"/><Relationship Id="rId8307" Type="http://schemas.openxmlformats.org/officeDocument/2006/relationships/hyperlink" Target="https://twitter.com/RealPython/status/703229724705751041" TargetMode="External"/><Relationship Id="rId9631" Type="http://schemas.openxmlformats.org/officeDocument/2006/relationships/hyperlink" Target="https://twitter.com/GlukAlex" TargetMode="External"/><Relationship Id="rId8306" Type="http://schemas.openxmlformats.org/officeDocument/2006/relationships/hyperlink" Target="http://RealPython.com" TargetMode="External"/><Relationship Id="rId9632" Type="http://schemas.openxmlformats.org/officeDocument/2006/relationships/hyperlink" Target="https://twitter.com/GlukAlex/status/703281429220823040" TargetMode="External"/><Relationship Id="rId8305" Type="http://schemas.openxmlformats.org/officeDocument/2006/relationships/hyperlink" Target="https://twitter.com/RealPython" TargetMode="External"/><Relationship Id="rId9633" Type="http://schemas.openxmlformats.org/officeDocument/2006/relationships/hyperlink" Target="https://pbs.twimg.com/profile_images/3262121110/3aa51f97635bb974c92448a662bae68b_normal.jpeg" TargetMode="External"/><Relationship Id="rId8304" Type="http://schemas.openxmlformats.org/officeDocument/2006/relationships/hyperlink" Target="https://pbs.twimg.com/profile_images/663057423511461888/auzEUYSv_normal.jpg" TargetMode="External"/><Relationship Id="rId9634" Type="http://schemas.openxmlformats.org/officeDocument/2006/relationships/hyperlink" Target="https://twitter.com/rmad1717" TargetMode="External"/><Relationship Id="rId9628" Type="http://schemas.openxmlformats.org/officeDocument/2006/relationships/hyperlink" Target="https://twitter.com/datamafia" TargetMode="External"/><Relationship Id="rId9629" Type="http://schemas.openxmlformats.org/officeDocument/2006/relationships/hyperlink" Target="https://twitter.com/datamafia/status/703281107278696449" TargetMode="External"/><Relationship Id="rId9624" Type="http://schemas.openxmlformats.org/officeDocument/2006/relationships/hyperlink" Target="https://pbs.twimg.com/profile_images/688093545148723201/hCPglEEy_normal.jpg" TargetMode="External"/><Relationship Id="rId9625" Type="http://schemas.openxmlformats.org/officeDocument/2006/relationships/hyperlink" Target="https://twitter.com/startechwall" TargetMode="External"/><Relationship Id="rId9626" Type="http://schemas.openxmlformats.org/officeDocument/2006/relationships/hyperlink" Target="https://twitter.com/startechwall/status/703281043667685376" TargetMode="External"/><Relationship Id="rId9627" Type="http://schemas.openxmlformats.org/officeDocument/2006/relationships/hyperlink" Target="https://pbs.twimg.com/profile_images/679566117187145728/UUo30Zpm_normal.jpg" TargetMode="External"/><Relationship Id="rId9620" Type="http://schemas.openxmlformats.org/officeDocument/2006/relationships/hyperlink" Target="https://twitter.com/MCanalytics/status/703280994225262598" TargetMode="External"/><Relationship Id="rId9621" Type="http://schemas.openxmlformats.org/officeDocument/2006/relationships/hyperlink" Target="https://pbs.twimg.com/profile_images/642779267927945218/MYTAxfc-_normal.jpg" TargetMode="External"/><Relationship Id="rId9622" Type="http://schemas.openxmlformats.org/officeDocument/2006/relationships/hyperlink" Target="https://twitter.com/Philip_W_Morris" TargetMode="External"/><Relationship Id="rId9623" Type="http://schemas.openxmlformats.org/officeDocument/2006/relationships/hyperlink" Target="https://twitter.com/Philip_W_Morris/status/703281043038724096" TargetMode="External"/><Relationship Id="rId2180" Type="http://schemas.openxmlformats.org/officeDocument/2006/relationships/hyperlink" Target="http://dlvr.it" TargetMode="External"/><Relationship Id="rId2181" Type="http://schemas.openxmlformats.org/officeDocument/2006/relationships/hyperlink" Target="https://pbs.twimg.com/profile_images/2813636657/599521f69e2bc210a57323b64d8e39e6_normal.jpeg" TargetMode="External"/><Relationship Id="rId2182" Type="http://schemas.openxmlformats.org/officeDocument/2006/relationships/hyperlink" Target="https://twitter.com/artwisanggeni" TargetMode="External"/><Relationship Id="rId2183" Type="http://schemas.openxmlformats.org/officeDocument/2006/relationships/hyperlink" Target="https://twitter.com/artwisanggeni/status/702897423757103104" TargetMode="External"/><Relationship Id="rId2184" Type="http://schemas.openxmlformats.org/officeDocument/2006/relationships/hyperlink" Target="http://dlvr.it" TargetMode="External"/><Relationship Id="rId2185" Type="http://schemas.openxmlformats.org/officeDocument/2006/relationships/hyperlink" Target="https://pbs.twimg.com/profile_images/2813636657/599521f69e2bc210a57323b64d8e39e6_normal.jpeg" TargetMode="External"/><Relationship Id="rId2186" Type="http://schemas.openxmlformats.org/officeDocument/2006/relationships/hyperlink" Target="https://twitter.com/artwisanggeni" TargetMode="External"/><Relationship Id="rId2187" Type="http://schemas.openxmlformats.org/officeDocument/2006/relationships/hyperlink" Target="https://twitter.com/artwisanggeni/status/702897426990936064" TargetMode="External"/><Relationship Id="rId2188" Type="http://schemas.openxmlformats.org/officeDocument/2006/relationships/hyperlink" Target="http://dlvr.it" TargetMode="External"/><Relationship Id="rId2189" Type="http://schemas.openxmlformats.org/officeDocument/2006/relationships/hyperlink" Target="https://pbs.twimg.com/profile_images/2813636657/599521f69e2bc210a57323b64d8e39e6_normal.jpeg" TargetMode="External"/><Relationship Id="rId2170" Type="http://schemas.openxmlformats.org/officeDocument/2006/relationships/hyperlink" Target="https://twitter.com/artwisanggeni" TargetMode="External"/><Relationship Id="rId2171" Type="http://schemas.openxmlformats.org/officeDocument/2006/relationships/hyperlink" Target="https://twitter.com/artwisanggeni/status/702897413506215937" TargetMode="External"/><Relationship Id="rId2172" Type="http://schemas.openxmlformats.org/officeDocument/2006/relationships/hyperlink" Target="http://dlvr.it" TargetMode="External"/><Relationship Id="rId2173" Type="http://schemas.openxmlformats.org/officeDocument/2006/relationships/hyperlink" Target="https://pbs.twimg.com/profile_images/2813636657/599521f69e2bc210a57323b64d8e39e6_normal.jpeg" TargetMode="External"/><Relationship Id="rId2174" Type="http://schemas.openxmlformats.org/officeDocument/2006/relationships/hyperlink" Target="https://twitter.com/artwisanggeni" TargetMode="External"/><Relationship Id="rId2175" Type="http://schemas.openxmlformats.org/officeDocument/2006/relationships/hyperlink" Target="https://twitter.com/artwisanggeni/status/702897417163665408" TargetMode="External"/><Relationship Id="rId2176" Type="http://schemas.openxmlformats.org/officeDocument/2006/relationships/hyperlink" Target="http://dlvr.it" TargetMode="External"/><Relationship Id="rId2177" Type="http://schemas.openxmlformats.org/officeDocument/2006/relationships/hyperlink" Target="https://pbs.twimg.com/profile_images/2813636657/599521f69e2bc210a57323b64d8e39e6_normal.jpeg" TargetMode="External"/><Relationship Id="rId2178" Type="http://schemas.openxmlformats.org/officeDocument/2006/relationships/hyperlink" Target="https://twitter.com/artwisanggeni" TargetMode="External"/><Relationship Id="rId2179" Type="http://schemas.openxmlformats.org/officeDocument/2006/relationships/hyperlink" Target="https://twitter.com/artwisanggeni/status/702897420590411776" TargetMode="External"/><Relationship Id="rId2190" Type="http://schemas.openxmlformats.org/officeDocument/2006/relationships/hyperlink" Target="https://twitter.com/artwisanggeni" TargetMode="External"/><Relationship Id="rId2191" Type="http://schemas.openxmlformats.org/officeDocument/2006/relationships/hyperlink" Target="https://twitter.com/artwisanggeni/status/702897430707056640" TargetMode="External"/><Relationship Id="rId2192" Type="http://schemas.openxmlformats.org/officeDocument/2006/relationships/hyperlink" Target="http://dlvr.it" TargetMode="External"/><Relationship Id="rId2193" Type="http://schemas.openxmlformats.org/officeDocument/2006/relationships/hyperlink" Target="https://pbs.twimg.com/profile_images/2813636657/599521f69e2bc210a57323b64d8e39e6_normal.jpeg" TargetMode="External"/><Relationship Id="rId2194" Type="http://schemas.openxmlformats.org/officeDocument/2006/relationships/hyperlink" Target="https://twitter.com/artwisanggeni" TargetMode="External"/><Relationship Id="rId2195" Type="http://schemas.openxmlformats.org/officeDocument/2006/relationships/hyperlink" Target="https://twitter.com/artwisanggeni/status/702897433697587200" TargetMode="External"/><Relationship Id="rId2196" Type="http://schemas.openxmlformats.org/officeDocument/2006/relationships/hyperlink" Target="http://dlvr.it" TargetMode="External"/><Relationship Id="rId2197" Type="http://schemas.openxmlformats.org/officeDocument/2006/relationships/hyperlink" Target="https://pbs.twimg.com/profile_images/2813636657/599521f69e2bc210a57323b64d8e39e6_normal.jpeg" TargetMode="External"/><Relationship Id="rId2198" Type="http://schemas.openxmlformats.org/officeDocument/2006/relationships/hyperlink" Target="https://twitter.com/artwisanggeni" TargetMode="External"/><Relationship Id="rId2199" Type="http://schemas.openxmlformats.org/officeDocument/2006/relationships/hyperlink" Target="https://twitter.com/artwisanggeni/status/702897436746887173" TargetMode="External"/><Relationship Id="rId7030" Type="http://schemas.openxmlformats.org/officeDocument/2006/relationships/hyperlink" Target="https://twitter.com/alexandreesl/status/703162367715049472" TargetMode="External"/><Relationship Id="rId8361" Type="http://schemas.openxmlformats.org/officeDocument/2006/relationships/hyperlink" Target="https://twitter.com/art_control/status/703232528279281664" TargetMode="External"/><Relationship Id="rId8360" Type="http://schemas.openxmlformats.org/officeDocument/2006/relationships/hyperlink" Target="https://twitter.com/art_control" TargetMode="External"/><Relationship Id="rId7034" Type="http://schemas.openxmlformats.org/officeDocument/2006/relationships/hyperlink" Target="https://pbs.twimg.com/profile_images/606122549626445824/F381wuJT_normal.jpg" TargetMode="External"/><Relationship Id="rId8365" Type="http://schemas.openxmlformats.org/officeDocument/2006/relationships/hyperlink" Target="https://pbs.twimg.com/profile_images/1489929325/NERD_normal.jpg" TargetMode="External"/><Relationship Id="rId7033" Type="http://schemas.openxmlformats.org/officeDocument/2006/relationships/hyperlink" Target="https://twitter.com/ManAHLTech/status/703162630052024321" TargetMode="External"/><Relationship Id="rId8364" Type="http://schemas.openxmlformats.org/officeDocument/2006/relationships/hyperlink" Target="https://twitter.com/JTIE_6EE7/status/703232746089488384" TargetMode="External"/><Relationship Id="rId7032" Type="http://schemas.openxmlformats.org/officeDocument/2006/relationships/hyperlink" Target="https://twitter.com/ManAHLTech" TargetMode="External"/><Relationship Id="rId8363" Type="http://schemas.openxmlformats.org/officeDocument/2006/relationships/hyperlink" Target="https://twitter.com/JTIE_6EE7" TargetMode="External"/><Relationship Id="rId7031" Type="http://schemas.openxmlformats.org/officeDocument/2006/relationships/hyperlink" Target="https://pbs.twimg.com/profile_images/615126402728390656/m2gI-tiv_normal.jpg" TargetMode="External"/><Relationship Id="rId8362" Type="http://schemas.openxmlformats.org/officeDocument/2006/relationships/hyperlink" Target="https://pbs.twimg.com/profile_images/649004216690675712/UAcrP6ol_normal.png" TargetMode="External"/><Relationship Id="rId7038" Type="http://schemas.openxmlformats.org/officeDocument/2006/relationships/hyperlink" Target="https://twitter.com/Pvalsfr" TargetMode="External"/><Relationship Id="rId8369" Type="http://schemas.openxmlformats.org/officeDocument/2006/relationships/hyperlink" Target="https://twitter.com/coos_sml" TargetMode="External"/><Relationship Id="rId7037" Type="http://schemas.openxmlformats.org/officeDocument/2006/relationships/hyperlink" Target="https://pbs.twimg.com/profile_images/3375916834/00a0a48d6227433de20135c88ec80e1d_normal.png" TargetMode="External"/><Relationship Id="rId8368" Type="http://schemas.openxmlformats.org/officeDocument/2006/relationships/hyperlink" Target="https://pbs.twimg.com/profile_images/599008785336643584/qFkUDiqu_normal.png" TargetMode="External"/><Relationship Id="rId7036" Type="http://schemas.openxmlformats.org/officeDocument/2006/relationships/hyperlink" Target="https://twitter.com/3ndz/status/703162662054539264" TargetMode="External"/><Relationship Id="rId8367" Type="http://schemas.openxmlformats.org/officeDocument/2006/relationships/hyperlink" Target="https://twitter.com/sabrapro/status/703232791576641536" TargetMode="External"/><Relationship Id="rId7035" Type="http://schemas.openxmlformats.org/officeDocument/2006/relationships/hyperlink" Target="https://twitter.com/3ndz" TargetMode="External"/><Relationship Id="rId8366" Type="http://schemas.openxmlformats.org/officeDocument/2006/relationships/hyperlink" Target="https://twitter.com/sabrapro" TargetMode="External"/><Relationship Id="rId7039" Type="http://schemas.openxmlformats.org/officeDocument/2006/relationships/hyperlink" Target="https://twitter.com/Pvalsfr/status/703162861149773824" TargetMode="External"/><Relationship Id="rId8350" Type="http://schemas.openxmlformats.org/officeDocument/2006/relationships/hyperlink" Target="https://pbs.twimg.com/profile_images/2474433856/p075cerxh0arpea6ceip_normal.png" TargetMode="External"/><Relationship Id="rId7023" Type="http://schemas.openxmlformats.org/officeDocument/2006/relationships/hyperlink" Target="https://twitter.com/PythonBooks" TargetMode="External"/><Relationship Id="rId8354" Type="http://schemas.openxmlformats.org/officeDocument/2006/relationships/hyperlink" Target="https://twitter.com/msardello" TargetMode="External"/><Relationship Id="rId7022" Type="http://schemas.openxmlformats.org/officeDocument/2006/relationships/hyperlink" Target="https://pbs.twimg.com/profile_images/539451988929294337/hCieN16A_normal.png" TargetMode="External"/><Relationship Id="rId8353" Type="http://schemas.openxmlformats.org/officeDocument/2006/relationships/hyperlink" Target="https://pbs.twimg.com/profile_images/700674879540981761/fKiyB9Ye_normal.png" TargetMode="External"/><Relationship Id="rId7021" Type="http://schemas.openxmlformats.org/officeDocument/2006/relationships/hyperlink" Target="http://www.livecoding.tv" TargetMode="External"/><Relationship Id="rId8352" Type="http://schemas.openxmlformats.org/officeDocument/2006/relationships/hyperlink" Target="https://twitter.com/techmix_/status/703232188922384385" TargetMode="External"/><Relationship Id="rId7020" Type="http://schemas.openxmlformats.org/officeDocument/2006/relationships/hyperlink" Target="https://twitter.com/livecodingtv/status/703162132297175040" TargetMode="External"/><Relationship Id="rId8351" Type="http://schemas.openxmlformats.org/officeDocument/2006/relationships/hyperlink" Target="https://twitter.com/techmix_" TargetMode="External"/><Relationship Id="rId7027" Type="http://schemas.openxmlformats.org/officeDocument/2006/relationships/hyperlink" Target="https://twitter.com/LillianEdmiston/status/703162267408306176" TargetMode="External"/><Relationship Id="rId8358" Type="http://schemas.openxmlformats.org/officeDocument/2006/relationships/hyperlink" Target="https://twitter.com/cool_python/status/703232445009817600" TargetMode="External"/><Relationship Id="rId7026" Type="http://schemas.openxmlformats.org/officeDocument/2006/relationships/hyperlink" Target="https://twitter.com/LillianEdmiston" TargetMode="External"/><Relationship Id="rId8357" Type="http://schemas.openxmlformats.org/officeDocument/2006/relationships/hyperlink" Target="https://twitter.com/cool_python" TargetMode="External"/><Relationship Id="rId7025" Type="http://schemas.openxmlformats.org/officeDocument/2006/relationships/hyperlink" Target="https://pbs.twimg.com/profile_images/702455638157168640/AeDgtn0C_normal.jpg" TargetMode="External"/><Relationship Id="rId8356" Type="http://schemas.openxmlformats.org/officeDocument/2006/relationships/hyperlink" Target="https://pbs.twimg.com/profile_images/628020648128987136/lP5iJQSE_normal.jpg" TargetMode="External"/><Relationship Id="rId7024" Type="http://schemas.openxmlformats.org/officeDocument/2006/relationships/hyperlink" Target="https://twitter.com/PythonBooks/status/703162258780598274" TargetMode="External"/><Relationship Id="rId8355" Type="http://schemas.openxmlformats.org/officeDocument/2006/relationships/hyperlink" Target="https://twitter.com/msardello/status/703232399929417729" TargetMode="External"/><Relationship Id="rId7029" Type="http://schemas.openxmlformats.org/officeDocument/2006/relationships/hyperlink" Target="https://twitter.com/alexandreesl" TargetMode="External"/><Relationship Id="rId7028" Type="http://schemas.openxmlformats.org/officeDocument/2006/relationships/hyperlink" Target="https://pbs.twimg.com/profile_images/655014978101993476/ZpsnJW8B_normal.jpg" TargetMode="External"/><Relationship Id="rId8359" Type="http://schemas.openxmlformats.org/officeDocument/2006/relationships/hyperlink" Target="https://pbs.twimg.com/profile_images/572091631055028224/Pkx__FSB_normal.png" TargetMode="External"/><Relationship Id="rId8390" Type="http://schemas.openxmlformats.org/officeDocument/2006/relationships/hyperlink" Target="https://twitter.com/artwisanggeni" TargetMode="External"/><Relationship Id="rId7052" Type="http://schemas.openxmlformats.org/officeDocument/2006/relationships/hyperlink" Target="https://pbs.twimg.com/profile_images/505727914759815168/s4eqANw6_normal.jpeg" TargetMode="External"/><Relationship Id="rId8383" Type="http://schemas.openxmlformats.org/officeDocument/2006/relationships/hyperlink" Target="https://pbs.twimg.com/profile_images/658975932984659968/H5q23w7V_normal.jpg" TargetMode="External"/><Relationship Id="rId7051" Type="http://schemas.openxmlformats.org/officeDocument/2006/relationships/hyperlink" Target="https://twitter.com/actcattgg/status/703163241942245378" TargetMode="External"/><Relationship Id="rId8382" Type="http://schemas.openxmlformats.org/officeDocument/2006/relationships/hyperlink" Target="https://twitter.com/chrbknudsen/status/703233645985792000" TargetMode="External"/><Relationship Id="rId7050" Type="http://schemas.openxmlformats.org/officeDocument/2006/relationships/hyperlink" Target="https://twitter.com/actcattgg" TargetMode="External"/><Relationship Id="rId8381" Type="http://schemas.openxmlformats.org/officeDocument/2006/relationships/hyperlink" Target="https://twitter.com/chrbknudsen" TargetMode="External"/><Relationship Id="rId8380" Type="http://schemas.openxmlformats.org/officeDocument/2006/relationships/hyperlink" Target="https://pbs.twimg.com/profile_images/682455128805359617/r4Be4Yll_normal.jpg" TargetMode="External"/><Relationship Id="rId7056" Type="http://schemas.openxmlformats.org/officeDocument/2006/relationships/hyperlink" Target="https://twitter.com/gh0std4ncer" TargetMode="External"/><Relationship Id="rId8387" Type="http://schemas.openxmlformats.org/officeDocument/2006/relationships/hyperlink" Target="https://twitter.com/randal_olson" TargetMode="External"/><Relationship Id="rId7055" Type="http://schemas.openxmlformats.org/officeDocument/2006/relationships/hyperlink" Target="https://pbs.twimg.com/profile_images/702455638157168640/AeDgtn0C_normal.jpg" TargetMode="External"/><Relationship Id="rId8386" Type="http://schemas.openxmlformats.org/officeDocument/2006/relationships/hyperlink" Target="https://pbs.twimg.com/profile_images/475748805619355648/Q0kgU_bt_normal.png" TargetMode="External"/><Relationship Id="rId7054" Type="http://schemas.openxmlformats.org/officeDocument/2006/relationships/hyperlink" Target="https://twitter.com/PythonBooks/status/703163285332340736" TargetMode="External"/><Relationship Id="rId8385" Type="http://schemas.openxmlformats.org/officeDocument/2006/relationships/hyperlink" Target="https://twitter.com/sicarius/status/703233746904997888" TargetMode="External"/><Relationship Id="rId7053" Type="http://schemas.openxmlformats.org/officeDocument/2006/relationships/hyperlink" Target="https://twitter.com/PythonBooks" TargetMode="External"/><Relationship Id="rId8384" Type="http://schemas.openxmlformats.org/officeDocument/2006/relationships/hyperlink" Target="https://twitter.com/sicarius" TargetMode="External"/><Relationship Id="rId7059" Type="http://schemas.openxmlformats.org/officeDocument/2006/relationships/hyperlink" Target="https://twitter.com/C3Amorocho" TargetMode="External"/><Relationship Id="rId7058" Type="http://schemas.openxmlformats.org/officeDocument/2006/relationships/hyperlink" Target="https://pbs.twimg.com/profile_images/489755296374325248/1HPWwAdO_normal.jpeg" TargetMode="External"/><Relationship Id="rId8389" Type="http://schemas.openxmlformats.org/officeDocument/2006/relationships/hyperlink" Target="https://pbs.twimg.com/profile_images/618964235779862528/nLQhBWfq_normal.jpg" TargetMode="External"/><Relationship Id="rId7057" Type="http://schemas.openxmlformats.org/officeDocument/2006/relationships/hyperlink" Target="https://twitter.com/gh0std4ncer/status/703163558456995843" TargetMode="External"/><Relationship Id="rId8388" Type="http://schemas.openxmlformats.org/officeDocument/2006/relationships/hyperlink" Target="https://twitter.com/randal_olson/status/703233770783027201" TargetMode="External"/><Relationship Id="rId7041" Type="http://schemas.openxmlformats.org/officeDocument/2006/relationships/hyperlink" Target="https://twitter.com/olivegreen_01" TargetMode="External"/><Relationship Id="rId8372" Type="http://schemas.openxmlformats.org/officeDocument/2006/relationships/hyperlink" Target="https://twitter.com/PythonWeekly" TargetMode="External"/><Relationship Id="rId7040" Type="http://schemas.openxmlformats.org/officeDocument/2006/relationships/hyperlink" Target="https://abs.twimg.com/sticky/default_profile_images/default_profile_4_normal.png" TargetMode="External"/><Relationship Id="rId8371" Type="http://schemas.openxmlformats.org/officeDocument/2006/relationships/hyperlink" Target="https://pbs.twimg.com/profile_images/654301589595779074/RQGPmT03_normal.jpg" TargetMode="External"/><Relationship Id="rId8370" Type="http://schemas.openxmlformats.org/officeDocument/2006/relationships/hyperlink" Target="https://twitter.com/coos_sml/status/703232896157364224" TargetMode="External"/><Relationship Id="rId7045" Type="http://schemas.openxmlformats.org/officeDocument/2006/relationships/hyperlink" Target="https://twitter.com/olivegreen_01/status/703163200498302977" TargetMode="External"/><Relationship Id="rId8376" Type="http://schemas.openxmlformats.org/officeDocument/2006/relationships/hyperlink" Target="https://twitter.com/susanz4C/status/703233610762031104" TargetMode="External"/><Relationship Id="rId7044" Type="http://schemas.openxmlformats.org/officeDocument/2006/relationships/hyperlink" Target="https://twitter.com/olivegreen_01" TargetMode="External"/><Relationship Id="rId8375" Type="http://schemas.openxmlformats.org/officeDocument/2006/relationships/hyperlink" Target="https://twitter.com/susanz4C" TargetMode="External"/><Relationship Id="rId7043" Type="http://schemas.openxmlformats.org/officeDocument/2006/relationships/hyperlink" Target="https://pbs.twimg.com/profile_images/699578032919437313/tVp4FV8A_normal.jpg" TargetMode="External"/><Relationship Id="rId8374" Type="http://schemas.openxmlformats.org/officeDocument/2006/relationships/hyperlink" Target="https://pbs.twimg.com/profile_images/1554238582/python_normal.jpg" TargetMode="External"/><Relationship Id="rId7042" Type="http://schemas.openxmlformats.org/officeDocument/2006/relationships/hyperlink" Target="https://twitter.com/olivegreen_01/status/703163113089073152" TargetMode="External"/><Relationship Id="rId8373" Type="http://schemas.openxmlformats.org/officeDocument/2006/relationships/hyperlink" Target="https://twitter.com/PythonWeekly/status/703233410983141376" TargetMode="External"/><Relationship Id="rId7049" Type="http://schemas.openxmlformats.org/officeDocument/2006/relationships/hyperlink" Target="https://pbs.twimg.com/profile_images/699578032919437313/tVp4FV8A_normal.jpg" TargetMode="External"/><Relationship Id="rId7048" Type="http://schemas.openxmlformats.org/officeDocument/2006/relationships/hyperlink" Target="https://twitter.com/olivegreen_01/status/703163220291223552" TargetMode="External"/><Relationship Id="rId8379" Type="http://schemas.openxmlformats.org/officeDocument/2006/relationships/hyperlink" Target="https://twitter.com/cesarnogCPS/status/703233642919817216" TargetMode="External"/><Relationship Id="rId7047" Type="http://schemas.openxmlformats.org/officeDocument/2006/relationships/hyperlink" Target="https://twitter.com/olivegreen_01" TargetMode="External"/><Relationship Id="rId8378" Type="http://schemas.openxmlformats.org/officeDocument/2006/relationships/hyperlink" Target="https://twitter.com/cesarnogCPS" TargetMode="External"/><Relationship Id="rId7046" Type="http://schemas.openxmlformats.org/officeDocument/2006/relationships/hyperlink" Target="https://pbs.twimg.com/profile_images/699578032919437313/tVp4FV8A_normal.jpg" TargetMode="External"/><Relationship Id="rId8377" Type="http://schemas.openxmlformats.org/officeDocument/2006/relationships/hyperlink" Target="https://pbs.twimg.com/profile_images/2706364368/ac345ae1178f5a963913bc598f0851b5_normal.jpeg" TargetMode="External"/><Relationship Id="rId9650" Type="http://schemas.openxmlformats.org/officeDocument/2006/relationships/hyperlink" Target="https://twitter.com/importpython" TargetMode="External"/><Relationship Id="rId9651" Type="http://schemas.openxmlformats.org/officeDocument/2006/relationships/hyperlink" Target="https://twitter.com/importpython/status/703282404006322176" TargetMode="External"/><Relationship Id="rId9652" Type="http://schemas.openxmlformats.org/officeDocument/2006/relationships/hyperlink" Target="https://pbs.twimg.com/profile_images/518108253121552384/ClpFqPbX_normal.png" TargetMode="External"/><Relationship Id="rId8321" Type="http://schemas.openxmlformats.org/officeDocument/2006/relationships/hyperlink" Target="https://pbs.twimg.com/profile_images/702558144958869504/AIKaOGn__normal.png" TargetMode="External"/><Relationship Id="rId8320" Type="http://schemas.openxmlformats.org/officeDocument/2006/relationships/hyperlink" Target="https://twitter.com/NumFOCUS/status/703230661235113984" TargetMode="External"/><Relationship Id="rId8325" Type="http://schemas.openxmlformats.org/officeDocument/2006/relationships/hyperlink" Target="https://twitter.com/erlimar" TargetMode="External"/><Relationship Id="rId9657" Type="http://schemas.openxmlformats.org/officeDocument/2006/relationships/hyperlink" Target="https://twitter.com/QuestGroups/status/703282769686712320" TargetMode="External"/><Relationship Id="rId8324" Type="http://schemas.openxmlformats.org/officeDocument/2006/relationships/hyperlink" Target="https://pbs.twimg.com/profile_images/688661500521754624/qLQPH0T0_normal.jpg" TargetMode="External"/><Relationship Id="rId9658" Type="http://schemas.openxmlformats.org/officeDocument/2006/relationships/hyperlink" Target="https://pbs.twimg.com/profile_images/1479516224/twitter_logo_normal.gif" TargetMode="External"/><Relationship Id="rId8323" Type="http://schemas.openxmlformats.org/officeDocument/2006/relationships/hyperlink" Target="https://twitter.com/nadeauv/status/703230693757861888" TargetMode="External"/><Relationship Id="rId9659" Type="http://schemas.openxmlformats.org/officeDocument/2006/relationships/hyperlink" Target="https://twitter.com/Mike_ITProTV" TargetMode="External"/><Relationship Id="rId8322" Type="http://schemas.openxmlformats.org/officeDocument/2006/relationships/hyperlink" Target="https://twitter.com/nadeauv" TargetMode="External"/><Relationship Id="rId8329" Type="http://schemas.openxmlformats.org/officeDocument/2006/relationships/hyperlink" Target="https://twitter.com/radhikaostny/status/703231091956699137" TargetMode="External"/><Relationship Id="rId9653" Type="http://schemas.openxmlformats.org/officeDocument/2006/relationships/hyperlink" Target="https://twitter.com/oneshotlife_tom" TargetMode="External"/><Relationship Id="rId8328" Type="http://schemas.openxmlformats.org/officeDocument/2006/relationships/hyperlink" Target="https://twitter.com/radhikaostny" TargetMode="External"/><Relationship Id="rId9654" Type="http://schemas.openxmlformats.org/officeDocument/2006/relationships/hyperlink" Target="https://twitter.com/oneshotlife_tom/status/703282466828582912" TargetMode="External"/><Relationship Id="rId8327" Type="http://schemas.openxmlformats.org/officeDocument/2006/relationships/hyperlink" Target="https://pbs.twimg.com/profile_images/458743372178395136/Qxn4kWvz_normal.png" TargetMode="External"/><Relationship Id="rId9655" Type="http://schemas.openxmlformats.org/officeDocument/2006/relationships/hyperlink" Target="https://pbs.twimg.com/profile_images/1072651114/SH3C0344_normal.jpg" TargetMode="External"/><Relationship Id="rId8326" Type="http://schemas.openxmlformats.org/officeDocument/2006/relationships/hyperlink" Target="https://twitter.com/erlimar/status/703230746996170752" TargetMode="External"/><Relationship Id="rId9656" Type="http://schemas.openxmlformats.org/officeDocument/2006/relationships/hyperlink" Target="https://twitter.com/QuestGroups" TargetMode="External"/><Relationship Id="rId8319" Type="http://schemas.openxmlformats.org/officeDocument/2006/relationships/hyperlink" Target="https://twitter.com/NumFOCUS" TargetMode="External"/><Relationship Id="rId9640" Type="http://schemas.openxmlformats.org/officeDocument/2006/relationships/hyperlink" Target="https://twitter.com/Boolerang" TargetMode="External"/><Relationship Id="rId9641" Type="http://schemas.openxmlformats.org/officeDocument/2006/relationships/hyperlink" Target="http://Boolerang.io" TargetMode="External"/><Relationship Id="rId8310" Type="http://schemas.openxmlformats.org/officeDocument/2006/relationships/hyperlink" Target="https://twitter.com/C_LCote/status/703229947146534912" TargetMode="External"/><Relationship Id="rId8314" Type="http://schemas.openxmlformats.org/officeDocument/2006/relationships/hyperlink" Target="https://pbs.twimg.com/profile_images/635436523614138368/Ek9oVK4d_normal.png" TargetMode="External"/><Relationship Id="rId9646" Type="http://schemas.openxmlformats.org/officeDocument/2006/relationships/hyperlink" Target="https://pbs.twimg.com/profile_images/682376331804471297/iN-ryYM4_normal.png" TargetMode="External"/><Relationship Id="rId8313" Type="http://schemas.openxmlformats.org/officeDocument/2006/relationships/hyperlink" Target="https://twitter.com/ADM_JamesMendes/status/703230310905851905" TargetMode="External"/><Relationship Id="rId9647" Type="http://schemas.openxmlformats.org/officeDocument/2006/relationships/hyperlink" Target="https://twitter.com/felixgomezlopez" TargetMode="External"/><Relationship Id="rId8312" Type="http://schemas.openxmlformats.org/officeDocument/2006/relationships/hyperlink" Target="https://twitter.com/ADM_JamesMendes" TargetMode="External"/><Relationship Id="rId9648" Type="http://schemas.openxmlformats.org/officeDocument/2006/relationships/hyperlink" Target="https://twitter.com/felixgomezlopez/status/703282187106447362" TargetMode="External"/><Relationship Id="rId8311" Type="http://schemas.openxmlformats.org/officeDocument/2006/relationships/hyperlink" Target="https://pbs.twimg.com/profile_images/639470548897153025/G5GgXOcJ_normal.jpg" TargetMode="External"/><Relationship Id="rId9649" Type="http://schemas.openxmlformats.org/officeDocument/2006/relationships/hyperlink" Target="https://pbs.twimg.com/profile_images/693942109783613441/yOtsPMsw_normal.jpg" TargetMode="External"/><Relationship Id="rId8318" Type="http://schemas.openxmlformats.org/officeDocument/2006/relationships/hyperlink" Target="https://pbs.twimg.com/profile_images/3312468366/129323224633d71286101d517a2f9817_normal.png" TargetMode="External"/><Relationship Id="rId9642" Type="http://schemas.openxmlformats.org/officeDocument/2006/relationships/hyperlink" Target="https://twitter.com/Boolerang/status/703282179493781505" TargetMode="External"/><Relationship Id="rId8317" Type="http://schemas.openxmlformats.org/officeDocument/2006/relationships/hyperlink" Target="https://twitter.com/RealPython/status/703230657334419456" TargetMode="External"/><Relationship Id="rId9643" Type="http://schemas.openxmlformats.org/officeDocument/2006/relationships/hyperlink" Target="https://pbs.twimg.com/profile_images/703179032125267969/9Y-1Fllk_normal.jpg" TargetMode="External"/><Relationship Id="rId8316" Type="http://schemas.openxmlformats.org/officeDocument/2006/relationships/hyperlink" Target="http://RealPython.com" TargetMode="External"/><Relationship Id="rId9644" Type="http://schemas.openxmlformats.org/officeDocument/2006/relationships/hyperlink" Target="https://twitter.com/unixpablo" TargetMode="External"/><Relationship Id="rId8315" Type="http://schemas.openxmlformats.org/officeDocument/2006/relationships/hyperlink" Target="https://twitter.com/RealPython" TargetMode="External"/><Relationship Id="rId9645" Type="http://schemas.openxmlformats.org/officeDocument/2006/relationships/hyperlink" Target="https://twitter.com/unixpablo/status/703282186296885252" TargetMode="External"/><Relationship Id="rId7012" Type="http://schemas.openxmlformats.org/officeDocument/2006/relationships/hyperlink" Target="https://twitter.com/BestCourses_" TargetMode="External"/><Relationship Id="rId8343" Type="http://schemas.openxmlformats.org/officeDocument/2006/relationships/hyperlink" Target="https://pbs.twimg.com/profile_images/684234090896179200/JwDkkha-_normal.jpg" TargetMode="External"/><Relationship Id="rId7011" Type="http://schemas.openxmlformats.org/officeDocument/2006/relationships/hyperlink" Target="https://abs.twimg.com/sticky/default_profile_images/default_profile_4_normal.png" TargetMode="External"/><Relationship Id="rId8342" Type="http://schemas.openxmlformats.org/officeDocument/2006/relationships/hyperlink" Target="https://twitter.com/apcelent/status/703231439014219780" TargetMode="External"/><Relationship Id="rId7010" Type="http://schemas.openxmlformats.org/officeDocument/2006/relationships/hyperlink" Target="https://twitter.com/Pvalsfr/status/703161323350175745" TargetMode="External"/><Relationship Id="rId8341" Type="http://schemas.openxmlformats.org/officeDocument/2006/relationships/hyperlink" Target="https://twitter.com/apcelent" TargetMode="External"/><Relationship Id="rId8340" Type="http://schemas.openxmlformats.org/officeDocument/2006/relationships/hyperlink" Target="https://pbs.twimg.com/profile_images/1564146627/HorstWilmes_L2_normal.jpg" TargetMode="External"/><Relationship Id="rId7016" Type="http://schemas.openxmlformats.org/officeDocument/2006/relationships/hyperlink" Target="https://twitter.com/hwmrocker/status/703161895004409856" TargetMode="External"/><Relationship Id="rId8347" Type="http://schemas.openxmlformats.org/officeDocument/2006/relationships/hyperlink" Target="https://pbs.twimg.com/profile_images/2269341060/vt7568s1uew4hmvlqh2e_normal.jpeg" TargetMode="External"/><Relationship Id="rId7015" Type="http://schemas.openxmlformats.org/officeDocument/2006/relationships/hyperlink" Target="https://twitter.com/hwmrocker" TargetMode="External"/><Relationship Id="rId8346" Type="http://schemas.openxmlformats.org/officeDocument/2006/relationships/hyperlink" Target="http://t.co/k7ttDLdvAj" TargetMode="External"/><Relationship Id="rId7014" Type="http://schemas.openxmlformats.org/officeDocument/2006/relationships/hyperlink" Target="https://pbs.twimg.com/profile_images/655401968802861056/yuPEMhy3_normal.jpg" TargetMode="External"/><Relationship Id="rId8345" Type="http://schemas.openxmlformats.org/officeDocument/2006/relationships/hyperlink" Target="https://twitter.com/miltonradarx/status/703231637077803009" TargetMode="External"/><Relationship Id="rId7013" Type="http://schemas.openxmlformats.org/officeDocument/2006/relationships/hyperlink" Target="https://twitter.com/BestCourses_/status/703161882421493760" TargetMode="External"/><Relationship Id="rId8344" Type="http://schemas.openxmlformats.org/officeDocument/2006/relationships/hyperlink" Target="https://twitter.com/miltonradarx" TargetMode="External"/><Relationship Id="rId7019" Type="http://schemas.openxmlformats.org/officeDocument/2006/relationships/hyperlink" Target="http://Livecoding.tv" TargetMode="External"/><Relationship Id="rId7018" Type="http://schemas.openxmlformats.org/officeDocument/2006/relationships/hyperlink" Target="https://twitter.com/livecodingtv" TargetMode="External"/><Relationship Id="rId8349" Type="http://schemas.openxmlformats.org/officeDocument/2006/relationships/hyperlink" Target="https://twitter.com/py3k/status/703231872197857284" TargetMode="External"/><Relationship Id="rId7017" Type="http://schemas.openxmlformats.org/officeDocument/2006/relationships/hyperlink" Target="https://pbs.twimg.com/profile_images/537530535275278336/3ZWIrnt2_normal.jpeg" TargetMode="External"/><Relationship Id="rId8348" Type="http://schemas.openxmlformats.org/officeDocument/2006/relationships/hyperlink" Target="https://twitter.com/py3k" TargetMode="External"/><Relationship Id="rId9660" Type="http://schemas.openxmlformats.org/officeDocument/2006/relationships/hyperlink" Target="https://twitter.com/Mike_ITProTV/status/703282886108192769" TargetMode="External"/><Relationship Id="rId9661" Type="http://schemas.openxmlformats.org/officeDocument/2006/relationships/hyperlink" Target="https://pbs.twimg.com/profile_images/674614258877927425/R5BVrOz6_normal.jpg" TargetMode="External"/><Relationship Id="rId9662" Type="http://schemas.openxmlformats.org/officeDocument/2006/relationships/drawing" Target="../drawings/worksheetdrawing1.xml"/><Relationship Id="rId7001" Type="http://schemas.openxmlformats.org/officeDocument/2006/relationships/hyperlink" Target="https://twitter.com/JoshuaLongUK/status/703160991995944960" TargetMode="External"/><Relationship Id="rId8332" Type="http://schemas.openxmlformats.org/officeDocument/2006/relationships/hyperlink" Target="https://twitter.com/MikeHerman/status/703231294960857089" TargetMode="External"/><Relationship Id="rId7000" Type="http://schemas.openxmlformats.org/officeDocument/2006/relationships/hyperlink" Target="https://twitter.com/JoshuaLongUK" TargetMode="External"/><Relationship Id="rId8331" Type="http://schemas.openxmlformats.org/officeDocument/2006/relationships/hyperlink" Target="https://twitter.com/MikeHerman" TargetMode="External"/><Relationship Id="rId8330" Type="http://schemas.openxmlformats.org/officeDocument/2006/relationships/hyperlink" Target="https://pbs.twimg.com/profile_images/463681258598309890/gAkNIqvj_normal.jpeg" TargetMode="External"/><Relationship Id="rId7005" Type="http://schemas.openxmlformats.org/officeDocument/2006/relationships/hyperlink" Target="https://pbs.twimg.com/profile_images/572091631055028224/Pkx__FSB_normal.png" TargetMode="External"/><Relationship Id="rId8336" Type="http://schemas.openxmlformats.org/officeDocument/2006/relationships/hyperlink" Target="https://pbs.twimg.com/profile_images/1532715722/dsj-twitter_normal.png" TargetMode="External"/><Relationship Id="rId7004" Type="http://schemas.openxmlformats.org/officeDocument/2006/relationships/hyperlink" Target="https://twitter.com/cool_python/status/703161085428273153" TargetMode="External"/><Relationship Id="rId8335" Type="http://schemas.openxmlformats.org/officeDocument/2006/relationships/hyperlink" Target="https://twitter.com/dublin_startups/status/703231308412166145" TargetMode="External"/><Relationship Id="rId7003" Type="http://schemas.openxmlformats.org/officeDocument/2006/relationships/hyperlink" Target="https://twitter.com/cool_python" TargetMode="External"/><Relationship Id="rId8334" Type="http://schemas.openxmlformats.org/officeDocument/2006/relationships/hyperlink" Target="https://twitter.com/dublin_startups" TargetMode="External"/><Relationship Id="rId7002" Type="http://schemas.openxmlformats.org/officeDocument/2006/relationships/hyperlink" Target="https://pbs.twimg.com/profile_images/627996138403168256/DaASdgVr_normal.jpg" TargetMode="External"/><Relationship Id="rId8333" Type="http://schemas.openxmlformats.org/officeDocument/2006/relationships/hyperlink" Target="https://pbs.twimg.com/profile_images/1956395739/56358390A_normal.jpg" TargetMode="External"/><Relationship Id="rId7009" Type="http://schemas.openxmlformats.org/officeDocument/2006/relationships/hyperlink" Target="https://twitter.com/Pvalsfr" TargetMode="External"/><Relationship Id="rId7008" Type="http://schemas.openxmlformats.org/officeDocument/2006/relationships/hyperlink" Target="https://pbs.twimg.com/profile_images/689960396065734656/fLrueKGG_normal.jpg" TargetMode="External"/><Relationship Id="rId8339" Type="http://schemas.openxmlformats.org/officeDocument/2006/relationships/hyperlink" Target="http://Paper.li" TargetMode="External"/><Relationship Id="rId7007" Type="http://schemas.openxmlformats.org/officeDocument/2006/relationships/hyperlink" Target="https://twitter.com/kamiljsokolowsk/status/703161137836093440" TargetMode="External"/><Relationship Id="rId8338" Type="http://schemas.openxmlformats.org/officeDocument/2006/relationships/hyperlink" Target="https://twitter.com/horstwilmes/status/703231340704100352" TargetMode="External"/><Relationship Id="rId7006" Type="http://schemas.openxmlformats.org/officeDocument/2006/relationships/hyperlink" Target="https://twitter.com/kamiljsokolowsk" TargetMode="External"/><Relationship Id="rId8337" Type="http://schemas.openxmlformats.org/officeDocument/2006/relationships/hyperlink" Target="https://twitter.com/horstwilmes" TargetMode="External"/><Relationship Id="rId3513" Type="http://schemas.openxmlformats.org/officeDocument/2006/relationships/hyperlink" Target="https://twitter.com/rddave/status/702949366873595904" TargetMode="External"/><Relationship Id="rId4844" Type="http://schemas.openxmlformats.org/officeDocument/2006/relationships/hyperlink" Target="https://twitter.com/walkops" TargetMode="External"/><Relationship Id="rId3512" Type="http://schemas.openxmlformats.org/officeDocument/2006/relationships/hyperlink" Target="https://twitter.com/rddave" TargetMode="External"/><Relationship Id="rId4843" Type="http://schemas.openxmlformats.org/officeDocument/2006/relationships/hyperlink" Target="https://pbs.twimg.com/profile_images/523203529620484096/fzN_Plp5_normal.jpeg" TargetMode="External"/><Relationship Id="rId3515" Type="http://schemas.openxmlformats.org/officeDocument/2006/relationships/hyperlink" Target="https://twitter.com/fsarradin" TargetMode="External"/><Relationship Id="rId4846" Type="http://schemas.openxmlformats.org/officeDocument/2006/relationships/hyperlink" Target="https://pbs.twimg.com/profile_images/414665160217739264/Vjqlxhz8_normal.jpeg" TargetMode="External"/><Relationship Id="rId3514" Type="http://schemas.openxmlformats.org/officeDocument/2006/relationships/hyperlink" Target="https://pbs.twimg.com/profile_images/107229739/Daves_Head_normal.jpg" TargetMode="External"/><Relationship Id="rId4845" Type="http://schemas.openxmlformats.org/officeDocument/2006/relationships/hyperlink" Target="https://twitter.com/walkops/status/703018759783583744" TargetMode="External"/><Relationship Id="rId3517" Type="http://schemas.openxmlformats.org/officeDocument/2006/relationships/hyperlink" Target="https://pbs.twimg.com/profile_images/594904959071694848/jF340Hcf_normal.jpg" TargetMode="External"/><Relationship Id="rId4848" Type="http://schemas.openxmlformats.org/officeDocument/2006/relationships/hyperlink" Target="https://twitter.com/LillianEdmiston/status/703018832772915201" TargetMode="External"/><Relationship Id="rId3516" Type="http://schemas.openxmlformats.org/officeDocument/2006/relationships/hyperlink" Target="https://twitter.com/fsarradin/status/702949561732562944" TargetMode="External"/><Relationship Id="rId4847" Type="http://schemas.openxmlformats.org/officeDocument/2006/relationships/hyperlink" Target="https://twitter.com/LillianEdmiston" TargetMode="External"/><Relationship Id="rId3519" Type="http://schemas.openxmlformats.org/officeDocument/2006/relationships/hyperlink" Target="https://twitter.com/GergoB/status/702949744965001216" TargetMode="External"/><Relationship Id="rId3518" Type="http://schemas.openxmlformats.org/officeDocument/2006/relationships/hyperlink" Target="https://twitter.com/GergoB" TargetMode="External"/><Relationship Id="rId4849" Type="http://schemas.openxmlformats.org/officeDocument/2006/relationships/hyperlink" Target="https://pbs.twimg.com/profile_images/655014978101993476/ZpsnJW8B_normal.jpg" TargetMode="External"/><Relationship Id="rId4840" Type="http://schemas.openxmlformats.org/officeDocument/2006/relationships/hyperlink" Target="https://pbs.twimg.com/profile_images/378800000669383744/58af2acd445efe4c3c7eec73818e002c_normal.png" TargetMode="External"/><Relationship Id="rId3511" Type="http://schemas.openxmlformats.org/officeDocument/2006/relationships/hyperlink" Target="https://pbs.twimg.com/profile_images/588686612281708544/xm0xerTE_normal.jpg" TargetMode="External"/><Relationship Id="rId4842" Type="http://schemas.openxmlformats.org/officeDocument/2006/relationships/hyperlink" Target="https://twitter.com/GetUdemyDeals/status/703018240885264384" TargetMode="External"/><Relationship Id="rId3510" Type="http://schemas.openxmlformats.org/officeDocument/2006/relationships/hyperlink" Target="https://twitter.com/pauloxnet/status/702948830573101056" TargetMode="External"/><Relationship Id="rId4841" Type="http://schemas.openxmlformats.org/officeDocument/2006/relationships/hyperlink" Target="https://twitter.com/GetUdemyDeals" TargetMode="External"/><Relationship Id="rId3502" Type="http://schemas.openxmlformats.org/officeDocument/2006/relationships/hyperlink" Target="https://pbs.twimg.com/profile_images/679948461953781761/pDo9356K_normal.jpg" TargetMode="External"/><Relationship Id="rId4833" Type="http://schemas.openxmlformats.org/officeDocument/2006/relationships/hyperlink" Target="https://twitter.com/7light7blue/status/703017957237116928" TargetMode="External"/><Relationship Id="rId3501" Type="http://schemas.openxmlformats.org/officeDocument/2006/relationships/hyperlink" Target="https://twitter.com/HartwigMicheal/status/702948272231587840" TargetMode="External"/><Relationship Id="rId4832" Type="http://schemas.openxmlformats.org/officeDocument/2006/relationships/hyperlink" Target="https://twitter.com/7light7blue" TargetMode="External"/><Relationship Id="rId3504" Type="http://schemas.openxmlformats.org/officeDocument/2006/relationships/hyperlink" Target="https://twitter.com/MTotolrahaman/status/702948342150598657" TargetMode="External"/><Relationship Id="rId4835" Type="http://schemas.openxmlformats.org/officeDocument/2006/relationships/hyperlink" Target="https://twitter.com/Gamificationir" TargetMode="External"/><Relationship Id="rId3503" Type="http://schemas.openxmlformats.org/officeDocument/2006/relationships/hyperlink" Target="https://twitter.com/MTotolrahaman" TargetMode="External"/><Relationship Id="rId4834" Type="http://schemas.openxmlformats.org/officeDocument/2006/relationships/hyperlink" Target="https://pbs.twimg.com/profile_images/629304662051549184/UaWSbb_Y_normal.jpg" TargetMode="External"/><Relationship Id="rId3506" Type="http://schemas.openxmlformats.org/officeDocument/2006/relationships/hyperlink" Target="https://twitter.com/DistrictDataLab" TargetMode="External"/><Relationship Id="rId4837" Type="http://schemas.openxmlformats.org/officeDocument/2006/relationships/hyperlink" Target="https://pbs.twimg.com/profile_images/483888935991390208/Z-dZgLn-_normal.jpeg" TargetMode="External"/><Relationship Id="rId3505" Type="http://schemas.openxmlformats.org/officeDocument/2006/relationships/hyperlink" Target="https://pbs.twimg.com/profile_images/677493910256484352/-EdVaVPl_normal.jpg" TargetMode="External"/><Relationship Id="rId4836" Type="http://schemas.openxmlformats.org/officeDocument/2006/relationships/hyperlink" Target="https://twitter.com/Gamificationir/status/703017958075924480" TargetMode="External"/><Relationship Id="rId3508" Type="http://schemas.openxmlformats.org/officeDocument/2006/relationships/hyperlink" Target="https://pbs.twimg.com/profile_images/676095885575634944/NXl4o2HU_normal.png" TargetMode="External"/><Relationship Id="rId4839" Type="http://schemas.openxmlformats.org/officeDocument/2006/relationships/hyperlink" Target="https://twitter.com/farashod/status/703017959166496769" TargetMode="External"/><Relationship Id="rId3507" Type="http://schemas.openxmlformats.org/officeDocument/2006/relationships/hyperlink" Target="https://twitter.com/DistrictDataLab/status/702948774486908928" TargetMode="External"/><Relationship Id="rId4838" Type="http://schemas.openxmlformats.org/officeDocument/2006/relationships/hyperlink" Target="https://twitter.com/farashod" TargetMode="External"/><Relationship Id="rId3509" Type="http://schemas.openxmlformats.org/officeDocument/2006/relationships/hyperlink" Target="https://twitter.com/pauloxnet" TargetMode="External"/><Relationship Id="rId3500" Type="http://schemas.openxmlformats.org/officeDocument/2006/relationships/hyperlink" Target="https://twitter.com/HartwigMicheal" TargetMode="External"/><Relationship Id="rId4831" Type="http://schemas.openxmlformats.org/officeDocument/2006/relationships/hyperlink" Target="https://pbs.twimg.com/profile_images/588745176199389184/dsfo9vS6_normal.jpg" TargetMode="External"/><Relationship Id="rId4830" Type="http://schemas.openxmlformats.org/officeDocument/2006/relationships/hyperlink" Target="https://twitter.com/OldSkuGrad/status/703017945450942465" TargetMode="External"/><Relationship Id="rId2203" Type="http://schemas.openxmlformats.org/officeDocument/2006/relationships/hyperlink" Target="https://twitter.com/GnuLeo/status/702897509694316544" TargetMode="External"/><Relationship Id="rId3535" Type="http://schemas.openxmlformats.org/officeDocument/2006/relationships/hyperlink" Target="https://pbs.twimg.com/profile_images/648912420275154944/Ab4szUPV_normal.jpg" TargetMode="External"/><Relationship Id="rId4866" Type="http://schemas.openxmlformats.org/officeDocument/2006/relationships/hyperlink" Target="http://RealPython.com" TargetMode="External"/><Relationship Id="rId2204" Type="http://schemas.openxmlformats.org/officeDocument/2006/relationships/hyperlink" Target="https://pbs.twimg.com/profile_images/686961509218541574/XvsvylWx_normal.jpg" TargetMode="External"/><Relationship Id="rId3534" Type="http://schemas.openxmlformats.org/officeDocument/2006/relationships/hyperlink" Target="https://twitter.com/techpearce2/status/702949962083135490" TargetMode="External"/><Relationship Id="rId4865" Type="http://schemas.openxmlformats.org/officeDocument/2006/relationships/hyperlink" Target="https://twitter.com/RealPython" TargetMode="External"/><Relationship Id="rId2205" Type="http://schemas.openxmlformats.org/officeDocument/2006/relationships/hyperlink" Target="https://twitter.com/joaojunior_ma" TargetMode="External"/><Relationship Id="rId3537" Type="http://schemas.openxmlformats.org/officeDocument/2006/relationships/hyperlink" Target="https://twitter.com/techpearce2/status/702949981116715008" TargetMode="External"/><Relationship Id="rId4868" Type="http://schemas.openxmlformats.org/officeDocument/2006/relationships/hyperlink" Target="https://pbs.twimg.com/profile_images/3312468366/129323224633d71286101d517a2f9817_normal.png" TargetMode="External"/><Relationship Id="rId2206" Type="http://schemas.openxmlformats.org/officeDocument/2006/relationships/hyperlink" Target="https://twitter.com/joaojunior_ma/status/702898107902726144" TargetMode="External"/><Relationship Id="rId3536" Type="http://schemas.openxmlformats.org/officeDocument/2006/relationships/hyperlink" Target="https://twitter.com/techpearce2" TargetMode="External"/><Relationship Id="rId4867" Type="http://schemas.openxmlformats.org/officeDocument/2006/relationships/hyperlink" Target="https://twitter.com/RealPython/status/703020158336397313" TargetMode="External"/><Relationship Id="rId2207" Type="http://schemas.openxmlformats.org/officeDocument/2006/relationships/hyperlink" Target="https://pbs.twimg.com/profile_images/378800000405986184/eedee8f1f1bbe9cbb740240982968511_normal.jpeg" TargetMode="External"/><Relationship Id="rId3539" Type="http://schemas.openxmlformats.org/officeDocument/2006/relationships/hyperlink" Target="https://twitter.com/techpearce2" TargetMode="External"/><Relationship Id="rId2208" Type="http://schemas.openxmlformats.org/officeDocument/2006/relationships/hyperlink" Target="https://twitter.com/xamlparaadeptos" TargetMode="External"/><Relationship Id="rId3538" Type="http://schemas.openxmlformats.org/officeDocument/2006/relationships/hyperlink" Target="https://pbs.twimg.com/profile_images/648912420275154944/Ab4szUPV_normal.jpg" TargetMode="External"/><Relationship Id="rId4869" Type="http://schemas.openxmlformats.org/officeDocument/2006/relationships/hyperlink" Target="https://twitter.com/naoufalelyousfi" TargetMode="External"/><Relationship Id="rId2209" Type="http://schemas.openxmlformats.org/officeDocument/2006/relationships/hyperlink" Target="https://twitter.com/xamlparaadeptos/status/702898280477433857" TargetMode="External"/><Relationship Id="rId4860" Type="http://schemas.openxmlformats.org/officeDocument/2006/relationships/hyperlink" Target="https://twitter.com/Microwavables/status/703019588435505153" TargetMode="External"/><Relationship Id="rId3531" Type="http://schemas.openxmlformats.org/officeDocument/2006/relationships/hyperlink" Target="https://twitter.com/techpearce2/status/702949912309342209" TargetMode="External"/><Relationship Id="rId4862" Type="http://schemas.openxmlformats.org/officeDocument/2006/relationships/hyperlink" Target="https://twitter.com/ShaneRainville" TargetMode="External"/><Relationship Id="rId2200" Type="http://schemas.openxmlformats.org/officeDocument/2006/relationships/hyperlink" Target="http://dlvr.it" TargetMode="External"/><Relationship Id="rId3530" Type="http://schemas.openxmlformats.org/officeDocument/2006/relationships/hyperlink" Target="https://twitter.com/techpearce2" TargetMode="External"/><Relationship Id="rId4861" Type="http://schemas.openxmlformats.org/officeDocument/2006/relationships/hyperlink" Target="https://pbs.twimg.com/profile_images/672933454691090433/o65q37US_normal.jpg" TargetMode="External"/><Relationship Id="rId2201" Type="http://schemas.openxmlformats.org/officeDocument/2006/relationships/hyperlink" Target="https://pbs.twimg.com/profile_images/2813636657/599521f69e2bc210a57323b64d8e39e6_normal.jpeg" TargetMode="External"/><Relationship Id="rId3533" Type="http://schemas.openxmlformats.org/officeDocument/2006/relationships/hyperlink" Target="https://twitter.com/techpearce2" TargetMode="External"/><Relationship Id="rId4864" Type="http://schemas.openxmlformats.org/officeDocument/2006/relationships/hyperlink" Target="https://pbs.twimg.com/profile_images/426208314515398656/-otm0jWT_normal.jpeg" TargetMode="External"/><Relationship Id="rId2202" Type="http://schemas.openxmlformats.org/officeDocument/2006/relationships/hyperlink" Target="https://twitter.com/GnuLeo" TargetMode="External"/><Relationship Id="rId3532" Type="http://schemas.openxmlformats.org/officeDocument/2006/relationships/hyperlink" Target="https://pbs.twimg.com/profile_images/648912420275154944/Ab4szUPV_normal.jpg" TargetMode="External"/><Relationship Id="rId4863" Type="http://schemas.openxmlformats.org/officeDocument/2006/relationships/hyperlink" Target="https://twitter.com/ShaneRainville/status/703019794732294145" TargetMode="External"/><Relationship Id="rId3524" Type="http://schemas.openxmlformats.org/officeDocument/2006/relationships/hyperlink" Target="https://twitter.com/techpearce2" TargetMode="External"/><Relationship Id="rId4855" Type="http://schemas.openxmlformats.org/officeDocument/2006/relationships/hyperlink" Target="https://pbs.twimg.com/profile_images/1164716874/favicon-triada-azul_normal.png" TargetMode="External"/><Relationship Id="rId3523" Type="http://schemas.openxmlformats.org/officeDocument/2006/relationships/hyperlink" Target="https://pbs.twimg.com/profile_images/660550135571550208/97NGZgUy_normal.jpg" TargetMode="External"/><Relationship Id="rId4854" Type="http://schemas.openxmlformats.org/officeDocument/2006/relationships/hyperlink" Target="https://twitter.com/itknowingness/status/703018835549556740" TargetMode="External"/><Relationship Id="rId3526" Type="http://schemas.openxmlformats.org/officeDocument/2006/relationships/hyperlink" Target="https://pbs.twimg.com/profile_images/648912420275154944/Ab4szUPV_normal.jpg" TargetMode="External"/><Relationship Id="rId4857" Type="http://schemas.openxmlformats.org/officeDocument/2006/relationships/hyperlink" Target="https://twitter.com/mintzworld/status/703019388526583810" TargetMode="External"/><Relationship Id="rId3525" Type="http://schemas.openxmlformats.org/officeDocument/2006/relationships/hyperlink" Target="https://twitter.com/techpearce2/status/702949813416038400" TargetMode="External"/><Relationship Id="rId4856" Type="http://schemas.openxmlformats.org/officeDocument/2006/relationships/hyperlink" Target="https://twitter.com/mintzworld" TargetMode="External"/><Relationship Id="rId3528" Type="http://schemas.openxmlformats.org/officeDocument/2006/relationships/hyperlink" Target="https://twitter.com/techpearce2/status/702949878515765248" TargetMode="External"/><Relationship Id="rId4859" Type="http://schemas.openxmlformats.org/officeDocument/2006/relationships/hyperlink" Target="https://twitter.com/Microwavables" TargetMode="External"/><Relationship Id="rId3527" Type="http://schemas.openxmlformats.org/officeDocument/2006/relationships/hyperlink" Target="https://twitter.com/techpearce2" TargetMode="External"/><Relationship Id="rId4858" Type="http://schemas.openxmlformats.org/officeDocument/2006/relationships/hyperlink" Target="https://pbs.twimg.com/profile_images/1321484341/MichaelSq_normal.png" TargetMode="External"/><Relationship Id="rId3529" Type="http://schemas.openxmlformats.org/officeDocument/2006/relationships/hyperlink" Target="https://pbs.twimg.com/profile_images/648912420275154944/Ab4szUPV_normal.jpg" TargetMode="External"/><Relationship Id="rId3520" Type="http://schemas.openxmlformats.org/officeDocument/2006/relationships/hyperlink" Target="https://pbs.twimg.com/profile_images/539158781720924160/vP4gjbDx_normal.jpeg" TargetMode="External"/><Relationship Id="rId4851" Type="http://schemas.openxmlformats.org/officeDocument/2006/relationships/hyperlink" Target="https://twitter.com/LillianEdmiston/status/703018835213996032" TargetMode="External"/><Relationship Id="rId4850" Type="http://schemas.openxmlformats.org/officeDocument/2006/relationships/hyperlink" Target="https://twitter.com/LillianEdmiston" TargetMode="External"/><Relationship Id="rId3522" Type="http://schemas.openxmlformats.org/officeDocument/2006/relationships/hyperlink" Target="https://twitter.com/raymondwanyoike/status/702949749339594753" TargetMode="External"/><Relationship Id="rId4853" Type="http://schemas.openxmlformats.org/officeDocument/2006/relationships/hyperlink" Target="https://twitter.com/itknowingness" TargetMode="External"/><Relationship Id="rId3521" Type="http://schemas.openxmlformats.org/officeDocument/2006/relationships/hyperlink" Target="https://twitter.com/raymondwanyoike" TargetMode="External"/><Relationship Id="rId4852" Type="http://schemas.openxmlformats.org/officeDocument/2006/relationships/hyperlink" Target="https://pbs.twimg.com/profile_images/655014978101993476/ZpsnJW8B_normal.jpg" TargetMode="External"/><Relationship Id="rId4800" Type="http://schemas.openxmlformats.org/officeDocument/2006/relationships/hyperlink" Target="https://twitter.com/726D2D72662F" TargetMode="External"/><Relationship Id="rId4802" Type="http://schemas.openxmlformats.org/officeDocument/2006/relationships/hyperlink" Target="https://pbs.twimg.com/profile_images/647697744325443584/Bs1czcoD_normal.jpg" TargetMode="External"/><Relationship Id="rId4801" Type="http://schemas.openxmlformats.org/officeDocument/2006/relationships/hyperlink" Target="https://twitter.com/726D2D72662F/status/703016622034911232" TargetMode="External"/><Relationship Id="rId4804" Type="http://schemas.openxmlformats.org/officeDocument/2006/relationships/hyperlink" Target="http://RealPython.com" TargetMode="External"/><Relationship Id="rId4803" Type="http://schemas.openxmlformats.org/officeDocument/2006/relationships/hyperlink" Target="https://twitter.com/RealPython" TargetMode="External"/><Relationship Id="rId4806" Type="http://schemas.openxmlformats.org/officeDocument/2006/relationships/hyperlink" Target="https://pbs.twimg.com/profile_images/3312468366/129323224633d71286101d517a2f9817_normal.png" TargetMode="External"/><Relationship Id="rId4805" Type="http://schemas.openxmlformats.org/officeDocument/2006/relationships/hyperlink" Target="https://twitter.com/RealPython/status/703016770731270144" TargetMode="External"/><Relationship Id="rId4808" Type="http://schemas.openxmlformats.org/officeDocument/2006/relationships/hyperlink" Target="https://twitter.com/avilla73/status/703016903850070017" TargetMode="External"/><Relationship Id="rId4807" Type="http://schemas.openxmlformats.org/officeDocument/2006/relationships/hyperlink" Target="https://twitter.com/avilla73" TargetMode="External"/><Relationship Id="rId4809" Type="http://schemas.openxmlformats.org/officeDocument/2006/relationships/hyperlink" Target="https://pbs.twimg.com/profile_images/470511744926760960/1Dj4r4ye_normal.jpeg" TargetMode="External"/><Relationship Id="rId7081" Type="http://schemas.openxmlformats.org/officeDocument/2006/relationships/hyperlink" Target="https://twitter.com/MTotolrahaman/status/703164767905542144" TargetMode="External"/><Relationship Id="rId7080" Type="http://schemas.openxmlformats.org/officeDocument/2006/relationships/hyperlink" Target="https://twitter.com/MTotolrahaman" TargetMode="External"/><Relationship Id="rId7074" Type="http://schemas.openxmlformats.org/officeDocument/2006/relationships/hyperlink" Target="https://twitter.com/HartwigMicheal" TargetMode="External"/><Relationship Id="rId7073" Type="http://schemas.openxmlformats.org/officeDocument/2006/relationships/hyperlink" Target="https://pbs.twimg.com/profile_images/669567305089728512/eS8fX6Be_normal.jpg" TargetMode="External"/><Relationship Id="rId7072" Type="http://schemas.openxmlformats.org/officeDocument/2006/relationships/hyperlink" Target="https://twitter.com/infosecretwit/status/703164507007266816" TargetMode="External"/><Relationship Id="rId7071" Type="http://schemas.openxmlformats.org/officeDocument/2006/relationships/hyperlink" Target="https://twitter.com/infosecretwit" TargetMode="External"/><Relationship Id="rId7078" Type="http://schemas.openxmlformats.org/officeDocument/2006/relationships/hyperlink" Target="https://twitter.com/ejlivsey/status/703164751451287555" TargetMode="External"/><Relationship Id="rId7077" Type="http://schemas.openxmlformats.org/officeDocument/2006/relationships/hyperlink" Target="https://twitter.com/ejlivsey" TargetMode="External"/><Relationship Id="rId7076" Type="http://schemas.openxmlformats.org/officeDocument/2006/relationships/hyperlink" Target="https://pbs.twimg.com/profile_images/679948461953781761/pDo9356K_normal.jpg" TargetMode="External"/><Relationship Id="rId7075" Type="http://schemas.openxmlformats.org/officeDocument/2006/relationships/hyperlink" Target="https://twitter.com/HartwigMicheal/status/703164510618546178" TargetMode="External"/><Relationship Id="rId7079" Type="http://schemas.openxmlformats.org/officeDocument/2006/relationships/hyperlink" Target="https://abs.twimg.com/sticky/default_profile_images/default_profile_3_normal.png" TargetMode="External"/><Relationship Id="rId7070" Type="http://schemas.openxmlformats.org/officeDocument/2006/relationships/hyperlink" Target="https://pbs.twimg.com/profile_images/679948461953781761/pDo9356K_normal.jpg" TargetMode="External"/><Relationship Id="rId7063" Type="http://schemas.openxmlformats.org/officeDocument/2006/relationships/hyperlink" Target="https://twitter.com/PythonBooks/status/703164027728318464" TargetMode="External"/><Relationship Id="rId8394" Type="http://schemas.openxmlformats.org/officeDocument/2006/relationships/hyperlink" Target="https://twitter.com/artwisanggeni" TargetMode="External"/><Relationship Id="rId7062" Type="http://schemas.openxmlformats.org/officeDocument/2006/relationships/hyperlink" Target="https://twitter.com/PythonBooks" TargetMode="External"/><Relationship Id="rId8393" Type="http://schemas.openxmlformats.org/officeDocument/2006/relationships/hyperlink" Target="https://pbs.twimg.com/profile_images/2813636657/599521f69e2bc210a57323b64d8e39e6_normal.jpeg" TargetMode="External"/><Relationship Id="rId7061" Type="http://schemas.openxmlformats.org/officeDocument/2006/relationships/hyperlink" Target="https://pbs.twimg.com/profile_images/544307745802162176/_zO_pEms_normal.jpeg" TargetMode="External"/><Relationship Id="rId8392" Type="http://schemas.openxmlformats.org/officeDocument/2006/relationships/hyperlink" Target="http://dlvr.it" TargetMode="External"/><Relationship Id="rId7060" Type="http://schemas.openxmlformats.org/officeDocument/2006/relationships/hyperlink" Target="https://twitter.com/C3Amorocho/status/703163795166752769" TargetMode="External"/><Relationship Id="rId8391" Type="http://schemas.openxmlformats.org/officeDocument/2006/relationships/hyperlink" Target="https://twitter.com/artwisanggeni/status/703233851233947648" TargetMode="External"/><Relationship Id="rId7067" Type="http://schemas.openxmlformats.org/officeDocument/2006/relationships/hyperlink" Target="https://pbs.twimg.com/profile_images/378800000371213464/751b5ddeddfeaa4b39de69fc35cefcad_normal.jpeg" TargetMode="External"/><Relationship Id="rId8398" Type="http://schemas.openxmlformats.org/officeDocument/2006/relationships/hyperlink" Target="https://twitter.com/artwisanggeni" TargetMode="External"/><Relationship Id="rId7066" Type="http://schemas.openxmlformats.org/officeDocument/2006/relationships/hyperlink" Target="https://twitter.com/7oas7er/status/703164271476101121" TargetMode="External"/><Relationship Id="rId8397" Type="http://schemas.openxmlformats.org/officeDocument/2006/relationships/hyperlink" Target="https://pbs.twimg.com/profile_images/2813636657/599521f69e2bc210a57323b64d8e39e6_normal.jpeg" TargetMode="External"/><Relationship Id="rId7065" Type="http://schemas.openxmlformats.org/officeDocument/2006/relationships/hyperlink" Target="https://twitter.com/7oas7er" TargetMode="External"/><Relationship Id="rId8396" Type="http://schemas.openxmlformats.org/officeDocument/2006/relationships/hyperlink" Target="http://dlvr.it" TargetMode="External"/><Relationship Id="rId7064" Type="http://schemas.openxmlformats.org/officeDocument/2006/relationships/hyperlink" Target="https://pbs.twimg.com/profile_images/702455638157168640/AeDgtn0C_normal.jpg" TargetMode="External"/><Relationship Id="rId8395" Type="http://schemas.openxmlformats.org/officeDocument/2006/relationships/hyperlink" Target="https://twitter.com/artwisanggeni/status/703233855034003456" TargetMode="External"/><Relationship Id="rId7069" Type="http://schemas.openxmlformats.org/officeDocument/2006/relationships/hyperlink" Target="https://twitter.com/HartwigMicheal/status/703164496991248384" TargetMode="External"/><Relationship Id="rId7068" Type="http://schemas.openxmlformats.org/officeDocument/2006/relationships/hyperlink" Target="https://twitter.com/HartwigMicheal" TargetMode="External"/><Relationship Id="rId8399" Type="http://schemas.openxmlformats.org/officeDocument/2006/relationships/hyperlink" Target="https://twitter.com/artwisanggeni/status/703233858980810755" TargetMode="External"/><Relationship Id="rId4822" Type="http://schemas.openxmlformats.org/officeDocument/2006/relationships/hyperlink" Target="https://pbs.twimg.com/profile_images/700782075595481088/NiHciBeU_normal.jpg" TargetMode="External"/><Relationship Id="rId4821" Type="http://schemas.openxmlformats.org/officeDocument/2006/relationships/hyperlink" Target="https://twitter.com/datamafia/status/703017473415782400" TargetMode="External"/><Relationship Id="rId4824" Type="http://schemas.openxmlformats.org/officeDocument/2006/relationships/hyperlink" Target="https://twitter.com/JoshuaLongUK/status/703017495175757824" TargetMode="External"/><Relationship Id="rId4823" Type="http://schemas.openxmlformats.org/officeDocument/2006/relationships/hyperlink" Target="https://twitter.com/JoshuaLongUK" TargetMode="External"/><Relationship Id="rId4826" Type="http://schemas.openxmlformats.org/officeDocument/2006/relationships/hyperlink" Target="https://twitter.com/m_demonchaux" TargetMode="External"/><Relationship Id="rId4825" Type="http://schemas.openxmlformats.org/officeDocument/2006/relationships/hyperlink" Target="https://pbs.twimg.com/profile_images/627996138403168256/DaASdgVr_normal.jpg" TargetMode="External"/><Relationship Id="rId4828" Type="http://schemas.openxmlformats.org/officeDocument/2006/relationships/hyperlink" Target="https://pbs.twimg.com/profile_images/646500777737912320/zAcqGstm_normal.jpg" TargetMode="External"/><Relationship Id="rId4827" Type="http://schemas.openxmlformats.org/officeDocument/2006/relationships/hyperlink" Target="https://twitter.com/m_demonchaux/status/703017726982262784" TargetMode="External"/><Relationship Id="rId4829" Type="http://schemas.openxmlformats.org/officeDocument/2006/relationships/hyperlink" Target="https://twitter.com/OldSkuGrad" TargetMode="External"/><Relationship Id="rId7096" Type="http://schemas.openxmlformats.org/officeDocument/2006/relationships/hyperlink" Target="https://twitter.com/Pvalsfr/status/703165034667466752" TargetMode="External"/><Relationship Id="rId7095" Type="http://schemas.openxmlformats.org/officeDocument/2006/relationships/hyperlink" Target="https://twitter.com/Pvalsfr" TargetMode="External"/><Relationship Id="rId7094" Type="http://schemas.openxmlformats.org/officeDocument/2006/relationships/hyperlink" Target="https://pbs.twimg.com/profile_images/2749490600/afc0c011978b83664da79c8c15947141_normal.jpeg" TargetMode="External"/><Relationship Id="rId7093" Type="http://schemas.openxmlformats.org/officeDocument/2006/relationships/hyperlink" Target="https://twitter.com/HSirtl/status/703164844501893120" TargetMode="External"/><Relationship Id="rId7099" Type="http://schemas.openxmlformats.org/officeDocument/2006/relationships/hyperlink" Target="https://twitter.com/0x626F74/status/703165110634749952" TargetMode="External"/><Relationship Id="rId7098" Type="http://schemas.openxmlformats.org/officeDocument/2006/relationships/hyperlink" Target="https://twitter.com/0x626F74" TargetMode="External"/><Relationship Id="rId7097" Type="http://schemas.openxmlformats.org/officeDocument/2006/relationships/hyperlink" Target="https://abs.twimg.com/sticky/default_profile_images/default_profile_4_normal.png" TargetMode="External"/><Relationship Id="rId4820" Type="http://schemas.openxmlformats.org/officeDocument/2006/relationships/hyperlink" Target="https://twitter.com/datamafia" TargetMode="External"/><Relationship Id="rId4811" Type="http://schemas.openxmlformats.org/officeDocument/2006/relationships/hyperlink" Target="https://twitter.com/wcmckeedotcom/status/703017140631302144" TargetMode="External"/><Relationship Id="rId4810" Type="http://schemas.openxmlformats.org/officeDocument/2006/relationships/hyperlink" Target="https://twitter.com/wcmckeedotcom" TargetMode="External"/><Relationship Id="rId4813" Type="http://schemas.openxmlformats.org/officeDocument/2006/relationships/hyperlink" Target="https://twitter.com/_tomchristie" TargetMode="External"/><Relationship Id="rId4812" Type="http://schemas.openxmlformats.org/officeDocument/2006/relationships/hyperlink" Target="https://pbs.twimg.com/profile_images/621211385746161664/tGchJstD_normal.jpg" TargetMode="External"/><Relationship Id="rId4815" Type="http://schemas.openxmlformats.org/officeDocument/2006/relationships/hyperlink" Target="https://pbs.twimg.com/profile_images/436813353155960832/4grnBd5p_normal.jpeg" TargetMode="External"/><Relationship Id="rId4814" Type="http://schemas.openxmlformats.org/officeDocument/2006/relationships/hyperlink" Target="https://twitter.com/_tomchristie/status/703017184495312897" TargetMode="External"/><Relationship Id="rId4817" Type="http://schemas.openxmlformats.org/officeDocument/2006/relationships/hyperlink" Target="https://twitter.com/freyduni/status/703017296353107968" TargetMode="External"/><Relationship Id="rId4816" Type="http://schemas.openxmlformats.org/officeDocument/2006/relationships/hyperlink" Target="https://twitter.com/freyduni" TargetMode="External"/><Relationship Id="rId4819" Type="http://schemas.openxmlformats.org/officeDocument/2006/relationships/hyperlink" Target="https://pbs.twimg.com/profile_images/525376074633334784/f5Nx-tIC_normal.jpeg" TargetMode="External"/><Relationship Id="rId4818" Type="http://schemas.openxmlformats.org/officeDocument/2006/relationships/hyperlink" Target="http://dlvr.it" TargetMode="External"/><Relationship Id="rId7092" Type="http://schemas.openxmlformats.org/officeDocument/2006/relationships/hyperlink" Target="https://twitter.com/HSirtl" TargetMode="External"/><Relationship Id="rId7091" Type="http://schemas.openxmlformats.org/officeDocument/2006/relationships/hyperlink" Target="https://pbs.twimg.com/profile_images/473145864710393857/C4j-pf5-_normal.png" TargetMode="External"/><Relationship Id="rId7090" Type="http://schemas.openxmlformats.org/officeDocument/2006/relationships/hyperlink" Target="https://twitter.com/distinctlyctfp/status/703164830413254656" TargetMode="External"/><Relationship Id="rId7085" Type="http://schemas.openxmlformats.org/officeDocument/2006/relationships/hyperlink" Target="https://pbs.twimg.com/profile_images/677493910256484352/-EdVaVPl_normal.jpg" TargetMode="External"/><Relationship Id="rId7084" Type="http://schemas.openxmlformats.org/officeDocument/2006/relationships/hyperlink" Target="https://twitter.com/MTotolrahaman/status/703164780689764352" TargetMode="External"/><Relationship Id="rId7083" Type="http://schemas.openxmlformats.org/officeDocument/2006/relationships/hyperlink" Target="https://twitter.com/MTotolrahaman" TargetMode="External"/><Relationship Id="rId7082" Type="http://schemas.openxmlformats.org/officeDocument/2006/relationships/hyperlink" Target="https://pbs.twimg.com/profile_images/677493910256484352/-EdVaVPl_normal.jpg" TargetMode="External"/><Relationship Id="rId7089" Type="http://schemas.openxmlformats.org/officeDocument/2006/relationships/hyperlink" Target="https://twitter.com/distinctlyctfp" TargetMode="External"/><Relationship Id="rId7088" Type="http://schemas.openxmlformats.org/officeDocument/2006/relationships/hyperlink" Target="https://pbs.twimg.com/profile_images/528169468619284480/hKGJPh8f_normal.jpeg" TargetMode="External"/><Relationship Id="rId7087" Type="http://schemas.openxmlformats.org/officeDocument/2006/relationships/hyperlink" Target="https://twitter.com/MediaTekLabs/status/703164822469259264" TargetMode="External"/><Relationship Id="rId7086" Type="http://schemas.openxmlformats.org/officeDocument/2006/relationships/hyperlink" Target="https://twitter.com/MediaTekLabs" TargetMode="External"/><Relationship Id="rId2269" Type="http://schemas.openxmlformats.org/officeDocument/2006/relationships/hyperlink" Target="https://twitter.com/ismael_vc/status/702901281556279296" TargetMode="External"/><Relationship Id="rId3591" Type="http://schemas.openxmlformats.org/officeDocument/2006/relationships/hyperlink" Target="https://twitter.com/techpearce2/status/702950337305563136" TargetMode="External"/><Relationship Id="rId2260" Type="http://schemas.openxmlformats.org/officeDocument/2006/relationships/hyperlink" Target="https://twitter.com/gitlotto/status/702901162224308224" TargetMode="External"/><Relationship Id="rId3590" Type="http://schemas.openxmlformats.org/officeDocument/2006/relationships/hyperlink" Target="https://twitter.com/techpearce2" TargetMode="External"/><Relationship Id="rId2261" Type="http://schemas.openxmlformats.org/officeDocument/2006/relationships/hyperlink" Target="https://pbs.twimg.com/profile_images/517412760750407680/zT6xH1e4_normal.jpeg" TargetMode="External"/><Relationship Id="rId3593" Type="http://schemas.openxmlformats.org/officeDocument/2006/relationships/hyperlink" Target="https://twitter.com/pwang" TargetMode="External"/><Relationship Id="rId2262" Type="http://schemas.openxmlformats.org/officeDocument/2006/relationships/hyperlink" Target="https://twitter.com/JuliaLangsEs" TargetMode="External"/><Relationship Id="rId3592" Type="http://schemas.openxmlformats.org/officeDocument/2006/relationships/hyperlink" Target="https://pbs.twimg.com/profile_images/648912420275154944/Ab4szUPV_normal.jpg" TargetMode="External"/><Relationship Id="rId2263" Type="http://schemas.openxmlformats.org/officeDocument/2006/relationships/hyperlink" Target="https://twitter.com/JuliaLangsEs/status/702901281346572290" TargetMode="External"/><Relationship Id="rId3595" Type="http://schemas.openxmlformats.org/officeDocument/2006/relationships/hyperlink" Target="https://pbs.twimg.com/profile_images/568795658375557120/on4iBzsD_normal.jpeg" TargetMode="External"/><Relationship Id="rId2264" Type="http://schemas.openxmlformats.org/officeDocument/2006/relationships/hyperlink" Target="https://pbs.twimg.com/profile_images/613456073979092992/1Bd3LSz1_normal.png" TargetMode="External"/><Relationship Id="rId3594" Type="http://schemas.openxmlformats.org/officeDocument/2006/relationships/hyperlink" Target="https://twitter.com/pwang/status/702950344418930688" TargetMode="External"/><Relationship Id="rId2265" Type="http://schemas.openxmlformats.org/officeDocument/2006/relationships/hyperlink" Target="https://twitter.com/JuliaLanguage" TargetMode="External"/><Relationship Id="rId3597" Type="http://schemas.openxmlformats.org/officeDocument/2006/relationships/hyperlink" Target="https://twitter.com/techpearce2/status/702950358176374784" TargetMode="External"/><Relationship Id="rId2266" Type="http://schemas.openxmlformats.org/officeDocument/2006/relationships/hyperlink" Target="https://twitter.com/JuliaLanguage/status/702901281355005952" TargetMode="External"/><Relationship Id="rId3596" Type="http://schemas.openxmlformats.org/officeDocument/2006/relationships/hyperlink" Target="https://twitter.com/techpearce2" TargetMode="External"/><Relationship Id="rId2267" Type="http://schemas.openxmlformats.org/officeDocument/2006/relationships/hyperlink" Target="https://pbs.twimg.com/profile_images/3331406046/647b7cf75cb5662b96901bc521968e94_normal.png" TargetMode="External"/><Relationship Id="rId3599" Type="http://schemas.openxmlformats.org/officeDocument/2006/relationships/hyperlink" Target="https://twitter.com/techpearce2" TargetMode="External"/><Relationship Id="rId2268" Type="http://schemas.openxmlformats.org/officeDocument/2006/relationships/hyperlink" Target="https://twitter.com/ismael_vc" TargetMode="External"/><Relationship Id="rId3598" Type="http://schemas.openxmlformats.org/officeDocument/2006/relationships/hyperlink" Target="https://pbs.twimg.com/profile_images/648912420275154944/Ab4szUPV_normal.jpg" TargetMode="External"/><Relationship Id="rId2258" Type="http://schemas.openxmlformats.org/officeDocument/2006/relationships/hyperlink" Target="https://pbs.twimg.com/profile_images/1554238582/python_normal.jpg" TargetMode="External"/><Relationship Id="rId2259" Type="http://schemas.openxmlformats.org/officeDocument/2006/relationships/hyperlink" Target="https://twitter.com/gitlotto" TargetMode="External"/><Relationship Id="rId3589" Type="http://schemas.openxmlformats.org/officeDocument/2006/relationships/hyperlink" Target="https://pbs.twimg.com/profile_images/648912420275154944/Ab4szUPV_normal.jpg" TargetMode="External"/><Relationship Id="rId3580" Type="http://schemas.openxmlformats.org/officeDocument/2006/relationships/hyperlink" Target="https://pbs.twimg.com/profile_images/648912420275154944/Ab4szUPV_normal.jpg" TargetMode="External"/><Relationship Id="rId2250" Type="http://schemas.openxmlformats.org/officeDocument/2006/relationships/hyperlink" Target="https://twitter.com/DesignerExotics" TargetMode="External"/><Relationship Id="rId3582" Type="http://schemas.openxmlformats.org/officeDocument/2006/relationships/hyperlink" Target="https://twitter.com/techpearce2/status/702950280531345410" TargetMode="External"/><Relationship Id="rId2251" Type="http://schemas.openxmlformats.org/officeDocument/2006/relationships/hyperlink" Target="https://twitter.com/DesignerExotics/status/702900581141254144" TargetMode="External"/><Relationship Id="rId3581" Type="http://schemas.openxmlformats.org/officeDocument/2006/relationships/hyperlink" Target="https://twitter.com/techpearce2" TargetMode="External"/><Relationship Id="rId2252" Type="http://schemas.openxmlformats.org/officeDocument/2006/relationships/hyperlink" Target="https://pbs.twimg.com/profile_images/473928965027921921/LowAElVi_normal.jpeg" TargetMode="External"/><Relationship Id="rId3584" Type="http://schemas.openxmlformats.org/officeDocument/2006/relationships/hyperlink" Target="https://twitter.com/techpearce2" TargetMode="External"/><Relationship Id="rId2253" Type="http://schemas.openxmlformats.org/officeDocument/2006/relationships/hyperlink" Target="https://twitter.com/behaviordots" TargetMode="External"/><Relationship Id="rId3583" Type="http://schemas.openxmlformats.org/officeDocument/2006/relationships/hyperlink" Target="https://pbs.twimg.com/profile_images/648912420275154944/Ab4szUPV_normal.jpg" TargetMode="External"/><Relationship Id="rId2254" Type="http://schemas.openxmlformats.org/officeDocument/2006/relationships/hyperlink" Target="https://twitter.com/behaviordots/status/702900763752849408" TargetMode="External"/><Relationship Id="rId3586" Type="http://schemas.openxmlformats.org/officeDocument/2006/relationships/hyperlink" Target="https://pbs.twimg.com/profile_images/648912420275154944/Ab4szUPV_normal.jpg" TargetMode="External"/><Relationship Id="rId2255" Type="http://schemas.openxmlformats.org/officeDocument/2006/relationships/hyperlink" Target="https://pbs.twimg.com/profile_images/672135815087149056/Cyx6X1gZ_normal.jpg" TargetMode="External"/><Relationship Id="rId3585" Type="http://schemas.openxmlformats.org/officeDocument/2006/relationships/hyperlink" Target="https://twitter.com/techpearce2/status/702950296813772801" TargetMode="External"/><Relationship Id="rId2256" Type="http://schemas.openxmlformats.org/officeDocument/2006/relationships/hyperlink" Target="https://twitter.com/PythonWeekly" TargetMode="External"/><Relationship Id="rId3588" Type="http://schemas.openxmlformats.org/officeDocument/2006/relationships/hyperlink" Target="https://twitter.com/techpearce2/status/702950331974492160" TargetMode="External"/><Relationship Id="rId2257" Type="http://schemas.openxmlformats.org/officeDocument/2006/relationships/hyperlink" Target="https://twitter.com/PythonWeekly/status/702900909014175744" TargetMode="External"/><Relationship Id="rId3587" Type="http://schemas.openxmlformats.org/officeDocument/2006/relationships/hyperlink" Target="https://twitter.com/techpearce2" TargetMode="External"/><Relationship Id="rId2280" Type="http://schemas.openxmlformats.org/officeDocument/2006/relationships/hyperlink" Target="https://twitter.com/saint3271" TargetMode="External"/><Relationship Id="rId2281" Type="http://schemas.openxmlformats.org/officeDocument/2006/relationships/hyperlink" Target="https://twitter.com/saint3271/status/702901722545528832" TargetMode="External"/><Relationship Id="rId2282" Type="http://schemas.openxmlformats.org/officeDocument/2006/relationships/hyperlink" Target="https://pbs.twimg.com/profile_images/579480363971407872/P3rNlC7O_normal.jpg" TargetMode="External"/><Relationship Id="rId2283" Type="http://schemas.openxmlformats.org/officeDocument/2006/relationships/hyperlink" Target="https://twitter.com/ellmetha" TargetMode="External"/><Relationship Id="rId2284" Type="http://schemas.openxmlformats.org/officeDocument/2006/relationships/hyperlink" Target="https://twitter.com/ellmetha/status/702901862022905857" TargetMode="External"/><Relationship Id="rId2285" Type="http://schemas.openxmlformats.org/officeDocument/2006/relationships/hyperlink" Target="https://pbs.twimg.com/profile_images/628333271823347712/G3O2sTxI_normal.jpg" TargetMode="External"/><Relationship Id="rId2286" Type="http://schemas.openxmlformats.org/officeDocument/2006/relationships/hyperlink" Target="https://twitter.com/datagz" TargetMode="External"/><Relationship Id="rId2287" Type="http://schemas.openxmlformats.org/officeDocument/2006/relationships/hyperlink" Target="https://twitter.com/datagz/status/702902041891487744" TargetMode="External"/><Relationship Id="rId2288" Type="http://schemas.openxmlformats.org/officeDocument/2006/relationships/hyperlink" Target="https://pbs.twimg.com/profile_images/582683368392941568/vEdycuUq_normal.jpg" TargetMode="External"/><Relationship Id="rId2289" Type="http://schemas.openxmlformats.org/officeDocument/2006/relationships/hyperlink" Target="https://twitter.com/wp_mais" TargetMode="External"/><Relationship Id="rId2270" Type="http://schemas.openxmlformats.org/officeDocument/2006/relationships/hyperlink" Target="https://pbs.twimg.com/profile_images/643074023430057984/Oh7q-TYL_normal.jpg" TargetMode="External"/><Relationship Id="rId2271" Type="http://schemas.openxmlformats.org/officeDocument/2006/relationships/hyperlink" Target="https://twitter.com/BigDataTweetBot" TargetMode="External"/><Relationship Id="rId2272" Type="http://schemas.openxmlformats.org/officeDocument/2006/relationships/hyperlink" Target="https://twitter.com/BigDataTweetBot/status/702901429770526720" TargetMode="External"/><Relationship Id="rId2273" Type="http://schemas.openxmlformats.org/officeDocument/2006/relationships/hyperlink" Target="https://pbs.twimg.com/profile_images/616793252524650496/bQbxJqmz_normal.jpg" TargetMode="External"/><Relationship Id="rId2274" Type="http://schemas.openxmlformats.org/officeDocument/2006/relationships/hyperlink" Target="https://twitter.com/eigenein" TargetMode="External"/><Relationship Id="rId2275" Type="http://schemas.openxmlformats.org/officeDocument/2006/relationships/hyperlink" Target="https://twitter.com/eigenein/status/702901667927334912" TargetMode="External"/><Relationship Id="rId2276" Type="http://schemas.openxmlformats.org/officeDocument/2006/relationships/hyperlink" Target="https://pbs.twimg.com/profile_images/458782197839704064/5E5mb6Br_normal.jpeg" TargetMode="External"/><Relationship Id="rId2277" Type="http://schemas.openxmlformats.org/officeDocument/2006/relationships/hyperlink" Target="https://twitter.com/IntersysConsult" TargetMode="External"/><Relationship Id="rId2278" Type="http://schemas.openxmlformats.org/officeDocument/2006/relationships/hyperlink" Target="https://twitter.com/IntersysConsult/status/702901674818596865" TargetMode="External"/><Relationship Id="rId2279" Type="http://schemas.openxmlformats.org/officeDocument/2006/relationships/hyperlink" Target="https://pbs.twimg.com/profile_images/679044724620001280/uEmFrBJz_normal.png" TargetMode="External"/><Relationship Id="rId2225" Type="http://schemas.openxmlformats.org/officeDocument/2006/relationships/hyperlink" Target="https://pbs.twimg.com/profile_images/2886497784/446ac3a9324028fbf00d2d5a0b960197_normal.gif" TargetMode="External"/><Relationship Id="rId3557" Type="http://schemas.openxmlformats.org/officeDocument/2006/relationships/hyperlink" Target="https://twitter.com/techpearce2" TargetMode="External"/><Relationship Id="rId4888" Type="http://schemas.openxmlformats.org/officeDocument/2006/relationships/hyperlink" Target="https://twitter.com/HartwigMicheal/status/703021091359465473" TargetMode="External"/><Relationship Id="rId2226" Type="http://schemas.openxmlformats.org/officeDocument/2006/relationships/hyperlink" Target="https://twitter.com/py3k" TargetMode="External"/><Relationship Id="rId3556" Type="http://schemas.openxmlformats.org/officeDocument/2006/relationships/hyperlink" Target="https://pbs.twimg.com/profile_images/648912420275154944/Ab4szUPV_normal.jpg" TargetMode="External"/><Relationship Id="rId4887" Type="http://schemas.openxmlformats.org/officeDocument/2006/relationships/hyperlink" Target="https://twitter.com/HartwigMicheal" TargetMode="External"/><Relationship Id="rId2227" Type="http://schemas.openxmlformats.org/officeDocument/2006/relationships/hyperlink" Target="https://twitter.com/py3k/status/702898926299574272" TargetMode="External"/><Relationship Id="rId3559" Type="http://schemas.openxmlformats.org/officeDocument/2006/relationships/hyperlink" Target="https://pbs.twimg.com/profile_images/648912420275154944/Ab4szUPV_normal.jpg" TargetMode="External"/><Relationship Id="rId2228" Type="http://schemas.openxmlformats.org/officeDocument/2006/relationships/hyperlink" Target="https://pbs.twimg.com/profile_images/2474433856/p075cerxh0arpea6ceip_normal.png" TargetMode="External"/><Relationship Id="rId3558" Type="http://schemas.openxmlformats.org/officeDocument/2006/relationships/hyperlink" Target="https://twitter.com/techpearce2/status/702950123630940161" TargetMode="External"/><Relationship Id="rId4889" Type="http://schemas.openxmlformats.org/officeDocument/2006/relationships/hyperlink" Target="https://pbs.twimg.com/profile_images/679948461953781761/pDo9356K_normal.jpg" TargetMode="External"/><Relationship Id="rId2229" Type="http://schemas.openxmlformats.org/officeDocument/2006/relationships/hyperlink" Target="https://twitter.com/xima" TargetMode="External"/><Relationship Id="rId4880" Type="http://schemas.openxmlformats.org/officeDocument/2006/relationships/hyperlink" Target="https://pbs.twimg.com/profile_images/669527011241537536/67fwBPE5_normal.jpg" TargetMode="External"/><Relationship Id="rId3551" Type="http://schemas.openxmlformats.org/officeDocument/2006/relationships/hyperlink" Target="https://twitter.com/techpearce2" TargetMode="External"/><Relationship Id="rId4882" Type="http://schemas.openxmlformats.org/officeDocument/2006/relationships/hyperlink" Target="https://twitter.com/programmingncr/status/703020937600483329" TargetMode="External"/><Relationship Id="rId2220" Type="http://schemas.openxmlformats.org/officeDocument/2006/relationships/hyperlink" Target="https://twitter.com/SteveSeow" TargetMode="External"/><Relationship Id="rId3550" Type="http://schemas.openxmlformats.org/officeDocument/2006/relationships/hyperlink" Target="https://pbs.twimg.com/profile_images/648912420275154944/Ab4szUPV_normal.jpg" TargetMode="External"/><Relationship Id="rId4881" Type="http://schemas.openxmlformats.org/officeDocument/2006/relationships/hyperlink" Target="https://twitter.com/programmingncr" TargetMode="External"/><Relationship Id="rId2221" Type="http://schemas.openxmlformats.org/officeDocument/2006/relationships/hyperlink" Target="https://twitter.com/SteveSeow/status/702898579761819649" TargetMode="External"/><Relationship Id="rId3553" Type="http://schemas.openxmlformats.org/officeDocument/2006/relationships/hyperlink" Target="https://pbs.twimg.com/profile_images/648912420275154944/Ab4szUPV_normal.jpg" TargetMode="External"/><Relationship Id="rId4884" Type="http://schemas.openxmlformats.org/officeDocument/2006/relationships/hyperlink" Target="https://twitter.com/pydigest" TargetMode="External"/><Relationship Id="rId2222" Type="http://schemas.openxmlformats.org/officeDocument/2006/relationships/hyperlink" Target="https://pbs.twimg.com/profile_images/648963049450139652/Z80LzWlh_normal.png" TargetMode="External"/><Relationship Id="rId3552" Type="http://schemas.openxmlformats.org/officeDocument/2006/relationships/hyperlink" Target="https://twitter.com/techpearce2/status/702950072795983872" TargetMode="External"/><Relationship Id="rId4883" Type="http://schemas.openxmlformats.org/officeDocument/2006/relationships/hyperlink" Target="https://pbs.twimg.com/profile_images/662602436222193664/qKuvsfnG_normal.jpg" TargetMode="External"/><Relationship Id="rId2223" Type="http://schemas.openxmlformats.org/officeDocument/2006/relationships/hyperlink" Target="https://twitter.com/xamlparaadeptos" TargetMode="External"/><Relationship Id="rId3555" Type="http://schemas.openxmlformats.org/officeDocument/2006/relationships/hyperlink" Target="https://twitter.com/techpearce2/status/702950081117429764" TargetMode="External"/><Relationship Id="rId4886" Type="http://schemas.openxmlformats.org/officeDocument/2006/relationships/hyperlink" Target="https://pbs.twimg.com/profile_images/475228702922387457/6gYeuqxD_normal.jpeg" TargetMode="External"/><Relationship Id="rId2224" Type="http://schemas.openxmlformats.org/officeDocument/2006/relationships/hyperlink" Target="https://twitter.com/xamlparaadeptos/status/702898676339974146" TargetMode="External"/><Relationship Id="rId3554" Type="http://schemas.openxmlformats.org/officeDocument/2006/relationships/hyperlink" Target="https://twitter.com/techpearce2" TargetMode="External"/><Relationship Id="rId4885" Type="http://schemas.openxmlformats.org/officeDocument/2006/relationships/hyperlink" Target="https://twitter.com/pydigest/status/703020982345318400" TargetMode="External"/><Relationship Id="rId2214" Type="http://schemas.openxmlformats.org/officeDocument/2006/relationships/hyperlink" Target="https://twitter.com/beatcoding" TargetMode="External"/><Relationship Id="rId3546" Type="http://schemas.openxmlformats.org/officeDocument/2006/relationships/hyperlink" Target="https://twitter.com/ManAHLTech/status/702950035252711425" TargetMode="External"/><Relationship Id="rId4877" Type="http://schemas.openxmlformats.org/officeDocument/2006/relationships/hyperlink" Target="https://pbs.twimg.com/profile_images/1956395739/56358390A_normal.jpg" TargetMode="External"/><Relationship Id="rId2215" Type="http://schemas.openxmlformats.org/officeDocument/2006/relationships/hyperlink" Target="https://twitter.com/beatcoding/status/702898429983379456" TargetMode="External"/><Relationship Id="rId3545" Type="http://schemas.openxmlformats.org/officeDocument/2006/relationships/hyperlink" Target="https://twitter.com/ManAHLTech" TargetMode="External"/><Relationship Id="rId4876" Type="http://schemas.openxmlformats.org/officeDocument/2006/relationships/hyperlink" Target="https://twitter.com/MikeHerman/status/703020681693237248" TargetMode="External"/><Relationship Id="rId2216" Type="http://schemas.openxmlformats.org/officeDocument/2006/relationships/hyperlink" Target="https://pbs.twimg.com/profile_images/644503772178317312/-l1hDbrc_normal.jpg" TargetMode="External"/><Relationship Id="rId3548" Type="http://schemas.openxmlformats.org/officeDocument/2006/relationships/hyperlink" Target="https://twitter.com/techpearce2" TargetMode="External"/><Relationship Id="rId4879" Type="http://schemas.openxmlformats.org/officeDocument/2006/relationships/hyperlink" Target="https://twitter.com/matthewswallace/status/703020918897975296" TargetMode="External"/><Relationship Id="rId2217" Type="http://schemas.openxmlformats.org/officeDocument/2006/relationships/hyperlink" Target="https://twitter.com/MikeHerman" TargetMode="External"/><Relationship Id="rId3547" Type="http://schemas.openxmlformats.org/officeDocument/2006/relationships/hyperlink" Target="https://pbs.twimg.com/profile_images/606122549626445824/F381wuJT_normal.jpg" TargetMode="External"/><Relationship Id="rId4878" Type="http://schemas.openxmlformats.org/officeDocument/2006/relationships/hyperlink" Target="https://twitter.com/matthewswallace" TargetMode="External"/><Relationship Id="rId2218" Type="http://schemas.openxmlformats.org/officeDocument/2006/relationships/hyperlink" Target="https://twitter.com/MikeHerman/status/702898431963078656" TargetMode="External"/><Relationship Id="rId2219" Type="http://schemas.openxmlformats.org/officeDocument/2006/relationships/hyperlink" Target="https://pbs.twimg.com/profile_images/1956395739/56358390A_normal.jpg" TargetMode="External"/><Relationship Id="rId3549" Type="http://schemas.openxmlformats.org/officeDocument/2006/relationships/hyperlink" Target="https://twitter.com/techpearce2/status/702950056194920448" TargetMode="External"/><Relationship Id="rId3540" Type="http://schemas.openxmlformats.org/officeDocument/2006/relationships/hyperlink" Target="https://twitter.com/techpearce2/status/702949998019944448" TargetMode="External"/><Relationship Id="rId4871" Type="http://schemas.openxmlformats.org/officeDocument/2006/relationships/hyperlink" Target="https://pbs.twimg.com/profile_images/378800000260539441/4f6be88d589fb1b821003b83f96fe4a0_normal.jpeg" TargetMode="External"/><Relationship Id="rId4870" Type="http://schemas.openxmlformats.org/officeDocument/2006/relationships/hyperlink" Target="https://twitter.com/naoufalelyousfi/status/703020566350045184" TargetMode="External"/><Relationship Id="rId2210" Type="http://schemas.openxmlformats.org/officeDocument/2006/relationships/hyperlink" Target="https://pbs.twimg.com/profile_images/2886497784/446ac3a9324028fbf00d2d5a0b960197_normal.gif" TargetMode="External"/><Relationship Id="rId3542" Type="http://schemas.openxmlformats.org/officeDocument/2006/relationships/hyperlink" Target="https://twitter.com/techpearce2" TargetMode="External"/><Relationship Id="rId4873" Type="http://schemas.openxmlformats.org/officeDocument/2006/relationships/hyperlink" Target="https://twitter.com/pyquantnews/status/703020679554150400" TargetMode="External"/><Relationship Id="rId2211" Type="http://schemas.openxmlformats.org/officeDocument/2006/relationships/hyperlink" Target="https://twitter.com/walkops" TargetMode="External"/><Relationship Id="rId3541" Type="http://schemas.openxmlformats.org/officeDocument/2006/relationships/hyperlink" Target="https://pbs.twimg.com/profile_images/648912420275154944/Ab4szUPV_normal.jpg" TargetMode="External"/><Relationship Id="rId4872" Type="http://schemas.openxmlformats.org/officeDocument/2006/relationships/hyperlink" Target="https://twitter.com/pyquantnews" TargetMode="External"/><Relationship Id="rId2212" Type="http://schemas.openxmlformats.org/officeDocument/2006/relationships/hyperlink" Target="https://twitter.com/walkops/status/702898395598491650" TargetMode="External"/><Relationship Id="rId3544" Type="http://schemas.openxmlformats.org/officeDocument/2006/relationships/hyperlink" Target="https://pbs.twimg.com/profile_images/648912420275154944/Ab4szUPV_normal.jpg" TargetMode="External"/><Relationship Id="rId4875" Type="http://schemas.openxmlformats.org/officeDocument/2006/relationships/hyperlink" Target="https://twitter.com/MikeHerman" TargetMode="External"/><Relationship Id="rId2213" Type="http://schemas.openxmlformats.org/officeDocument/2006/relationships/hyperlink" Target="https://pbs.twimg.com/profile_images/414665160217739264/Vjqlxhz8_normal.jpeg" TargetMode="External"/><Relationship Id="rId3543" Type="http://schemas.openxmlformats.org/officeDocument/2006/relationships/hyperlink" Target="https://twitter.com/techpearce2/status/702950028411858944" TargetMode="External"/><Relationship Id="rId4874" Type="http://schemas.openxmlformats.org/officeDocument/2006/relationships/hyperlink" Target="https://pbs.twimg.com/profile_images/591563134751637504/d-n6ysw6_normal.png" TargetMode="External"/><Relationship Id="rId2247" Type="http://schemas.openxmlformats.org/officeDocument/2006/relationships/hyperlink" Target="https://twitter.com/cool_python" TargetMode="External"/><Relationship Id="rId3579" Type="http://schemas.openxmlformats.org/officeDocument/2006/relationships/hyperlink" Target="https://twitter.com/techpearce2/status/702950271496929281" TargetMode="External"/><Relationship Id="rId2248" Type="http://schemas.openxmlformats.org/officeDocument/2006/relationships/hyperlink" Target="https://twitter.com/cool_python/status/702900111924404224" TargetMode="External"/><Relationship Id="rId3578" Type="http://schemas.openxmlformats.org/officeDocument/2006/relationships/hyperlink" Target="https://twitter.com/techpearce2" TargetMode="External"/><Relationship Id="rId2249" Type="http://schemas.openxmlformats.org/officeDocument/2006/relationships/hyperlink" Target="https://pbs.twimg.com/profile_images/572091631055028224/Pkx__FSB_normal.png" TargetMode="External"/><Relationship Id="rId3571" Type="http://schemas.openxmlformats.org/officeDocument/2006/relationships/hyperlink" Target="https://pbs.twimg.com/profile_images/648912420275154944/Ab4szUPV_normal.jpg" TargetMode="External"/><Relationship Id="rId2240" Type="http://schemas.openxmlformats.org/officeDocument/2006/relationships/hyperlink" Target="https://pbs.twimg.com/profile_images/679652744374972416/mlVzt-J7_normal.jpg" TargetMode="External"/><Relationship Id="rId3570" Type="http://schemas.openxmlformats.org/officeDocument/2006/relationships/hyperlink" Target="https://twitter.com/techpearce2/status/702950193000534017" TargetMode="External"/><Relationship Id="rId2241" Type="http://schemas.openxmlformats.org/officeDocument/2006/relationships/hyperlink" Target="https://twitter.com/roosimgi" TargetMode="External"/><Relationship Id="rId3573" Type="http://schemas.openxmlformats.org/officeDocument/2006/relationships/hyperlink" Target="https://twitter.com/techpearce2/status/702950200726450180" TargetMode="External"/><Relationship Id="rId2242" Type="http://schemas.openxmlformats.org/officeDocument/2006/relationships/hyperlink" Target="https://twitter.com/roosimgi/status/702899930059423745" TargetMode="External"/><Relationship Id="rId3572" Type="http://schemas.openxmlformats.org/officeDocument/2006/relationships/hyperlink" Target="https://twitter.com/techpearce2" TargetMode="External"/><Relationship Id="rId2243" Type="http://schemas.openxmlformats.org/officeDocument/2006/relationships/hyperlink" Target="https://pbs.twimg.com/profile_images/447688402289192960/bmGnjen4_normal.jpeg" TargetMode="External"/><Relationship Id="rId3575" Type="http://schemas.openxmlformats.org/officeDocument/2006/relationships/hyperlink" Target="https://twitter.com/pwang" TargetMode="External"/><Relationship Id="rId2244" Type="http://schemas.openxmlformats.org/officeDocument/2006/relationships/hyperlink" Target="https://twitter.com/adilkhash" TargetMode="External"/><Relationship Id="rId3574" Type="http://schemas.openxmlformats.org/officeDocument/2006/relationships/hyperlink" Target="https://pbs.twimg.com/profile_images/648912420275154944/Ab4szUPV_normal.jpg" TargetMode="External"/><Relationship Id="rId2245" Type="http://schemas.openxmlformats.org/officeDocument/2006/relationships/hyperlink" Target="https://twitter.com/adilkhash/status/702900001349832704" TargetMode="External"/><Relationship Id="rId3577" Type="http://schemas.openxmlformats.org/officeDocument/2006/relationships/hyperlink" Target="https://pbs.twimg.com/profile_images/568795658375557120/on4iBzsD_normal.jpeg" TargetMode="External"/><Relationship Id="rId2246" Type="http://schemas.openxmlformats.org/officeDocument/2006/relationships/hyperlink" Target="https://pbs.twimg.com/profile_images/699787317981028352/0BVSA4ND_normal.jpg" TargetMode="External"/><Relationship Id="rId3576" Type="http://schemas.openxmlformats.org/officeDocument/2006/relationships/hyperlink" Target="https://twitter.com/pwang/status/702950267776475137" TargetMode="External"/><Relationship Id="rId2236" Type="http://schemas.openxmlformats.org/officeDocument/2006/relationships/hyperlink" Target="https://twitter.com/ciypro/status/702899138040442881" TargetMode="External"/><Relationship Id="rId3568" Type="http://schemas.openxmlformats.org/officeDocument/2006/relationships/hyperlink" Target="https://pbs.twimg.com/profile_images/459026323269095424/BUAJKg7g_normal.jpeg" TargetMode="External"/><Relationship Id="rId4899" Type="http://schemas.openxmlformats.org/officeDocument/2006/relationships/hyperlink" Target="http://dlvr.it" TargetMode="External"/><Relationship Id="rId2237" Type="http://schemas.openxmlformats.org/officeDocument/2006/relationships/hyperlink" Target="https://pbs.twimg.com/profile_images/688421075584061440/IDGdjnfx_normal.jpg" TargetMode="External"/><Relationship Id="rId3567" Type="http://schemas.openxmlformats.org/officeDocument/2006/relationships/hyperlink" Target="https://twitter.com/iMasters/status/702950190253285377" TargetMode="External"/><Relationship Id="rId4898" Type="http://schemas.openxmlformats.org/officeDocument/2006/relationships/hyperlink" Target="https://twitter.com/artwisanggeni/status/703021463511523328" TargetMode="External"/><Relationship Id="rId2238" Type="http://schemas.openxmlformats.org/officeDocument/2006/relationships/hyperlink" Target="https://twitter.com/casneuf" TargetMode="External"/><Relationship Id="rId2239" Type="http://schemas.openxmlformats.org/officeDocument/2006/relationships/hyperlink" Target="https://twitter.com/casneuf/status/702899199403282433" TargetMode="External"/><Relationship Id="rId3569" Type="http://schemas.openxmlformats.org/officeDocument/2006/relationships/hyperlink" Target="https://twitter.com/techpearce2" TargetMode="External"/><Relationship Id="rId3560" Type="http://schemas.openxmlformats.org/officeDocument/2006/relationships/hyperlink" Target="https://twitter.com/techpearce2" TargetMode="External"/><Relationship Id="rId4891" Type="http://schemas.openxmlformats.org/officeDocument/2006/relationships/hyperlink" Target="https://twitter.com/MTotolrahaman/status/703021344099835904" TargetMode="External"/><Relationship Id="rId4890" Type="http://schemas.openxmlformats.org/officeDocument/2006/relationships/hyperlink" Target="https://twitter.com/MTotolrahaman" TargetMode="External"/><Relationship Id="rId2230" Type="http://schemas.openxmlformats.org/officeDocument/2006/relationships/hyperlink" Target="https://twitter.com/xima/status/702898983648305152" TargetMode="External"/><Relationship Id="rId3562" Type="http://schemas.openxmlformats.org/officeDocument/2006/relationships/hyperlink" Target="https://pbs.twimg.com/profile_images/648912420275154944/Ab4szUPV_normal.jpg" TargetMode="External"/><Relationship Id="rId4893" Type="http://schemas.openxmlformats.org/officeDocument/2006/relationships/hyperlink" Target="https://twitter.com/RealPython" TargetMode="External"/><Relationship Id="rId2231" Type="http://schemas.openxmlformats.org/officeDocument/2006/relationships/hyperlink" Target="https://pbs.twimg.com/profile_images/598577836853731329/pRPzCcBl_normal.png" TargetMode="External"/><Relationship Id="rId3561" Type="http://schemas.openxmlformats.org/officeDocument/2006/relationships/hyperlink" Target="https://twitter.com/techpearce2/status/702950139342749701" TargetMode="External"/><Relationship Id="rId4892" Type="http://schemas.openxmlformats.org/officeDocument/2006/relationships/hyperlink" Target="https://pbs.twimg.com/profile_images/677493910256484352/-EdVaVPl_normal.jpg" TargetMode="External"/><Relationship Id="rId2232" Type="http://schemas.openxmlformats.org/officeDocument/2006/relationships/hyperlink" Target="https://twitter.com/Iam_urdata" TargetMode="External"/><Relationship Id="rId3564" Type="http://schemas.openxmlformats.org/officeDocument/2006/relationships/hyperlink" Target="https://twitter.com/techpearce2/status/702950148113096704" TargetMode="External"/><Relationship Id="rId4895" Type="http://schemas.openxmlformats.org/officeDocument/2006/relationships/hyperlink" Target="https://twitter.com/RealPython/status/703021370091765760" TargetMode="External"/><Relationship Id="rId2233" Type="http://schemas.openxmlformats.org/officeDocument/2006/relationships/hyperlink" Target="https://twitter.com/Iam_urdata/status/702898995505442821" TargetMode="External"/><Relationship Id="rId3563" Type="http://schemas.openxmlformats.org/officeDocument/2006/relationships/hyperlink" Target="https://twitter.com/techpearce2" TargetMode="External"/><Relationship Id="rId4894" Type="http://schemas.openxmlformats.org/officeDocument/2006/relationships/hyperlink" Target="http://RealPython.com" TargetMode="External"/><Relationship Id="rId2234" Type="http://schemas.openxmlformats.org/officeDocument/2006/relationships/hyperlink" Target="https://pbs.twimg.com/profile_images/701689285678727168/05uXY6gz_normal.jpg" TargetMode="External"/><Relationship Id="rId3566" Type="http://schemas.openxmlformats.org/officeDocument/2006/relationships/hyperlink" Target="https://twitter.com/iMasters" TargetMode="External"/><Relationship Id="rId4897" Type="http://schemas.openxmlformats.org/officeDocument/2006/relationships/hyperlink" Target="https://twitter.com/artwisanggeni" TargetMode="External"/><Relationship Id="rId2235" Type="http://schemas.openxmlformats.org/officeDocument/2006/relationships/hyperlink" Target="https://twitter.com/ciypro" TargetMode="External"/><Relationship Id="rId3565" Type="http://schemas.openxmlformats.org/officeDocument/2006/relationships/hyperlink" Target="https://pbs.twimg.com/profile_images/648912420275154944/Ab4szUPV_normal.jpg" TargetMode="External"/><Relationship Id="rId4896" Type="http://schemas.openxmlformats.org/officeDocument/2006/relationships/hyperlink" Target="https://pbs.twimg.com/profile_images/3312468366/129323224633d71286101d517a2f9817_normal.png" TargetMode="External"/><Relationship Id="rId8409" Type="http://schemas.openxmlformats.org/officeDocument/2006/relationships/hyperlink" Target="https://pbs.twimg.com/profile_images/2813636657/599521f69e2bc210a57323b64d8e39e6_normal.jpeg" TargetMode="External"/><Relationship Id="rId8408" Type="http://schemas.openxmlformats.org/officeDocument/2006/relationships/hyperlink" Target="http://dlvr.it" TargetMode="External"/><Relationship Id="rId8407" Type="http://schemas.openxmlformats.org/officeDocument/2006/relationships/hyperlink" Target="https://twitter.com/artwisanggeni/status/703233864924164096" TargetMode="External"/><Relationship Id="rId8402" Type="http://schemas.openxmlformats.org/officeDocument/2006/relationships/hyperlink" Target="https://twitter.com/artwisanggeni" TargetMode="External"/><Relationship Id="rId8401" Type="http://schemas.openxmlformats.org/officeDocument/2006/relationships/hyperlink" Target="https://pbs.twimg.com/profile_images/2813636657/599521f69e2bc210a57323b64d8e39e6_normal.jpeg" TargetMode="External"/><Relationship Id="rId8400" Type="http://schemas.openxmlformats.org/officeDocument/2006/relationships/hyperlink" Target="http://dlvr.it" TargetMode="External"/><Relationship Id="rId8406" Type="http://schemas.openxmlformats.org/officeDocument/2006/relationships/hyperlink" Target="https://twitter.com/artwisanggeni" TargetMode="External"/><Relationship Id="rId8405" Type="http://schemas.openxmlformats.org/officeDocument/2006/relationships/hyperlink" Target="https://pbs.twimg.com/profile_images/2813636657/599521f69e2bc210a57323b64d8e39e6_normal.jpeg" TargetMode="External"/><Relationship Id="rId8404" Type="http://schemas.openxmlformats.org/officeDocument/2006/relationships/hyperlink" Target="http://dlvr.it" TargetMode="External"/><Relationship Id="rId8403" Type="http://schemas.openxmlformats.org/officeDocument/2006/relationships/hyperlink" Target="https://twitter.com/artwisanggeni/status/703233862243979264" TargetMode="External"/><Relationship Id="rId8429" Type="http://schemas.openxmlformats.org/officeDocument/2006/relationships/hyperlink" Target="https://pbs.twimg.com/profile_images/2813636657/599521f69e2bc210a57323b64d8e39e6_normal.jpeg" TargetMode="External"/><Relationship Id="rId8420" Type="http://schemas.openxmlformats.org/officeDocument/2006/relationships/hyperlink" Target="http://dlvr.it" TargetMode="External"/><Relationship Id="rId8424" Type="http://schemas.openxmlformats.org/officeDocument/2006/relationships/hyperlink" Target="http://dlvr.it" TargetMode="External"/><Relationship Id="rId8423" Type="http://schemas.openxmlformats.org/officeDocument/2006/relationships/hyperlink" Target="https://twitter.com/artwisanggeni/status/703233875930017792" TargetMode="External"/><Relationship Id="rId8422" Type="http://schemas.openxmlformats.org/officeDocument/2006/relationships/hyperlink" Target="https://twitter.com/artwisanggeni" TargetMode="External"/><Relationship Id="rId8421" Type="http://schemas.openxmlformats.org/officeDocument/2006/relationships/hyperlink" Target="https://pbs.twimg.com/profile_images/2813636657/599521f69e2bc210a57323b64d8e39e6_normal.jpeg" TargetMode="External"/><Relationship Id="rId8428" Type="http://schemas.openxmlformats.org/officeDocument/2006/relationships/hyperlink" Target="http://dlvr.it" TargetMode="External"/><Relationship Id="rId8427" Type="http://schemas.openxmlformats.org/officeDocument/2006/relationships/hyperlink" Target="https://twitter.com/artwisanggeni/status/703233878316621828" TargetMode="External"/><Relationship Id="rId8426" Type="http://schemas.openxmlformats.org/officeDocument/2006/relationships/hyperlink" Target="https://twitter.com/artwisanggeni" TargetMode="External"/><Relationship Id="rId8425" Type="http://schemas.openxmlformats.org/officeDocument/2006/relationships/hyperlink" Target="https://pbs.twimg.com/profile_images/2813636657/599521f69e2bc210a57323b64d8e39e6_normal.jpeg" TargetMode="External"/><Relationship Id="rId8419" Type="http://schemas.openxmlformats.org/officeDocument/2006/relationships/hyperlink" Target="https://twitter.com/artwisanggeni/status/703233873220542464" TargetMode="External"/><Relationship Id="rId8418" Type="http://schemas.openxmlformats.org/officeDocument/2006/relationships/hyperlink" Target="https://twitter.com/artwisanggeni" TargetMode="External"/><Relationship Id="rId8413" Type="http://schemas.openxmlformats.org/officeDocument/2006/relationships/hyperlink" Target="https://pbs.twimg.com/profile_images/2813636657/599521f69e2bc210a57323b64d8e39e6_normal.jpeg" TargetMode="External"/><Relationship Id="rId8412" Type="http://schemas.openxmlformats.org/officeDocument/2006/relationships/hyperlink" Target="http://dlvr.it" TargetMode="External"/><Relationship Id="rId8411" Type="http://schemas.openxmlformats.org/officeDocument/2006/relationships/hyperlink" Target="https://twitter.com/artwisanggeni/status/703233867860148226" TargetMode="External"/><Relationship Id="rId8410" Type="http://schemas.openxmlformats.org/officeDocument/2006/relationships/hyperlink" Target="https://twitter.com/artwisanggeni" TargetMode="External"/><Relationship Id="rId8417" Type="http://schemas.openxmlformats.org/officeDocument/2006/relationships/hyperlink" Target="https://pbs.twimg.com/profile_images/2813636657/599521f69e2bc210a57323b64d8e39e6_normal.jpeg" TargetMode="External"/><Relationship Id="rId8416" Type="http://schemas.openxmlformats.org/officeDocument/2006/relationships/hyperlink" Target="http://dlvr.it" TargetMode="External"/><Relationship Id="rId8415" Type="http://schemas.openxmlformats.org/officeDocument/2006/relationships/hyperlink" Target="https://twitter.com/artwisanggeni/status/703233870246752256" TargetMode="External"/><Relationship Id="rId8414" Type="http://schemas.openxmlformats.org/officeDocument/2006/relationships/hyperlink" Target="https://twitter.com/artwisanggeni" TargetMode="External"/><Relationship Id="rId2290" Type="http://schemas.openxmlformats.org/officeDocument/2006/relationships/hyperlink" Target="https://twitter.com/wp_mais/status/702902438819446784" TargetMode="External"/><Relationship Id="rId2291" Type="http://schemas.openxmlformats.org/officeDocument/2006/relationships/hyperlink" Target="https://pbs.twimg.com/profile_images/639069014099120128/yiidEDJN_normal.jpg" TargetMode="External"/><Relationship Id="rId2292" Type="http://schemas.openxmlformats.org/officeDocument/2006/relationships/hyperlink" Target="https://twitter.com/josephsirosh" TargetMode="External"/><Relationship Id="rId2293" Type="http://schemas.openxmlformats.org/officeDocument/2006/relationships/hyperlink" Target="https://twitter.com/josephsirosh/status/702902535225389057" TargetMode="External"/><Relationship Id="rId2294" Type="http://schemas.openxmlformats.org/officeDocument/2006/relationships/hyperlink" Target="https://pbs.twimg.com/profile_images/464737468311289856/UxDeSZ3B_normal.jpeg" TargetMode="External"/><Relationship Id="rId2295" Type="http://schemas.openxmlformats.org/officeDocument/2006/relationships/hyperlink" Target="https://twitter.com/brakmic" TargetMode="External"/><Relationship Id="rId2296" Type="http://schemas.openxmlformats.org/officeDocument/2006/relationships/hyperlink" Target="https://twitter.com/brakmic/status/702902897261068288" TargetMode="External"/><Relationship Id="rId2297" Type="http://schemas.openxmlformats.org/officeDocument/2006/relationships/hyperlink" Target="https://pbs.twimg.com/profile_images/477506554443223040/E8Y26wft_normal.jpeg" TargetMode="External"/><Relationship Id="rId2298" Type="http://schemas.openxmlformats.org/officeDocument/2006/relationships/hyperlink" Target="https://twitter.com/cool_python" TargetMode="External"/><Relationship Id="rId2299" Type="http://schemas.openxmlformats.org/officeDocument/2006/relationships/hyperlink" Target="https://twitter.com/cool_python/status/702902945713623041" TargetMode="External"/><Relationship Id="rId7151" Type="http://schemas.openxmlformats.org/officeDocument/2006/relationships/hyperlink" Target="https://twitter.com/dyjh" TargetMode="External"/><Relationship Id="rId8482" Type="http://schemas.openxmlformats.org/officeDocument/2006/relationships/hyperlink" Target="https://twitter.com/bonitamh1/status/703235962214748160" TargetMode="External"/><Relationship Id="rId7150" Type="http://schemas.openxmlformats.org/officeDocument/2006/relationships/hyperlink" Target="https://pbs.twimg.com/profile_images/525019025873444864/9WrZZD7__normal.png" TargetMode="External"/><Relationship Id="rId8481" Type="http://schemas.openxmlformats.org/officeDocument/2006/relationships/hyperlink" Target="https://twitter.com/bonitamh1" TargetMode="External"/><Relationship Id="rId8480" Type="http://schemas.openxmlformats.org/officeDocument/2006/relationships/hyperlink" Target="https://pbs.twimg.com/profile_images/696529947435921409/ARjylYdm_normal.jpg" TargetMode="External"/><Relationship Id="rId7155" Type="http://schemas.openxmlformats.org/officeDocument/2006/relationships/hyperlink" Target="https://twitter.com/pearson_mrs/status/703170378546327552" TargetMode="External"/><Relationship Id="rId8486" Type="http://schemas.openxmlformats.org/officeDocument/2006/relationships/hyperlink" Target="https://pbs.twimg.com/profile_images/562555701734547456/mIBOZbQA_normal.jpeg" TargetMode="External"/><Relationship Id="rId7154" Type="http://schemas.openxmlformats.org/officeDocument/2006/relationships/hyperlink" Target="https://twitter.com/pearson_mrs" TargetMode="External"/><Relationship Id="rId8485" Type="http://schemas.openxmlformats.org/officeDocument/2006/relationships/hyperlink" Target="https://twitter.com/DataToValue/status/703236166527688704" TargetMode="External"/><Relationship Id="rId7153" Type="http://schemas.openxmlformats.org/officeDocument/2006/relationships/hyperlink" Target="https://pbs.twimg.com/profile_images/700330302724509696/zxd9dlPE_normal.png" TargetMode="External"/><Relationship Id="rId8484" Type="http://schemas.openxmlformats.org/officeDocument/2006/relationships/hyperlink" Target="https://twitter.com/DataToValue" TargetMode="External"/><Relationship Id="rId7152" Type="http://schemas.openxmlformats.org/officeDocument/2006/relationships/hyperlink" Target="https://twitter.com/dyjh/status/703170162459934720" TargetMode="External"/><Relationship Id="rId8483" Type="http://schemas.openxmlformats.org/officeDocument/2006/relationships/hyperlink" Target="https://abs.twimg.com/sticky/default_profile_images/default_profile_2_normal.png" TargetMode="External"/><Relationship Id="rId7159" Type="http://schemas.openxmlformats.org/officeDocument/2006/relationships/hyperlink" Target="https://pbs.twimg.com/profile_images/703187201660551168/cDNzzPwo_normal.jpg" TargetMode="External"/><Relationship Id="rId7158" Type="http://schemas.openxmlformats.org/officeDocument/2006/relationships/hyperlink" Target="https://twitter.com/filsaggi/status/703171231256678400" TargetMode="External"/><Relationship Id="rId8489" Type="http://schemas.openxmlformats.org/officeDocument/2006/relationships/hyperlink" Target="https://pbs.twimg.com/profile_images/662602436222193664/qKuvsfnG_normal.jpg" TargetMode="External"/><Relationship Id="rId7157" Type="http://schemas.openxmlformats.org/officeDocument/2006/relationships/hyperlink" Target="https://twitter.com/filsaggi" TargetMode="External"/><Relationship Id="rId8488" Type="http://schemas.openxmlformats.org/officeDocument/2006/relationships/hyperlink" Target="https://twitter.com/programmingncr/status/703236251089027079" TargetMode="External"/><Relationship Id="rId7156" Type="http://schemas.openxmlformats.org/officeDocument/2006/relationships/hyperlink" Target="https://pbs.twimg.com/profile_images/445988526463942656/XxYvL69n_normal.jpeg" TargetMode="External"/><Relationship Id="rId8487" Type="http://schemas.openxmlformats.org/officeDocument/2006/relationships/hyperlink" Target="https://twitter.com/programmingncr" TargetMode="External"/><Relationship Id="rId7140" Type="http://schemas.openxmlformats.org/officeDocument/2006/relationships/hyperlink" Target="https://twitter.com/pvergain/status/703169039770611712" TargetMode="External"/><Relationship Id="rId8471" Type="http://schemas.openxmlformats.org/officeDocument/2006/relationships/hyperlink" Target="https://pbs.twimg.com/profile_images/2474433856/p075cerxh0arpea6ceip_normal.png" TargetMode="External"/><Relationship Id="rId8470" Type="http://schemas.openxmlformats.org/officeDocument/2006/relationships/hyperlink" Target="https://twitter.com/py3k/status/703235666176565249" TargetMode="External"/><Relationship Id="rId7144" Type="http://schemas.openxmlformats.org/officeDocument/2006/relationships/hyperlink" Target="https://pbs.twimg.com/profile_images/662398329066618880/wU7R1hlB_normal.jpg" TargetMode="External"/><Relationship Id="rId8475" Type="http://schemas.openxmlformats.org/officeDocument/2006/relationships/hyperlink" Target="https://twitter.com/ContinuumIO" TargetMode="External"/><Relationship Id="rId7143" Type="http://schemas.openxmlformats.org/officeDocument/2006/relationships/hyperlink" Target="https://twitter.com/karounos/status/703169223627919362" TargetMode="External"/><Relationship Id="rId8474" Type="http://schemas.openxmlformats.org/officeDocument/2006/relationships/hyperlink" Target="https://pbs.twimg.com/profile_images/701553083537604608/nr8b38eG_normal.jpg" TargetMode="External"/><Relationship Id="rId7142" Type="http://schemas.openxmlformats.org/officeDocument/2006/relationships/hyperlink" Target="https://twitter.com/karounos" TargetMode="External"/><Relationship Id="rId8473" Type="http://schemas.openxmlformats.org/officeDocument/2006/relationships/hyperlink" Target="https://twitter.com/renato_umeton/status/703235777715703808" TargetMode="External"/><Relationship Id="rId7141" Type="http://schemas.openxmlformats.org/officeDocument/2006/relationships/hyperlink" Target="https://pbs.twimg.com/profile_images/528272392766779392/5AeOFtlc_normal.jpeg" TargetMode="External"/><Relationship Id="rId8472" Type="http://schemas.openxmlformats.org/officeDocument/2006/relationships/hyperlink" Target="https://twitter.com/renato_umeton" TargetMode="External"/><Relationship Id="rId7148" Type="http://schemas.openxmlformats.org/officeDocument/2006/relationships/hyperlink" Target="https://twitter.com/365Python" TargetMode="External"/><Relationship Id="rId8479" Type="http://schemas.openxmlformats.org/officeDocument/2006/relationships/hyperlink" Target="https://twitter.com/NishitP0101/status/703235883915411457" TargetMode="External"/><Relationship Id="rId7147" Type="http://schemas.openxmlformats.org/officeDocument/2006/relationships/hyperlink" Target="https://pbs.twimg.com/profile_images/3180043645/eb4e2dd3da071953b8071c40ab01d979_normal.jpeg" TargetMode="External"/><Relationship Id="rId8478" Type="http://schemas.openxmlformats.org/officeDocument/2006/relationships/hyperlink" Target="https://twitter.com/NishitP0101" TargetMode="External"/><Relationship Id="rId7146" Type="http://schemas.openxmlformats.org/officeDocument/2006/relationships/hyperlink" Target="https://twitter.com/thesp0nge/status/703169920960323584" TargetMode="External"/><Relationship Id="rId8477" Type="http://schemas.openxmlformats.org/officeDocument/2006/relationships/hyperlink" Target="https://pbs.twimg.com/profile_images/624030560457850880/17LrFnZt_normal.png" TargetMode="External"/><Relationship Id="rId7145" Type="http://schemas.openxmlformats.org/officeDocument/2006/relationships/hyperlink" Target="https://twitter.com/thesp0nge" TargetMode="External"/><Relationship Id="rId8476" Type="http://schemas.openxmlformats.org/officeDocument/2006/relationships/hyperlink" Target="https://twitter.com/ContinuumIO/status/703235789652492288" TargetMode="External"/><Relationship Id="rId7149" Type="http://schemas.openxmlformats.org/officeDocument/2006/relationships/hyperlink" Target="https://twitter.com/365Python/status/703169985296752640" TargetMode="External"/><Relationship Id="rId4901" Type="http://schemas.openxmlformats.org/officeDocument/2006/relationships/hyperlink" Target="https://twitter.com/artwisanggeni" TargetMode="External"/><Relationship Id="rId4900" Type="http://schemas.openxmlformats.org/officeDocument/2006/relationships/hyperlink" Target="https://pbs.twimg.com/profile_images/2813636657/599521f69e2bc210a57323b64d8e39e6_normal.jpeg" TargetMode="External"/><Relationship Id="rId4903" Type="http://schemas.openxmlformats.org/officeDocument/2006/relationships/hyperlink" Target="http://dlvr.it" TargetMode="External"/><Relationship Id="rId4902" Type="http://schemas.openxmlformats.org/officeDocument/2006/relationships/hyperlink" Target="https://twitter.com/artwisanggeni/status/703021467441627136" TargetMode="External"/><Relationship Id="rId4905" Type="http://schemas.openxmlformats.org/officeDocument/2006/relationships/hyperlink" Target="https://twitter.com/artwisanggeni" TargetMode="External"/><Relationship Id="rId4904" Type="http://schemas.openxmlformats.org/officeDocument/2006/relationships/hyperlink" Target="https://pbs.twimg.com/profile_images/2813636657/599521f69e2bc210a57323b64d8e39e6_normal.jpeg" TargetMode="External"/><Relationship Id="rId4907" Type="http://schemas.openxmlformats.org/officeDocument/2006/relationships/hyperlink" Target="http://dlvr.it" TargetMode="External"/><Relationship Id="rId4906" Type="http://schemas.openxmlformats.org/officeDocument/2006/relationships/hyperlink" Target="https://twitter.com/artwisanggeni/status/703021470838972416" TargetMode="External"/><Relationship Id="rId4909" Type="http://schemas.openxmlformats.org/officeDocument/2006/relationships/hyperlink" Target="https://twitter.com/artwisanggeni" TargetMode="External"/><Relationship Id="rId4908" Type="http://schemas.openxmlformats.org/officeDocument/2006/relationships/hyperlink" Target="https://pbs.twimg.com/profile_images/2813636657/599521f69e2bc210a57323b64d8e39e6_normal.jpeg" TargetMode="External"/><Relationship Id="rId7180" Type="http://schemas.openxmlformats.org/officeDocument/2006/relationships/hyperlink" Target="https://twitter.com/korezian/status/703172526663290880" TargetMode="External"/><Relationship Id="rId7173" Type="http://schemas.openxmlformats.org/officeDocument/2006/relationships/hyperlink" Target="https://twitter.com/PythonBooks/status/703172043265585152" TargetMode="External"/><Relationship Id="rId7172" Type="http://schemas.openxmlformats.org/officeDocument/2006/relationships/hyperlink" Target="https://twitter.com/PythonBooks" TargetMode="External"/><Relationship Id="rId7171" Type="http://schemas.openxmlformats.org/officeDocument/2006/relationships/hyperlink" Target="https://pbs.twimg.com/profile_images/622520096943120384/VRcgCuk-_normal.jpg" TargetMode="External"/><Relationship Id="rId7170" Type="http://schemas.openxmlformats.org/officeDocument/2006/relationships/hyperlink" Target="https://twitter.com/geisasantos/status/703172041197785090" TargetMode="External"/><Relationship Id="rId7177" Type="http://schemas.openxmlformats.org/officeDocument/2006/relationships/hyperlink" Target="https://twitter.com/vascogpinho/status/703172104951181314" TargetMode="External"/><Relationship Id="rId7176" Type="http://schemas.openxmlformats.org/officeDocument/2006/relationships/hyperlink" Target="https://twitter.com/vascogpinho" TargetMode="External"/><Relationship Id="rId7175" Type="http://schemas.openxmlformats.org/officeDocument/2006/relationships/hyperlink" Target="https://pbs.twimg.com/profile_images/702455638157168640/AeDgtn0C_normal.jpg" TargetMode="External"/><Relationship Id="rId7174" Type="http://schemas.openxmlformats.org/officeDocument/2006/relationships/hyperlink" Target="http://dlvr.it" TargetMode="External"/><Relationship Id="rId7179" Type="http://schemas.openxmlformats.org/officeDocument/2006/relationships/hyperlink" Target="https://twitter.com/korezian" TargetMode="External"/><Relationship Id="rId7178" Type="http://schemas.openxmlformats.org/officeDocument/2006/relationships/hyperlink" Target="https://pbs.twimg.com/profile_images/630325071324823552/chOjKabe_normal.jpg" TargetMode="External"/><Relationship Id="rId7162" Type="http://schemas.openxmlformats.org/officeDocument/2006/relationships/hyperlink" Target="https://pbs.twimg.com/profile_images/509391277/motiv_normal_normal.png" TargetMode="External"/><Relationship Id="rId8493" Type="http://schemas.openxmlformats.org/officeDocument/2006/relationships/hyperlink" Target="https://twitter.com/kenwilliams9000" TargetMode="External"/><Relationship Id="rId7161" Type="http://schemas.openxmlformats.org/officeDocument/2006/relationships/hyperlink" Target="https://twitter.com/LinuxEXPRES/status/703171301158948864" TargetMode="External"/><Relationship Id="rId8492" Type="http://schemas.openxmlformats.org/officeDocument/2006/relationships/hyperlink" Target="https://pbs.twimg.com/profile_images/378800000030851202/b6bb871a13825bae9004a9aab3a1d726_normal.jpeg" TargetMode="External"/><Relationship Id="rId7160" Type="http://schemas.openxmlformats.org/officeDocument/2006/relationships/hyperlink" Target="https://twitter.com/LinuxEXPRES" TargetMode="External"/><Relationship Id="rId8491" Type="http://schemas.openxmlformats.org/officeDocument/2006/relationships/hyperlink" Target="https://twitter.com/PythonDaily/status/703236281216561152" TargetMode="External"/><Relationship Id="rId8490" Type="http://schemas.openxmlformats.org/officeDocument/2006/relationships/hyperlink" Target="https://twitter.com/PythonDaily" TargetMode="External"/><Relationship Id="rId7166" Type="http://schemas.openxmlformats.org/officeDocument/2006/relationships/hyperlink" Target="https://twitter.com/ntdbrophy" TargetMode="External"/><Relationship Id="rId8497" Type="http://schemas.openxmlformats.org/officeDocument/2006/relationships/hyperlink" Target="https://twitter.com/EPlassard/status/703236380147712000" TargetMode="External"/><Relationship Id="rId7165" Type="http://schemas.openxmlformats.org/officeDocument/2006/relationships/hyperlink" Target="https://pbs.twimg.com/profile_images/460099412526518272/aNXvaTyn_normal.jpeg" TargetMode="External"/><Relationship Id="rId8496" Type="http://schemas.openxmlformats.org/officeDocument/2006/relationships/hyperlink" Target="https://twitter.com/EPlassard" TargetMode="External"/><Relationship Id="rId7164" Type="http://schemas.openxmlformats.org/officeDocument/2006/relationships/hyperlink" Target="https://twitter.com/korezian/status/703171480842932225" TargetMode="External"/><Relationship Id="rId8495" Type="http://schemas.openxmlformats.org/officeDocument/2006/relationships/hyperlink" Target="https://pbs.twimg.com/profile_images/596633642115399680/2C0N2yl1_normal.jpg" TargetMode="External"/><Relationship Id="rId7163" Type="http://schemas.openxmlformats.org/officeDocument/2006/relationships/hyperlink" Target="https://twitter.com/korezian" TargetMode="External"/><Relationship Id="rId8494" Type="http://schemas.openxmlformats.org/officeDocument/2006/relationships/hyperlink" Target="https://twitter.com/kenwilliams9000/status/703236283661991938" TargetMode="External"/><Relationship Id="rId7169" Type="http://schemas.openxmlformats.org/officeDocument/2006/relationships/hyperlink" Target="https://twitter.com/geisasantos" TargetMode="External"/><Relationship Id="rId7168" Type="http://schemas.openxmlformats.org/officeDocument/2006/relationships/hyperlink" Target="https://pbs.twimg.com/profile_images/1718301782/profile_pic_normal.jpg" TargetMode="External"/><Relationship Id="rId8499" Type="http://schemas.openxmlformats.org/officeDocument/2006/relationships/hyperlink" Target="https://twitter.com/MikeHerman" TargetMode="External"/><Relationship Id="rId7167" Type="http://schemas.openxmlformats.org/officeDocument/2006/relationships/hyperlink" Target="https://twitter.com/ntdbrophy/status/703171753166528517" TargetMode="External"/><Relationship Id="rId8498" Type="http://schemas.openxmlformats.org/officeDocument/2006/relationships/hyperlink" Target="https://pbs.twimg.com/profile_images/623489015342350336/SYqr6xXF_normal.jpg" TargetMode="External"/><Relationship Id="rId7111" Type="http://schemas.openxmlformats.org/officeDocument/2006/relationships/hyperlink" Target="https://twitter.com/jamiesincerous/status/703166521732780032" TargetMode="External"/><Relationship Id="rId8442" Type="http://schemas.openxmlformats.org/officeDocument/2006/relationships/hyperlink" Target="https://twitter.com/dutchlight360" TargetMode="External"/><Relationship Id="rId7110" Type="http://schemas.openxmlformats.org/officeDocument/2006/relationships/hyperlink" Target="https://twitter.com/jamiesincerous" TargetMode="External"/><Relationship Id="rId8441" Type="http://schemas.openxmlformats.org/officeDocument/2006/relationships/hyperlink" Target="https://pbs.twimg.com/profile_images/1174228552/gpsc2_normal.jpg" TargetMode="External"/><Relationship Id="rId8440" Type="http://schemas.openxmlformats.org/officeDocument/2006/relationships/hyperlink" Target="https://twitter.com/kdnuggets/status/703234066888396801" TargetMode="External"/><Relationship Id="rId7115" Type="http://schemas.openxmlformats.org/officeDocument/2006/relationships/hyperlink" Target="https://pbs.twimg.com/profile_images/1862602287/owentis_logo_normal.jpg" TargetMode="External"/><Relationship Id="rId8446" Type="http://schemas.openxmlformats.org/officeDocument/2006/relationships/hyperlink" Target="https://twitter.com/ignorantcowboy/status/703234309256306688" TargetMode="External"/><Relationship Id="rId7114" Type="http://schemas.openxmlformats.org/officeDocument/2006/relationships/hyperlink" Target="https://twitter.com/Owentis/status/703166737831714816" TargetMode="External"/><Relationship Id="rId8445" Type="http://schemas.openxmlformats.org/officeDocument/2006/relationships/hyperlink" Target="https://twitter.com/ignorantcowboy" TargetMode="External"/><Relationship Id="rId7113" Type="http://schemas.openxmlformats.org/officeDocument/2006/relationships/hyperlink" Target="https://twitter.com/Owentis" TargetMode="External"/><Relationship Id="rId8444" Type="http://schemas.openxmlformats.org/officeDocument/2006/relationships/hyperlink" Target="https://pbs.twimg.com/profile_images/509352548549935105/vUQcEAtE_normal.jpeg" TargetMode="External"/><Relationship Id="rId7112" Type="http://schemas.openxmlformats.org/officeDocument/2006/relationships/hyperlink" Target="https://pbs.twimg.com/profile_images/544972321824333825/ECrPVT7q_normal.jpeg" TargetMode="External"/><Relationship Id="rId8443" Type="http://schemas.openxmlformats.org/officeDocument/2006/relationships/hyperlink" Target="https://twitter.com/dutchlight360/status/703234245406363649" TargetMode="External"/><Relationship Id="rId7119" Type="http://schemas.openxmlformats.org/officeDocument/2006/relationships/hyperlink" Target="https://pbs.twimg.com/profile_images/2813636657/599521f69e2bc210a57323b64d8e39e6_normal.jpeg" TargetMode="External"/><Relationship Id="rId7118" Type="http://schemas.openxmlformats.org/officeDocument/2006/relationships/hyperlink" Target="http://dlvr.it" TargetMode="External"/><Relationship Id="rId8449" Type="http://schemas.openxmlformats.org/officeDocument/2006/relationships/hyperlink" Target="https://twitter.com/MikeHerman/status/703234343150325761" TargetMode="External"/><Relationship Id="rId7117" Type="http://schemas.openxmlformats.org/officeDocument/2006/relationships/hyperlink" Target="https://twitter.com/artwisanggeni/status/703167178397192192" TargetMode="External"/><Relationship Id="rId8448" Type="http://schemas.openxmlformats.org/officeDocument/2006/relationships/hyperlink" Target="https://twitter.com/MikeHerman" TargetMode="External"/><Relationship Id="rId7116" Type="http://schemas.openxmlformats.org/officeDocument/2006/relationships/hyperlink" Target="https://twitter.com/artwisanggeni" TargetMode="External"/><Relationship Id="rId8447" Type="http://schemas.openxmlformats.org/officeDocument/2006/relationships/hyperlink" Target="https://pbs.twimg.com/profile_images/670196169369395200/BD7Xttld_normal.jpg" TargetMode="External"/><Relationship Id="rId7109" Type="http://schemas.openxmlformats.org/officeDocument/2006/relationships/hyperlink" Target="https://pbs.twimg.com/profile_images/378800000277104498/bc110fa953c596e528e7050c0f408b20_normal.jpeg" TargetMode="External"/><Relationship Id="rId7100" Type="http://schemas.openxmlformats.org/officeDocument/2006/relationships/hyperlink" Target="https://abs.twimg.com/sticky/default_profile_images/default_profile_3_normal.png" TargetMode="External"/><Relationship Id="rId8431" Type="http://schemas.openxmlformats.org/officeDocument/2006/relationships/hyperlink" Target="https://twitter.com/FredRoseFilms/status/703234050241208320" TargetMode="External"/><Relationship Id="rId8430" Type="http://schemas.openxmlformats.org/officeDocument/2006/relationships/hyperlink" Target="https://twitter.com/FredRoseFilms" TargetMode="External"/><Relationship Id="rId7104" Type="http://schemas.openxmlformats.org/officeDocument/2006/relationships/hyperlink" Target="https://twitter.com/salvatoremonaco" TargetMode="External"/><Relationship Id="rId8435" Type="http://schemas.openxmlformats.org/officeDocument/2006/relationships/hyperlink" Target="https://pbs.twimg.com/profile_images/695642719948009474/s9J4OUA9_normal.jpg" TargetMode="External"/><Relationship Id="rId7103" Type="http://schemas.openxmlformats.org/officeDocument/2006/relationships/hyperlink" Target="https://pbs.twimg.com/profile_images/646430794391650304/jK6EaLeg_normal.jpg" TargetMode="External"/><Relationship Id="rId8434" Type="http://schemas.openxmlformats.org/officeDocument/2006/relationships/hyperlink" Target="https://twitter.com/anioko1/status/703234057086377986" TargetMode="External"/><Relationship Id="rId7102" Type="http://schemas.openxmlformats.org/officeDocument/2006/relationships/hyperlink" Target="https://twitter.com/ConnectionsNY/status/703165311218880512" TargetMode="External"/><Relationship Id="rId8433" Type="http://schemas.openxmlformats.org/officeDocument/2006/relationships/hyperlink" Target="https://twitter.com/anioko1" TargetMode="External"/><Relationship Id="rId7101" Type="http://schemas.openxmlformats.org/officeDocument/2006/relationships/hyperlink" Target="https://twitter.com/ConnectionsNY" TargetMode="External"/><Relationship Id="rId8432" Type="http://schemas.openxmlformats.org/officeDocument/2006/relationships/hyperlink" Target="https://pbs.twimg.com/profile_images/443979688935833600/DDpVbCo2_normal.jpeg" TargetMode="External"/><Relationship Id="rId7108" Type="http://schemas.openxmlformats.org/officeDocument/2006/relationships/hyperlink" Target="https://twitter.com/kamatat2006/status/703165693601062912" TargetMode="External"/><Relationship Id="rId8439" Type="http://schemas.openxmlformats.org/officeDocument/2006/relationships/hyperlink" Target="https://twitter.com/kdnuggets" TargetMode="External"/><Relationship Id="rId7107" Type="http://schemas.openxmlformats.org/officeDocument/2006/relationships/hyperlink" Target="https://twitter.com/kamatat2006" TargetMode="External"/><Relationship Id="rId8438" Type="http://schemas.openxmlformats.org/officeDocument/2006/relationships/hyperlink" Target="https://pbs.twimg.com/profile_images/629967244714463232/XYtJtY9S_normal.png" TargetMode="External"/><Relationship Id="rId7106" Type="http://schemas.openxmlformats.org/officeDocument/2006/relationships/hyperlink" Target="https://pbs.twimg.com/profile_images/1781002900/image_normal.jpg" TargetMode="External"/><Relationship Id="rId8437" Type="http://schemas.openxmlformats.org/officeDocument/2006/relationships/hyperlink" Target="https://twitter.com/GeneralBrae/status/703234059384823808" TargetMode="External"/><Relationship Id="rId7105" Type="http://schemas.openxmlformats.org/officeDocument/2006/relationships/hyperlink" Target="https://twitter.com/salvatoremonaco/status/703165641415524353" TargetMode="External"/><Relationship Id="rId8436" Type="http://schemas.openxmlformats.org/officeDocument/2006/relationships/hyperlink" Target="https://twitter.com/GeneralBrae" TargetMode="External"/><Relationship Id="rId8460" Type="http://schemas.openxmlformats.org/officeDocument/2006/relationships/hyperlink" Target="https://twitter.com/BrownJosephW" TargetMode="External"/><Relationship Id="rId7133" Type="http://schemas.openxmlformats.org/officeDocument/2006/relationships/hyperlink" Target="https://twitter.com/pydigest" TargetMode="External"/><Relationship Id="rId8464" Type="http://schemas.openxmlformats.org/officeDocument/2006/relationships/hyperlink" Target="https://twitter.com/MikeHerman/status/703235569455747072" TargetMode="External"/><Relationship Id="rId7132" Type="http://schemas.openxmlformats.org/officeDocument/2006/relationships/hyperlink" Target="https://pbs.twimg.com/profile_images/452064440687423488/nbwrKTwP_normal.jpeg" TargetMode="External"/><Relationship Id="rId8463" Type="http://schemas.openxmlformats.org/officeDocument/2006/relationships/hyperlink" Target="https://twitter.com/MikeHerman" TargetMode="External"/><Relationship Id="rId7131" Type="http://schemas.openxmlformats.org/officeDocument/2006/relationships/hyperlink" Target="https://twitter.com/cocoacoda/status/703167875767402496" TargetMode="External"/><Relationship Id="rId8462" Type="http://schemas.openxmlformats.org/officeDocument/2006/relationships/hyperlink" Target="https://pbs.twimg.com/profile_images/1387650844/beard1_normal.jpg" TargetMode="External"/><Relationship Id="rId7130" Type="http://schemas.openxmlformats.org/officeDocument/2006/relationships/hyperlink" Target="https://twitter.com/cocoacoda" TargetMode="External"/><Relationship Id="rId8461" Type="http://schemas.openxmlformats.org/officeDocument/2006/relationships/hyperlink" Target="https://twitter.com/BrownJosephW/status/703235012695556096" TargetMode="External"/><Relationship Id="rId7137" Type="http://schemas.openxmlformats.org/officeDocument/2006/relationships/hyperlink" Target="https://twitter.com/ravikiranreddyy/status/703168628242272256" TargetMode="External"/><Relationship Id="rId8468" Type="http://schemas.openxmlformats.org/officeDocument/2006/relationships/hyperlink" Target="https://pbs.twimg.com/profile_images/1922469282/20120215-17.resized.resized_normal.jpg" TargetMode="External"/><Relationship Id="rId7136" Type="http://schemas.openxmlformats.org/officeDocument/2006/relationships/hyperlink" Target="https://twitter.com/ravikiranreddyy" TargetMode="External"/><Relationship Id="rId8467" Type="http://schemas.openxmlformats.org/officeDocument/2006/relationships/hyperlink" Target="https://twitter.com/weberc2/status/703235584878206978" TargetMode="External"/><Relationship Id="rId7135" Type="http://schemas.openxmlformats.org/officeDocument/2006/relationships/hyperlink" Target="https://pbs.twimg.com/profile_images/475228702922387457/6gYeuqxD_normal.jpeg" TargetMode="External"/><Relationship Id="rId8466" Type="http://schemas.openxmlformats.org/officeDocument/2006/relationships/hyperlink" Target="https://twitter.com/weberc2" TargetMode="External"/><Relationship Id="rId7134" Type="http://schemas.openxmlformats.org/officeDocument/2006/relationships/hyperlink" Target="https://twitter.com/pydigest/status/703168159033851906" TargetMode="External"/><Relationship Id="rId8465" Type="http://schemas.openxmlformats.org/officeDocument/2006/relationships/hyperlink" Target="https://pbs.twimg.com/profile_images/1956395739/56358390A_normal.jpg" TargetMode="External"/><Relationship Id="rId7139" Type="http://schemas.openxmlformats.org/officeDocument/2006/relationships/hyperlink" Target="https://twitter.com/pvergain" TargetMode="External"/><Relationship Id="rId7138" Type="http://schemas.openxmlformats.org/officeDocument/2006/relationships/hyperlink" Target="https://pbs.twimg.com/profile_images/695557884529147904/nSbdlKno_normal.jpg" TargetMode="External"/><Relationship Id="rId8469" Type="http://schemas.openxmlformats.org/officeDocument/2006/relationships/hyperlink" Target="https://twitter.com/py3k" TargetMode="External"/><Relationship Id="rId7122" Type="http://schemas.openxmlformats.org/officeDocument/2006/relationships/hyperlink" Target="http://dlvr.it" TargetMode="External"/><Relationship Id="rId8453" Type="http://schemas.openxmlformats.org/officeDocument/2006/relationships/hyperlink" Target="https://pbs.twimg.com/profile_images/572091631055028224/Pkx__FSB_normal.png" TargetMode="External"/><Relationship Id="rId7121" Type="http://schemas.openxmlformats.org/officeDocument/2006/relationships/hyperlink" Target="https://twitter.com/artwisanggeni/status/703167182541172738" TargetMode="External"/><Relationship Id="rId8452" Type="http://schemas.openxmlformats.org/officeDocument/2006/relationships/hyperlink" Target="https://twitter.com/cool_python/status/703234566824271873" TargetMode="External"/><Relationship Id="rId7120" Type="http://schemas.openxmlformats.org/officeDocument/2006/relationships/hyperlink" Target="https://twitter.com/artwisanggeni" TargetMode="External"/><Relationship Id="rId8451" Type="http://schemas.openxmlformats.org/officeDocument/2006/relationships/hyperlink" Target="https://twitter.com/cool_python" TargetMode="External"/><Relationship Id="rId8450" Type="http://schemas.openxmlformats.org/officeDocument/2006/relationships/hyperlink" Target="https://pbs.twimg.com/profile_images/1956395739/56358390A_normal.jpg" TargetMode="External"/><Relationship Id="rId7126" Type="http://schemas.openxmlformats.org/officeDocument/2006/relationships/hyperlink" Target="https://pbs.twimg.com/profile_images/699545598450606080/s8CU8cVg_normal.png" TargetMode="External"/><Relationship Id="rId8457" Type="http://schemas.openxmlformats.org/officeDocument/2006/relationships/hyperlink" Target="https://twitter.com/SciencePablo" TargetMode="External"/><Relationship Id="rId7125" Type="http://schemas.openxmlformats.org/officeDocument/2006/relationships/hyperlink" Target="https://twitter.com/WebScraperDB/status/703167202405449728" TargetMode="External"/><Relationship Id="rId8456" Type="http://schemas.openxmlformats.org/officeDocument/2006/relationships/hyperlink" Target="https://pbs.twimg.com/profile_images/1664565925/owl_coff_normal.jpg" TargetMode="External"/><Relationship Id="rId7124" Type="http://schemas.openxmlformats.org/officeDocument/2006/relationships/hyperlink" Target="https://twitter.com/WebScraperDB" TargetMode="External"/><Relationship Id="rId8455" Type="http://schemas.openxmlformats.org/officeDocument/2006/relationships/hyperlink" Target="https://twitter.com/mbodock/status/703234720302305280" TargetMode="External"/><Relationship Id="rId7123" Type="http://schemas.openxmlformats.org/officeDocument/2006/relationships/hyperlink" Target="https://pbs.twimg.com/profile_images/2813636657/599521f69e2bc210a57323b64d8e39e6_normal.jpeg" TargetMode="External"/><Relationship Id="rId8454" Type="http://schemas.openxmlformats.org/officeDocument/2006/relationships/hyperlink" Target="https://twitter.com/mbodock" TargetMode="External"/><Relationship Id="rId7129" Type="http://schemas.openxmlformats.org/officeDocument/2006/relationships/hyperlink" Target="https://abs.twimg.com/sticky/default_profile_images/default_profile_4_normal.png" TargetMode="External"/><Relationship Id="rId7128" Type="http://schemas.openxmlformats.org/officeDocument/2006/relationships/hyperlink" Target="https://twitter.com/Pvalsfr/status/703167518383276032" TargetMode="External"/><Relationship Id="rId8459" Type="http://schemas.openxmlformats.org/officeDocument/2006/relationships/hyperlink" Target="https://pbs.twimg.com/profile_images/696961350447296512/HBs6zY5V_normal.jpg" TargetMode="External"/><Relationship Id="rId7127" Type="http://schemas.openxmlformats.org/officeDocument/2006/relationships/hyperlink" Target="https://twitter.com/Pvalsfr" TargetMode="External"/><Relationship Id="rId8458" Type="http://schemas.openxmlformats.org/officeDocument/2006/relationships/hyperlink" Target="https://twitter.com/SciencePablo/status/703234955028119552" TargetMode="External"/><Relationship Id="rId2302" Type="http://schemas.openxmlformats.org/officeDocument/2006/relationships/hyperlink" Target="https://twitter.com/JeromeA_Tweets/status/702902952965627904" TargetMode="External"/><Relationship Id="rId3634" Type="http://schemas.openxmlformats.org/officeDocument/2006/relationships/hyperlink" Target="https://pbs.twimg.com/profile_images/613456073979092992/1Bd3LSz1_normal.png" TargetMode="External"/><Relationship Id="rId4965" Type="http://schemas.openxmlformats.org/officeDocument/2006/relationships/hyperlink" Target="https://twitter.com/SpectralFilter" TargetMode="External"/><Relationship Id="rId2303" Type="http://schemas.openxmlformats.org/officeDocument/2006/relationships/hyperlink" Target="https://pbs.twimg.com/profile_images/378800000532998173/36e910217b05022890e84d6a413187fd_normal.jpeg" TargetMode="External"/><Relationship Id="rId3633" Type="http://schemas.openxmlformats.org/officeDocument/2006/relationships/hyperlink" Target="https://twitter.com/JuliaLangsEs/status/702950740906479616" TargetMode="External"/><Relationship Id="rId4964" Type="http://schemas.openxmlformats.org/officeDocument/2006/relationships/hyperlink" Target="https://pbs.twimg.com/profile_images/679566117187145728/UUo30Zpm_normal.jpg" TargetMode="External"/><Relationship Id="rId2304" Type="http://schemas.openxmlformats.org/officeDocument/2006/relationships/hyperlink" Target="https://twitter.com/HPC_Guru" TargetMode="External"/><Relationship Id="rId3636" Type="http://schemas.openxmlformats.org/officeDocument/2006/relationships/hyperlink" Target="https://twitter.com/WillR_AppNeta/status/702950902743830528" TargetMode="External"/><Relationship Id="rId4967" Type="http://schemas.openxmlformats.org/officeDocument/2006/relationships/hyperlink" Target="https://pbs.twimg.com/profile_images/378800000675236193/a8751ce40a1ca9bf2e0209150ff2df79_normal.jpeg" TargetMode="External"/><Relationship Id="rId2305" Type="http://schemas.openxmlformats.org/officeDocument/2006/relationships/hyperlink" Target="https://twitter.com/HPC_Guru/status/702902971131035649" TargetMode="External"/><Relationship Id="rId3635" Type="http://schemas.openxmlformats.org/officeDocument/2006/relationships/hyperlink" Target="https://twitter.com/WillR_AppNeta" TargetMode="External"/><Relationship Id="rId4966" Type="http://schemas.openxmlformats.org/officeDocument/2006/relationships/hyperlink" Target="https://twitter.com/SpectralFilter/status/703023492967444480" TargetMode="External"/><Relationship Id="rId2306" Type="http://schemas.openxmlformats.org/officeDocument/2006/relationships/hyperlink" Target="https://pbs.twimg.com/profile_images/121065329/IMG_0043_normal.PNG" TargetMode="External"/><Relationship Id="rId3638" Type="http://schemas.openxmlformats.org/officeDocument/2006/relationships/hyperlink" Target="https://twitter.com/wcmckeedotcom" TargetMode="External"/><Relationship Id="rId4969" Type="http://schemas.openxmlformats.org/officeDocument/2006/relationships/hyperlink" Target="https://twitter.com/astrofra/status/703023950843002880" TargetMode="External"/><Relationship Id="rId2307" Type="http://schemas.openxmlformats.org/officeDocument/2006/relationships/hyperlink" Target="https://twitter.com/chiochia" TargetMode="External"/><Relationship Id="rId3637" Type="http://schemas.openxmlformats.org/officeDocument/2006/relationships/hyperlink" Target="https://pbs.twimg.com/profile_images/596317085610807296/Vw5p8LqN_normal.jpg" TargetMode="External"/><Relationship Id="rId4968" Type="http://schemas.openxmlformats.org/officeDocument/2006/relationships/hyperlink" Target="https://twitter.com/astrofra" TargetMode="External"/><Relationship Id="rId2308" Type="http://schemas.openxmlformats.org/officeDocument/2006/relationships/hyperlink" Target="https://twitter.com/chiochia/status/702903169756565505" TargetMode="External"/><Relationship Id="rId2309" Type="http://schemas.openxmlformats.org/officeDocument/2006/relationships/hyperlink" Target="https://pbs.twimg.com/profile_images/446680442595336193/keJPARhB_normal.jpeg" TargetMode="External"/><Relationship Id="rId3639" Type="http://schemas.openxmlformats.org/officeDocument/2006/relationships/hyperlink" Target="https://twitter.com/wcmckeedotcom/status/702951003046416384" TargetMode="External"/><Relationship Id="rId3630" Type="http://schemas.openxmlformats.org/officeDocument/2006/relationships/hyperlink" Target="https://twitter.com/JuliaLanguage/status/702950740902326272" TargetMode="External"/><Relationship Id="rId4961" Type="http://schemas.openxmlformats.org/officeDocument/2006/relationships/hyperlink" Target="https://pbs.twimg.com/profile_images/3312468366/129323224633d71286101d517a2f9817_normal.png" TargetMode="External"/><Relationship Id="rId4960" Type="http://schemas.openxmlformats.org/officeDocument/2006/relationships/hyperlink" Target="https://twitter.com/RealPython/status/703023143162482688" TargetMode="External"/><Relationship Id="rId2300" Type="http://schemas.openxmlformats.org/officeDocument/2006/relationships/hyperlink" Target="https://pbs.twimg.com/profile_images/572091631055028224/Pkx__FSB_normal.png" TargetMode="External"/><Relationship Id="rId3632" Type="http://schemas.openxmlformats.org/officeDocument/2006/relationships/hyperlink" Target="https://twitter.com/JuliaLangsEs" TargetMode="External"/><Relationship Id="rId4963" Type="http://schemas.openxmlformats.org/officeDocument/2006/relationships/hyperlink" Target="https://twitter.com/startechwall/status/703023358133334016" TargetMode="External"/><Relationship Id="rId2301" Type="http://schemas.openxmlformats.org/officeDocument/2006/relationships/hyperlink" Target="https://twitter.com/JeromeA_Tweets" TargetMode="External"/><Relationship Id="rId3631" Type="http://schemas.openxmlformats.org/officeDocument/2006/relationships/hyperlink" Target="https://pbs.twimg.com/profile_images/3331406046/647b7cf75cb5662b96901bc521968e94_normal.png" TargetMode="External"/><Relationship Id="rId4962" Type="http://schemas.openxmlformats.org/officeDocument/2006/relationships/hyperlink" Target="https://twitter.com/startechwall" TargetMode="External"/><Relationship Id="rId3623" Type="http://schemas.openxmlformats.org/officeDocument/2006/relationships/hyperlink" Target="https://twitter.com/techpearce2" TargetMode="External"/><Relationship Id="rId4954" Type="http://schemas.openxmlformats.org/officeDocument/2006/relationships/hyperlink" Target="https://pbs.twimg.com/profile_images/600142816094748672/qlLn3N1z_normal.png" TargetMode="External"/><Relationship Id="rId3622" Type="http://schemas.openxmlformats.org/officeDocument/2006/relationships/hyperlink" Target="https://pbs.twimg.com/profile_images/648912420275154944/Ab4szUPV_normal.jpg" TargetMode="External"/><Relationship Id="rId4953" Type="http://schemas.openxmlformats.org/officeDocument/2006/relationships/hyperlink" Target="https://twitter.com/NewReleaseNotes/status/703022588981678080" TargetMode="External"/><Relationship Id="rId3625" Type="http://schemas.openxmlformats.org/officeDocument/2006/relationships/hyperlink" Target="https://pbs.twimg.com/profile_images/648912420275154944/Ab4szUPV_normal.jpg" TargetMode="External"/><Relationship Id="rId4956" Type="http://schemas.openxmlformats.org/officeDocument/2006/relationships/hyperlink" Target="https://twitter.com/AdamSmitht1/status/703023039609442304" TargetMode="External"/><Relationship Id="rId3624" Type="http://schemas.openxmlformats.org/officeDocument/2006/relationships/hyperlink" Target="https://twitter.com/techpearce2/status/702950518595801088" TargetMode="External"/><Relationship Id="rId4955" Type="http://schemas.openxmlformats.org/officeDocument/2006/relationships/hyperlink" Target="https://twitter.com/AdamSmitht1" TargetMode="External"/><Relationship Id="rId3627" Type="http://schemas.openxmlformats.org/officeDocument/2006/relationships/hyperlink" Target="https://twitter.com/ismael_vc/status/702950740885508096" TargetMode="External"/><Relationship Id="rId4958" Type="http://schemas.openxmlformats.org/officeDocument/2006/relationships/hyperlink" Target="https://twitter.com/RealPython" TargetMode="External"/><Relationship Id="rId3626" Type="http://schemas.openxmlformats.org/officeDocument/2006/relationships/hyperlink" Target="https://twitter.com/ismael_vc" TargetMode="External"/><Relationship Id="rId4957" Type="http://schemas.openxmlformats.org/officeDocument/2006/relationships/hyperlink" Target="https://pbs.twimg.com/profile_images/671623862916812800/yGsDKiP4_normal.jpg" TargetMode="External"/><Relationship Id="rId3629" Type="http://schemas.openxmlformats.org/officeDocument/2006/relationships/hyperlink" Target="https://twitter.com/JuliaLanguage" TargetMode="External"/><Relationship Id="rId3628" Type="http://schemas.openxmlformats.org/officeDocument/2006/relationships/hyperlink" Target="https://pbs.twimg.com/profile_images/643074023430057984/Oh7q-TYL_normal.jpg" TargetMode="External"/><Relationship Id="rId4959" Type="http://schemas.openxmlformats.org/officeDocument/2006/relationships/hyperlink" Target="http://RealPython.com" TargetMode="External"/><Relationship Id="rId4950" Type="http://schemas.openxmlformats.org/officeDocument/2006/relationships/hyperlink" Target="https://twitter.com/nezchal/status/703022371511398400" TargetMode="External"/><Relationship Id="rId3621" Type="http://schemas.openxmlformats.org/officeDocument/2006/relationships/hyperlink" Target="https://twitter.com/techpearce2/status/702950511696289792" TargetMode="External"/><Relationship Id="rId4952" Type="http://schemas.openxmlformats.org/officeDocument/2006/relationships/hyperlink" Target="https://twitter.com/NewReleaseNotes" TargetMode="External"/><Relationship Id="rId3620" Type="http://schemas.openxmlformats.org/officeDocument/2006/relationships/hyperlink" Target="https://twitter.com/techpearce2" TargetMode="External"/><Relationship Id="rId4951" Type="http://schemas.openxmlformats.org/officeDocument/2006/relationships/hyperlink" Target="https://pbs.twimg.com/profile_images/378800000844490868/b35cc180ef74c00510dba5288d8c6de1_normal.jpeg" TargetMode="External"/><Relationship Id="rId2324" Type="http://schemas.openxmlformats.org/officeDocument/2006/relationships/hyperlink" Target="https://twitter.com/PythonBooks" TargetMode="External"/><Relationship Id="rId3656" Type="http://schemas.openxmlformats.org/officeDocument/2006/relationships/hyperlink" Target="http://Livecoding.tv" TargetMode="External"/><Relationship Id="rId4987" Type="http://schemas.openxmlformats.org/officeDocument/2006/relationships/hyperlink" Target="https://twitter.com/datamafia/status/703024835740508161" TargetMode="External"/><Relationship Id="rId2325" Type="http://schemas.openxmlformats.org/officeDocument/2006/relationships/hyperlink" Target="https://twitter.com/PythonBooks/status/702903675992211456" TargetMode="External"/><Relationship Id="rId3655" Type="http://schemas.openxmlformats.org/officeDocument/2006/relationships/hyperlink" Target="https://twitter.com/livecodingtv" TargetMode="External"/><Relationship Id="rId4986" Type="http://schemas.openxmlformats.org/officeDocument/2006/relationships/hyperlink" Target="https://twitter.com/datamafia" TargetMode="External"/><Relationship Id="rId2326" Type="http://schemas.openxmlformats.org/officeDocument/2006/relationships/hyperlink" Target="http://dlvr.it" TargetMode="External"/><Relationship Id="rId3658" Type="http://schemas.openxmlformats.org/officeDocument/2006/relationships/hyperlink" Target="http://www.livecoding.tv" TargetMode="External"/><Relationship Id="rId4989" Type="http://schemas.openxmlformats.org/officeDocument/2006/relationships/hyperlink" Target="https://twitter.com/cah_anom" TargetMode="External"/><Relationship Id="rId2327" Type="http://schemas.openxmlformats.org/officeDocument/2006/relationships/hyperlink" Target="https://pbs.twimg.com/profile_images/702455638157168640/AeDgtn0C_normal.jpg" TargetMode="External"/><Relationship Id="rId3657" Type="http://schemas.openxmlformats.org/officeDocument/2006/relationships/hyperlink" Target="https://twitter.com/livecodingtv/status/702951580094459904" TargetMode="External"/><Relationship Id="rId4988" Type="http://schemas.openxmlformats.org/officeDocument/2006/relationships/hyperlink" Target="https://pbs.twimg.com/profile_images/700782075595481088/NiHciBeU_normal.jpg" TargetMode="External"/><Relationship Id="rId2328" Type="http://schemas.openxmlformats.org/officeDocument/2006/relationships/hyperlink" Target="https://twitter.com/ameanmbot" TargetMode="External"/><Relationship Id="rId2329" Type="http://schemas.openxmlformats.org/officeDocument/2006/relationships/hyperlink" Target="https://twitter.com/ameanmbot/status/702903678689263617" TargetMode="External"/><Relationship Id="rId3659" Type="http://schemas.openxmlformats.org/officeDocument/2006/relationships/hyperlink" Target="https://pbs.twimg.com/profile_images/539451988929294337/hCieN16A_normal.png" TargetMode="External"/><Relationship Id="rId3650" Type="http://schemas.openxmlformats.org/officeDocument/2006/relationships/hyperlink" Target="https://pbs.twimg.com/profile_images/677301306508386304/Q6Psac-p_normal.jpg" TargetMode="External"/><Relationship Id="rId4981" Type="http://schemas.openxmlformats.org/officeDocument/2006/relationships/hyperlink" Target="https://twitter.com/importpython/status/703024539597303808" TargetMode="External"/><Relationship Id="rId4980" Type="http://schemas.openxmlformats.org/officeDocument/2006/relationships/hyperlink" Target="https://twitter.com/importpython" TargetMode="External"/><Relationship Id="rId2320" Type="http://schemas.openxmlformats.org/officeDocument/2006/relationships/hyperlink" Target="https://twitter.com/PythonBooks" TargetMode="External"/><Relationship Id="rId3652" Type="http://schemas.openxmlformats.org/officeDocument/2006/relationships/hyperlink" Target="https://twitter.com/Cruor99/status/702951578278326272" TargetMode="External"/><Relationship Id="rId4983" Type="http://schemas.openxmlformats.org/officeDocument/2006/relationships/hyperlink" Target="https://twitter.com/NewReleaseNotes" TargetMode="External"/><Relationship Id="rId2321" Type="http://schemas.openxmlformats.org/officeDocument/2006/relationships/hyperlink" Target="https://twitter.com/PythonBooks/status/702903673957953536" TargetMode="External"/><Relationship Id="rId3651" Type="http://schemas.openxmlformats.org/officeDocument/2006/relationships/hyperlink" Target="https://twitter.com/Cruor99" TargetMode="External"/><Relationship Id="rId4982" Type="http://schemas.openxmlformats.org/officeDocument/2006/relationships/hyperlink" Target="https://pbs.twimg.com/profile_images/518108253121552384/ClpFqPbX_normal.png" TargetMode="External"/><Relationship Id="rId2322" Type="http://schemas.openxmlformats.org/officeDocument/2006/relationships/hyperlink" Target="http://dlvr.it" TargetMode="External"/><Relationship Id="rId3654" Type="http://schemas.openxmlformats.org/officeDocument/2006/relationships/hyperlink" Target="https://pbs.twimg.com/profile_images/492714097683603456/prZbtSFV_normal.png" TargetMode="External"/><Relationship Id="rId4985" Type="http://schemas.openxmlformats.org/officeDocument/2006/relationships/hyperlink" Target="https://pbs.twimg.com/profile_images/600142816094748672/qlLn3N1z_normal.png" TargetMode="External"/><Relationship Id="rId2323" Type="http://schemas.openxmlformats.org/officeDocument/2006/relationships/hyperlink" Target="https://pbs.twimg.com/profile_images/702455638157168640/AeDgtn0C_normal.jpg" TargetMode="External"/><Relationship Id="rId3653" Type="http://schemas.openxmlformats.org/officeDocument/2006/relationships/hyperlink" Target="http://www.livecoding.tv" TargetMode="External"/><Relationship Id="rId4984" Type="http://schemas.openxmlformats.org/officeDocument/2006/relationships/hyperlink" Target="https://twitter.com/NewReleaseNotes/status/703024820020088832" TargetMode="External"/><Relationship Id="rId2313" Type="http://schemas.openxmlformats.org/officeDocument/2006/relationships/hyperlink" Target="https://twitter.com/BotJitZu" TargetMode="External"/><Relationship Id="rId3645" Type="http://schemas.openxmlformats.org/officeDocument/2006/relationships/hyperlink" Target="https://twitter.com/javascriptd" TargetMode="External"/><Relationship Id="rId4976" Type="http://schemas.openxmlformats.org/officeDocument/2006/relationships/hyperlink" Target="https://pbs.twimg.com/profile_images/575590077117550592/a714OM5b_normal.jpeg" TargetMode="External"/><Relationship Id="rId2314" Type="http://schemas.openxmlformats.org/officeDocument/2006/relationships/hyperlink" Target="https://twitter.com/BotJitZu/status/702903345871241218" TargetMode="External"/><Relationship Id="rId3644" Type="http://schemas.openxmlformats.org/officeDocument/2006/relationships/hyperlink" Target="https://pbs.twimg.com/profile_images/487211737284739072/HBzP949-_normal.png" TargetMode="External"/><Relationship Id="rId4975" Type="http://schemas.openxmlformats.org/officeDocument/2006/relationships/hyperlink" Target="https://twitter.com/howmuch0515/status/703024361750425600" TargetMode="External"/><Relationship Id="rId2315" Type="http://schemas.openxmlformats.org/officeDocument/2006/relationships/hyperlink" Target="https://pbs.twimg.com/profile_images/681756734952738816/gbyGbSBp_normal.png" TargetMode="External"/><Relationship Id="rId3647" Type="http://schemas.openxmlformats.org/officeDocument/2006/relationships/hyperlink" Target="https://pbs.twimg.com/profile_images/544034757730779136/-jOL7GnN_normal.jpeg" TargetMode="External"/><Relationship Id="rId4978" Type="http://schemas.openxmlformats.org/officeDocument/2006/relationships/hyperlink" Target="https://twitter.com/efaisal/status/703024486300299264" TargetMode="External"/><Relationship Id="rId2316" Type="http://schemas.openxmlformats.org/officeDocument/2006/relationships/hyperlink" Target="https://twitter.com/PythonBooks" TargetMode="External"/><Relationship Id="rId3646" Type="http://schemas.openxmlformats.org/officeDocument/2006/relationships/hyperlink" Target="https://twitter.com/javascriptd/status/702951152686510080" TargetMode="External"/><Relationship Id="rId4977" Type="http://schemas.openxmlformats.org/officeDocument/2006/relationships/hyperlink" Target="https://twitter.com/efaisal" TargetMode="External"/><Relationship Id="rId2317" Type="http://schemas.openxmlformats.org/officeDocument/2006/relationships/hyperlink" Target="https://twitter.com/PythonBooks/status/702903670984192000" TargetMode="External"/><Relationship Id="rId3649" Type="http://schemas.openxmlformats.org/officeDocument/2006/relationships/hyperlink" Target="https://twitter.com/beugenio/status/702951445335773184" TargetMode="External"/><Relationship Id="rId2318" Type="http://schemas.openxmlformats.org/officeDocument/2006/relationships/hyperlink" Target="http://dlvr.it" TargetMode="External"/><Relationship Id="rId3648" Type="http://schemas.openxmlformats.org/officeDocument/2006/relationships/hyperlink" Target="https://twitter.com/beugenio" TargetMode="External"/><Relationship Id="rId4979" Type="http://schemas.openxmlformats.org/officeDocument/2006/relationships/hyperlink" Target="https://pbs.twimg.com/profile_images/666499602841899008/YQl0Dh9s_normal.png" TargetMode="External"/><Relationship Id="rId2319" Type="http://schemas.openxmlformats.org/officeDocument/2006/relationships/hyperlink" Target="https://pbs.twimg.com/profile_images/702455638157168640/AeDgtn0C_normal.jpg" TargetMode="External"/><Relationship Id="rId4970" Type="http://schemas.openxmlformats.org/officeDocument/2006/relationships/hyperlink" Target="https://pbs.twimg.com/profile_images/480235311906455552/ekUeBDr3_normal.jpeg" TargetMode="External"/><Relationship Id="rId3641" Type="http://schemas.openxmlformats.org/officeDocument/2006/relationships/hyperlink" Target="https://twitter.com/brobeur" TargetMode="External"/><Relationship Id="rId4972" Type="http://schemas.openxmlformats.org/officeDocument/2006/relationships/hyperlink" Target="https://twitter.com/NewReleaseNotes/status/703024061102698496" TargetMode="External"/><Relationship Id="rId2310" Type="http://schemas.openxmlformats.org/officeDocument/2006/relationships/hyperlink" Target="https://twitter.com/hieuqtran" TargetMode="External"/><Relationship Id="rId3640" Type="http://schemas.openxmlformats.org/officeDocument/2006/relationships/hyperlink" Target="https://pbs.twimg.com/profile_images/621211385746161664/tGchJstD_normal.jpg" TargetMode="External"/><Relationship Id="rId4971" Type="http://schemas.openxmlformats.org/officeDocument/2006/relationships/hyperlink" Target="https://twitter.com/NewReleaseNotes" TargetMode="External"/><Relationship Id="rId2311" Type="http://schemas.openxmlformats.org/officeDocument/2006/relationships/hyperlink" Target="https://twitter.com/hieuqtran/status/702903261297188865" TargetMode="External"/><Relationship Id="rId3643" Type="http://schemas.openxmlformats.org/officeDocument/2006/relationships/hyperlink" Target="https://twitter.com/brobeur/status/702951020381511680" TargetMode="External"/><Relationship Id="rId4974" Type="http://schemas.openxmlformats.org/officeDocument/2006/relationships/hyperlink" Target="https://twitter.com/howmuch0515" TargetMode="External"/><Relationship Id="rId2312" Type="http://schemas.openxmlformats.org/officeDocument/2006/relationships/hyperlink" Target="https://pbs.twimg.com/profile_images/565281451176767488/hTXc2VZH_normal.png" TargetMode="External"/><Relationship Id="rId3642" Type="http://schemas.openxmlformats.org/officeDocument/2006/relationships/hyperlink" Target="http://BroBeur.com" TargetMode="External"/><Relationship Id="rId4973" Type="http://schemas.openxmlformats.org/officeDocument/2006/relationships/hyperlink" Target="https://pbs.twimg.com/profile_images/600142816094748672/qlLn3N1z_normal.png" TargetMode="External"/><Relationship Id="rId4921" Type="http://schemas.openxmlformats.org/officeDocument/2006/relationships/hyperlink" Target="https://twitter.com/artwisanggeni" TargetMode="External"/><Relationship Id="rId4920" Type="http://schemas.openxmlformats.org/officeDocument/2006/relationships/hyperlink" Target="https://pbs.twimg.com/profile_images/2813636657/599521f69e2bc210a57323b64d8e39e6_normal.jpeg" TargetMode="External"/><Relationship Id="rId4923" Type="http://schemas.openxmlformats.org/officeDocument/2006/relationships/hyperlink" Target="http://dlvr.it" TargetMode="External"/><Relationship Id="rId4922" Type="http://schemas.openxmlformats.org/officeDocument/2006/relationships/hyperlink" Target="https://twitter.com/artwisanggeni/status/703021483459620864" TargetMode="External"/><Relationship Id="rId4925" Type="http://schemas.openxmlformats.org/officeDocument/2006/relationships/hyperlink" Target="https://twitter.com/artwisanggeni" TargetMode="External"/><Relationship Id="rId4924" Type="http://schemas.openxmlformats.org/officeDocument/2006/relationships/hyperlink" Target="https://pbs.twimg.com/profile_images/2813636657/599521f69e2bc210a57323b64d8e39e6_normal.jpeg" TargetMode="External"/><Relationship Id="rId4927" Type="http://schemas.openxmlformats.org/officeDocument/2006/relationships/hyperlink" Target="http://dlvr.it" TargetMode="External"/><Relationship Id="rId4926" Type="http://schemas.openxmlformats.org/officeDocument/2006/relationships/hyperlink" Target="https://twitter.com/artwisanggeni/status/703021487230308352" TargetMode="External"/><Relationship Id="rId4929" Type="http://schemas.openxmlformats.org/officeDocument/2006/relationships/hyperlink" Target="https://twitter.com/artwisanggeni" TargetMode="External"/><Relationship Id="rId4928" Type="http://schemas.openxmlformats.org/officeDocument/2006/relationships/hyperlink" Target="https://pbs.twimg.com/profile_images/2813636657/599521f69e2bc210a57323b64d8e39e6_normal.jpeg" TargetMode="External"/><Relationship Id="rId7195" Type="http://schemas.openxmlformats.org/officeDocument/2006/relationships/hyperlink" Target="https://twitter.com/jlmico/status/703174643780202499" TargetMode="External"/><Relationship Id="rId7194" Type="http://schemas.openxmlformats.org/officeDocument/2006/relationships/hyperlink" Target="https://twitter.com/jlmico" TargetMode="External"/><Relationship Id="rId7193" Type="http://schemas.openxmlformats.org/officeDocument/2006/relationships/hyperlink" Target="https://pbs.twimg.com/profile_images/521315547787444224/GurxZv3A_normal.jpeg" TargetMode="External"/><Relationship Id="rId7192" Type="http://schemas.openxmlformats.org/officeDocument/2006/relationships/hyperlink" Target="https://twitter.com/AWJuliaM/status/703173741958660096" TargetMode="External"/><Relationship Id="rId7199" Type="http://schemas.openxmlformats.org/officeDocument/2006/relationships/hyperlink" Target="https://pbs.twimg.com/profile_images/616793252524650496/bQbxJqmz_normal.jpg" TargetMode="External"/><Relationship Id="rId7198" Type="http://schemas.openxmlformats.org/officeDocument/2006/relationships/hyperlink" Target="https://twitter.com/BigDataTweetBot/status/703175230320046082" TargetMode="External"/><Relationship Id="rId7197" Type="http://schemas.openxmlformats.org/officeDocument/2006/relationships/hyperlink" Target="https://twitter.com/BigDataTweetBot" TargetMode="External"/><Relationship Id="rId7196" Type="http://schemas.openxmlformats.org/officeDocument/2006/relationships/hyperlink" Target="https://pbs.twimg.com/profile_images/557971388112195584/cOJIiuMX_normal.png" TargetMode="External"/><Relationship Id="rId4910" Type="http://schemas.openxmlformats.org/officeDocument/2006/relationships/hyperlink" Target="https://twitter.com/artwisanggeni/status/703021474018258944" TargetMode="External"/><Relationship Id="rId4912" Type="http://schemas.openxmlformats.org/officeDocument/2006/relationships/hyperlink" Target="https://pbs.twimg.com/profile_images/2813636657/599521f69e2bc210a57323b64d8e39e6_normal.jpeg" TargetMode="External"/><Relationship Id="rId4911" Type="http://schemas.openxmlformats.org/officeDocument/2006/relationships/hyperlink" Target="http://dlvr.it" TargetMode="External"/><Relationship Id="rId4914" Type="http://schemas.openxmlformats.org/officeDocument/2006/relationships/hyperlink" Target="https://twitter.com/artwisanggeni/status/703021477126283265" TargetMode="External"/><Relationship Id="rId4913" Type="http://schemas.openxmlformats.org/officeDocument/2006/relationships/hyperlink" Target="https://twitter.com/artwisanggeni" TargetMode="External"/><Relationship Id="rId4916" Type="http://schemas.openxmlformats.org/officeDocument/2006/relationships/hyperlink" Target="https://pbs.twimg.com/profile_images/2813636657/599521f69e2bc210a57323b64d8e39e6_normal.jpeg" TargetMode="External"/><Relationship Id="rId4915" Type="http://schemas.openxmlformats.org/officeDocument/2006/relationships/hyperlink" Target="http://dlvr.it" TargetMode="External"/><Relationship Id="rId4918" Type="http://schemas.openxmlformats.org/officeDocument/2006/relationships/hyperlink" Target="https://twitter.com/artwisanggeni/status/703021480343244800" TargetMode="External"/><Relationship Id="rId4917" Type="http://schemas.openxmlformats.org/officeDocument/2006/relationships/hyperlink" Target="https://twitter.com/artwisanggeni" TargetMode="External"/><Relationship Id="rId4919" Type="http://schemas.openxmlformats.org/officeDocument/2006/relationships/hyperlink" Target="http://dlvr.it" TargetMode="External"/><Relationship Id="rId7191" Type="http://schemas.openxmlformats.org/officeDocument/2006/relationships/hyperlink" Target="https://twitter.com/AWJuliaM" TargetMode="External"/><Relationship Id="rId7190" Type="http://schemas.openxmlformats.org/officeDocument/2006/relationships/hyperlink" Target="https://pbs.twimg.com/profile_images/1216345873/70755_100001902148705_8207987_q_normal.jpg" TargetMode="External"/><Relationship Id="rId7184" Type="http://schemas.openxmlformats.org/officeDocument/2006/relationships/hyperlink" Target="https://pbs.twimg.com/profile_images/1216345873/70755_100001902148705_8207987_q_normal.jpg" TargetMode="External"/><Relationship Id="rId7183" Type="http://schemas.openxmlformats.org/officeDocument/2006/relationships/hyperlink" Target="https://twitter.com/akucchan_world/status/703172896974200832" TargetMode="External"/><Relationship Id="rId7182" Type="http://schemas.openxmlformats.org/officeDocument/2006/relationships/hyperlink" Target="https://twitter.com/akucchan_world" TargetMode="External"/><Relationship Id="rId7181" Type="http://schemas.openxmlformats.org/officeDocument/2006/relationships/hyperlink" Target="https://pbs.twimg.com/profile_images/460099412526518272/aNXvaTyn_normal.jpeg" TargetMode="External"/><Relationship Id="rId7188" Type="http://schemas.openxmlformats.org/officeDocument/2006/relationships/hyperlink" Target="https://twitter.com/akucchan_world" TargetMode="External"/><Relationship Id="rId7187" Type="http://schemas.openxmlformats.org/officeDocument/2006/relationships/hyperlink" Target="https://pbs.twimg.com/profile_images/499257180009529344/CSWhr7LZ_normal.jpeg" TargetMode="External"/><Relationship Id="rId7186" Type="http://schemas.openxmlformats.org/officeDocument/2006/relationships/hyperlink" Target="https://twitter.com/NoSQLDigest/status/703173382305509377" TargetMode="External"/><Relationship Id="rId7185" Type="http://schemas.openxmlformats.org/officeDocument/2006/relationships/hyperlink" Target="https://twitter.com/NoSQLDigest" TargetMode="External"/><Relationship Id="rId7189" Type="http://schemas.openxmlformats.org/officeDocument/2006/relationships/hyperlink" Target="https://twitter.com/akucchan_world/status/703173696345669634" TargetMode="External"/><Relationship Id="rId3612" Type="http://schemas.openxmlformats.org/officeDocument/2006/relationships/hyperlink" Target="https://twitter.com/techpearce2/status/702950458432704513" TargetMode="External"/><Relationship Id="rId4943" Type="http://schemas.openxmlformats.org/officeDocument/2006/relationships/hyperlink" Target="https://twitter.com/johnkitchin/status/703022073271205888" TargetMode="External"/><Relationship Id="rId3611" Type="http://schemas.openxmlformats.org/officeDocument/2006/relationships/hyperlink" Target="https://twitter.com/techpearce2" TargetMode="External"/><Relationship Id="rId4942" Type="http://schemas.openxmlformats.org/officeDocument/2006/relationships/hyperlink" Target="https://twitter.com/johnkitchin" TargetMode="External"/><Relationship Id="rId3614" Type="http://schemas.openxmlformats.org/officeDocument/2006/relationships/hyperlink" Target="https://twitter.com/PyQR" TargetMode="External"/><Relationship Id="rId4945" Type="http://schemas.openxmlformats.org/officeDocument/2006/relationships/hyperlink" Target="https://twitter.com/RealPython" TargetMode="External"/><Relationship Id="rId3613" Type="http://schemas.openxmlformats.org/officeDocument/2006/relationships/hyperlink" Target="https://pbs.twimg.com/profile_images/648912420275154944/Ab4szUPV_normal.jpg" TargetMode="External"/><Relationship Id="rId4944" Type="http://schemas.openxmlformats.org/officeDocument/2006/relationships/hyperlink" Target="https://pbs.twimg.com/profile_images/1469623166/john_kitchin_thumb_normal.jpg" TargetMode="External"/><Relationship Id="rId3616" Type="http://schemas.openxmlformats.org/officeDocument/2006/relationships/hyperlink" Target="https://pbs.twimg.com/profile_images/697722209880707072/SvTOptqw_normal.jpg" TargetMode="External"/><Relationship Id="rId4947" Type="http://schemas.openxmlformats.org/officeDocument/2006/relationships/hyperlink" Target="https://twitter.com/RealPython/status/703022102358544384" TargetMode="External"/><Relationship Id="rId3615" Type="http://schemas.openxmlformats.org/officeDocument/2006/relationships/hyperlink" Target="https://twitter.com/PyQR/status/702950480255840257" TargetMode="External"/><Relationship Id="rId4946" Type="http://schemas.openxmlformats.org/officeDocument/2006/relationships/hyperlink" Target="http://RealPython.com" TargetMode="External"/><Relationship Id="rId3618" Type="http://schemas.openxmlformats.org/officeDocument/2006/relationships/hyperlink" Target="https://twitter.com/techpearce2/status/702950485259624448" TargetMode="External"/><Relationship Id="rId4949" Type="http://schemas.openxmlformats.org/officeDocument/2006/relationships/hyperlink" Target="https://twitter.com/nezchal" TargetMode="External"/><Relationship Id="rId3617" Type="http://schemas.openxmlformats.org/officeDocument/2006/relationships/hyperlink" Target="https://twitter.com/techpearce2" TargetMode="External"/><Relationship Id="rId4948" Type="http://schemas.openxmlformats.org/officeDocument/2006/relationships/hyperlink" Target="https://pbs.twimg.com/profile_images/3312468366/129323224633d71286101d517a2f9817_normal.png" TargetMode="External"/><Relationship Id="rId3619" Type="http://schemas.openxmlformats.org/officeDocument/2006/relationships/hyperlink" Target="https://pbs.twimg.com/profile_images/648912420275154944/Ab4szUPV_normal.jpg" TargetMode="External"/><Relationship Id="rId3610" Type="http://schemas.openxmlformats.org/officeDocument/2006/relationships/hyperlink" Target="https://pbs.twimg.com/profile_images/648912420275154944/Ab4szUPV_normal.jpg" TargetMode="External"/><Relationship Id="rId4941" Type="http://schemas.openxmlformats.org/officeDocument/2006/relationships/hyperlink" Target="https://pbs.twimg.com/profile_images/427667205392973824/Cdkc0BTK_normal.jpeg" TargetMode="External"/><Relationship Id="rId4940" Type="http://schemas.openxmlformats.org/officeDocument/2006/relationships/hyperlink" Target="https://twitter.com/pedrocorreianet/status/703022061313265665" TargetMode="External"/><Relationship Id="rId3601" Type="http://schemas.openxmlformats.org/officeDocument/2006/relationships/hyperlink" Target="https://pbs.twimg.com/profile_images/648912420275154944/Ab4szUPV_normal.jpg" TargetMode="External"/><Relationship Id="rId4932" Type="http://schemas.openxmlformats.org/officeDocument/2006/relationships/hyperlink" Target="https://pbs.twimg.com/profile_images/2813636657/599521f69e2bc210a57323b64d8e39e6_normal.jpeg" TargetMode="External"/><Relationship Id="rId3600" Type="http://schemas.openxmlformats.org/officeDocument/2006/relationships/hyperlink" Target="https://twitter.com/techpearce2/status/702950372470607872" TargetMode="External"/><Relationship Id="rId4931" Type="http://schemas.openxmlformats.org/officeDocument/2006/relationships/hyperlink" Target="http://dlvr.it" TargetMode="External"/><Relationship Id="rId3603" Type="http://schemas.openxmlformats.org/officeDocument/2006/relationships/hyperlink" Target="https://twitter.com/techpearce2/status/702950410630373376" TargetMode="External"/><Relationship Id="rId4934" Type="http://schemas.openxmlformats.org/officeDocument/2006/relationships/hyperlink" Target="https://twitter.com/feliperuhland/status/703021730370076672" TargetMode="External"/><Relationship Id="rId3602" Type="http://schemas.openxmlformats.org/officeDocument/2006/relationships/hyperlink" Target="https://twitter.com/techpearce2" TargetMode="External"/><Relationship Id="rId4933" Type="http://schemas.openxmlformats.org/officeDocument/2006/relationships/hyperlink" Target="https://twitter.com/feliperuhland" TargetMode="External"/><Relationship Id="rId3605" Type="http://schemas.openxmlformats.org/officeDocument/2006/relationships/hyperlink" Target="https://twitter.com/techpearce2" TargetMode="External"/><Relationship Id="rId4936" Type="http://schemas.openxmlformats.org/officeDocument/2006/relationships/hyperlink" Target="https://twitter.com/mthipparthi" TargetMode="External"/><Relationship Id="rId3604" Type="http://schemas.openxmlformats.org/officeDocument/2006/relationships/hyperlink" Target="https://pbs.twimg.com/profile_images/648912420275154944/Ab4szUPV_normal.jpg" TargetMode="External"/><Relationship Id="rId4935" Type="http://schemas.openxmlformats.org/officeDocument/2006/relationships/hyperlink" Target="https://pbs.twimg.com/profile_images/2550911595/3z6ilz9oqe42nvxjebgg_normal.jpeg" TargetMode="External"/><Relationship Id="rId3607" Type="http://schemas.openxmlformats.org/officeDocument/2006/relationships/hyperlink" Target="https://pbs.twimg.com/profile_images/648912420275154944/Ab4szUPV_normal.jpg" TargetMode="External"/><Relationship Id="rId4938" Type="http://schemas.openxmlformats.org/officeDocument/2006/relationships/hyperlink" Target="https://abs.twimg.com/sticky/default_profile_images/default_profile_3_normal.png" TargetMode="External"/><Relationship Id="rId3606" Type="http://schemas.openxmlformats.org/officeDocument/2006/relationships/hyperlink" Target="https://twitter.com/techpearce2/status/702950414988271616" TargetMode="External"/><Relationship Id="rId4937" Type="http://schemas.openxmlformats.org/officeDocument/2006/relationships/hyperlink" Target="https://twitter.com/mthipparthi/status/703022049690673152" TargetMode="External"/><Relationship Id="rId3609" Type="http://schemas.openxmlformats.org/officeDocument/2006/relationships/hyperlink" Target="https://twitter.com/techpearce2/status/702950443354365952" TargetMode="External"/><Relationship Id="rId3608" Type="http://schemas.openxmlformats.org/officeDocument/2006/relationships/hyperlink" Target="https://twitter.com/techpearce2" TargetMode="External"/><Relationship Id="rId4939" Type="http://schemas.openxmlformats.org/officeDocument/2006/relationships/hyperlink" Target="https://twitter.com/pedrocorreianet" TargetMode="External"/><Relationship Id="rId4930" Type="http://schemas.openxmlformats.org/officeDocument/2006/relationships/hyperlink" Target="https://twitter.com/artwisanggeni/status/703021490199867392" TargetMode="External"/><Relationship Id="rId1059" Type="http://schemas.openxmlformats.org/officeDocument/2006/relationships/hyperlink" Target="https://twitter.com/SeiichiShiga/status/702851466369740801" TargetMode="External"/><Relationship Id="rId2380" Type="http://schemas.openxmlformats.org/officeDocument/2006/relationships/hyperlink" Target="http://dlvr.it" TargetMode="External"/><Relationship Id="rId1050" Type="http://schemas.openxmlformats.org/officeDocument/2006/relationships/hyperlink" Target="https://pbs.twimg.com/profile_images/679948461953781761/pDo9356K_normal.jpg" TargetMode="External"/><Relationship Id="rId2381" Type="http://schemas.openxmlformats.org/officeDocument/2006/relationships/hyperlink" Target="https://pbs.twimg.com/profile_images/2813636657/599521f69e2bc210a57323b64d8e39e6_normal.jpeg" TargetMode="External"/><Relationship Id="rId1051" Type="http://schemas.openxmlformats.org/officeDocument/2006/relationships/hyperlink" Target="https://twitter.com/AdWordsJobs" TargetMode="External"/><Relationship Id="rId2382" Type="http://schemas.openxmlformats.org/officeDocument/2006/relationships/hyperlink" Target="https://twitter.com/artwisanggeni" TargetMode="External"/><Relationship Id="rId1052" Type="http://schemas.openxmlformats.org/officeDocument/2006/relationships/hyperlink" Target="https://twitter.com/AdWordsJobs/status/702851083685593089" TargetMode="External"/><Relationship Id="rId2383" Type="http://schemas.openxmlformats.org/officeDocument/2006/relationships/hyperlink" Target="https://twitter.com/artwisanggeni/status/702905700087758849" TargetMode="External"/><Relationship Id="rId1053" Type="http://schemas.openxmlformats.org/officeDocument/2006/relationships/hyperlink" Target="http://dlvr.it" TargetMode="External"/><Relationship Id="rId2384" Type="http://schemas.openxmlformats.org/officeDocument/2006/relationships/hyperlink" Target="http://dlvr.it" TargetMode="External"/><Relationship Id="rId1054" Type="http://schemas.openxmlformats.org/officeDocument/2006/relationships/hyperlink" Target="https://abs.twimg.com/sticky/default_profile_images/default_profile_1_normal.png" TargetMode="External"/><Relationship Id="rId2385" Type="http://schemas.openxmlformats.org/officeDocument/2006/relationships/hyperlink" Target="https://pbs.twimg.com/profile_images/2813636657/599521f69e2bc210a57323b64d8e39e6_normal.jpeg" TargetMode="External"/><Relationship Id="rId1055" Type="http://schemas.openxmlformats.org/officeDocument/2006/relationships/hyperlink" Target="https://twitter.com/MTotolrahaman" TargetMode="External"/><Relationship Id="rId2386" Type="http://schemas.openxmlformats.org/officeDocument/2006/relationships/hyperlink" Target="https://twitter.com/artwisanggeni" TargetMode="External"/><Relationship Id="rId1056" Type="http://schemas.openxmlformats.org/officeDocument/2006/relationships/hyperlink" Target="https://twitter.com/MTotolrahaman/status/702851251529191425" TargetMode="External"/><Relationship Id="rId2387" Type="http://schemas.openxmlformats.org/officeDocument/2006/relationships/hyperlink" Target="https://twitter.com/artwisanggeni/status/702905703254478848" TargetMode="External"/><Relationship Id="rId1057" Type="http://schemas.openxmlformats.org/officeDocument/2006/relationships/hyperlink" Target="https://pbs.twimg.com/profile_images/677493910256484352/-EdVaVPl_normal.jpg" TargetMode="External"/><Relationship Id="rId2388" Type="http://schemas.openxmlformats.org/officeDocument/2006/relationships/hyperlink" Target="http://dlvr.it" TargetMode="External"/><Relationship Id="rId1058" Type="http://schemas.openxmlformats.org/officeDocument/2006/relationships/hyperlink" Target="https://twitter.com/SeiichiShiga" TargetMode="External"/><Relationship Id="rId2389" Type="http://schemas.openxmlformats.org/officeDocument/2006/relationships/hyperlink" Target="https://pbs.twimg.com/profile_images/2813636657/599521f69e2bc210a57323b64d8e39e6_normal.jpeg" TargetMode="External"/><Relationship Id="rId1048" Type="http://schemas.openxmlformats.org/officeDocument/2006/relationships/hyperlink" Target="https://twitter.com/HartwigMicheal" TargetMode="External"/><Relationship Id="rId2379" Type="http://schemas.openxmlformats.org/officeDocument/2006/relationships/hyperlink" Target="https://twitter.com/artwisanggeni/status/702905696937861120" TargetMode="External"/><Relationship Id="rId1049" Type="http://schemas.openxmlformats.org/officeDocument/2006/relationships/hyperlink" Target="https://twitter.com/HartwigMicheal/status/702851014542680064" TargetMode="External"/><Relationship Id="rId2370" Type="http://schemas.openxmlformats.org/officeDocument/2006/relationships/hyperlink" Target="https://twitter.com/artwisanggeni" TargetMode="External"/><Relationship Id="rId1040" Type="http://schemas.openxmlformats.org/officeDocument/2006/relationships/hyperlink" Target="https://twitter.com/MurthyPankaj/status/702850557665419264" TargetMode="External"/><Relationship Id="rId2371" Type="http://schemas.openxmlformats.org/officeDocument/2006/relationships/hyperlink" Target="https://twitter.com/artwisanggeni/status/702905690893910016" TargetMode="External"/><Relationship Id="rId1041" Type="http://schemas.openxmlformats.org/officeDocument/2006/relationships/hyperlink" Target="https://pbs.twimg.com/profile_images/633180535104212992/bQKzeYJE_normal.jpg" TargetMode="External"/><Relationship Id="rId2372" Type="http://schemas.openxmlformats.org/officeDocument/2006/relationships/hyperlink" Target="http://dlvr.it" TargetMode="External"/><Relationship Id="rId1042" Type="http://schemas.openxmlformats.org/officeDocument/2006/relationships/hyperlink" Target="https://twitter.com/SeiichiShiga" TargetMode="External"/><Relationship Id="rId2373" Type="http://schemas.openxmlformats.org/officeDocument/2006/relationships/hyperlink" Target="https://pbs.twimg.com/profile_images/2813636657/599521f69e2bc210a57323b64d8e39e6_normal.jpeg" TargetMode="External"/><Relationship Id="rId1043" Type="http://schemas.openxmlformats.org/officeDocument/2006/relationships/hyperlink" Target="https://twitter.com/SeiichiShiga/status/702850636220493824" TargetMode="External"/><Relationship Id="rId2374" Type="http://schemas.openxmlformats.org/officeDocument/2006/relationships/hyperlink" Target="https://twitter.com/artwisanggeni" TargetMode="External"/><Relationship Id="rId1044" Type="http://schemas.openxmlformats.org/officeDocument/2006/relationships/hyperlink" Target="https://pbs.twimg.com/profile_images/678592301489242113/Sfm3y8Po_normal.jpg" TargetMode="External"/><Relationship Id="rId2375" Type="http://schemas.openxmlformats.org/officeDocument/2006/relationships/hyperlink" Target="https://twitter.com/artwisanggeni/status/702905694526115840" TargetMode="External"/><Relationship Id="rId1045" Type="http://schemas.openxmlformats.org/officeDocument/2006/relationships/hyperlink" Target="https://twitter.com/alterway" TargetMode="External"/><Relationship Id="rId2376" Type="http://schemas.openxmlformats.org/officeDocument/2006/relationships/hyperlink" Target="http://dlvr.it" TargetMode="External"/><Relationship Id="rId1046" Type="http://schemas.openxmlformats.org/officeDocument/2006/relationships/hyperlink" Target="https://twitter.com/alterway/status/702850769410723840" TargetMode="External"/><Relationship Id="rId2377" Type="http://schemas.openxmlformats.org/officeDocument/2006/relationships/hyperlink" Target="https://pbs.twimg.com/profile_images/2813636657/599521f69e2bc210a57323b64d8e39e6_normal.jpeg" TargetMode="External"/><Relationship Id="rId1047" Type="http://schemas.openxmlformats.org/officeDocument/2006/relationships/hyperlink" Target="https://pbs.twimg.com/profile_images/616248033827782657/j7IKYfm1_normal.png" TargetMode="External"/><Relationship Id="rId2378" Type="http://schemas.openxmlformats.org/officeDocument/2006/relationships/hyperlink" Target="https://twitter.com/artwisanggeni" TargetMode="External"/><Relationship Id="rId1070" Type="http://schemas.openxmlformats.org/officeDocument/2006/relationships/hyperlink" Target="https://twitter.com/FreeWebTutor" TargetMode="External"/><Relationship Id="rId1071" Type="http://schemas.openxmlformats.org/officeDocument/2006/relationships/hyperlink" Target="https://twitter.com/FreeWebTutor/status/702852131456491524" TargetMode="External"/><Relationship Id="rId1072" Type="http://schemas.openxmlformats.org/officeDocument/2006/relationships/hyperlink" Target="https://pbs.twimg.com/profile_images/578678371208450048/UWr5BDUJ_normal.png" TargetMode="External"/><Relationship Id="rId1073" Type="http://schemas.openxmlformats.org/officeDocument/2006/relationships/hyperlink" Target="https://twitter.com/kentenglish" TargetMode="External"/><Relationship Id="rId1074" Type="http://schemas.openxmlformats.org/officeDocument/2006/relationships/hyperlink" Target="https://twitter.com/kentenglish/status/702852149080956928" TargetMode="External"/><Relationship Id="rId1075" Type="http://schemas.openxmlformats.org/officeDocument/2006/relationships/hyperlink" Target="https://pbs.twimg.com/profile_images/378800000833064827/ee40e2fe8dc4dbecb0ebd23e25f47e54_normal.jpeg" TargetMode="External"/><Relationship Id="rId1076" Type="http://schemas.openxmlformats.org/officeDocument/2006/relationships/hyperlink" Target="https://twitter.com/anioko1" TargetMode="External"/><Relationship Id="rId1077" Type="http://schemas.openxmlformats.org/officeDocument/2006/relationships/hyperlink" Target="https://twitter.com/anioko1/status/702852371374841856" TargetMode="External"/><Relationship Id="rId1078" Type="http://schemas.openxmlformats.org/officeDocument/2006/relationships/hyperlink" Target="https://pbs.twimg.com/profile_images/695642719948009474/s9J4OUA9_normal.jpg" TargetMode="External"/><Relationship Id="rId1079" Type="http://schemas.openxmlformats.org/officeDocument/2006/relationships/hyperlink" Target="https://twitter.com/pujitkaul" TargetMode="External"/><Relationship Id="rId2390" Type="http://schemas.openxmlformats.org/officeDocument/2006/relationships/hyperlink" Target="https://twitter.com/artwisanggeni" TargetMode="External"/><Relationship Id="rId1060" Type="http://schemas.openxmlformats.org/officeDocument/2006/relationships/hyperlink" Target="https://pbs.twimg.com/profile_images/678592301489242113/Sfm3y8Po_normal.jpg" TargetMode="External"/><Relationship Id="rId2391" Type="http://schemas.openxmlformats.org/officeDocument/2006/relationships/hyperlink" Target="https://twitter.com/artwisanggeni/status/702905705871724544" TargetMode="External"/><Relationship Id="rId1061" Type="http://schemas.openxmlformats.org/officeDocument/2006/relationships/hyperlink" Target="https://twitter.com/taniapaz" TargetMode="External"/><Relationship Id="rId2392" Type="http://schemas.openxmlformats.org/officeDocument/2006/relationships/hyperlink" Target="http://dlvr.it" TargetMode="External"/><Relationship Id="rId1062" Type="http://schemas.openxmlformats.org/officeDocument/2006/relationships/hyperlink" Target="https://twitter.com/taniapaz/status/702851488696156161" TargetMode="External"/><Relationship Id="rId2393" Type="http://schemas.openxmlformats.org/officeDocument/2006/relationships/hyperlink" Target="https://pbs.twimg.com/profile_images/2813636657/599521f69e2bc210a57323b64d8e39e6_normal.jpeg" TargetMode="External"/><Relationship Id="rId1063" Type="http://schemas.openxmlformats.org/officeDocument/2006/relationships/hyperlink" Target="https://pbs.twimg.com/profile_images/2289120803/klh434t6fs1svswctb5u_normal.jpeg" TargetMode="External"/><Relationship Id="rId2394" Type="http://schemas.openxmlformats.org/officeDocument/2006/relationships/hyperlink" Target="https://twitter.com/artwisanggeni" TargetMode="External"/><Relationship Id="rId1064" Type="http://schemas.openxmlformats.org/officeDocument/2006/relationships/hyperlink" Target="https://twitter.com/pythonz_net" TargetMode="External"/><Relationship Id="rId2395" Type="http://schemas.openxmlformats.org/officeDocument/2006/relationships/hyperlink" Target="https://twitter.com/artwisanggeni/status/702905708262481920" TargetMode="External"/><Relationship Id="rId1065" Type="http://schemas.openxmlformats.org/officeDocument/2006/relationships/hyperlink" Target="https://twitter.com/pythonz_net/status/702852029266444288" TargetMode="External"/><Relationship Id="rId2396" Type="http://schemas.openxmlformats.org/officeDocument/2006/relationships/hyperlink" Target="http://dlvr.it" TargetMode="External"/><Relationship Id="rId1066" Type="http://schemas.openxmlformats.org/officeDocument/2006/relationships/hyperlink" Target="https://pbs.twimg.com/profile_images/482561147074129920/Opt5Ssac_normal.png" TargetMode="External"/><Relationship Id="rId2397" Type="http://schemas.openxmlformats.org/officeDocument/2006/relationships/hyperlink" Target="https://pbs.twimg.com/profile_images/2813636657/599521f69e2bc210a57323b64d8e39e6_normal.jpeg" TargetMode="External"/><Relationship Id="rId1067" Type="http://schemas.openxmlformats.org/officeDocument/2006/relationships/hyperlink" Target="https://twitter.com/Ibertech_RRHH" TargetMode="External"/><Relationship Id="rId2398" Type="http://schemas.openxmlformats.org/officeDocument/2006/relationships/hyperlink" Target="https://twitter.com/artwisanggeni" TargetMode="External"/><Relationship Id="rId1068" Type="http://schemas.openxmlformats.org/officeDocument/2006/relationships/hyperlink" Target="https://twitter.com/Ibertech_RRHH/status/702852042700750848" TargetMode="External"/><Relationship Id="rId2399" Type="http://schemas.openxmlformats.org/officeDocument/2006/relationships/hyperlink" Target="https://twitter.com/artwisanggeni/status/702905711110414336" TargetMode="External"/><Relationship Id="rId1069" Type="http://schemas.openxmlformats.org/officeDocument/2006/relationships/hyperlink" Target="https://pbs.twimg.com/profile_images/458985797819973632/5TGWNw8I_normal.jpeg" TargetMode="External"/><Relationship Id="rId1015" Type="http://schemas.openxmlformats.org/officeDocument/2006/relationships/hyperlink" Target="https://twitter.com/mkshpandian" TargetMode="External"/><Relationship Id="rId2346" Type="http://schemas.openxmlformats.org/officeDocument/2006/relationships/hyperlink" Target="https://twitter.com/HartwigMicheal" TargetMode="External"/><Relationship Id="rId3678" Type="http://schemas.openxmlformats.org/officeDocument/2006/relationships/hyperlink" Target="https://pbs.twimg.com/profile_images/652128672078524416/cMCPeb2G_normal.png" TargetMode="External"/><Relationship Id="rId1016" Type="http://schemas.openxmlformats.org/officeDocument/2006/relationships/hyperlink" Target="https://twitter.com/mkshpandian/status/702849169250123777" TargetMode="External"/><Relationship Id="rId2347" Type="http://schemas.openxmlformats.org/officeDocument/2006/relationships/hyperlink" Target="https://twitter.com/HartwigMicheal/status/702904838720462848" TargetMode="External"/><Relationship Id="rId3677" Type="http://schemas.openxmlformats.org/officeDocument/2006/relationships/hyperlink" Target="https://twitter.com/sixfeetup/status/702952701534064640" TargetMode="External"/><Relationship Id="rId1017" Type="http://schemas.openxmlformats.org/officeDocument/2006/relationships/hyperlink" Target="https://pbs.twimg.com/profile_images/633179249176801280/F-VEJzR8_normal.jpg" TargetMode="External"/><Relationship Id="rId2348" Type="http://schemas.openxmlformats.org/officeDocument/2006/relationships/hyperlink" Target="https://pbs.twimg.com/profile_images/679948461953781761/pDo9356K_normal.jpg" TargetMode="External"/><Relationship Id="rId1018" Type="http://schemas.openxmlformats.org/officeDocument/2006/relationships/hyperlink" Target="https://twitter.com/tek_news" TargetMode="External"/><Relationship Id="rId2349" Type="http://schemas.openxmlformats.org/officeDocument/2006/relationships/hyperlink" Target="https://twitter.com/HartwigMicheal" TargetMode="External"/><Relationship Id="rId3679" Type="http://schemas.openxmlformats.org/officeDocument/2006/relationships/hyperlink" Target="https://twitter.com/AdamSmitht1" TargetMode="External"/><Relationship Id="rId1019" Type="http://schemas.openxmlformats.org/officeDocument/2006/relationships/hyperlink" Target="https://twitter.com/tek_news/status/702849290935341056" TargetMode="External"/><Relationship Id="rId3670" Type="http://schemas.openxmlformats.org/officeDocument/2006/relationships/hyperlink" Target="https://twitter.com/robertkern/status/702952576552075265" TargetMode="External"/><Relationship Id="rId2340" Type="http://schemas.openxmlformats.org/officeDocument/2006/relationships/hyperlink" Target="https://twitter.com/ActiveState" TargetMode="External"/><Relationship Id="rId3672" Type="http://schemas.openxmlformats.org/officeDocument/2006/relationships/hyperlink" Target="https://twitter.com/unwiredasia" TargetMode="External"/><Relationship Id="rId1010" Type="http://schemas.openxmlformats.org/officeDocument/2006/relationships/hyperlink" Target="https://twitter.com/mkshpandian/status/702849109523234816" TargetMode="External"/><Relationship Id="rId2341" Type="http://schemas.openxmlformats.org/officeDocument/2006/relationships/hyperlink" Target="https://twitter.com/ActiveState/status/702904632151023617" TargetMode="External"/><Relationship Id="rId3671" Type="http://schemas.openxmlformats.org/officeDocument/2006/relationships/hyperlink" Target="https://pbs.twimg.com/profile_images/598395061563305984/Tow5EFlS_normal.jpg" TargetMode="External"/><Relationship Id="rId1011" Type="http://schemas.openxmlformats.org/officeDocument/2006/relationships/hyperlink" Target="https://pbs.twimg.com/profile_images/633179249176801280/F-VEJzR8_normal.jpg" TargetMode="External"/><Relationship Id="rId2342" Type="http://schemas.openxmlformats.org/officeDocument/2006/relationships/hyperlink" Target="https://pbs.twimg.com/profile_images/638517122973372420/ArY7I-Q6_normal.png" TargetMode="External"/><Relationship Id="rId3674" Type="http://schemas.openxmlformats.org/officeDocument/2006/relationships/hyperlink" Target="http://Paper.li" TargetMode="External"/><Relationship Id="rId1012" Type="http://schemas.openxmlformats.org/officeDocument/2006/relationships/hyperlink" Target="https://twitter.com/mkshpandian" TargetMode="External"/><Relationship Id="rId2343" Type="http://schemas.openxmlformats.org/officeDocument/2006/relationships/hyperlink" Target="https://twitter.com/helloworldshow" TargetMode="External"/><Relationship Id="rId3673" Type="http://schemas.openxmlformats.org/officeDocument/2006/relationships/hyperlink" Target="https://twitter.com/unwiredasia/status/702952588405313536" TargetMode="External"/><Relationship Id="rId1013" Type="http://schemas.openxmlformats.org/officeDocument/2006/relationships/hyperlink" Target="https://twitter.com/mkshpandian/status/702849149528440832" TargetMode="External"/><Relationship Id="rId2344" Type="http://schemas.openxmlformats.org/officeDocument/2006/relationships/hyperlink" Target="https://twitter.com/helloworldshow/status/702904650727624711" TargetMode="External"/><Relationship Id="rId3676" Type="http://schemas.openxmlformats.org/officeDocument/2006/relationships/hyperlink" Target="https://twitter.com/sixfeetup" TargetMode="External"/><Relationship Id="rId1014" Type="http://schemas.openxmlformats.org/officeDocument/2006/relationships/hyperlink" Target="https://pbs.twimg.com/profile_images/633179249176801280/F-VEJzR8_normal.jpg" TargetMode="External"/><Relationship Id="rId2345" Type="http://schemas.openxmlformats.org/officeDocument/2006/relationships/hyperlink" Target="https://pbs.twimg.com/profile_images/610153128227414016/yIRf6Nvm_normal.png" TargetMode="External"/><Relationship Id="rId3675" Type="http://schemas.openxmlformats.org/officeDocument/2006/relationships/hyperlink" Target="https://pbs.twimg.com/profile_images/1166430084/qrcode.v1.2_normal.jpg" TargetMode="External"/><Relationship Id="rId1004" Type="http://schemas.openxmlformats.org/officeDocument/2006/relationships/hyperlink" Target="https://twitter.com/mkshpandian/status/702849033291739136" TargetMode="External"/><Relationship Id="rId2335" Type="http://schemas.openxmlformats.org/officeDocument/2006/relationships/hyperlink" Target="https://twitter.com/BigDataTweetBot/status/702903755507892225" TargetMode="External"/><Relationship Id="rId3667" Type="http://schemas.openxmlformats.org/officeDocument/2006/relationships/hyperlink" Target="https://twitter.com/HartwigMicheal/status/702952561159094272" TargetMode="External"/><Relationship Id="rId4998" Type="http://schemas.openxmlformats.org/officeDocument/2006/relationships/hyperlink" Target="https://twitter.com/DigiNomadNation" TargetMode="External"/><Relationship Id="rId1005" Type="http://schemas.openxmlformats.org/officeDocument/2006/relationships/hyperlink" Target="https://pbs.twimg.com/profile_images/633179249176801280/F-VEJzR8_normal.jpg" TargetMode="External"/><Relationship Id="rId2336" Type="http://schemas.openxmlformats.org/officeDocument/2006/relationships/hyperlink" Target="https://pbs.twimg.com/profile_images/616793252524650496/bQbxJqmz_normal.jpg" TargetMode="External"/><Relationship Id="rId3666" Type="http://schemas.openxmlformats.org/officeDocument/2006/relationships/hyperlink" Target="https://twitter.com/HartwigMicheal" TargetMode="External"/><Relationship Id="rId4997" Type="http://schemas.openxmlformats.org/officeDocument/2006/relationships/hyperlink" Target="https://pbs.twimg.com/profile_images/499257180009529344/CSWhr7LZ_normal.jpeg" TargetMode="External"/><Relationship Id="rId1006" Type="http://schemas.openxmlformats.org/officeDocument/2006/relationships/hyperlink" Target="https://twitter.com/mkshpandian" TargetMode="External"/><Relationship Id="rId2337" Type="http://schemas.openxmlformats.org/officeDocument/2006/relationships/hyperlink" Target="https://twitter.com/STATCowboy" TargetMode="External"/><Relationship Id="rId3669" Type="http://schemas.openxmlformats.org/officeDocument/2006/relationships/hyperlink" Target="https://twitter.com/robertkern" TargetMode="External"/><Relationship Id="rId1007" Type="http://schemas.openxmlformats.org/officeDocument/2006/relationships/hyperlink" Target="https://twitter.com/mkshpandian/status/702849094620807168" TargetMode="External"/><Relationship Id="rId2338" Type="http://schemas.openxmlformats.org/officeDocument/2006/relationships/hyperlink" Target="https://twitter.com/STATCowboy/status/702904570578481152" TargetMode="External"/><Relationship Id="rId3668" Type="http://schemas.openxmlformats.org/officeDocument/2006/relationships/hyperlink" Target="https://pbs.twimg.com/profile_images/679948461953781761/pDo9356K_normal.jpg" TargetMode="External"/><Relationship Id="rId4999" Type="http://schemas.openxmlformats.org/officeDocument/2006/relationships/hyperlink" Target="https://twitter.com/DigiNomadNation/status/703025201991323648" TargetMode="External"/><Relationship Id="rId1008" Type="http://schemas.openxmlformats.org/officeDocument/2006/relationships/hyperlink" Target="https://pbs.twimg.com/profile_images/633179249176801280/F-VEJzR8_normal.jpg" TargetMode="External"/><Relationship Id="rId2339" Type="http://schemas.openxmlformats.org/officeDocument/2006/relationships/hyperlink" Target="https://pbs.twimg.com/profile_images/689480986560561152/dXVb8ybD_normal.jpg" TargetMode="External"/><Relationship Id="rId1009" Type="http://schemas.openxmlformats.org/officeDocument/2006/relationships/hyperlink" Target="https://twitter.com/mkshpandian" TargetMode="External"/><Relationship Id="rId4990" Type="http://schemas.openxmlformats.org/officeDocument/2006/relationships/hyperlink" Target="https://twitter.com/cah_anom/status/703024884792688640" TargetMode="External"/><Relationship Id="rId3661" Type="http://schemas.openxmlformats.org/officeDocument/2006/relationships/hyperlink" Target="https://twitter.com/mattmcd/status/702952272389677057" TargetMode="External"/><Relationship Id="rId4992" Type="http://schemas.openxmlformats.org/officeDocument/2006/relationships/hyperlink" Target="https://twitter.com/aaronchall" TargetMode="External"/><Relationship Id="rId2330" Type="http://schemas.openxmlformats.org/officeDocument/2006/relationships/hyperlink" Target="https://pbs.twimg.com/profile_images/481334978161029120/iu3zZFEk_normal.png" TargetMode="External"/><Relationship Id="rId3660" Type="http://schemas.openxmlformats.org/officeDocument/2006/relationships/hyperlink" Target="https://twitter.com/mattmcd" TargetMode="External"/><Relationship Id="rId4991" Type="http://schemas.openxmlformats.org/officeDocument/2006/relationships/hyperlink" Target="https://pbs.twimg.com/profile_images/603265046479642624/EswzTJd1_normal.jpg" TargetMode="External"/><Relationship Id="rId1000" Type="http://schemas.openxmlformats.org/officeDocument/2006/relationships/hyperlink" Target="https://twitter.com/anubhav1691" TargetMode="External"/><Relationship Id="rId2331" Type="http://schemas.openxmlformats.org/officeDocument/2006/relationships/hyperlink" Target="https://twitter.com/JSUSolutions" TargetMode="External"/><Relationship Id="rId3663" Type="http://schemas.openxmlformats.org/officeDocument/2006/relationships/hyperlink" Target="https://twitter.com/javascriptd" TargetMode="External"/><Relationship Id="rId4994" Type="http://schemas.openxmlformats.org/officeDocument/2006/relationships/hyperlink" Target="https://pbs.twimg.com/profile_images/1409710317/fsuprofilecyangreydarker_normal.jpg" TargetMode="External"/><Relationship Id="rId1001" Type="http://schemas.openxmlformats.org/officeDocument/2006/relationships/hyperlink" Target="https://twitter.com/anubhav1691/status/702848567648636930" TargetMode="External"/><Relationship Id="rId2332" Type="http://schemas.openxmlformats.org/officeDocument/2006/relationships/hyperlink" Target="https://twitter.com/JSUSolutions/status/702903753360416768" TargetMode="External"/><Relationship Id="rId3662" Type="http://schemas.openxmlformats.org/officeDocument/2006/relationships/hyperlink" Target="https://pbs.twimg.com/profile_images/1401189383/me_skecth_no2_dark_800x800_normal.jpg" TargetMode="External"/><Relationship Id="rId4993" Type="http://schemas.openxmlformats.org/officeDocument/2006/relationships/hyperlink" Target="https://twitter.com/aaronchall/status/703024988383809541" TargetMode="External"/><Relationship Id="rId1002" Type="http://schemas.openxmlformats.org/officeDocument/2006/relationships/hyperlink" Target="https://pbs.twimg.com/profile_images/669412401880702976/wHvz5pPD_normal.jpg" TargetMode="External"/><Relationship Id="rId2333" Type="http://schemas.openxmlformats.org/officeDocument/2006/relationships/hyperlink" Target="https://pbs.twimg.com/profile_images/537012828163424256/VkjtEnGA_normal.jpeg" TargetMode="External"/><Relationship Id="rId3665" Type="http://schemas.openxmlformats.org/officeDocument/2006/relationships/hyperlink" Target="https://pbs.twimg.com/profile_images/544034757730779136/-jOL7GnN_normal.jpeg" TargetMode="External"/><Relationship Id="rId4996" Type="http://schemas.openxmlformats.org/officeDocument/2006/relationships/hyperlink" Target="https://twitter.com/NoSQLDigest/status/703025137252069376" TargetMode="External"/><Relationship Id="rId1003" Type="http://schemas.openxmlformats.org/officeDocument/2006/relationships/hyperlink" Target="https://twitter.com/mkshpandian" TargetMode="External"/><Relationship Id="rId2334" Type="http://schemas.openxmlformats.org/officeDocument/2006/relationships/hyperlink" Target="https://twitter.com/BigDataTweetBot" TargetMode="External"/><Relationship Id="rId3664" Type="http://schemas.openxmlformats.org/officeDocument/2006/relationships/hyperlink" Target="https://twitter.com/javascriptd/status/702952362097283074" TargetMode="External"/><Relationship Id="rId4995" Type="http://schemas.openxmlformats.org/officeDocument/2006/relationships/hyperlink" Target="https://twitter.com/NoSQLDigest" TargetMode="External"/><Relationship Id="rId1037" Type="http://schemas.openxmlformats.org/officeDocument/2006/relationships/hyperlink" Target="https://twitter.com/MurthyPankaj/status/702850539818594304" TargetMode="External"/><Relationship Id="rId2368" Type="http://schemas.openxmlformats.org/officeDocument/2006/relationships/hyperlink" Target="https://twitter.com/tenzkunkyab/status/702905419023278080" TargetMode="External"/><Relationship Id="rId1038" Type="http://schemas.openxmlformats.org/officeDocument/2006/relationships/hyperlink" Target="https://pbs.twimg.com/profile_images/633180535104212992/bQKzeYJE_normal.jpg" TargetMode="External"/><Relationship Id="rId2369" Type="http://schemas.openxmlformats.org/officeDocument/2006/relationships/hyperlink" Target="https://pbs.twimg.com/profile_images/622282440778739712/gElxj9i4_normal.jpg" TargetMode="External"/><Relationship Id="rId3699" Type="http://schemas.openxmlformats.org/officeDocument/2006/relationships/hyperlink" Target="https://pbs.twimg.com/profile_images/578962206148157440/lovL3qr7_normal.jpeg" TargetMode="External"/><Relationship Id="rId1039" Type="http://schemas.openxmlformats.org/officeDocument/2006/relationships/hyperlink" Target="https://twitter.com/MurthyPankaj" TargetMode="External"/><Relationship Id="rId3690" Type="http://schemas.openxmlformats.org/officeDocument/2006/relationships/hyperlink" Target="https://pbs.twimg.com/profile_images/1401189383/me_skecth_no2_dark_800x800_normal.jpg" TargetMode="External"/><Relationship Id="rId2360" Type="http://schemas.openxmlformats.org/officeDocument/2006/relationships/hyperlink" Target="https://pbs.twimg.com/profile_images/677493910256484352/-EdVaVPl_normal.jpg" TargetMode="External"/><Relationship Id="rId3692" Type="http://schemas.openxmlformats.org/officeDocument/2006/relationships/hyperlink" Target="https://twitter.com/fornarifabio/status/702953214870757377" TargetMode="External"/><Relationship Id="rId1030" Type="http://schemas.openxmlformats.org/officeDocument/2006/relationships/hyperlink" Target="https://twitter.com/MurthyPankaj" TargetMode="External"/><Relationship Id="rId2361" Type="http://schemas.openxmlformats.org/officeDocument/2006/relationships/hyperlink" Target="https://twitter.com/BlueprintRobots" TargetMode="External"/><Relationship Id="rId3691" Type="http://schemas.openxmlformats.org/officeDocument/2006/relationships/hyperlink" Target="https://twitter.com/fornarifabio" TargetMode="External"/><Relationship Id="rId1031" Type="http://schemas.openxmlformats.org/officeDocument/2006/relationships/hyperlink" Target="https://twitter.com/MurthyPankaj/status/702850436638715908" TargetMode="External"/><Relationship Id="rId2362" Type="http://schemas.openxmlformats.org/officeDocument/2006/relationships/hyperlink" Target="https://twitter.com/BlueprintRobots/status/702905227717025792" TargetMode="External"/><Relationship Id="rId3694" Type="http://schemas.openxmlformats.org/officeDocument/2006/relationships/hyperlink" Target="https://twitter.com/FerreraEnrico" TargetMode="External"/><Relationship Id="rId1032" Type="http://schemas.openxmlformats.org/officeDocument/2006/relationships/hyperlink" Target="https://pbs.twimg.com/profile_images/633180535104212992/bQKzeYJE_normal.jpg" TargetMode="External"/><Relationship Id="rId2363" Type="http://schemas.openxmlformats.org/officeDocument/2006/relationships/hyperlink" Target="https://pbs.twimg.com/profile_images/634840126007414784/bplu5WIw_normal.jpg" TargetMode="External"/><Relationship Id="rId3693" Type="http://schemas.openxmlformats.org/officeDocument/2006/relationships/hyperlink" Target="https://pbs.twimg.com/profile_images/689551270831587332/2GaIOoRY_normal.png" TargetMode="External"/><Relationship Id="rId1033" Type="http://schemas.openxmlformats.org/officeDocument/2006/relationships/hyperlink" Target="https://twitter.com/MurthyPankaj" TargetMode="External"/><Relationship Id="rId2364" Type="http://schemas.openxmlformats.org/officeDocument/2006/relationships/hyperlink" Target="https://twitter.com/zandotnt" TargetMode="External"/><Relationship Id="rId3696" Type="http://schemas.openxmlformats.org/officeDocument/2006/relationships/hyperlink" Target="https://pbs.twimg.com/profile_images/571071349678825472/48vu7Bw2_normal.png" TargetMode="External"/><Relationship Id="rId1034" Type="http://schemas.openxmlformats.org/officeDocument/2006/relationships/hyperlink" Target="https://twitter.com/MurthyPankaj/status/702850490749431809" TargetMode="External"/><Relationship Id="rId2365" Type="http://schemas.openxmlformats.org/officeDocument/2006/relationships/hyperlink" Target="https://twitter.com/zandotnt/status/702905305206759425" TargetMode="External"/><Relationship Id="rId3695" Type="http://schemas.openxmlformats.org/officeDocument/2006/relationships/hyperlink" Target="https://twitter.com/FerreraEnrico/status/702953469783777280" TargetMode="External"/><Relationship Id="rId1035" Type="http://schemas.openxmlformats.org/officeDocument/2006/relationships/hyperlink" Target="https://pbs.twimg.com/profile_images/633180535104212992/bQKzeYJE_normal.jpg" TargetMode="External"/><Relationship Id="rId2366" Type="http://schemas.openxmlformats.org/officeDocument/2006/relationships/hyperlink" Target="https://pbs.twimg.com/profile_images/3380008929/23876386960399f1d72274e4f134b9c9_normal.png" TargetMode="External"/><Relationship Id="rId3698" Type="http://schemas.openxmlformats.org/officeDocument/2006/relationships/hyperlink" Target="https://twitter.com/CientiH/status/702953640609374208" TargetMode="External"/><Relationship Id="rId1036" Type="http://schemas.openxmlformats.org/officeDocument/2006/relationships/hyperlink" Target="https://twitter.com/MurthyPankaj" TargetMode="External"/><Relationship Id="rId2367" Type="http://schemas.openxmlformats.org/officeDocument/2006/relationships/hyperlink" Target="https://twitter.com/tenzkunkyab" TargetMode="External"/><Relationship Id="rId3697" Type="http://schemas.openxmlformats.org/officeDocument/2006/relationships/hyperlink" Target="https://twitter.com/CientiH" TargetMode="External"/><Relationship Id="rId1026" Type="http://schemas.openxmlformats.org/officeDocument/2006/relationships/hyperlink" Target="https://pbs.twimg.com/profile_images/689552240554700800/Ac4SEGSJ_normal.jpg" TargetMode="External"/><Relationship Id="rId2357" Type="http://schemas.openxmlformats.org/officeDocument/2006/relationships/hyperlink" Target="https://pbs.twimg.com/profile_images/677493910256484352/-EdVaVPl_normal.jpg" TargetMode="External"/><Relationship Id="rId3689" Type="http://schemas.openxmlformats.org/officeDocument/2006/relationships/hyperlink" Target="https://twitter.com/mattmcd/status/702952944581406720" TargetMode="External"/><Relationship Id="rId1027" Type="http://schemas.openxmlformats.org/officeDocument/2006/relationships/hyperlink" Target="https://twitter.com/adiverrec" TargetMode="External"/><Relationship Id="rId2358" Type="http://schemas.openxmlformats.org/officeDocument/2006/relationships/hyperlink" Target="https://twitter.com/MTotolrahaman" TargetMode="External"/><Relationship Id="rId3688" Type="http://schemas.openxmlformats.org/officeDocument/2006/relationships/hyperlink" Target="https://twitter.com/mattmcd" TargetMode="External"/><Relationship Id="rId1028" Type="http://schemas.openxmlformats.org/officeDocument/2006/relationships/hyperlink" Target="https://twitter.com/adiverrec/status/702849786676961280" TargetMode="External"/><Relationship Id="rId2359" Type="http://schemas.openxmlformats.org/officeDocument/2006/relationships/hyperlink" Target="https://twitter.com/MTotolrahaman/status/702905201666162688" TargetMode="External"/><Relationship Id="rId1029" Type="http://schemas.openxmlformats.org/officeDocument/2006/relationships/hyperlink" Target="https://pbs.twimg.com/profile_images/689552240554700800/Ac4SEGSJ_normal.jpg" TargetMode="External"/><Relationship Id="rId3681" Type="http://schemas.openxmlformats.org/officeDocument/2006/relationships/hyperlink" Target="https://pbs.twimg.com/profile_images/671623862916812800/yGsDKiP4_normal.jpg" TargetMode="External"/><Relationship Id="rId2350" Type="http://schemas.openxmlformats.org/officeDocument/2006/relationships/hyperlink" Target="https://twitter.com/HartwigMicheal/status/702904842709286912" TargetMode="External"/><Relationship Id="rId3680" Type="http://schemas.openxmlformats.org/officeDocument/2006/relationships/hyperlink" Target="https://twitter.com/AdamSmitht1/status/702952721264017409" TargetMode="External"/><Relationship Id="rId1020" Type="http://schemas.openxmlformats.org/officeDocument/2006/relationships/hyperlink" Target="https://pbs.twimg.com/profile_images/512625755/icon_normal.gif" TargetMode="External"/><Relationship Id="rId2351" Type="http://schemas.openxmlformats.org/officeDocument/2006/relationships/hyperlink" Target="https://pbs.twimg.com/profile_images/679948461953781761/pDo9356K_normal.jpg" TargetMode="External"/><Relationship Id="rId3683" Type="http://schemas.openxmlformats.org/officeDocument/2006/relationships/hyperlink" Target="https://twitter.com/cristian_veiga/status/702952741023440896" TargetMode="External"/><Relationship Id="rId1021" Type="http://schemas.openxmlformats.org/officeDocument/2006/relationships/hyperlink" Target="https://twitter.com/pvergain" TargetMode="External"/><Relationship Id="rId2352" Type="http://schemas.openxmlformats.org/officeDocument/2006/relationships/hyperlink" Target="https://twitter.com/TreblePR" TargetMode="External"/><Relationship Id="rId3682" Type="http://schemas.openxmlformats.org/officeDocument/2006/relationships/hyperlink" Target="https://twitter.com/cristian_veiga" TargetMode="External"/><Relationship Id="rId1022" Type="http://schemas.openxmlformats.org/officeDocument/2006/relationships/hyperlink" Target="https://twitter.com/pvergain/status/702849643634421762" TargetMode="External"/><Relationship Id="rId2353" Type="http://schemas.openxmlformats.org/officeDocument/2006/relationships/hyperlink" Target="https://twitter.com/TreblePR/status/702904893204344832" TargetMode="External"/><Relationship Id="rId3685" Type="http://schemas.openxmlformats.org/officeDocument/2006/relationships/hyperlink" Target="https://twitter.com/MTotolrahaman" TargetMode="External"/><Relationship Id="rId1023" Type="http://schemas.openxmlformats.org/officeDocument/2006/relationships/hyperlink" Target="https://pbs.twimg.com/profile_images/528272392766779392/5AeOFtlc_normal.jpeg" TargetMode="External"/><Relationship Id="rId2354" Type="http://schemas.openxmlformats.org/officeDocument/2006/relationships/hyperlink" Target="https://pbs.twimg.com/profile_images/519995187557171200/hNiBd3Qa_normal.png" TargetMode="External"/><Relationship Id="rId3684" Type="http://schemas.openxmlformats.org/officeDocument/2006/relationships/hyperlink" Target="https://pbs.twimg.com/profile_images/497667175508111360/8T04r9jQ_normal.jpeg" TargetMode="External"/><Relationship Id="rId1024" Type="http://schemas.openxmlformats.org/officeDocument/2006/relationships/hyperlink" Target="https://twitter.com/adiverrec" TargetMode="External"/><Relationship Id="rId2355" Type="http://schemas.openxmlformats.org/officeDocument/2006/relationships/hyperlink" Target="https://twitter.com/MTotolrahaman" TargetMode="External"/><Relationship Id="rId3687" Type="http://schemas.openxmlformats.org/officeDocument/2006/relationships/hyperlink" Target="https://pbs.twimg.com/profile_images/677493910256484352/-EdVaVPl_normal.jpg" TargetMode="External"/><Relationship Id="rId1025" Type="http://schemas.openxmlformats.org/officeDocument/2006/relationships/hyperlink" Target="https://twitter.com/adiverrec/status/702849755299385344" TargetMode="External"/><Relationship Id="rId2356" Type="http://schemas.openxmlformats.org/officeDocument/2006/relationships/hyperlink" Target="https://twitter.com/MTotolrahaman/status/702905196104572928" TargetMode="External"/><Relationship Id="rId3686" Type="http://schemas.openxmlformats.org/officeDocument/2006/relationships/hyperlink" Target="https://twitter.com/MTotolrahaman/status/702952817745645568" TargetMode="External"/><Relationship Id="rId8529" Type="http://schemas.openxmlformats.org/officeDocument/2006/relationships/hyperlink" Target="https://twitter.com/LfrancoPC" TargetMode="External"/><Relationship Id="rId8528" Type="http://schemas.openxmlformats.org/officeDocument/2006/relationships/hyperlink" Target="https://pbs.twimg.com/profile_images/1956395739/56358390A_normal.jpg" TargetMode="External"/><Relationship Id="rId8523" Type="http://schemas.openxmlformats.org/officeDocument/2006/relationships/hyperlink" Target="https://twitter.com/randal_olson" TargetMode="External"/><Relationship Id="rId8522" Type="http://schemas.openxmlformats.org/officeDocument/2006/relationships/hyperlink" Target="https://pbs.twimg.com/profile_images/699346596568424448/xLnJn2nY_normal.png" TargetMode="External"/><Relationship Id="rId8521" Type="http://schemas.openxmlformats.org/officeDocument/2006/relationships/hyperlink" Target="https://twitter.com/NeuvooSeattle/status/703237823185461250" TargetMode="External"/><Relationship Id="rId8520" Type="http://schemas.openxmlformats.org/officeDocument/2006/relationships/hyperlink" Target="https://twitter.com/NeuvooSeattle" TargetMode="External"/><Relationship Id="rId8527" Type="http://schemas.openxmlformats.org/officeDocument/2006/relationships/hyperlink" Target="https://twitter.com/MikeHerman/status/703237978059968512" TargetMode="External"/><Relationship Id="rId8526" Type="http://schemas.openxmlformats.org/officeDocument/2006/relationships/hyperlink" Target="https://twitter.com/MikeHerman" TargetMode="External"/><Relationship Id="rId8525" Type="http://schemas.openxmlformats.org/officeDocument/2006/relationships/hyperlink" Target="https://pbs.twimg.com/profile_images/618964235779862528/nLQhBWfq_normal.jpg" TargetMode="External"/><Relationship Id="rId8524" Type="http://schemas.openxmlformats.org/officeDocument/2006/relationships/hyperlink" Target="https://twitter.com/randal_olson/status/703237904407998465" TargetMode="External"/><Relationship Id="rId8519" Type="http://schemas.openxmlformats.org/officeDocument/2006/relationships/hyperlink" Target="https://pbs.twimg.com/profile_images/378800000851637724/f63e3df9e7e805435143a43ebcf94e56_normal.jpeg" TargetMode="External"/><Relationship Id="rId8518" Type="http://schemas.openxmlformats.org/officeDocument/2006/relationships/hyperlink" Target="https://twitter.com/brantfaircloth/status/703237821398646784" TargetMode="External"/><Relationship Id="rId8517" Type="http://schemas.openxmlformats.org/officeDocument/2006/relationships/hyperlink" Target="https://twitter.com/brantfaircloth" TargetMode="External"/><Relationship Id="rId8512" Type="http://schemas.openxmlformats.org/officeDocument/2006/relationships/hyperlink" Target="https://twitter.com/guidodeckstein/status/703237406108033025" TargetMode="External"/><Relationship Id="rId8511" Type="http://schemas.openxmlformats.org/officeDocument/2006/relationships/hyperlink" Target="https://twitter.com/guidodeckstein" TargetMode="External"/><Relationship Id="rId8510" Type="http://schemas.openxmlformats.org/officeDocument/2006/relationships/hyperlink" Target="https://pbs.twimg.com/profile_images/633975850325544960/jDvgnbeQ_normal.jpg" TargetMode="External"/><Relationship Id="rId8516" Type="http://schemas.openxmlformats.org/officeDocument/2006/relationships/hyperlink" Target="https://pbs.twimg.com/profile_images/573703400522706945/iP-c63Fr_normal.jpeg" TargetMode="External"/><Relationship Id="rId8515" Type="http://schemas.openxmlformats.org/officeDocument/2006/relationships/hyperlink" Target="https://twitter.com/Gayathri_raj/status/703237612702576640" TargetMode="External"/><Relationship Id="rId8514" Type="http://schemas.openxmlformats.org/officeDocument/2006/relationships/hyperlink" Target="https://twitter.com/Gayathri_raj" TargetMode="External"/><Relationship Id="rId8513" Type="http://schemas.openxmlformats.org/officeDocument/2006/relationships/hyperlink" Target="https://pbs.twimg.com/profile_images/673873682167635968/8FdwYum0_normal.jpg" TargetMode="External"/><Relationship Id="rId7219" Type="http://schemas.openxmlformats.org/officeDocument/2006/relationships/hyperlink" Target="https://twitter.com/artwisanggeni" TargetMode="External"/><Relationship Id="rId7210" Type="http://schemas.openxmlformats.org/officeDocument/2006/relationships/hyperlink" Target="https://pbs.twimg.com/profile_images/2813636657/599521f69e2bc210a57323b64d8e39e6_normal.jpeg" TargetMode="External"/><Relationship Id="rId8541" Type="http://schemas.openxmlformats.org/officeDocument/2006/relationships/hyperlink" Target="https://twitter.com/wx_chip" TargetMode="External"/><Relationship Id="rId8540" Type="http://schemas.openxmlformats.org/officeDocument/2006/relationships/hyperlink" Target="https://pbs.twimg.com/profile_images/475406503717769216/94TwYr8K_normal.jpeg" TargetMode="External"/><Relationship Id="rId7214" Type="http://schemas.openxmlformats.org/officeDocument/2006/relationships/hyperlink" Target="https://pbs.twimg.com/profile_images/2813636657/599521f69e2bc210a57323b64d8e39e6_normal.jpeg" TargetMode="External"/><Relationship Id="rId8545" Type="http://schemas.openxmlformats.org/officeDocument/2006/relationships/hyperlink" Target="https://twitter.com/I_am_programer/status/703238265554522112" TargetMode="External"/><Relationship Id="rId7213" Type="http://schemas.openxmlformats.org/officeDocument/2006/relationships/hyperlink" Target="http://dlvr.it" TargetMode="External"/><Relationship Id="rId8544" Type="http://schemas.openxmlformats.org/officeDocument/2006/relationships/hyperlink" Target="https://twitter.com/I_am_programer" TargetMode="External"/><Relationship Id="rId7212" Type="http://schemas.openxmlformats.org/officeDocument/2006/relationships/hyperlink" Target="https://twitter.com/artwisanggeni/status/703175481357524992" TargetMode="External"/><Relationship Id="rId8543" Type="http://schemas.openxmlformats.org/officeDocument/2006/relationships/hyperlink" Target="https://pbs.twimg.com/profile_images/583670666131443713/lAgZXpMb_normal.jpg" TargetMode="External"/><Relationship Id="rId7211" Type="http://schemas.openxmlformats.org/officeDocument/2006/relationships/hyperlink" Target="https://twitter.com/artwisanggeni" TargetMode="External"/><Relationship Id="rId8542" Type="http://schemas.openxmlformats.org/officeDocument/2006/relationships/hyperlink" Target="https://twitter.com/wx_chip/status/703238210390986752" TargetMode="External"/><Relationship Id="rId7218" Type="http://schemas.openxmlformats.org/officeDocument/2006/relationships/hyperlink" Target="https://pbs.twimg.com/profile_images/2813636657/599521f69e2bc210a57323b64d8e39e6_normal.jpeg" TargetMode="External"/><Relationship Id="rId8549" Type="http://schemas.openxmlformats.org/officeDocument/2006/relationships/hyperlink" Target="https://pbs.twimg.com/profile_images/518809184800755714/nqzuGebB_normal.png" TargetMode="External"/><Relationship Id="rId7217" Type="http://schemas.openxmlformats.org/officeDocument/2006/relationships/hyperlink" Target="http://dlvr.it" TargetMode="External"/><Relationship Id="rId8548" Type="http://schemas.openxmlformats.org/officeDocument/2006/relationships/hyperlink" Target="https://twitter.com/im_a_developer/status/703238265692889088" TargetMode="External"/><Relationship Id="rId7216" Type="http://schemas.openxmlformats.org/officeDocument/2006/relationships/hyperlink" Target="https://twitter.com/artwisanggeni/status/703175486839455744" TargetMode="External"/><Relationship Id="rId8547" Type="http://schemas.openxmlformats.org/officeDocument/2006/relationships/hyperlink" Target="https://twitter.com/im_a_developer" TargetMode="External"/><Relationship Id="rId7215" Type="http://schemas.openxmlformats.org/officeDocument/2006/relationships/hyperlink" Target="https://twitter.com/artwisanggeni" TargetMode="External"/><Relationship Id="rId8546" Type="http://schemas.openxmlformats.org/officeDocument/2006/relationships/hyperlink" Target="https://pbs.twimg.com/profile_images/641549745039650816/L2NuMBtx_normal.jpg" TargetMode="External"/><Relationship Id="rId7209" Type="http://schemas.openxmlformats.org/officeDocument/2006/relationships/hyperlink" Target="http://dlvr.it" TargetMode="External"/><Relationship Id="rId7208" Type="http://schemas.openxmlformats.org/officeDocument/2006/relationships/hyperlink" Target="https://twitter.com/artwisanggeni/status/703175477893029889" TargetMode="External"/><Relationship Id="rId8539" Type="http://schemas.openxmlformats.org/officeDocument/2006/relationships/hyperlink" Target="https://twitter.com/massy0510/status/703238117201879040" TargetMode="External"/><Relationship Id="rId8530" Type="http://schemas.openxmlformats.org/officeDocument/2006/relationships/hyperlink" Target="https://twitter.com/LfrancoPC/status/703238023417372676" TargetMode="External"/><Relationship Id="rId7203" Type="http://schemas.openxmlformats.org/officeDocument/2006/relationships/hyperlink" Target="https://twitter.com/artwisanggeni" TargetMode="External"/><Relationship Id="rId8534" Type="http://schemas.openxmlformats.org/officeDocument/2006/relationships/hyperlink" Target="https://pbs.twimg.com/profile_images/420579444982431745/j7uTAxtF_normal.png" TargetMode="External"/><Relationship Id="rId7202" Type="http://schemas.openxmlformats.org/officeDocument/2006/relationships/hyperlink" Target="https://pbs.twimg.com/profile_images/3513817400/c01cc17d1f2e2190274d5aa11add24c0_normal.jpeg" TargetMode="External"/><Relationship Id="rId8533" Type="http://schemas.openxmlformats.org/officeDocument/2006/relationships/hyperlink" Target="https://twitter.com/creative_punch/status/703238089070747648" TargetMode="External"/><Relationship Id="rId7201" Type="http://schemas.openxmlformats.org/officeDocument/2006/relationships/hyperlink" Target="https://twitter.com/nfaggian/status/703175258539360256" TargetMode="External"/><Relationship Id="rId8532" Type="http://schemas.openxmlformats.org/officeDocument/2006/relationships/hyperlink" Target="https://twitter.com/creative_punch" TargetMode="External"/><Relationship Id="rId7200" Type="http://schemas.openxmlformats.org/officeDocument/2006/relationships/hyperlink" Target="https://twitter.com/nfaggian" TargetMode="External"/><Relationship Id="rId8531" Type="http://schemas.openxmlformats.org/officeDocument/2006/relationships/hyperlink" Target="https://pbs.twimg.com/profile_images/432969349163266048/IKJ7WuYR_normal.jpeg" TargetMode="External"/><Relationship Id="rId7207" Type="http://schemas.openxmlformats.org/officeDocument/2006/relationships/hyperlink" Target="https://twitter.com/artwisanggeni" TargetMode="External"/><Relationship Id="rId8538" Type="http://schemas.openxmlformats.org/officeDocument/2006/relationships/hyperlink" Target="https://twitter.com/massy0510" TargetMode="External"/><Relationship Id="rId7206" Type="http://schemas.openxmlformats.org/officeDocument/2006/relationships/hyperlink" Target="https://pbs.twimg.com/profile_images/2813636657/599521f69e2bc210a57323b64d8e39e6_normal.jpeg" TargetMode="External"/><Relationship Id="rId8537" Type="http://schemas.openxmlformats.org/officeDocument/2006/relationships/hyperlink" Target="https://pbs.twimg.com/profile_images/661966834518757376/ZpgI94Jf_normal.jpg" TargetMode="External"/><Relationship Id="rId7205" Type="http://schemas.openxmlformats.org/officeDocument/2006/relationships/hyperlink" Target="http://dlvr.it" TargetMode="External"/><Relationship Id="rId8536" Type="http://schemas.openxmlformats.org/officeDocument/2006/relationships/hyperlink" Target="https://twitter.com/colocarto/status/703238104589561856" TargetMode="External"/><Relationship Id="rId7204" Type="http://schemas.openxmlformats.org/officeDocument/2006/relationships/hyperlink" Target="https://twitter.com/artwisanggeni/status/703175474256588801" TargetMode="External"/><Relationship Id="rId8535" Type="http://schemas.openxmlformats.org/officeDocument/2006/relationships/hyperlink" Target="https://twitter.com/colocarto" TargetMode="External"/><Relationship Id="rId1090" Type="http://schemas.openxmlformats.org/officeDocument/2006/relationships/hyperlink" Target="https://pbs.twimg.com/profile_images/2289120803/klh434t6fs1svswctb5u_normal.jpeg" TargetMode="External"/><Relationship Id="rId1091" Type="http://schemas.openxmlformats.org/officeDocument/2006/relationships/hyperlink" Target="https://twitter.com/LillianEdmiston" TargetMode="External"/><Relationship Id="rId1092" Type="http://schemas.openxmlformats.org/officeDocument/2006/relationships/hyperlink" Target="https://twitter.com/LillianEdmiston/status/702852638606544896" TargetMode="External"/><Relationship Id="rId1093" Type="http://schemas.openxmlformats.org/officeDocument/2006/relationships/hyperlink" Target="https://pbs.twimg.com/profile_images/655014978101993476/ZpsnJW8B_normal.jpg" TargetMode="External"/><Relationship Id="rId1094" Type="http://schemas.openxmlformats.org/officeDocument/2006/relationships/hyperlink" Target="https://twitter.com/albertzeyer" TargetMode="External"/><Relationship Id="rId1095" Type="http://schemas.openxmlformats.org/officeDocument/2006/relationships/hyperlink" Target="https://twitter.com/albertzeyer/status/702854098056568832" TargetMode="External"/><Relationship Id="rId1096" Type="http://schemas.openxmlformats.org/officeDocument/2006/relationships/hyperlink" Target="https://pbs.twimg.com/profile_images/1282944419/future.low_normal.jpg" TargetMode="External"/><Relationship Id="rId1097" Type="http://schemas.openxmlformats.org/officeDocument/2006/relationships/hyperlink" Target="https://twitter.com/arupdey22" TargetMode="External"/><Relationship Id="rId1098" Type="http://schemas.openxmlformats.org/officeDocument/2006/relationships/hyperlink" Target="https://twitter.com/arupdey22/status/702854245364535297" TargetMode="External"/><Relationship Id="rId1099" Type="http://schemas.openxmlformats.org/officeDocument/2006/relationships/hyperlink" Target="https://pbs.twimg.com/profile_images/685799923451707393/-9M78pAG_normal.jpg" TargetMode="External"/><Relationship Id="rId1080" Type="http://schemas.openxmlformats.org/officeDocument/2006/relationships/hyperlink" Target="https://twitter.com/pujitkaul/status/702852378366603265" TargetMode="External"/><Relationship Id="rId1081" Type="http://schemas.openxmlformats.org/officeDocument/2006/relationships/hyperlink" Target="https://pbs.twimg.com/profile_images/633196986930364416/yQXv8I2l_normal.jpg" TargetMode="External"/><Relationship Id="rId1082" Type="http://schemas.openxmlformats.org/officeDocument/2006/relationships/hyperlink" Target="https://twitter.com/pujitkaul" TargetMode="External"/><Relationship Id="rId1083" Type="http://schemas.openxmlformats.org/officeDocument/2006/relationships/hyperlink" Target="https://twitter.com/pujitkaul/status/702852442082258944" TargetMode="External"/><Relationship Id="rId1084" Type="http://schemas.openxmlformats.org/officeDocument/2006/relationships/hyperlink" Target="https://pbs.twimg.com/profile_images/633196986930364416/yQXv8I2l_normal.jpg" TargetMode="External"/><Relationship Id="rId1085" Type="http://schemas.openxmlformats.org/officeDocument/2006/relationships/hyperlink" Target="https://twitter.com/pujitkaul" TargetMode="External"/><Relationship Id="rId1086" Type="http://schemas.openxmlformats.org/officeDocument/2006/relationships/hyperlink" Target="https://twitter.com/pujitkaul/status/702852488240566273" TargetMode="External"/><Relationship Id="rId1087" Type="http://schemas.openxmlformats.org/officeDocument/2006/relationships/hyperlink" Target="https://pbs.twimg.com/profile_images/633196986930364416/yQXv8I2l_normal.jpg" TargetMode="External"/><Relationship Id="rId1088" Type="http://schemas.openxmlformats.org/officeDocument/2006/relationships/hyperlink" Target="https://twitter.com/taniapaz" TargetMode="External"/><Relationship Id="rId1089" Type="http://schemas.openxmlformats.org/officeDocument/2006/relationships/hyperlink" Target="https://twitter.com/taniapaz/status/702852523166662656" TargetMode="External"/><Relationship Id="rId8509" Type="http://schemas.openxmlformats.org/officeDocument/2006/relationships/hyperlink" Target="https://twitter.com/pr0gramming/status/703237062221275137" TargetMode="External"/><Relationship Id="rId8508" Type="http://schemas.openxmlformats.org/officeDocument/2006/relationships/hyperlink" Target="https://twitter.com/pr0gramming" TargetMode="External"/><Relationship Id="rId8507" Type="http://schemas.openxmlformats.org/officeDocument/2006/relationships/hyperlink" Target="https://pbs.twimg.com/profile_images/702805357765206016/Czi8l5h3_normal.jpg" TargetMode="External"/><Relationship Id="rId8506" Type="http://schemas.openxmlformats.org/officeDocument/2006/relationships/hyperlink" Target="https://twitter.com/Silverman1993/status/703237013860966400" TargetMode="External"/><Relationship Id="rId8501" Type="http://schemas.openxmlformats.org/officeDocument/2006/relationships/hyperlink" Target="https://pbs.twimg.com/profile_images/1956395739/56358390A_normal.jpg" TargetMode="External"/><Relationship Id="rId8500" Type="http://schemas.openxmlformats.org/officeDocument/2006/relationships/hyperlink" Target="https://twitter.com/MikeHerman/status/703236724512587776" TargetMode="External"/><Relationship Id="rId8505" Type="http://schemas.openxmlformats.org/officeDocument/2006/relationships/hyperlink" Target="https://twitter.com/Silverman1993" TargetMode="External"/><Relationship Id="rId8504" Type="http://schemas.openxmlformats.org/officeDocument/2006/relationships/hyperlink" Target="https://pbs.twimg.com/profile_images/572091631055028224/Pkx__FSB_normal.png" TargetMode="External"/><Relationship Id="rId8503" Type="http://schemas.openxmlformats.org/officeDocument/2006/relationships/hyperlink" Target="https://twitter.com/cool_python/status/703236980692361217" TargetMode="External"/><Relationship Id="rId8502" Type="http://schemas.openxmlformats.org/officeDocument/2006/relationships/hyperlink" Target="https://twitter.com/cool_python" TargetMode="External"/><Relationship Id="rId7272" Type="http://schemas.openxmlformats.org/officeDocument/2006/relationships/hyperlink" Target="https://twitter.com/astrofra/status/703178124721156096" TargetMode="External"/><Relationship Id="rId7271" Type="http://schemas.openxmlformats.org/officeDocument/2006/relationships/hyperlink" Target="https://twitter.com/astrofra" TargetMode="External"/><Relationship Id="rId7270" Type="http://schemas.openxmlformats.org/officeDocument/2006/relationships/hyperlink" Target="https://pbs.twimg.com/profile_images/620932614392815616/MHOsurpy_normal.jpg" TargetMode="External"/><Relationship Id="rId7276" Type="http://schemas.openxmlformats.org/officeDocument/2006/relationships/hyperlink" Target="https://pbs.twimg.com/profile_images/522536769502195712/cG1yitHo_normal.jpeg" TargetMode="External"/><Relationship Id="rId7275" Type="http://schemas.openxmlformats.org/officeDocument/2006/relationships/hyperlink" Target="https://twitter.com/IndieGameDevBot/status/703178344724955137" TargetMode="External"/><Relationship Id="rId7274" Type="http://schemas.openxmlformats.org/officeDocument/2006/relationships/hyperlink" Target="https://twitter.com/IndieGameDevBot" TargetMode="External"/><Relationship Id="rId7273" Type="http://schemas.openxmlformats.org/officeDocument/2006/relationships/hyperlink" Target="https://pbs.twimg.com/profile_images/480235311906455552/ekUeBDr3_normal.jpeg" TargetMode="External"/><Relationship Id="rId7279" Type="http://schemas.openxmlformats.org/officeDocument/2006/relationships/hyperlink" Target="https://pbs.twimg.com/profile_images/669819140354531329/O5pJ9Hmc_normal.png" TargetMode="External"/><Relationship Id="rId7278" Type="http://schemas.openxmlformats.org/officeDocument/2006/relationships/hyperlink" Target="https://twitter.com/GameAssistant/status/703178745020960769" TargetMode="External"/><Relationship Id="rId7277" Type="http://schemas.openxmlformats.org/officeDocument/2006/relationships/hyperlink" Target="https://twitter.com/GameAssistant" TargetMode="External"/><Relationship Id="rId7261" Type="http://schemas.openxmlformats.org/officeDocument/2006/relationships/hyperlink" Target="https://pbs.twimg.com/profile_images/583850259970822144/7EgtHLoT_normal.jpg" TargetMode="External"/><Relationship Id="rId8592" Type="http://schemas.openxmlformats.org/officeDocument/2006/relationships/hyperlink" Target="https://twitter.com/pydigest" TargetMode="External"/><Relationship Id="rId7260" Type="http://schemas.openxmlformats.org/officeDocument/2006/relationships/hyperlink" Target="https://twitter.com/panseybard/status/703177514017882113" TargetMode="External"/><Relationship Id="rId8591" Type="http://schemas.openxmlformats.org/officeDocument/2006/relationships/hyperlink" Target="https://pbs.twimg.com/profile_images/700674879540981761/fKiyB9Ye_normal.png" TargetMode="External"/><Relationship Id="rId8590" Type="http://schemas.openxmlformats.org/officeDocument/2006/relationships/hyperlink" Target="https://twitter.com/techmix_/status/703239895419133952" TargetMode="External"/><Relationship Id="rId7265" Type="http://schemas.openxmlformats.org/officeDocument/2006/relationships/hyperlink" Target="https://twitter.com/Zk433" TargetMode="External"/><Relationship Id="rId8596" Type="http://schemas.openxmlformats.org/officeDocument/2006/relationships/hyperlink" Target="https://twitter.com/ping_suh/status/703240283580997632" TargetMode="External"/><Relationship Id="rId7264" Type="http://schemas.openxmlformats.org/officeDocument/2006/relationships/hyperlink" Target="https://pbs.twimg.com/profile_images/1256486190/186549_1198876463_8277777_n_normal.jpg" TargetMode="External"/><Relationship Id="rId8595" Type="http://schemas.openxmlformats.org/officeDocument/2006/relationships/hyperlink" Target="https://twitter.com/ping_suh" TargetMode="External"/><Relationship Id="rId7263" Type="http://schemas.openxmlformats.org/officeDocument/2006/relationships/hyperlink" Target="https://twitter.com/J_Dalmau/status/703177519315353604" TargetMode="External"/><Relationship Id="rId8594" Type="http://schemas.openxmlformats.org/officeDocument/2006/relationships/hyperlink" Target="https://pbs.twimg.com/profile_images/475228702922387457/6gYeuqxD_normal.jpeg" TargetMode="External"/><Relationship Id="rId7262" Type="http://schemas.openxmlformats.org/officeDocument/2006/relationships/hyperlink" Target="https://twitter.com/J_Dalmau" TargetMode="External"/><Relationship Id="rId8593" Type="http://schemas.openxmlformats.org/officeDocument/2006/relationships/hyperlink" Target="https://twitter.com/pydigest/status/703240045671616513" TargetMode="External"/><Relationship Id="rId7269" Type="http://schemas.openxmlformats.org/officeDocument/2006/relationships/hyperlink" Target="https://twitter.com/EderRoger/status/703178087458934784" TargetMode="External"/><Relationship Id="rId7268" Type="http://schemas.openxmlformats.org/officeDocument/2006/relationships/hyperlink" Target="https://twitter.com/EderRoger" TargetMode="External"/><Relationship Id="rId8599" Type="http://schemas.openxmlformats.org/officeDocument/2006/relationships/hyperlink" Target="https://twitter.com/ayirpelle/status/703240483934334976" TargetMode="External"/><Relationship Id="rId7267" Type="http://schemas.openxmlformats.org/officeDocument/2006/relationships/hyperlink" Target="https://pbs.twimg.com/profile_images/668051820091166721/uP7X3fI5_normal.jpg" TargetMode="External"/><Relationship Id="rId8598" Type="http://schemas.openxmlformats.org/officeDocument/2006/relationships/hyperlink" Target="https://twitter.com/ayirpelle" TargetMode="External"/><Relationship Id="rId7266" Type="http://schemas.openxmlformats.org/officeDocument/2006/relationships/hyperlink" Target="https://twitter.com/Zk433/status/703177900070055936" TargetMode="External"/><Relationship Id="rId8597" Type="http://schemas.openxmlformats.org/officeDocument/2006/relationships/hyperlink" Target="https://pbs.twimg.com/profile_images/626767282690224128/C0A-IuoN_normal.png" TargetMode="External"/><Relationship Id="rId7294" Type="http://schemas.openxmlformats.org/officeDocument/2006/relationships/hyperlink" Target="https://pbs.twimg.com/profile_images/596681404940976128/6woa3l_E_normal.jpg" TargetMode="External"/><Relationship Id="rId7293" Type="http://schemas.openxmlformats.org/officeDocument/2006/relationships/hyperlink" Target="https://twitter.com/Corneliability/status/703180188268408832" TargetMode="External"/><Relationship Id="rId7292" Type="http://schemas.openxmlformats.org/officeDocument/2006/relationships/hyperlink" Target="https://twitter.com/Corneliability" TargetMode="External"/><Relationship Id="rId7291" Type="http://schemas.openxmlformats.org/officeDocument/2006/relationships/hyperlink" Target="https://pbs.twimg.com/profile_images/458935759949791232/Tk77hzJh_normal.jpeg" TargetMode="External"/><Relationship Id="rId7298" Type="http://schemas.openxmlformats.org/officeDocument/2006/relationships/hyperlink" Target="https://twitter.com/dr_dimaka" TargetMode="External"/><Relationship Id="rId7297" Type="http://schemas.openxmlformats.org/officeDocument/2006/relationships/hyperlink" Target="https://pbs.twimg.com/profile_images/601060850670141440/AJ_Q-oYo_normal.png" TargetMode="External"/><Relationship Id="rId7296" Type="http://schemas.openxmlformats.org/officeDocument/2006/relationships/hyperlink" Target="https://twitter.com/opendatacoop/status/703181055428157441" TargetMode="External"/><Relationship Id="rId7295" Type="http://schemas.openxmlformats.org/officeDocument/2006/relationships/hyperlink" Target="https://twitter.com/opendatacoop" TargetMode="External"/><Relationship Id="rId7299" Type="http://schemas.openxmlformats.org/officeDocument/2006/relationships/hyperlink" Target="https://twitter.com/dr_dimaka/status/703181346202464257" TargetMode="External"/><Relationship Id="rId7290" Type="http://schemas.openxmlformats.org/officeDocument/2006/relationships/hyperlink" Target="https://twitter.com/francescalante1/status/703179609618010112" TargetMode="External"/><Relationship Id="rId7283" Type="http://schemas.openxmlformats.org/officeDocument/2006/relationships/hyperlink" Target="https://twitter.com/SamT4Cloud" TargetMode="External"/><Relationship Id="rId7282" Type="http://schemas.openxmlformats.org/officeDocument/2006/relationships/hyperlink" Target="https://pbs.twimg.com/profile_images/676343744250044416/OidH-eFp_normal.png" TargetMode="External"/><Relationship Id="rId7281" Type="http://schemas.openxmlformats.org/officeDocument/2006/relationships/hyperlink" Target="https://twitter.com/FreeTutsForYou/status/703179113494925312" TargetMode="External"/><Relationship Id="rId7280" Type="http://schemas.openxmlformats.org/officeDocument/2006/relationships/hyperlink" Target="https://twitter.com/FreeTutsForYou" TargetMode="External"/><Relationship Id="rId7287" Type="http://schemas.openxmlformats.org/officeDocument/2006/relationships/hyperlink" Target="https://twitter.com/WebScraperDB/status/703179587409195009" TargetMode="External"/><Relationship Id="rId7286" Type="http://schemas.openxmlformats.org/officeDocument/2006/relationships/hyperlink" Target="https://twitter.com/WebScraperDB" TargetMode="External"/><Relationship Id="rId7285" Type="http://schemas.openxmlformats.org/officeDocument/2006/relationships/hyperlink" Target="https://abs.twimg.com/sticky/default_profile_images/default_profile_2_normal.png" TargetMode="External"/><Relationship Id="rId7284" Type="http://schemas.openxmlformats.org/officeDocument/2006/relationships/hyperlink" Target="https://twitter.com/SamT4Cloud/status/703179127164022784" TargetMode="External"/><Relationship Id="rId7289" Type="http://schemas.openxmlformats.org/officeDocument/2006/relationships/hyperlink" Target="https://twitter.com/francescalante1" TargetMode="External"/><Relationship Id="rId7288" Type="http://schemas.openxmlformats.org/officeDocument/2006/relationships/hyperlink" Target="https://pbs.twimg.com/profile_images/699545598450606080/s8CU8cVg_normal.png" TargetMode="External"/><Relationship Id="rId7232" Type="http://schemas.openxmlformats.org/officeDocument/2006/relationships/hyperlink" Target="https://twitter.com/artwisanggeni/status/703175499107794944" TargetMode="External"/><Relationship Id="rId8563" Type="http://schemas.openxmlformats.org/officeDocument/2006/relationships/hyperlink" Target="https://twitter.com/ShirleyYYoung/status/703238680320860160" TargetMode="External"/><Relationship Id="rId7231" Type="http://schemas.openxmlformats.org/officeDocument/2006/relationships/hyperlink" Target="https://twitter.com/artwisanggeni" TargetMode="External"/><Relationship Id="rId8562" Type="http://schemas.openxmlformats.org/officeDocument/2006/relationships/hyperlink" Target="https://twitter.com/ShirleyYYoung" TargetMode="External"/><Relationship Id="rId7230" Type="http://schemas.openxmlformats.org/officeDocument/2006/relationships/hyperlink" Target="https://pbs.twimg.com/profile_images/2813636657/599521f69e2bc210a57323b64d8e39e6_normal.jpeg" TargetMode="External"/><Relationship Id="rId8561" Type="http://schemas.openxmlformats.org/officeDocument/2006/relationships/hyperlink" Target="https://pbs.twimg.com/profile_images/446418425884061696/PQqLDH-Z_normal.jpeg" TargetMode="External"/><Relationship Id="rId8560" Type="http://schemas.openxmlformats.org/officeDocument/2006/relationships/hyperlink" Target="https://twitter.com/svenkreiss/status/703238640470724608" TargetMode="External"/><Relationship Id="rId7236" Type="http://schemas.openxmlformats.org/officeDocument/2006/relationships/hyperlink" Target="https://twitter.com/programmingncr/status/703175779664961536" TargetMode="External"/><Relationship Id="rId8567" Type="http://schemas.openxmlformats.org/officeDocument/2006/relationships/hyperlink" Target="https://pbs.twimg.com/profile_images/699545598450606080/s8CU8cVg_normal.png" TargetMode="External"/><Relationship Id="rId7235" Type="http://schemas.openxmlformats.org/officeDocument/2006/relationships/hyperlink" Target="https://twitter.com/programmingncr" TargetMode="External"/><Relationship Id="rId8566" Type="http://schemas.openxmlformats.org/officeDocument/2006/relationships/hyperlink" Target="https://twitter.com/WebScraperDB/status/703238805759905792" TargetMode="External"/><Relationship Id="rId7234" Type="http://schemas.openxmlformats.org/officeDocument/2006/relationships/hyperlink" Target="https://pbs.twimg.com/profile_images/2813636657/599521f69e2bc210a57323b64d8e39e6_normal.jpeg" TargetMode="External"/><Relationship Id="rId8565" Type="http://schemas.openxmlformats.org/officeDocument/2006/relationships/hyperlink" Target="https://twitter.com/WebScraperDB" TargetMode="External"/><Relationship Id="rId7233" Type="http://schemas.openxmlformats.org/officeDocument/2006/relationships/hyperlink" Target="http://dlvr.it" TargetMode="External"/><Relationship Id="rId8564" Type="http://schemas.openxmlformats.org/officeDocument/2006/relationships/hyperlink" Target="https://pbs.twimg.com/profile_images/615560727898648577/t94u5F5t_normal.jpg" TargetMode="External"/><Relationship Id="rId7239" Type="http://schemas.openxmlformats.org/officeDocument/2006/relationships/hyperlink" Target="https://twitter.com/Maarkybhoy/status/703176008879353858" TargetMode="External"/><Relationship Id="rId7238" Type="http://schemas.openxmlformats.org/officeDocument/2006/relationships/hyperlink" Target="https://twitter.com/Maarkybhoy" TargetMode="External"/><Relationship Id="rId8569" Type="http://schemas.openxmlformats.org/officeDocument/2006/relationships/hyperlink" Target="https://twitter.com/n_vogel/status/703238880443498496" TargetMode="External"/><Relationship Id="rId7237" Type="http://schemas.openxmlformats.org/officeDocument/2006/relationships/hyperlink" Target="https://pbs.twimg.com/profile_images/662602436222193664/qKuvsfnG_normal.jpg" TargetMode="External"/><Relationship Id="rId8568" Type="http://schemas.openxmlformats.org/officeDocument/2006/relationships/hyperlink" Target="https://twitter.com/n_vogel" TargetMode="External"/><Relationship Id="rId7221" Type="http://schemas.openxmlformats.org/officeDocument/2006/relationships/hyperlink" Target="http://dlvr.it" TargetMode="External"/><Relationship Id="rId8552" Type="http://schemas.openxmlformats.org/officeDocument/2006/relationships/hyperlink" Target="https://pbs.twimg.com/profile_images/378800000034240502/6383850be6fbee3810a468ab71d95c44_normal.jpeg" TargetMode="External"/><Relationship Id="rId7220" Type="http://schemas.openxmlformats.org/officeDocument/2006/relationships/hyperlink" Target="https://twitter.com/artwisanggeni/status/703175489691607040" TargetMode="External"/><Relationship Id="rId8551" Type="http://schemas.openxmlformats.org/officeDocument/2006/relationships/hyperlink" Target="https://twitter.com/benjamingb/status/703238383380930560" TargetMode="External"/><Relationship Id="rId8550" Type="http://schemas.openxmlformats.org/officeDocument/2006/relationships/hyperlink" Target="https://twitter.com/benjamingb" TargetMode="External"/><Relationship Id="rId7225" Type="http://schemas.openxmlformats.org/officeDocument/2006/relationships/hyperlink" Target="http://dlvr.it" TargetMode="External"/><Relationship Id="rId8556" Type="http://schemas.openxmlformats.org/officeDocument/2006/relationships/hyperlink" Target="https://twitter.com/L3v3L" TargetMode="External"/><Relationship Id="rId7224" Type="http://schemas.openxmlformats.org/officeDocument/2006/relationships/hyperlink" Target="https://twitter.com/artwisanggeni/status/703175492858310657" TargetMode="External"/><Relationship Id="rId8555" Type="http://schemas.openxmlformats.org/officeDocument/2006/relationships/hyperlink" Target="https://pbs.twimg.com/profile_images/703245011224272898/PkP6MMGh_normal.jpg" TargetMode="External"/><Relationship Id="rId7223" Type="http://schemas.openxmlformats.org/officeDocument/2006/relationships/hyperlink" Target="https://twitter.com/artwisanggeni" TargetMode="External"/><Relationship Id="rId8554" Type="http://schemas.openxmlformats.org/officeDocument/2006/relationships/hyperlink" Target="https://twitter.com/arti_prem/status/703238384576241664" TargetMode="External"/><Relationship Id="rId7222" Type="http://schemas.openxmlformats.org/officeDocument/2006/relationships/hyperlink" Target="https://pbs.twimg.com/profile_images/2813636657/599521f69e2bc210a57323b64d8e39e6_normal.jpeg" TargetMode="External"/><Relationship Id="rId8553" Type="http://schemas.openxmlformats.org/officeDocument/2006/relationships/hyperlink" Target="https://twitter.com/arti_prem" TargetMode="External"/><Relationship Id="rId7229" Type="http://schemas.openxmlformats.org/officeDocument/2006/relationships/hyperlink" Target="http://dlvr.it" TargetMode="External"/><Relationship Id="rId7228" Type="http://schemas.openxmlformats.org/officeDocument/2006/relationships/hyperlink" Target="https://twitter.com/artwisanggeni/status/703175496125689857" TargetMode="External"/><Relationship Id="rId8559" Type="http://schemas.openxmlformats.org/officeDocument/2006/relationships/hyperlink" Target="https://twitter.com/svenkreiss" TargetMode="External"/><Relationship Id="rId7227" Type="http://schemas.openxmlformats.org/officeDocument/2006/relationships/hyperlink" Target="https://twitter.com/artwisanggeni" TargetMode="External"/><Relationship Id="rId8558" Type="http://schemas.openxmlformats.org/officeDocument/2006/relationships/hyperlink" Target="https://pbs.twimg.com/profile_images/662327963333955584/lIPiLqPo_normal.jpg" TargetMode="External"/><Relationship Id="rId7226" Type="http://schemas.openxmlformats.org/officeDocument/2006/relationships/hyperlink" Target="https://pbs.twimg.com/profile_images/2813636657/599521f69e2bc210a57323b64d8e39e6_normal.jpeg" TargetMode="External"/><Relationship Id="rId8557" Type="http://schemas.openxmlformats.org/officeDocument/2006/relationships/hyperlink" Target="https://twitter.com/L3v3L/status/703238442864537600" TargetMode="External"/><Relationship Id="rId7250" Type="http://schemas.openxmlformats.org/officeDocument/2006/relationships/hyperlink" Target="https://twitter.com/shakamunyi" TargetMode="External"/><Relationship Id="rId8581" Type="http://schemas.openxmlformats.org/officeDocument/2006/relationships/hyperlink" Target="https://twitter.com/tonyojeda3/status/703239361597476864" TargetMode="External"/><Relationship Id="rId8580" Type="http://schemas.openxmlformats.org/officeDocument/2006/relationships/hyperlink" Target="https://twitter.com/tonyojeda3" TargetMode="External"/><Relationship Id="rId7254" Type="http://schemas.openxmlformats.org/officeDocument/2006/relationships/hyperlink" Target="https://twitter.com/flubdevork/status/703177291472326660" TargetMode="External"/><Relationship Id="rId8585" Type="http://schemas.openxmlformats.org/officeDocument/2006/relationships/hyperlink" Target="https://pbs.twimg.com/profile_images/2280522937/78dqr3lthevalzio6sjt_normal.jpeg" TargetMode="External"/><Relationship Id="rId7253" Type="http://schemas.openxmlformats.org/officeDocument/2006/relationships/hyperlink" Target="https://twitter.com/flubdevork" TargetMode="External"/><Relationship Id="rId8584" Type="http://schemas.openxmlformats.org/officeDocument/2006/relationships/hyperlink" Target="https://twitter.com/thefactmachine1/status/703239564136034304" TargetMode="External"/><Relationship Id="rId7252" Type="http://schemas.openxmlformats.org/officeDocument/2006/relationships/hyperlink" Target="https://pbs.twimg.com/profile_images/598640478657978368/PgSHeCsJ_normal.jpg" TargetMode="External"/><Relationship Id="rId8583" Type="http://schemas.openxmlformats.org/officeDocument/2006/relationships/hyperlink" Target="https://twitter.com/thefactmachine1" TargetMode="External"/><Relationship Id="rId7251" Type="http://schemas.openxmlformats.org/officeDocument/2006/relationships/hyperlink" Target="https://twitter.com/shakamunyi/status/703177261415923713" TargetMode="External"/><Relationship Id="rId8582" Type="http://schemas.openxmlformats.org/officeDocument/2006/relationships/hyperlink" Target="https://pbs.twimg.com/profile_images/1211123351/Tony-Ojeda2_normal.JPG" TargetMode="External"/><Relationship Id="rId7258" Type="http://schemas.openxmlformats.org/officeDocument/2006/relationships/hyperlink" Target="https://abs.twimg.com/sticky/default_profile_images/default_profile_3_normal.png" TargetMode="External"/><Relationship Id="rId8589" Type="http://schemas.openxmlformats.org/officeDocument/2006/relationships/hyperlink" Target="https://twitter.com/techmix_" TargetMode="External"/><Relationship Id="rId7257" Type="http://schemas.openxmlformats.org/officeDocument/2006/relationships/hyperlink" Target="https://twitter.com/techcloudfirst/status/703177377250045953" TargetMode="External"/><Relationship Id="rId8588" Type="http://schemas.openxmlformats.org/officeDocument/2006/relationships/hyperlink" Target="https://pbs.twimg.com/profile_images/693031307971072004/7BwZxchR_normal.jpg" TargetMode="External"/><Relationship Id="rId7256" Type="http://schemas.openxmlformats.org/officeDocument/2006/relationships/hyperlink" Target="https://twitter.com/techcloudfirst" TargetMode="External"/><Relationship Id="rId8587" Type="http://schemas.openxmlformats.org/officeDocument/2006/relationships/hyperlink" Target="https://twitter.com/anaseeen/status/703239810874544128" TargetMode="External"/><Relationship Id="rId7255" Type="http://schemas.openxmlformats.org/officeDocument/2006/relationships/hyperlink" Target="https://pbs.twimg.com/profile_images/1081297474/headshot_square_bw_normal.jpg" TargetMode="External"/><Relationship Id="rId8586" Type="http://schemas.openxmlformats.org/officeDocument/2006/relationships/hyperlink" Target="https://twitter.com/anaseeen" TargetMode="External"/><Relationship Id="rId7259" Type="http://schemas.openxmlformats.org/officeDocument/2006/relationships/hyperlink" Target="https://twitter.com/panseybard" TargetMode="External"/><Relationship Id="rId8570" Type="http://schemas.openxmlformats.org/officeDocument/2006/relationships/hyperlink" Target="https://pbs.twimg.com/profile_images/460456101872275456/CkMq_Dc0_normal.jpeg" TargetMode="External"/><Relationship Id="rId7243" Type="http://schemas.openxmlformats.org/officeDocument/2006/relationships/hyperlink" Target="https://pbs.twimg.com/profile_images/627996138403168256/DaASdgVr_normal.jpg" TargetMode="External"/><Relationship Id="rId8574" Type="http://schemas.openxmlformats.org/officeDocument/2006/relationships/hyperlink" Target="https://twitter.com/jamsovaluesmart" TargetMode="External"/><Relationship Id="rId7242" Type="http://schemas.openxmlformats.org/officeDocument/2006/relationships/hyperlink" Target="https://twitter.com/JoshuaLongUK/status/703176066836385792" TargetMode="External"/><Relationship Id="rId8573" Type="http://schemas.openxmlformats.org/officeDocument/2006/relationships/hyperlink" Target="https://pbs.twimg.com/profile_images/1876623382/000042-1_normal.JPG" TargetMode="External"/><Relationship Id="rId7241" Type="http://schemas.openxmlformats.org/officeDocument/2006/relationships/hyperlink" Target="https://twitter.com/JoshuaLongUK" TargetMode="External"/><Relationship Id="rId8572" Type="http://schemas.openxmlformats.org/officeDocument/2006/relationships/hyperlink" Target="https://twitter.com/yashaka/status/703238917760356352" TargetMode="External"/><Relationship Id="rId7240" Type="http://schemas.openxmlformats.org/officeDocument/2006/relationships/hyperlink" Target="https://pbs.twimg.com/profile_images/702598053698600960/uviMefqg_normal.jpg" TargetMode="External"/><Relationship Id="rId8571" Type="http://schemas.openxmlformats.org/officeDocument/2006/relationships/hyperlink" Target="https://twitter.com/yashaka" TargetMode="External"/><Relationship Id="rId7247" Type="http://schemas.openxmlformats.org/officeDocument/2006/relationships/hyperlink" Target="https://twitter.com/miry_sof" TargetMode="External"/><Relationship Id="rId8578" Type="http://schemas.openxmlformats.org/officeDocument/2006/relationships/hyperlink" Target="https://twitter.com/IBMCanada/status/703239216625541121" TargetMode="External"/><Relationship Id="rId7246" Type="http://schemas.openxmlformats.org/officeDocument/2006/relationships/hyperlink" Target="https://pbs.twimg.com/profile_images/378800000030851202/b6bb871a13825bae9004a9aab3a1d726_normal.jpeg" TargetMode="External"/><Relationship Id="rId8577" Type="http://schemas.openxmlformats.org/officeDocument/2006/relationships/hyperlink" Target="https://twitter.com/IBMCanada" TargetMode="External"/><Relationship Id="rId7245" Type="http://schemas.openxmlformats.org/officeDocument/2006/relationships/hyperlink" Target="https://twitter.com/PythonDaily/status/703176171735756801" TargetMode="External"/><Relationship Id="rId8576" Type="http://schemas.openxmlformats.org/officeDocument/2006/relationships/hyperlink" Target="https://pbs.twimg.com/profile_images/553556093658337281/w056iImi_normal.jpeg" TargetMode="External"/><Relationship Id="rId7244" Type="http://schemas.openxmlformats.org/officeDocument/2006/relationships/hyperlink" Target="https://twitter.com/PythonDaily" TargetMode="External"/><Relationship Id="rId8575" Type="http://schemas.openxmlformats.org/officeDocument/2006/relationships/hyperlink" Target="https://twitter.com/jamsovaluesmart/status/703239180688695296" TargetMode="External"/><Relationship Id="rId7249" Type="http://schemas.openxmlformats.org/officeDocument/2006/relationships/hyperlink" Target="https://pbs.twimg.com/profile_images/425577674224844800/DwuaBzSt_normal.jpeg" TargetMode="External"/><Relationship Id="rId7248" Type="http://schemas.openxmlformats.org/officeDocument/2006/relationships/hyperlink" Target="https://twitter.com/miry_sof/status/703176985996972034" TargetMode="External"/><Relationship Id="rId8579" Type="http://schemas.openxmlformats.org/officeDocument/2006/relationships/hyperlink" Target="https://pbs.twimg.com/profile_images/651212811809329153/cLuW9YQO_normal.jpg" TargetMode="External"/><Relationship Id="rId2423" Type="http://schemas.openxmlformats.org/officeDocument/2006/relationships/hyperlink" Target="https://twitter.com/AmyPlumOhLaLa/status/702907916492345344" TargetMode="External"/><Relationship Id="rId3755" Type="http://schemas.openxmlformats.org/officeDocument/2006/relationships/hyperlink" Target="https://twitter.com/WebScraperDB/status/702957868589441024" TargetMode="External"/><Relationship Id="rId2424" Type="http://schemas.openxmlformats.org/officeDocument/2006/relationships/hyperlink" Target="https://pbs.twimg.com/profile_images/675573715057442816/awA9SSsP_normal.jpg" TargetMode="External"/><Relationship Id="rId3754" Type="http://schemas.openxmlformats.org/officeDocument/2006/relationships/hyperlink" Target="https://twitter.com/WebScraperDB" TargetMode="External"/><Relationship Id="rId2425" Type="http://schemas.openxmlformats.org/officeDocument/2006/relationships/hyperlink" Target="https://twitter.com/limiear" TargetMode="External"/><Relationship Id="rId3757" Type="http://schemas.openxmlformats.org/officeDocument/2006/relationships/hyperlink" Target="https://twitter.com/joonoopenstory" TargetMode="External"/><Relationship Id="rId2426" Type="http://schemas.openxmlformats.org/officeDocument/2006/relationships/hyperlink" Target="https://twitter.com/limiear/status/702907970569576448" TargetMode="External"/><Relationship Id="rId3756" Type="http://schemas.openxmlformats.org/officeDocument/2006/relationships/hyperlink" Target="https://pbs.twimg.com/profile_images/699545598450606080/s8CU8cVg_normal.png" TargetMode="External"/><Relationship Id="rId2427" Type="http://schemas.openxmlformats.org/officeDocument/2006/relationships/hyperlink" Target="https://pbs.twimg.com/profile_images/529629909597949953/SVewJVqU_normal.png" TargetMode="External"/><Relationship Id="rId3759" Type="http://schemas.openxmlformats.org/officeDocument/2006/relationships/hyperlink" Target="http://twittbot.net" TargetMode="External"/><Relationship Id="rId2428" Type="http://schemas.openxmlformats.org/officeDocument/2006/relationships/hyperlink" Target="https://twitter.com/swcarpentry" TargetMode="External"/><Relationship Id="rId3758" Type="http://schemas.openxmlformats.org/officeDocument/2006/relationships/hyperlink" Target="https://twitter.com/joonoopenstory/status/702958229051977729" TargetMode="External"/><Relationship Id="rId2429" Type="http://schemas.openxmlformats.org/officeDocument/2006/relationships/hyperlink" Target="https://twitter.com/swcarpentry/status/702908490491121665" TargetMode="External"/><Relationship Id="rId3751" Type="http://schemas.openxmlformats.org/officeDocument/2006/relationships/hyperlink" Target="https://twitter.com/cssdeck" TargetMode="External"/><Relationship Id="rId2420" Type="http://schemas.openxmlformats.org/officeDocument/2006/relationships/hyperlink" Target="https://twitter.com/panseybard/status/702907292824391680" TargetMode="External"/><Relationship Id="rId3750" Type="http://schemas.openxmlformats.org/officeDocument/2006/relationships/hyperlink" Target="https://pbs.twimg.com/profile_images/618784550311841792/2wCfJG5A_normal.png" TargetMode="External"/><Relationship Id="rId2421" Type="http://schemas.openxmlformats.org/officeDocument/2006/relationships/hyperlink" Target="https://pbs.twimg.com/profile_images/583850259970822144/7EgtHLoT_normal.jpg" TargetMode="External"/><Relationship Id="rId3753" Type="http://schemas.openxmlformats.org/officeDocument/2006/relationships/hyperlink" Target="https://pbs.twimg.com/profile_images/2450743953/kfc4z276frzqm6v1uoys_normal.png" TargetMode="External"/><Relationship Id="rId2422" Type="http://schemas.openxmlformats.org/officeDocument/2006/relationships/hyperlink" Target="https://twitter.com/AmyPlumOhLaLa" TargetMode="External"/><Relationship Id="rId3752" Type="http://schemas.openxmlformats.org/officeDocument/2006/relationships/hyperlink" Target="https://twitter.com/cssdeck/status/702957141615886337" TargetMode="External"/><Relationship Id="rId2412" Type="http://schemas.openxmlformats.org/officeDocument/2006/relationships/hyperlink" Target="https://pbs.twimg.com/profile_images/702513879050493953/6qIXrKgi_normal.jpg" TargetMode="External"/><Relationship Id="rId3744" Type="http://schemas.openxmlformats.org/officeDocument/2006/relationships/hyperlink" Target="https://pbs.twimg.com/profile_images/669613362255282176/8iApenAA_normal.png" TargetMode="External"/><Relationship Id="rId2413" Type="http://schemas.openxmlformats.org/officeDocument/2006/relationships/hyperlink" Target="https://twitter.com/SeleniumBase" TargetMode="External"/><Relationship Id="rId3743" Type="http://schemas.openxmlformats.org/officeDocument/2006/relationships/hyperlink" Target="https://twitter.com/StackCodeReview/status/702955863451914240" TargetMode="External"/><Relationship Id="rId2414" Type="http://schemas.openxmlformats.org/officeDocument/2006/relationships/hyperlink" Target="https://twitter.com/SeleniumBase/status/702906610008637440" TargetMode="External"/><Relationship Id="rId3746" Type="http://schemas.openxmlformats.org/officeDocument/2006/relationships/hyperlink" Target="https://twitter.com/whaleygeek/status/702956019010371585" TargetMode="External"/><Relationship Id="rId2415" Type="http://schemas.openxmlformats.org/officeDocument/2006/relationships/hyperlink" Target="https://pbs.twimg.com/profile_images/701968600178016256/H2KWrZxU_normal.png" TargetMode="External"/><Relationship Id="rId3745" Type="http://schemas.openxmlformats.org/officeDocument/2006/relationships/hyperlink" Target="https://twitter.com/whaleygeek" TargetMode="External"/><Relationship Id="rId2416" Type="http://schemas.openxmlformats.org/officeDocument/2006/relationships/hyperlink" Target="https://twitter.com/dawranliou" TargetMode="External"/><Relationship Id="rId3748" Type="http://schemas.openxmlformats.org/officeDocument/2006/relationships/hyperlink" Target="https://twitter.com/WeCanCodeIT" TargetMode="External"/><Relationship Id="rId2417" Type="http://schemas.openxmlformats.org/officeDocument/2006/relationships/hyperlink" Target="https://twitter.com/dawranliou/status/702907153930059776" TargetMode="External"/><Relationship Id="rId3747" Type="http://schemas.openxmlformats.org/officeDocument/2006/relationships/hyperlink" Target="https://pbs.twimg.com/profile_images/76151974/DavidWhaleProfilePicture_normal.jpg" TargetMode="External"/><Relationship Id="rId2418" Type="http://schemas.openxmlformats.org/officeDocument/2006/relationships/hyperlink" Target="https://pbs.twimg.com/profile_images/665300241768312832/UFfM-yth_normal.jpg" TargetMode="External"/><Relationship Id="rId2419" Type="http://schemas.openxmlformats.org/officeDocument/2006/relationships/hyperlink" Target="https://twitter.com/panseybard" TargetMode="External"/><Relationship Id="rId3749" Type="http://schemas.openxmlformats.org/officeDocument/2006/relationships/hyperlink" Target="https://twitter.com/WeCanCodeIT/status/702956348342996993" TargetMode="External"/><Relationship Id="rId3740" Type="http://schemas.openxmlformats.org/officeDocument/2006/relationships/hyperlink" Target="https://pbs.twimg.com/profile_images/640258559419269120/2M5O7t7M_normal.jpg" TargetMode="External"/><Relationship Id="rId2410" Type="http://schemas.openxmlformats.org/officeDocument/2006/relationships/hyperlink" Target="https://twitter.com/ITProTV" TargetMode="External"/><Relationship Id="rId3742" Type="http://schemas.openxmlformats.org/officeDocument/2006/relationships/hyperlink" Target="https://twitter.com/StackCodeReview" TargetMode="External"/><Relationship Id="rId2411" Type="http://schemas.openxmlformats.org/officeDocument/2006/relationships/hyperlink" Target="https://twitter.com/ITProTV/status/702906093937287169" TargetMode="External"/><Relationship Id="rId3741" Type="http://schemas.openxmlformats.org/officeDocument/2006/relationships/hyperlink" Target="http://ctrlq.org/maps/address/" TargetMode="External"/><Relationship Id="rId1114" Type="http://schemas.openxmlformats.org/officeDocument/2006/relationships/hyperlink" Target="https://pbs.twimg.com/profile_images/2815354094/5ef76183f09c66930e3d89590f881df9_normal.png" TargetMode="External"/><Relationship Id="rId2445" Type="http://schemas.openxmlformats.org/officeDocument/2006/relationships/hyperlink" Target="https://pbs.twimg.com/profile_images/483778095569043456/sQoe-3CW_normal.jpeg" TargetMode="External"/><Relationship Id="rId3777" Type="http://schemas.openxmlformats.org/officeDocument/2006/relationships/hyperlink" Target="https://twitter.com/FLFLElGeniena" TargetMode="External"/><Relationship Id="rId1115" Type="http://schemas.openxmlformats.org/officeDocument/2006/relationships/hyperlink" Target="https://twitter.com/JobHero_io" TargetMode="External"/><Relationship Id="rId2446" Type="http://schemas.openxmlformats.org/officeDocument/2006/relationships/hyperlink" Target="https://twitter.com/videoboyblog" TargetMode="External"/><Relationship Id="rId3776" Type="http://schemas.openxmlformats.org/officeDocument/2006/relationships/hyperlink" Target="https://pbs.twimg.com/profile_images/522536769502195712/cG1yitHo_normal.jpeg" TargetMode="External"/><Relationship Id="rId1116" Type="http://schemas.openxmlformats.org/officeDocument/2006/relationships/hyperlink" Target="http://JobHero.io" TargetMode="External"/><Relationship Id="rId2447" Type="http://schemas.openxmlformats.org/officeDocument/2006/relationships/hyperlink" Target="https://twitter.com/videoboyblog/status/702910087669555200" TargetMode="External"/><Relationship Id="rId3779" Type="http://schemas.openxmlformats.org/officeDocument/2006/relationships/hyperlink" Target="https://pbs.twimg.com/profile_images/688688222864539648/0k4Ms9HP_normal.jpg" TargetMode="External"/><Relationship Id="rId1117" Type="http://schemas.openxmlformats.org/officeDocument/2006/relationships/hyperlink" Target="https://twitter.com/JobHero_io/status/702855759198089217" TargetMode="External"/><Relationship Id="rId2448" Type="http://schemas.openxmlformats.org/officeDocument/2006/relationships/hyperlink" Target="https://pbs.twimg.com/profile_images/2238087243/DANIEL-205b_normal.jpg" TargetMode="External"/><Relationship Id="rId3778" Type="http://schemas.openxmlformats.org/officeDocument/2006/relationships/hyperlink" Target="https://twitter.com/FLFLElGeniena/status/702959767141146625" TargetMode="External"/><Relationship Id="rId1118" Type="http://schemas.openxmlformats.org/officeDocument/2006/relationships/hyperlink" Target="https://pbs.twimg.com/profile_images/609201325046280192/WqwLYJNg_normal.jpg" TargetMode="External"/><Relationship Id="rId2449" Type="http://schemas.openxmlformats.org/officeDocument/2006/relationships/hyperlink" Target="https://twitter.com/StackCodeReview" TargetMode="External"/><Relationship Id="rId1119" Type="http://schemas.openxmlformats.org/officeDocument/2006/relationships/hyperlink" Target="https://twitter.com/PythonWeekly" TargetMode="External"/><Relationship Id="rId3771" Type="http://schemas.openxmlformats.org/officeDocument/2006/relationships/hyperlink" Target="http://Livecoding.tv" TargetMode="External"/><Relationship Id="rId2440" Type="http://schemas.openxmlformats.org/officeDocument/2006/relationships/hyperlink" Target="https://twitter.com/art_control" TargetMode="External"/><Relationship Id="rId3770" Type="http://schemas.openxmlformats.org/officeDocument/2006/relationships/hyperlink" Target="https://twitter.com/livecodingtv" TargetMode="External"/><Relationship Id="rId1110" Type="http://schemas.openxmlformats.org/officeDocument/2006/relationships/hyperlink" Target="https://twitter.com/oliver_frietsch/status/702855328401104896" TargetMode="External"/><Relationship Id="rId2441" Type="http://schemas.openxmlformats.org/officeDocument/2006/relationships/hyperlink" Target="https://twitter.com/art_control/status/702909472155541504" TargetMode="External"/><Relationship Id="rId3773" Type="http://schemas.openxmlformats.org/officeDocument/2006/relationships/hyperlink" Target="https://pbs.twimg.com/profile_images/539451988929294337/hCieN16A_normal.png" TargetMode="External"/><Relationship Id="rId1111" Type="http://schemas.openxmlformats.org/officeDocument/2006/relationships/hyperlink" Target="https://pbs.twimg.com/profile_images/700580992507969537/DtSbmhkX_normal.jpg" TargetMode="External"/><Relationship Id="rId2442" Type="http://schemas.openxmlformats.org/officeDocument/2006/relationships/hyperlink" Target="https://pbs.twimg.com/profile_images/649004216690675712/UAcrP6ol_normal.png" TargetMode="External"/><Relationship Id="rId3772" Type="http://schemas.openxmlformats.org/officeDocument/2006/relationships/hyperlink" Target="https://twitter.com/livecodingtv/status/702959318354624512" TargetMode="External"/><Relationship Id="rId1112" Type="http://schemas.openxmlformats.org/officeDocument/2006/relationships/hyperlink" Target="https://twitter.com/wraybowling" TargetMode="External"/><Relationship Id="rId2443" Type="http://schemas.openxmlformats.org/officeDocument/2006/relationships/hyperlink" Target="https://twitter.com/scottlee" TargetMode="External"/><Relationship Id="rId3775" Type="http://schemas.openxmlformats.org/officeDocument/2006/relationships/hyperlink" Target="https://twitter.com/IndieGameDevBot/status/702959441063370752" TargetMode="External"/><Relationship Id="rId1113" Type="http://schemas.openxmlformats.org/officeDocument/2006/relationships/hyperlink" Target="https://twitter.com/wraybowling/status/702855412786307072" TargetMode="External"/><Relationship Id="rId2444" Type="http://schemas.openxmlformats.org/officeDocument/2006/relationships/hyperlink" Target="https://twitter.com/scottlee/status/702909719443218432" TargetMode="External"/><Relationship Id="rId3774" Type="http://schemas.openxmlformats.org/officeDocument/2006/relationships/hyperlink" Target="https://twitter.com/IndieGameDevBot" TargetMode="External"/><Relationship Id="rId1103" Type="http://schemas.openxmlformats.org/officeDocument/2006/relationships/hyperlink" Target="https://twitter.com/JoshuaLongUK" TargetMode="External"/><Relationship Id="rId2434" Type="http://schemas.openxmlformats.org/officeDocument/2006/relationships/hyperlink" Target="https://twitter.com/unlmtdsmarttech" TargetMode="External"/><Relationship Id="rId3766" Type="http://schemas.openxmlformats.org/officeDocument/2006/relationships/hyperlink" Target="https://pbs.twimg.com/profile_images/695309999090716672/EOC02zPz_normal.jpg" TargetMode="External"/><Relationship Id="rId1104" Type="http://schemas.openxmlformats.org/officeDocument/2006/relationships/hyperlink" Target="https://twitter.com/JoshuaLongUK/status/702855001014669313" TargetMode="External"/><Relationship Id="rId2435" Type="http://schemas.openxmlformats.org/officeDocument/2006/relationships/hyperlink" Target="https://twitter.com/unlmtdsmarttech/status/702908814983610369" TargetMode="External"/><Relationship Id="rId3765" Type="http://schemas.openxmlformats.org/officeDocument/2006/relationships/hyperlink" Target="https://twitter.com/thought_module/status/702958725871616000" TargetMode="External"/><Relationship Id="rId1105" Type="http://schemas.openxmlformats.org/officeDocument/2006/relationships/hyperlink" Target="https://pbs.twimg.com/profile_images/627996138403168256/DaASdgVr_normal.jpg" TargetMode="External"/><Relationship Id="rId2436" Type="http://schemas.openxmlformats.org/officeDocument/2006/relationships/hyperlink" Target="https://pbs.twimg.com/profile_images/671525031948652544/gPRky3nV_normal.jpg" TargetMode="External"/><Relationship Id="rId3768" Type="http://schemas.openxmlformats.org/officeDocument/2006/relationships/hyperlink" Target="https://twitter.com/climboid/status/702958879584477184" TargetMode="External"/><Relationship Id="rId1106" Type="http://schemas.openxmlformats.org/officeDocument/2006/relationships/hyperlink" Target="https://twitter.com/jonasl" TargetMode="External"/><Relationship Id="rId2437" Type="http://schemas.openxmlformats.org/officeDocument/2006/relationships/hyperlink" Target="https://twitter.com/kedrel" TargetMode="External"/><Relationship Id="rId3767" Type="http://schemas.openxmlformats.org/officeDocument/2006/relationships/hyperlink" Target="https://twitter.com/climboid" TargetMode="External"/><Relationship Id="rId1107" Type="http://schemas.openxmlformats.org/officeDocument/2006/relationships/hyperlink" Target="https://twitter.com/jonasl/status/702855159425081344" TargetMode="External"/><Relationship Id="rId2438" Type="http://schemas.openxmlformats.org/officeDocument/2006/relationships/hyperlink" Target="https://twitter.com/kedrel/status/702909297647181829" TargetMode="External"/><Relationship Id="rId1108" Type="http://schemas.openxmlformats.org/officeDocument/2006/relationships/hyperlink" Target="https://pbs.twimg.com/profile_images/482041073795993600/igCQriPW_normal.jpeg" TargetMode="External"/><Relationship Id="rId2439" Type="http://schemas.openxmlformats.org/officeDocument/2006/relationships/hyperlink" Target="https://pbs.twimg.com/profile_images/187758234/brad2_normal.jpg" TargetMode="External"/><Relationship Id="rId3769" Type="http://schemas.openxmlformats.org/officeDocument/2006/relationships/hyperlink" Target="https://pbs.twimg.com/profile_images/641946934924603392/Y6ToFzSP_normal.jpg" TargetMode="External"/><Relationship Id="rId1109" Type="http://schemas.openxmlformats.org/officeDocument/2006/relationships/hyperlink" Target="https://twitter.com/oliver_frietsch" TargetMode="External"/><Relationship Id="rId3760" Type="http://schemas.openxmlformats.org/officeDocument/2006/relationships/hyperlink" Target="https://pbs.twimg.com/profile_images/485962916626067456/IlECTKMq_normal.jpeg" TargetMode="External"/><Relationship Id="rId2430" Type="http://schemas.openxmlformats.org/officeDocument/2006/relationships/hyperlink" Target="https://pbs.twimg.com/profile_images/1827520500/avatar_normal.png" TargetMode="External"/><Relationship Id="rId3762" Type="http://schemas.openxmlformats.org/officeDocument/2006/relationships/hyperlink" Target="https://twitter.com/LillianEdmiston/status/702958377090097153" TargetMode="External"/><Relationship Id="rId1100" Type="http://schemas.openxmlformats.org/officeDocument/2006/relationships/hyperlink" Target="https://twitter.com/pythonz_net" TargetMode="External"/><Relationship Id="rId2431" Type="http://schemas.openxmlformats.org/officeDocument/2006/relationships/hyperlink" Target="https://twitter.com/programmingncr" TargetMode="External"/><Relationship Id="rId3761" Type="http://schemas.openxmlformats.org/officeDocument/2006/relationships/hyperlink" Target="https://twitter.com/LillianEdmiston" TargetMode="External"/><Relationship Id="rId1101" Type="http://schemas.openxmlformats.org/officeDocument/2006/relationships/hyperlink" Target="https://twitter.com/pythonz_net/status/702854795720323073" TargetMode="External"/><Relationship Id="rId2432" Type="http://schemas.openxmlformats.org/officeDocument/2006/relationships/hyperlink" Target="https://twitter.com/programmingncr/status/702908659714621441" TargetMode="External"/><Relationship Id="rId3764" Type="http://schemas.openxmlformats.org/officeDocument/2006/relationships/hyperlink" Target="https://twitter.com/thought_module" TargetMode="External"/><Relationship Id="rId1102" Type="http://schemas.openxmlformats.org/officeDocument/2006/relationships/hyperlink" Target="https://pbs.twimg.com/profile_images/482561147074129920/Opt5Ssac_normal.png" TargetMode="External"/><Relationship Id="rId2433" Type="http://schemas.openxmlformats.org/officeDocument/2006/relationships/hyperlink" Target="https://pbs.twimg.com/profile_images/662602436222193664/qKuvsfnG_normal.jpg" TargetMode="External"/><Relationship Id="rId3763" Type="http://schemas.openxmlformats.org/officeDocument/2006/relationships/hyperlink" Target="https://pbs.twimg.com/profile_images/655014978101993476/ZpsnJW8B_normal.jpg" TargetMode="External"/><Relationship Id="rId3711" Type="http://schemas.openxmlformats.org/officeDocument/2006/relationships/hyperlink" Target="https://pbs.twimg.com/profile_images/488749320749842432/Z9cOWJVg_normal.jpeg" TargetMode="External"/><Relationship Id="rId3710" Type="http://schemas.openxmlformats.org/officeDocument/2006/relationships/hyperlink" Target="https://twitter.com/C3inc/status/702953778312519680" TargetMode="External"/><Relationship Id="rId3713" Type="http://schemas.openxmlformats.org/officeDocument/2006/relationships/hyperlink" Target="https://twitter.com/emergya/status/702953830602907655" TargetMode="External"/><Relationship Id="rId3712" Type="http://schemas.openxmlformats.org/officeDocument/2006/relationships/hyperlink" Target="https://twitter.com/emergya" TargetMode="External"/><Relationship Id="rId3715" Type="http://schemas.openxmlformats.org/officeDocument/2006/relationships/hyperlink" Target="https://twitter.com/livecodingtv" TargetMode="External"/><Relationship Id="rId3714" Type="http://schemas.openxmlformats.org/officeDocument/2006/relationships/hyperlink" Target="https://pbs.twimg.com/profile_images/469010761591713792/qraTovRF_normal.jpeg" TargetMode="External"/><Relationship Id="rId3717" Type="http://schemas.openxmlformats.org/officeDocument/2006/relationships/hyperlink" Target="https://twitter.com/livecodingtv/status/702954201307959296" TargetMode="External"/><Relationship Id="rId3716" Type="http://schemas.openxmlformats.org/officeDocument/2006/relationships/hyperlink" Target="http://Livecoding.tv" TargetMode="External"/><Relationship Id="rId3719" Type="http://schemas.openxmlformats.org/officeDocument/2006/relationships/hyperlink" Target="https://twitter.com/artwisanggeni" TargetMode="External"/><Relationship Id="rId3718" Type="http://schemas.openxmlformats.org/officeDocument/2006/relationships/hyperlink" Target="https://pbs.twimg.com/profile_images/539451988929294337/hCieN16A_normal.png" TargetMode="External"/><Relationship Id="rId3700" Type="http://schemas.openxmlformats.org/officeDocument/2006/relationships/hyperlink" Target="https://twitter.com/ICanPlaceYou" TargetMode="External"/><Relationship Id="rId3702" Type="http://schemas.openxmlformats.org/officeDocument/2006/relationships/hyperlink" Target="https://pbs.twimg.com/profile_images/511184621912870912/53U_hyqW_normal.png" TargetMode="External"/><Relationship Id="rId3701" Type="http://schemas.openxmlformats.org/officeDocument/2006/relationships/hyperlink" Target="https://twitter.com/ICanPlaceYou/status/702953662293757952" TargetMode="External"/><Relationship Id="rId3704" Type="http://schemas.openxmlformats.org/officeDocument/2006/relationships/hyperlink" Target="https://twitter.com/egomarklondonuk/status/702953678789935104" TargetMode="External"/><Relationship Id="rId3703" Type="http://schemas.openxmlformats.org/officeDocument/2006/relationships/hyperlink" Target="https://twitter.com/egomarklondonuk" TargetMode="External"/><Relationship Id="rId3706" Type="http://schemas.openxmlformats.org/officeDocument/2006/relationships/hyperlink" Target="https://twitter.com/0x626F74" TargetMode="External"/><Relationship Id="rId3705" Type="http://schemas.openxmlformats.org/officeDocument/2006/relationships/hyperlink" Target="https://pbs.twimg.com/profile_images/519142967437955072/KIOPEEYo_normal.jpeg" TargetMode="External"/><Relationship Id="rId3708" Type="http://schemas.openxmlformats.org/officeDocument/2006/relationships/hyperlink" Target="https://abs.twimg.com/sticky/default_profile_images/default_profile_3_normal.png" TargetMode="External"/><Relationship Id="rId3707" Type="http://schemas.openxmlformats.org/officeDocument/2006/relationships/hyperlink" Target="https://twitter.com/0x626F74/status/702953717121691648" TargetMode="External"/><Relationship Id="rId3709" Type="http://schemas.openxmlformats.org/officeDocument/2006/relationships/hyperlink" Target="https://twitter.com/C3inc" TargetMode="External"/><Relationship Id="rId2401" Type="http://schemas.openxmlformats.org/officeDocument/2006/relationships/hyperlink" Target="https://pbs.twimg.com/profile_images/2813636657/599521f69e2bc210a57323b64d8e39e6_normal.jpeg" TargetMode="External"/><Relationship Id="rId3733" Type="http://schemas.openxmlformats.org/officeDocument/2006/relationships/hyperlink" Target="http://dlvr.it" TargetMode="External"/><Relationship Id="rId2402" Type="http://schemas.openxmlformats.org/officeDocument/2006/relationships/hyperlink" Target="https://twitter.com/artwisanggeni" TargetMode="External"/><Relationship Id="rId3732" Type="http://schemas.openxmlformats.org/officeDocument/2006/relationships/hyperlink" Target="https://twitter.com/artwisanggeni/status/702955023748042752" TargetMode="External"/><Relationship Id="rId2403" Type="http://schemas.openxmlformats.org/officeDocument/2006/relationships/hyperlink" Target="https://twitter.com/artwisanggeni/status/702905713895428097" TargetMode="External"/><Relationship Id="rId3735" Type="http://schemas.openxmlformats.org/officeDocument/2006/relationships/hyperlink" Target="https://twitter.com/lobsters" TargetMode="External"/><Relationship Id="rId2404" Type="http://schemas.openxmlformats.org/officeDocument/2006/relationships/hyperlink" Target="http://dlvr.it" TargetMode="External"/><Relationship Id="rId3734" Type="http://schemas.openxmlformats.org/officeDocument/2006/relationships/hyperlink" Target="https://pbs.twimg.com/profile_images/2813636657/599521f69e2bc210a57323b64d8e39e6_normal.jpeg" TargetMode="External"/><Relationship Id="rId2405" Type="http://schemas.openxmlformats.org/officeDocument/2006/relationships/hyperlink" Target="https://pbs.twimg.com/profile_images/2813636657/599521f69e2bc210a57323b64d8e39e6_normal.jpeg" TargetMode="External"/><Relationship Id="rId3737" Type="http://schemas.openxmlformats.org/officeDocument/2006/relationships/hyperlink" Target="https://pbs.twimg.com/profile_images/601409734768394240/jpOhhNOO_normal.png" TargetMode="External"/><Relationship Id="rId2406" Type="http://schemas.openxmlformats.org/officeDocument/2006/relationships/hyperlink" Target="https://twitter.com/artwisanggeni" TargetMode="External"/><Relationship Id="rId3736" Type="http://schemas.openxmlformats.org/officeDocument/2006/relationships/hyperlink" Target="https://twitter.com/lobsters/status/702955036402327552" TargetMode="External"/><Relationship Id="rId2407" Type="http://schemas.openxmlformats.org/officeDocument/2006/relationships/hyperlink" Target="https://twitter.com/artwisanggeni/status/702905716592345092" TargetMode="External"/><Relationship Id="rId3739" Type="http://schemas.openxmlformats.org/officeDocument/2006/relationships/hyperlink" Target="https://twitter.com/FrancescaMariaG/status/702955338333458432" TargetMode="External"/><Relationship Id="rId2408" Type="http://schemas.openxmlformats.org/officeDocument/2006/relationships/hyperlink" Target="http://dlvr.it" TargetMode="External"/><Relationship Id="rId3738" Type="http://schemas.openxmlformats.org/officeDocument/2006/relationships/hyperlink" Target="https://twitter.com/FrancescaMariaG" TargetMode="External"/><Relationship Id="rId2409" Type="http://schemas.openxmlformats.org/officeDocument/2006/relationships/hyperlink" Target="https://pbs.twimg.com/profile_images/2813636657/599521f69e2bc210a57323b64d8e39e6_normal.jpeg" TargetMode="External"/><Relationship Id="rId3731" Type="http://schemas.openxmlformats.org/officeDocument/2006/relationships/hyperlink" Target="https://twitter.com/artwisanggeni" TargetMode="External"/><Relationship Id="rId2400" Type="http://schemas.openxmlformats.org/officeDocument/2006/relationships/hyperlink" Target="http://dlvr.it" TargetMode="External"/><Relationship Id="rId3730" Type="http://schemas.openxmlformats.org/officeDocument/2006/relationships/hyperlink" Target="https://pbs.twimg.com/profile_images/2813636657/599521f69e2bc210a57323b64d8e39e6_normal.jpeg" TargetMode="External"/><Relationship Id="rId3722" Type="http://schemas.openxmlformats.org/officeDocument/2006/relationships/hyperlink" Target="https://pbs.twimg.com/profile_images/2813636657/599521f69e2bc210a57323b64d8e39e6_normal.jpeg" TargetMode="External"/><Relationship Id="rId3721" Type="http://schemas.openxmlformats.org/officeDocument/2006/relationships/hyperlink" Target="http://dlvr.it" TargetMode="External"/><Relationship Id="rId3724" Type="http://schemas.openxmlformats.org/officeDocument/2006/relationships/hyperlink" Target="https://twitter.com/artwisanggeni/status/702955016953303041" TargetMode="External"/><Relationship Id="rId3723" Type="http://schemas.openxmlformats.org/officeDocument/2006/relationships/hyperlink" Target="https://twitter.com/artwisanggeni" TargetMode="External"/><Relationship Id="rId3726" Type="http://schemas.openxmlformats.org/officeDocument/2006/relationships/hyperlink" Target="https://pbs.twimg.com/profile_images/2813636657/599521f69e2bc210a57323b64d8e39e6_normal.jpeg" TargetMode="External"/><Relationship Id="rId3725" Type="http://schemas.openxmlformats.org/officeDocument/2006/relationships/hyperlink" Target="http://dlvr.it" TargetMode="External"/><Relationship Id="rId3728" Type="http://schemas.openxmlformats.org/officeDocument/2006/relationships/hyperlink" Target="https://twitter.com/artwisanggeni/status/702955020434612224" TargetMode="External"/><Relationship Id="rId3727" Type="http://schemas.openxmlformats.org/officeDocument/2006/relationships/hyperlink" Target="https://twitter.com/artwisanggeni" TargetMode="External"/><Relationship Id="rId3729" Type="http://schemas.openxmlformats.org/officeDocument/2006/relationships/hyperlink" Target="http://dlvr.it" TargetMode="External"/><Relationship Id="rId3720" Type="http://schemas.openxmlformats.org/officeDocument/2006/relationships/hyperlink" Target="https://twitter.com/artwisanggeni/status/702955011932729344" TargetMode="External"/><Relationship Id="rId1170" Type="http://schemas.openxmlformats.org/officeDocument/2006/relationships/hyperlink" Target="https://pbs.twimg.com/profile_images/572091631055028224/Pkx__FSB_normal.png" TargetMode="External"/><Relationship Id="rId1171" Type="http://schemas.openxmlformats.org/officeDocument/2006/relationships/hyperlink" Target="https://twitter.com/Monkylabs" TargetMode="External"/><Relationship Id="rId1172" Type="http://schemas.openxmlformats.org/officeDocument/2006/relationships/hyperlink" Target="https://twitter.com/Monkylabs/status/702856727012765700" TargetMode="External"/><Relationship Id="rId1173" Type="http://schemas.openxmlformats.org/officeDocument/2006/relationships/hyperlink" Target="https://pbs.twimg.com/profile_images/567429931634667520/WUvoVNNI_normal.png" TargetMode="External"/><Relationship Id="rId1174" Type="http://schemas.openxmlformats.org/officeDocument/2006/relationships/hyperlink" Target="https://twitter.com/pkimber" TargetMode="External"/><Relationship Id="rId1175" Type="http://schemas.openxmlformats.org/officeDocument/2006/relationships/hyperlink" Target="https://twitter.com/pkimber/status/702857192177803264" TargetMode="External"/><Relationship Id="rId1176" Type="http://schemas.openxmlformats.org/officeDocument/2006/relationships/hyperlink" Target="https://pbs.twimg.com/profile_images/574897631274491904/2wHQnKBd_normal.jpeg" TargetMode="External"/><Relationship Id="rId1177" Type="http://schemas.openxmlformats.org/officeDocument/2006/relationships/hyperlink" Target="https://twitter.com/dswzsd" TargetMode="External"/><Relationship Id="rId1178" Type="http://schemas.openxmlformats.org/officeDocument/2006/relationships/hyperlink" Target="https://twitter.com/dswzsd/status/702857209584218113" TargetMode="External"/><Relationship Id="rId1179" Type="http://schemas.openxmlformats.org/officeDocument/2006/relationships/hyperlink" Target="https://pbs.twimg.com/profile_images/695327774530260992/zxoHVn9U_normal.jpg" TargetMode="External"/><Relationship Id="rId1169" Type="http://schemas.openxmlformats.org/officeDocument/2006/relationships/hyperlink" Target="https://twitter.com/cool_python/status/702856532766138368" TargetMode="External"/><Relationship Id="rId2490" Type="http://schemas.openxmlformats.org/officeDocument/2006/relationships/hyperlink" Target="https://pbs.twimg.com/profile_images/551014010917617664/ybFl198S_normal.jpeg" TargetMode="External"/><Relationship Id="rId1160" Type="http://schemas.openxmlformats.org/officeDocument/2006/relationships/hyperlink" Target="http://dlvr.it" TargetMode="External"/><Relationship Id="rId2491" Type="http://schemas.openxmlformats.org/officeDocument/2006/relationships/hyperlink" Target="https://twitter.com/dswzsd" TargetMode="External"/><Relationship Id="rId1161" Type="http://schemas.openxmlformats.org/officeDocument/2006/relationships/hyperlink" Target="https://pbs.twimg.com/profile_images/2813636657/599521f69e2bc210a57323b64d8e39e6_normal.jpeg" TargetMode="External"/><Relationship Id="rId2492" Type="http://schemas.openxmlformats.org/officeDocument/2006/relationships/hyperlink" Target="https://twitter.com/dswzsd/status/702912133865062400" TargetMode="External"/><Relationship Id="rId1162" Type="http://schemas.openxmlformats.org/officeDocument/2006/relationships/hyperlink" Target="https://twitter.com/WeAreAvion" TargetMode="External"/><Relationship Id="rId2493" Type="http://schemas.openxmlformats.org/officeDocument/2006/relationships/hyperlink" Target="https://pbs.twimg.com/profile_images/695327774530260992/zxoHVn9U_normal.jpg" TargetMode="External"/><Relationship Id="rId1163" Type="http://schemas.openxmlformats.org/officeDocument/2006/relationships/hyperlink" Target="https://twitter.com/WeAreAvion/status/702856207485292545" TargetMode="External"/><Relationship Id="rId2494" Type="http://schemas.openxmlformats.org/officeDocument/2006/relationships/hyperlink" Target="https://twitter.com/icodenow" TargetMode="External"/><Relationship Id="rId1164" Type="http://schemas.openxmlformats.org/officeDocument/2006/relationships/hyperlink" Target="https://pbs.twimg.com/profile_images/700261485415632896/lEeTauGl_normal.png" TargetMode="External"/><Relationship Id="rId2495" Type="http://schemas.openxmlformats.org/officeDocument/2006/relationships/hyperlink" Target="https://twitter.com/icodenow/status/702912292912926720" TargetMode="External"/><Relationship Id="rId1165" Type="http://schemas.openxmlformats.org/officeDocument/2006/relationships/hyperlink" Target="https://twitter.com/ephes" TargetMode="External"/><Relationship Id="rId2496" Type="http://schemas.openxmlformats.org/officeDocument/2006/relationships/hyperlink" Target="https://abs.twimg.com/sticky/default_profile_images/default_profile_2_normal.png" TargetMode="External"/><Relationship Id="rId1166" Type="http://schemas.openxmlformats.org/officeDocument/2006/relationships/hyperlink" Target="https://twitter.com/ephes/status/702856415099101184" TargetMode="External"/><Relationship Id="rId2497" Type="http://schemas.openxmlformats.org/officeDocument/2006/relationships/hyperlink" Target="https://twitter.com/GetUdemyDeals" TargetMode="External"/><Relationship Id="rId1167" Type="http://schemas.openxmlformats.org/officeDocument/2006/relationships/hyperlink" Target="https://pbs.twimg.com/profile_images/86639212/n530289512_145058_5780_normal.jpg" TargetMode="External"/><Relationship Id="rId2498" Type="http://schemas.openxmlformats.org/officeDocument/2006/relationships/hyperlink" Target="https://twitter.com/GetUdemyDeals/status/702912444084125696" TargetMode="External"/><Relationship Id="rId1168" Type="http://schemas.openxmlformats.org/officeDocument/2006/relationships/hyperlink" Target="https://twitter.com/cool_python" TargetMode="External"/><Relationship Id="rId2499" Type="http://schemas.openxmlformats.org/officeDocument/2006/relationships/hyperlink" Target="https://pbs.twimg.com/profile_images/523203529620484096/fzN_Plp5_normal.jpeg" TargetMode="External"/><Relationship Id="rId1190" Type="http://schemas.openxmlformats.org/officeDocument/2006/relationships/hyperlink" Target="https://twitter.com/pythonz_net/status/702857562962657280" TargetMode="External"/><Relationship Id="rId1191" Type="http://schemas.openxmlformats.org/officeDocument/2006/relationships/hyperlink" Target="https://pbs.twimg.com/profile_images/482561147074129920/Opt5Ssac_normal.png" TargetMode="External"/><Relationship Id="rId1192" Type="http://schemas.openxmlformats.org/officeDocument/2006/relationships/hyperlink" Target="https://twitter.com/DataRobot" TargetMode="External"/><Relationship Id="rId1193" Type="http://schemas.openxmlformats.org/officeDocument/2006/relationships/hyperlink" Target="https://twitter.com/DataRobot/status/702857602955350016" TargetMode="External"/><Relationship Id="rId1194" Type="http://schemas.openxmlformats.org/officeDocument/2006/relationships/hyperlink" Target="https://pbs.twimg.com/profile_images/703235203922272256/eZEm66_z_normal.jpg" TargetMode="External"/><Relationship Id="rId1195" Type="http://schemas.openxmlformats.org/officeDocument/2006/relationships/hyperlink" Target="https://twitter.com/EugeneOskin" TargetMode="External"/><Relationship Id="rId1196" Type="http://schemas.openxmlformats.org/officeDocument/2006/relationships/hyperlink" Target="https://twitter.com/EugeneOskin/status/702857827715571712" TargetMode="External"/><Relationship Id="rId1197" Type="http://schemas.openxmlformats.org/officeDocument/2006/relationships/hyperlink" Target="https://pbs.twimg.com/profile_images/662644143181705218/PQiJbvr3_normal.jpg" TargetMode="External"/><Relationship Id="rId1198" Type="http://schemas.openxmlformats.org/officeDocument/2006/relationships/hyperlink" Target="https://twitter.com/oburoni2" TargetMode="External"/><Relationship Id="rId1199" Type="http://schemas.openxmlformats.org/officeDocument/2006/relationships/hyperlink" Target="https://twitter.com/oburoni2/status/702857871399190529" TargetMode="External"/><Relationship Id="rId1180" Type="http://schemas.openxmlformats.org/officeDocument/2006/relationships/hyperlink" Target="https://twitter.com/BlakeSkuse" TargetMode="External"/><Relationship Id="rId1181" Type="http://schemas.openxmlformats.org/officeDocument/2006/relationships/hyperlink" Target="https://twitter.com/BlakeSkuse/status/702857303041536000" TargetMode="External"/><Relationship Id="rId1182" Type="http://schemas.openxmlformats.org/officeDocument/2006/relationships/hyperlink" Target="https://pbs.twimg.com/profile_images/459351433578418176/7gY1j3d5_normal.jpeg" TargetMode="External"/><Relationship Id="rId1183" Type="http://schemas.openxmlformats.org/officeDocument/2006/relationships/hyperlink" Target="https://twitter.com/py3k" TargetMode="External"/><Relationship Id="rId1184" Type="http://schemas.openxmlformats.org/officeDocument/2006/relationships/hyperlink" Target="https://twitter.com/py3k/status/702857311396691968" TargetMode="External"/><Relationship Id="rId1185" Type="http://schemas.openxmlformats.org/officeDocument/2006/relationships/hyperlink" Target="https://pbs.twimg.com/profile_images/2474433856/p075cerxh0arpea6ceip_normal.png" TargetMode="External"/><Relationship Id="rId1186" Type="http://schemas.openxmlformats.org/officeDocument/2006/relationships/hyperlink" Target="https://twitter.com/dean_anonym" TargetMode="External"/><Relationship Id="rId1187" Type="http://schemas.openxmlformats.org/officeDocument/2006/relationships/hyperlink" Target="https://twitter.com/dean_anonym/status/702857355386552320" TargetMode="External"/><Relationship Id="rId1188" Type="http://schemas.openxmlformats.org/officeDocument/2006/relationships/hyperlink" Target="https://pbs.twimg.com/profile_images/702950881352916992/LblSSTGt_normal.jpg" TargetMode="External"/><Relationship Id="rId1189" Type="http://schemas.openxmlformats.org/officeDocument/2006/relationships/hyperlink" Target="https://twitter.com/pythonz_net" TargetMode="External"/><Relationship Id="rId1136" Type="http://schemas.openxmlformats.org/officeDocument/2006/relationships/hyperlink" Target="http://dlvr.it" TargetMode="External"/><Relationship Id="rId2467" Type="http://schemas.openxmlformats.org/officeDocument/2006/relationships/hyperlink" Target="https://twitter.com/Alatitude77" TargetMode="External"/><Relationship Id="rId3799" Type="http://schemas.openxmlformats.org/officeDocument/2006/relationships/hyperlink" Target="https://twitter.com/DailyTechVideo/status/702961295776059392" TargetMode="External"/><Relationship Id="rId1137" Type="http://schemas.openxmlformats.org/officeDocument/2006/relationships/hyperlink" Target="https://pbs.twimg.com/profile_images/2813636657/599521f69e2bc210a57323b64d8e39e6_normal.jpeg" TargetMode="External"/><Relationship Id="rId2468" Type="http://schemas.openxmlformats.org/officeDocument/2006/relationships/hyperlink" Target="https://twitter.com/Alatitude77/status/702911032054906880" TargetMode="External"/><Relationship Id="rId3798" Type="http://schemas.openxmlformats.org/officeDocument/2006/relationships/hyperlink" Target="https://twitter.com/DailyTechVideo" TargetMode="External"/><Relationship Id="rId1138" Type="http://schemas.openxmlformats.org/officeDocument/2006/relationships/hyperlink" Target="https://twitter.com/artwisanggeni" TargetMode="External"/><Relationship Id="rId2469" Type="http://schemas.openxmlformats.org/officeDocument/2006/relationships/hyperlink" Target="https://pbs.twimg.com/profile_images/537873303042408448/EKgzUX4O_normal.jpeg" TargetMode="External"/><Relationship Id="rId1139" Type="http://schemas.openxmlformats.org/officeDocument/2006/relationships/hyperlink" Target="https://twitter.com/artwisanggeni/status/702856148005711872" TargetMode="External"/><Relationship Id="rId3791" Type="http://schemas.openxmlformats.org/officeDocument/2006/relationships/hyperlink" Target="https://pbs.twimg.com/profile_images/701948459092410370/M-Rhg5_z_normal.jpg" TargetMode="External"/><Relationship Id="rId2460" Type="http://schemas.openxmlformats.org/officeDocument/2006/relationships/hyperlink" Target="https://pbs.twimg.com/profile_images/688174514899816450/HsJfx8Ob_normal.png" TargetMode="External"/><Relationship Id="rId3790" Type="http://schemas.openxmlformats.org/officeDocument/2006/relationships/hyperlink" Target="https://twitter.com/tonyjiazihu/status/702961040720535552" TargetMode="External"/><Relationship Id="rId1130" Type="http://schemas.openxmlformats.org/officeDocument/2006/relationships/hyperlink" Target="https://twitter.com/artwisanggeni" TargetMode="External"/><Relationship Id="rId2461" Type="http://schemas.openxmlformats.org/officeDocument/2006/relationships/hyperlink" Target="https://twitter.com/bryson3gps" TargetMode="External"/><Relationship Id="rId3793" Type="http://schemas.openxmlformats.org/officeDocument/2006/relationships/hyperlink" Target="https://twitter.com/shakamunyi/status/702961222224900096" TargetMode="External"/><Relationship Id="rId1131" Type="http://schemas.openxmlformats.org/officeDocument/2006/relationships/hyperlink" Target="https://twitter.com/artwisanggeni/status/702856142179807232" TargetMode="External"/><Relationship Id="rId2462" Type="http://schemas.openxmlformats.org/officeDocument/2006/relationships/hyperlink" Target="https://twitter.com/bryson3gps/status/702911022709878784" TargetMode="External"/><Relationship Id="rId3792" Type="http://schemas.openxmlformats.org/officeDocument/2006/relationships/hyperlink" Target="https://twitter.com/shakamunyi" TargetMode="External"/><Relationship Id="rId1132" Type="http://schemas.openxmlformats.org/officeDocument/2006/relationships/hyperlink" Target="http://dlvr.it" TargetMode="External"/><Relationship Id="rId2463" Type="http://schemas.openxmlformats.org/officeDocument/2006/relationships/hyperlink" Target="https://pbs.twimg.com/profile_images/1241216097/photo__1__normal.JPG" TargetMode="External"/><Relationship Id="rId3795" Type="http://schemas.openxmlformats.org/officeDocument/2006/relationships/hyperlink" Target="https://twitter.com/ContinuumIO" TargetMode="External"/><Relationship Id="rId1133" Type="http://schemas.openxmlformats.org/officeDocument/2006/relationships/hyperlink" Target="https://pbs.twimg.com/profile_images/2813636657/599521f69e2bc210a57323b64d8e39e6_normal.jpeg" TargetMode="External"/><Relationship Id="rId2464" Type="http://schemas.openxmlformats.org/officeDocument/2006/relationships/hyperlink" Target="https://twitter.com/EricaGutrz" TargetMode="External"/><Relationship Id="rId3794" Type="http://schemas.openxmlformats.org/officeDocument/2006/relationships/hyperlink" Target="https://pbs.twimg.com/profile_images/598640478657978368/PgSHeCsJ_normal.jpg" TargetMode="External"/><Relationship Id="rId1134" Type="http://schemas.openxmlformats.org/officeDocument/2006/relationships/hyperlink" Target="https://twitter.com/artwisanggeni" TargetMode="External"/><Relationship Id="rId2465" Type="http://schemas.openxmlformats.org/officeDocument/2006/relationships/hyperlink" Target="https://twitter.com/EricaGutrz/status/702911027625771010" TargetMode="External"/><Relationship Id="rId3797" Type="http://schemas.openxmlformats.org/officeDocument/2006/relationships/hyperlink" Target="https://pbs.twimg.com/profile_images/624030560457850880/17LrFnZt_normal.png" TargetMode="External"/><Relationship Id="rId1135" Type="http://schemas.openxmlformats.org/officeDocument/2006/relationships/hyperlink" Target="https://twitter.com/artwisanggeni/status/702856144901898240" TargetMode="External"/><Relationship Id="rId2466" Type="http://schemas.openxmlformats.org/officeDocument/2006/relationships/hyperlink" Target="https://pbs.twimg.com/profile_images/653426938283982852/8sFv3lrc_normal.jpg" TargetMode="External"/><Relationship Id="rId3796" Type="http://schemas.openxmlformats.org/officeDocument/2006/relationships/hyperlink" Target="https://twitter.com/ContinuumIO/status/702961279082737665" TargetMode="External"/><Relationship Id="rId1125" Type="http://schemas.openxmlformats.org/officeDocument/2006/relationships/hyperlink" Target="https://pbs.twimg.com/profile_images/2813636657/599521f69e2bc210a57323b64d8e39e6_normal.jpeg" TargetMode="External"/><Relationship Id="rId2456" Type="http://schemas.openxmlformats.org/officeDocument/2006/relationships/hyperlink" Target="https://twitter.com/asguneysu/status/702910765163016193" TargetMode="External"/><Relationship Id="rId3788" Type="http://schemas.openxmlformats.org/officeDocument/2006/relationships/hyperlink" Target="https://pbs.twimg.com/profile_images/615432611071172608/Tpj3Ml2__normal.jpg" TargetMode="External"/><Relationship Id="rId1126" Type="http://schemas.openxmlformats.org/officeDocument/2006/relationships/hyperlink" Target="https://twitter.com/artwisanggeni" TargetMode="External"/><Relationship Id="rId2457" Type="http://schemas.openxmlformats.org/officeDocument/2006/relationships/hyperlink" Target="https://pbs.twimg.com/profile_images/585186849997496322/tTTPPpjQ_normal.jpg" TargetMode="External"/><Relationship Id="rId3787" Type="http://schemas.openxmlformats.org/officeDocument/2006/relationships/hyperlink" Target="https://twitter.com/jvorhauer/status/702960943660187648" TargetMode="External"/><Relationship Id="rId1127" Type="http://schemas.openxmlformats.org/officeDocument/2006/relationships/hyperlink" Target="https://twitter.com/artwisanggeni/status/702856138572713984" TargetMode="External"/><Relationship Id="rId2458" Type="http://schemas.openxmlformats.org/officeDocument/2006/relationships/hyperlink" Target="https://twitter.com/bemyapp" TargetMode="External"/><Relationship Id="rId1128" Type="http://schemas.openxmlformats.org/officeDocument/2006/relationships/hyperlink" Target="http://dlvr.it" TargetMode="External"/><Relationship Id="rId2459" Type="http://schemas.openxmlformats.org/officeDocument/2006/relationships/hyperlink" Target="https://twitter.com/bemyapp/status/702910977478664192" TargetMode="External"/><Relationship Id="rId3789" Type="http://schemas.openxmlformats.org/officeDocument/2006/relationships/hyperlink" Target="https://twitter.com/tonyjiazihu" TargetMode="External"/><Relationship Id="rId1129" Type="http://schemas.openxmlformats.org/officeDocument/2006/relationships/hyperlink" Target="https://pbs.twimg.com/profile_images/2813636657/599521f69e2bc210a57323b64d8e39e6_normal.jpeg" TargetMode="External"/><Relationship Id="rId3780" Type="http://schemas.openxmlformats.org/officeDocument/2006/relationships/hyperlink" Target="https://twitter.com/importpython" TargetMode="External"/><Relationship Id="rId2450" Type="http://schemas.openxmlformats.org/officeDocument/2006/relationships/hyperlink" Target="https://twitter.com/StackCodeReview/status/702910564322975744" TargetMode="External"/><Relationship Id="rId3782" Type="http://schemas.openxmlformats.org/officeDocument/2006/relationships/hyperlink" Target="https://pbs.twimg.com/profile_images/518108253121552384/ClpFqPbX_normal.png" TargetMode="External"/><Relationship Id="rId1120" Type="http://schemas.openxmlformats.org/officeDocument/2006/relationships/hyperlink" Target="https://twitter.com/PythonWeekly/status/702855975884234752" TargetMode="External"/><Relationship Id="rId2451" Type="http://schemas.openxmlformats.org/officeDocument/2006/relationships/hyperlink" Target="https://pbs.twimg.com/profile_images/669613362255282176/8iApenAA_normal.png" TargetMode="External"/><Relationship Id="rId3781" Type="http://schemas.openxmlformats.org/officeDocument/2006/relationships/hyperlink" Target="https://twitter.com/importpython/status/702960171903922176" TargetMode="External"/><Relationship Id="rId1121" Type="http://schemas.openxmlformats.org/officeDocument/2006/relationships/hyperlink" Target="https://pbs.twimg.com/profile_images/1554238582/python_normal.jpg" TargetMode="External"/><Relationship Id="rId2452" Type="http://schemas.openxmlformats.org/officeDocument/2006/relationships/hyperlink" Target="https://twitter.com/WFLAmark" TargetMode="External"/><Relationship Id="rId3784" Type="http://schemas.openxmlformats.org/officeDocument/2006/relationships/hyperlink" Target="https://twitter.com/pjd0014/status/702960403396096000" TargetMode="External"/><Relationship Id="rId1122" Type="http://schemas.openxmlformats.org/officeDocument/2006/relationships/hyperlink" Target="https://twitter.com/artwisanggeni" TargetMode="External"/><Relationship Id="rId2453" Type="http://schemas.openxmlformats.org/officeDocument/2006/relationships/hyperlink" Target="https://twitter.com/WFLAmark/status/702910728332771328" TargetMode="External"/><Relationship Id="rId3783" Type="http://schemas.openxmlformats.org/officeDocument/2006/relationships/hyperlink" Target="https://twitter.com/pjd0014" TargetMode="External"/><Relationship Id="rId1123" Type="http://schemas.openxmlformats.org/officeDocument/2006/relationships/hyperlink" Target="https://twitter.com/artwisanggeni/status/702856135569645568" TargetMode="External"/><Relationship Id="rId2454" Type="http://schemas.openxmlformats.org/officeDocument/2006/relationships/hyperlink" Target="https://pbs.twimg.com/profile_images/24317712/markdoug_normal.jpg" TargetMode="External"/><Relationship Id="rId3786" Type="http://schemas.openxmlformats.org/officeDocument/2006/relationships/hyperlink" Target="https://twitter.com/jvorhauer" TargetMode="External"/><Relationship Id="rId1124" Type="http://schemas.openxmlformats.org/officeDocument/2006/relationships/hyperlink" Target="http://dlvr.it" TargetMode="External"/><Relationship Id="rId2455" Type="http://schemas.openxmlformats.org/officeDocument/2006/relationships/hyperlink" Target="https://twitter.com/asguneysu" TargetMode="External"/><Relationship Id="rId3785" Type="http://schemas.openxmlformats.org/officeDocument/2006/relationships/hyperlink" Target="https://pbs.twimg.com/profile_images/701156692193628160/p8mhO9e4_normal.jpg" TargetMode="External"/><Relationship Id="rId1158" Type="http://schemas.openxmlformats.org/officeDocument/2006/relationships/hyperlink" Target="https://twitter.com/artwisanggeni" TargetMode="External"/><Relationship Id="rId2489" Type="http://schemas.openxmlformats.org/officeDocument/2006/relationships/hyperlink" Target="https://twitter.com/ITTweetsUK/status/702912127246471168" TargetMode="External"/><Relationship Id="rId1159" Type="http://schemas.openxmlformats.org/officeDocument/2006/relationships/hyperlink" Target="https://twitter.com/artwisanggeni/status/702856163918938115" TargetMode="External"/><Relationship Id="rId2480" Type="http://schemas.openxmlformats.org/officeDocument/2006/relationships/hyperlink" Target="https://twitter.com/TundraMx/status/702911451703304192" TargetMode="External"/><Relationship Id="rId1150" Type="http://schemas.openxmlformats.org/officeDocument/2006/relationships/hyperlink" Target="https://twitter.com/artwisanggeni" TargetMode="External"/><Relationship Id="rId2481" Type="http://schemas.openxmlformats.org/officeDocument/2006/relationships/hyperlink" Target="https://pbs.twimg.com/profile_images/702765254896279552/m3OrUoO6_normal.png" TargetMode="External"/><Relationship Id="rId1151" Type="http://schemas.openxmlformats.org/officeDocument/2006/relationships/hyperlink" Target="https://twitter.com/artwisanggeni/status/702856158113992705" TargetMode="External"/><Relationship Id="rId2482" Type="http://schemas.openxmlformats.org/officeDocument/2006/relationships/hyperlink" Target="https://twitter.com/GISPyQuestions" TargetMode="External"/><Relationship Id="rId1152" Type="http://schemas.openxmlformats.org/officeDocument/2006/relationships/hyperlink" Target="http://dlvr.it" TargetMode="External"/><Relationship Id="rId2483" Type="http://schemas.openxmlformats.org/officeDocument/2006/relationships/hyperlink" Target="https://twitter.com/GISPyQuestions/status/702911879329423360" TargetMode="External"/><Relationship Id="rId1153" Type="http://schemas.openxmlformats.org/officeDocument/2006/relationships/hyperlink" Target="https://pbs.twimg.com/profile_images/2813636657/599521f69e2bc210a57323b64d8e39e6_normal.jpeg" TargetMode="External"/><Relationship Id="rId2484" Type="http://schemas.openxmlformats.org/officeDocument/2006/relationships/hyperlink" Target="https://pbs.twimg.com/profile_images/1987767273/python-logo-glassy_normal.png" TargetMode="External"/><Relationship Id="rId1154" Type="http://schemas.openxmlformats.org/officeDocument/2006/relationships/hyperlink" Target="https://twitter.com/artwisanggeni" TargetMode="External"/><Relationship Id="rId2485" Type="http://schemas.openxmlformats.org/officeDocument/2006/relationships/hyperlink" Target="https://twitter.com/rakanalh" TargetMode="External"/><Relationship Id="rId1155" Type="http://schemas.openxmlformats.org/officeDocument/2006/relationships/hyperlink" Target="https://twitter.com/artwisanggeni/status/702856160735416320" TargetMode="External"/><Relationship Id="rId2486" Type="http://schemas.openxmlformats.org/officeDocument/2006/relationships/hyperlink" Target="https://twitter.com/rakanalh/status/702911904054910976" TargetMode="External"/><Relationship Id="rId1156" Type="http://schemas.openxmlformats.org/officeDocument/2006/relationships/hyperlink" Target="http://dlvr.it" TargetMode="External"/><Relationship Id="rId2487" Type="http://schemas.openxmlformats.org/officeDocument/2006/relationships/hyperlink" Target="https://pbs.twimg.com/profile_images/623951377748901888/FfWt8s7S_normal.jpg" TargetMode="External"/><Relationship Id="rId1157" Type="http://schemas.openxmlformats.org/officeDocument/2006/relationships/hyperlink" Target="https://pbs.twimg.com/profile_images/2813636657/599521f69e2bc210a57323b64d8e39e6_normal.jpeg" TargetMode="External"/><Relationship Id="rId2488" Type="http://schemas.openxmlformats.org/officeDocument/2006/relationships/hyperlink" Target="https://twitter.com/ITTweetsUK" TargetMode="External"/><Relationship Id="rId1147" Type="http://schemas.openxmlformats.org/officeDocument/2006/relationships/hyperlink" Target="https://twitter.com/artwisanggeni/status/702856154926321664" TargetMode="External"/><Relationship Id="rId2478" Type="http://schemas.openxmlformats.org/officeDocument/2006/relationships/hyperlink" Target="https://pbs.twimg.com/profile_images/1438485048/Leather4Press_normal.jpg" TargetMode="External"/><Relationship Id="rId1148" Type="http://schemas.openxmlformats.org/officeDocument/2006/relationships/hyperlink" Target="http://dlvr.it" TargetMode="External"/><Relationship Id="rId2479" Type="http://schemas.openxmlformats.org/officeDocument/2006/relationships/hyperlink" Target="https://twitter.com/TundraMx" TargetMode="External"/><Relationship Id="rId1149" Type="http://schemas.openxmlformats.org/officeDocument/2006/relationships/hyperlink" Target="https://pbs.twimg.com/profile_images/2813636657/599521f69e2bc210a57323b64d8e39e6_normal.jpeg" TargetMode="External"/><Relationship Id="rId2470" Type="http://schemas.openxmlformats.org/officeDocument/2006/relationships/hyperlink" Target="https://twitter.com/centizeninc" TargetMode="External"/><Relationship Id="rId1140" Type="http://schemas.openxmlformats.org/officeDocument/2006/relationships/hyperlink" Target="http://dlvr.it" TargetMode="External"/><Relationship Id="rId2471" Type="http://schemas.openxmlformats.org/officeDocument/2006/relationships/hyperlink" Target="https://twitter.com/centizeninc/status/702911056545390592" TargetMode="External"/><Relationship Id="rId1141" Type="http://schemas.openxmlformats.org/officeDocument/2006/relationships/hyperlink" Target="https://pbs.twimg.com/profile_images/2813636657/599521f69e2bc210a57323b64d8e39e6_normal.jpeg" TargetMode="External"/><Relationship Id="rId2472" Type="http://schemas.openxmlformats.org/officeDocument/2006/relationships/hyperlink" Target="https://pbs.twimg.com/profile_images/533666330134597632/1_jp-C_m_normal.png" TargetMode="External"/><Relationship Id="rId1142" Type="http://schemas.openxmlformats.org/officeDocument/2006/relationships/hyperlink" Target="https://twitter.com/artwisanggeni" TargetMode="External"/><Relationship Id="rId2473" Type="http://schemas.openxmlformats.org/officeDocument/2006/relationships/hyperlink" Target="https://twitter.com/fabienv" TargetMode="External"/><Relationship Id="rId1143" Type="http://schemas.openxmlformats.org/officeDocument/2006/relationships/hyperlink" Target="https://twitter.com/artwisanggeni/status/702856151428235264" TargetMode="External"/><Relationship Id="rId2474" Type="http://schemas.openxmlformats.org/officeDocument/2006/relationships/hyperlink" Target="https://twitter.com/fabienv/status/702911255569440770" TargetMode="External"/><Relationship Id="rId1144" Type="http://schemas.openxmlformats.org/officeDocument/2006/relationships/hyperlink" Target="http://dlvr.it" TargetMode="External"/><Relationship Id="rId2475" Type="http://schemas.openxmlformats.org/officeDocument/2006/relationships/hyperlink" Target="https://pbs.twimg.com/profile_images/601035621252083712/e7q362D6_normal.jpg" TargetMode="External"/><Relationship Id="rId1145" Type="http://schemas.openxmlformats.org/officeDocument/2006/relationships/hyperlink" Target="https://pbs.twimg.com/profile_images/2813636657/599521f69e2bc210a57323b64d8e39e6_normal.jpeg" TargetMode="External"/><Relationship Id="rId2476" Type="http://schemas.openxmlformats.org/officeDocument/2006/relationships/hyperlink" Target="https://twitter.com/LibraLeather" TargetMode="External"/><Relationship Id="rId1146" Type="http://schemas.openxmlformats.org/officeDocument/2006/relationships/hyperlink" Target="https://twitter.com/artwisanggeni" TargetMode="External"/><Relationship Id="rId2477" Type="http://schemas.openxmlformats.org/officeDocument/2006/relationships/hyperlink" Target="https://twitter.com/LibraLeather/status/702911268336877568" TargetMode="External"/><Relationship Id="rId7319" Type="http://schemas.openxmlformats.org/officeDocument/2006/relationships/hyperlink" Target="http://dlvr.it" TargetMode="External"/><Relationship Id="rId7318" Type="http://schemas.openxmlformats.org/officeDocument/2006/relationships/hyperlink" Target="https://twitter.com/artwisanggeni/status/703183523021127680" TargetMode="External"/><Relationship Id="rId8649" Type="http://schemas.openxmlformats.org/officeDocument/2006/relationships/hyperlink" Target="https://twitter.com/startechwall" TargetMode="External"/><Relationship Id="rId8640" Type="http://schemas.openxmlformats.org/officeDocument/2006/relationships/hyperlink" Target="https://pbs.twimg.com/profile_images/2813636657/599521f69e2bc210a57323b64d8e39e6_normal.jpeg" TargetMode="External"/><Relationship Id="rId7313" Type="http://schemas.openxmlformats.org/officeDocument/2006/relationships/hyperlink" Target="https://twitter.com/artwisanggeni" TargetMode="External"/><Relationship Id="rId8644" Type="http://schemas.openxmlformats.org/officeDocument/2006/relationships/hyperlink" Target="https://pbs.twimg.com/profile_images/2813636657/599521f69e2bc210a57323b64d8e39e6_normal.jpeg" TargetMode="External"/><Relationship Id="rId7312" Type="http://schemas.openxmlformats.org/officeDocument/2006/relationships/hyperlink" Target="https://pbs.twimg.com/profile_images/669613362255282176/8iApenAA_normal.png" TargetMode="External"/><Relationship Id="rId8643" Type="http://schemas.openxmlformats.org/officeDocument/2006/relationships/hyperlink" Target="http://dlvr.it" TargetMode="External"/><Relationship Id="rId7311" Type="http://schemas.openxmlformats.org/officeDocument/2006/relationships/hyperlink" Target="https://twitter.com/StackCodeReview/status/703183426661310465" TargetMode="External"/><Relationship Id="rId8642" Type="http://schemas.openxmlformats.org/officeDocument/2006/relationships/hyperlink" Target="https://twitter.com/artwisanggeni/status/703242423145607168" TargetMode="External"/><Relationship Id="rId7310" Type="http://schemas.openxmlformats.org/officeDocument/2006/relationships/hyperlink" Target="https://twitter.com/StackCodeReview" TargetMode="External"/><Relationship Id="rId8641" Type="http://schemas.openxmlformats.org/officeDocument/2006/relationships/hyperlink" Target="https://twitter.com/artwisanggeni" TargetMode="External"/><Relationship Id="rId7317" Type="http://schemas.openxmlformats.org/officeDocument/2006/relationships/hyperlink" Target="https://twitter.com/artwisanggeni" TargetMode="External"/><Relationship Id="rId8648" Type="http://schemas.openxmlformats.org/officeDocument/2006/relationships/hyperlink" Target="https://pbs.twimg.com/profile_images/2813636657/599521f69e2bc210a57323b64d8e39e6_normal.jpeg" TargetMode="External"/><Relationship Id="rId7316" Type="http://schemas.openxmlformats.org/officeDocument/2006/relationships/hyperlink" Target="https://pbs.twimg.com/profile_images/2813636657/599521f69e2bc210a57323b64d8e39e6_normal.jpeg" TargetMode="External"/><Relationship Id="rId8647" Type="http://schemas.openxmlformats.org/officeDocument/2006/relationships/hyperlink" Target="http://dlvr.it" TargetMode="External"/><Relationship Id="rId7315" Type="http://schemas.openxmlformats.org/officeDocument/2006/relationships/hyperlink" Target="http://dlvr.it" TargetMode="External"/><Relationship Id="rId8646" Type="http://schemas.openxmlformats.org/officeDocument/2006/relationships/hyperlink" Target="https://twitter.com/artwisanggeni/status/703242426404589569" TargetMode="External"/><Relationship Id="rId7314" Type="http://schemas.openxmlformats.org/officeDocument/2006/relationships/hyperlink" Target="https://twitter.com/artwisanggeni/status/703183518847758336" TargetMode="External"/><Relationship Id="rId8645" Type="http://schemas.openxmlformats.org/officeDocument/2006/relationships/hyperlink" Target="https://twitter.com/artwisanggeni" TargetMode="External"/><Relationship Id="rId7309" Type="http://schemas.openxmlformats.org/officeDocument/2006/relationships/hyperlink" Target="https://pbs.twimg.com/profile_images/701518697815527425/f53q5rhP_normal.jpg" TargetMode="External"/><Relationship Id="rId7308" Type="http://schemas.openxmlformats.org/officeDocument/2006/relationships/hyperlink" Target="https://twitter.com/rodagundez/status/703183099748880384" TargetMode="External"/><Relationship Id="rId8639" Type="http://schemas.openxmlformats.org/officeDocument/2006/relationships/hyperlink" Target="http://dlvr.it" TargetMode="External"/><Relationship Id="rId7307" Type="http://schemas.openxmlformats.org/officeDocument/2006/relationships/hyperlink" Target="https://twitter.com/rodagundez" TargetMode="External"/><Relationship Id="rId8638" Type="http://schemas.openxmlformats.org/officeDocument/2006/relationships/hyperlink" Target="https://twitter.com/artwisanggeni/status/703242419563704320" TargetMode="External"/><Relationship Id="rId7302" Type="http://schemas.openxmlformats.org/officeDocument/2006/relationships/hyperlink" Target="https://twitter.com/pastelgpc/status/703182491180347393" TargetMode="External"/><Relationship Id="rId8633" Type="http://schemas.openxmlformats.org/officeDocument/2006/relationships/hyperlink" Target="https://twitter.com/artwisanggeni" TargetMode="External"/><Relationship Id="rId7301" Type="http://schemas.openxmlformats.org/officeDocument/2006/relationships/hyperlink" Target="https://twitter.com/pastelgpc" TargetMode="External"/><Relationship Id="rId8632" Type="http://schemas.openxmlformats.org/officeDocument/2006/relationships/hyperlink" Target="https://pbs.twimg.com/profile_images/2813636657/599521f69e2bc210a57323b64d8e39e6_normal.jpeg" TargetMode="External"/><Relationship Id="rId7300" Type="http://schemas.openxmlformats.org/officeDocument/2006/relationships/hyperlink" Target="https://pbs.twimg.com/profile_images/3091698355/7c688047e61247dc210aae5e476a33e6_normal.jpeg" TargetMode="External"/><Relationship Id="rId8631" Type="http://schemas.openxmlformats.org/officeDocument/2006/relationships/hyperlink" Target="http://dlvr.it" TargetMode="External"/><Relationship Id="rId8630" Type="http://schemas.openxmlformats.org/officeDocument/2006/relationships/hyperlink" Target="https://twitter.com/artwisanggeni/status/703242410311049217" TargetMode="External"/><Relationship Id="rId7306" Type="http://schemas.openxmlformats.org/officeDocument/2006/relationships/hyperlink" Target="https://pbs.twimg.com/profile_images/656196259494109184/VckKxAbh_normal.png" TargetMode="External"/><Relationship Id="rId8637" Type="http://schemas.openxmlformats.org/officeDocument/2006/relationships/hyperlink" Target="https://twitter.com/artwisanggeni" TargetMode="External"/><Relationship Id="rId7305" Type="http://schemas.openxmlformats.org/officeDocument/2006/relationships/hyperlink" Target="https://twitter.com/ThetfordUTP/status/703182856097497088" TargetMode="External"/><Relationship Id="rId8636" Type="http://schemas.openxmlformats.org/officeDocument/2006/relationships/hyperlink" Target="https://pbs.twimg.com/profile_images/2813636657/599521f69e2bc210a57323b64d8e39e6_normal.jpeg" TargetMode="External"/><Relationship Id="rId7304" Type="http://schemas.openxmlformats.org/officeDocument/2006/relationships/hyperlink" Target="https://twitter.com/ThetfordUTP" TargetMode="External"/><Relationship Id="rId8635" Type="http://schemas.openxmlformats.org/officeDocument/2006/relationships/hyperlink" Target="http://dlvr.it" TargetMode="External"/><Relationship Id="rId7303" Type="http://schemas.openxmlformats.org/officeDocument/2006/relationships/hyperlink" Target="https://pbs.twimg.com/profile_images/557303543439167492/4l5HxAqf_normal.jpeg" TargetMode="External"/><Relationship Id="rId8634" Type="http://schemas.openxmlformats.org/officeDocument/2006/relationships/hyperlink" Target="https://twitter.com/artwisanggeni/status/703242415306452992" TargetMode="External"/><Relationship Id="rId6009" Type="http://schemas.openxmlformats.org/officeDocument/2006/relationships/hyperlink" Target="http://dlvr.it" TargetMode="External"/><Relationship Id="rId7331" Type="http://schemas.openxmlformats.org/officeDocument/2006/relationships/hyperlink" Target="https://twitter.com/Bridge_Tweed/status/703184381695778817" TargetMode="External"/><Relationship Id="rId8662" Type="http://schemas.openxmlformats.org/officeDocument/2006/relationships/hyperlink" Target="https://twitter.com/PyBloggers" TargetMode="External"/><Relationship Id="rId6000" Type="http://schemas.openxmlformats.org/officeDocument/2006/relationships/hyperlink" Target="https://pbs.twimg.com/profile_images/677493910256484352/-EdVaVPl_normal.jpg" TargetMode="External"/><Relationship Id="rId7330" Type="http://schemas.openxmlformats.org/officeDocument/2006/relationships/hyperlink" Target="https://twitter.com/Bridge_Tweed" TargetMode="External"/><Relationship Id="rId8661" Type="http://schemas.openxmlformats.org/officeDocument/2006/relationships/hyperlink" Target="https://pbs.twimg.com/profile_images/575308450562899968/-Dn429I0_normal.png" TargetMode="External"/><Relationship Id="rId8660" Type="http://schemas.openxmlformats.org/officeDocument/2006/relationships/hyperlink" Target="https://twitter.com/cgcookie/status/703243158398722049" TargetMode="External"/><Relationship Id="rId6003" Type="http://schemas.openxmlformats.org/officeDocument/2006/relationships/hyperlink" Target="https://pbs.twimg.com/profile_images/557577763754745856/40x4Rwn0_normal.jpeg" TargetMode="External"/><Relationship Id="rId7335" Type="http://schemas.openxmlformats.org/officeDocument/2006/relationships/hyperlink" Target="https://pbs.twimg.com/profile_images/1157302988/hotsource-twitter-logo_normal.jpg" TargetMode="External"/><Relationship Id="rId8666" Type="http://schemas.openxmlformats.org/officeDocument/2006/relationships/hyperlink" Target="https://twitter.com/kusadasideri/status/703243679453081600" TargetMode="External"/><Relationship Id="rId6004" Type="http://schemas.openxmlformats.org/officeDocument/2006/relationships/hyperlink" Target="https://twitter.com/sythenault" TargetMode="External"/><Relationship Id="rId7334" Type="http://schemas.openxmlformats.org/officeDocument/2006/relationships/hyperlink" Target="https://twitter.com/hsnorwich/status/703184405699891200" TargetMode="External"/><Relationship Id="rId8665" Type="http://schemas.openxmlformats.org/officeDocument/2006/relationships/hyperlink" Target="https://twitter.com/kusadasideri" TargetMode="External"/><Relationship Id="rId6001" Type="http://schemas.openxmlformats.org/officeDocument/2006/relationships/hyperlink" Target="https://twitter.com/lofendrich" TargetMode="External"/><Relationship Id="rId7333" Type="http://schemas.openxmlformats.org/officeDocument/2006/relationships/hyperlink" Target="https://twitter.com/hsnorwich" TargetMode="External"/><Relationship Id="rId8664" Type="http://schemas.openxmlformats.org/officeDocument/2006/relationships/hyperlink" Target="https://pbs.twimg.com/profile_images/682279186690621441/VjBmfdfj_normal.png" TargetMode="External"/><Relationship Id="rId6002" Type="http://schemas.openxmlformats.org/officeDocument/2006/relationships/hyperlink" Target="https://twitter.com/lofendrich/status/703093167948587008" TargetMode="External"/><Relationship Id="rId7332" Type="http://schemas.openxmlformats.org/officeDocument/2006/relationships/hyperlink" Target="https://pbs.twimg.com/profile_images/682128326480154624/4vsR1xot_normal.png" TargetMode="External"/><Relationship Id="rId8663" Type="http://schemas.openxmlformats.org/officeDocument/2006/relationships/hyperlink" Target="https://twitter.com/PyBloggers/status/703243450511179780" TargetMode="External"/><Relationship Id="rId6007" Type="http://schemas.openxmlformats.org/officeDocument/2006/relationships/hyperlink" Target="https://twitter.com/artwisanggeni" TargetMode="External"/><Relationship Id="rId7339" Type="http://schemas.openxmlformats.org/officeDocument/2006/relationships/hyperlink" Target="https://twitter.com/machinelearnbot" TargetMode="External"/><Relationship Id="rId6008" Type="http://schemas.openxmlformats.org/officeDocument/2006/relationships/hyperlink" Target="https://twitter.com/artwisanggeni/status/703093922432573440" TargetMode="External"/><Relationship Id="rId7338" Type="http://schemas.openxmlformats.org/officeDocument/2006/relationships/hyperlink" Target="https://pbs.twimg.com/profile_images/1987767273/python-logo-glassy_normal.png" TargetMode="External"/><Relationship Id="rId8669" Type="http://schemas.openxmlformats.org/officeDocument/2006/relationships/hyperlink" Target="https://twitter.com/kusadasideri" TargetMode="External"/><Relationship Id="rId6005" Type="http://schemas.openxmlformats.org/officeDocument/2006/relationships/hyperlink" Target="https://twitter.com/sythenault/status/703093598615506945" TargetMode="External"/><Relationship Id="rId7337" Type="http://schemas.openxmlformats.org/officeDocument/2006/relationships/hyperlink" Target="https://twitter.com/GISPyQuestions/status/703184454282416128" TargetMode="External"/><Relationship Id="rId8668" Type="http://schemas.openxmlformats.org/officeDocument/2006/relationships/hyperlink" Target="http://ctrlq.org/maps/address/" TargetMode="External"/><Relationship Id="rId6006" Type="http://schemas.openxmlformats.org/officeDocument/2006/relationships/hyperlink" Target="https://pbs.twimg.com/profile_images/1731579287/syt_normal.png" TargetMode="External"/><Relationship Id="rId7336" Type="http://schemas.openxmlformats.org/officeDocument/2006/relationships/hyperlink" Target="https://twitter.com/GISPyQuestions" TargetMode="External"/><Relationship Id="rId8667" Type="http://schemas.openxmlformats.org/officeDocument/2006/relationships/hyperlink" Target="https://pbs.twimg.com/profile_images/499122504951427073/UISN-0p1_normal.jpeg" TargetMode="External"/><Relationship Id="rId7329" Type="http://schemas.openxmlformats.org/officeDocument/2006/relationships/hyperlink" Target="https://pbs.twimg.com/profile_images/531362775948201984/xnuMIJn4_normal.jpeg" TargetMode="External"/><Relationship Id="rId7320" Type="http://schemas.openxmlformats.org/officeDocument/2006/relationships/hyperlink" Target="https://pbs.twimg.com/profile_images/2813636657/599521f69e2bc210a57323b64d8e39e6_normal.jpeg" TargetMode="External"/><Relationship Id="rId8651" Type="http://schemas.openxmlformats.org/officeDocument/2006/relationships/hyperlink" Target="https://pbs.twimg.com/profile_images/679566117187145728/UUo30Zpm_normal.jpg" TargetMode="External"/><Relationship Id="rId8650" Type="http://schemas.openxmlformats.org/officeDocument/2006/relationships/hyperlink" Target="https://twitter.com/startechwall/status/703242545359360006" TargetMode="External"/><Relationship Id="rId7324" Type="http://schemas.openxmlformats.org/officeDocument/2006/relationships/hyperlink" Target="https://twitter.com/happymedy" TargetMode="External"/><Relationship Id="rId8655" Type="http://schemas.openxmlformats.org/officeDocument/2006/relationships/hyperlink" Target="https://twitter.com/jobely" TargetMode="External"/><Relationship Id="rId7323" Type="http://schemas.openxmlformats.org/officeDocument/2006/relationships/hyperlink" Target="https://pbs.twimg.com/profile_images/692807481802801155/9adbZlM3_normal.jpg" TargetMode="External"/><Relationship Id="rId8654" Type="http://schemas.openxmlformats.org/officeDocument/2006/relationships/hyperlink" Target="https://pbs.twimg.com/profile_images/1519454893/Face_3-edited_normal.jpg" TargetMode="External"/><Relationship Id="rId7322" Type="http://schemas.openxmlformats.org/officeDocument/2006/relationships/hyperlink" Target="https://twitter.com/DevilleSy/status/703183580575326209" TargetMode="External"/><Relationship Id="rId8653" Type="http://schemas.openxmlformats.org/officeDocument/2006/relationships/hyperlink" Target="https://twitter.com/noemi_gutierrez/status/703242669728911360" TargetMode="External"/><Relationship Id="rId7321" Type="http://schemas.openxmlformats.org/officeDocument/2006/relationships/hyperlink" Target="https://twitter.com/DevilleSy" TargetMode="External"/><Relationship Id="rId8652" Type="http://schemas.openxmlformats.org/officeDocument/2006/relationships/hyperlink" Target="https://twitter.com/noemi_gutierrez" TargetMode="External"/><Relationship Id="rId7328" Type="http://schemas.openxmlformats.org/officeDocument/2006/relationships/hyperlink" Target="https://twitter.com/RomainSabathe/status/703183876252786688" TargetMode="External"/><Relationship Id="rId8659" Type="http://schemas.openxmlformats.org/officeDocument/2006/relationships/hyperlink" Target="https://twitter.com/cgcookie" TargetMode="External"/><Relationship Id="rId7327" Type="http://schemas.openxmlformats.org/officeDocument/2006/relationships/hyperlink" Target="https://twitter.com/RomainSabathe" TargetMode="External"/><Relationship Id="rId8658" Type="http://schemas.openxmlformats.org/officeDocument/2006/relationships/hyperlink" Target="https://pbs.twimg.com/profile_images/543819077/Schermata_2009-11-25_a_21.06.35_normal.png" TargetMode="External"/><Relationship Id="rId7326" Type="http://schemas.openxmlformats.org/officeDocument/2006/relationships/hyperlink" Target="https://pbs.twimg.com/profile_images/378800000147984125/61cddab0f959649412cc28892e8c3ad3_normal.jpeg" TargetMode="External"/><Relationship Id="rId8657" Type="http://schemas.openxmlformats.org/officeDocument/2006/relationships/hyperlink" Target="https://twitter.com/jobely/status/703243142024323072" TargetMode="External"/><Relationship Id="rId7325" Type="http://schemas.openxmlformats.org/officeDocument/2006/relationships/hyperlink" Target="https://twitter.com/happymedy/status/703183760779382788" TargetMode="External"/><Relationship Id="rId8656" Type="http://schemas.openxmlformats.org/officeDocument/2006/relationships/hyperlink" Target="http://Jobely.com" TargetMode="External"/><Relationship Id="rId8608" Type="http://schemas.openxmlformats.org/officeDocument/2006/relationships/hyperlink" Target="https://twitter.com/Afripowered/status/703240682190868481" TargetMode="External"/><Relationship Id="rId8607" Type="http://schemas.openxmlformats.org/officeDocument/2006/relationships/hyperlink" Target="https://twitter.com/Afripowered" TargetMode="External"/><Relationship Id="rId8606" Type="http://schemas.openxmlformats.org/officeDocument/2006/relationships/hyperlink" Target="https://pbs.twimg.com/profile_images/925688701/profile_normal.jpg" TargetMode="External"/><Relationship Id="rId8605" Type="http://schemas.openxmlformats.org/officeDocument/2006/relationships/hyperlink" Target="https://twitter.com/acuadra/status/703240646803525632" TargetMode="External"/><Relationship Id="rId8609" Type="http://schemas.openxmlformats.org/officeDocument/2006/relationships/hyperlink" Target="https://pbs.twimg.com/profile_images/378800000421038262/2e3015826bd8dd574cc15125138c181b_normal.png" TargetMode="External"/><Relationship Id="rId8600" Type="http://schemas.openxmlformats.org/officeDocument/2006/relationships/hyperlink" Target="https://pbs.twimg.com/profile_images/412126192150401024/BGjaQNXk_normal.jpeg" TargetMode="External"/><Relationship Id="rId8604" Type="http://schemas.openxmlformats.org/officeDocument/2006/relationships/hyperlink" Target="https://twitter.com/acuadra" TargetMode="External"/><Relationship Id="rId8603" Type="http://schemas.openxmlformats.org/officeDocument/2006/relationships/hyperlink" Target="https://pbs.twimg.com/profile_images/528272392766779392/5AeOFtlc_normal.jpeg" TargetMode="External"/><Relationship Id="rId8602" Type="http://schemas.openxmlformats.org/officeDocument/2006/relationships/hyperlink" Target="https://twitter.com/pvergain/status/703240559331250176" TargetMode="External"/><Relationship Id="rId8601" Type="http://schemas.openxmlformats.org/officeDocument/2006/relationships/hyperlink" Target="https://twitter.com/pvergain" TargetMode="External"/><Relationship Id="rId8629" Type="http://schemas.openxmlformats.org/officeDocument/2006/relationships/hyperlink" Target="https://twitter.com/artwisanggeni" TargetMode="External"/><Relationship Id="rId8628" Type="http://schemas.openxmlformats.org/officeDocument/2006/relationships/hyperlink" Target="https://pbs.twimg.com/profile_images/2813636657/599521f69e2bc210a57323b64d8e39e6_normal.jpeg" TargetMode="External"/><Relationship Id="rId8627" Type="http://schemas.openxmlformats.org/officeDocument/2006/relationships/hyperlink" Target="http://dlvr.it" TargetMode="External"/><Relationship Id="rId8622" Type="http://schemas.openxmlformats.org/officeDocument/2006/relationships/hyperlink" Target="https://twitter.com/GISPyQuestions" TargetMode="External"/><Relationship Id="rId8621" Type="http://schemas.openxmlformats.org/officeDocument/2006/relationships/hyperlink" Target="https://pbs.twimg.com/profile_images/378800000280104893/69d9138650448f98f88e5f4108593559_normal.jpeg" TargetMode="External"/><Relationship Id="rId8620" Type="http://schemas.openxmlformats.org/officeDocument/2006/relationships/hyperlink" Target="https://twitter.com/tunguz/status/703242358045937665" TargetMode="External"/><Relationship Id="rId8626" Type="http://schemas.openxmlformats.org/officeDocument/2006/relationships/hyperlink" Target="https://twitter.com/artwisanggeni/status/703242405990891520" TargetMode="External"/><Relationship Id="rId8625" Type="http://schemas.openxmlformats.org/officeDocument/2006/relationships/hyperlink" Target="https://twitter.com/artwisanggeni" TargetMode="External"/><Relationship Id="rId8624" Type="http://schemas.openxmlformats.org/officeDocument/2006/relationships/hyperlink" Target="https://pbs.twimg.com/profile_images/1987767273/python-logo-glassy_normal.png" TargetMode="External"/><Relationship Id="rId8623" Type="http://schemas.openxmlformats.org/officeDocument/2006/relationships/hyperlink" Target="https://twitter.com/GISPyQuestions/status/703242380606963712" TargetMode="External"/><Relationship Id="rId8619" Type="http://schemas.openxmlformats.org/officeDocument/2006/relationships/hyperlink" Target="https://twitter.com/tunguz" TargetMode="External"/><Relationship Id="rId8618" Type="http://schemas.openxmlformats.org/officeDocument/2006/relationships/hyperlink" Target="https://pbs.twimg.com/profile_images/671623862916812800/yGsDKiP4_normal.jpg" TargetMode="External"/><Relationship Id="rId8617" Type="http://schemas.openxmlformats.org/officeDocument/2006/relationships/hyperlink" Target="https://twitter.com/AdamSmitht1/status/703242232598503424" TargetMode="External"/><Relationship Id="rId8616" Type="http://schemas.openxmlformats.org/officeDocument/2006/relationships/hyperlink" Target="https://twitter.com/AdamSmitht1" TargetMode="External"/><Relationship Id="rId8611" Type="http://schemas.openxmlformats.org/officeDocument/2006/relationships/hyperlink" Target="https://twitter.com/sweetsnipergun/status/703241147817316352" TargetMode="External"/><Relationship Id="rId8610" Type="http://schemas.openxmlformats.org/officeDocument/2006/relationships/hyperlink" Target="https://twitter.com/sweetsnipergun" TargetMode="External"/><Relationship Id="rId8615" Type="http://schemas.openxmlformats.org/officeDocument/2006/relationships/hyperlink" Target="https://pbs.twimg.com/profile_images/532798437897412608/flHdPUCx_normal.png" TargetMode="External"/><Relationship Id="rId8614" Type="http://schemas.openxmlformats.org/officeDocument/2006/relationships/hyperlink" Target="https://twitter.com/DataAnalyticss/status/703241767127281664" TargetMode="External"/><Relationship Id="rId8613" Type="http://schemas.openxmlformats.org/officeDocument/2006/relationships/hyperlink" Target="https://twitter.com/DataAnalyticss" TargetMode="External"/><Relationship Id="rId8612" Type="http://schemas.openxmlformats.org/officeDocument/2006/relationships/hyperlink" Target="https://pbs.twimg.com/profile_images/702683386243104768/wWaQWSJL_normal.jpg" TargetMode="External"/><Relationship Id="rId6061" Type="http://schemas.openxmlformats.org/officeDocument/2006/relationships/hyperlink" Target="https://pbs.twimg.com/profile_images/701553083537604608/nr8b38eG_normal.jpg" TargetMode="External"/><Relationship Id="rId7393" Type="http://schemas.openxmlformats.org/officeDocument/2006/relationships/hyperlink" Target="https://pbs.twimg.com/profile_images/646872524781780992/eu6w3vdk_normal.png" TargetMode="External"/><Relationship Id="rId6062" Type="http://schemas.openxmlformats.org/officeDocument/2006/relationships/hyperlink" Target="https://twitter.com/graphics123" TargetMode="External"/><Relationship Id="rId7392" Type="http://schemas.openxmlformats.org/officeDocument/2006/relationships/hyperlink" Target="https://twitter.com/LearningCoupon/status/703188292674699265" TargetMode="External"/><Relationship Id="rId7391" Type="http://schemas.openxmlformats.org/officeDocument/2006/relationships/hyperlink" Target="https://twitter.com/LearningCoupon" TargetMode="External"/><Relationship Id="rId6060" Type="http://schemas.openxmlformats.org/officeDocument/2006/relationships/hyperlink" Target="https://twitter.com/renato_umeton/status/703095261531246592" TargetMode="External"/><Relationship Id="rId7390" Type="http://schemas.openxmlformats.org/officeDocument/2006/relationships/hyperlink" Target="https://pbs.twimg.com/profile_images/609579169471553536/Vvy6dSkC_normal.png" TargetMode="External"/><Relationship Id="rId6065" Type="http://schemas.openxmlformats.org/officeDocument/2006/relationships/hyperlink" Target="https://twitter.com/pydigest" TargetMode="External"/><Relationship Id="rId7397" Type="http://schemas.openxmlformats.org/officeDocument/2006/relationships/hyperlink" Target="https://twitter.com/anioko1" TargetMode="External"/><Relationship Id="rId6066" Type="http://schemas.openxmlformats.org/officeDocument/2006/relationships/hyperlink" Target="https://twitter.com/pydigest/status/703096470195404800" TargetMode="External"/><Relationship Id="rId7396" Type="http://schemas.openxmlformats.org/officeDocument/2006/relationships/hyperlink" Target="https://abs.twimg.com/sticky/default_profile_images/default_profile_1_normal.png" TargetMode="External"/><Relationship Id="rId6063" Type="http://schemas.openxmlformats.org/officeDocument/2006/relationships/hyperlink" Target="https://twitter.com/graphics123/status/703095666126385152" TargetMode="External"/><Relationship Id="rId7395" Type="http://schemas.openxmlformats.org/officeDocument/2006/relationships/hyperlink" Target="https://twitter.com/ImagineGameDev/status/703188589853671424" TargetMode="External"/><Relationship Id="rId6064" Type="http://schemas.openxmlformats.org/officeDocument/2006/relationships/hyperlink" Target="https://pbs.twimg.com/profile_images/705121328/River_Art_normal.jpg" TargetMode="External"/><Relationship Id="rId7394" Type="http://schemas.openxmlformats.org/officeDocument/2006/relationships/hyperlink" Target="https://twitter.com/ImagineGameDev" TargetMode="External"/><Relationship Id="rId6069" Type="http://schemas.openxmlformats.org/officeDocument/2006/relationships/hyperlink" Target="https://twitter.com/pydigest/status/703096472154210308" TargetMode="External"/><Relationship Id="rId6067" Type="http://schemas.openxmlformats.org/officeDocument/2006/relationships/hyperlink" Target="https://pbs.twimg.com/profile_images/475228702922387457/6gYeuqxD_normal.jpeg" TargetMode="External"/><Relationship Id="rId7399" Type="http://schemas.openxmlformats.org/officeDocument/2006/relationships/hyperlink" Target="https://pbs.twimg.com/profile_images/695642719948009474/s9J4OUA9_normal.jpg" TargetMode="External"/><Relationship Id="rId6068" Type="http://schemas.openxmlformats.org/officeDocument/2006/relationships/hyperlink" Target="https://twitter.com/pydigest" TargetMode="External"/><Relationship Id="rId7398" Type="http://schemas.openxmlformats.org/officeDocument/2006/relationships/hyperlink" Target="https://twitter.com/anioko1/status/703188627115921408" TargetMode="External"/><Relationship Id="rId6050" Type="http://schemas.openxmlformats.org/officeDocument/2006/relationships/hyperlink" Target="https://twitter.com/pacehrb" TargetMode="External"/><Relationship Id="rId7382" Type="http://schemas.openxmlformats.org/officeDocument/2006/relationships/hyperlink" Target="https://twitter.com/BigDataTweetBot" TargetMode="External"/><Relationship Id="rId6051" Type="http://schemas.openxmlformats.org/officeDocument/2006/relationships/hyperlink" Target="https://twitter.com/pacehrb/status/703095081985638401" TargetMode="External"/><Relationship Id="rId7381" Type="http://schemas.openxmlformats.org/officeDocument/2006/relationships/hyperlink" Target="https://abs.twimg.com/sticky/default_profile_images/default_profile_3_normal.png" TargetMode="External"/><Relationship Id="rId7380" Type="http://schemas.openxmlformats.org/officeDocument/2006/relationships/hyperlink" Target="https://twitter.com/0x626F74/status/703187759259787268" TargetMode="External"/><Relationship Id="rId6054" Type="http://schemas.openxmlformats.org/officeDocument/2006/relationships/hyperlink" Target="https://twitter.com/startechwall/status/703095095973687296" TargetMode="External"/><Relationship Id="rId7386" Type="http://schemas.openxmlformats.org/officeDocument/2006/relationships/hyperlink" Target="https://twitter.com/SanFran_TJobs/status/703188082703601664" TargetMode="External"/><Relationship Id="rId6055" Type="http://schemas.openxmlformats.org/officeDocument/2006/relationships/hyperlink" Target="https://pbs.twimg.com/profile_images/679566117187145728/UUo30Zpm_normal.jpg" TargetMode="External"/><Relationship Id="rId7385" Type="http://schemas.openxmlformats.org/officeDocument/2006/relationships/hyperlink" Target="https://twitter.com/SanFran_TJobs" TargetMode="External"/><Relationship Id="rId6052" Type="http://schemas.openxmlformats.org/officeDocument/2006/relationships/hyperlink" Target="https://pbs.twimg.com/profile_images/1144625930/hanmant_normal.jpg" TargetMode="External"/><Relationship Id="rId7384" Type="http://schemas.openxmlformats.org/officeDocument/2006/relationships/hyperlink" Target="https://pbs.twimg.com/profile_images/616793252524650496/bQbxJqmz_normal.jpg" TargetMode="External"/><Relationship Id="rId6053" Type="http://schemas.openxmlformats.org/officeDocument/2006/relationships/hyperlink" Target="https://twitter.com/startechwall" TargetMode="External"/><Relationship Id="rId7383" Type="http://schemas.openxmlformats.org/officeDocument/2006/relationships/hyperlink" Target="https://twitter.com/BigDataTweetBot/status/703187896304586752" TargetMode="External"/><Relationship Id="rId6058" Type="http://schemas.openxmlformats.org/officeDocument/2006/relationships/hyperlink" Target="https://pbs.twimg.com/profile_images/3400056949/8bef7f52036f904f03f3ecb9d60837ac_normal.jpeg" TargetMode="External"/><Relationship Id="rId6059" Type="http://schemas.openxmlformats.org/officeDocument/2006/relationships/hyperlink" Target="https://twitter.com/renato_umeton" TargetMode="External"/><Relationship Id="rId7389" Type="http://schemas.openxmlformats.org/officeDocument/2006/relationships/hyperlink" Target="https://twitter.com/udemy_koupon/status/703188292234321920" TargetMode="External"/><Relationship Id="rId6056" Type="http://schemas.openxmlformats.org/officeDocument/2006/relationships/hyperlink" Target="https://twitter.com/mamokun0123" TargetMode="External"/><Relationship Id="rId7388" Type="http://schemas.openxmlformats.org/officeDocument/2006/relationships/hyperlink" Target="https://twitter.com/udemy_koupon" TargetMode="External"/><Relationship Id="rId6057" Type="http://schemas.openxmlformats.org/officeDocument/2006/relationships/hyperlink" Target="https://twitter.com/mamokun0123/status/703095132682227712" TargetMode="External"/><Relationship Id="rId7387" Type="http://schemas.openxmlformats.org/officeDocument/2006/relationships/hyperlink" Target="https://pbs.twimg.com/profile_images/700788888789450752/8iUC8862_normal.png" TargetMode="External"/><Relationship Id="rId3810" Type="http://schemas.openxmlformats.org/officeDocument/2006/relationships/hyperlink" Target="https://pbs.twimg.com/profile_images/588355105855963136/BRSWymff_normal.jpg" TargetMode="External"/><Relationship Id="rId3812" Type="http://schemas.openxmlformats.org/officeDocument/2006/relationships/hyperlink" Target="https://twitter.com/guadatech/status/702961917527236609" TargetMode="External"/><Relationship Id="rId3811" Type="http://schemas.openxmlformats.org/officeDocument/2006/relationships/hyperlink" Target="https://twitter.com/guadatech" TargetMode="External"/><Relationship Id="rId3814" Type="http://schemas.openxmlformats.org/officeDocument/2006/relationships/hyperlink" Target="https://twitter.com/homeAInews" TargetMode="External"/><Relationship Id="rId3813" Type="http://schemas.openxmlformats.org/officeDocument/2006/relationships/hyperlink" Target="https://pbs.twimg.com/profile_images/667276356091289600/JZ_Xndcs_normal.jpg" TargetMode="External"/><Relationship Id="rId3816" Type="http://schemas.openxmlformats.org/officeDocument/2006/relationships/hyperlink" Target="https://pbs.twimg.com/profile_images/669260981319704576/H1vV6FFm_normal.png" TargetMode="External"/><Relationship Id="rId3815" Type="http://schemas.openxmlformats.org/officeDocument/2006/relationships/hyperlink" Target="https://twitter.com/homeAInews/status/702962132061650944" TargetMode="External"/><Relationship Id="rId3818" Type="http://schemas.openxmlformats.org/officeDocument/2006/relationships/hyperlink" Target="https://twitter.com/bmurph15/status/702962448878403584" TargetMode="External"/><Relationship Id="rId3817" Type="http://schemas.openxmlformats.org/officeDocument/2006/relationships/hyperlink" Target="https://twitter.com/bmurph15" TargetMode="External"/><Relationship Id="rId3819" Type="http://schemas.openxmlformats.org/officeDocument/2006/relationships/hyperlink" Target="https://pbs.twimg.com/profile_images/689874723702845440/ah6BbCZd_normal.jpg" TargetMode="External"/><Relationship Id="rId6090" Type="http://schemas.openxmlformats.org/officeDocument/2006/relationships/hyperlink" Target="https://twitter.com/1vidyasarathi/status/703097751630778368" TargetMode="External"/><Relationship Id="rId6091" Type="http://schemas.openxmlformats.org/officeDocument/2006/relationships/hyperlink" Target="https://pbs.twimg.com/profile_images/604526482585583617/OYWjVJqD_normal.png" TargetMode="External"/><Relationship Id="rId6083" Type="http://schemas.openxmlformats.org/officeDocument/2006/relationships/hyperlink" Target="https://twitter.com/AjaxSoundStudio" TargetMode="External"/><Relationship Id="rId6084" Type="http://schemas.openxmlformats.org/officeDocument/2006/relationships/hyperlink" Target="https://twitter.com/AjaxSoundStudio/status/703097495245598722" TargetMode="External"/><Relationship Id="rId6081" Type="http://schemas.openxmlformats.org/officeDocument/2006/relationships/hyperlink" Target="https://twitter.com/Brigette_Eckert/status/703096859930198016" TargetMode="External"/><Relationship Id="rId6082" Type="http://schemas.openxmlformats.org/officeDocument/2006/relationships/hyperlink" Target="https://pbs.twimg.com/profile_images/634409047270121472/m_3PMRfp_normal.jpg" TargetMode="External"/><Relationship Id="rId6087" Type="http://schemas.openxmlformats.org/officeDocument/2006/relationships/hyperlink" Target="https://twitter.com/waka_x/status/703097576883560449" TargetMode="External"/><Relationship Id="rId6088" Type="http://schemas.openxmlformats.org/officeDocument/2006/relationships/hyperlink" Target="https://pbs.twimg.com/profile_images/536301730284068864/3BU6vHgS_normal.jpeg" TargetMode="External"/><Relationship Id="rId6085" Type="http://schemas.openxmlformats.org/officeDocument/2006/relationships/hyperlink" Target="https://pbs.twimg.com/profile_images/378800000707964752/33de6ec46327638e8877f89f9fe8ba33_normal.jpeg" TargetMode="External"/><Relationship Id="rId6086" Type="http://schemas.openxmlformats.org/officeDocument/2006/relationships/hyperlink" Target="https://twitter.com/waka_x" TargetMode="External"/><Relationship Id="rId6089" Type="http://schemas.openxmlformats.org/officeDocument/2006/relationships/hyperlink" Target="https://twitter.com/1vidyasarathi" TargetMode="External"/><Relationship Id="rId3801" Type="http://schemas.openxmlformats.org/officeDocument/2006/relationships/hyperlink" Target="https://pbs.twimg.com/profile_images/619272597272858624/apZfgyGV_normal.png" TargetMode="External"/><Relationship Id="rId3800" Type="http://schemas.openxmlformats.org/officeDocument/2006/relationships/hyperlink" Target="http://WordPress.com" TargetMode="External"/><Relationship Id="rId3803" Type="http://schemas.openxmlformats.org/officeDocument/2006/relationships/hyperlink" Target="https://twitter.com/newsafaribooks/status/702961387392208896" TargetMode="External"/><Relationship Id="rId3802" Type="http://schemas.openxmlformats.org/officeDocument/2006/relationships/hyperlink" Target="https://twitter.com/newsafaribooks" TargetMode="External"/><Relationship Id="rId3805" Type="http://schemas.openxmlformats.org/officeDocument/2006/relationships/hyperlink" Target="https://twitter.com/cool_python" TargetMode="External"/><Relationship Id="rId3804" Type="http://schemas.openxmlformats.org/officeDocument/2006/relationships/hyperlink" Target="https://pbs.twimg.com/profile_images/672348497442684928/qlc4WOPj_normal.jpg" TargetMode="External"/><Relationship Id="rId3807" Type="http://schemas.openxmlformats.org/officeDocument/2006/relationships/hyperlink" Target="https://pbs.twimg.com/profile_images/572091631055028224/Pkx__FSB_normal.png" TargetMode="External"/><Relationship Id="rId3806" Type="http://schemas.openxmlformats.org/officeDocument/2006/relationships/hyperlink" Target="https://twitter.com/cool_python/status/702961536856416256" TargetMode="External"/><Relationship Id="rId3809" Type="http://schemas.openxmlformats.org/officeDocument/2006/relationships/hyperlink" Target="https://twitter.com/rakran1985/status/702961666409963520" TargetMode="External"/><Relationship Id="rId3808" Type="http://schemas.openxmlformats.org/officeDocument/2006/relationships/hyperlink" Target="https://twitter.com/rakran1985" TargetMode="External"/><Relationship Id="rId6080" Type="http://schemas.openxmlformats.org/officeDocument/2006/relationships/hyperlink" Target="https://twitter.com/Brigette_Eckert" TargetMode="External"/><Relationship Id="rId6072" Type="http://schemas.openxmlformats.org/officeDocument/2006/relationships/hyperlink" Target="https://twitter.com/wcmckeedotcom/status/703096607735021568" TargetMode="External"/><Relationship Id="rId6073" Type="http://schemas.openxmlformats.org/officeDocument/2006/relationships/hyperlink" Target="https://pbs.twimg.com/profile_images/621211385746161664/tGchJstD_normal.jpg" TargetMode="External"/><Relationship Id="rId6070" Type="http://schemas.openxmlformats.org/officeDocument/2006/relationships/hyperlink" Target="https://pbs.twimg.com/profile_images/475228702922387457/6gYeuqxD_normal.jpeg" TargetMode="External"/><Relationship Id="rId6071" Type="http://schemas.openxmlformats.org/officeDocument/2006/relationships/hyperlink" Target="https://twitter.com/wcmckeedotcom" TargetMode="External"/><Relationship Id="rId6076" Type="http://schemas.openxmlformats.org/officeDocument/2006/relationships/hyperlink" Target="https://pbs.twimg.com/profile_images/2737895149/c9843b23be56c11f47be27a08edf7cb5_normal.jpeg" TargetMode="External"/><Relationship Id="rId6077" Type="http://schemas.openxmlformats.org/officeDocument/2006/relationships/hyperlink" Target="https://twitter.com/JoshuaLongUK" TargetMode="External"/><Relationship Id="rId6074" Type="http://schemas.openxmlformats.org/officeDocument/2006/relationships/hyperlink" Target="https://twitter.com/gjsmiti3" TargetMode="External"/><Relationship Id="rId6075" Type="http://schemas.openxmlformats.org/officeDocument/2006/relationships/hyperlink" Target="https://twitter.com/gjsmiti3/status/703096801188929536" TargetMode="External"/><Relationship Id="rId6078" Type="http://schemas.openxmlformats.org/officeDocument/2006/relationships/hyperlink" Target="https://twitter.com/JoshuaLongUK/status/703096804171128833" TargetMode="External"/><Relationship Id="rId6079" Type="http://schemas.openxmlformats.org/officeDocument/2006/relationships/hyperlink" Target="https://pbs.twimg.com/profile_images/627996138403168256/DaASdgVr_normal.jpg" TargetMode="External"/><Relationship Id="rId8680" Type="http://schemas.openxmlformats.org/officeDocument/2006/relationships/hyperlink" Target="https://pbs.twimg.com/profile_images/460099412526518272/aNXvaTyn_normal.jpeg" TargetMode="External"/><Relationship Id="rId6021" Type="http://schemas.openxmlformats.org/officeDocument/2006/relationships/hyperlink" Target="http://dlvr.it" TargetMode="External"/><Relationship Id="rId7353" Type="http://schemas.openxmlformats.org/officeDocument/2006/relationships/hyperlink" Target="https://twitter.com/clickerdeals/status/703185248364826624" TargetMode="External"/><Relationship Id="rId8684" Type="http://schemas.openxmlformats.org/officeDocument/2006/relationships/hyperlink" Target="https://twitter.com/codek_tv" TargetMode="External"/><Relationship Id="rId6022" Type="http://schemas.openxmlformats.org/officeDocument/2006/relationships/hyperlink" Target="https://pbs.twimg.com/profile_images/2813636657/599521f69e2bc210a57323b64d8e39e6_normal.jpeg" TargetMode="External"/><Relationship Id="rId7352" Type="http://schemas.openxmlformats.org/officeDocument/2006/relationships/hyperlink" Target="http://clickerdeals.com" TargetMode="External"/><Relationship Id="rId8683" Type="http://schemas.openxmlformats.org/officeDocument/2006/relationships/hyperlink" Target="https://pbs.twimg.com/profile_images/651212811809329153/cLuW9YQO_normal.jpg" TargetMode="External"/><Relationship Id="rId7351" Type="http://schemas.openxmlformats.org/officeDocument/2006/relationships/hyperlink" Target="https://twitter.com/clickerdeals" TargetMode="External"/><Relationship Id="rId8682" Type="http://schemas.openxmlformats.org/officeDocument/2006/relationships/hyperlink" Target="https://twitter.com/IBMCanada/status/703244426836049924" TargetMode="External"/><Relationship Id="rId6020" Type="http://schemas.openxmlformats.org/officeDocument/2006/relationships/hyperlink" Target="https://twitter.com/artwisanggeni/status/703093930640838656" TargetMode="External"/><Relationship Id="rId7350" Type="http://schemas.openxmlformats.org/officeDocument/2006/relationships/hyperlink" Target="https://pbs.twimg.com/profile_images/701431621686169600/LE24hvGa_normal.png" TargetMode="External"/><Relationship Id="rId8681" Type="http://schemas.openxmlformats.org/officeDocument/2006/relationships/hyperlink" Target="https://twitter.com/IBMCanada" TargetMode="External"/><Relationship Id="rId6025" Type="http://schemas.openxmlformats.org/officeDocument/2006/relationships/hyperlink" Target="https://pbs.twimg.com/profile_images/649004216690675712/UAcrP6ol_normal.png" TargetMode="External"/><Relationship Id="rId7357" Type="http://schemas.openxmlformats.org/officeDocument/2006/relationships/hyperlink" Target="https://pbs.twimg.com/profile_images/671623862916812800/yGsDKiP4_normal.jpg" TargetMode="External"/><Relationship Id="rId8688" Type="http://schemas.openxmlformats.org/officeDocument/2006/relationships/hyperlink" Target="https://twitter.com/GuardianEduCent/status/703244622017990656" TargetMode="External"/><Relationship Id="rId6026" Type="http://schemas.openxmlformats.org/officeDocument/2006/relationships/hyperlink" Target="https://twitter.com/di3mus" TargetMode="External"/><Relationship Id="rId7356" Type="http://schemas.openxmlformats.org/officeDocument/2006/relationships/hyperlink" Target="https://twitter.com/AdamSmitht1/status/703185390627323904" TargetMode="External"/><Relationship Id="rId8687" Type="http://schemas.openxmlformats.org/officeDocument/2006/relationships/hyperlink" Target="https://twitter.com/GuardianEduCent" TargetMode="External"/><Relationship Id="rId6023" Type="http://schemas.openxmlformats.org/officeDocument/2006/relationships/hyperlink" Target="https://twitter.com/art_control" TargetMode="External"/><Relationship Id="rId7355" Type="http://schemas.openxmlformats.org/officeDocument/2006/relationships/hyperlink" Target="https://twitter.com/AdamSmitht1" TargetMode="External"/><Relationship Id="rId8686" Type="http://schemas.openxmlformats.org/officeDocument/2006/relationships/hyperlink" Target="https://pbs.twimg.com/profile_images/607094382596980736/U8FwdC0e_normal.png" TargetMode="External"/><Relationship Id="rId6024" Type="http://schemas.openxmlformats.org/officeDocument/2006/relationships/hyperlink" Target="https://twitter.com/art_control/status/703094077055590400" TargetMode="External"/><Relationship Id="rId7354" Type="http://schemas.openxmlformats.org/officeDocument/2006/relationships/hyperlink" Target="https://pbs.twimg.com/profile_images/269222451/clickerdeals_normal.png" TargetMode="External"/><Relationship Id="rId8685" Type="http://schemas.openxmlformats.org/officeDocument/2006/relationships/hyperlink" Target="https://twitter.com/codek_tv/status/703244577218674688" TargetMode="External"/><Relationship Id="rId6029" Type="http://schemas.openxmlformats.org/officeDocument/2006/relationships/hyperlink" Target="https://twitter.com/pydevops" TargetMode="External"/><Relationship Id="rId6027" Type="http://schemas.openxmlformats.org/officeDocument/2006/relationships/hyperlink" Target="https://twitter.com/di3mus/status/703094077646974976" TargetMode="External"/><Relationship Id="rId7359" Type="http://schemas.openxmlformats.org/officeDocument/2006/relationships/hyperlink" Target="https://twitter.com/AdamSmitht1/status/703185391805927424" TargetMode="External"/><Relationship Id="rId6028" Type="http://schemas.openxmlformats.org/officeDocument/2006/relationships/hyperlink" Target="https://pbs.twimg.com/profile_images/445741861584384000/5-BiqQ-P_normal.jpeg" TargetMode="External"/><Relationship Id="rId7358" Type="http://schemas.openxmlformats.org/officeDocument/2006/relationships/hyperlink" Target="https://twitter.com/AdamSmitht1" TargetMode="External"/><Relationship Id="rId8689" Type="http://schemas.openxmlformats.org/officeDocument/2006/relationships/hyperlink" Target="https://pbs.twimg.com/profile_images/1486253270/GEducCentre_normal.jpg" TargetMode="External"/><Relationship Id="rId6010" Type="http://schemas.openxmlformats.org/officeDocument/2006/relationships/hyperlink" Target="https://pbs.twimg.com/profile_images/2813636657/599521f69e2bc210a57323b64d8e39e6_normal.jpeg" TargetMode="External"/><Relationship Id="rId7342" Type="http://schemas.openxmlformats.org/officeDocument/2006/relationships/hyperlink" Target="https://twitter.com/randydeutsch" TargetMode="External"/><Relationship Id="rId8673" Type="http://schemas.openxmlformats.org/officeDocument/2006/relationships/hyperlink" Target="https://twitter.com/korezian/status/703243729700855809" TargetMode="External"/><Relationship Id="rId6011" Type="http://schemas.openxmlformats.org/officeDocument/2006/relationships/hyperlink" Target="https://twitter.com/artwisanggeni" TargetMode="External"/><Relationship Id="rId7341" Type="http://schemas.openxmlformats.org/officeDocument/2006/relationships/hyperlink" Target="https://pbs.twimg.com/profile_images/688735459892195329/v8sHaWSG_normal.jpg" TargetMode="External"/><Relationship Id="rId8672" Type="http://schemas.openxmlformats.org/officeDocument/2006/relationships/hyperlink" Target="https://twitter.com/korezian" TargetMode="External"/><Relationship Id="rId7340" Type="http://schemas.openxmlformats.org/officeDocument/2006/relationships/hyperlink" Target="https://twitter.com/machinelearnbot/status/703184520489603072" TargetMode="External"/><Relationship Id="rId8671" Type="http://schemas.openxmlformats.org/officeDocument/2006/relationships/hyperlink" Target="https://pbs.twimg.com/profile_images/499122504951427073/UISN-0p1_normal.jpeg" TargetMode="External"/><Relationship Id="rId8670" Type="http://schemas.openxmlformats.org/officeDocument/2006/relationships/hyperlink" Target="https://twitter.com/kusadasideri/status/703243692035985408" TargetMode="External"/><Relationship Id="rId6014" Type="http://schemas.openxmlformats.org/officeDocument/2006/relationships/hyperlink" Target="https://pbs.twimg.com/profile_images/2813636657/599521f69e2bc210a57323b64d8e39e6_normal.jpeg" TargetMode="External"/><Relationship Id="rId7346" Type="http://schemas.openxmlformats.org/officeDocument/2006/relationships/hyperlink" Target="https://twitter.com/SeiichiShiga/status/703184654333915136" TargetMode="External"/><Relationship Id="rId8677" Type="http://schemas.openxmlformats.org/officeDocument/2006/relationships/hyperlink" Target="https://pbs.twimg.com/profile_images/623863979337773056/m7htjP_b_normal.jpg" TargetMode="External"/><Relationship Id="rId6015" Type="http://schemas.openxmlformats.org/officeDocument/2006/relationships/hyperlink" Target="https://twitter.com/artwisanggeni" TargetMode="External"/><Relationship Id="rId7345" Type="http://schemas.openxmlformats.org/officeDocument/2006/relationships/hyperlink" Target="https://twitter.com/SeiichiShiga" TargetMode="External"/><Relationship Id="rId8676" Type="http://schemas.openxmlformats.org/officeDocument/2006/relationships/hyperlink" Target="https://twitter.com/steveaschwarz/status/703243805969879041" TargetMode="External"/><Relationship Id="rId6012" Type="http://schemas.openxmlformats.org/officeDocument/2006/relationships/hyperlink" Target="https://twitter.com/artwisanggeni/status/703093925494464512" TargetMode="External"/><Relationship Id="rId7344" Type="http://schemas.openxmlformats.org/officeDocument/2006/relationships/hyperlink" Target="https://pbs.twimg.com/profile_images/591955365027123201/1gwiXP3Z_normal.jpg" TargetMode="External"/><Relationship Id="rId8675" Type="http://schemas.openxmlformats.org/officeDocument/2006/relationships/hyperlink" Target="https://twitter.com/steveaschwarz" TargetMode="External"/><Relationship Id="rId6013" Type="http://schemas.openxmlformats.org/officeDocument/2006/relationships/hyperlink" Target="http://dlvr.it" TargetMode="External"/><Relationship Id="rId7343" Type="http://schemas.openxmlformats.org/officeDocument/2006/relationships/hyperlink" Target="https://twitter.com/randydeutsch/status/703184596708397057" TargetMode="External"/><Relationship Id="rId8674" Type="http://schemas.openxmlformats.org/officeDocument/2006/relationships/hyperlink" Target="https://pbs.twimg.com/profile_images/460099412526518272/aNXvaTyn_normal.jpeg" TargetMode="External"/><Relationship Id="rId6018" Type="http://schemas.openxmlformats.org/officeDocument/2006/relationships/hyperlink" Target="https://pbs.twimg.com/profile_images/2813636657/599521f69e2bc210a57323b64d8e39e6_normal.jpeg" TargetMode="External"/><Relationship Id="rId6019" Type="http://schemas.openxmlformats.org/officeDocument/2006/relationships/hyperlink" Target="https://twitter.com/artwisanggeni" TargetMode="External"/><Relationship Id="rId7349" Type="http://schemas.openxmlformats.org/officeDocument/2006/relationships/hyperlink" Target="https://twitter.com/MoonWatcherMD/status/703185111131385856" TargetMode="External"/><Relationship Id="rId6016" Type="http://schemas.openxmlformats.org/officeDocument/2006/relationships/hyperlink" Target="https://twitter.com/artwisanggeni/status/703093928002621442" TargetMode="External"/><Relationship Id="rId7348" Type="http://schemas.openxmlformats.org/officeDocument/2006/relationships/hyperlink" Target="https://twitter.com/MoonWatcherMD" TargetMode="External"/><Relationship Id="rId8679" Type="http://schemas.openxmlformats.org/officeDocument/2006/relationships/hyperlink" Target="https://twitter.com/korezian/status/703243959561273344" TargetMode="External"/><Relationship Id="rId6017" Type="http://schemas.openxmlformats.org/officeDocument/2006/relationships/hyperlink" Target="http://dlvr.it" TargetMode="External"/><Relationship Id="rId7347" Type="http://schemas.openxmlformats.org/officeDocument/2006/relationships/hyperlink" Target="https://pbs.twimg.com/profile_images/678592301489242113/Sfm3y8Po_normal.jpg" TargetMode="External"/><Relationship Id="rId8678" Type="http://schemas.openxmlformats.org/officeDocument/2006/relationships/hyperlink" Target="https://twitter.com/korezian" TargetMode="External"/><Relationship Id="rId7371" Type="http://schemas.openxmlformats.org/officeDocument/2006/relationships/hyperlink" Target="https://twitter.com/StephanusSch/status/703186039343435777" TargetMode="External"/><Relationship Id="rId6040" Type="http://schemas.openxmlformats.org/officeDocument/2006/relationships/hyperlink" Target="https://pbs.twimg.com/profile_images/681943150034874368/8-w6PcuI_normal.jpg" TargetMode="External"/><Relationship Id="rId7370" Type="http://schemas.openxmlformats.org/officeDocument/2006/relationships/hyperlink" Target="https://twitter.com/StephanusSch" TargetMode="External"/><Relationship Id="rId6043" Type="http://schemas.openxmlformats.org/officeDocument/2006/relationships/hyperlink" Target="https://pbs.twimg.com/profile_images/671623862916812800/yGsDKiP4_normal.jpg" TargetMode="External"/><Relationship Id="rId7375" Type="http://schemas.openxmlformats.org/officeDocument/2006/relationships/hyperlink" Target="https://pbs.twimg.com/profile_images/598427563858522112/fneTG4IH_normal.png" TargetMode="External"/><Relationship Id="rId6044" Type="http://schemas.openxmlformats.org/officeDocument/2006/relationships/hyperlink" Target="https://twitter.com/KirkDBorne" TargetMode="External"/><Relationship Id="rId7374" Type="http://schemas.openxmlformats.org/officeDocument/2006/relationships/hyperlink" Target="https://twitter.com/sumitsinghal/status/703186796960739328" TargetMode="External"/><Relationship Id="rId6041" Type="http://schemas.openxmlformats.org/officeDocument/2006/relationships/hyperlink" Target="https://twitter.com/AdamSmitht1" TargetMode="External"/><Relationship Id="rId7373" Type="http://schemas.openxmlformats.org/officeDocument/2006/relationships/hyperlink" Target="https://twitter.com/sumitsinghal" TargetMode="External"/><Relationship Id="rId6042" Type="http://schemas.openxmlformats.org/officeDocument/2006/relationships/hyperlink" Target="https://twitter.com/AdamSmitht1/status/703094784211030017" TargetMode="External"/><Relationship Id="rId7372" Type="http://schemas.openxmlformats.org/officeDocument/2006/relationships/hyperlink" Target="https://pbs.twimg.com/profile_images/2487812325/avatar-head_normal.jpg" TargetMode="External"/><Relationship Id="rId6047" Type="http://schemas.openxmlformats.org/officeDocument/2006/relationships/hyperlink" Target="https://twitter.com/MeutedeLoo" TargetMode="External"/><Relationship Id="rId7379" Type="http://schemas.openxmlformats.org/officeDocument/2006/relationships/hyperlink" Target="https://twitter.com/0x626F74" TargetMode="External"/><Relationship Id="rId6048" Type="http://schemas.openxmlformats.org/officeDocument/2006/relationships/hyperlink" Target="https://twitter.com/MeutedeLoo/status/703094944412491776" TargetMode="External"/><Relationship Id="rId7378" Type="http://schemas.openxmlformats.org/officeDocument/2006/relationships/hyperlink" Target="https://pbs.twimg.com/profile_images/651880776498196480/bPEMrJ74_normal.jpg" TargetMode="External"/><Relationship Id="rId6045" Type="http://schemas.openxmlformats.org/officeDocument/2006/relationships/hyperlink" Target="https://twitter.com/KirkDBorne/status/703094845745704962" TargetMode="External"/><Relationship Id="rId7377" Type="http://schemas.openxmlformats.org/officeDocument/2006/relationships/hyperlink" Target="https://twitter.com/eduSatoe/status/703187191376154625" TargetMode="External"/><Relationship Id="rId6046" Type="http://schemas.openxmlformats.org/officeDocument/2006/relationships/hyperlink" Target="https://pbs.twimg.com/profile_images/680246148762828801/flXTNSKT_normal.jpg" TargetMode="External"/><Relationship Id="rId7376" Type="http://schemas.openxmlformats.org/officeDocument/2006/relationships/hyperlink" Target="https://twitter.com/eduSatoe" TargetMode="External"/><Relationship Id="rId6049" Type="http://schemas.openxmlformats.org/officeDocument/2006/relationships/hyperlink" Target="https://pbs.twimg.com/profile_images/639717589447516160/PfHEH95t_normal.jpg" TargetMode="External"/><Relationship Id="rId7360" Type="http://schemas.openxmlformats.org/officeDocument/2006/relationships/hyperlink" Target="https://pbs.twimg.com/profile_images/671623862916812800/yGsDKiP4_normal.jpg" TargetMode="External"/><Relationship Id="rId8691" Type="http://schemas.openxmlformats.org/officeDocument/2006/relationships/hyperlink" Target="https://twitter.com/pacoramon/status/703244840046297088" TargetMode="External"/><Relationship Id="rId8690" Type="http://schemas.openxmlformats.org/officeDocument/2006/relationships/hyperlink" Target="https://twitter.com/pacoramon" TargetMode="External"/><Relationship Id="rId6032" Type="http://schemas.openxmlformats.org/officeDocument/2006/relationships/hyperlink" Target="https://twitter.com/LeonardTT1" TargetMode="External"/><Relationship Id="rId7364" Type="http://schemas.openxmlformats.org/officeDocument/2006/relationships/hyperlink" Target="https://twitter.com/startechwall" TargetMode="External"/><Relationship Id="rId8695" Type="http://schemas.openxmlformats.org/officeDocument/2006/relationships/hyperlink" Target="https://pbs.twimg.com/profile_images/586477016339218433/PmK0RP5e_normal.jpg" TargetMode="External"/><Relationship Id="rId6033" Type="http://schemas.openxmlformats.org/officeDocument/2006/relationships/hyperlink" Target="https://twitter.com/LeonardTT1/status/703094399865991168" TargetMode="External"/><Relationship Id="rId7363" Type="http://schemas.openxmlformats.org/officeDocument/2006/relationships/hyperlink" Target="https://pbs.twimg.com/profile_images/616793252524650496/bQbxJqmz_normal.jpg" TargetMode="External"/><Relationship Id="rId8694" Type="http://schemas.openxmlformats.org/officeDocument/2006/relationships/hyperlink" Target="https://twitter.com/2mo_hamisme/status/703244988776251393" TargetMode="External"/><Relationship Id="rId6030" Type="http://schemas.openxmlformats.org/officeDocument/2006/relationships/hyperlink" Target="https://twitter.com/pydevops/status/703094155384229888" TargetMode="External"/><Relationship Id="rId7362" Type="http://schemas.openxmlformats.org/officeDocument/2006/relationships/hyperlink" Target="https://twitter.com/BigDataTweetBot/status/703185504158806016" TargetMode="External"/><Relationship Id="rId8693" Type="http://schemas.openxmlformats.org/officeDocument/2006/relationships/hyperlink" Target="https://twitter.com/2mo_hamisme" TargetMode="External"/><Relationship Id="rId6031" Type="http://schemas.openxmlformats.org/officeDocument/2006/relationships/hyperlink" Target="https://pbs.twimg.com/profile_images/549863752070225920/OdexW0pR_normal.jpeg" TargetMode="External"/><Relationship Id="rId7361" Type="http://schemas.openxmlformats.org/officeDocument/2006/relationships/hyperlink" Target="https://twitter.com/BigDataTweetBot" TargetMode="External"/><Relationship Id="rId8692" Type="http://schemas.openxmlformats.org/officeDocument/2006/relationships/hyperlink" Target="https://pbs.twimg.com/profile_images/378800000859434127/2hj0SxQo_normal.jpeg" TargetMode="External"/><Relationship Id="rId6036" Type="http://schemas.openxmlformats.org/officeDocument/2006/relationships/hyperlink" Target="https://twitter.com/MeutedeLoo/status/703094444132728832" TargetMode="External"/><Relationship Id="rId7368" Type="http://schemas.openxmlformats.org/officeDocument/2006/relationships/hyperlink" Target="https://twitter.com/startechwall/status/703185673294123008" TargetMode="External"/><Relationship Id="rId8699" Type="http://schemas.openxmlformats.org/officeDocument/2006/relationships/hyperlink" Target="https://twitter.com/bigboardsio" TargetMode="External"/><Relationship Id="rId6037" Type="http://schemas.openxmlformats.org/officeDocument/2006/relationships/hyperlink" Target="https://pbs.twimg.com/profile_images/639717589447516160/PfHEH95t_normal.jpg" TargetMode="External"/><Relationship Id="rId7367" Type="http://schemas.openxmlformats.org/officeDocument/2006/relationships/hyperlink" Target="https://twitter.com/startechwall" TargetMode="External"/><Relationship Id="rId8698" Type="http://schemas.openxmlformats.org/officeDocument/2006/relationships/hyperlink" Target="https://pbs.twimg.com/profile_images/521204187107831812/V17O0dMn_normal.jpeg" TargetMode="External"/><Relationship Id="rId6034" Type="http://schemas.openxmlformats.org/officeDocument/2006/relationships/hyperlink" Target="https://abs.twimg.com/sticky/default_profile_images/default_profile_5_normal.png" TargetMode="External"/><Relationship Id="rId7366" Type="http://schemas.openxmlformats.org/officeDocument/2006/relationships/hyperlink" Target="https://pbs.twimg.com/profile_images/679566117187145728/UUo30Zpm_normal.jpg" TargetMode="External"/><Relationship Id="rId8697" Type="http://schemas.openxmlformats.org/officeDocument/2006/relationships/hyperlink" Target="https://twitter.com/kunkelast/status/703245083978502144" TargetMode="External"/><Relationship Id="rId6035" Type="http://schemas.openxmlformats.org/officeDocument/2006/relationships/hyperlink" Target="https://twitter.com/MeutedeLoo" TargetMode="External"/><Relationship Id="rId7365" Type="http://schemas.openxmlformats.org/officeDocument/2006/relationships/hyperlink" Target="https://twitter.com/startechwall/status/703185671876313088" TargetMode="External"/><Relationship Id="rId8696" Type="http://schemas.openxmlformats.org/officeDocument/2006/relationships/hyperlink" Target="https://twitter.com/kunkelast" TargetMode="External"/><Relationship Id="rId6038" Type="http://schemas.openxmlformats.org/officeDocument/2006/relationships/hyperlink" Target="https://twitter.com/jarrizabalaga" TargetMode="External"/><Relationship Id="rId6039" Type="http://schemas.openxmlformats.org/officeDocument/2006/relationships/hyperlink" Target="https://twitter.com/jarrizabalaga/status/703094584579006464" TargetMode="External"/><Relationship Id="rId7369" Type="http://schemas.openxmlformats.org/officeDocument/2006/relationships/hyperlink" Target="https://pbs.twimg.com/profile_images/679566117187145728/UUo30Zpm_normal.jpg" TargetMode="External"/><Relationship Id="rId1213" Type="http://schemas.openxmlformats.org/officeDocument/2006/relationships/hyperlink" Target="https://pbs.twimg.com/profile_images/702012434358337536/mOmJ3Buc_normal.jpg" TargetMode="External"/><Relationship Id="rId2544" Type="http://schemas.openxmlformats.org/officeDocument/2006/relationships/hyperlink" Target="https://twitter.com/Ahugla/status/702914967457165312" TargetMode="External"/><Relationship Id="rId3876" Type="http://schemas.openxmlformats.org/officeDocument/2006/relationships/hyperlink" Target="https://twitter.com/zioale" TargetMode="External"/><Relationship Id="rId1214" Type="http://schemas.openxmlformats.org/officeDocument/2006/relationships/hyperlink" Target="https://twitter.com/cool_python" TargetMode="External"/><Relationship Id="rId2545" Type="http://schemas.openxmlformats.org/officeDocument/2006/relationships/hyperlink" Target="https://pbs.twimg.com/profile_images/646302942933446656/F8qtE2j2_normal.png" TargetMode="External"/><Relationship Id="rId3875" Type="http://schemas.openxmlformats.org/officeDocument/2006/relationships/hyperlink" Target="https://pbs.twimg.com/profile_images/532798437897412608/flHdPUCx_normal.png" TargetMode="External"/><Relationship Id="rId1215" Type="http://schemas.openxmlformats.org/officeDocument/2006/relationships/hyperlink" Target="https://twitter.com/cool_python/status/702858916439392258" TargetMode="External"/><Relationship Id="rId2546" Type="http://schemas.openxmlformats.org/officeDocument/2006/relationships/hyperlink" Target="https://twitter.com/HeroJobs" TargetMode="External"/><Relationship Id="rId3878" Type="http://schemas.openxmlformats.org/officeDocument/2006/relationships/hyperlink" Target="https://pbs.twimg.com/profile_images/1529485215/South_Park_-_Ned_normal.jpg" TargetMode="External"/><Relationship Id="rId1216" Type="http://schemas.openxmlformats.org/officeDocument/2006/relationships/hyperlink" Target="https://pbs.twimg.com/profile_images/572091631055028224/Pkx__FSB_normal.png" TargetMode="External"/><Relationship Id="rId2547" Type="http://schemas.openxmlformats.org/officeDocument/2006/relationships/hyperlink" Target="https://twitter.com/HeroJobs/status/702914994527141888" TargetMode="External"/><Relationship Id="rId3877" Type="http://schemas.openxmlformats.org/officeDocument/2006/relationships/hyperlink" Target="https://twitter.com/zioale/status/702963744746434560" TargetMode="External"/><Relationship Id="rId1217" Type="http://schemas.openxmlformats.org/officeDocument/2006/relationships/hyperlink" Target="https://twitter.com/onemonthedu" TargetMode="External"/><Relationship Id="rId2548" Type="http://schemas.openxmlformats.org/officeDocument/2006/relationships/hyperlink" Target="https://pbs.twimg.com/profile_images/614505804993966080/YvHSdjBA_normal.png" TargetMode="External"/><Relationship Id="rId1218" Type="http://schemas.openxmlformats.org/officeDocument/2006/relationships/hyperlink" Target="https://twitter.com/onemonthedu/status/702859092503744512" TargetMode="External"/><Relationship Id="rId2549" Type="http://schemas.openxmlformats.org/officeDocument/2006/relationships/hyperlink" Target="https://twitter.com/bappteam" TargetMode="External"/><Relationship Id="rId3879" Type="http://schemas.openxmlformats.org/officeDocument/2006/relationships/hyperlink" Target="https://twitter.com/artur_leao" TargetMode="External"/><Relationship Id="rId1219" Type="http://schemas.openxmlformats.org/officeDocument/2006/relationships/hyperlink" Target="https://pbs.twimg.com/profile_images/482184049679560704/ViVkHqWS_normal.jpeg" TargetMode="External"/><Relationship Id="rId3870" Type="http://schemas.openxmlformats.org/officeDocument/2006/relationships/hyperlink" Target="https://twitter.com/oburoni2" TargetMode="External"/><Relationship Id="rId2540" Type="http://schemas.openxmlformats.org/officeDocument/2006/relationships/hyperlink" Target="https://twitter.com/dhruvbaldawa" TargetMode="External"/><Relationship Id="rId3872" Type="http://schemas.openxmlformats.org/officeDocument/2006/relationships/hyperlink" Target="https://pbs.twimg.com/profile_images/599238942244872193/DpTu63Z__normal.jpg" TargetMode="External"/><Relationship Id="rId1210" Type="http://schemas.openxmlformats.org/officeDocument/2006/relationships/hyperlink" Target="https://pbs.twimg.com/profile_images/678592301489242113/Sfm3y8Po_normal.jpg" TargetMode="External"/><Relationship Id="rId2541" Type="http://schemas.openxmlformats.org/officeDocument/2006/relationships/hyperlink" Target="https://twitter.com/dhruvbaldawa/status/702914754390536193" TargetMode="External"/><Relationship Id="rId3871" Type="http://schemas.openxmlformats.org/officeDocument/2006/relationships/hyperlink" Target="https://twitter.com/oburoni2/status/702963413224460288" TargetMode="External"/><Relationship Id="rId1211" Type="http://schemas.openxmlformats.org/officeDocument/2006/relationships/hyperlink" Target="https://twitter.com/natbusa" TargetMode="External"/><Relationship Id="rId2542" Type="http://schemas.openxmlformats.org/officeDocument/2006/relationships/hyperlink" Target="https://pbs.twimg.com/profile_images/485692094401359872/CFv4UPN8_normal.jpeg" TargetMode="External"/><Relationship Id="rId3874" Type="http://schemas.openxmlformats.org/officeDocument/2006/relationships/hyperlink" Target="https://twitter.com/DataAnalyticss/status/702963471051300864" TargetMode="External"/><Relationship Id="rId1212" Type="http://schemas.openxmlformats.org/officeDocument/2006/relationships/hyperlink" Target="https://twitter.com/natbusa/status/702858820394024960" TargetMode="External"/><Relationship Id="rId2543" Type="http://schemas.openxmlformats.org/officeDocument/2006/relationships/hyperlink" Target="https://twitter.com/Ahugla" TargetMode="External"/><Relationship Id="rId3873" Type="http://schemas.openxmlformats.org/officeDocument/2006/relationships/hyperlink" Target="https://twitter.com/DataAnalyticss" TargetMode="External"/><Relationship Id="rId1202" Type="http://schemas.openxmlformats.org/officeDocument/2006/relationships/hyperlink" Target="https://twitter.com/FERCHAUprojekte/status/702858095295393792" TargetMode="External"/><Relationship Id="rId2533" Type="http://schemas.openxmlformats.org/officeDocument/2006/relationships/hyperlink" Target="https://pbs.twimg.com/profile_images/557537043903827969/sHmH0vdi_normal.jpeg" TargetMode="External"/><Relationship Id="rId3865" Type="http://schemas.openxmlformats.org/officeDocument/2006/relationships/hyperlink" Target="https://twitter.com/victorbabiuc/status/702963328231088128" TargetMode="External"/><Relationship Id="rId1203" Type="http://schemas.openxmlformats.org/officeDocument/2006/relationships/hyperlink" Target="https://pbs.twimg.com/profile_images/478475970823741440/H78hSvfk_normal.jpeg" TargetMode="External"/><Relationship Id="rId2534" Type="http://schemas.openxmlformats.org/officeDocument/2006/relationships/hyperlink" Target="https://twitter.com/LillianEdmiston" TargetMode="External"/><Relationship Id="rId3864" Type="http://schemas.openxmlformats.org/officeDocument/2006/relationships/hyperlink" Target="https://twitter.com/victorbabiuc" TargetMode="External"/><Relationship Id="rId1204" Type="http://schemas.openxmlformats.org/officeDocument/2006/relationships/hyperlink" Target="http://ctrlq.org/maps/address/" TargetMode="External"/><Relationship Id="rId2535" Type="http://schemas.openxmlformats.org/officeDocument/2006/relationships/hyperlink" Target="https://twitter.com/LillianEdmiston/status/702914661117763584" TargetMode="External"/><Relationship Id="rId3867" Type="http://schemas.openxmlformats.org/officeDocument/2006/relationships/hyperlink" Target="https://twitter.com/art_control" TargetMode="External"/><Relationship Id="rId1205" Type="http://schemas.openxmlformats.org/officeDocument/2006/relationships/hyperlink" Target="https://twitter.com/clairem70s" TargetMode="External"/><Relationship Id="rId2536" Type="http://schemas.openxmlformats.org/officeDocument/2006/relationships/hyperlink" Target="https://pbs.twimg.com/profile_images/655014978101993476/ZpsnJW8B_normal.jpg" TargetMode="External"/><Relationship Id="rId3866" Type="http://schemas.openxmlformats.org/officeDocument/2006/relationships/hyperlink" Target="https://pbs.twimg.com/profile_images/2970482455/bf6a1e507881ae7f7bd250ad21709411_normal.jpeg" TargetMode="External"/><Relationship Id="rId1206" Type="http://schemas.openxmlformats.org/officeDocument/2006/relationships/hyperlink" Target="https://twitter.com/clairem70s/status/702858245698928640" TargetMode="External"/><Relationship Id="rId2537" Type="http://schemas.openxmlformats.org/officeDocument/2006/relationships/hyperlink" Target="https://twitter.com/ameanmbot" TargetMode="External"/><Relationship Id="rId3869" Type="http://schemas.openxmlformats.org/officeDocument/2006/relationships/hyperlink" Target="https://pbs.twimg.com/profile_images/649004216690675712/UAcrP6ol_normal.png" TargetMode="External"/><Relationship Id="rId1207" Type="http://schemas.openxmlformats.org/officeDocument/2006/relationships/hyperlink" Target="https://pbs.twimg.com/profile_images/670315632475430913/xy5fXkN9_normal.jpg" TargetMode="External"/><Relationship Id="rId2538" Type="http://schemas.openxmlformats.org/officeDocument/2006/relationships/hyperlink" Target="https://twitter.com/ameanmbot/status/702914663642750982" TargetMode="External"/><Relationship Id="rId3868" Type="http://schemas.openxmlformats.org/officeDocument/2006/relationships/hyperlink" Target="https://twitter.com/art_control/status/702963328986038273" TargetMode="External"/><Relationship Id="rId1208" Type="http://schemas.openxmlformats.org/officeDocument/2006/relationships/hyperlink" Target="https://twitter.com/SeiichiShiga" TargetMode="External"/><Relationship Id="rId2539" Type="http://schemas.openxmlformats.org/officeDocument/2006/relationships/hyperlink" Target="https://pbs.twimg.com/profile_images/481334978161029120/iu3zZFEk_normal.png" TargetMode="External"/><Relationship Id="rId1209" Type="http://schemas.openxmlformats.org/officeDocument/2006/relationships/hyperlink" Target="https://twitter.com/SeiichiShiga/status/702858610066345984" TargetMode="External"/><Relationship Id="rId3861" Type="http://schemas.openxmlformats.org/officeDocument/2006/relationships/hyperlink" Target="https://twitter.com/artwisanggeni/status/702963102686392320" TargetMode="External"/><Relationship Id="rId2530" Type="http://schemas.openxmlformats.org/officeDocument/2006/relationships/hyperlink" Target="https://pbs.twimg.com/profile_images/2813636657/599521f69e2bc210a57323b64d8e39e6_normal.jpeg" TargetMode="External"/><Relationship Id="rId3860" Type="http://schemas.openxmlformats.org/officeDocument/2006/relationships/hyperlink" Target="https://twitter.com/artwisanggeni" TargetMode="External"/><Relationship Id="rId1200" Type="http://schemas.openxmlformats.org/officeDocument/2006/relationships/hyperlink" Target="https://pbs.twimg.com/profile_images/599238942244872193/DpTu63Z__normal.jpg" TargetMode="External"/><Relationship Id="rId2531" Type="http://schemas.openxmlformats.org/officeDocument/2006/relationships/hyperlink" Target="https://twitter.com/lexsi" TargetMode="External"/><Relationship Id="rId3863" Type="http://schemas.openxmlformats.org/officeDocument/2006/relationships/hyperlink" Target="https://pbs.twimg.com/profile_images/2813636657/599521f69e2bc210a57323b64d8e39e6_normal.jpeg" TargetMode="External"/><Relationship Id="rId1201" Type="http://schemas.openxmlformats.org/officeDocument/2006/relationships/hyperlink" Target="https://twitter.com/FERCHAUprojekte" TargetMode="External"/><Relationship Id="rId2532" Type="http://schemas.openxmlformats.org/officeDocument/2006/relationships/hyperlink" Target="https://twitter.com/lexsi/status/702914583841865728" TargetMode="External"/><Relationship Id="rId3862" Type="http://schemas.openxmlformats.org/officeDocument/2006/relationships/hyperlink" Target="http://dlvr.it" TargetMode="External"/><Relationship Id="rId1235" Type="http://schemas.openxmlformats.org/officeDocument/2006/relationships/hyperlink" Target="https://twitter.com/lazy_scientist/status/702860388258467840" TargetMode="External"/><Relationship Id="rId2566" Type="http://schemas.openxmlformats.org/officeDocument/2006/relationships/hyperlink" Target="https://pbs.twimg.com/profile_images/1554238582/python_normal.jpg" TargetMode="External"/><Relationship Id="rId3898" Type="http://schemas.openxmlformats.org/officeDocument/2006/relationships/hyperlink" Target="https://twitter.com/coding_jobfeeds/status/702965070670782466" TargetMode="External"/><Relationship Id="rId1236" Type="http://schemas.openxmlformats.org/officeDocument/2006/relationships/hyperlink" Target="https://pbs.twimg.com/profile_images/662555155863371776/zPAD4WBr_normal.jpg" TargetMode="External"/><Relationship Id="rId2567" Type="http://schemas.openxmlformats.org/officeDocument/2006/relationships/hyperlink" Target="https://twitter.com/BanjoHfuhruhur" TargetMode="External"/><Relationship Id="rId3897" Type="http://schemas.openxmlformats.org/officeDocument/2006/relationships/hyperlink" Target="https://twitter.com/coding_jobfeeds" TargetMode="External"/><Relationship Id="rId1237" Type="http://schemas.openxmlformats.org/officeDocument/2006/relationships/hyperlink" Target="https://twitter.com/MundoSQL" TargetMode="External"/><Relationship Id="rId2568" Type="http://schemas.openxmlformats.org/officeDocument/2006/relationships/hyperlink" Target="https://twitter.com/BanjoHfuhruhur/status/702916609149689856" TargetMode="External"/><Relationship Id="rId1238" Type="http://schemas.openxmlformats.org/officeDocument/2006/relationships/hyperlink" Target="https://twitter.com/MundoSQL/status/702860501731004416" TargetMode="External"/><Relationship Id="rId2569" Type="http://schemas.openxmlformats.org/officeDocument/2006/relationships/hyperlink" Target="https://pbs.twimg.com/profile_images/660980494343925760/g5o2J-8i_normal.png" TargetMode="External"/><Relationship Id="rId3899" Type="http://schemas.openxmlformats.org/officeDocument/2006/relationships/hyperlink" Target="https://pbs.twimg.com/profile_images/611834314586750976/feZ5fZOO_normal.png" TargetMode="External"/><Relationship Id="rId1239" Type="http://schemas.openxmlformats.org/officeDocument/2006/relationships/hyperlink" Target="http://WordPress.com" TargetMode="External"/><Relationship Id="rId3890" Type="http://schemas.openxmlformats.org/officeDocument/2006/relationships/hyperlink" Target="https://pbs.twimg.com/profile_images/662602436222193664/qKuvsfnG_normal.jpg" TargetMode="External"/><Relationship Id="rId2560" Type="http://schemas.openxmlformats.org/officeDocument/2006/relationships/hyperlink" Target="https://pbs.twimg.com/profile_images/680887029845110784/iWdan2Gf_normal.jpg" TargetMode="External"/><Relationship Id="rId3892" Type="http://schemas.openxmlformats.org/officeDocument/2006/relationships/hyperlink" Target="https://twitter.com/alexwlchan/status/702964592734019585" TargetMode="External"/><Relationship Id="rId1230" Type="http://schemas.openxmlformats.org/officeDocument/2006/relationships/hyperlink" Target="http://RealPython.com" TargetMode="External"/><Relationship Id="rId2561" Type="http://schemas.openxmlformats.org/officeDocument/2006/relationships/hyperlink" Target="https://twitter.com/ContinuumIO" TargetMode="External"/><Relationship Id="rId3891" Type="http://schemas.openxmlformats.org/officeDocument/2006/relationships/hyperlink" Target="https://twitter.com/alexwlchan" TargetMode="External"/><Relationship Id="rId1231" Type="http://schemas.openxmlformats.org/officeDocument/2006/relationships/hyperlink" Target="https://twitter.com/RealPython/status/702860300433772545" TargetMode="External"/><Relationship Id="rId2562" Type="http://schemas.openxmlformats.org/officeDocument/2006/relationships/hyperlink" Target="https://twitter.com/ContinuumIO/status/702916013109563392" TargetMode="External"/><Relationship Id="rId3894" Type="http://schemas.openxmlformats.org/officeDocument/2006/relationships/hyperlink" Target="https://twitter.com/JoshuaLongUK" TargetMode="External"/><Relationship Id="rId1232" Type="http://schemas.openxmlformats.org/officeDocument/2006/relationships/hyperlink" Target="https://pbs.twimg.com/profile_images/3312468366/129323224633d71286101d517a2f9817_normal.png" TargetMode="External"/><Relationship Id="rId2563" Type="http://schemas.openxmlformats.org/officeDocument/2006/relationships/hyperlink" Target="https://pbs.twimg.com/profile_images/624030560457850880/17LrFnZt_normal.png" TargetMode="External"/><Relationship Id="rId3893" Type="http://schemas.openxmlformats.org/officeDocument/2006/relationships/hyperlink" Target="https://pbs.twimg.com/profile_images/647309109663039488/UIOUUU3u_normal.png" TargetMode="External"/><Relationship Id="rId1233" Type="http://schemas.openxmlformats.org/officeDocument/2006/relationships/hyperlink" Target="https://twitter.com/lazy_scientist" TargetMode="External"/><Relationship Id="rId2564" Type="http://schemas.openxmlformats.org/officeDocument/2006/relationships/hyperlink" Target="https://twitter.com/PythonWeekly" TargetMode="External"/><Relationship Id="rId3896" Type="http://schemas.openxmlformats.org/officeDocument/2006/relationships/hyperlink" Target="https://pbs.twimg.com/profile_images/627996138403168256/DaASdgVr_normal.jpg" TargetMode="External"/><Relationship Id="rId1234" Type="http://schemas.openxmlformats.org/officeDocument/2006/relationships/hyperlink" Target="http://LazyProgrammer.me" TargetMode="External"/><Relationship Id="rId2565" Type="http://schemas.openxmlformats.org/officeDocument/2006/relationships/hyperlink" Target="https://twitter.com/PythonWeekly/status/702916406048911360" TargetMode="External"/><Relationship Id="rId3895" Type="http://schemas.openxmlformats.org/officeDocument/2006/relationships/hyperlink" Target="https://twitter.com/JoshuaLongUK/status/702964719888547844" TargetMode="External"/><Relationship Id="rId1224" Type="http://schemas.openxmlformats.org/officeDocument/2006/relationships/hyperlink" Target="https://twitter.com/NYC_TechEvents/status/702859629114564608" TargetMode="External"/><Relationship Id="rId2555" Type="http://schemas.openxmlformats.org/officeDocument/2006/relationships/hyperlink" Target="https://twitter.com/desklap" TargetMode="External"/><Relationship Id="rId3887" Type="http://schemas.openxmlformats.org/officeDocument/2006/relationships/hyperlink" Target="https://pbs.twimg.com/profile_images/662602436222193664/qKuvsfnG_normal.jpg" TargetMode="External"/><Relationship Id="rId1225" Type="http://schemas.openxmlformats.org/officeDocument/2006/relationships/hyperlink" Target="https://pbs.twimg.com/profile_images/698639359512195072/nmORkXm9_normal.png" TargetMode="External"/><Relationship Id="rId2556" Type="http://schemas.openxmlformats.org/officeDocument/2006/relationships/hyperlink" Target="https://twitter.com/desklap/status/702915294449180672" TargetMode="External"/><Relationship Id="rId3886" Type="http://schemas.openxmlformats.org/officeDocument/2006/relationships/hyperlink" Target="https://twitter.com/programmingncr/status/702964411934314497" TargetMode="External"/><Relationship Id="rId1226" Type="http://schemas.openxmlformats.org/officeDocument/2006/relationships/hyperlink" Target="https://twitter.com/oburoni2" TargetMode="External"/><Relationship Id="rId2557" Type="http://schemas.openxmlformats.org/officeDocument/2006/relationships/hyperlink" Target="https://pbs.twimg.com/profile_images/679521622395494400/taf5DFh-_normal.jpg" TargetMode="External"/><Relationship Id="rId3889" Type="http://schemas.openxmlformats.org/officeDocument/2006/relationships/hyperlink" Target="https://twitter.com/programmingncr/status/702964413159055360" TargetMode="External"/><Relationship Id="rId1227" Type="http://schemas.openxmlformats.org/officeDocument/2006/relationships/hyperlink" Target="https://twitter.com/oburoni2/status/702860144233877505" TargetMode="External"/><Relationship Id="rId2558" Type="http://schemas.openxmlformats.org/officeDocument/2006/relationships/hyperlink" Target="https://twitter.com/soiqbot" TargetMode="External"/><Relationship Id="rId3888" Type="http://schemas.openxmlformats.org/officeDocument/2006/relationships/hyperlink" Target="https://twitter.com/programmingncr" TargetMode="External"/><Relationship Id="rId1228" Type="http://schemas.openxmlformats.org/officeDocument/2006/relationships/hyperlink" Target="https://pbs.twimg.com/profile_images/599238942244872193/DpTu63Z__normal.jpg" TargetMode="External"/><Relationship Id="rId2559" Type="http://schemas.openxmlformats.org/officeDocument/2006/relationships/hyperlink" Target="https://twitter.com/soiqbot/status/702915976547979264" TargetMode="External"/><Relationship Id="rId1229" Type="http://schemas.openxmlformats.org/officeDocument/2006/relationships/hyperlink" Target="https://twitter.com/RealPython" TargetMode="External"/><Relationship Id="rId3881" Type="http://schemas.openxmlformats.org/officeDocument/2006/relationships/hyperlink" Target="https://pbs.twimg.com/profile_images/1669912879/photo_4__1__normal.jpg" TargetMode="External"/><Relationship Id="rId2550" Type="http://schemas.openxmlformats.org/officeDocument/2006/relationships/hyperlink" Target="https://twitter.com/bappteam/status/702915033546813440" TargetMode="External"/><Relationship Id="rId3880" Type="http://schemas.openxmlformats.org/officeDocument/2006/relationships/hyperlink" Target="https://twitter.com/artur_leao/status/702964321651924994" TargetMode="External"/><Relationship Id="rId1220" Type="http://schemas.openxmlformats.org/officeDocument/2006/relationships/hyperlink" Target="https://twitter.com/pythonz_net" TargetMode="External"/><Relationship Id="rId2551" Type="http://schemas.openxmlformats.org/officeDocument/2006/relationships/hyperlink" Target="https://pbs.twimg.com/profile_images/656877564233981953/fKkI3nVG_normal.jpg" TargetMode="External"/><Relationship Id="rId3883" Type="http://schemas.openxmlformats.org/officeDocument/2006/relationships/hyperlink" Target="https://twitter.com/pythontrending/status/702964377138421760" TargetMode="External"/><Relationship Id="rId1221" Type="http://schemas.openxmlformats.org/officeDocument/2006/relationships/hyperlink" Target="https://twitter.com/pythonz_net/status/702859573397471232" TargetMode="External"/><Relationship Id="rId2552" Type="http://schemas.openxmlformats.org/officeDocument/2006/relationships/hyperlink" Target="https://twitter.com/anwith1n" TargetMode="External"/><Relationship Id="rId3882" Type="http://schemas.openxmlformats.org/officeDocument/2006/relationships/hyperlink" Target="https://twitter.com/pythontrending" TargetMode="External"/><Relationship Id="rId1222" Type="http://schemas.openxmlformats.org/officeDocument/2006/relationships/hyperlink" Target="https://pbs.twimg.com/profile_images/482561147074129920/Opt5Ssac_normal.png" TargetMode="External"/><Relationship Id="rId2553" Type="http://schemas.openxmlformats.org/officeDocument/2006/relationships/hyperlink" Target="https://twitter.com/anwith1n/status/702915214304411649" TargetMode="External"/><Relationship Id="rId3885" Type="http://schemas.openxmlformats.org/officeDocument/2006/relationships/hyperlink" Target="https://twitter.com/programmingncr" TargetMode="External"/><Relationship Id="rId1223" Type="http://schemas.openxmlformats.org/officeDocument/2006/relationships/hyperlink" Target="https://twitter.com/NYC_TechEvents" TargetMode="External"/><Relationship Id="rId2554" Type="http://schemas.openxmlformats.org/officeDocument/2006/relationships/hyperlink" Target="https://pbs.twimg.com/profile_images/640561914616004609/iEDDdfFF_normal.jpg" TargetMode="External"/><Relationship Id="rId3884" Type="http://schemas.openxmlformats.org/officeDocument/2006/relationships/hyperlink" Target="https://pbs.twimg.com/profile_images/456490947287605248/4oklmBWe_normal.png" TargetMode="External"/><Relationship Id="rId2500" Type="http://schemas.openxmlformats.org/officeDocument/2006/relationships/hyperlink" Target="https://twitter.com/ladjango" TargetMode="External"/><Relationship Id="rId3832" Type="http://schemas.openxmlformats.org/officeDocument/2006/relationships/hyperlink" Target="https://twitter.com/artwisanggeni" TargetMode="External"/><Relationship Id="rId2501" Type="http://schemas.openxmlformats.org/officeDocument/2006/relationships/hyperlink" Target="https://twitter.com/ladjango/status/702912516364574721" TargetMode="External"/><Relationship Id="rId3831" Type="http://schemas.openxmlformats.org/officeDocument/2006/relationships/hyperlink" Target="https://pbs.twimg.com/profile_images/474249917565636608/XjM9GUjo_normal.jpeg" TargetMode="External"/><Relationship Id="rId2502" Type="http://schemas.openxmlformats.org/officeDocument/2006/relationships/hyperlink" Target="https://pbs.twimg.com/profile_images/2695663541/a7b6ea166a7bedc46c05f2f31ddba226_normal.jpeg" TargetMode="External"/><Relationship Id="rId3834" Type="http://schemas.openxmlformats.org/officeDocument/2006/relationships/hyperlink" Target="http://dlvr.it" TargetMode="External"/><Relationship Id="rId2503" Type="http://schemas.openxmlformats.org/officeDocument/2006/relationships/hyperlink" Target="https://twitter.com/subhro1976" TargetMode="External"/><Relationship Id="rId3833" Type="http://schemas.openxmlformats.org/officeDocument/2006/relationships/hyperlink" Target="https://twitter.com/artwisanggeni/status/702963069727604737" TargetMode="External"/><Relationship Id="rId2504" Type="http://schemas.openxmlformats.org/officeDocument/2006/relationships/hyperlink" Target="https://twitter.com/subhro1976/status/702913003352526848" TargetMode="External"/><Relationship Id="rId3836" Type="http://schemas.openxmlformats.org/officeDocument/2006/relationships/hyperlink" Target="https://twitter.com/artwisanggeni" TargetMode="External"/><Relationship Id="rId2505" Type="http://schemas.openxmlformats.org/officeDocument/2006/relationships/hyperlink" Target="https://pbs.twimg.com/profile_images/486989343316115456/a4ioShMe_normal.jpeg" TargetMode="External"/><Relationship Id="rId3835" Type="http://schemas.openxmlformats.org/officeDocument/2006/relationships/hyperlink" Target="https://pbs.twimg.com/profile_images/2813636657/599521f69e2bc210a57323b64d8e39e6_normal.jpeg" TargetMode="External"/><Relationship Id="rId2506" Type="http://schemas.openxmlformats.org/officeDocument/2006/relationships/hyperlink" Target="https://twitter.com/palichis" TargetMode="External"/><Relationship Id="rId3838" Type="http://schemas.openxmlformats.org/officeDocument/2006/relationships/hyperlink" Target="http://dlvr.it" TargetMode="External"/><Relationship Id="rId2507" Type="http://schemas.openxmlformats.org/officeDocument/2006/relationships/hyperlink" Target="https://twitter.com/palichis/status/702913249671585792" TargetMode="External"/><Relationship Id="rId3837" Type="http://schemas.openxmlformats.org/officeDocument/2006/relationships/hyperlink" Target="https://twitter.com/artwisanggeni/status/702963074093883392" TargetMode="External"/><Relationship Id="rId2508" Type="http://schemas.openxmlformats.org/officeDocument/2006/relationships/hyperlink" Target="https://pbs.twimg.com/profile_images/572948921693921280/OnxCV_Vc_normal.jpeg" TargetMode="External"/><Relationship Id="rId2509" Type="http://schemas.openxmlformats.org/officeDocument/2006/relationships/hyperlink" Target="https://twitter.com/JoshuaLongUK" TargetMode="External"/><Relationship Id="rId3839" Type="http://schemas.openxmlformats.org/officeDocument/2006/relationships/hyperlink" Target="https://pbs.twimg.com/profile_images/2813636657/599521f69e2bc210a57323b64d8e39e6_normal.jpeg" TargetMode="External"/><Relationship Id="rId3830" Type="http://schemas.openxmlformats.org/officeDocument/2006/relationships/hyperlink" Target="https://twitter.com/EnrikeLopez/status/702962618206691328" TargetMode="External"/><Relationship Id="rId3821" Type="http://schemas.openxmlformats.org/officeDocument/2006/relationships/hyperlink" Target="https://twitter.com/sentiwire/status/702962453638836224" TargetMode="External"/><Relationship Id="rId3820" Type="http://schemas.openxmlformats.org/officeDocument/2006/relationships/hyperlink" Target="https://twitter.com/sentiwire" TargetMode="External"/><Relationship Id="rId3823" Type="http://schemas.openxmlformats.org/officeDocument/2006/relationships/hyperlink" Target="https://twitter.com/bbelderbos" TargetMode="External"/><Relationship Id="rId3822" Type="http://schemas.openxmlformats.org/officeDocument/2006/relationships/hyperlink" Target="https://pbs.twimg.com/profile_images/686965105473396736/B9V5UtGS_normal.jpg" TargetMode="External"/><Relationship Id="rId3825" Type="http://schemas.openxmlformats.org/officeDocument/2006/relationships/hyperlink" Target="https://pbs.twimg.com/profile_images/691734012130398208/rq61_XYr_normal.png" TargetMode="External"/><Relationship Id="rId3824" Type="http://schemas.openxmlformats.org/officeDocument/2006/relationships/hyperlink" Target="https://twitter.com/bbelderbos/status/702962527697817600" TargetMode="External"/><Relationship Id="rId3827" Type="http://schemas.openxmlformats.org/officeDocument/2006/relationships/hyperlink" Target="https://twitter.com/jolson88/status/702962613768970240" TargetMode="External"/><Relationship Id="rId3826" Type="http://schemas.openxmlformats.org/officeDocument/2006/relationships/hyperlink" Target="https://twitter.com/jolson88" TargetMode="External"/><Relationship Id="rId3829" Type="http://schemas.openxmlformats.org/officeDocument/2006/relationships/hyperlink" Target="https://twitter.com/EnrikeLopez" TargetMode="External"/><Relationship Id="rId3828" Type="http://schemas.openxmlformats.org/officeDocument/2006/relationships/hyperlink" Target="https://pbs.twimg.com/profile_images/141063441/Caricature_normal.jpg" TargetMode="External"/><Relationship Id="rId6094" Type="http://schemas.openxmlformats.org/officeDocument/2006/relationships/hyperlink" Target="https://pbs.twimg.com/profile_images/700674879540981761/fKiyB9Ye_normal.png" TargetMode="External"/><Relationship Id="rId6095" Type="http://schemas.openxmlformats.org/officeDocument/2006/relationships/hyperlink" Target="https://twitter.com/programmingncr" TargetMode="External"/><Relationship Id="rId6092" Type="http://schemas.openxmlformats.org/officeDocument/2006/relationships/hyperlink" Target="https://twitter.com/techmix_" TargetMode="External"/><Relationship Id="rId6093" Type="http://schemas.openxmlformats.org/officeDocument/2006/relationships/hyperlink" Target="https://twitter.com/techmix_/status/703100069499699201" TargetMode="External"/><Relationship Id="rId6098" Type="http://schemas.openxmlformats.org/officeDocument/2006/relationships/hyperlink" Target="https://twitter.com/programmingncr" TargetMode="External"/><Relationship Id="rId6099" Type="http://schemas.openxmlformats.org/officeDocument/2006/relationships/hyperlink" Target="https://twitter.com/programmingncr/status/703100252702666753" TargetMode="External"/><Relationship Id="rId6096" Type="http://schemas.openxmlformats.org/officeDocument/2006/relationships/hyperlink" Target="https://twitter.com/programmingncr/status/703100249707909121" TargetMode="External"/><Relationship Id="rId6097" Type="http://schemas.openxmlformats.org/officeDocument/2006/relationships/hyperlink" Target="https://pbs.twimg.com/profile_images/662602436222193664/qKuvsfnG_normal.jpg" TargetMode="External"/><Relationship Id="rId2522" Type="http://schemas.openxmlformats.org/officeDocument/2006/relationships/hyperlink" Target="https://twitter.com/webdevers/status/702913732456779778" TargetMode="External"/><Relationship Id="rId3854" Type="http://schemas.openxmlformats.org/officeDocument/2006/relationships/hyperlink" Target="http://dlvr.it" TargetMode="External"/><Relationship Id="rId2523" Type="http://schemas.openxmlformats.org/officeDocument/2006/relationships/hyperlink" Target="https://pbs.twimg.com/profile_images/3759253863/86267077ca21c75710f9fcc99f83d2f5_normal.jpeg" TargetMode="External"/><Relationship Id="rId3853" Type="http://schemas.openxmlformats.org/officeDocument/2006/relationships/hyperlink" Target="https://twitter.com/artwisanggeni/status/702963092934627328" TargetMode="External"/><Relationship Id="rId2524" Type="http://schemas.openxmlformats.org/officeDocument/2006/relationships/hyperlink" Target="https://twitter.com/palichis" TargetMode="External"/><Relationship Id="rId3856" Type="http://schemas.openxmlformats.org/officeDocument/2006/relationships/hyperlink" Target="https://twitter.com/artwisanggeni" TargetMode="External"/><Relationship Id="rId2525" Type="http://schemas.openxmlformats.org/officeDocument/2006/relationships/hyperlink" Target="https://twitter.com/palichis/status/702914223043690496" TargetMode="External"/><Relationship Id="rId3855" Type="http://schemas.openxmlformats.org/officeDocument/2006/relationships/hyperlink" Target="https://pbs.twimg.com/profile_images/2813636657/599521f69e2bc210a57323b64d8e39e6_normal.jpeg" TargetMode="External"/><Relationship Id="rId2526" Type="http://schemas.openxmlformats.org/officeDocument/2006/relationships/hyperlink" Target="https://pbs.twimg.com/profile_images/572948921693921280/OnxCV_Vc_normal.jpeg" TargetMode="External"/><Relationship Id="rId3858" Type="http://schemas.openxmlformats.org/officeDocument/2006/relationships/hyperlink" Target="http://dlvr.it" TargetMode="External"/><Relationship Id="rId2527" Type="http://schemas.openxmlformats.org/officeDocument/2006/relationships/hyperlink" Target="https://twitter.com/artwisanggeni" TargetMode="External"/><Relationship Id="rId3857" Type="http://schemas.openxmlformats.org/officeDocument/2006/relationships/hyperlink" Target="https://twitter.com/artwisanggeni/status/702963098408235009" TargetMode="External"/><Relationship Id="rId2528" Type="http://schemas.openxmlformats.org/officeDocument/2006/relationships/hyperlink" Target="https://twitter.com/artwisanggeni/status/702914268417564672" TargetMode="External"/><Relationship Id="rId2529" Type="http://schemas.openxmlformats.org/officeDocument/2006/relationships/hyperlink" Target="http://dlvr.it" TargetMode="External"/><Relationship Id="rId3859" Type="http://schemas.openxmlformats.org/officeDocument/2006/relationships/hyperlink" Target="https://pbs.twimg.com/profile_images/2813636657/599521f69e2bc210a57323b64d8e39e6_normal.jpeg" TargetMode="External"/><Relationship Id="rId3850" Type="http://schemas.openxmlformats.org/officeDocument/2006/relationships/hyperlink" Target="http://dlvr.it" TargetMode="External"/><Relationship Id="rId2520" Type="http://schemas.openxmlformats.org/officeDocument/2006/relationships/hyperlink" Target="https://pbs.twimg.com/profile_images/3759253863/86267077ca21c75710f9fcc99f83d2f5_normal.jpeg" TargetMode="External"/><Relationship Id="rId3852" Type="http://schemas.openxmlformats.org/officeDocument/2006/relationships/hyperlink" Target="https://twitter.com/artwisanggeni" TargetMode="External"/><Relationship Id="rId2521" Type="http://schemas.openxmlformats.org/officeDocument/2006/relationships/hyperlink" Target="https://twitter.com/webdevers" TargetMode="External"/><Relationship Id="rId3851" Type="http://schemas.openxmlformats.org/officeDocument/2006/relationships/hyperlink" Target="https://pbs.twimg.com/profile_images/2813636657/599521f69e2bc210a57323b64d8e39e6_normal.jpeg" TargetMode="External"/><Relationship Id="rId2511" Type="http://schemas.openxmlformats.org/officeDocument/2006/relationships/hyperlink" Target="https://pbs.twimg.com/profile_images/627996138403168256/DaASdgVr_normal.jpg" TargetMode="External"/><Relationship Id="rId3843" Type="http://schemas.openxmlformats.org/officeDocument/2006/relationships/hyperlink" Target="https://pbs.twimg.com/profile_images/2813636657/599521f69e2bc210a57323b64d8e39e6_normal.jpeg" TargetMode="External"/><Relationship Id="rId2512" Type="http://schemas.openxmlformats.org/officeDocument/2006/relationships/hyperlink" Target="https://twitter.com/webdevers" TargetMode="External"/><Relationship Id="rId3842" Type="http://schemas.openxmlformats.org/officeDocument/2006/relationships/hyperlink" Target="http://dlvr.it" TargetMode="External"/><Relationship Id="rId2513" Type="http://schemas.openxmlformats.org/officeDocument/2006/relationships/hyperlink" Target="https://twitter.com/webdevers/status/702913453762039808" TargetMode="External"/><Relationship Id="rId3845" Type="http://schemas.openxmlformats.org/officeDocument/2006/relationships/hyperlink" Target="https://twitter.com/artwisanggeni/status/702963082700546048" TargetMode="External"/><Relationship Id="rId2514" Type="http://schemas.openxmlformats.org/officeDocument/2006/relationships/hyperlink" Target="https://pbs.twimg.com/profile_images/3759253863/86267077ca21c75710f9fcc99f83d2f5_normal.jpeg" TargetMode="External"/><Relationship Id="rId3844" Type="http://schemas.openxmlformats.org/officeDocument/2006/relationships/hyperlink" Target="https://twitter.com/artwisanggeni" TargetMode="External"/><Relationship Id="rId2515" Type="http://schemas.openxmlformats.org/officeDocument/2006/relationships/hyperlink" Target="https://twitter.com/webdevers" TargetMode="External"/><Relationship Id="rId3847" Type="http://schemas.openxmlformats.org/officeDocument/2006/relationships/hyperlink" Target="https://pbs.twimg.com/profile_images/2813636657/599521f69e2bc210a57323b64d8e39e6_normal.jpeg" TargetMode="External"/><Relationship Id="rId2516" Type="http://schemas.openxmlformats.org/officeDocument/2006/relationships/hyperlink" Target="https://twitter.com/webdevers/status/702913476407066625" TargetMode="External"/><Relationship Id="rId3846" Type="http://schemas.openxmlformats.org/officeDocument/2006/relationships/hyperlink" Target="http://dlvr.it" TargetMode="External"/><Relationship Id="rId2517" Type="http://schemas.openxmlformats.org/officeDocument/2006/relationships/hyperlink" Target="https://pbs.twimg.com/profile_images/3759253863/86267077ca21c75710f9fcc99f83d2f5_normal.jpeg" TargetMode="External"/><Relationship Id="rId3849" Type="http://schemas.openxmlformats.org/officeDocument/2006/relationships/hyperlink" Target="https://twitter.com/artwisanggeni/status/702963087825960960" TargetMode="External"/><Relationship Id="rId2518" Type="http://schemas.openxmlformats.org/officeDocument/2006/relationships/hyperlink" Target="https://twitter.com/webdevers" TargetMode="External"/><Relationship Id="rId3848" Type="http://schemas.openxmlformats.org/officeDocument/2006/relationships/hyperlink" Target="https://twitter.com/artwisanggeni" TargetMode="External"/><Relationship Id="rId2519" Type="http://schemas.openxmlformats.org/officeDocument/2006/relationships/hyperlink" Target="https://twitter.com/webdevers/status/702913704325611520" TargetMode="External"/><Relationship Id="rId3841" Type="http://schemas.openxmlformats.org/officeDocument/2006/relationships/hyperlink" Target="https://twitter.com/artwisanggeni/status/702963078489444352" TargetMode="External"/><Relationship Id="rId2510" Type="http://schemas.openxmlformats.org/officeDocument/2006/relationships/hyperlink" Target="https://twitter.com/JoshuaLongUK/status/702913291451027461" TargetMode="External"/><Relationship Id="rId3840" Type="http://schemas.openxmlformats.org/officeDocument/2006/relationships/hyperlink" Target="https://twitter.com/artwisanggeni" TargetMode="External"/><Relationship Id="rId1290" Type="http://schemas.openxmlformats.org/officeDocument/2006/relationships/hyperlink" Target="https://twitter.com/limiear" TargetMode="External"/><Relationship Id="rId1291" Type="http://schemas.openxmlformats.org/officeDocument/2006/relationships/hyperlink" Target="https://twitter.com/limiear/status/702862672715448320" TargetMode="External"/><Relationship Id="rId1292" Type="http://schemas.openxmlformats.org/officeDocument/2006/relationships/hyperlink" Target="https://pbs.twimg.com/profile_images/529629909597949953/SVewJVqU_normal.png" TargetMode="External"/><Relationship Id="rId1293" Type="http://schemas.openxmlformats.org/officeDocument/2006/relationships/hyperlink" Target="https://twitter.com/cah_anom" TargetMode="External"/><Relationship Id="rId1294" Type="http://schemas.openxmlformats.org/officeDocument/2006/relationships/hyperlink" Target="https://twitter.com/cah_anom/status/702862862620839936" TargetMode="External"/><Relationship Id="rId1295" Type="http://schemas.openxmlformats.org/officeDocument/2006/relationships/hyperlink" Target="https://pbs.twimg.com/profile_images/603265046479642624/EswzTJd1_normal.jpg" TargetMode="External"/><Relationship Id="rId1296" Type="http://schemas.openxmlformats.org/officeDocument/2006/relationships/hyperlink" Target="https://twitter.com/PythonBooks" TargetMode="External"/><Relationship Id="rId1297" Type="http://schemas.openxmlformats.org/officeDocument/2006/relationships/hyperlink" Target="https://twitter.com/PythonBooks/status/702862879385481216" TargetMode="External"/><Relationship Id="rId1298" Type="http://schemas.openxmlformats.org/officeDocument/2006/relationships/hyperlink" Target="http://dlvr.it" TargetMode="External"/><Relationship Id="rId1299" Type="http://schemas.openxmlformats.org/officeDocument/2006/relationships/hyperlink" Target="https://pbs.twimg.com/profile_images/702455638157168640/AeDgtn0C_normal.jpg" TargetMode="External"/><Relationship Id="rId1280" Type="http://schemas.openxmlformats.org/officeDocument/2006/relationships/hyperlink" Target="https://pbs.twimg.com/profile_images/2474433856/p075cerxh0arpea6ceip_normal.png" TargetMode="External"/><Relationship Id="rId1281" Type="http://schemas.openxmlformats.org/officeDocument/2006/relationships/hyperlink" Target="https://twitter.com/StackDevJobs" TargetMode="External"/><Relationship Id="rId1282" Type="http://schemas.openxmlformats.org/officeDocument/2006/relationships/hyperlink" Target="https://twitter.com/StackDevJobs/status/702862350060273668" TargetMode="External"/><Relationship Id="rId1283" Type="http://schemas.openxmlformats.org/officeDocument/2006/relationships/hyperlink" Target="https://pbs.twimg.com/profile_images/643779014268579840/bRJStj7A_normal.png" TargetMode="External"/><Relationship Id="rId1284" Type="http://schemas.openxmlformats.org/officeDocument/2006/relationships/hyperlink" Target="https://twitter.com/programmingncr" TargetMode="External"/><Relationship Id="rId1285" Type="http://schemas.openxmlformats.org/officeDocument/2006/relationships/hyperlink" Target="https://twitter.com/programmingncr/status/702862374244651008" TargetMode="External"/><Relationship Id="rId1286" Type="http://schemas.openxmlformats.org/officeDocument/2006/relationships/hyperlink" Target="https://pbs.twimg.com/profile_images/662602436222193664/qKuvsfnG_normal.jpg" TargetMode="External"/><Relationship Id="rId1287" Type="http://schemas.openxmlformats.org/officeDocument/2006/relationships/hyperlink" Target="https://twitter.com/andreaesseci" TargetMode="External"/><Relationship Id="rId1288" Type="http://schemas.openxmlformats.org/officeDocument/2006/relationships/hyperlink" Target="https://twitter.com/andreaesseci/status/702862510551130112" TargetMode="External"/><Relationship Id="rId1289" Type="http://schemas.openxmlformats.org/officeDocument/2006/relationships/hyperlink" Target="https://pbs.twimg.com/profile_images/2904232198/b17df8862fed50765f64a435b3ed2abe_normal.jpeg" TargetMode="External"/><Relationship Id="rId8707" Type="http://schemas.openxmlformats.org/officeDocument/2006/relationships/hyperlink" Target="https://pbs.twimg.com/profile_images/699905898316103680/UEJP7sZv_normal.png" TargetMode="External"/><Relationship Id="rId8706" Type="http://schemas.openxmlformats.org/officeDocument/2006/relationships/hyperlink" Target="https://twitter.com/ABERDYN_Recrute/status/703246056075689984" TargetMode="External"/><Relationship Id="rId8705" Type="http://schemas.openxmlformats.org/officeDocument/2006/relationships/hyperlink" Target="https://twitter.com/ABERDYN_Recrute" TargetMode="External"/><Relationship Id="rId8704" Type="http://schemas.openxmlformats.org/officeDocument/2006/relationships/hyperlink" Target="https://pbs.twimg.com/profile_images/450646561647644672/UwClAbvp_normal.jpeg" TargetMode="External"/><Relationship Id="rId8709" Type="http://schemas.openxmlformats.org/officeDocument/2006/relationships/hyperlink" Target="https://twitter.com/giocante/status/703246560126234625" TargetMode="External"/><Relationship Id="rId8708" Type="http://schemas.openxmlformats.org/officeDocument/2006/relationships/hyperlink" Target="https://twitter.com/giocante" TargetMode="External"/><Relationship Id="rId8703" Type="http://schemas.openxmlformats.org/officeDocument/2006/relationships/hyperlink" Target="https://twitter.com/ElliNarewska/status/703245620350418945" TargetMode="External"/><Relationship Id="rId8702" Type="http://schemas.openxmlformats.org/officeDocument/2006/relationships/hyperlink" Target="https://twitter.com/ElliNarewska" TargetMode="External"/><Relationship Id="rId8701" Type="http://schemas.openxmlformats.org/officeDocument/2006/relationships/hyperlink" Target="https://pbs.twimg.com/profile_images/489375332743409664/P4sYDY1__normal.png" TargetMode="External"/><Relationship Id="rId8700" Type="http://schemas.openxmlformats.org/officeDocument/2006/relationships/hyperlink" Target="https://twitter.com/bigboardsio/status/703245327541866496" TargetMode="External"/><Relationship Id="rId1257" Type="http://schemas.openxmlformats.org/officeDocument/2006/relationships/hyperlink" Target="https://twitter.com/dasaptaerwin/status/702861268651212800" TargetMode="External"/><Relationship Id="rId2588" Type="http://schemas.openxmlformats.org/officeDocument/2006/relationships/hyperlink" Target="https://twitter.com/dulce303" TargetMode="External"/><Relationship Id="rId1258" Type="http://schemas.openxmlformats.org/officeDocument/2006/relationships/hyperlink" Target="http://orcid.org/0000-0002-1526-0863" TargetMode="External"/><Relationship Id="rId2589" Type="http://schemas.openxmlformats.org/officeDocument/2006/relationships/hyperlink" Target="http://dulce.com" TargetMode="External"/><Relationship Id="rId1259" Type="http://schemas.openxmlformats.org/officeDocument/2006/relationships/hyperlink" Target="https://pbs.twimg.com/profile_images/695959239957688320/MJ4p8POC_normal.jpg" TargetMode="External"/><Relationship Id="rId2580" Type="http://schemas.openxmlformats.org/officeDocument/2006/relationships/hyperlink" Target="https://twitter.com/TheDailyTechHQ/status/702917103263883264" TargetMode="External"/><Relationship Id="rId1250" Type="http://schemas.openxmlformats.org/officeDocument/2006/relationships/hyperlink" Target="https://twitter.com/btcplanet" TargetMode="External"/><Relationship Id="rId2581" Type="http://schemas.openxmlformats.org/officeDocument/2006/relationships/hyperlink" Target="https://pbs.twimg.com/profile_images/681515268846317568/WkCbnvKS_normal.jpg" TargetMode="External"/><Relationship Id="rId1251" Type="http://schemas.openxmlformats.org/officeDocument/2006/relationships/hyperlink" Target="https://twitter.com/btcplanet/status/702860846158905345" TargetMode="External"/><Relationship Id="rId2582" Type="http://schemas.openxmlformats.org/officeDocument/2006/relationships/hyperlink" Target="https://twitter.com/JoshuaLongUK" TargetMode="External"/><Relationship Id="rId1252" Type="http://schemas.openxmlformats.org/officeDocument/2006/relationships/hyperlink" Target="https://abs.twimg.com/sticky/default_profile_images/default_profile_0_normal.png" TargetMode="External"/><Relationship Id="rId2583" Type="http://schemas.openxmlformats.org/officeDocument/2006/relationships/hyperlink" Target="https://twitter.com/JoshuaLongUK/status/702917229713739776" TargetMode="External"/><Relationship Id="rId1253" Type="http://schemas.openxmlformats.org/officeDocument/2006/relationships/hyperlink" Target="https://twitter.com/pythonz_net" TargetMode="External"/><Relationship Id="rId2584" Type="http://schemas.openxmlformats.org/officeDocument/2006/relationships/hyperlink" Target="https://pbs.twimg.com/profile_images/627996138403168256/DaASdgVr_normal.jpg" TargetMode="External"/><Relationship Id="rId1254" Type="http://schemas.openxmlformats.org/officeDocument/2006/relationships/hyperlink" Target="https://twitter.com/pythonz_net/status/702861086937186304" TargetMode="External"/><Relationship Id="rId2585" Type="http://schemas.openxmlformats.org/officeDocument/2006/relationships/hyperlink" Target="https://twitter.com/NoSQLDigest" TargetMode="External"/><Relationship Id="rId1255" Type="http://schemas.openxmlformats.org/officeDocument/2006/relationships/hyperlink" Target="https://pbs.twimg.com/profile_images/482561147074129920/Opt5Ssac_normal.png" TargetMode="External"/><Relationship Id="rId2586" Type="http://schemas.openxmlformats.org/officeDocument/2006/relationships/hyperlink" Target="https://twitter.com/NoSQLDigest/status/702917319173894145" TargetMode="External"/><Relationship Id="rId1256" Type="http://schemas.openxmlformats.org/officeDocument/2006/relationships/hyperlink" Target="https://twitter.com/dasaptaerwin" TargetMode="External"/><Relationship Id="rId2587" Type="http://schemas.openxmlformats.org/officeDocument/2006/relationships/hyperlink" Target="https://pbs.twimg.com/profile_images/499257180009529344/CSWhr7LZ_normal.jpeg" TargetMode="External"/><Relationship Id="rId1246" Type="http://schemas.openxmlformats.org/officeDocument/2006/relationships/hyperlink" Target="https://pbs.twimg.com/profile_images/378800000796860039/dc9114a4851e86192223bfbce90af79e_normal.png" TargetMode="External"/><Relationship Id="rId2577" Type="http://schemas.openxmlformats.org/officeDocument/2006/relationships/hyperlink" Target="https://twitter.com/harimenath/status/702916987739975680" TargetMode="External"/><Relationship Id="rId1247" Type="http://schemas.openxmlformats.org/officeDocument/2006/relationships/hyperlink" Target="https://twitter.com/EricIdle" TargetMode="External"/><Relationship Id="rId2578" Type="http://schemas.openxmlformats.org/officeDocument/2006/relationships/hyperlink" Target="https://pbs.twimg.com/profile_images/378800000783589786/4e1f6ba85fb1974f9133500636e9664a_normal.png" TargetMode="External"/><Relationship Id="rId1248" Type="http://schemas.openxmlformats.org/officeDocument/2006/relationships/hyperlink" Target="https://twitter.com/EricIdle/status/702860816152809472" TargetMode="External"/><Relationship Id="rId2579" Type="http://schemas.openxmlformats.org/officeDocument/2006/relationships/hyperlink" Target="https://twitter.com/TheDailyTechHQ" TargetMode="External"/><Relationship Id="rId1249" Type="http://schemas.openxmlformats.org/officeDocument/2006/relationships/hyperlink" Target="https://pbs.twimg.com/profile_images/2798844021/584146be4dce53d8d1a21651a7ac814b_normal.png" TargetMode="External"/><Relationship Id="rId2570" Type="http://schemas.openxmlformats.org/officeDocument/2006/relationships/hyperlink" Target="https://twitter.com/dirfooddrink" TargetMode="External"/><Relationship Id="rId1240" Type="http://schemas.openxmlformats.org/officeDocument/2006/relationships/hyperlink" Target="https://pbs.twimg.com/profile_images/633894151541686272/biuRvPew_normal.jpg" TargetMode="External"/><Relationship Id="rId2571" Type="http://schemas.openxmlformats.org/officeDocument/2006/relationships/hyperlink" Target="https://twitter.com/dirfooddrink/status/702916638581121024" TargetMode="External"/><Relationship Id="rId1241" Type="http://schemas.openxmlformats.org/officeDocument/2006/relationships/hyperlink" Target="https://twitter.com/pythonz_net" TargetMode="External"/><Relationship Id="rId2572" Type="http://schemas.openxmlformats.org/officeDocument/2006/relationships/hyperlink" Target="https://pbs.twimg.com/profile_images/657708133716881408/v7w4ki3M_normal.jpg" TargetMode="External"/><Relationship Id="rId1242" Type="http://schemas.openxmlformats.org/officeDocument/2006/relationships/hyperlink" Target="https://twitter.com/pythonz_net/status/702860583301947392" TargetMode="External"/><Relationship Id="rId2573" Type="http://schemas.openxmlformats.org/officeDocument/2006/relationships/hyperlink" Target="https://twitter.com/ManAHLTech" TargetMode="External"/><Relationship Id="rId1243" Type="http://schemas.openxmlformats.org/officeDocument/2006/relationships/hyperlink" Target="https://pbs.twimg.com/profile_images/482561147074129920/Opt5Ssac_normal.png" TargetMode="External"/><Relationship Id="rId2574" Type="http://schemas.openxmlformats.org/officeDocument/2006/relationships/hyperlink" Target="https://twitter.com/ManAHLTech/status/702916703399907328" TargetMode="External"/><Relationship Id="rId1244" Type="http://schemas.openxmlformats.org/officeDocument/2006/relationships/hyperlink" Target="https://twitter.com/Kill_Biller" TargetMode="External"/><Relationship Id="rId2575" Type="http://schemas.openxmlformats.org/officeDocument/2006/relationships/hyperlink" Target="https://pbs.twimg.com/profile_images/606122549626445824/F381wuJT_normal.jpg" TargetMode="External"/><Relationship Id="rId1245" Type="http://schemas.openxmlformats.org/officeDocument/2006/relationships/hyperlink" Target="https://twitter.com/Kill_Biller/status/702860663039913984" TargetMode="External"/><Relationship Id="rId2576" Type="http://schemas.openxmlformats.org/officeDocument/2006/relationships/hyperlink" Target="https://twitter.com/harimenath" TargetMode="External"/><Relationship Id="rId1279" Type="http://schemas.openxmlformats.org/officeDocument/2006/relationships/hyperlink" Target="https://twitter.com/py3k/status/702862348898455552" TargetMode="External"/><Relationship Id="rId1270" Type="http://schemas.openxmlformats.org/officeDocument/2006/relationships/hyperlink" Target="https://twitter.com/kadirsahan/status/702861427590209536" TargetMode="External"/><Relationship Id="rId1271" Type="http://schemas.openxmlformats.org/officeDocument/2006/relationships/hyperlink" Target="https://pbs.twimg.com/profile_images/378800000849773972/233352e3e00da250ad98e879d20c5344_normal.jpeg" TargetMode="External"/><Relationship Id="rId1272" Type="http://schemas.openxmlformats.org/officeDocument/2006/relationships/hyperlink" Target="https://twitter.com/GaelleTjat" TargetMode="External"/><Relationship Id="rId1273" Type="http://schemas.openxmlformats.org/officeDocument/2006/relationships/hyperlink" Target="https://twitter.com/GaelleTjat/status/702861453108383744" TargetMode="External"/><Relationship Id="rId1274" Type="http://schemas.openxmlformats.org/officeDocument/2006/relationships/hyperlink" Target="https://pbs.twimg.com/profile_images/676607760411336705/hmSj7P1M_normal.jpg" TargetMode="External"/><Relationship Id="rId1275" Type="http://schemas.openxmlformats.org/officeDocument/2006/relationships/hyperlink" Target="https://twitter.com/DJSteve8" TargetMode="External"/><Relationship Id="rId1276" Type="http://schemas.openxmlformats.org/officeDocument/2006/relationships/hyperlink" Target="https://twitter.com/DJSteve8/status/702861473039654912" TargetMode="External"/><Relationship Id="rId1277" Type="http://schemas.openxmlformats.org/officeDocument/2006/relationships/hyperlink" Target="https://pbs.twimg.com/profile_images/378800000109829737/f4a019101e568c3ab157d4b8637033ba_normal.jpeg" TargetMode="External"/><Relationship Id="rId1278" Type="http://schemas.openxmlformats.org/officeDocument/2006/relationships/hyperlink" Target="https://twitter.com/py3k" TargetMode="External"/><Relationship Id="rId1268" Type="http://schemas.openxmlformats.org/officeDocument/2006/relationships/hyperlink" Target="https://pbs.twimg.com/profile_images/686965105473396736/B9V5UtGS_normal.jpg" TargetMode="External"/><Relationship Id="rId2599" Type="http://schemas.openxmlformats.org/officeDocument/2006/relationships/hyperlink" Target="https://twitter.com/yprez/status/702917978283761664" TargetMode="External"/><Relationship Id="rId1269" Type="http://schemas.openxmlformats.org/officeDocument/2006/relationships/hyperlink" Target="https://twitter.com/kadirsahan" TargetMode="External"/><Relationship Id="rId2590" Type="http://schemas.openxmlformats.org/officeDocument/2006/relationships/hyperlink" Target="https://twitter.com/dulce303/status/702917722120671232" TargetMode="External"/><Relationship Id="rId1260" Type="http://schemas.openxmlformats.org/officeDocument/2006/relationships/hyperlink" Target="https://twitter.com/billkimler" TargetMode="External"/><Relationship Id="rId2591" Type="http://schemas.openxmlformats.org/officeDocument/2006/relationships/hyperlink" Target="https://pbs.twimg.com/profile_images/1765389986/eye_2_normal.jpg" TargetMode="External"/><Relationship Id="rId1261" Type="http://schemas.openxmlformats.org/officeDocument/2006/relationships/hyperlink" Target="https://twitter.com/billkimler/status/702861316130803713" TargetMode="External"/><Relationship Id="rId2592" Type="http://schemas.openxmlformats.org/officeDocument/2006/relationships/hyperlink" Target="https://twitter.com/quotedian" TargetMode="External"/><Relationship Id="rId1262" Type="http://schemas.openxmlformats.org/officeDocument/2006/relationships/hyperlink" Target="https://pbs.twimg.com/profile_images/632586152386654208/4fbtLF5T_normal.jpg" TargetMode="External"/><Relationship Id="rId2593" Type="http://schemas.openxmlformats.org/officeDocument/2006/relationships/hyperlink" Target="https://twitter.com/quotedian/status/702917731713036288" TargetMode="External"/><Relationship Id="rId1263" Type="http://schemas.openxmlformats.org/officeDocument/2006/relationships/hyperlink" Target="https://twitter.com/SeiichiShiga" TargetMode="External"/><Relationship Id="rId2594" Type="http://schemas.openxmlformats.org/officeDocument/2006/relationships/hyperlink" Target="https://pbs.twimg.com/profile_images/547111029373562880/n8f8w9ZZ_normal.png" TargetMode="External"/><Relationship Id="rId1264" Type="http://schemas.openxmlformats.org/officeDocument/2006/relationships/hyperlink" Target="https://twitter.com/SeiichiShiga/status/702861355141849090" TargetMode="External"/><Relationship Id="rId2595" Type="http://schemas.openxmlformats.org/officeDocument/2006/relationships/hyperlink" Target="https://twitter.com/cool_python" TargetMode="External"/><Relationship Id="rId1265" Type="http://schemas.openxmlformats.org/officeDocument/2006/relationships/hyperlink" Target="https://pbs.twimg.com/profile_images/678592301489242113/Sfm3y8Po_normal.jpg" TargetMode="External"/><Relationship Id="rId2596" Type="http://schemas.openxmlformats.org/officeDocument/2006/relationships/hyperlink" Target="https://twitter.com/cool_python/status/702917756585451520" TargetMode="External"/><Relationship Id="rId1266" Type="http://schemas.openxmlformats.org/officeDocument/2006/relationships/hyperlink" Target="https://twitter.com/sentiwire" TargetMode="External"/><Relationship Id="rId2597" Type="http://schemas.openxmlformats.org/officeDocument/2006/relationships/hyperlink" Target="https://pbs.twimg.com/profile_images/572091631055028224/Pkx__FSB_normal.png" TargetMode="External"/><Relationship Id="rId1267" Type="http://schemas.openxmlformats.org/officeDocument/2006/relationships/hyperlink" Target="https://twitter.com/sentiwire/status/702861359084498944" TargetMode="External"/><Relationship Id="rId2598" Type="http://schemas.openxmlformats.org/officeDocument/2006/relationships/hyperlink" Target="https://twitter.com/yprez" TargetMode="External"/><Relationship Id="rId3070" Type="http://schemas.openxmlformats.org/officeDocument/2006/relationships/hyperlink" Target="https://twitter.com/NowLivecodingtv/status/702933678389760000" TargetMode="External"/><Relationship Id="rId3072" Type="http://schemas.openxmlformats.org/officeDocument/2006/relationships/hyperlink" Target="https://twitter.com/NowLivecodingtv" TargetMode="External"/><Relationship Id="rId3071" Type="http://schemas.openxmlformats.org/officeDocument/2006/relationships/hyperlink" Target="https://pbs.twimg.com/profile_images/699984077877874688/aR2ovqId_normal.png" TargetMode="External"/><Relationship Id="rId3074" Type="http://schemas.openxmlformats.org/officeDocument/2006/relationships/hyperlink" Target="https://pbs.twimg.com/profile_images/699984077877874688/aR2ovqId_normal.png" TargetMode="External"/><Relationship Id="rId3073" Type="http://schemas.openxmlformats.org/officeDocument/2006/relationships/hyperlink" Target="https://twitter.com/NowLivecodingtv/status/702933683569754112" TargetMode="External"/><Relationship Id="rId3076" Type="http://schemas.openxmlformats.org/officeDocument/2006/relationships/hyperlink" Target="https://twitter.com/NowLivecodingtv/status/702933696316243968" TargetMode="External"/><Relationship Id="rId3075" Type="http://schemas.openxmlformats.org/officeDocument/2006/relationships/hyperlink" Target="https://twitter.com/NowLivecodingtv" TargetMode="External"/><Relationship Id="rId3078" Type="http://schemas.openxmlformats.org/officeDocument/2006/relationships/hyperlink" Target="https://twitter.com/NowLivecodingtv" TargetMode="External"/><Relationship Id="rId3077" Type="http://schemas.openxmlformats.org/officeDocument/2006/relationships/hyperlink" Target="https://pbs.twimg.com/profile_images/699984077877874688/aR2ovqId_normal.png" TargetMode="External"/><Relationship Id="rId3079" Type="http://schemas.openxmlformats.org/officeDocument/2006/relationships/hyperlink" Target="https://twitter.com/NowLivecodingtv/status/702933711960997888" TargetMode="External"/><Relationship Id="rId4390" Type="http://schemas.openxmlformats.org/officeDocument/2006/relationships/hyperlink" Target="https://twitter.com/gbowerman" TargetMode="External"/><Relationship Id="rId3061" Type="http://schemas.openxmlformats.org/officeDocument/2006/relationships/hyperlink" Target="https://twitter.com/GISPyQuestions/status/702933645888135168" TargetMode="External"/><Relationship Id="rId4392" Type="http://schemas.openxmlformats.org/officeDocument/2006/relationships/hyperlink" Target="https://pbs.twimg.com/profile_images/3317062948/994df7c584ed45a550cc0397288b4c39_normal.jpeg" TargetMode="External"/><Relationship Id="rId3060" Type="http://schemas.openxmlformats.org/officeDocument/2006/relationships/hyperlink" Target="https://twitter.com/GISPyQuestions" TargetMode="External"/><Relationship Id="rId4391" Type="http://schemas.openxmlformats.org/officeDocument/2006/relationships/hyperlink" Target="https://twitter.com/gbowerman/status/702990677324472321" TargetMode="External"/><Relationship Id="rId3063" Type="http://schemas.openxmlformats.org/officeDocument/2006/relationships/hyperlink" Target="https://twitter.com/NowLivecodingtv" TargetMode="External"/><Relationship Id="rId4394" Type="http://schemas.openxmlformats.org/officeDocument/2006/relationships/hyperlink" Target="https://twitter.com/najarvg/status/702990892655878144" TargetMode="External"/><Relationship Id="rId3062" Type="http://schemas.openxmlformats.org/officeDocument/2006/relationships/hyperlink" Target="https://pbs.twimg.com/profile_images/1987767273/python-logo-glassy_normal.png" TargetMode="External"/><Relationship Id="rId4393" Type="http://schemas.openxmlformats.org/officeDocument/2006/relationships/hyperlink" Target="https://twitter.com/najarvg" TargetMode="External"/><Relationship Id="rId3065" Type="http://schemas.openxmlformats.org/officeDocument/2006/relationships/hyperlink" Target="https://pbs.twimg.com/profile_images/699984077877874688/aR2ovqId_normal.png" TargetMode="External"/><Relationship Id="rId4396" Type="http://schemas.openxmlformats.org/officeDocument/2006/relationships/hyperlink" Target="https://twitter.com/JoshuaLongUK" TargetMode="External"/><Relationship Id="rId3064" Type="http://schemas.openxmlformats.org/officeDocument/2006/relationships/hyperlink" Target="https://twitter.com/NowLivecodingtv/status/702933649948192768" TargetMode="External"/><Relationship Id="rId4395" Type="http://schemas.openxmlformats.org/officeDocument/2006/relationships/hyperlink" Target="https://pbs.twimg.com/profile_images/687773568378212352/eTbB4wLE_normal.jpg" TargetMode="External"/><Relationship Id="rId3067" Type="http://schemas.openxmlformats.org/officeDocument/2006/relationships/hyperlink" Target="https://twitter.com/NowLivecodingtv/status/702933660849168384" TargetMode="External"/><Relationship Id="rId4398" Type="http://schemas.openxmlformats.org/officeDocument/2006/relationships/hyperlink" Target="https://pbs.twimg.com/profile_images/627996138403168256/DaASdgVr_normal.jpg" TargetMode="External"/><Relationship Id="rId3066" Type="http://schemas.openxmlformats.org/officeDocument/2006/relationships/hyperlink" Target="https://twitter.com/NowLivecodingtv" TargetMode="External"/><Relationship Id="rId4397" Type="http://schemas.openxmlformats.org/officeDocument/2006/relationships/hyperlink" Target="https://twitter.com/JoshuaLongUK/status/702991052014231552" TargetMode="External"/><Relationship Id="rId3069" Type="http://schemas.openxmlformats.org/officeDocument/2006/relationships/hyperlink" Target="https://twitter.com/NowLivecodingtv" TargetMode="External"/><Relationship Id="rId3068" Type="http://schemas.openxmlformats.org/officeDocument/2006/relationships/hyperlink" Target="https://pbs.twimg.com/profile_images/699984077877874688/aR2ovqId_normal.png" TargetMode="External"/><Relationship Id="rId4399" Type="http://schemas.openxmlformats.org/officeDocument/2006/relationships/hyperlink" Target="https://twitter.com/limiear" TargetMode="External"/><Relationship Id="rId3090" Type="http://schemas.openxmlformats.org/officeDocument/2006/relationships/hyperlink" Target="https://twitter.com/NowLivecodingtv" TargetMode="External"/><Relationship Id="rId3092" Type="http://schemas.openxmlformats.org/officeDocument/2006/relationships/hyperlink" Target="https://pbs.twimg.com/profile_images/699984077877874688/aR2ovqId_normal.png" TargetMode="External"/><Relationship Id="rId3091" Type="http://schemas.openxmlformats.org/officeDocument/2006/relationships/hyperlink" Target="https://twitter.com/NowLivecodingtv/status/702933784782442496" TargetMode="External"/><Relationship Id="rId3094" Type="http://schemas.openxmlformats.org/officeDocument/2006/relationships/hyperlink" Target="https://twitter.com/mwright_com/status/702933851056648192" TargetMode="External"/><Relationship Id="rId3093" Type="http://schemas.openxmlformats.org/officeDocument/2006/relationships/hyperlink" Target="https://twitter.com/mwright_com" TargetMode="External"/><Relationship Id="rId3096" Type="http://schemas.openxmlformats.org/officeDocument/2006/relationships/hyperlink" Target="https://twitter.com/PythonDaily" TargetMode="External"/><Relationship Id="rId3095" Type="http://schemas.openxmlformats.org/officeDocument/2006/relationships/hyperlink" Target="https://pbs.twimg.com/profile_images/614140211577159680/zkV4JA6z_normal.png" TargetMode="External"/><Relationship Id="rId3098" Type="http://schemas.openxmlformats.org/officeDocument/2006/relationships/hyperlink" Target="https://pbs.twimg.com/profile_images/378800000030851202/b6bb871a13825bae9004a9aab3a1d726_normal.jpeg" TargetMode="External"/><Relationship Id="rId3097" Type="http://schemas.openxmlformats.org/officeDocument/2006/relationships/hyperlink" Target="https://twitter.com/PythonDaily/status/702934465165680640" TargetMode="External"/><Relationship Id="rId3099" Type="http://schemas.openxmlformats.org/officeDocument/2006/relationships/hyperlink" Target="https://twitter.com/NowLivecodingtv" TargetMode="External"/><Relationship Id="rId3081" Type="http://schemas.openxmlformats.org/officeDocument/2006/relationships/hyperlink" Target="https://twitter.com/NowLivecodingtv" TargetMode="External"/><Relationship Id="rId3080" Type="http://schemas.openxmlformats.org/officeDocument/2006/relationships/hyperlink" Target="https://pbs.twimg.com/profile_images/699984077877874688/aR2ovqId_normal.png" TargetMode="External"/><Relationship Id="rId3083" Type="http://schemas.openxmlformats.org/officeDocument/2006/relationships/hyperlink" Target="https://pbs.twimg.com/profile_images/699984077877874688/aR2ovqId_normal.png" TargetMode="External"/><Relationship Id="rId3082" Type="http://schemas.openxmlformats.org/officeDocument/2006/relationships/hyperlink" Target="https://twitter.com/NowLivecodingtv/status/702933717111537664" TargetMode="External"/><Relationship Id="rId3085" Type="http://schemas.openxmlformats.org/officeDocument/2006/relationships/hyperlink" Target="https://twitter.com/NowLivecodingtv/status/702933755309092864" TargetMode="External"/><Relationship Id="rId3084" Type="http://schemas.openxmlformats.org/officeDocument/2006/relationships/hyperlink" Target="https://twitter.com/NowLivecodingtv" TargetMode="External"/><Relationship Id="rId3087" Type="http://schemas.openxmlformats.org/officeDocument/2006/relationships/hyperlink" Target="https://twitter.com/tzmuenchen" TargetMode="External"/><Relationship Id="rId3086" Type="http://schemas.openxmlformats.org/officeDocument/2006/relationships/hyperlink" Target="https://pbs.twimg.com/profile_images/699984077877874688/aR2ovqId_normal.png" TargetMode="External"/><Relationship Id="rId3089" Type="http://schemas.openxmlformats.org/officeDocument/2006/relationships/hyperlink" Target="https://pbs.twimg.com/profile_images/493742697622945792/qzJB7aUj_normal.jpeg" TargetMode="External"/><Relationship Id="rId3088" Type="http://schemas.openxmlformats.org/officeDocument/2006/relationships/hyperlink" Target="https://twitter.com/tzmuenchen/status/702933774594666497" TargetMode="External"/><Relationship Id="rId3039" Type="http://schemas.openxmlformats.org/officeDocument/2006/relationships/hyperlink" Target="https://twitter.com/NowLivecodingtv" TargetMode="External"/><Relationship Id="rId5691" Type="http://schemas.openxmlformats.org/officeDocument/2006/relationships/hyperlink" Target="http://Paper.li" TargetMode="External"/><Relationship Id="rId5692" Type="http://schemas.openxmlformats.org/officeDocument/2006/relationships/hyperlink" Target="https://pbs.twimg.com/profile_images/524199331365015552/O94t9yIe_normal.jpeg" TargetMode="External"/><Relationship Id="rId3030" Type="http://schemas.openxmlformats.org/officeDocument/2006/relationships/hyperlink" Target="https://twitter.com/NowLivecodingtv" TargetMode="External"/><Relationship Id="rId4361" Type="http://schemas.openxmlformats.org/officeDocument/2006/relationships/hyperlink" Target="https://twitter.com/TheWAnswer/status/702987560843345921" TargetMode="External"/><Relationship Id="rId4360" Type="http://schemas.openxmlformats.org/officeDocument/2006/relationships/hyperlink" Target="https://twitter.com/TheWAnswer" TargetMode="External"/><Relationship Id="rId5690" Type="http://schemas.openxmlformats.org/officeDocument/2006/relationships/hyperlink" Target="https://twitter.com/jletteboer/status/703070549250076672" TargetMode="External"/><Relationship Id="rId3032" Type="http://schemas.openxmlformats.org/officeDocument/2006/relationships/hyperlink" Target="https://pbs.twimg.com/profile_images/699984077877874688/aR2ovqId_normal.png" TargetMode="External"/><Relationship Id="rId4363" Type="http://schemas.openxmlformats.org/officeDocument/2006/relationships/hyperlink" Target="https://twitter.com/SeiichiShiga" TargetMode="External"/><Relationship Id="rId5695" Type="http://schemas.openxmlformats.org/officeDocument/2006/relationships/hyperlink" Target="https://pbs.twimg.com/profile_images/702599612952088581/bNRDC5qq_normal.jpg" TargetMode="External"/><Relationship Id="rId3031" Type="http://schemas.openxmlformats.org/officeDocument/2006/relationships/hyperlink" Target="https://twitter.com/NowLivecodingtv/status/702933539973541888" TargetMode="External"/><Relationship Id="rId4362" Type="http://schemas.openxmlformats.org/officeDocument/2006/relationships/hyperlink" Target="https://abs.twimg.com/sticky/default_profile_images/default_profile_5_normal.png" TargetMode="External"/><Relationship Id="rId5696" Type="http://schemas.openxmlformats.org/officeDocument/2006/relationships/hyperlink" Target="https://twitter.com/imharit" TargetMode="External"/><Relationship Id="rId3034" Type="http://schemas.openxmlformats.org/officeDocument/2006/relationships/hyperlink" Target="https://twitter.com/NowLivecodingtv/status/702933555001712640" TargetMode="External"/><Relationship Id="rId4365" Type="http://schemas.openxmlformats.org/officeDocument/2006/relationships/hyperlink" Target="https://pbs.twimg.com/profile_images/678592301489242113/Sfm3y8Po_normal.jpg" TargetMode="External"/><Relationship Id="rId5693" Type="http://schemas.openxmlformats.org/officeDocument/2006/relationships/hyperlink" Target="https://twitter.com/NCHSRedhawksCTE" TargetMode="External"/><Relationship Id="rId3033" Type="http://schemas.openxmlformats.org/officeDocument/2006/relationships/hyperlink" Target="https://twitter.com/NowLivecodingtv" TargetMode="External"/><Relationship Id="rId4364" Type="http://schemas.openxmlformats.org/officeDocument/2006/relationships/hyperlink" Target="https://twitter.com/SeiichiShiga/status/702987934853500928" TargetMode="External"/><Relationship Id="rId5694" Type="http://schemas.openxmlformats.org/officeDocument/2006/relationships/hyperlink" Target="https://twitter.com/NCHSRedhawksCTE/status/703071154131480576" TargetMode="External"/><Relationship Id="rId3036" Type="http://schemas.openxmlformats.org/officeDocument/2006/relationships/hyperlink" Target="https://twitter.com/NowLivecodingtv" TargetMode="External"/><Relationship Id="rId4367" Type="http://schemas.openxmlformats.org/officeDocument/2006/relationships/hyperlink" Target="https://twitter.com/mpetyx/status/702988217751113728" TargetMode="External"/><Relationship Id="rId5699" Type="http://schemas.openxmlformats.org/officeDocument/2006/relationships/hyperlink" Target="https://twitter.com/PythonBooks" TargetMode="External"/><Relationship Id="rId3035" Type="http://schemas.openxmlformats.org/officeDocument/2006/relationships/hyperlink" Target="https://pbs.twimg.com/profile_images/699984077877874688/aR2ovqId_normal.png" TargetMode="External"/><Relationship Id="rId4366" Type="http://schemas.openxmlformats.org/officeDocument/2006/relationships/hyperlink" Target="https://twitter.com/mpetyx" TargetMode="External"/><Relationship Id="rId3038" Type="http://schemas.openxmlformats.org/officeDocument/2006/relationships/hyperlink" Target="https://pbs.twimg.com/profile_images/699984077877874688/aR2ovqId_normal.png" TargetMode="External"/><Relationship Id="rId4369" Type="http://schemas.openxmlformats.org/officeDocument/2006/relationships/hyperlink" Target="https://twitter.com/antoinearray" TargetMode="External"/><Relationship Id="rId5697" Type="http://schemas.openxmlformats.org/officeDocument/2006/relationships/hyperlink" Target="https://twitter.com/imharit/status/703071382695866368" TargetMode="External"/><Relationship Id="rId3037" Type="http://schemas.openxmlformats.org/officeDocument/2006/relationships/hyperlink" Target="https://twitter.com/NowLivecodingtv/status/702933568515764224" TargetMode="External"/><Relationship Id="rId4368" Type="http://schemas.openxmlformats.org/officeDocument/2006/relationships/hyperlink" Target="https://pbs.twimg.com/profile_images/1376633950/michael_kouklos_normal.jpg" TargetMode="External"/><Relationship Id="rId5698" Type="http://schemas.openxmlformats.org/officeDocument/2006/relationships/hyperlink" Target="https://pbs.twimg.com/profile_images/676486126413066240/Dnqa99k8_normal.jpg" TargetMode="External"/><Relationship Id="rId3029" Type="http://schemas.openxmlformats.org/officeDocument/2006/relationships/hyperlink" Target="https://pbs.twimg.com/profile_images/699984077877874688/aR2ovqId_normal.png" TargetMode="External"/><Relationship Id="rId3028" Type="http://schemas.openxmlformats.org/officeDocument/2006/relationships/hyperlink" Target="https://twitter.com/NowLivecodingtv/status/702933529366130689" TargetMode="External"/><Relationship Id="rId4359" Type="http://schemas.openxmlformats.org/officeDocument/2006/relationships/hyperlink" Target="https://pbs.twimg.com/profile_images/667795464817766400/Lk26SYp2_normal.jpg" TargetMode="External"/><Relationship Id="rId5680" Type="http://schemas.openxmlformats.org/officeDocument/2006/relationships/hyperlink" Target="https://twitter.com/NowLivecodingtv" TargetMode="External"/><Relationship Id="rId5681" Type="http://schemas.openxmlformats.org/officeDocument/2006/relationships/hyperlink" Target="https://twitter.com/NowLivecodingtv/status/703070167853621248" TargetMode="External"/><Relationship Id="rId4350" Type="http://schemas.openxmlformats.org/officeDocument/2006/relationships/hyperlink" Target="https://pbs.twimg.com/profile_images/468550904170291200/5-rmM1W9_normal.jpeg" TargetMode="External"/><Relationship Id="rId3021" Type="http://schemas.openxmlformats.org/officeDocument/2006/relationships/hyperlink" Target="https://twitter.com/NowLivecodingtv" TargetMode="External"/><Relationship Id="rId4352" Type="http://schemas.openxmlformats.org/officeDocument/2006/relationships/hyperlink" Target="https://twitter.com/MTotolrahaman/status/702987401711493120" TargetMode="External"/><Relationship Id="rId5684" Type="http://schemas.openxmlformats.org/officeDocument/2006/relationships/hyperlink" Target="https://twitter.com/iotsecurity2/status/703070289815539712" TargetMode="External"/><Relationship Id="rId3020" Type="http://schemas.openxmlformats.org/officeDocument/2006/relationships/hyperlink" Target="https://pbs.twimg.com/profile_images/699984077877874688/aR2ovqId_normal.png" TargetMode="External"/><Relationship Id="rId4351" Type="http://schemas.openxmlformats.org/officeDocument/2006/relationships/hyperlink" Target="https://twitter.com/MTotolrahaman" TargetMode="External"/><Relationship Id="rId5685" Type="http://schemas.openxmlformats.org/officeDocument/2006/relationships/hyperlink" Target="https://abs.twimg.com/sticky/default_profile_images/default_profile_3_normal.png" TargetMode="External"/><Relationship Id="rId3023" Type="http://schemas.openxmlformats.org/officeDocument/2006/relationships/hyperlink" Target="https://pbs.twimg.com/profile_images/699984077877874688/aR2ovqId_normal.png" TargetMode="External"/><Relationship Id="rId4354" Type="http://schemas.openxmlformats.org/officeDocument/2006/relationships/hyperlink" Target="https://twitter.com/SeiichiShiga" TargetMode="External"/><Relationship Id="rId5682" Type="http://schemas.openxmlformats.org/officeDocument/2006/relationships/hyperlink" Target="https://pbs.twimg.com/profile_images/699984077877874688/aR2ovqId_normal.png" TargetMode="External"/><Relationship Id="rId3022" Type="http://schemas.openxmlformats.org/officeDocument/2006/relationships/hyperlink" Target="https://twitter.com/NowLivecodingtv/status/702933482293440513" TargetMode="External"/><Relationship Id="rId4353" Type="http://schemas.openxmlformats.org/officeDocument/2006/relationships/hyperlink" Target="https://pbs.twimg.com/profile_images/677493910256484352/-EdVaVPl_normal.jpg" TargetMode="External"/><Relationship Id="rId5683" Type="http://schemas.openxmlformats.org/officeDocument/2006/relationships/hyperlink" Target="https://twitter.com/iotsecurity2" TargetMode="External"/><Relationship Id="rId3025" Type="http://schemas.openxmlformats.org/officeDocument/2006/relationships/hyperlink" Target="https://twitter.com/NowLivecodingtv/status/702933492615614464" TargetMode="External"/><Relationship Id="rId4356" Type="http://schemas.openxmlformats.org/officeDocument/2006/relationships/hyperlink" Target="https://pbs.twimg.com/profile_images/678592301489242113/Sfm3y8Po_normal.jpg" TargetMode="External"/><Relationship Id="rId5688" Type="http://schemas.openxmlformats.org/officeDocument/2006/relationships/hyperlink" Target="https://pbs.twimg.com/profile_images/699984077877874688/aR2ovqId_normal.png" TargetMode="External"/><Relationship Id="rId3024" Type="http://schemas.openxmlformats.org/officeDocument/2006/relationships/hyperlink" Target="https://twitter.com/NowLivecodingtv" TargetMode="External"/><Relationship Id="rId4355" Type="http://schemas.openxmlformats.org/officeDocument/2006/relationships/hyperlink" Target="https://twitter.com/SeiichiShiga/status/702987441569820672" TargetMode="External"/><Relationship Id="rId5689" Type="http://schemas.openxmlformats.org/officeDocument/2006/relationships/hyperlink" Target="https://twitter.com/jletteboer" TargetMode="External"/><Relationship Id="rId3027" Type="http://schemas.openxmlformats.org/officeDocument/2006/relationships/hyperlink" Target="https://twitter.com/NowLivecodingtv" TargetMode="External"/><Relationship Id="rId4358" Type="http://schemas.openxmlformats.org/officeDocument/2006/relationships/hyperlink" Target="https://twitter.com/MissGoldieKnox/status/702987515834142720" TargetMode="External"/><Relationship Id="rId5686" Type="http://schemas.openxmlformats.org/officeDocument/2006/relationships/hyperlink" Target="https://twitter.com/NowLivecodingtv" TargetMode="External"/><Relationship Id="rId3026" Type="http://schemas.openxmlformats.org/officeDocument/2006/relationships/hyperlink" Target="https://pbs.twimg.com/profile_images/699984077877874688/aR2ovqId_normal.png" TargetMode="External"/><Relationship Id="rId4357" Type="http://schemas.openxmlformats.org/officeDocument/2006/relationships/hyperlink" Target="https://twitter.com/MissGoldieKnox" TargetMode="External"/><Relationship Id="rId5687" Type="http://schemas.openxmlformats.org/officeDocument/2006/relationships/hyperlink" Target="https://twitter.com/NowLivecodingtv/status/703070455872294912" TargetMode="External"/><Relationship Id="rId3050" Type="http://schemas.openxmlformats.org/officeDocument/2006/relationships/hyperlink" Target="https://pbs.twimg.com/profile_images/699984077877874688/aR2ovqId_normal.png" TargetMode="External"/><Relationship Id="rId4381" Type="http://schemas.openxmlformats.org/officeDocument/2006/relationships/hyperlink" Target="https://twitter.com/Ginetto" TargetMode="External"/><Relationship Id="rId4380" Type="http://schemas.openxmlformats.org/officeDocument/2006/relationships/hyperlink" Target="https://pbs.twimg.com/profile_images/634003850408497152/1N3K-Xbf_normal.jpg" TargetMode="External"/><Relationship Id="rId3052" Type="http://schemas.openxmlformats.org/officeDocument/2006/relationships/hyperlink" Target="https://twitter.com/NowLivecodingtv/status/702933620634193920" TargetMode="External"/><Relationship Id="rId4383" Type="http://schemas.openxmlformats.org/officeDocument/2006/relationships/hyperlink" Target="https://pbs.twimg.com/profile_images/459231364991053824/3NeXuA0D_normal.jpeg" TargetMode="External"/><Relationship Id="rId3051" Type="http://schemas.openxmlformats.org/officeDocument/2006/relationships/hyperlink" Target="https://twitter.com/NowLivecodingtv" TargetMode="External"/><Relationship Id="rId4382" Type="http://schemas.openxmlformats.org/officeDocument/2006/relationships/hyperlink" Target="https://twitter.com/Ginetto/status/702989530144641024" TargetMode="External"/><Relationship Id="rId3054" Type="http://schemas.openxmlformats.org/officeDocument/2006/relationships/hyperlink" Target="https://twitter.com/NowLivecodingtv" TargetMode="External"/><Relationship Id="rId4385" Type="http://schemas.openxmlformats.org/officeDocument/2006/relationships/hyperlink" Target="https://twitter.com/BootFash/status/702989943946256393" TargetMode="External"/><Relationship Id="rId3053" Type="http://schemas.openxmlformats.org/officeDocument/2006/relationships/hyperlink" Target="https://pbs.twimg.com/profile_images/699984077877874688/aR2ovqId_normal.png" TargetMode="External"/><Relationship Id="rId4384" Type="http://schemas.openxmlformats.org/officeDocument/2006/relationships/hyperlink" Target="https://twitter.com/BootFash" TargetMode="External"/><Relationship Id="rId3056" Type="http://schemas.openxmlformats.org/officeDocument/2006/relationships/hyperlink" Target="https://pbs.twimg.com/profile_images/699984077877874688/aR2ovqId_normal.png" TargetMode="External"/><Relationship Id="rId4387" Type="http://schemas.openxmlformats.org/officeDocument/2006/relationships/hyperlink" Target="https://twitter.com/CzubeldiaM" TargetMode="External"/><Relationship Id="rId3055" Type="http://schemas.openxmlformats.org/officeDocument/2006/relationships/hyperlink" Target="https://twitter.com/NowLivecodingtv/status/702933630507593728" TargetMode="External"/><Relationship Id="rId4386" Type="http://schemas.openxmlformats.org/officeDocument/2006/relationships/hyperlink" Target="https://pbs.twimg.com/profile_images/689631729431150593/56SFOUm2_normal.png" TargetMode="External"/><Relationship Id="rId3058" Type="http://schemas.openxmlformats.org/officeDocument/2006/relationships/hyperlink" Target="https://twitter.com/NowLivecodingtv/status/702933644751405057" TargetMode="External"/><Relationship Id="rId4389" Type="http://schemas.openxmlformats.org/officeDocument/2006/relationships/hyperlink" Target="https://pbs.twimg.com/profile_images/518816441613950976/YTS280Ug_normal.jpeg" TargetMode="External"/><Relationship Id="rId3057" Type="http://schemas.openxmlformats.org/officeDocument/2006/relationships/hyperlink" Target="https://twitter.com/NowLivecodingtv" TargetMode="External"/><Relationship Id="rId4388" Type="http://schemas.openxmlformats.org/officeDocument/2006/relationships/hyperlink" Target="https://twitter.com/CzubeldiaM/status/702990035335979008" TargetMode="External"/><Relationship Id="rId3059" Type="http://schemas.openxmlformats.org/officeDocument/2006/relationships/hyperlink" Target="https://pbs.twimg.com/profile_images/699984077877874688/aR2ovqId_normal.png" TargetMode="External"/><Relationship Id="rId4370" Type="http://schemas.openxmlformats.org/officeDocument/2006/relationships/hyperlink" Target="https://twitter.com/antoinearray/status/702988237577519104" TargetMode="External"/><Relationship Id="rId3041" Type="http://schemas.openxmlformats.org/officeDocument/2006/relationships/hyperlink" Target="https://pbs.twimg.com/profile_images/699984077877874688/aR2ovqId_normal.png" TargetMode="External"/><Relationship Id="rId4372" Type="http://schemas.openxmlformats.org/officeDocument/2006/relationships/hyperlink" Target="https://twitter.com/PuckAnalytics" TargetMode="External"/><Relationship Id="rId3040" Type="http://schemas.openxmlformats.org/officeDocument/2006/relationships/hyperlink" Target="https://twitter.com/NowLivecodingtv/status/702933583745282048" TargetMode="External"/><Relationship Id="rId4371" Type="http://schemas.openxmlformats.org/officeDocument/2006/relationships/hyperlink" Target="https://pbs.twimg.com/profile_images/673840699347886080/4M7eHcJ0_normal.jpg" TargetMode="External"/><Relationship Id="rId3043" Type="http://schemas.openxmlformats.org/officeDocument/2006/relationships/hyperlink" Target="https://twitter.com/NowLivecodingtv/status/702933602435100672" TargetMode="External"/><Relationship Id="rId4374" Type="http://schemas.openxmlformats.org/officeDocument/2006/relationships/hyperlink" Target="https://pbs.twimg.com/profile_images/679401004023087104/00Rg4Yq7_normal.jpg" TargetMode="External"/><Relationship Id="rId3042" Type="http://schemas.openxmlformats.org/officeDocument/2006/relationships/hyperlink" Target="https://twitter.com/NowLivecodingtv" TargetMode="External"/><Relationship Id="rId4373" Type="http://schemas.openxmlformats.org/officeDocument/2006/relationships/hyperlink" Target="https://twitter.com/PuckAnalytics/status/702988909601562625" TargetMode="External"/><Relationship Id="rId3045" Type="http://schemas.openxmlformats.org/officeDocument/2006/relationships/hyperlink" Target="https://twitter.com/NowLivecodingtv" TargetMode="External"/><Relationship Id="rId4376" Type="http://schemas.openxmlformats.org/officeDocument/2006/relationships/hyperlink" Target="https://twitter.com/journocode/status/702989110089281536" TargetMode="External"/><Relationship Id="rId3044" Type="http://schemas.openxmlformats.org/officeDocument/2006/relationships/hyperlink" Target="https://pbs.twimg.com/profile_images/699984077877874688/aR2ovqId_normal.png" TargetMode="External"/><Relationship Id="rId4375" Type="http://schemas.openxmlformats.org/officeDocument/2006/relationships/hyperlink" Target="https://twitter.com/journocode" TargetMode="External"/><Relationship Id="rId3047" Type="http://schemas.openxmlformats.org/officeDocument/2006/relationships/hyperlink" Target="https://pbs.twimg.com/profile_images/699984077877874688/aR2ovqId_normal.png" TargetMode="External"/><Relationship Id="rId4378" Type="http://schemas.openxmlformats.org/officeDocument/2006/relationships/hyperlink" Target="https://twitter.com/Ali_Al3siri" TargetMode="External"/><Relationship Id="rId3046" Type="http://schemas.openxmlformats.org/officeDocument/2006/relationships/hyperlink" Target="https://twitter.com/NowLivecodingtv/status/702933607489208320" TargetMode="External"/><Relationship Id="rId4377" Type="http://schemas.openxmlformats.org/officeDocument/2006/relationships/hyperlink" Target="https://pbs.twimg.com/profile_images/663285524162048000/leUzJIIa_normal.png" TargetMode="External"/><Relationship Id="rId3049" Type="http://schemas.openxmlformats.org/officeDocument/2006/relationships/hyperlink" Target="https://twitter.com/NowLivecodingtv/status/702933615278030848" TargetMode="External"/><Relationship Id="rId3048" Type="http://schemas.openxmlformats.org/officeDocument/2006/relationships/hyperlink" Target="https://twitter.com/NowLivecodingtv" TargetMode="External"/><Relationship Id="rId4379" Type="http://schemas.openxmlformats.org/officeDocument/2006/relationships/hyperlink" Target="https://twitter.com/Ali_Al3siri/status/702989177625960448" TargetMode="External"/><Relationship Id="rId9210" Type="http://schemas.openxmlformats.org/officeDocument/2006/relationships/hyperlink" Target="https://pbs.twimg.com/profile_images/678319671586791424/PjJkcShY_normal.jpg" TargetMode="External"/><Relationship Id="rId9211" Type="http://schemas.openxmlformats.org/officeDocument/2006/relationships/hyperlink" Target="https://twitter.com/kutu7_" TargetMode="External"/><Relationship Id="rId9212" Type="http://schemas.openxmlformats.org/officeDocument/2006/relationships/hyperlink" Target="https://twitter.com/kutu7_/status/703264492625403904" TargetMode="External"/><Relationship Id="rId9217" Type="http://schemas.openxmlformats.org/officeDocument/2006/relationships/hyperlink" Target="https://twitter.com/wp_mais" TargetMode="External"/><Relationship Id="rId9218" Type="http://schemas.openxmlformats.org/officeDocument/2006/relationships/hyperlink" Target="https://twitter.com/wp_mais/status/703264504570839040" TargetMode="External"/><Relationship Id="rId9219" Type="http://schemas.openxmlformats.org/officeDocument/2006/relationships/hyperlink" Target="https://pbs.twimg.com/profile_images/639069014099120128/yiidEDJN_normal.jpg" TargetMode="External"/><Relationship Id="rId9213" Type="http://schemas.openxmlformats.org/officeDocument/2006/relationships/hyperlink" Target="https://pbs.twimg.com/profile_images/691425075094917120/VXfLU1A__normal.jpg" TargetMode="External"/><Relationship Id="rId9214" Type="http://schemas.openxmlformats.org/officeDocument/2006/relationships/hyperlink" Target="https://twitter.com/wp_mais" TargetMode="External"/><Relationship Id="rId9215" Type="http://schemas.openxmlformats.org/officeDocument/2006/relationships/hyperlink" Target="https://twitter.com/wp_mais/status/703264503421603840" TargetMode="External"/><Relationship Id="rId9216" Type="http://schemas.openxmlformats.org/officeDocument/2006/relationships/hyperlink" Target="https://pbs.twimg.com/profile_images/639069014099120128/yiidEDJN_normal.jpg" TargetMode="External"/><Relationship Id="rId9200" Type="http://schemas.openxmlformats.org/officeDocument/2006/relationships/hyperlink" Target="https://twitter.com/datascienceplus/status/703263934275526656" TargetMode="External"/><Relationship Id="rId9201" Type="http://schemas.openxmlformats.org/officeDocument/2006/relationships/hyperlink" Target="https://pbs.twimg.com/profile_images/630277871538278400/gEjxWtPD_normal.jpg" TargetMode="External"/><Relationship Id="rId9206" Type="http://schemas.openxmlformats.org/officeDocument/2006/relationships/hyperlink" Target="https://twitter.com/sam_et_max/status/703264366175584256" TargetMode="External"/><Relationship Id="rId9207" Type="http://schemas.openxmlformats.org/officeDocument/2006/relationships/hyperlink" Target="https://pbs.twimg.com/profile_images/1859873928/img_Dog-and-rabbit_Thomas-SCHWEIZER_ref_150.001844.00_mode_zoom_normal.jpg" TargetMode="External"/><Relationship Id="rId9208" Type="http://schemas.openxmlformats.org/officeDocument/2006/relationships/hyperlink" Target="https://twitter.com/Mk_on_line" TargetMode="External"/><Relationship Id="rId9209" Type="http://schemas.openxmlformats.org/officeDocument/2006/relationships/hyperlink" Target="https://twitter.com/Mk_on_line/status/703264477920280576" TargetMode="External"/><Relationship Id="rId9202" Type="http://schemas.openxmlformats.org/officeDocument/2006/relationships/hyperlink" Target="https://twitter.com/IntersysConsult" TargetMode="External"/><Relationship Id="rId9203" Type="http://schemas.openxmlformats.org/officeDocument/2006/relationships/hyperlink" Target="https://twitter.com/IntersysConsult/status/703264065020424192" TargetMode="External"/><Relationship Id="rId9204" Type="http://schemas.openxmlformats.org/officeDocument/2006/relationships/hyperlink" Target="https://pbs.twimg.com/profile_images/679044724620001280/uEmFrBJz_normal.png" TargetMode="External"/><Relationship Id="rId9205" Type="http://schemas.openxmlformats.org/officeDocument/2006/relationships/hyperlink" Target="https://twitter.com/sam_et_max" TargetMode="External"/><Relationship Id="rId9231" Type="http://schemas.openxmlformats.org/officeDocument/2006/relationships/hyperlink" Target="https://pbs.twimg.com/profile_images/629752699815395331/5FeHw0-Y_normal.png" TargetMode="External"/><Relationship Id="rId9232" Type="http://schemas.openxmlformats.org/officeDocument/2006/relationships/hyperlink" Target="https://twitter.com/IGSoldiersCoach" TargetMode="External"/><Relationship Id="rId9233" Type="http://schemas.openxmlformats.org/officeDocument/2006/relationships/hyperlink" Target="https://twitter.com/IGSoldiersCoach/status/703266017875591169" TargetMode="External"/><Relationship Id="rId9234" Type="http://schemas.openxmlformats.org/officeDocument/2006/relationships/hyperlink" Target="https://pbs.twimg.com/profile_images/699328100979453952/oiwcp_wz_normal.jpg" TargetMode="External"/><Relationship Id="rId9230" Type="http://schemas.openxmlformats.org/officeDocument/2006/relationships/hyperlink" Target="https://twitter.com/nolddor/status/703265599795945472" TargetMode="External"/><Relationship Id="rId9239" Type="http://schemas.openxmlformats.org/officeDocument/2006/relationships/hyperlink" Target="https://twitter.com/yprez/status/703266528402214912" TargetMode="External"/><Relationship Id="rId9235" Type="http://schemas.openxmlformats.org/officeDocument/2006/relationships/hyperlink" Target="https://twitter.com/DataHour" TargetMode="External"/><Relationship Id="rId9236" Type="http://schemas.openxmlformats.org/officeDocument/2006/relationships/hyperlink" Target="https://twitter.com/DataHour/status/703266338027020289" TargetMode="External"/><Relationship Id="rId9237" Type="http://schemas.openxmlformats.org/officeDocument/2006/relationships/hyperlink" Target="https://pbs.twimg.com/profile_images/679728009021100032/Ba12ruC2_normal.jpg" TargetMode="External"/><Relationship Id="rId9238" Type="http://schemas.openxmlformats.org/officeDocument/2006/relationships/hyperlink" Target="https://twitter.com/yprez" TargetMode="External"/><Relationship Id="rId9220" Type="http://schemas.openxmlformats.org/officeDocument/2006/relationships/hyperlink" Target="https://twitter.com/jadsonx" TargetMode="External"/><Relationship Id="rId9221" Type="http://schemas.openxmlformats.org/officeDocument/2006/relationships/hyperlink" Target="https://twitter.com/jadsonx/status/703264566986317824" TargetMode="External"/><Relationship Id="rId9222" Type="http://schemas.openxmlformats.org/officeDocument/2006/relationships/hyperlink" Target="https://pbs.twimg.com/profile_images/701215579642925056/ILCse2bn_normal.jpg" TargetMode="External"/><Relationship Id="rId9223" Type="http://schemas.openxmlformats.org/officeDocument/2006/relationships/hyperlink" Target="https://twitter.com/importpython" TargetMode="External"/><Relationship Id="rId9228" Type="http://schemas.openxmlformats.org/officeDocument/2006/relationships/hyperlink" Target="https://pbs.twimg.com/profile_images/428498771173847040/wsJxaG0V_normal.jpeg" TargetMode="External"/><Relationship Id="rId9229" Type="http://schemas.openxmlformats.org/officeDocument/2006/relationships/hyperlink" Target="https://twitter.com/nolddor" TargetMode="External"/><Relationship Id="rId9224" Type="http://schemas.openxmlformats.org/officeDocument/2006/relationships/hyperlink" Target="https://twitter.com/importpython/status/703264785761107968" TargetMode="External"/><Relationship Id="rId9225" Type="http://schemas.openxmlformats.org/officeDocument/2006/relationships/hyperlink" Target="https://pbs.twimg.com/profile_images/518108253121552384/ClpFqPbX_normal.png" TargetMode="External"/><Relationship Id="rId9226" Type="http://schemas.openxmlformats.org/officeDocument/2006/relationships/hyperlink" Target="https://twitter.com/ITCareerCoach" TargetMode="External"/><Relationship Id="rId9227" Type="http://schemas.openxmlformats.org/officeDocument/2006/relationships/hyperlink" Target="https://twitter.com/ITCareerCoach/status/703265356119306240" TargetMode="External"/><Relationship Id="rId9297" Type="http://schemas.openxmlformats.org/officeDocument/2006/relationships/hyperlink" Target="https://twitter.com/djangostars/status/703268950201610240" TargetMode="External"/><Relationship Id="rId9298" Type="http://schemas.openxmlformats.org/officeDocument/2006/relationships/hyperlink" Target="https://pbs.twimg.com/profile_images/687293280749486080/e2Q5uOSq_normal.jpg" TargetMode="External"/><Relationship Id="rId9299" Type="http://schemas.openxmlformats.org/officeDocument/2006/relationships/hyperlink" Target="https://twitter.com/mathandporsches" TargetMode="External"/><Relationship Id="rId9293" Type="http://schemas.openxmlformats.org/officeDocument/2006/relationships/hyperlink" Target="https://twitter.com/skilloak" TargetMode="External"/><Relationship Id="rId9294" Type="http://schemas.openxmlformats.org/officeDocument/2006/relationships/hyperlink" Target="https://twitter.com/skilloak/status/703268812322287616" TargetMode="External"/><Relationship Id="rId9295" Type="http://schemas.openxmlformats.org/officeDocument/2006/relationships/hyperlink" Target="https://pbs.twimg.com/profile_images/670315479517413376/Kkf5JA8s_normal.png" TargetMode="External"/><Relationship Id="rId9296" Type="http://schemas.openxmlformats.org/officeDocument/2006/relationships/hyperlink" Target="https://twitter.com/djangostars" TargetMode="External"/><Relationship Id="rId9290" Type="http://schemas.openxmlformats.org/officeDocument/2006/relationships/hyperlink" Target="https://twitter.com/nebula121" TargetMode="External"/><Relationship Id="rId9291" Type="http://schemas.openxmlformats.org/officeDocument/2006/relationships/hyperlink" Target="https://twitter.com/nebula121/status/703267491032596480" TargetMode="External"/><Relationship Id="rId9292" Type="http://schemas.openxmlformats.org/officeDocument/2006/relationships/hyperlink" Target="https://pbs.twimg.com/profile_images/3384002450/140ef360ee7bfe1b90310adc0a82c6f2_normal.png" TargetMode="External"/><Relationship Id="rId9286" Type="http://schemas.openxmlformats.org/officeDocument/2006/relationships/hyperlink" Target="https://pbs.twimg.com/profile_images/2813636657/599521f69e2bc210a57323b64d8e39e6_normal.jpeg" TargetMode="External"/><Relationship Id="rId9287" Type="http://schemas.openxmlformats.org/officeDocument/2006/relationships/hyperlink" Target="https://twitter.com/cool_python" TargetMode="External"/><Relationship Id="rId9288" Type="http://schemas.openxmlformats.org/officeDocument/2006/relationships/hyperlink" Target="https://twitter.com/cool_python/status/703267167194718208" TargetMode="External"/><Relationship Id="rId9289" Type="http://schemas.openxmlformats.org/officeDocument/2006/relationships/hyperlink" Target="https://pbs.twimg.com/profile_images/572091631055028224/Pkx__FSB_normal.png" TargetMode="External"/><Relationship Id="rId9282" Type="http://schemas.openxmlformats.org/officeDocument/2006/relationships/hyperlink" Target="https://pbs.twimg.com/profile_images/2813636657/599521f69e2bc210a57323b64d8e39e6_normal.jpeg" TargetMode="External"/><Relationship Id="rId9283" Type="http://schemas.openxmlformats.org/officeDocument/2006/relationships/hyperlink" Target="https://twitter.com/artwisanggeni" TargetMode="External"/><Relationship Id="rId9284" Type="http://schemas.openxmlformats.org/officeDocument/2006/relationships/hyperlink" Target="https://twitter.com/artwisanggeni/status/703267129475207168" TargetMode="External"/><Relationship Id="rId9285" Type="http://schemas.openxmlformats.org/officeDocument/2006/relationships/hyperlink" Target="http://dlvr.it" TargetMode="External"/><Relationship Id="rId5714" Type="http://schemas.openxmlformats.org/officeDocument/2006/relationships/hyperlink" Target="https://twitter.com/LillianEdmiston" TargetMode="External"/><Relationship Id="rId5715" Type="http://schemas.openxmlformats.org/officeDocument/2006/relationships/hyperlink" Target="https://twitter.com/LillianEdmiston/status/703072173007740928" TargetMode="External"/><Relationship Id="rId5712" Type="http://schemas.openxmlformats.org/officeDocument/2006/relationships/hyperlink" Target="https://twitter.com/LillianEdmiston/status/703072171560734720" TargetMode="External"/><Relationship Id="rId5713" Type="http://schemas.openxmlformats.org/officeDocument/2006/relationships/hyperlink" Target="https://pbs.twimg.com/profile_images/655014978101993476/ZpsnJW8B_normal.jpg" TargetMode="External"/><Relationship Id="rId5718" Type="http://schemas.openxmlformats.org/officeDocument/2006/relationships/hyperlink" Target="https://twitter.com/LillianEdmiston/status/703072175381716992" TargetMode="External"/><Relationship Id="rId5719" Type="http://schemas.openxmlformats.org/officeDocument/2006/relationships/hyperlink" Target="https://pbs.twimg.com/profile_images/655014978101993476/ZpsnJW8B_normal.jpg" TargetMode="External"/><Relationship Id="rId5716" Type="http://schemas.openxmlformats.org/officeDocument/2006/relationships/hyperlink" Target="https://pbs.twimg.com/profile_images/655014978101993476/ZpsnJW8B_normal.jpg" TargetMode="External"/><Relationship Id="rId5717" Type="http://schemas.openxmlformats.org/officeDocument/2006/relationships/hyperlink" Target="https://twitter.com/LillianEdmiston" TargetMode="External"/><Relationship Id="rId5710" Type="http://schemas.openxmlformats.org/officeDocument/2006/relationships/hyperlink" Target="https://pbs.twimg.com/profile_images/2452221844/mxpnnhsxr134urxwut0b_normal.jpeg" TargetMode="External"/><Relationship Id="rId5711" Type="http://schemas.openxmlformats.org/officeDocument/2006/relationships/hyperlink" Target="https://twitter.com/LillianEdmiston" TargetMode="External"/><Relationship Id="rId5703" Type="http://schemas.openxmlformats.org/officeDocument/2006/relationships/hyperlink" Target="https://twitter.com/orchid00/status/703071752851554304" TargetMode="External"/><Relationship Id="rId5704" Type="http://schemas.openxmlformats.org/officeDocument/2006/relationships/hyperlink" Target="https://pbs.twimg.com/profile_images/571189146421456896/yb4j8orE_normal.jpeg" TargetMode="External"/><Relationship Id="rId5701" Type="http://schemas.openxmlformats.org/officeDocument/2006/relationships/hyperlink" Target="https://pbs.twimg.com/profile_images/702455638157168640/AeDgtn0C_normal.jpg" TargetMode="External"/><Relationship Id="rId5702" Type="http://schemas.openxmlformats.org/officeDocument/2006/relationships/hyperlink" Target="https://twitter.com/orchid00" TargetMode="External"/><Relationship Id="rId5707" Type="http://schemas.openxmlformats.org/officeDocument/2006/relationships/hyperlink" Target="https://pbs.twimg.com/profile_images/692891971745030150/clbtNhen_normal.jpg" TargetMode="External"/><Relationship Id="rId5708" Type="http://schemas.openxmlformats.org/officeDocument/2006/relationships/hyperlink" Target="https://twitter.com/ledzeptickets" TargetMode="External"/><Relationship Id="rId5705" Type="http://schemas.openxmlformats.org/officeDocument/2006/relationships/hyperlink" Target="https://twitter.com/AusBatAws" TargetMode="External"/><Relationship Id="rId5706" Type="http://schemas.openxmlformats.org/officeDocument/2006/relationships/hyperlink" Target="https://twitter.com/AusBatAws/status/703072015192887297" TargetMode="External"/><Relationship Id="rId5709" Type="http://schemas.openxmlformats.org/officeDocument/2006/relationships/hyperlink" Target="https://twitter.com/ledzeptickets/status/703072115977691136" TargetMode="External"/><Relationship Id="rId5700" Type="http://schemas.openxmlformats.org/officeDocument/2006/relationships/hyperlink" Target="https://twitter.com/PythonBooks/status/703071476165939200" TargetMode="External"/><Relationship Id="rId9253" Type="http://schemas.openxmlformats.org/officeDocument/2006/relationships/hyperlink" Target="http://dlvr.it" TargetMode="External"/><Relationship Id="rId9254" Type="http://schemas.openxmlformats.org/officeDocument/2006/relationships/hyperlink" Target="https://pbs.twimg.com/profile_images/2813636657/599521f69e2bc210a57323b64d8e39e6_normal.jpeg" TargetMode="External"/><Relationship Id="rId9255" Type="http://schemas.openxmlformats.org/officeDocument/2006/relationships/hyperlink" Target="https://twitter.com/artwisanggeni" TargetMode="External"/><Relationship Id="rId9256" Type="http://schemas.openxmlformats.org/officeDocument/2006/relationships/hyperlink" Target="https://twitter.com/artwisanggeni/status/703267093370699776" TargetMode="External"/><Relationship Id="rId9250" Type="http://schemas.openxmlformats.org/officeDocument/2006/relationships/hyperlink" Target="https://pbs.twimg.com/profile_images/2813636657/599521f69e2bc210a57323b64d8e39e6_normal.jpeg" TargetMode="External"/><Relationship Id="rId9251" Type="http://schemas.openxmlformats.org/officeDocument/2006/relationships/hyperlink" Target="https://twitter.com/artwisanggeni" TargetMode="External"/><Relationship Id="rId9252" Type="http://schemas.openxmlformats.org/officeDocument/2006/relationships/hyperlink" Target="https://twitter.com/artwisanggeni/status/703267086626213888" TargetMode="External"/><Relationship Id="rId9257" Type="http://schemas.openxmlformats.org/officeDocument/2006/relationships/hyperlink" Target="http://dlvr.it" TargetMode="External"/><Relationship Id="rId9258" Type="http://schemas.openxmlformats.org/officeDocument/2006/relationships/hyperlink" Target="https://pbs.twimg.com/profile_images/2813636657/599521f69e2bc210a57323b64d8e39e6_normal.jpeg" TargetMode="External"/><Relationship Id="rId9259" Type="http://schemas.openxmlformats.org/officeDocument/2006/relationships/hyperlink" Target="https://twitter.com/artwisanggeni" TargetMode="External"/><Relationship Id="rId9242" Type="http://schemas.openxmlformats.org/officeDocument/2006/relationships/hyperlink" Target="https://twitter.com/wootsbot/status/703266953939390464" TargetMode="External"/><Relationship Id="rId9243" Type="http://schemas.openxmlformats.org/officeDocument/2006/relationships/hyperlink" Target="https://pbs.twimg.com/profile_images/701050003368726528/EdQPw0Fb_normal.jpg" TargetMode="External"/><Relationship Id="rId9244" Type="http://schemas.openxmlformats.org/officeDocument/2006/relationships/hyperlink" Target="https://twitter.com/programmingncr" TargetMode="External"/><Relationship Id="rId9245" Type="http://schemas.openxmlformats.org/officeDocument/2006/relationships/hyperlink" Target="https://twitter.com/programmingncr/status/703267025720905729" TargetMode="External"/><Relationship Id="rId9240" Type="http://schemas.openxmlformats.org/officeDocument/2006/relationships/hyperlink" Target="https://pbs.twimg.com/profile_images/1466129811/p_normal.png" TargetMode="External"/><Relationship Id="rId9241" Type="http://schemas.openxmlformats.org/officeDocument/2006/relationships/hyperlink" Target="https://twitter.com/wootsbot" TargetMode="External"/><Relationship Id="rId9246" Type="http://schemas.openxmlformats.org/officeDocument/2006/relationships/hyperlink" Target="https://pbs.twimg.com/profile_images/662602436222193664/qKuvsfnG_normal.jpg" TargetMode="External"/><Relationship Id="rId9247" Type="http://schemas.openxmlformats.org/officeDocument/2006/relationships/hyperlink" Target="https://twitter.com/artwisanggeni" TargetMode="External"/><Relationship Id="rId9248" Type="http://schemas.openxmlformats.org/officeDocument/2006/relationships/hyperlink" Target="https://twitter.com/artwisanggeni/status/703267081903419393" TargetMode="External"/><Relationship Id="rId9249" Type="http://schemas.openxmlformats.org/officeDocument/2006/relationships/hyperlink" Target="http://dlvr.it" TargetMode="External"/><Relationship Id="rId9280" Type="http://schemas.openxmlformats.org/officeDocument/2006/relationships/hyperlink" Target="https://twitter.com/artwisanggeni/status/703267116447698944" TargetMode="External"/><Relationship Id="rId9281" Type="http://schemas.openxmlformats.org/officeDocument/2006/relationships/hyperlink" Target="http://dlvr.it" TargetMode="External"/><Relationship Id="rId9275" Type="http://schemas.openxmlformats.org/officeDocument/2006/relationships/hyperlink" Target="https://twitter.com/artwisanggeni" TargetMode="External"/><Relationship Id="rId9276" Type="http://schemas.openxmlformats.org/officeDocument/2006/relationships/hyperlink" Target="https://twitter.com/artwisanggeni/status/703267113335525381" TargetMode="External"/><Relationship Id="rId9277" Type="http://schemas.openxmlformats.org/officeDocument/2006/relationships/hyperlink" Target="http://dlvr.it" TargetMode="External"/><Relationship Id="rId9278" Type="http://schemas.openxmlformats.org/officeDocument/2006/relationships/hyperlink" Target="https://pbs.twimg.com/profile_images/2813636657/599521f69e2bc210a57323b64d8e39e6_normal.jpeg" TargetMode="External"/><Relationship Id="rId9271" Type="http://schemas.openxmlformats.org/officeDocument/2006/relationships/hyperlink" Target="https://twitter.com/artwisanggeni" TargetMode="External"/><Relationship Id="rId9272" Type="http://schemas.openxmlformats.org/officeDocument/2006/relationships/hyperlink" Target="https://twitter.com/artwisanggeni/status/703267110349201408" TargetMode="External"/><Relationship Id="rId9273" Type="http://schemas.openxmlformats.org/officeDocument/2006/relationships/hyperlink" Target="http://dlvr.it" TargetMode="External"/><Relationship Id="rId9274" Type="http://schemas.openxmlformats.org/officeDocument/2006/relationships/hyperlink" Target="https://pbs.twimg.com/profile_images/2813636657/599521f69e2bc210a57323b64d8e39e6_normal.jpeg" TargetMode="External"/><Relationship Id="rId9279" Type="http://schemas.openxmlformats.org/officeDocument/2006/relationships/hyperlink" Target="https://twitter.com/artwisanggeni" TargetMode="External"/><Relationship Id="rId9270" Type="http://schemas.openxmlformats.org/officeDocument/2006/relationships/hyperlink" Target="https://pbs.twimg.com/profile_images/2813636657/599521f69e2bc210a57323b64d8e39e6_normal.jpeg" TargetMode="External"/><Relationship Id="rId9264" Type="http://schemas.openxmlformats.org/officeDocument/2006/relationships/hyperlink" Target="https://twitter.com/artwisanggeni/status/703267102472302592" TargetMode="External"/><Relationship Id="rId9265" Type="http://schemas.openxmlformats.org/officeDocument/2006/relationships/hyperlink" Target="http://dlvr.it" TargetMode="External"/><Relationship Id="rId9266" Type="http://schemas.openxmlformats.org/officeDocument/2006/relationships/hyperlink" Target="https://pbs.twimg.com/profile_images/2813636657/599521f69e2bc210a57323b64d8e39e6_normal.jpeg" TargetMode="External"/><Relationship Id="rId9267" Type="http://schemas.openxmlformats.org/officeDocument/2006/relationships/hyperlink" Target="https://twitter.com/artwisanggeni" TargetMode="External"/><Relationship Id="rId9260" Type="http://schemas.openxmlformats.org/officeDocument/2006/relationships/hyperlink" Target="https://twitter.com/artwisanggeni/status/703267098101837824" TargetMode="External"/><Relationship Id="rId9261" Type="http://schemas.openxmlformats.org/officeDocument/2006/relationships/hyperlink" Target="http://dlvr.it" TargetMode="External"/><Relationship Id="rId9262" Type="http://schemas.openxmlformats.org/officeDocument/2006/relationships/hyperlink" Target="https://pbs.twimg.com/profile_images/2813636657/599521f69e2bc210a57323b64d8e39e6_normal.jpeg" TargetMode="External"/><Relationship Id="rId9263" Type="http://schemas.openxmlformats.org/officeDocument/2006/relationships/hyperlink" Target="https://twitter.com/artwisanggeni" TargetMode="External"/><Relationship Id="rId9268" Type="http://schemas.openxmlformats.org/officeDocument/2006/relationships/hyperlink" Target="https://twitter.com/artwisanggeni/status/703267106192687104" TargetMode="External"/><Relationship Id="rId9269" Type="http://schemas.openxmlformats.org/officeDocument/2006/relationships/hyperlink" Target="http://dlvr.it" TargetMode="External"/><Relationship Id="rId3117" Type="http://schemas.openxmlformats.org/officeDocument/2006/relationships/hyperlink" Target="https://twitter.com/ViewYonder" TargetMode="External"/><Relationship Id="rId4448" Type="http://schemas.openxmlformats.org/officeDocument/2006/relationships/hyperlink" Target="https://twitter.com/artwisanggeni/status/702995894887587843" TargetMode="External"/><Relationship Id="rId3116" Type="http://schemas.openxmlformats.org/officeDocument/2006/relationships/hyperlink" Target="https://pbs.twimg.com/profile_images/1519454893/Face_3-edited_normal.jpg" TargetMode="External"/><Relationship Id="rId4447" Type="http://schemas.openxmlformats.org/officeDocument/2006/relationships/hyperlink" Target="https://twitter.com/artwisanggeni" TargetMode="External"/><Relationship Id="rId3119" Type="http://schemas.openxmlformats.org/officeDocument/2006/relationships/hyperlink" Target="https://pbs.twimg.com/profile_images/600667838412681216/tCXLSs9n_normal.png" TargetMode="External"/><Relationship Id="rId5778" Type="http://schemas.openxmlformats.org/officeDocument/2006/relationships/hyperlink" Target="https://twitter.com/biconnections/status/703076095546040321" TargetMode="External"/><Relationship Id="rId3118" Type="http://schemas.openxmlformats.org/officeDocument/2006/relationships/hyperlink" Target="https://twitter.com/ViewYonder/status/702936144066043904" TargetMode="External"/><Relationship Id="rId4449" Type="http://schemas.openxmlformats.org/officeDocument/2006/relationships/hyperlink" Target="http://dlvr.it" TargetMode="External"/><Relationship Id="rId5779" Type="http://schemas.openxmlformats.org/officeDocument/2006/relationships/hyperlink" Target="https://pbs.twimg.com/profile_images/1866862979/50519_388209157862059_947380685_n_normal.jpg" TargetMode="External"/><Relationship Id="rId4440" Type="http://schemas.openxmlformats.org/officeDocument/2006/relationships/hyperlink" Target="https://pbs.twimg.com/profile_images/378800000030851202/b6bb871a13825bae9004a9aab3a1d726_normal.jpeg" TargetMode="External"/><Relationship Id="rId5772" Type="http://schemas.openxmlformats.org/officeDocument/2006/relationships/hyperlink" Target="https://twitter.com/IteramosDev/status/703076070665404416" TargetMode="External"/><Relationship Id="rId5773" Type="http://schemas.openxmlformats.org/officeDocument/2006/relationships/hyperlink" Target="https://pbs.twimg.com/profile_images/521273716785692673/IujUJfZi_normal.png" TargetMode="External"/><Relationship Id="rId3111" Type="http://schemas.openxmlformats.org/officeDocument/2006/relationships/hyperlink" Target="https://twitter.com/PyBloggers" TargetMode="External"/><Relationship Id="rId4442" Type="http://schemas.openxmlformats.org/officeDocument/2006/relationships/hyperlink" Target="https://twitter.com/helloworldshow/status/702995246888701957" TargetMode="External"/><Relationship Id="rId5770" Type="http://schemas.openxmlformats.org/officeDocument/2006/relationships/hyperlink" Target="https://pbs.twimg.com/profile_images/671623862916812800/yGsDKiP4_normal.jpg" TargetMode="External"/><Relationship Id="rId3110" Type="http://schemas.openxmlformats.org/officeDocument/2006/relationships/hyperlink" Target="https://pbs.twimg.com/profile_images/549303220095311872/zfmOmqXR_normal.jpeg" TargetMode="External"/><Relationship Id="rId4441" Type="http://schemas.openxmlformats.org/officeDocument/2006/relationships/hyperlink" Target="https://twitter.com/helloworldshow" TargetMode="External"/><Relationship Id="rId5771" Type="http://schemas.openxmlformats.org/officeDocument/2006/relationships/hyperlink" Target="https://twitter.com/IteramosDev" TargetMode="External"/><Relationship Id="rId3113" Type="http://schemas.openxmlformats.org/officeDocument/2006/relationships/hyperlink" Target="https://pbs.twimg.com/profile_images/682279186690621441/VjBmfdfj_normal.png" TargetMode="External"/><Relationship Id="rId4444" Type="http://schemas.openxmlformats.org/officeDocument/2006/relationships/hyperlink" Target="https://twitter.com/sm_mohr" TargetMode="External"/><Relationship Id="rId5776" Type="http://schemas.openxmlformats.org/officeDocument/2006/relationships/hyperlink" Target="https://pbs.twimg.com/profile_images/2474433856/p075cerxh0arpea6ceip_normal.png" TargetMode="External"/><Relationship Id="rId3112" Type="http://schemas.openxmlformats.org/officeDocument/2006/relationships/hyperlink" Target="https://twitter.com/PyBloggers/status/702935781602697221" TargetMode="External"/><Relationship Id="rId4443" Type="http://schemas.openxmlformats.org/officeDocument/2006/relationships/hyperlink" Target="https://pbs.twimg.com/profile_images/610153128227414016/yIRf6Nvm_normal.png" TargetMode="External"/><Relationship Id="rId5777" Type="http://schemas.openxmlformats.org/officeDocument/2006/relationships/hyperlink" Target="https://twitter.com/biconnections" TargetMode="External"/><Relationship Id="rId3115" Type="http://schemas.openxmlformats.org/officeDocument/2006/relationships/hyperlink" Target="https://twitter.com/noemi_gutierrez/status/702936113921531904" TargetMode="External"/><Relationship Id="rId4446" Type="http://schemas.openxmlformats.org/officeDocument/2006/relationships/hyperlink" Target="https://pbs.twimg.com/profile_images/696690105856233472/Lm4Xi9uM_normal.jpg" TargetMode="External"/><Relationship Id="rId5774" Type="http://schemas.openxmlformats.org/officeDocument/2006/relationships/hyperlink" Target="https://twitter.com/py3k" TargetMode="External"/><Relationship Id="rId3114" Type="http://schemas.openxmlformats.org/officeDocument/2006/relationships/hyperlink" Target="https://twitter.com/noemi_gutierrez" TargetMode="External"/><Relationship Id="rId4445" Type="http://schemas.openxmlformats.org/officeDocument/2006/relationships/hyperlink" Target="https://twitter.com/sm_mohr/status/702995721876803584" TargetMode="External"/><Relationship Id="rId5775" Type="http://schemas.openxmlformats.org/officeDocument/2006/relationships/hyperlink" Target="https://twitter.com/py3k/status/703076093360791552" TargetMode="External"/><Relationship Id="rId3106" Type="http://schemas.openxmlformats.org/officeDocument/2006/relationships/hyperlink" Target="https://twitter.com/NowLivecodingtv/status/702935343352279040" TargetMode="External"/><Relationship Id="rId4437" Type="http://schemas.openxmlformats.org/officeDocument/2006/relationships/hyperlink" Target="https://pbs.twimg.com/profile_images/522536769502195712/cG1yitHo_normal.jpeg" TargetMode="External"/><Relationship Id="rId5769" Type="http://schemas.openxmlformats.org/officeDocument/2006/relationships/hyperlink" Target="https://twitter.com/AdamSmitht1/status/703075950737620993" TargetMode="External"/><Relationship Id="rId3105" Type="http://schemas.openxmlformats.org/officeDocument/2006/relationships/hyperlink" Target="https://twitter.com/NowLivecodingtv" TargetMode="External"/><Relationship Id="rId4436" Type="http://schemas.openxmlformats.org/officeDocument/2006/relationships/hyperlink" Target="https://twitter.com/IndieGameDevBot/status/702994436955967488" TargetMode="External"/><Relationship Id="rId3108" Type="http://schemas.openxmlformats.org/officeDocument/2006/relationships/hyperlink" Target="https://twitter.com/pathcl" TargetMode="External"/><Relationship Id="rId4439" Type="http://schemas.openxmlformats.org/officeDocument/2006/relationships/hyperlink" Target="https://twitter.com/PythonDaily/status/702994585304207360" TargetMode="External"/><Relationship Id="rId5767" Type="http://schemas.openxmlformats.org/officeDocument/2006/relationships/hyperlink" Target="https://pbs.twimg.com/profile_images/698805866720460800/xyEz6HT-_normal.jpg" TargetMode="External"/><Relationship Id="rId3107" Type="http://schemas.openxmlformats.org/officeDocument/2006/relationships/hyperlink" Target="https://pbs.twimg.com/profile_images/699984077877874688/aR2ovqId_normal.png" TargetMode="External"/><Relationship Id="rId4438" Type="http://schemas.openxmlformats.org/officeDocument/2006/relationships/hyperlink" Target="https://twitter.com/PythonDaily" TargetMode="External"/><Relationship Id="rId5768" Type="http://schemas.openxmlformats.org/officeDocument/2006/relationships/hyperlink" Target="https://twitter.com/AdamSmitht1" TargetMode="External"/><Relationship Id="rId3109" Type="http://schemas.openxmlformats.org/officeDocument/2006/relationships/hyperlink" Target="https://twitter.com/pathcl/status/702935516535267328" TargetMode="External"/><Relationship Id="rId5761" Type="http://schemas.openxmlformats.org/officeDocument/2006/relationships/hyperlink" Target="https://pbs.twimg.com/profile_images/572091631055028224/Pkx__FSB_normal.png" TargetMode="External"/><Relationship Id="rId5762" Type="http://schemas.openxmlformats.org/officeDocument/2006/relationships/hyperlink" Target="https://twitter.com/Googleulv" TargetMode="External"/><Relationship Id="rId3100" Type="http://schemas.openxmlformats.org/officeDocument/2006/relationships/hyperlink" Target="https://twitter.com/NowLivecodingtv/status/702934831089332224" TargetMode="External"/><Relationship Id="rId4431" Type="http://schemas.openxmlformats.org/officeDocument/2006/relationships/hyperlink" Target="https://pbs.twimg.com/profile_images/685174809651642368/zqzShgt7_normal.jpg" TargetMode="External"/><Relationship Id="rId4430" Type="http://schemas.openxmlformats.org/officeDocument/2006/relationships/hyperlink" Target="https://twitter.com/s0urceCode1esme/status/702993976643616768" TargetMode="External"/><Relationship Id="rId5760" Type="http://schemas.openxmlformats.org/officeDocument/2006/relationships/hyperlink" Target="https://twitter.com/cool_python/status/703074586246717440" TargetMode="External"/><Relationship Id="rId3102" Type="http://schemas.openxmlformats.org/officeDocument/2006/relationships/hyperlink" Target="https://twitter.com/driscollis" TargetMode="External"/><Relationship Id="rId4433" Type="http://schemas.openxmlformats.org/officeDocument/2006/relationships/hyperlink" Target="https://twitter.com/wcmckeedotcom/status/702994085125230592" TargetMode="External"/><Relationship Id="rId5765" Type="http://schemas.openxmlformats.org/officeDocument/2006/relationships/hyperlink" Target="https://twitter.com/anshupriya1989" TargetMode="External"/><Relationship Id="rId3101" Type="http://schemas.openxmlformats.org/officeDocument/2006/relationships/hyperlink" Target="https://pbs.twimg.com/profile_images/699984077877874688/aR2ovqId_normal.png" TargetMode="External"/><Relationship Id="rId4432" Type="http://schemas.openxmlformats.org/officeDocument/2006/relationships/hyperlink" Target="https://twitter.com/wcmckeedotcom" TargetMode="External"/><Relationship Id="rId5766" Type="http://schemas.openxmlformats.org/officeDocument/2006/relationships/hyperlink" Target="https://twitter.com/anshupriya1989/status/703075113294409732" TargetMode="External"/><Relationship Id="rId3104" Type="http://schemas.openxmlformats.org/officeDocument/2006/relationships/hyperlink" Target="https://pbs.twimg.com/profile_images/1230999289/snakehead_blue_normal.jpg" TargetMode="External"/><Relationship Id="rId4435" Type="http://schemas.openxmlformats.org/officeDocument/2006/relationships/hyperlink" Target="https://twitter.com/IndieGameDevBot" TargetMode="External"/><Relationship Id="rId5763" Type="http://schemas.openxmlformats.org/officeDocument/2006/relationships/hyperlink" Target="https://twitter.com/Googleulv/status/703074698062602240" TargetMode="External"/><Relationship Id="rId3103" Type="http://schemas.openxmlformats.org/officeDocument/2006/relationships/hyperlink" Target="https://twitter.com/driscollis/status/702935296262799360" TargetMode="External"/><Relationship Id="rId4434" Type="http://schemas.openxmlformats.org/officeDocument/2006/relationships/hyperlink" Target="https://pbs.twimg.com/profile_images/621211385746161664/tGchJstD_normal.jpg" TargetMode="External"/><Relationship Id="rId5764" Type="http://schemas.openxmlformats.org/officeDocument/2006/relationships/hyperlink" Target="https://pbs.twimg.com/profile_images/631872006645022720/C3D_WfIt_normal.jpg" TargetMode="External"/><Relationship Id="rId3139" Type="http://schemas.openxmlformats.org/officeDocument/2006/relationships/hyperlink" Target="https://twitter.com/lennincaro/status/702936471813152768" TargetMode="External"/><Relationship Id="rId3138" Type="http://schemas.openxmlformats.org/officeDocument/2006/relationships/hyperlink" Target="https://twitter.com/lennincaro" TargetMode="External"/><Relationship Id="rId4469" Type="http://schemas.openxmlformats.org/officeDocument/2006/relationships/hyperlink" Target="http://dlvr.it" TargetMode="External"/><Relationship Id="rId5790" Type="http://schemas.openxmlformats.org/officeDocument/2006/relationships/hyperlink" Target="https://twitter.com/angelicavillah/status/703076472420864002" TargetMode="External"/><Relationship Id="rId5791" Type="http://schemas.openxmlformats.org/officeDocument/2006/relationships/hyperlink" Target="https://pbs.twimg.com/profile_images/558786947293134848/LUDNv1vG_normal.jpeg" TargetMode="External"/><Relationship Id="rId4460" Type="http://schemas.openxmlformats.org/officeDocument/2006/relationships/hyperlink" Target="https://twitter.com/artwisanggeni/status/702995907952775168" TargetMode="External"/><Relationship Id="rId3131" Type="http://schemas.openxmlformats.org/officeDocument/2006/relationships/hyperlink" Target="https://pbs.twimg.com/profile_images/620976524448153600/FaP0gL2J_normal.jpg" TargetMode="External"/><Relationship Id="rId4462" Type="http://schemas.openxmlformats.org/officeDocument/2006/relationships/hyperlink" Target="https://pbs.twimg.com/profile_images/2813636657/599521f69e2bc210a57323b64d8e39e6_normal.jpeg" TargetMode="External"/><Relationship Id="rId5794" Type="http://schemas.openxmlformats.org/officeDocument/2006/relationships/hyperlink" Target="https://pbs.twimg.com/profile_images/632743976785735682/CfTy63Eb_normal.jpg" TargetMode="External"/><Relationship Id="rId3130" Type="http://schemas.openxmlformats.org/officeDocument/2006/relationships/hyperlink" Target="https://twitter.com/lennincaro/status/702936336722960385" TargetMode="External"/><Relationship Id="rId4461" Type="http://schemas.openxmlformats.org/officeDocument/2006/relationships/hyperlink" Target="http://dlvr.it" TargetMode="External"/><Relationship Id="rId5795" Type="http://schemas.openxmlformats.org/officeDocument/2006/relationships/hyperlink" Target="https://twitter.com/scottgu" TargetMode="External"/><Relationship Id="rId3133" Type="http://schemas.openxmlformats.org/officeDocument/2006/relationships/hyperlink" Target="https://twitter.com/paulolehenn/status/702936364623523840" TargetMode="External"/><Relationship Id="rId4464" Type="http://schemas.openxmlformats.org/officeDocument/2006/relationships/hyperlink" Target="https://twitter.com/artwisanggeni/status/702995911396433921" TargetMode="External"/><Relationship Id="rId5792" Type="http://schemas.openxmlformats.org/officeDocument/2006/relationships/hyperlink" Target="https://twitter.com/AndrewBaidu" TargetMode="External"/><Relationship Id="rId3132" Type="http://schemas.openxmlformats.org/officeDocument/2006/relationships/hyperlink" Target="https://twitter.com/paulolehenn" TargetMode="External"/><Relationship Id="rId4463" Type="http://schemas.openxmlformats.org/officeDocument/2006/relationships/hyperlink" Target="https://twitter.com/artwisanggeni" TargetMode="External"/><Relationship Id="rId5793" Type="http://schemas.openxmlformats.org/officeDocument/2006/relationships/hyperlink" Target="https://twitter.com/AndrewBaidu/status/703076521351716865" TargetMode="External"/><Relationship Id="rId3135" Type="http://schemas.openxmlformats.org/officeDocument/2006/relationships/hyperlink" Target="https://twitter.com/sanasarwat80" TargetMode="External"/><Relationship Id="rId4466" Type="http://schemas.openxmlformats.org/officeDocument/2006/relationships/hyperlink" Target="https://pbs.twimg.com/profile_images/2813636657/599521f69e2bc210a57323b64d8e39e6_normal.jpeg" TargetMode="External"/><Relationship Id="rId5798" Type="http://schemas.openxmlformats.org/officeDocument/2006/relationships/hyperlink" Target="https://twitter.com/cool_python" TargetMode="External"/><Relationship Id="rId3134" Type="http://schemas.openxmlformats.org/officeDocument/2006/relationships/hyperlink" Target="https://pbs.twimg.com/profile_images/484793285517402112/hv2iJhsO_normal.jpeg" TargetMode="External"/><Relationship Id="rId4465" Type="http://schemas.openxmlformats.org/officeDocument/2006/relationships/hyperlink" Target="http://dlvr.it" TargetMode="External"/><Relationship Id="rId5799" Type="http://schemas.openxmlformats.org/officeDocument/2006/relationships/hyperlink" Target="https://twitter.com/cool_python/status/703076776734564352" TargetMode="External"/><Relationship Id="rId3137" Type="http://schemas.openxmlformats.org/officeDocument/2006/relationships/hyperlink" Target="https://pbs.twimg.com/profile_images/479346109928587264/aEKzuGWt_normal.jpeg" TargetMode="External"/><Relationship Id="rId4468" Type="http://schemas.openxmlformats.org/officeDocument/2006/relationships/hyperlink" Target="https://twitter.com/artwisanggeni/status/702995914898669568" TargetMode="External"/><Relationship Id="rId5796" Type="http://schemas.openxmlformats.org/officeDocument/2006/relationships/hyperlink" Target="https://twitter.com/scottgu/status/703076648019570689" TargetMode="External"/><Relationship Id="rId3136" Type="http://schemas.openxmlformats.org/officeDocument/2006/relationships/hyperlink" Target="https://twitter.com/sanasarwat80/status/702936447037210624" TargetMode="External"/><Relationship Id="rId4467" Type="http://schemas.openxmlformats.org/officeDocument/2006/relationships/hyperlink" Target="https://twitter.com/artwisanggeni" TargetMode="External"/><Relationship Id="rId5797" Type="http://schemas.openxmlformats.org/officeDocument/2006/relationships/hyperlink" Target="https://pbs.twimg.com/profile_images/565139568/redshirt_normal.jpg" TargetMode="External"/><Relationship Id="rId3128" Type="http://schemas.openxmlformats.org/officeDocument/2006/relationships/hyperlink" Target="https://pbs.twimg.com/profile_images/590027861098176512/3H8F-4B-_normal.jpg" TargetMode="External"/><Relationship Id="rId4459" Type="http://schemas.openxmlformats.org/officeDocument/2006/relationships/hyperlink" Target="https://twitter.com/artwisanggeni" TargetMode="External"/><Relationship Id="rId3127" Type="http://schemas.openxmlformats.org/officeDocument/2006/relationships/hyperlink" Target="https://twitter.com/jcrodriguezu/status/702936215679594496" TargetMode="External"/><Relationship Id="rId4458" Type="http://schemas.openxmlformats.org/officeDocument/2006/relationships/hyperlink" Target="https://pbs.twimg.com/profile_images/2813636657/599521f69e2bc210a57323b64d8e39e6_normal.jpeg" TargetMode="External"/><Relationship Id="rId5789" Type="http://schemas.openxmlformats.org/officeDocument/2006/relationships/hyperlink" Target="https://twitter.com/angelicavillah" TargetMode="External"/><Relationship Id="rId3129" Type="http://schemas.openxmlformats.org/officeDocument/2006/relationships/hyperlink" Target="https://twitter.com/lennincaro" TargetMode="External"/><Relationship Id="rId5780" Type="http://schemas.openxmlformats.org/officeDocument/2006/relationships/hyperlink" Target="https://twitter.com/startechwall" TargetMode="External"/><Relationship Id="rId3120" Type="http://schemas.openxmlformats.org/officeDocument/2006/relationships/hyperlink" Target="https://twitter.com/qba73" TargetMode="External"/><Relationship Id="rId4451" Type="http://schemas.openxmlformats.org/officeDocument/2006/relationships/hyperlink" Target="https://twitter.com/artwisanggeni" TargetMode="External"/><Relationship Id="rId5783" Type="http://schemas.openxmlformats.org/officeDocument/2006/relationships/hyperlink" Target="https://twitter.com/knowledge_cheat" TargetMode="External"/><Relationship Id="rId4450" Type="http://schemas.openxmlformats.org/officeDocument/2006/relationships/hyperlink" Target="https://pbs.twimg.com/profile_images/2813636657/599521f69e2bc210a57323b64d8e39e6_normal.jpeg" TargetMode="External"/><Relationship Id="rId5784" Type="http://schemas.openxmlformats.org/officeDocument/2006/relationships/hyperlink" Target="https://twitter.com/knowledge_cheat/status/703076213489676288" TargetMode="External"/><Relationship Id="rId3122" Type="http://schemas.openxmlformats.org/officeDocument/2006/relationships/hyperlink" Target="https://pbs.twimg.com/profile_images/579383462353854464/wiOuOiUP_normal.jpg" TargetMode="External"/><Relationship Id="rId4453" Type="http://schemas.openxmlformats.org/officeDocument/2006/relationships/hyperlink" Target="http://dlvr.it" TargetMode="External"/><Relationship Id="rId5781" Type="http://schemas.openxmlformats.org/officeDocument/2006/relationships/hyperlink" Target="https://twitter.com/startechwall/status/703076172154998784" TargetMode="External"/><Relationship Id="rId3121" Type="http://schemas.openxmlformats.org/officeDocument/2006/relationships/hyperlink" Target="https://twitter.com/qba73/status/702936163804389376" TargetMode="External"/><Relationship Id="rId4452" Type="http://schemas.openxmlformats.org/officeDocument/2006/relationships/hyperlink" Target="https://twitter.com/artwisanggeni/status/702995899111223296" TargetMode="External"/><Relationship Id="rId5782" Type="http://schemas.openxmlformats.org/officeDocument/2006/relationships/hyperlink" Target="https://pbs.twimg.com/profile_images/679566117187145728/UUo30Zpm_normal.jpg" TargetMode="External"/><Relationship Id="rId3124" Type="http://schemas.openxmlformats.org/officeDocument/2006/relationships/hyperlink" Target="https://twitter.com/lennincaro/status/702936181814726656" TargetMode="External"/><Relationship Id="rId4455" Type="http://schemas.openxmlformats.org/officeDocument/2006/relationships/hyperlink" Target="https://twitter.com/artwisanggeni" TargetMode="External"/><Relationship Id="rId5787" Type="http://schemas.openxmlformats.org/officeDocument/2006/relationships/hyperlink" Target="https://twitter.com/genomiss/status/703076339276914689" TargetMode="External"/><Relationship Id="rId3123" Type="http://schemas.openxmlformats.org/officeDocument/2006/relationships/hyperlink" Target="https://twitter.com/lennincaro" TargetMode="External"/><Relationship Id="rId4454" Type="http://schemas.openxmlformats.org/officeDocument/2006/relationships/hyperlink" Target="https://pbs.twimg.com/profile_images/2813636657/599521f69e2bc210a57323b64d8e39e6_normal.jpeg" TargetMode="External"/><Relationship Id="rId5788" Type="http://schemas.openxmlformats.org/officeDocument/2006/relationships/hyperlink" Target="https://pbs.twimg.com/profile_images/580984958023401472/hMoWC6v9_normal.jpg" TargetMode="External"/><Relationship Id="rId3126" Type="http://schemas.openxmlformats.org/officeDocument/2006/relationships/hyperlink" Target="https://twitter.com/jcrodriguezu" TargetMode="External"/><Relationship Id="rId4457" Type="http://schemas.openxmlformats.org/officeDocument/2006/relationships/hyperlink" Target="http://dlvr.it" TargetMode="External"/><Relationship Id="rId5785" Type="http://schemas.openxmlformats.org/officeDocument/2006/relationships/hyperlink" Target="https://abs.twimg.com/sticky/default_profile_images/default_profile_5_normal.png" TargetMode="External"/><Relationship Id="rId3125" Type="http://schemas.openxmlformats.org/officeDocument/2006/relationships/hyperlink" Target="https://pbs.twimg.com/profile_images/620976524448153600/FaP0gL2J_normal.jpg" TargetMode="External"/><Relationship Id="rId4456" Type="http://schemas.openxmlformats.org/officeDocument/2006/relationships/hyperlink" Target="https://twitter.com/artwisanggeni/status/702995903720730625" TargetMode="External"/><Relationship Id="rId5786" Type="http://schemas.openxmlformats.org/officeDocument/2006/relationships/hyperlink" Target="https://twitter.com/genomiss" TargetMode="External"/><Relationship Id="rId4404" Type="http://schemas.openxmlformats.org/officeDocument/2006/relationships/hyperlink" Target="https://abs.twimg.com/sticky/default_profile_images/default_profile_3_normal.png" TargetMode="External"/><Relationship Id="rId5736" Type="http://schemas.openxmlformats.org/officeDocument/2006/relationships/hyperlink" Target="https://twitter.com/art_control/status/703073573150330880" TargetMode="External"/><Relationship Id="rId4403" Type="http://schemas.openxmlformats.org/officeDocument/2006/relationships/hyperlink" Target="https://twitter.com/0x626F74/status/702991467405377541" TargetMode="External"/><Relationship Id="rId5737" Type="http://schemas.openxmlformats.org/officeDocument/2006/relationships/hyperlink" Target="https://pbs.twimg.com/profile_images/649004216690675712/UAcrP6ol_normal.png" TargetMode="External"/><Relationship Id="rId4406" Type="http://schemas.openxmlformats.org/officeDocument/2006/relationships/hyperlink" Target="https://twitter.com/korezian/status/702991864840847363" TargetMode="External"/><Relationship Id="rId5734" Type="http://schemas.openxmlformats.org/officeDocument/2006/relationships/hyperlink" Target="https://pbs.twimg.com/profile_images/631872006645022720/C3D_WfIt_normal.jpg" TargetMode="External"/><Relationship Id="rId4405" Type="http://schemas.openxmlformats.org/officeDocument/2006/relationships/hyperlink" Target="https://twitter.com/korezian" TargetMode="External"/><Relationship Id="rId5735" Type="http://schemas.openxmlformats.org/officeDocument/2006/relationships/hyperlink" Target="https://twitter.com/art_control" TargetMode="External"/><Relationship Id="rId4408" Type="http://schemas.openxmlformats.org/officeDocument/2006/relationships/hyperlink" Target="https://twitter.com/GovsInfo" TargetMode="External"/><Relationship Id="rId4407" Type="http://schemas.openxmlformats.org/officeDocument/2006/relationships/hyperlink" Target="https://pbs.twimg.com/profile_images/460099412526518272/aNXvaTyn_normal.jpeg" TargetMode="External"/><Relationship Id="rId5738" Type="http://schemas.openxmlformats.org/officeDocument/2006/relationships/hyperlink" Target="https://twitter.com/AI_Scientist" TargetMode="External"/><Relationship Id="rId4409" Type="http://schemas.openxmlformats.org/officeDocument/2006/relationships/hyperlink" Target="https://twitter.com/GovsInfo/status/702992110132269057" TargetMode="External"/><Relationship Id="rId5739" Type="http://schemas.openxmlformats.org/officeDocument/2006/relationships/hyperlink" Target="https://twitter.com/AI_Scientist/status/703073765714960385" TargetMode="External"/><Relationship Id="rId4400" Type="http://schemas.openxmlformats.org/officeDocument/2006/relationships/hyperlink" Target="https://twitter.com/limiear/status/702991252858527744" TargetMode="External"/><Relationship Id="rId5732" Type="http://schemas.openxmlformats.org/officeDocument/2006/relationships/hyperlink" Target="https://twitter.com/Googleulv" TargetMode="External"/><Relationship Id="rId5733" Type="http://schemas.openxmlformats.org/officeDocument/2006/relationships/hyperlink" Target="https://twitter.com/Googleulv/status/703073268119564288" TargetMode="External"/><Relationship Id="rId4402" Type="http://schemas.openxmlformats.org/officeDocument/2006/relationships/hyperlink" Target="https://twitter.com/0x626F74" TargetMode="External"/><Relationship Id="rId5730" Type="http://schemas.openxmlformats.org/officeDocument/2006/relationships/hyperlink" Target="https://twitter.com/lecamerone/status/703073093363716096" TargetMode="External"/><Relationship Id="rId4401" Type="http://schemas.openxmlformats.org/officeDocument/2006/relationships/hyperlink" Target="https://pbs.twimg.com/profile_images/529629909597949953/SVewJVqU_normal.png" TargetMode="External"/><Relationship Id="rId5731" Type="http://schemas.openxmlformats.org/officeDocument/2006/relationships/hyperlink" Target="https://pbs.twimg.com/profile_images/593021280837701632/YpLbNF_5_normal.jpg" TargetMode="External"/><Relationship Id="rId5725" Type="http://schemas.openxmlformats.org/officeDocument/2006/relationships/hyperlink" Target="https://pbs.twimg.com/profile_images/593021280837701632/YpLbNF_5_normal.jpg" TargetMode="External"/><Relationship Id="rId5726" Type="http://schemas.openxmlformats.org/officeDocument/2006/relationships/hyperlink" Target="https://twitter.com/py3k" TargetMode="External"/><Relationship Id="rId5723" Type="http://schemas.openxmlformats.org/officeDocument/2006/relationships/hyperlink" Target="https://twitter.com/lecamerone" TargetMode="External"/><Relationship Id="rId5724" Type="http://schemas.openxmlformats.org/officeDocument/2006/relationships/hyperlink" Target="https://twitter.com/lecamerone/status/703072648582922240" TargetMode="External"/><Relationship Id="rId5729" Type="http://schemas.openxmlformats.org/officeDocument/2006/relationships/hyperlink" Target="https://twitter.com/lecamerone" TargetMode="External"/><Relationship Id="rId5727" Type="http://schemas.openxmlformats.org/officeDocument/2006/relationships/hyperlink" Target="https://twitter.com/py3k/status/703072946605187072" TargetMode="External"/><Relationship Id="rId5728" Type="http://schemas.openxmlformats.org/officeDocument/2006/relationships/hyperlink" Target="https://pbs.twimg.com/profile_images/2474433856/p075cerxh0arpea6ceip_normal.png" TargetMode="External"/><Relationship Id="rId5721" Type="http://schemas.openxmlformats.org/officeDocument/2006/relationships/hyperlink" Target="https://twitter.com/PythonBooks/status/703072277592567808" TargetMode="External"/><Relationship Id="rId5722" Type="http://schemas.openxmlformats.org/officeDocument/2006/relationships/hyperlink" Target="https://pbs.twimg.com/profile_images/702455638157168640/AeDgtn0C_normal.jpg" TargetMode="External"/><Relationship Id="rId5720" Type="http://schemas.openxmlformats.org/officeDocument/2006/relationships/hyperlink" Target="https://twitter.com/PythonBooks" TargetMode="External"/><Relationship Id="rId4426" Type="http://schemas.openxmlformats.org/officeDocument/2006/relationships/hyperlink" Target="https://twitter.com/cool_python" TargetMode="External"/><Relationship Id="rId5758" Type="http://schemas.openxmlformats.org/officeDocument/2006/relationships/hyperlink" Target="https://pbs.twimg.com/profile_images/1511085195/495353-96-20110728133130_normal.png" TargetMode="External"/><Relationship Id="rId4425" Type="http://schemas.openxmlformats.org/officeDocument/2006/relationships/hyperlink" Target="https://pbs.twimg.com/profile_images/420466653256630272/VeSpHUUy_normal.jpeg" TargetMode="External"/><Relationship Id="rId5759" Type="http://schemas.openxmlformats.org/officeDocument/2006/relationships/hyperlink" Target="https://twitter.com/cool_python" TargetMode="External"/><Relationship Id="rId4428" Type="http://schemas.openxmlformats.org/officeDocument/2006/relationships/hyperlink" Target="https://pbs.twimg.com/profile_images/572091631055028224/Pkx__FSB_normal.png" TargetMode="External"/><Relationship Id="rId5756" Type="http://schemas.openxmlformats.org/officeDocument/2006/relationships/hyperlink" Target="https://twitter.com/DebianBug" TargetMode="External"/><Relationship Id="rId4427" Type="http://schemas.openxmlformats.org/officeDocument/2006/relationships/hyperlink" Target="https://twitter.com/cool_python/status/702993382042427392" TargetMode="External"/><Relationship Id="rId5757" Type="http://schemas.openxmlformats.org/officeDocument/2006/relationships/hyperlink" Target="https://twitter.com/DebianBug/status/703074537060093952" TargetMode="External"/><Relationship Id="rId4429" Type="http://schemas.openxmlformats.org/officeDocument/2006/relationships/hyperlink" Target="https://twitter.com/s0urceCode1esme" TargetMode="External"/><Relationship Id="rId5750" Type="http://schemas.openxmlformats.org/officeDocument/2006/relationships/hyperlink" Target="https://twitter.com/MTotolrahaman" TargetMode="External"/><Relationship Id="rId5751" Type="http://schemas.openxmlformats.org/officeDocument/2006/relationships/hyperlink" Target="https://twitter.com/MTotolrahaman/status/703074337381863424" TargetMode="External"/><Relationship Id="rId4420" Type="http://schemas.openxmlformats.org/officeDocument/2006/relationships/hyperlink" Target="https://twitter.com/azurekanio" TargetMode="External"/><Relationship Id="rId4422" Type="http://schemas.openxmlformats.org/officeDocument/2006/relationships/hyperlink" Target="https://pbs.twimg.com/profile_images/466762443050323968/PURoniQ5_normal.png" TargetMode="External"/><Relationship Id="rId5754" Type="http://schemas.openxmlformats.org/officeDocument/2006/relationships/hyperlink" Target="https://twitter.com/Googleulv/status/703074483821748226" TargetMode="External"/><Relationship Id="rId4421" Type="http://schemas.openxmlformats.org/officeDocument/2006/relationships/hyperlink" Target="https://twitter.com/azurekanio/status/702993277385986048" TargetMode="External"/><Relationship Id="rId5755" Type="http://schemas.openxmlformats.org/officeDocument/2006/relationships/hyperlink" Target="https://pbs.twimg.com/profile_images/631872006645022720/C3D_WfIt_normal.jpg" TargetMode="External"/><Relationship Id="rId4424" Type="http://schemas.openxmlformats.org/officeDocument/2006/relationships/hyperlink" Target="https://twitter.com/JAlshamri/status/702993303088844800" TargetMode="External"/><Relationship Id="rId5752" Type="http://schemas.openxmlformats.org/officeDocument/2006/relationships/hyperlink" Target="https://pbs.twimg.com/profile_images/677493910256484352/-EdVaVPl_normal.jpg" TargetMode="External"/><Relationship Id="rId4423" Type="http://schemas.openxmlformats.org/officeDocument/2006/relationships/hyperlink" Target="https://twitter.com/JAlshamri" TargetMode="External"/><Relationship Id="rId5753" Type="http://schemas.openxmlformats.org/officeDocument/2006/relationships/hyperlink" Target="https://twitter.com/Googleulv" TargetMode="External"/><Relationship Id="rId4415" Type="http://schemas.openxmlformats.org/officeDocument/2006/relationships/hyperlink" Target="https://twitter.com/odsc/status/702992179531280385" TargetMode="External"/><Relationship Id="rId5747" Type="http://schemas.openxmlformats.org/officeDocument/2006/relationships/hyperlink" Target="https://twitter.com/HartwigMicheal" TargetMode="External"/><Relationship Id="rId4414" Type="http://schemas.openxmlformats.org/officeDocument/2006/relationships/hyperlink" Target="https://twitter.com/odsc" TargetMode="External"/><Relationship Id="rId5748" Type="http://schemas.openxmlformats.org/officeDocument/2006/relationships/hyperlink" Target="https://twitter.com/HartwigMicheal/status/703074155755872256" TargetMode="External"/><Relationship Id="rId4417" Type="http://schemas.openxmlformats.org/officeDocument/2006/relationships/hyperlink" Target="https://twitter.com/importpython" TargetMode="External"/><Relationship Id="rId5745" Type="http://schemas.openxmlformats.org/officeDocument/2006/relationships/hyperlink" Target="https://twitter.com/HH_Technology/status/703073913299820544" TargetMode="External"/><Relationship Id="rId4416" Type="http://schemas.openxmlformats.org/officeDocument/2006/relationships/hyperlink" Target="https://pbs.twimg.com/profile_images/623923923441348612/HxO7gaZZ_normal.png" TargetMode="External"/><Relationship Id="rId5746" Type="http://schemas.openxmlformats.org/officeDocument/2006/relationships/hyperlink" Target="https://pbs.twimg.com/profile_images/543263084735787010/32MyAWdQ_normal.png" TargetMode="External"/><Relationship Id="rId4419" Type="http://schemas.openxmlformats.org/officeDocument/2006/relationships/hyperlink" Target="https://pbs.twimg.com/profile_images/518108253121552384/ClpFqPbX_normal.png" TargetMode="External"/><Relationship Id="rId4418" Type="http://schemas.openxmlformats.org/officeDocument/2006/relationships/hyperlink" Target="https://twitter.com/importpython/status/702993143835144192" TargetMode="External"/><Relationship Id="rId5749" Type="http://schemas.openxmlformats.org/officeDocument/2006/relationships/hyperlink" Target="https://pbs.twimg.com/profile_images/679948461953781761/pDo9356K_normal.jpg" TargetMode="External"/><Relationship Id="rId5740" Type="http://schemas.openxmlformats.org/officeDocument/2006/relationships/hyperlink" Target="https://pbs.twimg.com/profile_images/601570167013838848/N416MqAn_normal.jpg" TargetMode="External"/><Relationship Id="rId4411" Type="http://schemas.openxmlformats.org/officeDocument/2006/relationships/hyperlink" Target="https://twitter.com/Ginetto" TargetMode="External"/><Relationship Id="rId5743" Type="http://schemas.openxmlformats.org/officeDocument/2006/relationships/hyperlink" Target="https://pbs.twimg.com/profile_images/612569902189121536/XbdR_r8W_normal.jpg" TargetMode="External"/><Relationship Id="rId4410" Type="http://schemas.openxmlformats.org/officeDocument/2006/relationships/hyperlink" Target="https://pbs.twimg.com/profile_images/607796949085855744/yiNwAzF__normal.jpg" TargetMode="External"/><Relationship Id="rId5744" Type="http://schemas.openxmlformats.org/officeDocument/2006/relationships/hyperlink" Target="https://twitter.com/HH_Technology" TargetMode="External"/><Relationship Id="rId4413" Type="http://schemas.openxmlformats.org/officeDocument/2006/relationships/hyperlink" Target="https://pbs.twimg.com/profile_images/459231364991053824/3NeXuA0D_normal.jpeg" TargetMode="External"/><Relationship Id="rId5741" Type="http://schemas.openxmlformats.org/officeDocument/2006/relationships/hyperlink" Target="https://twitter.com/kumar_pravin" TargetMode="External"/><Relationship Id="rId4412" Type="http://schemas.openxmlformats.org/officeDocument/2006/relationships/hyperlink" Target="https://twitter.com/Ginetto/status/702992173877346304" TargetMode="External"/><Relationship Id="rId5742" Type="http://schemas.openxmlformats.org/officeDocument/2006/relationships/hyperlink" Target="https://twitter.com/kumar_pravin/status/703073827954233344" TargetMode="External"/><Relationship Id="rId3191" Type="http://schemas.openxmlformats.org/officeDocument/2006/relationships/hyperlink" Target="https://pbs.twimg.com/profile_images/697855654577496064/ezrj73P__normal.png" TargetMode="External"/><Relationship Id="rId3190" Type="http://schemas.openxmlformats.org/officeDocument/2006/relationships/hyperlink" Target="https://twitter.com/math3uscom/status/702938022845796353" TargetMode="External"/><Relationship Id="rId3193" Type="http://schemas.openxmlformats.org/officeDocument/2006/relationships/hyperlink" Target="https://twitter.com/GruPiotr/status/702938023009378306" TargetMode="External"/><Relationship Id="rId3192" Type="http://schemas.openxmlformats.org/officeDocument/2006/relationships/hyperlink" Target="https://twitter.com/GruPiotr" TargetMode="External"/><Relationship Id="rId3195" Type="http://schemas.openxmlformats.org/officeDocument/2006/relationships/hyperlink" Target="https://twitter.com/siffolone" TargetMode="External"/><Relationship Id="rId3194" Type="http://schemas.openxmlformats.org/officeDocument/2006/relationships/hyperlink" Target="https://pbs.twimg.com/profile_images/641182619724587008/7AY-Q5Qq_normal.jpg" TargetMode="External"/><Relationship Id="rId3197" Type="http://schemas.openxmlformats.org/officeDocument/2006/relationships/hyperlink" Target="https://pbs.twimg.com/profile_images/631839534846734336/yBw4IKrT_normal.jpg" TargetMode="External"/><Relationship Id="rId3196" Type="http://schemas.openxmlformats.org/officeDocument/2006/relationships/hyperlink" Target="https://twitter.com/siffolone/status/702938042185719808" TargetMode="External"/><Relationship Id="rId3199" Type="http://schemas.openxmlformats.org/officeDocument/2006/relationships/hyperlink" Target="https://twitter.com/StackDevJobs/status/702938054584098816" TargetMode="External"/><Relationship Id="rId3198" Type="http://schemas.openxmlformats.org/officeDocument/2006/relationships/hyperlink" Target="https://twitter.com/StackDevJobs" TargetMode="External"/><Relationship Id="rId3180" Type="http://schemas.openxmlformats.org/officeDocument/2006/relationships/hyperlink" Target="https://twitter.com/tonyojeda3" TargetMode="External"/><Relationship Id="rId3182" Type="http://schemas.openxmlformats.org/officeDocument/2006/relationships/hyperlink" Target="https://pbs.twimg.com/profile_images/1211123351/Tony-Ojeda2_normal.JPG" TargetMode="External"/><Relationship Id="rId3181" Type="http://schemas.openxmlformats.org/officeDocument/2006/relationships/hyperlink" Target="https://twitter.com/tonyojeda3/status/702937481189183488" TargetMode="External"/><Relationship Id="rId3184" Type="http://schemas.openxmlformats.org/officeDocument/2006/relationships/hyperlink" Target="https://twitter.com/sotapanna108/status/702937675066691584" TargetMode="External"/><Relationship Id="rId3183" Type="http://schemas.openxmlformats.org/officeDocument/2006/relationships/hyperlink" Target="https://twitter.com/sotapanna108" TargetMode="External"/><Relationship Id="rId3186" Type="http://schemas.openxmlformats.org/officeDocument/2006/relationships/hyperlink" Target="https://twitter.com/wingston" TargetMode="External"/><Relationship Id="rId3185" Type="http://schemas.openxmlformats.org/officeDocument/2006/relationships/hyperlink" Target="https://pbs.twimg.com/profile_images/694690022897930242/qQkeGmQp_normal.jpg" TargetMode="External"/><Relationship Id="rId3188" Type="http://schemas.openxmlformats.org/officeDocument/2006/relationships/hyperlink" Target="https://pbs.twimg.com/profile_images/3537672406/190f79c88052bd5078e91796fd0fffe1_normal.jpeg" TargetMode="External"/><Relationship Id="rId3187" Type="http://schemas.openxmlformats.org/officeDocument/2006/relationships/hyperlink" Target="https://twitter.com/wingston/status/702937878813249536" TargetMode="External"/><Relationship Id="rId3189" Type="http://schemas.openxmlformats.org/officeDocument/2006/relationships/hyperlink" Target="https://twitter.com/math3uscom" TargetMode="External"/><Relationship Id="rId4480" Type="http://schemas.openxmlformats.org/officeDocument/2006/relationships/hyperlink" Target="https://twitter.com/artwisanggeni/status/702995924486721537" TargetMode="External"/><Relationship Id="rId3151" Type="http://schemas.openxmlformats.org/officeDocument/2006/relationships/hyperlink" Target="https://twitter.com/lennincaro/status/702936653367795716" TargetMode="External"/><Relationship Id="rId4482" Type="http://schemas.openxmlformats.org/officeDocument/2006/relationships/hyperlink" Target="https://pbs.twimg.com/profile_images/2813636657/599521f69e2bc210a57323b64d8e39e6_normal.jpeg" TargetMode="External"/><Relationship Id="rId3150" Type="http://schemas.openxmlformats.org/officeDocument/2006/relationships/hyperlink" Target="https://twitter.com/lennincaro" TargetMode="External"/><Relationship Id="rId4481" Type="http://schemas.openxmlformats.org/officeDocument/2006/relationships/hyperlink" Target="http://dlvr.it" TargetMode="External"/><Relationship Id="rId3153" Type="http://schemas.openxmlformats.org/officeDocument/2006/relationships/hyperlink" Target="https://twitter.com/acloudguru" TargetMode="External"/><Relationship Id="rId4484" Type="http://schemas.openxmlformats.org/officeDocument/2006/relationships/hyperlink" Target="https://twitter.com/artwisanggeni/status/702995927598903296" TargetMode="External"/><Relationship Id="rId3152" Type="http://schemas.openxmlformats.org/officeDocument/2006/relationships/hyperlink" Target="https://pbs.twimg.com/profile_images/620976524448153600/FaP0gL2J_normal.jpg" TargetMode="External"/><Relationship Id="rId4483" Type="http://schemas.openxmlformats.org/officeDocument/2006/relationships/hyperlink" Target="https://twitter.com/artwisanggeni" TargetMode="External"/><Relationship Id="rId3155" Type="http://schemas.openxmlformats.org/officeDocument/2006/relationships/hyperlink" Target="https://pbs.twimg.com/profile_images/641284671305830400/ZUuLQMq6_normal.png" TargetMode="External"/><Relationship Id="rId4486" Type="http://schemas.openxmlformats.org/officeDocument/2006/relationships/hyperlink" Target="https://pbs.twimg.com/profile_images/2813636657/599521f69e2bc210a57323b64d8e39e6_normal.jpeg" TargetMode="External"/><Relationship Id="rId3154" Type="http://schemas.openxmlformats.org/officeDocument/2006/relationships/hyperlink" Target="https://twitter.com/acloudguru/status/702936717574193152" TargetMode="External"/><Relationship Id="rId4485" Type="http://schemas.openxmlformats.org/officeDocument/2006/relationships/hyperlink" Target="http://dlvr.it" TargetMode="External"/><Relationship Id="rId3157" Type="http://schemas.openxmlformats.org/officeDocument/2006/relationships/hyperlink" Target="https://twitter.com/SmartSocialUK/status/702937048332763136" TargetMode="External"/><Relationship Id="rId4488" Type="http://schemas.openxmlformats.org/officeDocument/2006/relationships/hyperlink" Target="https://twitter.com/Tales_Balela/status/702996108415541249" TargetMode="External"/><Relationship Id="rId3156" Type="http://schemas.openxmlformats.org/officeDocument/2006/relationships/hyperlink" Target="https://twitter.com/SmartSocialUK" TargetMode="External"/><Relationship Id="rId4487" Type="http://schemas.openxmlformats.org/officeDocument/2006/relationships/hyperlink" Target="https://twitter.com/Tales_Balela" TargetMode="External"/><Relationship Id="rId3159" Type="http://schemas.openxmlformats.org/officeDocument/2006/relationships/hyperlink" Target="https://twitter.com/lennincaro" TargetMode="External"/><Relationship Id="rId3158" Type="http://schemas.openxmlformats.org/officeDocument/2006/relationships/hyperlink" Target="https://pbs.twimg.com/profile_images/567981950413971456/ZmTsSyL5_normal.jpeg" TargetMode="External"/><Relationship Id="rId4489" Type="http://schemas.openxmlformats.org/officeDocument/2006/relationships/hyperlink" Target="https://pbs.twimg.com/profile_images/569322799047917568/kO0XS1hy_normal.jpeg" TargetMode="External"/><Relationship Id="rId3149" Type="http://schemas.openxmlformats.org/officeDocument/2006/relationships/hyperlink" Target="https://pbs.twimg.com/profile_images/480083358534602753/5ks_h08H_normal.jpeg" TargetMode="External"/><Relationship Id="rId3140" Type="http://schemas.openxmlformats.org/officeDocument/2006/relationships/hyperlink" Target="https://pbs.twimg.com/profile_images/620976524448153600/FaP0gL2J_normal.jpg" TargetMode="External"/><Relationship Id="rId4471" Type="http://schemas.openxmlformats.org/officeDocument/2006/relationships/hyperlink" Target="https://twitter.com/artwisanggeni" TargetMode="External"/><Relationship Id="rId4470" Type="http://schemas.openxmlformats.org/officeDocument/2006/relationships/hyperlink" Target="https://pbs.twimg.com/profile_images/2813636657/599521f69e2bc210a57323b64d8e39e6_normal.jpeg" TargetMode="External"/><Relationship Id="rId3142" Type="http://schemas.openxmlformats.org/officeDocument/2006/relationships/hyperlink" Target="https://twitter.com/AlejoJamC/status/702936531212832769" TargetMode="External"/><Relationship Id="rId4473" Type="http://schemas.openxmlformats.org/officeDocument/2006/relationships/hyperlink" Target="http://dlvr.it" TargetMode="External"/><Relationship Id="rId3141" Type="http://schemas.openxmlformats.org/officeDocument/2006/relationships/hyperlink" Target="https://twitter.com/AlejoJamC" TargetMode="External"/><Relationship Id="rId4472" Type="http://schemas.openxmlformats.org/officeDocument/2006/relationships/hyperlink" Target="https://twitter.com/artwisanggeni/status/702995918438551552" TargetMode="External"/><Relationship Id="rId3144" Type="http://schemas.openxmlformats.org/officeDocument/2006/relationships/hyperlink" Target="https://twitter.com/lennincaro" TargetMode="External"/><Relationship Id="rId4475" Type="http://schemas.openxmlformats.org/officeDocument/2006/relationships/hyperlink" Target="https://twitter.com/artwisanggeni" TargetMode="External"/><Relationship Id="rId3143" Type="http://schemas.openxmlformats.org/officeDocument/2006/relationships/hyperlink" Target="https://pbs.twimg.com/profile_images/679033708003880960/3XtpgwuQ_normal.jpg" TargetMode="External"/><Relationship Id="rId4474" Type="http://schemas.openxmlformats.org/officeDocument/2006/relationships/hyperlink" Target="https://pbs.twimg.com/profile_images/2813636657/599521f69e2bc210a57323b64d8e39e6_normal.jpeg" TargetMode="External"/><Relationship Id="rId3146" Type="http://schemas.openxmlformats.org/officeDocument/2006/relationships/hyperlink" Target="https://pbs.twimg.com/profile_images/620976524448153600/FaP0gL2J_normal.jpg" TargetMode="External"/><Relationship Id="rId4477" Type="http://schemas.openxmlformats.org/officeDocument/2006/relationships/hyperlink" Target="http://dlvr.it" TargetMode="External"/><Relationship Id="rId3145" Type="http://schemas.openxmlformats.org/officeDocument/2006/relationships/hyperlink" Target="https://twitter.com/lennincaro/status/702936556680712192" TargetMode="External"/><Relationship Id="rId4476" Type="http://schemas.openxmlformats.org/officeDocument/2006/relationships/hyperlink" Target="https://twitter.com/artwisanggeni/status/702995921554919424" TargetMode="External"/><Relationship Id="rId3148" Type="http://schemas.openxmlformats.org/officeDocument/2006/relationships/hyperlink" Target="https://twitter.com/bbddpp/status/702936581309603840" TargetMode="External"/><Relationship Id="rId4479" Type="http://schemas.openxmlformats.org/officeDocument/2006/relationships/hyperlink" Target="https://twitter.com/artwisanggeni" TargetMode="External"/><Relationship Id="rId3147" Type="http://schemas.openxmlformats.org/officeDocument/2006/relationships/hyperlink" Target="https://twitter.com/bbddpp" TargetMode="External"/><Relationship Id="rId4478" Type="http://schemas.openxmlformats.org/officeDocument/2006/relationships/hyperlink" Target="https://pbs.twimg.com/profile_images/2813636657/599521f69e2bc210a57323b64d8e39e6_normal.jpeg" TargetMode="External"/><Relationship Id="rId3171" Type="http://schemas.openxmlformats.org/officeDocument/2006/relationships/hyperlink" Target="https://twitter.com/GameDevBRbot" TargetMode="External"/><Relationship Id="rId3170" Type="http://schemas.openxmlformats.org/officeDocument/2006/relationships/hyperlink" Target="https://pbs.twimg.com/profile_images/645761542269440000/a2TC8EJh_normal.jpg" TargetMode="External"/><Relationship Id="rId3173" Type="http://schemas.openxmlformats.org/officeDocument/2006/relationships/hyperlink" Target="https://pbs.twimg.com/profile_images/645761542269440000/a2TC8EJh_normal.jpg" TargetMode="External"/><Relationship Id="rId3172" Type="http://schemas.openxmlformats.org/officeDocument/2006/relationships/hyperlink" Target="https://twitter.com/GameDevBRbot/status/702937319100321792" TargetMode="External"/><Relationship Id="rId3175" Type="http://schemas.openxmlformats.org/officeDocument/2006/relationships/hyperlink" Target="https://twitter.com/GameDevBRbot/status/702937322518659072" TargetMode="External"/><Relationship Id="rId3174" Type="http://schemas.openxmlformats.org/officeDocument/2006/relationships/hyperlink" Target="https://twitter.com/GameDevBRbot" TargetMode="External"/><Relationship Id="rId3177" Type="http://schemas.openxmlformats.org/officeDocument/2006/relationships/hyperlink" Target="https://twitter.com/jvabad" TargetMode="External"/><Relationship Id="rId3176" Type="http://schemas.openxmlformats.org/officeDocument/2006/relationships/hyperlink" Target="https://pbs.twimg.com/profile_images/645761542269440000/a2TC8EJh_normal.jpg" TargetMode="External"/><Relationship Id="rId3179" Type="http://schemas.openxmlformats.org/officeDocument/2006/relationships/hyperlink" Target="https://pbs.twimg.com/profile_images/1519236431/ja_normal.jpg" TargetMode="External"/><Relationship Id="rId3178" Type="http://schemas.openxmlformats.org/officeDocument/2006/relationships/hyperlink" Target="https://twitter.com/jvabad/status/702937398930493440" TargetMode="External"/><Relationship Id="rId3160" Type="http://schemas.openxmlformats.org/officeDocument/2006/relationships/hyperlink" Target="https://twitter.com/lennincaro/status/702937266122039296" TargetMode="External"/><Relationship Id="rId4491" Type="http://schemas.openxmlformats.org/officeDocument/2006/relationships/hyperlink" Target="https://twitter.com/LillianEdmiston/status/702996182222643203" TargetMode="External"/><Relationship Id="rId4490" Type="http://schemas.openxmlformats.org/officeDocument/2006/relationships/hyperlink" Target="https://twitter.com/LillianEdmiston" TargetMode="External"/><Relationship Id="rId3162" Type="http://schemas.openxmlformats.org/officeDocument/2006/relationships/hyperlink" Target="https://twitter.com/Yvan_Rodriguez1" TargetMode="External"/><Relationship Id="rId4493" Type="http://schemas.openxmlformats.org/officeDocument/2006/relationships/hyperlink" Target="https://twitter.com/LillianEdmiston" TargetMode="External"/><Relationship Id="rId3161" Type="http://schemas.openxmlformats.org/officeDocument/2006/relationships/hyperlink" Target="https://pbs.twimg.com/profile_images/620976524448153600/FaP0gL2J_normal.jpg" TargetMode="External"/><Relationship Id="rId4492" Type="http://schemas.openxmlformats.org/officeDocument/2006/relationships/hyperlink" Target="https://pbs.twimg.com/profile_images/655014978101993476/ZpsnJW8B_normal.jpg" TargetMode="External"/><Relationship Id="rId3164" Type="http://schemas.openxmlformats.org/officeDocument/2006/relationships/hyperlink" Target="https://pbs.twimg.com/profile_images/603638205729091586/_xyhwlZj_normal.jpg" TargetMode="External"/><Relationship Id="rId4495" Type="http://schemas.openxmlformats.org/officeDocument/2006/relationships/hyperlink" Target="https://pbs.twimg.com/profile_images/655014978101993476/ZpsnJW8B_normal.jpg" TargetMode="External"/><Relationship Id="rId3163" Type="http://schemas.openxmlformats.org/officeDocument/2006/relationships/hyperlink" Target="https://twitter.com/Yvan_Rodriguez1/status/702937273680207873" TargetMode="External"/><Relationship Id="rId4494" Type="http://schemas.openxmlformats.org/officeDocument/2006/relationships/hyperlink" Target="https://twitter.com/LillianEdmiston/status/702996185037074433" TargetMode="External"/><Relationship Id="rId3166" Type="http://schemas.openxmlformats.org/officeDocument/2006/relationships/hyperlink" Target="https://twitter.com/GameDevBRbot/status/702937314843074560" TargetMode="External"/><Relationship Id="rId4497" Type="http://schemas.openxmlformats.org/officeDocument/2006/relationships/hyperlink" Target="https://twitter.com/javascriptSaBOT/status/702996312401121281" TargetMode="External"/><Relationship Id="rId3165" Type="http://schemas.openxmlformats.org/officeDocument/2006/relationships/hyperlink" Target="https://twitter.com/GameDevBRbot" TargetMode="External"/><Relationship Id="rId4496" Type="http://schemas.openxmlformats.org/officeDocument/2006/relationships/hyperlink" Target="https://twitter.com/javascriptSaBOT" TargetMode="External"/><Relationship Id="rId3168" Type="http://schemas.openxmlformats.org/officeDocument/2006/relationships/hyperlink" Target="https://twitter.com/GameDevBRbot" TargetMode="External"/><Relationship Id="rId4499" Type="http://schemas.openxmlformats.org/officeDocument/2006/relationships/hyperlink" Target="https://twitter.com/_jobonline" TargetMode="External"/><Relationship Id="rId3167" Type="http://schemas.openxmlformats.org/officeDocument/2006/relationships/hyperlink" Target="https://pbs.twimg.com/profile_images/645761542269440000/a2TC8EJh_normal.jpg" TargetMode="External"/><Relationship Id="rId4498" Type="http://schemas.openxmlformats.org/officeDocument/2006/relationships/hyperlink" Target="https://pbs.twimg.com/profile_images/699810062752059393/NQQfSM9g_normal.jpg" TargetMode="External"/><Relationship Id="rId3169" Type="http://schemas.openxmlformats.org/officeDocument/2006/relationships/hyperlink" Target="https://twitter.com/GameDevBRbot/status/702937317292404736" TargetMode="External"/><Relationship Id="rId9330" Type="http://schemas.openxmlformats.org/officeDocument/2006/relationships/hyperlink" Target="https://twitter.com/gabi__voicu" TargetMode="External"/><Relationship Id="rId9331" Type="http://schemas.openxmlformats.org/officeDocument/2006/relationships/hyperlink" Target="https://twitter.com/gabi__voicu/status/703271259539435520" TargetMode="External"/><Relationship Id="rId9332" Type="http://schemas.openxmlformats.org/officeDocument/2006/relationships/hyperlink" Target="https://pbs.twimg.com/profile_images/639264092189032448/oT0gsEwx_normal.jpg" TargetMode="External"/><Relationship Id="rId9333" Type="http://schemas.openxmlformats.org/officeDocument/2006/relationships/hyperlink" Target="https://twitter.com/NoSQLDigest" TargetMode="External"/><Relationship Id="rId8002" Type="http://schemas.openxmlformats.org/officeDocument/2006/relationships/hyperlink" Target="https://twitter.com/programmingncr/status/703217269619466240" TargetMode="External"/><Relationship Id="rId8001" Type="http://schemas.openxmlformats.org/officeDocument/2006/relationships/hyperlink" Target="https://twitter.com/programmingncr" TargetMode="External"/><Relationship Id="rId8000" Type="http://schemas.openxmlformats.org/officeDocument/2006/relationships/hyperlink" Target="https://pbs.twimg.com/profile_images/378800000437407013/71199aebe5e2b7fee72a2b1486759897_normal.jpeg" TargetMode="External"/><Relationship Id="rId8006" Type="http://schemas.openxmlformats.org/officeDocument/2006/relationships/hyperlink" Target="https://pbs.twimg.com/profile_images/1216345873/70755_100001902148705_8207987_q_normal.jpg" TargetMode="External"/><Relationship Id="rId9338" Type="http://schemas.openxmlformats.org/officeDocument/2006/relationships/hyperlink" Target="https://pbs.twimg.com/profile_images/143077709/DSCF0283_2_normal.JPG" TargetMode="External"/><Relationship Id="rId8005" Type="http://schemas.openxmlformats.org/officeDocument/2006/relationships/hyperlink" Target="https://twitter.com/akucchan_world/status/703217392621527040" TargetMode="External"/><Relationship Id="rId9339" Type="http://schemas.openxmlformats.org/officeDocument/2006/relationships/hyperlink" Target="https://twitter.com/davewarner98" TargetMode="External"/><Relationship Id="rId8004" Type="http://schemas.openxmlformats.org/officeDocument/2006/relationships/hyperlink" Target="https://twitter.com/akucchan_world" TargetMode="External"/><Relationship Id="rId8003" Type="http://schemas.openxmlformats.org/officeDocument/2006/relationships/hyperlink" Target="https://pbs.twimg.com/profile_images/662602436222193664/qKuvsfnG_normal.jpg" TargetMode="External"/><Relationship Id="rId9334" Type="http://schemas.openxmlformats.org/officeDocument/2006/relationships/hyperlink" Target="https://twitter.com/NoSQLDigest/status/703271293982887937" TargetMode="External"/><Relationship Id="rId8009" Type="http://schemas.openxmlformats.org/officeDocument/2006/relationships/hyperlink" Target="https://pbs.twimg.com/profile_images/476039653405900801/pa5Uuh76_normal.png" TargetMode="External"/><Relationship Id="rId9335" Type="http://schemas.openxmlformats.org/officeDocument/2006/relationships/hyperlink" Target="https://pbs.twimg.com/profile_images/499257180009529344/CSWhr7LZ_normal.jpeg" TargetMode="External"/><Relationship Id="rId8008" Type="http://schemas.openxmlformats.org/officeDocument/2006/relationships/hyperlink" Target="https://twitter.com/GinnyGhezzo/status/703217498662031364" TargetMode="External"/><Relationship Id="rId9336" Type="http://schemas.openxmlformats.org/officeDocument/2006/relationships/hyperlink" Target="https://twitter.com/teoliphant" TargetMode="External"/><Relationship Id="rId8007" Type="http://schemas.openxmlformats.org/officeDocument/2006/relationships/hyperlink" Target="https://twitter.com/GinnyGhezzo" TargetMode="External"/><Relationship Id="rId9337" Type="http://schemas.openxmlformats.org/officeDocument/2006/relationships/hyperlink" Target="https://twitter.com/teoliphant/status/703271623701319680" TargetMode="External"/><Relationship Id="rId9320" Type="http://schemas.openxmlformats.org/officeDocument/2006/relationships/hyperlink" Target="https://pbs.twimg.com/profile_images/646634191883476993/o11PiF_o_normal.png" TargetMode="External"/><Relationship Id="rId9321" Type="http://schemas.openxmlformats.org/officeDocument/2006/relationships/hyperlink" Target="https://twitter.com/art_control" TargetMode="External"/><Relationship Id="rId9322" Type="http://schemas.openxmlformats.org/officeDocument/2006/relationships/hyperlink" Target="https://twitter.com/art_control/status/703270965128642560" TargetMode="External"/><Relationship Id="rId9327" Type="http://schemas.openxmlformats.org/officeDocument/2006/relationships/hyperlink" Target="https://twitter.com/jselenide" TargetMode="External"/><Relationship Id="rId9328" Type="http://schemas.openxmlformats.org/officeDocument/2006/relationships/hyperlink" Target="https://twitter.com/jselenide/status/703271221891354625" TargetMode="External"/><Relationship Id="rId9329" Type="http://schemas.openxmlformats.org/officeDocument/2006/relationships/hyperlink" Target="https://pbs.twimg.com/profile_images/378800000484627924/ff1d3d03ad85234b0168493123816da2_normal.png" TargetMode="External"/><Relationship Id="rId9323" Type="http://schemas.openxmlformats.org/officeDocument/2006/relationships/hyperlink" Target="https://pbs.twimg.com/profile_images/649004216690675712/UAcrP6ol_normal.png" TargetMode="External"/><Relationship Id="rId9324" Type="http://schemas.openxmlformats.org/officeDocument/2006/relationships/hyperlink" Target="https://twitter.com/ConnectionsNY" TargetMode="External"/><Relationship Id="rId9325" Type="http://schemas.openxmlformats.org/officeDocument/2006/relationships/hyperlink" Target="https://twitter.com/ConnectionsNY/status/703271147920564224" TargetMode="External"/><Relationship Id="rId9326" Type="http://schemas.openxmlformats.org/officeDocument/2006/relationships/hyperlink" Target="https://pbs.twimg.com/profile_images/646430794391650304/jK6EaLeg_normal.jpg" TargetMode="External"/><Relationship Id="rId8020" Type="http://schemas.openxmlformats.org/officeDocument/2006/relationships/hyperlink" Target="https://twitter.com/aaronrinehart/status/703218035000262658" TargetMode="External"/><Relationship Id="rId9352" Type="http://schemas.openxmlformats.org/officeDocument/2006/relationships/hyperlink" Target="https://twitter.com/Living_Variable/status/703272704686886912" TargetMode="External"/><Relationship Id="rId9353" Type="http://schemas.openxmlformats.org/officeDocument/2006/relationships/hyperlink" Target="https://pbs.twimg.com/profile_images/699680013088485376/w-mE_mx7_normal.jpg" TargetMode="External"/><Relationship Id="rId9354" Type="http://schemas.openxmlformats.org/officeDocument/2006/relationships/hyperlink" Target="https://twitter.com/webdevers" TargetMode="External"/><Relationship Id="rId9355" Type="http://schemas.openxmlformats.org/officeDocument/2006/relationships/hyperlink" Target="https://twitter.com/webdevers/status/703272719643598849" TargetMode="External"/><Relationship Id="rId8024" Type="http://schemas.openxmlformats.org/officeDocument/2006/relationships/hyperlink" Target="https://pbs.twimg.com/profile_images/526818821407924224/UzeGb7M9_normal.jpeg" TargetMode="External"/><Relationship Id="rId8023" Type="http://schemas.openxmlformats.org/officeDocument/2006/relationships/hyperlink" Target="https://twitter.com/javapsyche/status/703218086510403584" TargetMode="External"/><Relationship Id="rId8022" Type="http://schemas.openxmlformats.org/officeDocument/2006/relationships/hyperlink" Target="https://twitter.com/javapsyche" TargetMode="External"/><Relationship Id="rId9350" Type="http://schemas.openxmlformats.org/officeDocument/2006/relationships/hyperlink" Target="https://pbs.twimg.com/profile_images/3759253863/86267077ca21c75710f9fcc99f83d2f5_normal.jpeg" TargetMode="External"/><Relationship Id="rId8021" Type="http://schemas.openxmlformats.org/officeDocument/2006/relationships/hyperlink" Target="https://pbs.twimg.com/profile_images/593977508246245376/Skr4HNwq_normal.jpg" TargetMode="External"/><Relationship Id="rId9351" Type="http://schemas.openxmlformats.org/officeDocument/2006/relationships/hyperlink" Target="https://twitter.com/Living_Variable" TargetMode="External"/><Relationship Id="rId8028" Type="http://schemas.openxmlformats.org/officeDocument/2006/relationships/hyperlink" Target="https://twitter.com/enzoooswift" TargetMode="External"/><Relationship Id="rId8027" Type="http://schemas.openxmlformats.org/officeDocument/2006/relationships/hyperlink" Target="https://pbs.twimg.com/profile_images/1554238582/python_normal.jpg" TargetMode="External"/><Relationship Id="rId8026" Type="http://schemas.openxmlformats.org/officeDocument/2006/relationships/hyperlink" Target="https://twitter.com/PythonWeekly/status/703218207851737088" TargetMode="External"/><Relationship Id="rId8025" Type="http://schemas.openxmlformats.org/officeDocument/2006/relationships/hyperlink" Target="https://twitter.com/PythonWeekly" TargetMode="External"/><Relationship Id="rId9356" Type="http://schemas.openxmlformats.org/officeDocument/2006/relationships/hyperlink" Target="https://pbs.twimg.com/profile_images/3759253863/86267077ca21c75710f9fcc99f83d2f5_normal.jpeg" TargetMode="External"/><Relationship Id="rId9357" Type="http://schemas.openxmlformats.org/officeDocument/2006/relationships/hyperlink" Target="https://twitter.com/webdevers" TargetMode="External"/><Relationship Id="rId9358" Type="http://schemas.openxmlformats.org/officeDocument/2006/relationships/hyperlink" Target="https://twitter.com/webdevers/status/703272827219107840" TargetMode="External"/><Relationship Id="rId8029" Type="http://schemas.openxmlformats.org/officeDocument/2006/relationships/hyperlink" Target="https://twitter.com/enzoooswift/status/703218234804207616" TargetMode="External"/><Relationship Id="rId9359" Type="http://schemas.openxmlformats.org/officeDocument/2006/relationships/hyperlink" Target="https://pbs.twimg.com/profile_images/3759253863/86267077ca21c75710f9fcc99f83d2f5_normal.jpeg" TargetMode="External"/><Relationship Id="rId9341" Type="http://schemas.openxmlformats.org/officeDocument/2006/relationships/hyperlink" Target="https://pbs.twimg.com/profile_images/531312697569079297/wzgeUKUT_normal.jpeg" TargetMode="External"/><Relationship Id="rId9342" Type="http://schemas.openxmlformats.org/officeDocument/2006/relationships/hyperlink" Target="https://twitter.com/IngTecEduardo" TargetMode="External"/><Relationship Id="rId9343" Type="http://schemas.openxmlformats.org/officeDocument/2006/relationships/hyperlink" Target="https://twitter.com/IngTecEduardo/status/703272383218651137" TargetMode="External"/><Relationship Id="rId9344" Type="http://schemas.openxmlformats.org/officeDocument/2006/relationships/hyperlink" Target="https://pbs.twimg.com/profile_images/467948844475375616/ryZQlqLg_normal.jpeg" TargetMode="External"/><Relationship Id="rId8013" Type="http://schemas.openxmlformats.org/officeDocument/2006/relationships/hyperlink" Target="https://twitter.com/py3k" TargetMode="External"/><Relationship Id="rId8012" Type="http://schemas.openxmlformats.org/officeDocument/2006/relationships/hyperlink" Target="https://pbs.twimg.com/profile_images/627996138403168256/DaASdgVr_normal.jpg" TargetMode="External"/><Relationship Id="rId8011" Type="http://schemas.openxmlformats.org/officeDocument/2006/relationships/hyperlink" Target="https://twitter.com/JoshuaLongUK/status/703217522301132802" TargetMode="External"/><Relationship Id="rId8010" Type="http://schemas.openxmlformats.org/officeDocument/2006/relationships/hyperlink" Target="https://twitter.com/JoshuaLongUK" TargetMode="External"/><Relationship Id="rId9340" Type="http://schemas.openxmlformats.org/officeDocument/2006/relationships/hyperlink" Target="https://twitter.com/davewarner98/status/703271997640323073" TargetMode="External"/><Relationship Id="rId8017" Type="http://schemas.openxmlformats.org/officeDocument/2006/relationships/hyperlink" Target="https://twitter.com/EdTechPatty/status/703217867932749826" TargetMode="External"/><Relationship Id="rId9349" Type="http://schemas.openxmlformats.org/officeDocument/2006/relationships/hyperlink" Target="https://twitter.com/webdevers/status/703272584922554368" TargetMode="External"/><Relationship Id="rId8016" Type="http://schemas.openxmlformats.org/officeDocument/2006/relationships/hyperlink" Target="https://twitter.com/EdTechPatty" TargetMode="External"/><Relationship Id="rId8015" Type="http://schemas.openxmlformats.org/officeDocument/2006/relationships/hyperlink" Target="https://pbs.twimg.com/profile_images/2474433856/p075cerxh0arpea6ceip_normal.png" TargetMode="External"/><Relationship Id="rId8014" Type="http://schemas.openxmlformats.org/officeDocument/2006/relationships/hyperlink" Target="https://twitter.com/py3k/status/703217645605224448" TargetMode="External"/><Relationship Id="rId9345" Type="http://schemas.openxmlformats.org/officeDocument/2006/relationships/hyperlink" Target="https://twitter.com/research_innova" TargetMode="External"/><Relationship Id="rId9346" Type="http://schemas.openxmlformats.org/officeDocument/2006/relationships/hyperlink" Target="https://twitter.com/research_innova/status/703272518774296576" TargetMode="External"/><Relationship Id="rId8019" Type="http://schemas.openxmlformats.org/officeDocument/2006/relationships/hyperlink" Target="https://twitter.com/aaronrinehart" TargetMode="External"/><Relationship Id="rId9347" Type="http://schemas.openxmlformats.org/officeDocument/2006/relationships/hyperlink" Target="https://pbs.twimg.com/profile_images/612671526849146880/oaSXeNPe_normal.jpg" TargetMode="External"/><Relationship Id="rId8018" Type="http://schemas.openxmlformats.org/officeDocument/2006/relationships/hyperlink" Target="https://pbs.twimg.com/profile_images/520993831274049536/POynJoPN_normal.jpeg" TargetMode="External"/><Relationship Id="rId9348" Type="http://schemas.openxmlformats.org/officeDocument/2006/relationships/hyperlink" Target="https://twitter.com/webdevers" TargetMode="External"/><Relationship Id="rId9310" Type="http://schemas.openxmlformats.org/officeDocument/2006/relationships/hyperlink" Target="https://pbs.twimg.com/profile_images/621211385746161664/tGchJstD_normal.jpg" TargetMode="External"/><Relationship Id="rId9311" Type="http://schemas.openxmlformats.org/officeDocument/2006/relationships/hyperlink" Target="https://twitter.com/johannes_hoppe" TargetMode="External"/><Relationship Id="rId9316" Type="http://schemas.openxmlformats.org/officeDocument/2006/relationships/hyperlink" Target="https://pbs.twimg.com/profile_images/550909650535579648/ZA2nwJ8V_normal.png" TargetMode="External"/><Relationship Id="rId9317" Type="http://schemas.openxmlformats.org/officeDocument/2006/relationships/hyperlink" Target="https://twitter.com/Talent_io" TargetMode="External"/><Relationship Id="rId9318" Type="http://schemas.openxmlformats.org/officeDocument/2006/relationships/hyperlink" Target="http://Talent.io" TargetMode="External"/><Relationship Id="rId9319" Type="http://schemas.openxmlformats.org/officeDocument/2006/relationships/hyperlink" Target="https://twitter.com/Talent_io/status/703270572957016065" TargetMode="External"/><Relationship Id="rId9312" Type="http://schemas.openxmlformats.org/officeDocument/2006/relationships/hyperlink" Target="https://twitter.com/johannes_hoppe/status/703269882130010112" TargetMode="External"/><Relationship Id="rId9313" Type="http://schemas.openxmlformats.org/officeDocument/2006/relationships/hyperlink" Target="https://pbs.twimg.com/profile_images/417816092766003200/xKGFagQg_normal.jpeg" TargetMode="External"/><Relationship Id="rId9314" Type="http://schemas.openxmlformats.org/officeDocument/2006/relationships/hyperlink" Target="https://twitter.com/wubr2000" TargetMode="External"/><Relationship Id="rId9315" Type="http://schemas.openxmlformats.org/officeDocument/2006/relationships/hyperlink" Target="https://twitter.com/wubr2000/status/703270489217601536" TargetMode="External"/><Relationship Id="rId9309" Type="http://schemas.openxmlformats.org/officeDocument/2006/relationships/hyperlink" Target="https://twitter.com/wcmckeedotcom/status/703269547130941440" TargetMode="External"/><Relationship Id="rId9300" Type="http://schemas.openxmlformats.org/officeDocument/2006/relationships/hyperlink" Target="https://twitter.com/mathandporsches/status/703269399369637888" TargetMode="External"/><Relationship Id="rId9305" Type="http://schemas.openxmlformats.org/officeDocument/2006/relationships/hyperlink" Target="https://twitter.com/panseybard" TargetMode="External"/><Relationship Id="rId9306" Type="http://schemas.openxmlformats.org/officeDocument/2006/relationships/hyperlink" Target="https://twitter.com/panseybard/status/703269530114457600" TargetMode="External"/><Relationship Id="rId9307" Type="http://schemas.openxmlformats.org/officeDocument/2006/relationships/hyperlink" Target="https://pbs.twimg.com/profile_images/583850259970822144/7EgtHLoT_normal.jpg" TargetMode="External"/><Relationship Id="rId9308" Type="http://schemas.openxmlformats.org/officeDocument/2006/relationships/hyperlink" Target="https://twitter.com/wcmckeedotcom" TargetMode="External"/><Relationship Id="rId9301" Type="http://schemas.openxmlformats.org/officeDocument/2006/relationships/hyperlink" Target="https://pbs.twimg.com/profile_images/599727518963208192/yEd0mtYM_normal.jpg" TargetMode="External"/><Relationship Id="rId9302" Type="http://schemas.openxmlformats.org/officeDocument/2006/relationships/hyperlink" Target="https://twitter.com/xploresec" TargetMode="External"/><Relationship Id="rId9303" Type="http://schemas.openxmlformats.org/officeDocument/2006/relationships/hyperlink" Target="https://twitter.com/xploresec/status/703269524439609344" TargetMode="External"/><Relationship Id="rId9304" Type="http://schemas.openxmlformats.org/officeDocument/2006/relationships/hyperlink" Target="https://pbs.twimg.com/profile_images/653266713102782464/NEpoOCDV_normal.jpg" TargetMode="External"/><Relationship Id="rId5813" Type="http://schemas.openxmlformats.org/officeDocument/2006/relationships/hyperlink" Target="https://twitter.com/pacofigo" TargetMode="External"/><Relationship Id="rId5814" Type="http://schemas.openxmlformats.org/officeDocument/2006/relationships/hyperlink" Target="https://twitter.com/pacofigo/status/703077710797492225" TargetMode="External"/><Relationship Id="rId5811" Type="http://schemas.openxmlformats.org/officeDocument/2006/relationships/hyperlink" Target="https://twitter.com/nocturnics/status/703077646804996097" TargetMode="External"/><Relationship Id="rId5812" Type="http://schemas.openxmlformats.org/officeDocument/2006/relationships/hyperlink" Target="https://pbs.twimg.com/profile_images/600284490255106048/YOfXiv8M_normal.jpg" TargetMode="External"/><Relationship Id="rId5817" Type="http://schemas.openxmlformats.org/officeDocument/2006/relationships/hyperlink" Target="https://twitter.com/lohithchalam/status/703078208820744192" TargetMode="External"/><Relationship Id="rId5818" Type="http://schemas.openxmlformats.org/officeDocument/2006/relationships/hyperlink" Target="https://pbs.twimg.com/profile_images/411721063463018497/9R5Fva5G_normal.jpeg" TargetMode="External"/><Relationship Id="rId5815" Type="http://schemas.openxmlformats.org/officeDocument/2006/relationships/hyperlink" Target="https://pbs.twimg.com/profile_images/661401951804915712/IaY5BpJs_normal.jpg" TargetMode="External"/><Relationship Id="rId5816" Type="http://schemas.openxmlformats.org/officeDocument/2006/relationships/hyperlink" Target="https://twitter.com/lohithchalam" TargetMode="External"/><Relationship Id="rId5819" Type="http://schemas.openxmlformats.org/officeDocument/2006/relationships/hyperlink" Target="https://twitter.com/Shinyotaku" TargetMode="External"/><Relationship Id="rId8093" Type="http://schemas.openxmlformats.org/officeDocument/2006/relationships/hyperlink" Target="https://twitter.com/skfroi/status/703222073338912768" TargetMode="External"/><Relationship Id="rId8092" Type="http://schemas.openxmlformats.org/officeDocument/2006/relationships/hyperlink" Target="https://twitter.com/skfroi" TargetMode="External"/><Relationship Id="rId8091" Type="http://schemas.openxmlformats.org/officeDocument/2006/relationships/hyperlink" Target="https://pbs.twimg.com/profile_images/702455638157168640/AeDgtn0C_normal.jpg" TargetMode="External"/><Relationship Id="rId8090" Type="http://schemas.openxmlformats.org/officeDocument/2006/relationships/hyperlink" Target="http://dlvr.it" TargetMode="External"/><Relationship Id="rId8086" Type="http://schemas.openxmlformats.org/officeDocument/2006/relationships/hyperlink" Target="https://twitter.com/SA_Data_Science/status/703221147983339521" TargetMode="External"/><Relationship Id="rId8085" Type="http://schemas.openxmlformats.org/officeDocument/2006/relationships/hyperlink" Target="https://twitter.com/SA_Data_Science" TargetMode="External"/><Relationship Id="rId8084" Type="http://schemas.openxmlformats.org/officeDocument/2006/relationships/hyperlink" Target="https://pbs.twimg.com/profile_images/605072073895997441/W_g0G9fU_normal.png" TargetMode="External"/><Relationship Id="rId8083" Type="http://schemas.openxmlformats.org/officeDocument/2006/relationships/hyperlink" Target="https://twitter.com/mjjacko/status/703220979913199616" TargetMode="External"/><Relationship Id="rId8089" Type="http://schemas.openxmlformats.org/officeDocument/2006/relationships/hyperlink" Target="https://twitter.com/PythonBooks/status/703221491756769280" TargetMode="External"/><Relationship Id="rId8088" Type="http://schemas.openxmlformats.org/officeDocument/2006/relationships/hyperlink" Target="https://twitter.com/PythonBooks" TargetMode="External"/><Relationship Id="rId8087" Type="http://schemas.openxmlformats.org/officeDocument/2006/relationships/hyperlink" Target="https://pbs.twimg.com/profile_images/659015319483215872/SDoLzliR_normal.jpg" TargetMode="External"/><Relationship Id="rId5810" Type="http://schemas.openxmlformats.org/officeDocument/2006/relationships/hyperlink" Target="https://twitter.com/nocturnics" TargetMode="External"/><Relationship Id="rId5802" Type="http://schemas.openxmlformats.org/officeDocument/2006/relationships/hyperlink" Target="https://twitter.com/pacofigo/status/703077326049775617" TargetMode="External"/><Relationship Id="rId5803" Type="http://schemas.openxmlformats.org/officeDocument/2006/relationships/hyperlink" Target="https://pbs.twimg.com/profile_images/661401951804915712/IaY5BpJs_normal.jpg" TargetMode="External"/><Relationship Id="rId5800" Type="http://schemas.openxmlformats.org/officeDocument/2006/relationships/hyperlink" Target="https://pbs.twimg.com/profile_images/572091631055028224/Pkx__FSB_normal.png" TargetMode="External"/><Relationship Id="rId5801" Type="http://schemas.openxmlformats.org/officeDocument/2006/relationships/hyperlink" Target="https://twitter.com/pacofigo" TargetMode="External"/><Relationship Id="rId5806" Type="http://schemas.openxmlformats.org/officeDocument/2006/relationships/hyperlink" Target="https://pbs.twimg.com/profile_images/657708133716881408/v7w4ki3M_normal.jpg" TargetMode="External"/><Relationship Id="rId5807" Type="http://schemas.openxmlformats.org/officeDocument/2006/relationships/hyperlink" Target="https://twitter.com/chrisrisner" TargetMode="External"/><Relationship Id="rId5804" Type="http://schemas.openxmlformats.org/officeDocument/2006/relationships/hyperlink" Target="https://twitter.com/dirfooddrink" TargetMode="External"/><Relationship Id="rId5805" Type="http://schemas.openxmlformats.org/officeDocument/2006/relationships/hyperlink" Target="https://twitter.com/dirfooddrink/status/703077390214438912" TargetMode="External"/><Relationship Id="rId5808" Type="http://schemas.openxmlformats.org/officeDocument/2006/relationships/hyperlink" Target="https://twitter.com/chrisrisner/status/703077429263208448" TargetMode="External"/><Relationship Id="rId5809" Type="http://schemas.openxmlformats.org/officeDocument/2006/relationships/hyperlink" Target="https://pbs.twimg.com/profile_images/641678331159560192/FKFM1DVu_normal.jpg" TargetMode="External"/><Relationship Id="rId8082" Type="http://schemas.openxmlformats.org/officeDocument/2006/relationships/hyperlink" Target="https://twitter.com/mjjacko" TargetMode="External"/><Relationship Id="rId8081" Type="http://schemas.openxmlformats.org/officeDocument/2006/relationships/hyperlink" Target="https://pbs.twimg.com/profile_images/597807721610608640/xUzXxkoR_normal.png" TargetMode="External"/><Relationship Id="rId8080" Type="http://schemas.openxmlformats.org/officeDocument/2006/relationships/hyperlink" Target="https://twitter.com/Workshapeio_bot/status/703220910166298624" TargetMode="External"/><Relationship Id="rId8075" Type="http://schemas.openxmlformats.org/officeDocument/2006/relationships/hyperlink" Target="https://pbs.twimg.com/profile_images/597807721610608640/xUzXxkoR_normal.png" TargetMode="External"/><Relationship Id="rId8074" Type="http://schemas.openxmlformats.org/officeDocument/2006/relationships/hyperlink" Target="https://twitter.com/Workshapeio_bot/status/703220827618209793" TargetMode="External"/><Relationship Id="rId8073" Type="http://schemas.openxmlformats.org/officeDocument/2006/relationships/hyperlink" Target="https://twitter.com/Workshapeio_bot" TargetMode="External"/><Relationship Id="rId8072" Type="http://schemas.openxmlformats.org/officeDocument/2006/relationships/hyperlink" Target="https://pbs.twimg.com/profile_images/597807721610608640/xUzXxkoR_normal.png" TargetMode="External"/><Relationship Id="rId8079" Type="http://schemas.openxmlformats.org/officeDocument/2006/relationships/hyperlink" Target="https://twitter.com/Workshapeio_bot" TargetMode="External"/><Relationship Id="rId8078" Type="http://schemas.openxmlformats.org/officeDocument/2006/relationships/hyperlink" Target="https://pbs.twimg.com/profile_images/442044742612688896/dqE0YTBI_normal.jpeg" TargetMode="External"/><Relationship Id="rId8077" Type="http://schemas.openxmlformats.org/officeDocument/2006/relationships/hyperlink" Target="https://twitter.com/nicdm/status/703220849550172160" TargetMode="External"/><Relationship Id="rId8076" Type="http://schemas.openxmlformats.org/officeDocument/2006/relationships/hyperlink" Target="https://twitter.com/nicdm" TargetMode="External"/><Relationship Id="rId4503" Type="http://schemas.openxmlformats.org/officeDocument/2006/relationships/hyperlink" Target="http://BroBeur.com" TargetMode="External"/><Relationship Id="rId5835" Type="http://schemas.openxmlformats.org/officeDocument/2006/relationships/hyperlink" Target="https://twitter.com/py3k/status/703078804391124993" TargetMode="External"/><Relationship Id="rId4502" Type="http://schemas.openxmlformats.org/officeDocument/2006/relationships/hyperlink" Target="https://twitter.com/brobeur" TargetMode="External"/><Relationship Id="rId5836" Type="http://schemas.openxmlformats.org/officeDocument/2006/relationships/hyperlink" Target="https://pbs.twimg.com/profile_images/2474433856/p075cerxh0arpea6ceip_normal.png" TargetMode="External"/><Relationship Id="rId4505" Type="http://schemas.openxmlformats.org/officeDocument/2006/relationships/hyperlink" Target="https://pbs.twimg.com/profile_images/487211737284739072/HBzP949-_normal.png" TargetMode="External"/><Relationship Id="rId5833" Type="http://schemas.openxmlformats.org/officeDocument/2006/relationships/hyperlink" Target="https://pbs.twimg.com/profile_images/649004216690675712/UAcrP6ol_normal.png" TargetMode="External"/><Relationship Id="rId4504" Type="http://schemas.openxmlformats.org/officeDocument/2006/relationships/hyperlink" Target="https://twitter.com/brobeur/status/702996547533983744" TargetMode="External"/><Relationship Id="rId5834" Type="http://schemas.openxmlformats.org/officeDocument/2006/relationships/hyperlink" Target="https://twitter.com/py3k" TargetMode="External"/><Relationship Id="rId4507" Type="http://schemas.openxmlformats.org/officeDocument/2006/relationships/hyperlink" Target="https://twitter.com/Datablabla/status/702996663049310208" TargetMode="External"/><Relationship Id="rId5839" Type="http://schemas.openxmlformats.org/officeDocument/2006/relationships/hyperlink" Target="https://pbs.twimg.com/profile_images/572091631055028224/Pkx__FSB_normal.png" TargetMode="External"/><Relationship Id="rId4506" Type="http://schemas.openxmlformats.org/officeDocument/2006/relationships/hyperlink" Target="https://twitter.com/Datablabla" TargetMode="External"/><Relationship Id="rId4509" Type="http://schemas.openxmlformats.org/officeDocument/2006/relationships/hyperlink" Target="https://twitter.com/PyData" TargetMode="External"/><Relationship Id="rId5837" Type="http://schemas.openxmlformats.org/officeDocument/2006/relationships/hyperlink" Target="https://twitter.com/cool_python" TargetMode="External"/><Relationship Id="rId4508" Type="http://schemas.openxmlformats.org/officeDocument/2006/relationships/hyperlink" Target="https://pbs.twimg.com/profile_images/602274133083365376/dc0LC6zM_normal.png" TargetMode="External"/><Relationship Id="rId5838" Type="http://schemas.openxmlformats.org/officeDocument/2006/relationships/hyperlink" Target="https://twitter.com/cool_python/status/703078899832516608" TargetMode="External"/><Relationship Id="rId5831" Type="http://schemas.openxmlformats.org/officeDocument/2006/relationships/hyperlink" Target="https://twitter.com/art_control" TargetMode="External"/><Relationship Id="rId5832" Type="http://schemas.openxmlformats.org/officeDocument/2006/relationships/hyperlink" Target="https://twitter.com/art_control/status/703078697872584704" TargetMode="External"/><Relationship Id="rId4501" Type="http://schemas.openxmlformats.org/officeDocument/2006/relationships/hyperlink" Target="https://pbs.twimg.com/profile_images/1388526758/_jobonline_normal.jpg" TargetMode="External"/><Relationship Id="rId4500" Type="http://schemas.openxmlformats.org/officeDocument/2006/relationships/hyperlink" Target="https://twitter.com/_jobonline/status/702996449336885249" TargetMode="External"/><Relationship Id="rId5830" Type="http://schemas.openxmlformats.org/officeDocument/2006/relationships/hyperlink" Target="https://pbs.twimg.com/profile_images/653864387975839744/Y12QeLMA_normal.jpg" TargetMode="External"/><Relationship Id="rId5824" Type="http://schemas.openxmlformats.org/officeDocument/2006/relationships/hyperlink" Target="https://pbs.twimg.com/profile_images/700782075595481088/NiHciBeU_normal.jpg" TargetMode="External"/><Relationship Id="rId5825" Type="http://schemas.openxmlformats.org/officeDocument/2006/relationships/hyperlink" Target="https://twitter.com/iainkbell" TargetMode="External"/><Relationship Id="rId5822" Type="http://schemas.openxmlformats.org/officeDocument/2006/relationships/hyperlink" Target="https://twitter.com/datamafia" TargetMode="External"/><Relationship Id="rId5823" Type="http://schemas.openxmlformats.org/officeDocument/2006/relationships/hyperlink" Target="https://twitter.com/datamafia/status/703078305201831936" TargetMode="External"/><Relationship Id="rId5828" Type="http://schemas.openxmlformats.org/officeDocument/2006/relationships/hyperlink" Target="https://twitter.com/S55nu" TargetMode="External"/><Relationship Id="rId5829" Type="http://schemas.openxmlformats.org/officeDocument/2006/relationships/hyperlink" Target="https://twitter.com/S55nu/status/703078696656089088" TargetMode="External"/><Relationship Id="rId5826" Type="http://schemas.openxmlformats.org/officeDocument/2006/relationships/hyperlink" Target="https://twitter.com/iainkbell/status/703078680512204801" TargetMode="External"/><Relationship Id="rId5827" Type="http://schemas.openxmlformats.org/officeDocument/2006/relationships/hyperlink" Target="https://pbs.twimg.com/profile_images/586966933397843968/hdKMoiH9_normal.jpg" TargetMode="External"/><Relationship Id="rId8097" Type="http://schemas.openxmlformats.org/officeDocument/2006/relationships/hyperlink" Target="https://pbs.twimg.com/profile_images/649862466675957760/gjyaoAD2_normal.jpg" TargetMode="External"/><Relationship Id="rId8096" Type="http://schemas.openxmlformats.org/officeDocument/2006/relationships/hyperlink" Target="https://twitter.com/hvniekerk/status/703222233452437505" TargetMode="External"/><Relationship Id="rId8095" Type="http://schemas.openxmlformats.org/officeDocument/2006/relationships/hyperlink" Target="https://twitter.com/hvniekerk" TargetMode="External"/><Relationship Id="rId8094" Type="http://schemas.openxmlformats.org/officeDocument/2006/relationships/hyperlink" Target="https://pbs.twimg.com/profile_images/598830498509496320/ciaDeZbY_normal.jpg" TargetMode="External"/><Relationship Id="rId8099" Type="http://schemas.openxmlformats.org/officeDocument/2006/relationships/hyperlink" Target="https://twitter.com/art_control/status/703222268541984768" TargetMode="External"/><Relationship Id="rId8098" Type="http://schemas.openxmlformats.org/officeDocument/2006/relationships/hyperlink" Target="https://twitter.com/art_control" TargetMode="External"/><Relationship Id="rId5820" Type="http://schemas.openxmlformats.org/officeDocument/2006/relationships/hyperlink" Target="https://twitter.com/Shinyotaku/status/703078216194465793" TargetMode="External"/><Relationship Id="rId5821" Type="http://schemas.openxmlformats.org/officeDocument/2006/relationships/hyperlink" Target="https://pbs.twimg.com/profile_images/693519785720619009/ZzZzd63G_normal.jpg" TargetMode="External"/><Relationship Id="rId9380" Type="http://schemas.openxmlformats.org/officeDocument/2006/relationships/hyperlink" Target="https://pbs.twimg.com/profile_images/3759253863/86267077ca21c75710f9fcc99f83d2f5_normal.jpeg" TargetMode="External"/><Relationship Id="rId8042" Type="http://schemas.openxmlformats.org/officeDocument/2006/relationships/hyperlink" Target="https://pbs.twimg.com/profile_images/623923923441348612/HxO7gaZZ_normal.png" TargetMode="External"/><Relationship Id="rId9374" Type="http://schemas.openxmlformats.org/officeDocument/2006/relationships/hyperlink" Target="https://pbs.twimg.com/profile_images/3759253863/86267077ca21c75710f9fcc99f83d2f5_normal.jpeg" TargetMode="External"/><Relationship Id="rId8041" Type="http://schemas.openxmlformats.org/officeDocument/2006/relationships/hyperlink" Target="https://twitter.com/odsc/status/703218972112588800" TargetMode="External"/><Relationship Id="rId9375" Type="http://schemas.openxmlformats.org/officeDocument/2006/relationships/hyperlink" Target="https://twitter.com/GimpScripts" TargetMode="External"/><Relationship Id="rId8040" Type="http://schemas.openxmlformats.org/officeDocument/2006/relationships/hyperlink" Target="https://twitter.com/odsc" TargetMode="External"/><Relationship Id="rId9376" Type="http://schemas.openxmlformats.org/officeDocument/2006/relationships/hyperlink" Target="https://twitter.com/GimpScripts/status/703273111760666624" TargetMode="External"/><Relationship Id="rId9377" Type="http://schemas.openxmlformats.org/officeDocument/2006/relationships/hyperlink" Target="https://pbs.twimg.com/profile_images/1567684366/gStwit_normal.png" TargetMode="External"/><Relationship Id="rId8046" Type="http://schemas.openxmlformats.org/officeDocument/2006/relationships/hyperlink" Target="https://twitter.com/Paris_TechJobs" TargetMode="External"/><Relationship Id="rId9370" Type="http://schemas.openxmlformats.org/officeDocument/2006/relationships/hyperlink" Target="https://twitter.com/webdevers/status/703273049915699200" TargetMode="External"/><Relationship Id="rId8045" Type="http://schemas.openxmlformats.org/officeDocument/2006/relationships/hyperlink" Target="https://pbs.twimg.com/profile_images/700009807181279232/CPnyKs5t_normal.png" TargetMode="External"/><Relationship Id="rId9371" Type="http://schemas.openxmlformats.org/officeDocument/2006/relationships/hyperlink" Target="https://pbs.twimg.com/profile_images/3759253863/86267077ca21c75710f9fcc99f83d2f5_normal.jpeg" TargetMode="External"/><Relationship Id="rId8044" Type="http://schemas.openxmlformats.org/officeDocument/2006/relationships/hyperlink" Target="https://twitter.com/MonsterJobs/status/703219001812520962" TargetMode="External"/><Relationship Id="rId9372" Type="http://schemas.openxmlformats.org/officeDocument/2006/relationships/hyperlink" Target="https://twitter.com/webdevers" TargetMode="External"/><Relationship Id="rId8043" Type="http://schemas.openxmlformats.org/officeDocument/2006/relationships/hyperlink" Target="https://twitter.com/MonsterJobs" TargetMode="External"/><Relationship Id="rId9373" Type="http://schemas.openxmlformats.org/officeDocument/2006/relationships/hyperlink" Target="https://twitter.com/webdevers/status/703273080546660353" TargetMode="External"/><Relationship Id="rId8049" Type="http://schemas.openxmlformats.org/officeDocument/2006/relationships/hyperlink" Target="https://twitter.com/asirikuy" TargetMode="External"/><Relationship Id="rId8048" Type="http://schemas.openxmlformats.org/officeDocument/2006/relationships/hyperlink" Target="https://pbs.twimg.com/profile_images/692420104462700544/lzD8ftgI_normal.png" TargetMode="External"/><Relationship Id="rId8047" Type="http://schemas.openxmlformats.org/officeDocument/2006/relationships/hyperlink" Target="https://twitter.com/Paris_TechJobs/status/703219246390763522" TargetMode="External"/><Relationship Id="rId9378" Type="http://schemas.openxmlformats.org/officeDocument/2006/relationships/hyperlink" Target="https://twitter.com/webdevers" TargetMode="External"/><Relationship Id="rId9379" Type="http://schemas.openxmlformats.org/officeDocument/2006/relationships/hyperlink" Target="https://twitter.com/webdevers/status/703273144300113920" TargetMode="External"/><Relationship Id="rId8031" Type="http://schemas.openxmlformats.org/officeDocument/2006/relationships/hyperlink" Target="https://twitter.com/GinnyGhezzo" TargetMode="External"/><Relationship Id="rId9363" Type="http://schemas.openxmlformats.org/officeDocument/2006/relationships/hyperlink" Target="https://twitter.com/webdevers" TargetMode="External"/><Relationship Id="rId8030" Type="http://schemas.openxmlformats.org/officeDocument/2006/relationships/hyperlink" Target="https://pbs.twimg.com/profile_images/700971216195026945/4sQKoiCq_normal.jpg" TargetMode="External"/><Relationship Id="rId9364" Type="http://schemas.openxmlformats.org/officeDocument/2006/relationships/hyperlink" Target="https://twitter.com/webdevers/status/703273020089987072" TargetMode="External"/><Relationship Id="rId9365" Type="http://schemas.openxmlformats.org/officeDocument/2006/relationships/hyperlink" Target="https://pbs.twimg.com/profile_images/3759253863/86267077ca21c75710f9fcc99f83d2f5_normal.jpeg" TargetMode="External"/><Relationship Id="rId9366" Type="http://schemas.openxmlformats.org/officeDocument/2006/relationships/hyperlink" Target="https://twitter.com/talumbau" TargetMode="External"/><Relationship Id="rId8035" Type="http://schemas.openxmlformats.org/officeDocument/2006/relationships/hyperlink" Target="https://twitter.com/OpenDreamKit/status/703218881243062272" TargetMode="External"/><Relationship Id="rId8034" Type="http://schemas.openxmlformats.org/officeDocument/2006/relationships/hyperlink" Target="https://twitter.com/OpenDreamKit" TargetMode="External"/><Relationship Id="rId9360" Type="http://schemas.openxmlformats.org/officeDocument/2006/relationships/hyperlink" Target="https://twitter.com/importpython" TargetMode="External"/><Relationship Id="rId8033" Type="http://schemas.openxmlformats.org/officeDocument/2006/relationships/hyperlink" Target="https://pbs.twimg.com/profile_images/476039653405900801/pa5Uuh76_normal.png" TargetMode="External"/><Relationship Id="rId9361" Type="http://schemas.openxmlformats.org/officeDocument/2006/relationships/hyperlink" Target="https://twitter.com/importpython/status/703272839965585408" TargetMode="External"/><Relationship Id="rId8032" Type="http://schemas.openxmlformats.org/officeDocument/2006/relationships/hyperlink" Target="https://twitter.com/GinnyGhezzo/status/703218335266246656" TargetMode="External"/><Relationship Id="rId9362" Type="http://schemas.openxmlformats.org/officeDocument/2006/relationships/hyperlink" Target="https://pbs.twimg.com/profile_images/518108253121552384/ClpFqPbX_normal.png" TargetMode="External"/><Relationship Id="rId8039" Type="http://schemas.openxmlformats.org/officeDocument/2006/relationships/hyperlink" Target="https://pbs.twimg.com/profile_images/551289942/GKLogoRGB1440x1080_normal.jpg" TargetMode="External"/><Relationship Id="rId8038" Type="http://schemas.openxmlformats.org/officeDocument/2006/relationships/hyperlink" Target="https://twitter.com/GKIreland/status/703218930492510208" TargetMode="External"/><Relationship Id="rId8037" Type="http://schemas.openxmlformats.org/officeDocument/2006/relationships/hyperlink" Target="https://twitter.com/GKIreland" TargetMode="External"/><Relationship Id="rId8036" Type="http://schemas.openxmlformats.org/officeDocument/2006/relationships/hyperlink" Target="https://pbs.twimg.com/profile_images/601118114802053120/pxwU1W12_normal.png" TargetMode="External"/><Relationship Id="rId9367" Type="http://schemas.openxmlformats.org/officeDocument/2006/relationships/hyperlink" Target="https://twitter.com/talumbau/status/703273036380659712" TargetMode="External"/><Relationship Id="rId9368" Type="http://schemas.openxmlformats.org/officeDocument/2006/relationships/hyperlink" Target="https://pbs.twimg.com/profile_images/2032707018/headdown2_normal.jpg" TargetMode="External"/><Relationship Id="rId9369" Type="http://schemas.openxmlformats.org/officeDocument/2006/relationships/hyperlink" Target="https://twitter.com/webdevers" TargetMode="External"/><Relationship Id="rId8071" Type="http://schemas.openxmlformats.org/officeDocument/2006/relationships/hyperlink" Target="https://twitter.com/Workshapeio_bot/status/703220701596094464" TargetMode="External"/><Relationship Id="rId8070" Type="http://schemas.openxmlformats.org/officeDocument/2006/relationships/hyperlink" Target="https://twitter.com/Workshapeio_bot" TargetMode="External"/><Relationship Id="rId8064" Type="http://schemas.openxmlformats.org/officeDocument/2006/relationships/hyperlink" Target="https://twitter.com/Workshapeio_bot" TargetMode="External"/><Relationship Id="rId9396" Type="http://schemas.openxmlformats.org/officeDocument/2006/relationships/hyperlink" Target="https://twitter.com/webdevers" TargetMode="External"/><Relationship Id="rId8063" Type="http://schemas.openxmlformats.org/officeDocument/2006/relationships/hyperlink" Target="https://pbs.twimg.com/profile_images/572091631055028224/Pkx__FSB_normal.png" TargetMode="External"/><Relationship Id="rId9397" Type="http://schemas.openxmlformats.org/officeDocument/2006/relationships/hyperlink" Target="https://twitter.com/webdevers/status/703273266773782528" TargetMode="External"/><Relationship Id="rId8062" Type="http://schemas.openxmlformats.org/officeDocument/2006/relationships/hyperlink" Target="https://twitter.com/cool_python/status/703219830049083392" TargetMode="External"/><Relationship Id="rId9398" Type="http://schemas.openxmlformats.org/officeDocument/2006/relationships/hyperlink" Target="https://pbs.twimg.com/profile_images/3759253863/86267077ca21c75710f9fcc99f83d2f5_normal.jpeg" TargetMode="External"/><Relationship Id="rId8061" Type="http://schemas.openxmlformats.org/officeDocument/2006/relationships/hyperlink" Target="https://twitter.com/cool_python" TargetMode="External"/><Relationship Id="rId9399" Type="http://schemas.openxmlformats.org/officeDocument/2006/relationships/hyperlink" Target="https://twitter.com/webdevers" TargetMode="External"/><Relationship Id="rId8068" Type="http://schemas.openxmlformats.org/officeDocument/2006/relationships/hyperlink" Target="https://twitter.com/chrisftaylor/status/703220675654389760" TargetMode="External"/><Relationship Id="rId9392" Type="http://schemas.openxmlformats.org/officeDocument/2006/relationships/hyperlink" Target="https://pbs.twimg.com/profile_images/572368103808315392/HNG_LA-A_normal.jpeg" TargetMode="External"/><Relationship Id="rId8067" Type="http://schemas.openxmlformats.org/officeDocument/2006/relationships/hyperlink" Target="https://twitter.com/chrisftaylor" TargetMode="External"/><Relationship Id="rId9393" Type="http://schemas.openxmlformats.org/officeDocument/2006/relationships/hyperlink" Target="https://twitter.com/webdevers" TargetMode="External"/><Relationship Id="rId8066" Type="http://schemas.openxmlformats.org/officeDocument/2006/relationships/hyperlink" Target="https://pbs.twimg.com/profile_images/597807721610608640/xUzXxkoR_normal.png" TargetMode="External"/><Relationship Id="rId9394" Type="http://schemas.openxmlformats.org/officeDocument/2006/relationships/hyperlink" Target="https://twitter.com/webdevers/status/703273252093693952" TargetMode="External"/><Relationship Id="rId8065" Type="http://schemas.openxmlformats.org/officeDocument/2006/relationships/hyperlink" Target="https://twitter.com/Workshapeio_bot/status/703220629416353793" TargetMode="External"/><Relationship Id="rId9395" Type="http://schemas.openxmlformats.org/officeDocument/2006/relationships/hyperlink" Target="https://pbs.twimg.com/profile_images/3759253863/86267077ca21c75710f9fcc99f83d2f5_normal.jpeg" TargetMode="External"/><Relationship Id="rId8069" Type="http://schemas.openxmlformats.org/officeDocument/2006/relationships/hyperlink" Target="https://pbs.twimg.com/profile_images/687953389662126080/Gxd9YC6g_normal.png" TargetMode="External"/><Relationship Id="rId9390" Type="http://schemas.openxmlformats.org/officeDocument/2006/relationships/hyperlink" Target="https://twitter.com/Playanplay" TargetMode="External"/><Relationship Id="rId9391" Type="http://schemas.openxmlformats.org/officeDocument/2006/relationships/hyperlink" Target="https://twitter.com/Playanplay/status/703273237854158849" TargetMode="External"/><Relationship Id="rId8060" Type="http://schemas.openxmlformats.org/officeDocument/2006/relationships/hyperlink" Target="https://pbs.twimg.com/profile_images/572091631055028224/Pkx__FSB_normal.png" TargetMode="External"/><Relationship Id="rId8053" Type="http://schemas.openxmlformats.org/officeDocument/2006/relationships/hyperlink" Target="https://twitter.com/wcmckeedotcom/status/703219680459268101" TargetMode="External"/><Relationship Id="rId9385" Type="http://schemas.openxmlformats.org/officeDocument/2006/relationships/hyperlink" Target="https://twitter.com/icodeinschool/status/703273192077529088" TargetMode="External"/><Relationship Id="rId8052" Type="http://schemas.openxmlformats.org/officeDocument/2006/relationships/hyperlink" Target="https://twitter.com/wcmckeedotcom" TargetMode="External"/><Relationship Id="rId9386" Type="http://schemas.openxmlformats.org/officeDocument/2006/relationships/hyperlink" Target="https://pbs.twimg.com/profile_images/570692319293087744/pBdghHl5_normal.png" TargetMode="External"/><Relationship Id="rId8051" Type="http://schemas.openxmlformats.org/officeDocument/2006/relationships/hyperlink" Target="https://pbs.twimg.com/profile_images/1602211998/image1_normal.jpg" TargetMode="External"/><Relationship Id="rId9387" Type="http://schemas.openxmlformats.org/officeDocument/2006/relationships/hyperlink" Target="https://twitter.com/Rischdl_Spies" TargetMode="External"/><Relationship Id="rId8050" Type="http://schemas.openxmlformats.org/officeDocument/2006/relationships/hyperlink" Target="https://twitter.com/asirikuy/status/703219276551835649" TargetMode="External"/><Relationship Id="rId9388" Type="http://schemas.openxmlformats.org/officeDocument/2006/relationships/hyperlink" Target="https://twitter.com/Rischdl_Spies/status/703273206136840193" TargetMode="External"/><Relationship Id="rId8057" Type="http://schemas.openxmlformats.org/officeDocument/2006/relationships/hyperlink" Target="https://pbs.twimg.com/profile_images/2242692076/alberteinsteintongue_normal.jpg" TargetMode="External"/><Relationship Id="rId9381" Type="http://schemas.openxmlformats.org/officeDocument/2006/relationships/hyperlink" Target="https://twitter.com/AdamSmitht1" TargetMode="External"/><Relationship Id="rId8056" Type="http://schemas.openxmlformats.org/officeDocument/2006/relationships/hyperlink" Target="https://twitter.com/nicocoetzee1/status/703219714739326976" TargetMode="External"/><Relationship Id="rId9382" Type="http://schemas.openxmlformats.org/officeDocument/2006/relationships/hyperlink" Target="https://twitter.com/AdamSmitht1/status/703273156480466945" TargetMode="External"/><Relationship Id="rId8055" Type="http://schemas.openxmlformats.org/officeDocument/2006/relationships/hyperlink" Target="https://twitter.com/nicocoetzee1" TargetMode="External"/><Relationship Id="rId9383" Type="http://schemas.openxmlformats.org/officeDocument/2006/relationships/hyperlink" Target="https://pbs.twimg.com/profile_images/671623862916812800/yGsDKiP4_normal.jpg" TargetMode="External"/><Relationship Id="rId8054" Type="http://schemas.openxmlformats.org/officeDocument/2006/relationships/hyperlink" Target="https://pbs.twimg.com/profile_images/621211385746161664/tGchJstD_normal.jpg" TargetMode="External"/><Relationship Id="rId9384" Type="http://schemas.openxmlformats.org/officeDocument/2006/relationships/hyperlink" Target="https://twitter.com/icodeinschool" TargetMode="External"/><Relationship Id="rId8059" Type="http://schemas.openxmlformats.org/officeDocument/2006/relationships/hyperlink" Target="https://twitter.com/cool_python/status/703219828782456832" TargetMode="External"/><Relationship Id="rId8058" Type="http://schemas.openxmlformats.org/officeDocument/2006/relationships/hyperlink" Target="https://twitter.com/cool_python" TargetMode="External"/><Relationship Id="rId9389" Type="http://schemas.openxmlformats.org/officeDocument/2006/relationships/hyperlink" Target="https://pbs.twimg.com/profile_images/646248790056300545/hpNaH7aI_normal.jpg" TargetMode="External"/><Relationship Id="rId3238" Type="http://schemas.openxmlformats.org/officeDocument/2006/relationships/hyperlink" Target="https://pbs.twimg.com/profile_images/2813636657/599521f69e2bc210a57323b64d8e39e6_normal.jpeg" TargetMode="External"/><Relationship Id="rId4569" Type="http://schemas.openxmlformats.org/officeDocument/2006/relationships/hyperlink" Target="https://twitter.com/farashod/status/703000972843474944" TargetMode="External"/><Relationship Id="rId3237" Type="http://schemas.openxmlformats.org/officeDocument/2006/relationships/hyperlink" Target="http://dlvr.it" TargetMode="External"/><Relationship Id="rId4568" Type="http://schemas.openxmlformats.org/officeDocument/2006/relationships/hyperlink" Target="https://twitter.com/farashod" TargetMode="External"/><Relationship Id="rId5899" Type="http://schemas.openxmlformats.org/officeDocument/2006/relationships/hyperlink" Target="https://pbs.twimg.com/profile_images/2813636657/599521f69e2bc210a57323b64d8e39e6_normal.jpeg" TargetMode="External"/><Relationship Id="rId3239" Type="http://schemas.openxmlformats.org/officeDocument/2006/relationships/hyperlink" Target="https://twitter.com/artwisanggeni" TargetMode="External"/><Relationship Id="rId5890" Type="http://schemas.openxmlformats.org/officeDocument/2006/relationships/hyperlink" Target="http://dlvr.it" TargetMode="External"/><Relationship Id="rId3230" Type="http://schemas.openxmlformats.org/officeDocument/2006/relationships/hyperlink" Target="https://pbs.twimg.com/profile_images/2813636657/599521f69e2bc210a57323b64d8e39e6_normal.jpeg" TargetMode="External"/><Relationship Id="rId4561" Type="http://schemas.openxmlformats.org/officeDocument/2006/relationships/hyperlink" Target="https://pbs.twimg.com/profile_images/525376074633334784/f5Nx-tIC_normal.jpeg" TargetMode="External"/><Relationship Id="rId5893" Type="http://schemas.openxmlformats.org/officeDocument/2006/relationships/hyperlink" Target="https://twitter.com/artwisanggeni/status/703085783368863744" TargetMode="External"/><Relationship Id="rId4560" Type="http://schemas.openxmlformats.org/officeDocument/2006/relationships/hyperlink" Target="http://dlvr.it" TargetMode="External"/><Relationship Id="rId5894" Type="http://schemas.openxmlformats.org/officeDocument/2006/relationships/hyperlink" Target="http://dlvr.it" TargetMode="External"/><Relationship Id="rId3232" Type="http://schemas.openxmlformats.org/officeDocument/2006/relationships/hyperlink" Target="https://twitter.com/artwisanggeni/status/702938795948113920" TargetMode="External"/><Relationship Id="rId4563" Type="http://schemas.openxmlformats.org/officeDocument/2006/relationships/hyperlink" Target="https://twitter.com/7light7blue/status/703000970788208641" TargetMode="External"/><Relationship Id="rId5891" Type="http://schemas.openxmlformats.org/officeDocument/2006/relationships/hyperlink" Target="https://pbs.twimg.com/profile_images/2813636657/599521f69e2bc210a57323b64d8e39e6_normal.jpeg" TargetMode="External"/><Relationship Id="rId3231" Type="http://schemas.openxmlformats.org/officeDocument/2006/relationships/hyperlink" Target="https://twitter.com/artwisanggeni" TargetMode="External"/><Relationship Id="rId4562" Type="http://schemas.openxmlformats.org/officeDocument/2006/relationships/hyperlink" Target="https://twitter.com/7light7blue" TargetMode="External"/><Relationship Id="rId5892" Type="http://schemas.openxmlformats.org/officeDocument/2006/relationships/hyperlink" Target="https://twitter.com/artwisanggeni" TargetMode="External"/><Relationship Id="rId3234" Type="http://schemas.openxmlformats.org/officeDocument/2006/relationships/hyperlink" Target="https://pbs.twimg.com/profile_images/2813636657/599521f69e2bc210a57323b64d8e39e6_normal.jpeg" TargetMode="External"/><Relationship Id="rId4565" Type="http://schemas.openxmlformats.org/officeDocument/2006/relationships/hyperlink" Target="https://twitter.com/Gamificationir" TargetMode="External"/><Relationship Id="rId5897" Type="http://schemas.openxmlformats.org/officeDocument/2006/relationships/hyperlink" Target="https://twitter.com/artwisanggeni/status/703085787051503617" TargetMode="External"/><Relationship Id="rId3233" Type="http://schemas.openxmlformats.org/officeDocument/2006/relationships/hyperlink" Target="http://dlvr.it" TargetMode="External"/><Relationship Id="rId4564" Type="http://schemas.openxmlformats.org/officeDocument/2006/relationships/hyperlink" Target="https://pbs.twimg.com/profile_images/629304662051549184/UaWSbb_Y_normal.jpg" TargetMode="External"/><Relationship Id="rId5898" Type="http://schemas.openxmlformats.org/officeDocument/2006/relationships/hyperlink" Target="http://dlvr.it" TargetMode="External"/><Relationship Id="rId3236" Type="http://schemas.openxmlformats.org/officeDocument/2006/relationships/hyperlink" Target="https://twitter.com/artwisanggeni/status/702938798951260160" TargetMode="External"/><Relationship Id="rId4567" Type="http://schemas.openxmlformats.org/officeDocument/2006/relationships/hyperlink" Target="https://pbs.twimg.com/profile_images/483888935991390208/Z-dZgLn-_normal.jpeg" TargetMode="External"/><Relationship Id="rId5895" Type="http://schemas.openxmlformats.org/officeDocument/2006/relationships/hyperlink" Target="https://pbs.twimg.com/profile_images/2813636657/599521f69e2bc210a57323b64d8e39e6_normal.jpeg" TargetMode="External"/><Relationship Id="rId3235" Type="http://schemas.openxmlformats.org/officeDocument/2006/relationships/hyperlink" Target="https://twitter.com/artwisanggeni" TargetMode="External"/><Relationship Id="rId4566" Type="http://schemas.openxmlformats.org/officeDocument/2006/relationships/hyperlink" Target="https://twitter.com/Gamificationir/status/703000972008800257" TargetMode="External"/><Relationship Id="rId5896" Type="http://schemas.openxmlformats.org/officeDocument/2006/relationships/hyperlink" Target="https://twitter.com/artwisanggeni" TargetMode="External"/><Relationship Id="rId3227" Type="http://schemas.openxmlformats.org/officeDocument/2006/relationships/hyperlink" Target="https://twitter.com/artwisanggeni" TargetMode="External"/><Relationship Id="rId4558" Type="http://schemas.openxmlformats.org/officeDocument/2006/relationships/hyperlink" Target="https://twitter.com/freyduni" TargetMode="External"/><Relationship Id="rId3226" Type="http://schemas.openxmlformats.org/officeDocument/2006/relationships/hyperlink" Target="https://pbs.twimg.com/profile_images/2813636657/599521f69e2bc210a57323b64d8e39e6_normal.jpeg" TargetMode="External"/><Relationship Id="rId4557" Type="http://schemas.openxmlformats.org/officeDocument/2006/relationships/hyperlink" Target="https://pbs.twimg.com/profile_images/626083612459462657/P_fICj8M_normal.jpg" TargetMode="External"/><Relationship Id="rId3229" Type="http://schemas.openxmlformats.org/officeDocument/2006/relationships/hyperlink" Target="http://dlvr.it" TargetMode="External"/><Relationship Id="rId5888" Type="http://schemas.openxmlformats.org/officeDocument/2006/relationships/hyperlink" Target="https://twitter.com/artwisanggeni" TargetMode="External"/><Relationship Id="rId3228" Type="http://schemas.openxmlformats.org/officeDocument/2006/relationships/hyperlink" Target="https://twitter.com/artwisanggeni/status/702938793251196928" TargetMode="External"/><Relationship Id="rId4559" Type="http://schemas.openxmlformats.org/officeDocument/2006/relationships/hyperlink" Target="https://twitter.com/freyduni/status/703000815061979136" TargetMode="External"/><Relationship Id="rId5889" Type="http://schemas.openxmlformats.org/officeDocument/2006/relationships/hyperlink" Target="https://twitter.com/artwisanggeni/status/703085779761831937" TargetMode="External"/><Relationship Id="rId4550" Type="http://schemas.openxmlformats.org/officeDocument/2006/relationships/hyperlink" Target="https://twitter.com/AdamSmitht1/status/703000421175062528" TargetMode="External"/><Relationship Id="rId5882" Type="http://schemas.openxmlformats.org/officeDocument/2006/relationships/hyperlink" Target="http://dlvr.it" TargetMode="External"/><Relationship Id="rId5883" Type="http://schemas.openxmlformats.org/officeDocument/2006/relationships/hyperlink" Target="https://pbs.twimg.com/profile_images/2813636657/599521f69e2bc210a57323b64d8e39e6_normal.jpeg" TargetMode="External"/><Relationship Id="rId3221" Type="http://schemas.openxmlformats.org/officeDocument/2006/relationships/hyperlink" Target="http://dlvr.it" TargetMode="External"/><Relationship Id="rId4552" Type="http://schemas.openxmlformats.org/officeDocument/2006/relationships/hyperlink" Target="https://twitter.com/startechwall" TargetMode="External"/><Relationship Id="rId5880" Type="http://schemas.openxmlformats.org/officeDocument/2006/relationships/hyperlink" Target="https://twitter.com/artwisanggeni" TargetMode="External"/><Relationship Id="rId3220" Type="http://schemas.openxmlformats.org/officeDocument/2006/relationships/hyperlink" Target="https://twitter.com/artwisanggeni/status/702938787400134656" TargetMode="External"/><Relationship Id="rId4551" Type="http://schemas.openxmlformats.org/officeDocument/2006/relationships/hyperlink" Target="https://pbs.twimg.com/profile_images/671623862916812800/yGsDKiP4_normal.jpg" TargetMode="External"/><Relationship Id="rId5881" Type="http://schemas.openxmlformats.org/officeDocument/2006/relationships/hyperlink" Target="https://twitter.com/artwisanggeni/status/703085772027486208" TargetMode="External"/><Relationship Id="rId3223" Type="http://schemas.openxmlformats.org/officeDocument/2006/relationships/hyperlink" Target="https://twitter.com/artwisanggeni" TargetMode="External"/><Relationship Id="rId4554" Type="http://schemas.openxmlformats.org/officeDocument/2006/relationships/hyperlink" Target="https://pbs.twimg.com/profile_images/679566117187145728/UUo30Zpm_normal.jpg" TargetMode="External"/><Relationship Id="rId5886" Type="http://schemas.openxmlformats.org/officeDocument/2006/relationships/hyperlink" Target="http://dlvr.it" TargetMode="External"/><Relationship Id="rId3222" Type="http://schemas.openxmlformats.org/officeDocument/2006/relationships/hyperlink" Target="https://pbs.twimg.com/profile_images/2813636657/599521f69e2bc210a57323b64d8e39e6_normal.jpeg" TargetMode="External"/><Relationship Id="rId4553" Type="http://schemas.openxmlformats.org/officeDocument/2006/relationships/hyperlink" Target="https://twitter.com/startechwall/status/703000673735086081" TargetMode="External"/><Relationship Id="rId5887" Type="http://schemas.openxmlformats.org/officeDocument/2006/relationships/hyperlink" Target="https://pbs.twimg.com/profile_images/2813636657/599521f69e2bc210a57323b64d8e39e6_normal.jpeg" TargetMode="External"/><Relationship Id="rId3225" Type="http://schemas.openxmlformats.org/officeDocument/2006/relationships/hyperlink" Target="http://dlvr.it" TargetMode="External"/><Relationship Id="rId4556" Type="http://schemas.openxmlformats.org/officeDocument/2006/relationships/hyperlink" Target="https://twitter.com/amuellerml/status/703000722682425344" TargetMode="External"/><Relationship Id="rId5884" Type="http://schemas.openxmlformats.org/officeDocument/2006/relationships/hyperlink" Target="https://twitter.com/artwisanggeni" TargetMode="External"/><Relationship Id="rId3224" Type="http://schemas.openxmlformats.org/officeDocument/2006/relationships/hyperlink" Target="https://twitter.com/artwisanggeni/status/702938790558433280" TargetMode="External"/><Relationship Id="rId4555" Type="http://schemas.openxmlformats.org/officeDocument/2006/relationships/hyperlink" Target="https://twitter.com/amuellerml" TargetMode="External"/><Relationship Id="rId5885" Type="http://schemas.openxmlformats.org/officeDocument/2006/relationships/hyperlink" Target="https://twitter.com/artwisanggeni/status/703085776448258048" TargetMode="External"/><Relationship Id="rId3259" Type="http://schemas.openxmlformats.org/officeDocument/2006/relationships/hyperlink" Target="https://twitter.com/ConnectionsNY" TargetMode="External"/><Relationship Id="rId3250" Type="http://schemas.openxmlformats.org/officeDocument/2006/relationships/hyperlink" Target="https://twitter.com/googletricks19" TargetMode="External"/><Relationship Id="rId4581" Type="http://schemas.openxmlformats.org/officeDocument/2006/relationships/hyperlink" Target="https://twitter.com/wcmckeedotcom/status/703004115102732288" TargetMode="External"/><Relationship Id="rId4580" Type="http://schemas.openxmlformats.org/officeDocument/2006/relationships/hyperlink" Target="https://twitter.com/wcmckeedotcom" TargetMode="External"/><Relationship Id="rId3252" Type="http://schemas.openxmlformats.org/officeDocument/2006/relationships/hyperlink" Target="https://pbs.twimg.com/profile_images/578098320159051776/fZw6-_AW_normal.png" TargetMode="External"/><Relationship Id="rId4583" Type="http://schemas.openxmlformats.org/officeDocument/2006/relationships/hyperlink" Target="https://twitter.com/ateixei" TargetMode="External"/><Relationship Id="rId3251" Type="http://schemas.openxmlformats.org/officeDocument/2006/relationships/hyperlink" Target="https://twitter.com/googletricks19/status/702938875044470785" TargetMode="External"/><Relationship Id="rId4582" Type="http://schemas.openxmlformats.org/officeDocument/2006/relationships/hyperlink" Target="https://pbs.twimg.com/profile_images/621211385746161664/tGchJstD_normal.jpg" TargetMode="External"/><Relationship Id="rId3254" Type="http://schemas.openxmlformats.org/officeDocument/2006/relationships/hyperlink" Target="https://twitter.com/hanoverrec/status/702938878311673856" TargetMode="External"/><Relationship Id="rId4585" Type="http://schemas.openxmlformats.org/officeDocument/2006/relationships/hyperlink" Target="https://pbs.twimg.com/profile_images/694429076531060737/8qtztFgt_normal.jpg" TargetMode="External"/><Relationship Id="rId3253" Type="http://schemas.openxmlformats.org/officeDocument/2006/relationships/hyperlink" Target="https://twitter.com/hanoverrec" TargetMode="External"/><Relationship Id="rId4584" Type="http://schemas.openxmlformats.org/officeDocument/2006/relationships/hyperlink" Target="https://twitter.com/ateixei/status/703005219366375424" TargetMode="External"/><Relationship Id="rId3256" Type="http://schemas.openxmlformats.org/officeDocument/2006/relationships/hyperlink" Target="https://twitter.com/NYC_TechEvents" TargetMode="External"/><Relationship Id="rId4587" Type="http://schemas.openxmlformats.org/officeDocument/2006/relationships/hyperlink" Target="https://twitter.com/kumamoto_eiji/status/703006380584779777" TargetMode="External"/><Relationship Id="rId3255" Type="http://schemas.openxmlformats.org/officeDocument/2006/relationships/hyperlink" Target="https://pbs.twimg.com/profile_images/553107281680666624/zA3r8tFm_normal.jpeg" TargetMode="External"/><Relationship Id="rId4586" Type="http://schemas.openxmlformats.org/officeDocument/2006/relationships/hyperlink" Target="https://twitter.com/kumamoto_eiji" TargetMode="External"/><Relationship Id="rId3258" Type="http://schemas.openxmlformats.org/officeDocument/2006/relationships/hyperlink" Target="https://pbs.twimg.com/profile_images/698639359512195072/nmORkXm9_normal.png" TargetMode="External"/><Relationship Id="rId4589" Type="http://schemas.openxmlformats.org/officeDocument/2006/relationships/hyperlink" Target="https://twitter.com/chakapokochin" TargetMode="External"/><Relationship Id="rId3257" Type="http://schemas.openxmlformats.org/officeDocument/2006/relationships/hyperlink" Target="https://twitter.com/NYC_TechEvents/status/702938903532142593" TargetMode="External"/><Relationship Id="rId4588" Type="http://schemas.openxmlformats.org/officeDocument/2006/relationships/hyperlink" Target="https://pbs.twimg.com/profile_images/689875351753879556/aqRfMsZk_normal.jpg" TargetMode="External"/><Relationship Id="rId3249" Type="http://schemas.openxmlformats.org/officeDocument/2006/relationships/hyperlink" Target="https://pbs.twimg.com/profile_images/729742252/asolntsev-avatar_normal.jpg" TargetMode="External"/><Relationship Id="rId3248" Type="http://schemas.openxmlformats.org/officeDocument/2006/relationships/hyperlink" Target="https://twitter.com/asolntsev/status/702938864781017088" TargetMode="External"/><Relationship Id="rId4579" Type="http://schemas.openxmlformats.org/officeDocument/2006/relationships/hyperlink" Target="https://pbs.twimg.com/profile_images/663810851900661760/waiIpYCV_normal.jpg" TargetMode="External"/><Relationship Id="rId4570" Type="http://schemas.openxmlformats.org/officeDocument/2006/relationships/hyperlink" Target="https://pbs.twimg.com/profile_images/378800000669383744/58af2acd445efe4c3c7eec73818e002c_normal.png" TargetMode="External"/><Relationship Id="rId3241" Type="http://schemas.openxmlformats.org/officeDocument/2006/relationships/hyperlink" Target="http://dlvr.it" TargetMode="External"/><Relationship Id="rId4572" Type="http://schemas.openxmlformats.org/officeDocument/2006/relationships/hyperlink" Target="https://twitter.com/art_control/status/703001801763786754" TargetMode="External"/><Relationship Id="rId3240" Type="http://schemas.openxmlformats.org/officeDocument/2006/relationships/hyperlink" Target="https://twitter.com/artwisanggeni/status/702938801706905600" TargetMode="External"/><Relationship Id="rId4571" Type="http://schemas.openxmlformats.org/officeDocument/2006/relationships/hyperlink" Target="https://twitter.com/art_control" TargetMode="External"/><Relationship Id="rId3243" Type="http://schemas.openxmlformats.org/officeDocument/2006/relationships/hyperlink" Target="https://twitter.com/artwisanggeni" TargetMode="External"/><Relationship Id="rId4574" Type="http://schemas.openxmlformats.org/officeDocument/2006/relationships/hyperlink" Target="https://twitter.com/javascriptd" TargetMode="External"/><Relationship Id="rId3242" Type="http://schemas.openxmlformats.org/officeDocument/2006/relationships/hyperlink" Target="https://pbs.twimg.com/profile_images/2813636657/599521f69e2bc210a57323b64d8e39e6_normal.jpeg" TargetMode="External"/><Relationship Id="rId4573" Type="http://schemas.openxmlformats.org/officeDocument/2006/relationships/hyperlink" Target="https://pbs.twimg.com/profile_images/649004216690675712/UAcrP6ol_normal.png" TargetMode="External"/><Relationship Id="rId3245" Type="http://schemas.openxmlformats.org/officeDocument/2006/relationships/hyperlink" Target="http://dlvr.it" TargetMode="External"/><Relationship Id="rId4576" Type="http://schemas.openxmlformats.org/officeDocument/2006/relationships/hyperlink" Target="https://pbs.twimg.com/profile_images/544034757730779136/-jOL7GnN_normal.jpeg" TargetMode="External"/><Relationship Id="rId3244" Type="http://schemas.openxmlformats.org/officeDocument/2006/relationships/hyperlink" Target="https://twitter.com/artwisanggeni/status/702938804361961472" TargetMode="External"/><Relationship Id="rId4575" Type="http://schemas.openxmlformats.org/officeDocument/2006/relationships/hyperlink" Target="https://twitter.com/javascriptd/status/703003458069098496" TargetMode="External"/><Relationship Id="rId3247" Type="http://schemas.openxmlformats.org/officeDocument/2006/relationships/hyperlink" Target="https://twitter.com/asolntsev" TargetMode="External"/><Relationship Id="rId4578" Type="http://schemas.openxmlformats.org/officeDocument/2006/relationships/hyperlink" Target="https://twitter.com/stummjr/status/703004000506003456" TargetMode="External"/><Relationship Id="rId3246" Type="http://schemas.openxmlformats.org/officeDocument/2006/relationships/hyperlink" Target="https://pbs.twimg.com/profile_images/2813636657/599521f69e2bc210a57323b64d8e39e6_normal.jpeg" TargetMode="External"/><Relationship Id="rId4577" Type="http://schemas.openxmlformats.org/officeDocument/2006/relationships/hyperlink" Target="https://twitter.com/stummjr" TargetMode="External"/><Relationship Id="rId4525" Type="http://schemas.openxmlformats.org/officeDocument/2006/relationships/hyperlink" Target="https://twitter.com/cool_python" TargetMode="External"/><Relationship Id="rId5857" Type="http://schemas.openxmlformats.org/officeDocument/2006/relationships/hyperlink" Target="https://pbs.twimg.com/profile_images/565491024756088832/ZxeiX3oF_normal.jpeg" TargetMode="External"/><Relationship Id="rId4524" Type="http://schemas.openxmlformats.org/officeDocument/2006/relationships/hyperlink" Target="https://pbs.twimg.com/profile_images/2474433856/p075cerxh0arpea6ceip_normal.png" TargetMode="External"/><Relationship Id="rId5858" Type="http://schemas.openxmlformats.org/officeDocument/2006/relationships/hyperlink" Target="https://twitter.com/kalpataru123" TargetMode="External"/><Relationship Id="rId4527" Type="http://schemas.openxmlformats.org/officeDocument/2006/relationships/hyperlink" Target="https://pbs.twimg.com/profile_images/572091631055028224/Pkx__FSB_normal.png" TargetMode="External"/><Relationship Id="rId5855" Type="http://schemas.openxmlformats.org/officeDocument/2006/relationships/hyperlink" Target="https://twitter.com/TheOrbifold" TargetMode="External"/><Relationship Id="rId4526" Type="http://schemas.openxmlformats.org/officeDocument/2006/relationships/hyperlink" Target="https://twitter.com/cool_python/status/702997968916488193" TargetMode="External"/><Relationship Id="rId5856" Type="http://schemas.openxmlformats.org/officeDocument/2006/relationships/hyperlink" Target="https://twitter.com/TheOrbifold/status/703081207739916288" TargetMode="External"/><Relationship Id="rId4529" Type="http://schemas.openxmlformats.org/officeDocument/2006/relationships/hyperlink" Target="https://twitter.com/EricSchles/status/702998608552050688" TargetMode="External"/><Relationship Id="rId4528" Type="http://schemas.openxmlformats.org/officeDocument/2006/relationships/hyperlink" Target="https://twitter.com/EricSchles" TargetMode="External"/><Relationship Id="rId5859" Type="http://schemas.openxmlformats.org/officeDocument/2006/relationships/hyperlink" Target="https://twitter.com/kalpataru123/status/703082217774432256" TargetMode="External"/><Relationship Id="rId5850" Type="http://schemas.openxmlformats.org/officeDocument/2006/relationships/hyperlink" Target="https://twitter.com/S55nu/status/703080003924152320" TargetMode="External"/><Relationship Id="rId4521" Type="http://schemas.openxmlformats.org/officeDocument/2006/relationships/hyperlink" Target="https://pbs.twimg.com/profile_images/378800000666997818/7b51b3877621e1570079874a5d327f39_normal.png" TargetMode="External"/><Relationship Id="rId5853" Type="http://schemas.openxmlformats.org/officeDocument/2006/relationships/hyperlink" Target="https://twitter.com/homeAIinfo/status/703080505529536513" TargetMode="External"/><Relationship Id="rId4520" Type="http://schemas.openxmlformats.org/officeDocument/2006/relationships/hyperlink" Target="https://twitter.com/Mythic_Beasts/status/702997151010398208" TargetMode="External"/><Relationship Id="rId5854" Type="http://schemas.openxmlformats.org/officeDocument/2006/relationships/hyperlink" Target="https://pbs.twimg.com/profile_images/645650110374936580/-oQakt8x_normal.png" TargetMode="External"/><Relationship Id="rId4523" Type="http://schemas.openxmlformats.org/officeDocument/2006/relationships/hyperlink" Target="https://twitter.com/py3k/status/702997824313626624" TargetMode="External"/><Relationship Id="rId5851" Type="http://schemas.openxmlformats.org/officeDocument/2006/relationships/hyperlink" Target="https://pbs.twimg.com/profile_images/653864387975839744/Y12QeLMA_normal.jpg" TargetMode="External"/><Relationship Id="rId4522" Type="http://schemas.openxmlformats.org/officeDocument/2006/relationships/hyperlink" Target="https://twitter.com/py3k" TargetMode="External"/><Relationship Id="rId5852" Type="http://schemas.openxmlformats.org/officeDocument/2006/relationships/hyperlink" Target="https://twitter.com/homeAIinfo" TargetMode="External"/><Relationship Id="rId4514" Type="http://schemas.openxmlformats.org/officeDocument/2006/relationships/hyperlink" Target="https://twitter.com/RealPython/status/702997077765140480" TargetMode="External"/><Relationship Id="rId5846" Type="http://schemas.openxmlformats.org/officeDocument/2006/relationships/hyperlink" Target="https://twitter.com/walkops" TargetMode="External"/><Relationship Id="rId4513" Type="http://schemas.openxmlformats.org/officeDocument/2006/relationships/hyperlink" Target="http://RealPython.com" TargetMode="External"/><Relationship Id="rId5847" Type="http://schemas.openxmlformats.org/officeDocument/2006/relationships/hyperlink" Target="https://twitter.com/walkops/status/703079781206728707" TargetMode="External"/><Relationship Id="rId4516" Type="http://schemas.openxmlformats.org/officeDocument/2006/relationships/hyperlink" Target="https://twitter.com/figure8labs" TargetMode="External"/><Relationship Id="rId5844" Type="http://schemas.openxmlformats.org/officeDocument/2006/relationships/hyperlink" Target="https://twitter.com/DebianBug/status/703079568542994432" TargetMode="External"/><Relationship Id="rId4515" Type="http://schemas.openxmlformats.org/officeDocument/2006/relationships/hyperlink" Target="https://pbs.twimg.com/profile_images/3312468366/129323224633d71286101d517a2f9817_normal.png" TargetMode="External"/><Relationship Id="rId5845" Type="http://schemas.openxmlformats.org/officeDocument/2006/relationships/hyperlink" Target="https://pbs.twimg.com/profile_images/1511085195/495353-96-20110728133130_normal.png" TargetMode="External"/><Relationship Id="rId4518" Type="http://schemas.openxmlformats.org/officeDocument/2006/relationships/hyperlink" Target="https://pbs.twimg.com/profile_images/545619628580278274/UYKvJKA3_normal.jpeg" TargetMode="External"/><Relationship Id="rId4517" Type="http://schemas.openxmlformats.org/officeDocument/2006/relationships/hyperlink" Target="https://twitter.com/figure8labs/status/702997088255217664" TargetMode="External"/><Relationship Id="rId5848" Type="http://schemas.openxmlformats.org/officeDocument/2006/relationships/hyperlink" Target="https://pbs.twimg.com/profile_images/414665160217739264/Vjqlxhz8_normal.jpeg" TargetMode="External"/><Relationship Id="rId4519" Type="http://schemas.openxmlformats.org/officeDocument/2006/relationships/hyperlink" Target="https://twitter.com/Mythic_Beasts" TargetMode="External"/><Relationship Id="rId5849" Type="http://schemas.openxmlformats.org/officeDocument/2006/relationships/hyperlink" Target="https://twitter.com/S55nu" TargetMode="External"/><Relationship Id="rId4510" Type="http://schemas.openxmlformats.org/officeDocument/2006/relationships/hyperlink" Target="https://twitter.com/PyData/status/702996774621835265" TargetMode="External"/><Relationship Id="rId5842" Type="http://schemas.openxmlformats.org/officeDocument/2006/relationships/hyperlink" Target="https://pbs.twimg.com/profile_images/700554240318541826/UEWSvcH3_normal.jpg" TargetMode="External"/><Relationship Id="rId5843" Type="http://schemas.openxmlformats.org/officeDocument/2006/relationships/hyperlink" Target="https://twitter.com/DebianBug" TargetMode="External"/><Relationship Id="rId4512" Type="http://schemas.openxmlformats.org/officeDocument/2006/relationships/hyperlink" Target="https://twitter.com/RealPython" TargetMode="External"/><Relationship Id="rId5840" Type="http://schemas.openxmlformats.org/officeDocument/2006/relationships/hyperlink" Target="https://twitter.com/VanessaPaquete" TargetMode="External"/><Relationship Id="rId4511" Type="http://schemas.openxmlformats.org/officeDocument/2006/relationships/hyperlink" Target="https://pbs.twimg.com/profile_images/2928517227/19a21be5aacc105fda1a34cfc7696888_normal.png" TargetMode="External"/><Relationship Id="rId5841" Type="http://schemas.openxmlformats.org/officeDocument/2006/relationships/hyperlink" Target="https://twitter.com/VanessaPaquete/status/703079286400532482" TargetMode="External"/><Relationship Id="rId3216" Type="http://schemas.openxmlformats.org/officeDocument/2006/relationships/hyperlink" Target="https://twitter.com/artwisanggeni/status/702938784694796288" TargetMode="External"/><Relationship Id="rId4547" Type="http://schemas.openxmlformats.org/officeDocument/2006/relationships/hyperlink" Target="https://twitter.com/homeAIinfo/status/702999851588575232" TargetMode="External"/><Relationship Id="rId5879" Type="http://schemas.openxmlformats.org/officeDocument/2006/relationships/hyperlink" Target="https://pbs.twimg.com/profile_images/2813636657/599521f69e2bc210a57323b64d8e39e6_normal.jpeg" TargetMode="External"/><Relationship Id="rId3215" Type="http://schemas.openxmlformats.org/officeDocument/2006/relationships/hyperlink" Target="https://twitter.com/artwisanggeni" TargetMode="External"/><Relationship Id="rId4546" Type="http://schemas.openxmlformats.org/officeDocument/2006/relationships/hyperlink" Target="https://twitter.com/homeAIinfo" TargetMode="External"/><Relationship Id="rId3218" Type="http://schemas.openxmlformats.org/officeDocument/2006/relationships/hyperlink" Target="https://pbs.twimg.com/profile_images/2813636657/599521f69e2bc210a57323b64d8e39e6_normal.jpeg" TargetMode="External"/><Relationship Id="rId4549" Type="http://schemas.openxmlformats.org/officeDocument/2006/relationships/hyperlink" Target="https://twitter.com/AdamSmitht1" TargetMode="External"/><Relationship Id="rId5877" Type="http://schemas.openxmlformats.org/officeDocument/2006/relationships/hyperlink" Target="https://twitter.com/artwisanggeni/status/703085767791218688" TargetMode="External"/><Relationship Id="rId3217" Type="http://schemas.openxmlformats.org/officeDocument/2006/relationships/hyperlink" Target="http://dlvr.it" TargetMode="External"/><Relationship Id="rId4548" Type="http://schemas.openxmlformats.org/officeDocument/2006/relationships/hyperlink" Target="https://pbs.twimg.com/profile_images/645650110374936580/-oQakt8x_normal.png" TargetMode="External"/><Relationship Id="rId5878" Type="http://schemas.openxmlformats.org/officeDocument/2006/relationships/hyperlink" Target="http://dlvr.it" TargetMode="External"/><Relationship Id="rId3219" Type="http://schemas.openxmlformats.org/officeDocument/2006/relationships/hyperlink" Target="https://twitter.com/artwisanggeni" TargetMode="External"/><Relationship Id="rId5871" Type="http://schemas.openxmlformats.org/officeDocument/2006/relationships/hyperlink" Target="https://twitter.com/gazosokuho/status/703084039633182720" TargetMode="External"/><Relationship Id="rId5872" Type="http://schemas.openxmlformats.org/officeDocument/2006/relationships/hyperlink" Target="https://pbs.twimg.com/profile_images/625509233379782658/NBJ5faPt_normal.jpg" TargetMode="External"/><Relationship Id="rId3210" Type="http://schemas.openxmlformats.org/officeDocument/2006/relationships/hyperlink" Target="https://pbs.twimg.com/profile_images/2813636657/599521f69e2bc210a57323b64d8e39e6_normal.jpeg" TargetMode="External"/><Relationship Id="rId4541" Type="http://schemas.openxmlformats.org/officeDocument/2006/relationships/hyperlink" Target="https://twitter.com/NeuvooTorontoCA/status/702999047876034561" TargetMode="External"/><Relationship Id="rId4540" Type="http://schemas.openxmlformats.org/officeDocument/2006/relationships/hyperlink" Target="https://twitter.com/NeuvooTorontoCA" TargetMode="External"/><Relationship Id="rId5870" Type="http://schemas.openxmlformats.org/officeDocument/2006/relationships/hyperlink" Target="https://twitter.com/gazosokuho" TargetMode="External"/><Relationship Id="rId3212" Type="http://schemas.openxmlformats.org/officeDocument/2006/relationships/hyperlink" Target="https://twitter.com/artwisanggeni/status/702938782111117312" TargetMode="External"/><Relationship Id="rId4543" Type="http://schemas.openxmlformats.org/officeDocument/2006/relationships/hyperlink" Target="https://twitter.com/GovsInfo" TargetMode="External"/><Relationship Id="rId5875" Type="http://schemas.openxmlformats.org/officeDocument/2006/relationships/hyperlink" Target="https://pbs.twimg.com/profile_images/571887267213492224/YgT4r-Fo_normal.jpeg" TargetMode="External"/><Relationship Id="rId3211" Type="http://schemas.openxmlformats.org/officeDocument/2006/relationships/hyperlink" Target="https://twitter.com/artwisanggeni" TargetMode="External"/><Relationship Id="rId4542" Type="http://schemas.openxmlformats.org/officeDocument/2006/relationships/hyperlink" Target="https://pbs.twimg.com/profile_images/701818757270863872/X9ROiq9__normal.png" TargetMode="External"/><Relationship Id="rId5876" Type="http://schemas.openxmlformats.org/officeDocument/2006/relationships/hyperlink" Target="https://twitter.com/artwisanggeni" TargetMode="External"/><Relationship Id="rId3214" Type="http://schemas.openxmlformats.org/officeDocument/2006/relationships/hyperlink" Target="https://pbs.twimg.com/profile_images/2813636657/599521f69e2bc210a57323b64d8e39e6_normal.jpeg" TargetMode="External"/><Relationship Id="rId4545" Type="http://schemas.openxmlformats.org/officeDocument/2006/relationships/hyperlink" Target="https://pbs.twimg.com/profile_images/607796949085855744/yiNwAzF__normal.jpg" TargetMode="External"/><Relationship Id="rId5873" Type="http://schemas.openxmlformats.org/officeDocument/2006/relationships/hyperlink" Target="https://twitter.com/jbueza" TargetMode="External"/><Relationship Id="rId3213" Type="http://schemas.openxmlformats.org/officeDocument/2006/relationships/hyperlink" Target="http://dlvr.it" TargetMode="External"/><Relationship Id="rId4544" Type="http://schemas.openxmlformats.org/officeDocument/2006/relationships/hyperlink" Target="https://twitter.com/GovsInfo/status/702999708680261632" TargetMode="External"/><Relationship Id="rId5874" Type="http://schemas.openxmlformats.org/officeDocument/2006/relationships/hyperlink" Target="https://twitter.com/jbueza/status/703085724845780992" TargetMode="External"/><Relationship Id="rId3205" Type="http://schemas.openxmlformats.org/officeDocument/2006/relationships/hyperlink" Target="https://twitter.com/siffolone/status/702938549419679749" TargetMode="External"/><Relationship Id="rId4536" Type="http://schemas.openxmlformats.org/officeDocument/2006/relationships/hyperlink" Target="https://pbs.twimg.com/profile_images/378800000832302106/6d27373ca42fc853aaabdf6d7d719f5f_normal.jpeg" TargetMode="External"/><Relationship Id="rId5868" Type="http://schemas.openxmlformats.org/officeDocument/2006/relationships/hyperlink" Target="https://twitter.com/startechwall/status/703083744442368000" TargetMode="External"/><Relationship Id="rId3204" Type="http://schemas.openxmlformats.org/officeDocument/2006/relationships/hyperlink" Target="https://twitter.com/siffolone" TargetMode="External"/><Relationship Id="rId4535" Type="http://schemas.openxmlformats.org/officeDocument/2006/relationships/hyperlink" Target="https://twitter.com/EricSchles/status/702998964891734016" TargetMode="External"/><Relationship Id="rId5869" Type="http://schemas.openxmlformats.org/officeDocument/2006/relationships/hyperlink" Target="https://pbs.twimg.com/profile_images/679566117187145728/UUo30Zpm_normal.jpg" TargetMode="External"/><Relationship Id="rId3207" Type="http://schemas.openxmlformats.org/officeDocument/2006/relationships/hyperlink" Target="https://twitter.com/artwisanggeni" TargetMode="External"/><Relationship Id="rId4538" Type="http://schemas.openxmlformats.org/officeDocument/2006/relationships/hyperlink" Target="https://twitter.com/FrameworksM/status/702999014992699392" TargetMode="External"/><Relationship Id="rId5866" Type="http://schemas.openxmlformats.org/officeDocument/2006/relationships/hyperlink" Target="https://pbs.twimg.com/profile_images/671623862916812800/yGsDKiP4_normal.jpg" TargetMode="External"/><Relationship Id="rId3206" Type="http://schemas.openxmlformats.org/officeDocument/2006/relationships/hyperlink" Target="https://pbs.twimg.com/profile_images/631839534846734336/yBw4IKrT_normal.jpg" TargetMode="External"/><Relationship Id="rId4537" Type="http://schemas.openxmlformats.org/officeDocument/2006/relationships/hyperlink" Target="https://twitter.com/FrameworksM" TargetMode="External"/><Relationship Id="rId5867" Type="http://schemas.openxmlformats.org/officeDocument/2006/relationships/hyperlink" Target="https://twitter.com/startechwall" TargetMode="External"/><Relationship Id="rId3209" Type="http://schemas.openxmlformats.org/officeDocument/2006/relationships/hyperlink" Target="http://dlvr.it" TargetMode="External"/><Relationship Id="rId3208" Type="http://schemas.openxmlformats.org/officeDocument/2006/relationships/hyperlink" Target="https://twitter.com/artwisanggeni/status/702938779380625408" TargetMode="External"/><Relationship Id="rId4539" Type="http://schemas.openxmlformats.org/officeDocument/2006/relationships/hyperlink" Target="https://pbs.twimg.com/profile_images/581037724787822593/wTfuZ2Sd_normal.png" TargetMode="External"/><Relationship Id="rId5860" Type="http://schemas.openxmlformats.org/officeDocument/2006/relationships/hyperlink" Target="https://pbs.twimg.com/profile_images/590172778/KB_Deori_11_normal.jpg" TargetMode="External"/><Relationship Id="rId5861" Type="http://schemas.openxmlformats.org/officeDocument/2006/relationships/hyperlink" Target="https://twitter.com/Korede_Abayomi" TargetMode="External"/><Relationship Id="rId4530" Type="http://schemas.openxmlformats.org/officeDocument/2006/relationships/hyperlink" Target="https://pbs.twimg.com/profile_images/378800000832302106/6d27373ca42fc853aaabdf6d7d719f5f_normal.jpeg" TargetMode="External"/><Relationship Id="rId3201" Type="http://schemas.openxmlformats.org/officeDocument/2006/relationships/hyperlink" Target="https://twitter.com/KnelAst" TargetMode="External"/><Relationship Id="rId4532" Type="http://schemas.openxmlformats.org/officeDocument/2006/relationships/hyperlink" Target="https://twitter.com/yutakashino/status/702998949037109249" TargetMode="External"/><Relationship Id="rId5864" Type="http://schemas.openxmlformats.org/officeDocument/2006/relationships/hyperlink" Target="https://twitter.com/AdamSmitht1" TargetMode="External"/><Relationship Id="rId3200" Type="http://schemas.openxmlformats.org/officeDocument/2006/relationships/hyperlink" Target="https://pbs.twimg.com/profile_images/643779014268579840/bRJStj7A_normal.png" TargetMode="External"/><Relationship Id="rId4531" Type="http://schemas.openxmlformats.org/officeDocument/2006/relationships/hyperlink" Target="https://twitter.com/yutakashino" TargetMode="External"/><Relationship Id="rId5865" Type="http://schemas.openxmlformats.org/officeDocument/2006/relationships/hyperlink" Target="https://twitter.com/AdamSmitht1/status/703083532680355842" TargetMode="External"/><Relationship Id="rId3203" Type="http://schemas.openxmlformats.org/officeDocument/2006/relationships/hyperlink" Target="https://pbs.twimg.com/profile_images/2329489605/image_normal.jpg" TargetMode="External"/><Relationship Id="rId4534" Type="http://schemas.openxmlformats.org/officeDocument/2006/relationships/hyperlink" Target="https://twitter.com/EricSchles" TargetMode="External"/><Relationship Id="rId5862" Type="http://schemas.openxmlformats.org/officeDocument/2006/relationships/hyperlink" Target="https://twitter.com/Korede_Abayomi/status/703082970370805760" TargetMode="External"/><Relationship Id="rId3202" Type="http://schemas.openxmlformats.org/officeDocument/2006/relationships/hyperlink" Target="https://twitter.com/KnelAst/status/702938458679971840" TargetMode="External"/><Relationship Id="rId4533" Type="http://schemas.openxmlformats.org/officeDocument/2006/relationships/hyperlink" Target="https://pbs.twimg.com/profile_images/616788330676531200/E7J1swBV_normal.jpg" TargetMode="External"/><Relationship Id="rId5863" Type="http://schemas.openxmlformats.org/officeDocument/2006/relationships/hyperlink" Target="https://pbs.twimg.com/profile_images/1177203811/PEACE_normal.jpg" TargetMode="External"/><Relationship Id="rId190" Type="http://schemas.openxmlformats.org/officeDocument/2006/relationships/hyperlink" Target="https://twitter.com/UNickels" TargetMode="External"/><Relationship Id="rId194" Type="http://schemas.openxmlformats.org/officeDocument/2006/relationships/hyperlink" Target="https://twitter.com/JoshuaLongUK/status/702783189757140992" TargetMode="External"/><Relationship Id="rId193" Type="http://schemas.openxmlformats.org/officeDocument/2006/relationships/hyperlink" Target="https://twitter.com/JoshuaLongUK" TargetMode="External"/><Relationship Id="rId192" Type="http://schemas.openxmlformats.org/officeDocument/2006/relationships/hyperlink" Target="https://pbs.twimg.com/profile_images/694979435557216257/uW1T5O0d_normal.jpg" TargetMode="External"/><Relationship Id="rId191" Type="http://schemas.openxmlformats.org/officeDocument/2006/relationships/hyperlink" Target="https://twitter.com/UNickels/status/702782522380390400" TargetMode="External"/><Relationship Id="rId187" Type="http://schemas.openxmlformats.org/officeDocument/2006/relationships/hyperlink" Target="https://twitter.com/artwisanggeni/status/702782397536825344" TargetMode="External"/><Relationship Id="rId186" Type="http://schemas.openxmlformats.org/officeDocument/2006/relationships/hyperlink" Target="https://twitter.com/artwisanggeni" TargetMode="External"/><Relationship Id="rId185" Type="http://schemas.openxmlformats.org/officeDocument/2006/relationships/hyperlink" Target="https://pbs.twimg.com/profile_images/2813636657/599521f69e2bc210a57323b64d8e39e6_normal.jpeg" TargetMode="External"/><Relationship Id="rId184" Type="http://schemas.openxmlformats.org/officeDocument/2006/relationships/hyperlink" Target="http://dlvr.it" TargetMode="External"/><Relationship Id="rId189" Type="http://schemas.openxmlformats.org/officeDocument/2006/relationships/hyperlink" Target="https://pbs.twimg.com/profile_images/2813636657/599521f69e2bc210a57323b64d8e39e6_normal.jpeg" TargetMode="External"/><Relationship Id="rId188" Type="http://schemas.openxmlformats.org/officeDocument/2006/relationships/hyperlink" Target="http://dlvr.it" TargetMode="External"/><Relationship Id="rId183" Type="http://schemas.openxmlformats.org/officeDocument/2006/relationships/hyperlink" Target="https://twitter.com/artwisanggeni/status/702782394495954944" TargetMode="External"/><Relationship Id="rId182" Type="http://schemas.openxmlformats.org/officeDocument/2006/relationships/hyperlink" Target="https://twitter.com/artwisanggeni" TargetMode="External"/><Relationship Id="rId181" Type="http://schemas.openxmlformats.org/officeDocument/2006/relationships/hyperlink" Target="https://pbs.twimg.com/profile_images/2813636657/599521f69e2bc210a57323b64d8e39e6_normal.jpeg" TargetMode="External"/><Relationship Id="rId180" Type="http://schemas.openxmlformats.org/officeDocument/2006/relationships/hyperlink" Target="http://dlvr.it" TargetMode="External"/><Relationship Id="rId176" Type="http://schemas.openxmlformats.org/officeDocument/2006/relationships/hyperlink" Target="http://dlvr.it" TargetMode="External"/><Relationship Id="rId175" Type="http://schemas.openxmlformats.org/officeDocument/2006/relationships/hyperlink" Target="https://twitter.com/artwisanggeni/status/702782387969601536" TargetMode="External"/><Relationship Id="rId174" Type="http://schemas.openxmlformats.org/officeDocument/2006/relationships/hyperlink" Target="https://twitter.com/artwisanggeni" TargetMode="External"/><Relationship Id="rId173" Type="http://schemas.openxmlformats.org/officeDocument/2006/relationships/hyperlink" Target="https://pbs.twimg.com/profile_images/2813636657/599521f69e2bc210a57323b64d8e39e6_normal.jpeg" TargetMode="External"/><Relationship Id="rId179" Type="http://schemas.openxmlformats.org/officeDocument/2006/relationships/hyperlink" Target="https://twitter.com/artwisanggeni/status/702782391383777280" TargetMode="External"/><Relationship Id="rId178" Type="http://schemas.openxmlformats.org/officeDocument/2006/relationships/hyperlink" Target="https://twitter.com/artwisanggeni" TargetMode="External"/><Relationship Id="rId177" Type="http://schemas.openxmlformats.org/officeDocument/2006/relationships/hyperlink" Target="https://pbs.twimg.com/profile_images/2813636657/599521f69e2bc210a57323b64d8e39e6_normal.jpeg" TargetMode="External"/><Relationship Id="rId198" Type="http://schemas.openxmlformats.org/officeDocument/2006/relationships/hyperlink" Target="https://pbs.twimg.com/profile_images/1610221178/recent-avigail_normal.jpg" TargetMode="External"/><Relationship Id="rId197" Type="http://schemas.openxmlformats.org/officeDocument/2006/relationships/hyperlink" Target="https://twitter.com/avifreedman/status/702783366509105152" TargetMode="External"/><Relationship Id="rId196" Type="http://schemas.openxmlformats.org/officeDocument/2006/relationships/hyperlink" Target="https://twitter.com/avifreedman" TargetMode="External"/><Relationship Id="rId195" Type="http://schemas.openxmlformats.org/officeDocument/2006/relationships/hyperlink" Target="https://pbs.twimg.com/profile_images/627996138403168256/DaASdgVr_normal.jpg" TargetMode="External"/><Relationship Id="rId199" Type="http://schemas.openxmlformats.org/officeDocument/2006/relationships/hyperlink" Target="https://twitter.com/Newskarnataka" TargetMode="External"/><Relationship Id="rId150" Type="http://schemas.openxmlformats.org/officeDocument/2006/relationships/hyperlink" Target="https://twitter.com/mthipparthi/status/702781718663532544" TargetMode="External"/><Relationship Id="rId149" Type="http://schemas.openxmlformats.org/officeDocument/2006/relationships/hyperlink" Target="https://twitter.com/mthipparthi" TargetMode="External"/><Relationship Id="rId148" Type="http://schemas.openxmlformats.org/officeDocument/2006/relationships/hyperlink" Target="https://pbs.twimg.com/profile_images/499257180009529344/CSWhr7LZ_normal.jpeg" TargetMode="External"/><Relationship Id="rId3270" Type="http://schemas.openxmlformats.org/officeDocument/2006/relationships/hyperlink" Target="https://pbs.twimg.com/profile_images/662602436222193664/qKuvsfnG_normal.jpg" TargetMode="External"/><Relationship Id="rId3272" Type="http://schemas.openxmlformats.org/officeDocument/2006/relationships/hyperlink" Target="https://twitter.com/programmingncr/status/702940024384446466" TargetMode="External"/><Relationship Id="rId3271" Type="http://schemas.openxmlformats.org/officeDocument/2006/relationships/hyperlink" Target="https://twitter.com/programmingncr" TargetMode="External"/><Relationship Id="rId143" Type="http://schemas.openxmlformats.org/officeDocument/2006/relationships/hyperlink" Target="https://twitter.com/sagarhan_i" TargetMode="External"/><Relationship Id="rId3274" Type="http://schemas.openxmlformats.org/officeDocument/2006/relationships/hyperlink" Target="https://twitter.com/RebeccaBilbro" TargetMode="External"/><Relationship Id="rId142" Type="http://schemas.openxmlformats.org/officeDocument/2006/relationships/hyperlink" Target="https://pbs.twimg.com/profile_images/451624128483577856/VZ-6izP7_normal.png" TargetMode="External"/><Relationship Id="rId3273" Type="http://schemas.openxmlformats.org/officeDocument/2006/relationships/hyperlink" Target="https://pbs.twimg.com/profile_images/662602436222193664/qKuvsfnG_normal.jpg" TargetMode="External"/><Relationship Id="rId141" Type="http://schemas.openxmlformats.org/officeDocument/2006/relationships/hyperlink" Target="https://twitter.com/indizen_corp/status/702781306825023488" TargetMode="External"/><Relationship Id="rId3276" Type="http://schemas.openxmlformats.org/officeDocument/2006/relationships/hyperlink" Target="https://pbs.twimg.com/profile_images/593206975070085122/vQuaf1KM_normal.jpg" TargetMode="External"/><Relationship Id="rId140" Type="http://schemas.openxmlformats.org/officeDocument/2006/relationships/hyperlink" Target="https://twitter.com/indizen_corp" TargetMode="External"/><Relationship Id="rId3275" Type="http://schemas.openxmlformats.org/officeDocument/2006/relationships/hyperlink" Target="https://twitter.com/RebeccaBilbro/status/702940154445565952" TargetMode="External"/><Relationship Id="rId147" Type="http://schemas.openxmlformats.org/officeDocument/2006/relationships/hyperlink" Target="https://twitter.com/NoSQLDigest/status/702781628850962432" TargetMode="External"/><Relationship Id="rId3278" Type="http://schemas.openxmlformats.org/officeDocument/2006/relationships/hyperlink" Target="https://twitter.com/IndieGameDevBot/status/702940362155945989" TargetMode="External"/><Relationship Id="rId146" Type="http://schemas.openxmlformats.org/officeDocument/2006/relationships/hyperlink" Target="https://twitter.com/NoSQLDigest" TargetMode="External"/><Relationship Id="rId3277" Type="http://schemas.openxmlformats.org/officeDocument/2006/relationships/hyperlink" Target="https://twitter.com/IndieGameDevBot" TargetMode="External"/><Relationship Id="rId145" Type="http://schemas.openxmlformats.org/officeDocument/2006/relationships/hyperlink" Target="https://pbs.twimg.com/profile_images/693179262786891776/PSGan2Hb_normal.jpg" TargetMode="External"/><Relationship Id="rId144" Type="http://schemas.openxmlformats.org/officeDocument/2006/relationships/hyperlink" Target="https://twitter.com/sagarhan_i/status/702781335958474752" TargetMode="External"/><Relationship Id="rId3279" Type="http://schemas.openxmlformats.org/officeDocument/2006/relationships/hyperlink" Target="https://pbs.twimg.com/profile_images/522536769502195712/cG1yitHo_normal.jpeg" TargetMode="External"/><Relationship Id="rId139" Type="http://schemas.openxmlformats.org/officeDocument/2006/relationships/hyperlink" Target="https://pbs.twimg.com/profile_images/470586945261686784/wtABZxRg_normal.jpeg" TargetMode="External"/><Relationship Id="rId138" Type="http://schemas.openxmlformats.org/officeDocument/2006/relationships/hyperlink" Target="https://twitter.com/burakkaracali/status/702781199467552768" TargetMode="External"/><Relationship Id="rId137" Type="http://schemas.openxmlformats.org/officeDocument/2006/relationships/hyperlink" Target="https://twitter.com/burakkaracali" TargetMode="External"/><Relationship Id="rId4590" Type="http://schemas.openxmlformats.org/officeDocument/2006/relationships/hyperlink" Target="https://twitter.com/chakapokochin/status/703006418111111168" TargetMode="External"/><Relationship Id="rId3261" Type="http://schemas.openxmlformats.org/officeDocument/2006/relationships/hyperlink" Target="https://pbs.twimg.com/profile_images/646430794391650304/jK6EaLeg_normal.jpg" TargetMode="External"/><Relationship Id="rId4592" Type="http://schemas.openxmlformats.org/officeDocument/2006/relationships/hyperlink" Target="https://twitter.com/rkedrin" TargetMode="External"/><Relationship Id="rId3260" Type="http://schemas.openxmlformats.org/officeDocument/2006/relationships/hyperlink" Target="https://twitter.com/ConnectionsNY/status/702939017348849664" TargetMode="External"/><Relationship Id="rId4591" Type="http://schemas.openxmlformats.org/officeDocument/2006/relationships/hyperlink" Target="https://pbs.twimg.com/profile_images/559294307991961600/JWetTB3J_normal.jpeg" TargetMode="External"/><Relationship Id="rId132" Type="http://schemas.openxmlformats.org/officeDocument/2006/relationships/hyperlink" Target="https://twitter.com/DengNerd/status/702780943170408448" TargetMode="External"/><Relationship Id="rId3263" Type="http://schemas.openxmlformats.org/officeDocument/2006/relationships/hyperlink" Target="https://twitter.com/jselenide/status/702939423881764864" TargetMode="External"/><Relationship Id="rId4594" Type="http://schemas.openxmlformats.org/officeDocument/2006/relationships/hyperlink" Target="https://pbs.twimg.com/profile_images/2759963854/fa0ed9dbf98a16ecee6295ac3793bc0c_normal.jpeg" TargetMode="External"/><Relationship Id="rId131" Type="http://schemas.openxmlformats.org/officeDocument/2006/relationships/hyperlink" Target="https://twitter.com/DengNerd" TargetMode="External"/><Relationship Id="rId3262" Type="http://schemas.openxmlformats.org/officeDocument/2006/relationships/hyperlink" Target="https://twitter.com/jselenide" TargetMode="External"/><Relationship Id="rId4593" Type="http://schemas.openxmlformats.org/officeDocument/2006/relationships/hyperlink" Target="https://twitter.com/rkedrin/status/703006581336764418" TargetMode="External"/><Relationship Id="rId130" Type="http://schemas.openxmlformats.org/officeDocument/2006/relationships/hyperlink" Target="https://pbs.twimg.com/profile_images/1859873928/img_Dog-and-rabbit_Thomas-SCHWEIZER_ref_150.001844.00_mode_zoom_normal.jpg" TargetMode="External"/><Relationship Id="rId3265" Type="http://schemas.openxmlformats.org/officeDocument/2006/relationships/hyperlink" Target="https://twitter.com/pfctl" TargetMode="External"/><Relationship Id="rId4596" Type="http://schemas.openxmlformats.org/officeDocument/2006/relationships/hyperlink" Target="https://twitter.com/omadson/status/703006619878166528" TargetMode="External"/><Relationship Id="rId3264" Type="http://schemas.openxmlformats.org/officeDocument/2006/relationships/hyperlink" Target="https://pbs.twimg.com/profile_images/378800000484627924/ff1d3d03ad85234b0168493123816da2_normal.png" TargetMode="External"/><Relationship Id="rId4595" Type="http://schemas.openxmlformats.org/officeDocument/2006/relationships/hyperlink" Target="https://twitter.com/omadson" TargetMode="External"/><Relationship Id="rId136" Type="http://schemas.openxmlformats.org/officeDocument/2006/relationships/hyperlink" Target="https://pbs.twimg.com/profile_images/428552027581345794/PGQHBNKX_normal.png" TargetMode="External"/><Relationship Id="rId3267" Type="http://schemas.openxmlformats.org/officeDocument/2006/relationships/hyperlink" Target="https://pbs.twimg.com/profile_images/515523114608754688/0OXyCVS2_normal.jpeg" TargetMode="External"/><Relationship Id="rId4598" Type="http://schemas.openxmlformats.org/officeDocument/2006/relationships/hyperlink" Target="https://twitter.com/jaffri" TargetMode="External"/><Relationship Id="rId135" Type="http://schemas.openxmlformats.org/officeDocument/2006/relationships/hyperlink" Target="https://twitter.com/nkhalasi/status/702781179947122688" TargetMode="External"/><Relationship Id="rId3266" Type="http://schemas.openxmlformats.org/officeDocument/2006/relationships/hyperlink" Target="https://twitter.com/pfctl/status/702939711002775552" TargetMode="External"/><Relationship Id="rId4597" Type="http://schemas.openxmlformats.org/officeDocument/2006/relationships/hyperlink" Target="https://pbs.twimg.com/profile_images/685223250062917633/s6j2LZE3_normal.jpg" TargetMode="External"/><Relationship Id="rId134" Type="http://schemas.openxmlformats.org/officeDocument/2006/relationships/hyperlink" Target="https://twitter.com/nkhalasi" TargetMode="External"/><Relationship Id="rId3269" Type="http://schemas.openxmlformats.org/officeDocument/2006/relationships/hyperlink" Target="https://twitter.com/programmingncr/status/702940023314849792" TargetMode="External"/><Relationship Id="rId133" Type="http://schemas.openxmlformats.org/officeDocument/2006/relationships/hyperlink" Target="https://pbs.twimg.com/profile_images/697330517964943360/5b0RYntv_normal.jpg" TargetMode="External"/><Relationship Id="rId3268" Type="http://schemas.openxmlformats.org/officeDocument/2006/relationships/hyperlink" Target="https://twitter.com/programmingncr" TargetMode="External"/><Relationship Id="rId4599" Type="http://schemas.openxmlformats.org/officeDocument/2006/relationships/hyperlink" Target="https://twitter.com/jaffri/status/703006701432262656" TargetMode="External"/><Relationship Id="rId172" Type="http://schemas.openxmlformats.org/officeDocument/2006/relationships/hyperlink" Target="http://dlvr.it" TargetMode="External"/><Relationship Id="rId171" Type="http://schemas.openxmlformats.org/officeDocument/2006/relationships/hyperlink" Target="https://twitter.com/artwisanggeni/status/702782384438013952" TargetMode="External"/><Relationship Id="rId170" Type="http://schemas.openxmlformats.org/officeDocument/2006/relationships/hyperlink" Target="https://twitter.com/artwisanggeni" TargetMode="External"/><Relationship Id="rId3290" Type="http://schemas.openxmlformats.org/officeDocument/2006/relationships/hyperlink" Target="https://twitter.com/AusBatAws/status/702941147912663040" TargetMode="External"/><Relationship Id="rId3292" Type="http://schemas.openxmlformats.org/officeDocument/2006/relationships/hyperlink" Target="https://twitter.com/RotgeriS" TargetMode="External"/><Relationship Id="rId3291" Type="http://schemas.openxmlformats.org/officeDocument/2006/relationships/hyperlink" Target="https://pbs.twimg.com/profile_images/692891971745030150/clbtNhen_normal.jpg" TargetMode="External"/><Relationship Id="rId3294" Type="http://schemas.openxmlformats.org/officeDocument/2006/relationships/hyperlink" Target="https://pbs.twimg.com/profile_images/378800000695177945/7d9a76cb7385e416afa04a30b657a3e0_normal.jpeg" TargetMode="External"/><Relationship Id="rId3293" Type="http://schemas.openxmlformats.org/officeDocument/2006/relationships/hyperlink" Target="https://twitter.com/RotgeriS/status/702941319459643392" TargetMode="External"/><Relationship Id="rId165" Type="http://schemas.openxmlformats.org/officeDocument/2006/relationships/hyperlink" Target="https://pbs.twimg.com/profile_images/2813636657/599521f69e2bc210a57323b64d8e39e6_normal.jpeg" TargetMode="External"/><Relationship Id="rId3296" Type="http://schemas.openxmlformats.org/officeDocument/2006/relationships/hyperlink" Target="https://twitter.com/Phaseit/status/702941411079917568" TargetMode="External"/><Relationship Id="rId164" Type="http://schemas.openxmlformats.org/officeDocument/2006/relationships/hyperlink" Target="http://dlvr.it" TargetMode="External"/><Relationship Id="rId3295" Type="http://schemas.openxmlformats.org/officeDocument/2006/relationships/hyperlink" Target="https://twitter.com/Phaseit" TargetMode="External"/><Relationship Id="rId163" Type="http://schemas.openxmlformats.org/officeDocument/2006/relationships/hyperlink" Target="https://twitter.com/artwisanggeni/status/702782377358004224" TargetMode="External"/><Relationship Id="rId3298" Type="http://schemas.openxmlformats.org/officeDocument/2006/relationships/hyperlink" Target="https://twitter.com/analyticbridge" TargetMode="External"/><Relationship Id="rId162" Type="http://schemas.openxmlformats.org/officeDocument/2006/relationships/hyperlink" Target="https://twitter.com/artwisanggeni" TargetMode="External"/><Relationship Id="rId3297" Type="http://schemas.openxmlformats.org/officeDocument/2006/relationships/hyperlink" Target="https://pbs.twimg.com/profile_images/648221948791517184/5NW8H1VO_normal.jpg" TargetMode="External"/><Relationship Id="rId169" Type="http://schemas.openxmlformats.org/officeDocument/2006/relationships/hyperlink" Target="https://pbs.twimg.com/profile_images/2813636657/599521f69e2bc210a57323b64d8e39e6_normal.jpeg" TargetMode="External"/><Relationship Id="rId168" Type="http://schemas.openxmlformats.org/officeDocument/2006/relationships/hyperlink" Target="http://dlvr.it" TargetMode="External"/><Relationship Id="rId3299" Type="http://schemas.openxmlformats.org/officeDocument/2006/relationships/hyperlink" Target="https://twitter.com/analyticbridge/status/702941506663878656" TargetMode="External"/><Relationship Id="rId167" Type="http://schemas.openxmlformats.org/officeDocument/2006/relationships/hyperlink" Target="https://twitter.com/artwisanggeni/status/702782381493608448" TargetMode="External"/><Relationship Id="rId166" Type="http://schemas.openxmlformats.org/officeDocument/2006/relationships/hyperlink" Target="https://twitter.com/artwisanggeni" TargetMode="External"/><Relationship Id="rId161" Type="http://schemas.openxmlformats.org/officeDocument/2006/relationships/hyperlink" Target="https://pbs.twimg.com/profile_images/2813636657/599521f69e2bc210a57323b64d8e39e6_normal.jpeg" TargetMode="External"/><Relationship Id="rId160" Type="http://schemas.openxmlformats.org/officeDocument/2006/relationships/hyperlink" Target="http://dlvr.it" TargetMode="External"/><Relationship Id="rId159" Type="http://schemas.openxmlformats.org/officeDocument/2006/relationships/hyperlink" Target="https://twitter.com/artwisanggeni/status/702782373469945856" TargetMode="External"/><Relationship Id="rId3281" Type="http://schemas.openxmlformats.org/officeDocument/2006/relationships/hyperlink" Target="https://twitter.com/RotgeriS/status/702940387829223424" TargetMode="External"/><Relationship Id="rId3280" Type="http://schemas.openxmlformats.org/officeDocument/2006/relationships/hyperlink" Target="https://twitter.com/RotgeriS" TargetMode="External"/><Relationship Id="rId3283" Type="http://schemas.openxmlformats.org/officeDocument/2006/relationships/hyperlink" Target="https://twitter.com/DataAnalyticss" TargetMode="External"/><Relationship Id="rId3282" Type="http://schemas.openxmlformats.org/officeDocument/2006/relationships/hyperlink" Target="https://pbs.twimg.com/profile_images/378800000695177945/7d9a76cb7385e416afa04a30b657a3e0_normal.jpeg" TargetMode="External"/><Relationship Id="rId154" Type="http://schemas.openxmlformats.org/officeDocument/2006/relationships/hyperlink" Target="https://pbs.twimg.com/profile_images/499257180009529344/CSWhr7LZ_normal.jpeg" TargetMode="External"/><Relationship Id="rId3285" Type="http://schemas.openxmlformats.org/officeDocument/2006/relationships/hyperlink" Target="https://pbs.twimg.com/profile_images/532798437897412608/flHdPUCx_normal.png" TargetMode="External"/><Relationship Id="rId153" Type="http://schemas.openxmlformats.org/officeDocument/2006/relationships/hyperlink" Target="https://twitter.com/NoSQLDigest/status/702781874528083968" TargetMode="External"/><Relationship Id="rId3284" Type="http://schemas.openxmlformats.org/officeDocument/2006/relationships/hyperlink" Target="https://twitter.com/DataAnalyticss/status/702940408435908608" TargetMode="External"/><Relationship Id="rId152" Type="http://schemas.openxmlformats.org/officeDocument/2006/relationships/hyperlink" Target="https://twitter.com/NoSQLDigest" TargetMode="External"/><Relationship Id="rId3287" Type="http://schemas.openxmlformats.org/officeDocument/2006/relationships/hyperlink" Target="https://twitter.com/creative_punch/status/702941137250680832" TargetMode="External"/><Relationship Id="rId151" Type="http://schemas.openxmlformats.org/officeDocument/2006/relationships/hyperlink" Target="https://abs.twimg.com/sticky/default_profile_images/default_profile_3_normal.png" TargetMode="External"/><Relationship Id="rId3286" Type="http://schemas.openxmlformats.org/officeDocument/2006/relationships/hyperlink" Target="https://twitter.com/creative_punch" TargetMode="External"/><Relationship Id="rId158" Type="http://schemas.openxmlformats.org/officeDocument/2006/relationships/hyperlink" Target="https://twitter.com/artwisanggeni" TargetMode="External"/><Relationship Id="rId3289" Type="http://schemas.openxmlformats.org/officeDocument/2006/relationships/hyperlink" Target="https://twitter.com/AusBatAws" TargetMode="External"/><Relationship Id="rId157" Type="http://schemas.openxmlformats.org/officeDocument/2006/relationships/hyperlink" Target="https://pbs.twimg.com/profile_images/514918940808450048/A34NDr2J_normal.jpeg" TargetMode="External"/><Relationship Id="rId3288" Type="http://schemas.openxmlformats.org/officeDocument/2006/relationships/hyperlink" Target="https://pbs.twimg.com/profile_images/420579444982431745/j7uTAxtF_normal.png" TargetMode="External"/><Relationship Id="rId156" Type="http://schemas.openxmlformats.org/officeDocument/2006/relationships/hyperlink" Target="https://twitter.com/mtasic85/status/702781998339858432" TargetMode="External"/><Relationship Id="rId155" Type="http://schemas.openxmlformats.org/officeDocument/2006/relationships/hyperlink" Target="https://twitter.com/mtasic85" TargetMode="External"/><Relationship Id="rId9451" Type="http://schemas.openxmlformats.org/officeDocument/2006/relationships/hyperlink" Target="https://twitter.com/quick_net" TargetMode="External"/><Relationship Id="rId9452" Type="http://schemas.openxmlformats.org/officeDocument/2006/relationships/hyperlink" Target="https://twitter.com/quick_net/status/703275451335254016" TargetMode="External"/><Relationship Id="rId9453" Type="http://schemas.openxmlformats.org/officeDocument/2006/relationships/hyperlink" Target="https://pbs.twimg.com/profile_images/585780181266075649/lBwNyYs3_normal.png" TargetMode="External"/><Relationship Id="rId9454" Type="http://schemas.openxmlformats.org/officeDocument/2006/relationships/hyperlink" Target="https://twitter.com/Jice_Lavocat" TargetMode="External"/><Relationship Id="rId8123" Type="http://schemas.openxmlformats.org/officeDocument/2006/relationships/hyperlink" Target="https://twitter.com/kavi2002suresh/status/703224818041114626" TargetMode="External"/><Relationship Id="rId8122" Type="http://schemas.openxmlformats.org/officeDocument/2006/relationships/hyperlink" Target="https://twitter.com/kavi2002suresh" TargetMode="External"/><Relationship Id="rId8121" Type="http://schemas.openxmlformats.org/officeDocument/2006/relationships/hyperlink" Target="https://pbs.twimg.com/profile_images/665881988524457984/5pV75Tq6_normal.jpg" TargetMode="External"/><Relationship Id="rId8120" Type="http://schemas.openxmlformats.org/officeDocument/2006/relationships/hyperlink" Target="https://twitter.com/kavi2002suresh/status/703224710121672704" TargetMode="External"/><Relationship Id="rId9450" Type="http://schemas.openxmlformats.org/officeDocument/2006/relationships/hyperlink" Target="https://pbs.twimg.com/profile_images/627996138403168256/DaASdgVr_normal.jpg" TargetMode="External"/><Relationship Id="rId8127" Type="http://schemas.openxmlformats.org/officeDocument/2006/relationships/hyperlink" Target="https://pbs.twimg.com/profile_images/2474433856/p075cerxh0arpea6ceip_normal.png" TargetMode="External"/><Relationship Id="rId9459" Type="http://schemas.openxmlformats.org/officeDocument/2006/relationships/hyperlink" Target="https://pbs.twimg.com/profile_images/649004216690675712/UAcrP6ol_normal.png" TargetMode="External"/><Relationship Id="rId8126" Type="http://schemas.openxmlformats.org/officeDocument/2006/relationships/hyperlink" Target="https://twitter.com/py3k/status/703224820738162688" TargetMode="External"/><Relationship Id="rId8125" Type="http://schemas.openxmlformats.org/officeDocument/2006/relationships/hyperlink" Target="https://twitter.com/py3k" TargetMode="External"/><Relationship Id="rId8124" Type="http://schemas.openxmlformats.org/officeDocument/2006/relationships/hyperlink" Target="https://pbs.twimg.com/profile_images/665881988524457984/5pV75Tq6_normal.jpg" TargetMode="External"/><Relationship Id="rId9455" Type="http://schemas.openxmlformats.org/officeDocument/2006/relationships/hyperlink" Target="https://twitter.com/Jice_Lavocat/status/703276061346373632" TargetMode="External"/><Relationship Id="rId9456" Type="http://schemas.openxmlformats.org/officeDocument/2006/relationships/hyperlink" Target="https://pbs.twimg.com/profile_images/553202069666934785/10aD-_Hm_normal.png" TargetMode="External"/><Relationship Id="rId8129" Type="http://schemas.openxmlformats.org/officeDocument/2006/relationships/hyperlink" Target="https://twitter.com/cool_python/status/703224941169221633" TargetMode="External"/><Relationship Id="rId9457" Type="http://schemas.openxmlformats.org/officeDocument/2006/relationships/hyperlink" Target="https://twitter.com/art_control" TargetMode="External"/><Relationship Id="rId8128" Type="http://schemas.openxmlformats.org/officeDocument/2006/relationships/hyperlink" Target="https://twitter.com/cool_python" TargetMode="External"/><Relationship Id="rId9458" Type="http://schemas.openxmlformats.org/officeDocument/2006/relationships/hyperlink" Target="https://twitter.com/art_control/status/703276090652020736" TargetMode="External"/><Relationship Id="rId9440" Type="http://schemas.openxmlformats.org/officeDocument/2006/relationships/hyperlink" Target="https://pbs.twimg.com/profile_images/499257180009529344/CSWhr7LZ_normal.jpeg" TargetMode="External"/><Relationship Id="rId9441" Type="http://schemas.openxmlformats.org/officeDocument/2006/relationships/hyperlink" Target="https://twitter.com/ladjango" TargetMode="External"/><Relationship Id="rId9442" Type="http://schemas.openxmlformats.org/officeDocument/2006/relationships/hyperlink" Target="https://twitter.com/ladjango/status/703274867534209028" TargetMode="External"/><Relationship Id="rId9443" Type="http://schemas.openxmlformats.org/officeDocument/2006/relationships/hyperlink" Target="https://pbs.twimg.com/profile_images/2695663541/a7b6ea166a7bedc46c05f2f31ddba226_normal.jpeg" TargetMode="External"/><Relationship Id="rId8112" Type="http://schemas.openxmlformats.org/officeDocument/2006/relationships/hyperlink" Target="https://pbs.twimg.com/profile_images/649959977679986688/okosAH8k_normal.jpg" TargetMode="External"/><Relationship Id="rId8111" Type="http://schemas.openxmlformats.org/officeDocument/2006/relationships/hyperlink" Target="https://twitter.com/joymwhitt/status/703222954956443649" TargetMode="External"/><Relationship Id="rId8110" Type="http://schemas.openxmlformats.org/officeDocument/2006/relationships/hyperlink" Target="https://twitter.com/joymwhitt" TargetMode="External"/><Relationship Id="rId8116" Type="http://schemas.openxmlformats.org/officeDocument/2006/relationships/hyperlink" Target="https://twitter.com/JoshuaSamuelMop" TargetMode="External"/><Relationship Id="rId9448" Type="http://schemas.openxmlformats.org/officeDocument/2006/relationships/hyperlink" Target="https://twitter.com/JoshuaLongUK" TargetMode="External"/><Relationship Id="rId8115" Type="http://schemas.openxmlformats.org/officeDocument/2006/relationships/hyperlink" Target="https://pbs.twimg.com/profile_images/628609525701038080/FP8dtyeU_normal.png" TargetMode="External"/><Relationship Id="rId9449" Type="http://schemas.openxmlformats.org/officeDocument/2006/relationships/hyperlink" Target="https://twitter.com/JoshuaLongUK/status/703275221248307200" TargetMode="External"/><Relationship Id="rId8114" Type="http://schemas.openxmlformats.org/officeDocument/2006/relationships/hyperlink" Target="https://twitter.com/DjangoGirlsRDU/status/703223593942048768" TargetMode="External"/><Relationship Id="rId8113" Type="http://schemas.openxmlformats.org/officeDocument/2006/relationships/hyperlink" Target="https://twitter.com/DjangoGirlsRDU" TargetMode="External"/><Relationship Id="rId9444" Type="http://schemas.openxmlformats.org/officeDocument/2006/relationships/hyperlink" Target="https://twitter.com/artwisanggeni" TargetMode="External"/><Relationship Id="rId8119" Type="http://schemas.openxmlformats.org/officeDocument/2006/relationships/hyperlink" Target="https://twitter.com/kavi2002suresh" TargetMode="External"/><Relationship Id="rId9445" Type="http://schemas.openxmlformats.org/officeDocument/2006/relationships/hyperlink" Target="https://twitter.com/artwisanggeni/status/703275125878075392" TargetMode="External"/><Relationship Id="rId8118" Type="http://schemas.openxmlformats.org/officeDocument/2006/relationships/hyperlink" Target="https://pbs.twimg.com/profile_images/659072132719079424/vg_dbh6K_normal.jpg" TargetMode="External"/><Relationship Id="rId9446" Type="http://schemas.openxmlformats.org/officeDocument/2006/relationships/hyperlink" Target="http://dlvr.it" TargetMode="External"/><Relationship Id="rId8117" Type="http://schemas.openxmlformats.org/officeDocument/2006/relationships/hyperlink" Target="https://twitter.com/JoshuaSamuelMop/status/703224610905395201" TargetMode="External"/><Relationship Id="rId9447" Type="http://schemas.openxmlformats.org/officeDocument/2006/relationships/hyperlink" Target="https://pbs.twimg.com/profile_images/2813636657/599521f69e2bc210a57323b64d8e39e6_normal.jpeg" TargetMode="External"/><Relationship Id="rId8141" Type="http://schemas.openxmlformats.org/officeDocument/2006/relationships/hyperlink" Target="https://twitter.com/artwisanggeni/status/703225549422874624" TargetMode="External"/><Relationship Id="rId9473" Type="http://schemas.openxmlformats.org/officeDocument/2006/relationships/hyperlink" Target="https://twitter.com/LillianEdmiston/status/703276416364838917" TargetMode="External"/><Relationship Id="rId8140" Type="http://schemas.openxmlformats.org/officeDocument/2006/relationships/hyperlink" Target="https://twitter.com/artwisanggeni" TargetMode="External"/><Relationship Id="rId9474" Type="http://schemas.openxmlformats.org/officeDocument/2006/relationships/hyperlink" Target="https://pbs.twimg.com/profile_images/655014978101993476/ZpsnJW8B_normal.jpg" TargetMode="External"/><Relationship Id="rId9475" Type="http://schemas.openxmlformats.org/officeDocument/2006/relationships/hyperlink" Target="https://twitter.com/LillianEdmiston" TargetMode="External"/><Relationship Id="rId9476" Type="http://schemas.openxmlformats.org/officeDocument/2006/relationships/hyperlink" Target="https://twitter.com/LillianEdmiston/status/703276418743009281" TargetMode="External"/><Relationship Id="rId8145" Type="http://schemas.openxmlformats.org/officeDocument/2006/relationships/hyperlink" Target="https://twitter.com/artwisanggeni/status/703225554787414016" TargetMode="External"/><Relationship Id="rId8144" Type="http://schemas.openxmlformats.org/officeDocument/2006/relationships/hyperlink" Target="https://twitter.com/artwisanggeni" TargetMode="External"/><Relationship Id="rId9470" Type="http://schemas.openxmlformats.org/officeDocument/2006/relationships/hyperlink" Target="https://twitter.com/vinnie_p/status/703276396781641728" TargetMode="External"/><Relationship Id="rId8143" Type="http://schemas.openxmlformats.org/officeDocument/2006/relationships/hyperlink" Target="https://pbs.twimg.com/profile_images/2813636657/599521f69e2bc210a57323b64d8e39e6_normal.jpeg" TargetMode="External"/><Relationship Id="rId9471" Type="http://schemas.openxmlformats.org/officeDocument/2006/relationships/hyperlink" Target="https://pbs.twimg.com/profile_images/378800000510562344/da38885b3bd871a37ff94cee4e1c356d_normal.jpeg" TargetMode="External"/><Relationship Id="rId8142" Type="http://schemas.openxmlformats.org/officeDocument/2006/relationships/hyperlink" Target="http://dlvr.it" TargetMode="External"/><Relationship Id="rId9472" Type="http://schemas.openxmlformats.org/officeDocument/2006/relationships/hyperlink" Target="https://twitter.com/LillianEdmiston" TargetMode="External"/><Relationship Id="rId8149" Type="http://schemas.openxmlformats.org/officeDocument/2006/relationships/hyperlink" Target="https://twitter.com/artwisanggeni/status/703225560470650881" TargetMode="External"/><Relationship Id="rId8148" Type="http://schemas.openxmlformats.org/officeDocument/2006/relationships/hyperlink" Target="https://twitter.com/artwisanggeni" TargetMode="External"/><Relationship Id="rId8147" Type="http://schemas.openxmlformats.org/officeDocument/2006/relationships/hyperlink" Target="https://pbs.twimg.com/profile_images/2813636657/599521f69e2bc210a57323b64d8e39e6_normal.jpeg" TargetMode="External"/><Relationship Id="rId8146" Type="http://schemas.openxmlformats.org/officeDocument/2006/relationships/hyperlink" Target="http://dlvr.it" TargetMode="External"/><Relationship Id="rId9477" Type="http://schemas.openxmlformats.org/officeDocument/2006/relationships/hyperlink" Target="https://pbs.twimg.com/profile_images/655014978101993476/ZpsnJW8B_normal.jpg" TargetMode="External"/><Relationship Id="rId9478" Type="http://schemas.openxmlformats.org/officeDocument/2006/relationships/hyperlink" Target="https://twitter.com/ameanmbot" TargetMode="External"/><Relationship Id="rId9479" Type="http://schemas.openxmlformats.org/officeDocument/2006/relationships/hyperlink" Target="https://twitter.com/ameanmbot/status/703276419401555969" TargetMode="External"/><Relationship Id="rId8130" Type="http://schemas.openxmlformats.org/officeDocument/2006/relationships/hyperlink" Target="https://pbs.twimg.com/profile_images/572091631055028224/Pkx__FSB_normal.png" TargetMode="External"/><Relationship Id="rId9462" Type="http://schemas.openxmlformats.org/officeDocument/2006/relationships/hyperlink" Target="https://pbs.twimg.com/profile_images/703215307066904576/xZOr5kMf_normal.jpg" TargetMode="External"/><Relationship Id="rId9463" Type="http://schemas.openxmlformats.org/officeDocument/2006/relationships/hyperlink" Target="https://twitter.com/py3k" TargetMode="External"/><Relationship Id="rId9464" Type="http://schemas.openxmlformats.org/officeDocument/2006/relationships/hyperlink" Target="https://twitter.com/py3k/status/703276177163730945" TargetMode="External"/><Relationship Id="rId9465" Type="http://schemas.openxmlformats.org/officeDocument/2006/relationships/hyperlink" Target="https://pbs.twimg.com/profile_images/2474433856/p075cerxh0arpea6ceip_normal.png" TargetMode="External"/><Relationship Id="rId8134" Type="http://schemas.openxmlformats.org/officeDocument/2006/relationships/hyperlink" Target="https://twitter.com/jordanlyonstech" TargetMode="External"/><Relationship Id="rId8133" Type="http://schemas.openxmlformats.org/officeDocument/2006/relationships/hyperlink" Target="https://pbs.twimg.com/profile_images/1216345873/70755_100001902148705_8207987_q_normal.jpg" TargetMode="External"/><Relationship Id="rId8132" Type="http://schemas.openxmlformats.org/officeDocument/2006/relationships/hyperlink" Target="https://twitter.com/akucchan_world/status/703225037864587265" TargetMode="External"/><Relationship Id="rId9460" Type="http://schemas.openxmlformats.org/officeDocument/2006/relationships/hyperlink" Target="https://twitter.com/Raspberry_Pi" TargetMode="External"/><Relationship Id="rId8131" Type="http://schemas.openxmlformats.org/officeDocument/2006/relationships/hyperlink" Target="https://twitter.com/akucchan_world" TargetMode="External"/><Relationship Id="rId9461" Type="http://schemas.openxmlformats.org/officeDocument/2006/relationships/hyperlink" Target="https://twitter.com/Raspberry_Pi/status/703276093734830080" TargetMode="External"/><Relationship Id="rId8138" Type="http://schemas.openxmlformats.org/officeDocument/2006/relationships/hyperlink" Target="https://twitter.com/KilloverHD/status/703225341050003456" TargetMode="External"/><Relationship Id="rId8137" Type="http://schemas.openxmlformats.org/officeDocument/2006/relationships/hyperlink" Target="https://twitter.com/KilloverHD" TargetMode="External"/><Relationship Id="rId8136" Type="http://schemas.openxmlformats.org/officeDocument/2006/relationships/hyperlink" Target="https://pbs.twimg.com/profile_images/636594162456989696/HBrM2mjA_normal.jpg" TargetMode="External"/><Relationship Id="rId8135" Type="http://schemas.openxmlformats.org/officeDocument/2006/relationships/hyperlink" Target="https://twitter.com/jordanlyonstech/status/703225203065823232" TargetMode="External"/><Relationship Id="rId9466" Type="http://schemas.openxmlformats.org/officeDocument/2006/relationships/hyperlink" Target="https://twitter.com/cool_python" TargetMode="External"/><Relationship Id="rId9467" Type="http://schemas.openxmlformats.org/officeDocument/2006/relationships/hyperlink" Target="https://twitter.com/cool_python/status/703276344071872512" TargetMode="External"/><Relationship Id="rId9468" Type="http://schemas.openxmlformats.org/officeDocument/2006/relationships/hyperlink" Target="https://pbs.twimg.com/profile_images/572091631055028224/Pkx__FSB_normal.png" TargetMode="External"/><Relationship Id="rId8139" Type="http://schemas.openxmlformats.org/officeDocument/2006/relationships/hyperlink" Target="https://pbs.twimg.com/profile_images/701330468646555649/_i43CaOY_normal.png" TargetMode="External"/><Relationship Id="rId9469" Type="http://schemas.openxmlformats.org/officeDocument/2006/relationships/hyperlink" Target="https://twitter.com/vinnie_p" TargetMode="External"/><Relationship Id="rId9419" Type="http://schemas.openxmlformats.org/officeDocument/2006/relationships/hyperlink" Target="https://pbs.twimg.com/profile_images/537976680589955075/sJIVBYkt_normal.png" TargetMode="External"/><Relationship Id="rId9410" Type="http://schemas.openxmlformats.org/officeDocument/2006/relationships/hyperlink" Target="https://pbs.twimg.com/profile_images/679566117187145728/UUo30Zpm_normal.jpg" TargetMode="External"/><Relationship Id="rId9415" Type="http://schemas.openxmlformats.org/officeDocument/2006/relationships/hyperlink" Target="https://twitter.com/BigDataTweetBot/status/703273567530708994" TargetMode="External"/><Relationship Id="rId9416" Type="http://schemas.openxmlformats.org/officeDocument/2006/relationships/hyperlink" Target="https://pbs.twimg.com/profile_images/616793252524650496/bQbxJqmz_normal.jpg" TargetMode="External"/><Relationship Id="rId9417" Type="http://schemas.openxmlformats.org/officeDocument/2006/relationships/hyperlink" Target="https://twitter.com/jobsalibaba" TargetMode="External"/><Relationship Id="rId9418" Type="http://schemas.openxmlformats.org/officeDocument/2006/relationships/hyperlink" Target="https://twitter.com/jobsalibaba/status/703273753115897856" TargetMode="External"/><Relationship Id="rId9411" Type="http://schemas.openxmlformats.org/officeDocument/2006/relationships/hyperlink" Target="https://twitter.com/webdevers" TargetMode="External"/><Relationship Id="rId9412" Type="http://schemas.openxmlformats.org/officeDocument/2006/relationships/hyperlink" Target="https://twitter.com/webdevers/status/703273529291083780" TargetMode="External"/><Relationship Id="rId9413" Type="http://schemas.openxmlformats.org/officeDocument/2006/relationships/hyperlink" Target="https://pbs.twimg.com/profile_images/3759253863/86267077ca21c75710f9fcc99f83d2f5_normal.jpeg" TargetMode="External"/><Relationship Id="rId9414" Type="http://schemas.openxmlformats.org/officeDocument/2006/relationships/hyperlink" Target="https://twitter.com/BigDataTweetBot" TargetMode="External"/><Relationship Id="rId9408" Type="http://schemas.openxmlformats.org/officeDocument/2006/relationships/hyperlink" Target="https://twitter.com/startechwall" TargetMode="External"/><Relationship Id="rId9409" Type="http://schemas.openxmlformats.org/officeDocument/2006/relationships/hyperlink" Target="https://twitter.com/startechwall/status/703273474081628161" TargetMode="External"/><Relationship Id="rId9404" Type="http://schemas.openxmlformats.org/officeDocument/2006/relationships/hyperlink" Target="https://pbs.twimg.com/profile_images/3759253863/86267077ca21c75710f9fcc99f83d2f5_normal.jpeg" TargetMode="External"/><Relationship Id="rId9405" Type="http://schemas.openxmlformats.org/officeDocument/2006/relationships/hyperlink" Target="https://twitter.com/webdevers" TargetMode="External"/><Relationship Id="rId9406" Type="http://schemas.openxmlformats.org/officeDocument/2006/relationships/hyperlink" Target="https://twitter.com/webdevers/status/703273465516679168" TargetMode="External"/><Relationship Id="rId9407" Type="http://schemas.openxmlformats.org/officeDocument/2006/relationships/hyperlink" Target="https://pbs.twimg.com/profile_images/3759253863/86267077ca21c75710f9fcc99f83d2f5_normal.jpeg" TargetMode="External"/><Relationship Id="rId9400" Type="http://schemas.openxmlformats.org/officeDocument/2006/relationships/hyperlink" Target="https://twitter.com/webdevers/status/703273377406930944" TargetMode="External"/><Relationship Id="rId9401" Type="http://schemas.openxmlformats.org/officeDocument/2006/relationships/hyperlink" Target="https://pbs.twimg.com/profile_images/3759253863/86267077ca21c75710f9fcc99f83d2f5_normal.jpeg" TargetMode="External"/><Relationship Id="rId9402" Type="http://schemas.openxmlformats.org/officeDocument/2006/relationships/hyperlink" Target="https://twitter.com/webdevers" TargetMode="External"/><Relationship Id="rId9403" Type="http://schemas.openxmlformats.org/officeDocument/2006/relationships/hyperlink" Target="https://twitter.com/webdevers/status/703273443798568960" TargetMode="External"/><Relationship Id="rId9430" Type="http://schemas.openxmlformats.org/officeDocument/2006/relationships/hyperlink" Target="https://twitter.com/cool_python/status/703274155223949312" TargetMode="External"/><Relationship Id="rId9431" Type="http://schemas.openxmlformats.org/officeDocument/2006/relationships/hyperlink" Target="https://pbs.twimg.com/profile_images/572091631055028224/Pkx__FSB_normal.png" TargetMode="External"/><Relationship Id="rId9432" Type="http://schemas.openxmlformats.org/officeDocument/2006/relationships/hyperlink" Target="https://twitter.com/min2bro" TargetMode="External"/><Relationship Id="rId8101" Type="http://schemas.openxmlformats.org/officeDocument/2006/relationships/hyperlink" Target="https://twitter.com/CaktusGroup" TargetMode="External"/><Relationship Id="rId8100" Type="http://schemas.openxmlformats.org/officeDocument/2006/relationships/hyperlink" Target="https://pbs.twimg.com/profile_images/649004216690675712/UAcrP6ol_normal.png" TargetMode="External"/><Relationship Id="rId8105" Type="http://schemas.openxmlformats.org/officeDocument/2006/relationships/hyperlink" Target="https://twitter.com/NoSQLDigest/status/703222730003316740" TargetMode="External"/><Relationship Id="rId9437" Type="http://schemas.openxmlformats.org/officeDocument/2006/relationships/hyperlink" Target="https://pbs.twimg.com/profile_images/657708133716881408/v7w4ki3M_normal.jpg" TargetMode="External"/><Relationship Id="rId8104" Type="http://schemas.openxmlformats.org/officeDocument/2006/relationships/hyperlink" Target="https://twitter.com/NoSQLDigest" TargetMode="External"/><Relationship Id="rId9438" Type="http://schemas.openxmlformats.org/officeDocument/2006/relationships/hyperlink" Target="https://twitter.com/NoSQLDigest" TargetMode="External"/><Relationship Id="rId8103" Type="http://schemas.openxmlformats.org/officeDocument/2006/relationships/hyperlink" Target="https://pbs.twimg.com/profile_images/464122698486919168/qf8YnWJo_normal.png" TargetMode="External"/><Relationship Id="rId9439" Type="http://schemas.openxmlformats.org/officeDocument/2006/relationships/hyperlink" Target="https://twitter.com/NoSQLDigest/status/703274820805353473" TargetMode="External"/><Relationship Id="rId8102" Type="http://schemas.openxmlformats.org/officeDocument/2006/relationships/hyperlink" Target="https://twitter.com/CaktusGroup/status/703222316327702528" TargetMode="External"/><Relationship Id="rId8109" Type="http://schemas.openxmlformats.org/officeDocument/2006/relationships/hyperlink" Target="https://pbs.twimg.com/profile_images/577284406815035392/bA5vVUTO_normal.jpeg" TargetMode="External"/><Relationship Id="rId9433" Type="http://schemas.openxmlformats.org/officeDocument/2006/relationships/hyperlink" Target="https://twitter.com/min2bro/status/703274343799906304" TargetMode="External"/><Relationship Id="rId8108" Type="http://schemas.openxmlformats.org/officeDocument/2006/relationships/hyperlink" Target="https://twitter.com/DrOhYes/status/703222734600347648" TargetMode="External"/><Relationship Id="rId9434" Type="http://schemas.openxmlformats.org/officeDocument/2006/relationships/hyperlink" Target="https://pbs.twimg.com/profile_images/536438268984696832/guBJ61gT_normal.jpeg" TargetMode="External"/><Relationship Id="rId8107" Type="http://schemas.openxmlformats.org/officeDocument/2006/relationships/hyperlink" Target="https://twitter.com/DrOhYes" TargetMode="External"/><Relationship Id="rId9435" Type="http://schemas.openxmlformats.org/officeDocument/2006/relationships/hyperlink" Target="https://twitter.com/dirfooddrink" TargetMode="External"/><Relationship Id="rId8106" Type="http://schemas.openxmlformats.org/officeDocument/2006/relationships/hyperlink" Target="https://pbs.twimg.com/profile_images/499257180009529344/CSWhr7LZ_normal.jpeg" TargetMode="External"/><Relationship Id="rId9436" Type="http://schemas.openxmlformats.org/officeDocument/2006/relationships/hyperlink" Target="https://twitter.com/dirfooddrink/status/703274653536624641" TargetMode="External"/><Relationship Id="rId9420" Type="http://schemas.openxmlformats.org/officeDocument/2006/relationships/hyperlink" Target="https://twitter.com/thinkingserious" TargetMode="External"/><Relationship Id="rId9421" Type="http://schemas.openxmlformats.org/officeDocument/2006/relationships/hyperlink" Target="https://twitter.com/thinkingserious/status/703273779829420032" TargetMode="External"/><Relationship Id="rId9426" Type="http://schemas.openxmlformats.org/officeDocument/2006/relationships/hyperlink" Target="https://twitter.com/StackCodeReview" TargetMode="External"/><Relationship Id="rId9427" Type="http://schemas.openxmlformats.org/officeDocument/2006/relationships/hyperlink" Target="https://twitter.com/StackCodeReview/status/703274042292305920" TargetMode="External"/><Relationship Id="rId9428" Type="http://schemas.openxmlformats.org/officeDocument/2006/relationships/hyperlink" Target="https://pbs.twimg.com/profile_images/669613362255282176/8iApenAA_normal.png" TargetMode="External"/><Relationship Id="rId9429" Type="http://schemas.openxmlformats.org/officeDocument/2006/relationships/hyperlink" Target="https://twitter.com/cool_python" TargetMode="External"/><Relationship Id="rId9422" Type="http://schemas.openxmlformats.org/officeDocument/2006/relationships/hyperlink" Target="https://pbs.twimg.com/profile_images/506159345621409792/i-MBmGvH_normal.jpeg" TargetMode="External"/><Relationship Id="rId9423" Type="http://schemas.openxmlformats.org/officeDocument/2006/relationships/hyperlink" Target="https://twitter.com/hersonls" TargetMode="External"/><Relationship Id="rId9424" Type="http://schemas.openxmlformats.org/officeDocument/2006/relationships/hyperlink" Target="https://twitter.com/hersonls/status/703273883936399360" TargetMode="External"/><Relationship Id="rId9425" Type="http://schemas.openxmlformats.org/officeDocument/2006/relationships/hyperlink" Target="https://pbs.twimg.com/profile_images/553197088809287680/6mIW-TUV_normal.jpeg" TargetMode="External"/><Relationship Id="rId4602" Type="http://schemas.openxmlformats.org/officeDocument/2006/relationships/hyperlink" Target="https://twitter.com/py3k/status/703007395295924224" TargetMode="External"/><Relationship Id="rId5934" Type="http://schemas.openxmlformats.org/officeDocument/2006/relationships/hyperlink" Target="https://pbs.twimg.com/profile_images/458835173086216192/0QIQyQ18_normal.png" TargetMode="External"/><Relationship Id="rId4601" Type="http://schemas.openxmlformats.org/officeDocument/2006/relationships/hyperlink" Target="https://twitter.com/py3k" TargetMode="External"/><Relationship Id="rId5935" Type="http://schemas.openxmlformats.org/officeDocument/2006/relationships/hyperlink" Target="https://twitter.com/opexxx" TargetMode="External"/><Relationship Id="rId4604" Type="http://schemas.openxmlformats.org/officeDocument/2006/relationships/hyperlink" Target="https://twitter.com/misaleiva" TargetMode="External"/><Relationship Id="rId5932" Type="http://schemas.openxmlformats.org/officeDocument/2006/relationships/hyperlink" Target="https://twitter.com/jigsawacademy" TargetMode="External"/><Relationship Id="rId4603" Type="http://schemas.openxmlformats.org/officeDocument/2006/relationships/hyperlink" Target="https://pbs.twimg.com/profile_images/2474433856/p075cerxh0arpea6ceip_normal.png" TargetMode="External"/><Relationship Id="rId5933" Type="http://schemas.openxmlformats.org/officeDocument/2006/relationships/hyperlink" Target="https://twitter.com/jigsawacademy/status/703089572004007936" TargetMode="External"/><Relationship Id="rId4606" Type="http://schemas.openxmlformats.org/officeDocument/2006/relationships/hyperlink" Target="https://pbs.twimg.com/profile_images/553306978303242242/XhkGfCto_normal.jpeg" TargetMode="External"/><Relationship Id="rId5938" Type="http://schemas.openxmlformats.org/officeDocument/2006/relationships/hyperlink" Target="https://twitter.com/opexxx" TargetMode="External"/><Relationship Id="rId4605" Type="http://schemas.openxmlformats.org/officeDocument/2006/relationships/hyperlink" Target="https://twitter.com/misaleiva/status/703007626217582593" TargetMode="External"/><Relationship Id="rId5939" Type="http://schemas.openxmlformats.org/officeDocument/2006/relationships/hyperlink" Target="https://twitter.com/opexxx/status/703089641591848961" TargetMode="External"/><Relationship Id="rId4608" Type="http://schemas.openxmlformats.org/officeDocument/2006/relationships/hyperlink" Target="https://twitter.com/rtdbrito/status/703007680043098114" TargetMode="External"/><Relationship Id="rId5936" Type="http://schemas.openxmlformats.org/officeDocument/2006/relationships/hyperlink" Target="https://twitter.com/opexxx/status/703089639775666176" TargetMode="External"/><Relationship Id="rId4607" Type="http://schemas.openxmlformats.org/officeDocument/2006/relationships/hyperlink" Target="https://twitter.com/rtdbrito" TargetMode="External"/><Relationship Id="rId5937" Type="http://schemas.openxmlformats.org/officeDocument/2006/relationships/hyperlink" Target="https://pbs.twimg.com/profile_images/3749355966/80a6b1c52c74bd952b8a19042f7296d7_normal.jpeg" TargetMode="External"/><Relationship Id="rId4609" Type="http://schemas.openxmlformats.org/officeDocument/2006/relationships/hyperlink" Target="https://pbs.twimg.com/profile_images/3058293300/b89f8a3330f874e44c5380d561232261_normal.jpeg" TargetMode="External"/><Relationship Id="rId5930" Type="http://schemas.openxmlformats.org/officeDocument/2006/relationships/hyperlink" Target="https://twitter.com/VijayKNarayana1/status/703089382018797568" TargetMode="External"/><Relationship Id="rId5931" Type="http://schemas.openxmlformats.org/officeDocument/2006/relationships/hyperlink" Target="https://abs.twimg.com/sticky/default_profile_images/default_profile_2_normal.png" TargetMode="External"/><Relationship Id="rId4600" Type="http://schemas.openxmlformats.org/officeDocument/2006/relationships/hyperlink" Target="https://pbs.twimg.com/profile_images/445831838687182848/aCVQDj7E_normal.jpeg" TargetMode="External"/><Relationship Id="rId5923" Type="http://schemas.openxmlformats.org/officeDocument/2006/relationships/hyperlink" Target="https://twitter.com/7h3rAm" TargetMode="External"/><Relationship Id="rId5924" Type="http://schemas.openxmlformats.org/officeDocument/2006/relationships/hyperlink" Target="https://twitter.com/7h3rAm/status/703089179584917510" TargetMode="External"/><Relationship Id="rId5921" Type="http://schemas.openxmlformats.org/officeDocument/2006/relationships/hyperlink" Target="https://twitter.com/VijayKNarayana1/status/703088336659812352" TargetMode="External"/><Relationship Id="rId5922" Type="http://schemas.openxmlformats.org/officeDocument/2006/relationships/hyperlink" Target="https://abs.twimg.com/sticky/default_profile_images/default_profile_2_normal.png" TargetMode="External"/><Relationship Id="rId5927" Type="http://schemas.openxmlformats.org/officeDocument/2006/relationships/hyperlink" Target="https://twitter.com/Catamount2112/status/703089325399887872" TargetMode="External"/><Relationship Id="rId5928" Type="http://schemas.openxmlformats.org/officeDocument/2006/relationships/hyperlink" Target="https://pbs.twimg.com/profile_images/627927489608749056/yM2TylS1_normal.jpg" TargetMode="External"/><Relationship Id="rId5925" Type="http://schemas.openxmlformats.org/officeDocument/2006/relationships/hyperlink" Target="https://pbs.twimg.com/profile_images/1461559743/Aries_normal.jpg" TargetMode="External"/><Relationship Id="rId5926" Type="http://schemas.openxmlformats.org/officeDocument/2006/relationships/hyperlink" Target="https://twitter.com/Catamount2112" TargetMode="External"/><Relationship Id="rId5929" Type="http://schemas.openxmlformats.org/officeDocument/2006/relationships/hyperlink" Target="https://twitter.com/VijayKNarayana1" TargetMode="External"/><Relationship Id="rId8196" Type="http://schemas.openxmlformats.org/officeDocument/2006/relationships/hyperlink" Target="https://twitter.com/arobotti" TargetMode="External"/><Relationship Id="rId8195" Type="http://schemas.openxmlformats.org/officeDocument/2006/relationships/hyperlink" Target="https://pbs.twimg.com/profile_images/452820822739009536/tHIdp9Kf_normal.png" TargetMode="External"/><Relationship Id="rId8194" Type="http://schemas.openxmlformats.org/officeDocument/2006/relationships/hyperlink" Target="https://twitter.com/csimpkins/status/703226218938667008" TargetMode="External"/><Relationship Id="rId8193" Type="http://schemas.openxmlformats.org/officeDocument/2006/relationships/hyperlink" Target="https://twitter.com/csimpkins" TargetMode="External"/><Relationship Id="rId8199" Type="http://schemas.openxmlformats.org/officeDocument/2006/relationships/hyperlink" Target="https://twitter.com/ltgiv" TargetMode="External"/><Relationship Id="rId8198" Type="http://schemas.openxmlformats.org/officeDocument/2006/relationships/hyperlink" Target="https://pbs.twimg.com/profile_images/505024311346749441/esdjoyFL_normal.jpeg" TargetMode="External"/><Relationship Id="rId8197" Type="http://schemas.openxmlformats.org/officeDocument/2006/relationships/hyperlink" Target="https://twitter.com/arobotti/status/703226472043978752" TargetMode="External"/><Relationship Id="rId5920" Type="http://schemas.openxmlformats.org/officeDocument/2006/relationships/hyperlink" Target="https://twitter.com/VijayKNarayana1" TargetMode="External"/><Relationship Id="rId4624" Type="http://schemas.openxmlformats.org/officeDocument/2006/relationships/hyperlink" Target="https://pbs.twimg.com/profile_images/637685661634400256/bDq1rkT1_normal.jpg" TargetMode="External"/><Relationship Id="rId5956" Type="http://schemas.openxmlformats.org/officeDocument/2006/relationships/hyperlink" Target="https://twitter.com/hackingmath" TargetMode="External"/><Relationship Id="rId4623" Type="http://schemas.openxmlformats.org/officeDocument/2006/relationships/hyperlink" Target="https://twitter.com/katmeresin/status/703009045330968576" TargetMode="External"/><Relationship Id="rId5957" Type="http://schemas.openxmlformats.org/officeDocument/2006/relationships/hyperlink" Target="https://twitter.com/hackingmath/status/703090169864294400" TargetMode="External"/><Relationship Id="rId4626" Type="http://schemas.openxmlformats.org/officeDocument/2006/relationships/hyperlink" Target="https://twitter.com/pythontrending/status/703009673499246594" TargetMode="External"/><Relationship Id="rId5954" Type="http://schemas.openxmlformats.org/officeDocument/2006/relationships/hyperlink" Target="https://twitter.com/_bipul/status/703089971725348865" TargetMode="External"/><Relationship Id="rId4625" Type="http://schemas.openxmlformats.org/officeDocument/2006/relationships/hyperlink" Target="https://twitter.com/pythontrending" TargetMode="External"/><Relationship Id="rId5955" Type="http://schemas.openxmlformats.org/officeDocument/2006/relationships/hyperlink" Target="https://pbs.twimg.com/profile_images/562205238476562432/m_5OFt2r_normal.png" TargetMode="External"/><Relationship Id="rId4628" Type="http://schemas.openxmlformats.org/officeDocument/2006/relationships/hyperlink" Target="https://twitter.com/pythontrending" TargetMode="External"/><Relationship Id="rId4627" Type="http://schemas.openxmlformats.org/officeDocument/2006/relationships/hyperlink" Target="https://pbs.twimg.com/profile_images/456490947287605248/4oklmBWe_normal.png" TargetMode="External"/><Relationship Id="rId5958" Type="http://schemas.openxmlformats.org/officeDocument/2006/relationships/hyperlink" Target="https://pbs.twimg.com/profile_images/662281052207996928/ftZBnVFQ_normal.jpg" TargetMode="External"/><Relationship Id="rId4629" Type="http://schemas.openxmlformats.org/officeDocument/2006/relationships/hyperlink" Target="https://twitter.com/pythontrending/status/703009702070898688" TargetMode="External"/><Relationship Id="rId5959" Type="http://schemas.openxmlformats.org/officeDocument/2006/relationships/hyperlink" Target="https://twitter.com/HopefulGeek" TargetMode="External"/><Relationship Id="rId4620" Type="http://schemas.openxmlformats.org/officeDocument/2006/relationships/hyperlink" Target="https://twitter.com/panseybard/status/703008834311180288" TargetMode="External"/><Relationship Id="rId5952" Type="http://schemas.openxmlformats.org/officeDocument/2006/relationships/hyperlink" Target="https://pbs.twimg.com/profile_images/1573965488/bfaloona_normal.png" TargetMode="External"/><Relationship Id="rId5953" Type="http://schemas.openxmlformats.org/officeDocument/2006/relationships/hyperlink" Target="https://twitter.com/_bipul" TargetMode="External"/><Relationship Id="rId4622" Type="http://schemas.openxmlformats.org/officeDocument/2006/relationships/hyperlink" Target="https://twitter.com/katmeresin" TargetMode="External"/><Relationship Id="rId5950" Type="http://schemas.openxmlformats.org/officeDocument/2006/relationships/hyperlink" Target="https://twitter.com/faloonatic" TargetMode="External"/><Relationship Id="rId4621" Type="http://schemas.openxmlformats.org/officeDocument/2006/relationships/hyperlink" Target="https://pbs.twimg.com/profile_images/583850259970822144/7EgtHLoT_normal.jpg" TargetMode="External"/><Relationship Id="rId5951" Type="http://schemas.openxmlformats.org/officeDocument/2006/relationships/hyperlink" Target="https://twitter.com/faloonatic/status/703089744872239104" TargetMode="External"/><Relationship Id="rId4613" Type="http://schemas.openxmlformats.org/officeDocument/2006/relationships/hyperlink" Target="https://twitter.com/AskAppDev" TargetMode="External"/><Relationship Id="rId5945" Type="http://schemas.openxmlformats.org/officeDocument/2006/relationships/hyperlink" Target="https://twitter.com/opexxx/status/703089647438712832" TargetMode="External"/><Relationship Id="rId4612" Type="http://schemas.openxmlformats.org/officeDocument/2006/relationships/hyperlink" Target="https://pbs.twimg.com/profile_images/655331704270376960/VKadbMAP_normal.jpg" TargetMode="External"/><Relationship Id="rId5946" Type="http://schemas.openxmlformats.org/officeDocument/2006/relationships/hyperlink" Target="https://pbs.twimg.com/profile_images/3749355966/80a6b1c52c74bd952b8a19042f7296d7_normal.jpeg" TargetMode="External"/><Relationship Id="rId4615" Type="http://schemas.openxmlformats.org/officeDocument/2006/relationships/hyperlink" Target="https://pbs.twimg.com/profile_images/378800000659198647/b60a5998f4f329641eb28f39f8e5a17b_normal.png" TargetMode="External"/><Relationship Id="rId5943" Type="http://schemas.openxmlformats.org/officeDocument/2006/relationships/hyperlink" Target="https://pbs.twimg.com/profile_images/3749355966/80a6b1c52c74bd952b8a19042f7296d7_normal.jpeg" TargetMode="External"/><Relationship Id="rId4614" Type="http://schemas.openxmlformats.org/officeDocument/2006/relationships/hyperlink" Target="https://twitter.com/AskAppDev/status/703007992346763264" TargetMode="External"/><Relationship Id="rId5944" Type="http://schemas.openxmlformats.org/officeDocument/2006/relationships/hyperlink" Target="https://twitter.com/opexxx" TargetMode="External"/><Relationship Id="rId4617" Type="http://schemas.openxmlformats.org/officeDocument/2006/relationships/hyperlink" Target="https://twitter.com/pdipao/status/703008274367586304" TargetMode="External"/><Relationship Id="rId5949" Type="http://schemas.openxmlformats.org/officeDocument/2006/relationships/hyperlink" Target="https://pbs.twimg.com/profile_images/646430794391650304/jK6EaLeg_normal.jpg" TargetMode="External"/><Relationship Id="rId4616" Type="http://schemas.openxmlformats.org/officeDocument/2006/relationships/hyperlink" Target="https://twitter.com/pdipao" TargetMode="External"/><Relationship Id="rId4619" Type="http://schemas.openxmlformats.org/officeDocument/2006/relationships/hyperlink" Target="https://twitter.com/panseybard" TargetMode="External"/><Relationship Id="rId5947" Type="http://schemas.openxmlformats.org/officeDocument/2006/relationships/hyperlink" Target="https://twitter.com/ConnectionsNY" TargetMode="External"/><Relationship Id="rId4618" Type="http://schemas.openxmlformats.org/officeDocument/2006/relationships/hyperlink" Target="https://pbs.twimg.com/profile_images/2323096455/ie6d7zexkb52v6ojptfm_normal.jpeg" TargetMode="External"/><Relationship Id="rId5948" Type="http://schemas.openxmlformats.org/officeDocument/2006/relationships/hyperlink" Target="https://twitter.com/ConnectionsNY/status/703089686445740032" TargetMode="External"/><Relationship Id="rId5941" Type="http://schemas.openxmlformats.org/officeDocument/2006/relationships/hyperlink" Target="https://twitter.com/opexxx" TargetMode="External"/><Relationship Id="rId5942" Type="http://schemas.openxmlformats.org/officeDocument/2006/relationships/hyperlink" Target="https://twitter.com/opexxx/status/703089643387002880" TargetMode="External"/><Relationship Id="rId4611" Type="http://schemas.openxmlformats.org/officeDocument/2006/relationships/hyperlink" Target="https://twitter.com/AutomatesXYZ/status/703007804618051584" TargetMode="External"/><Relationship Id="rId4610" Type="http://schemas.openxmlformats.org/officeDocument/2006/relationships/hyperlink" Target="https://twitter.com/AutomatesXYZ" TargetMode="External"/><Relationship Id="rId5940" Type="http://schemas.openxmlformats.org/officeDocument/2006/relationships/hyperlink" Target="https://pbs.twimg.com/profile_images/3749355966/80a6b1c52c74bd952b8a19042f7296d7_normal.jpeg" TargetMode="External"/><Relationship Id="rId8170" Type="http://schemas.openxmlformats.org/officeDocument/2006/relationships/hyperlink" Target="http://dlvr.it" TargetMode="External"/><Relationship Id="rId8163" Type="http://schemas.openxmlformats.org/officeDocument/2006/relationships/hyperlink" Target="https://pbs.twimg.com/profile_images/2813636657/599521f69e2bc210a57323b64d8e39e6_normal.jpeg" TargetMode="External"/><Relationship Id="rId9495" Type="http://schemas.openxmlformats.org/officeDocument/2006/relationships/hyperlink" Target="https://pbs.twimg.com/profile_images/655014978101993476/ZpsnJW8B_normal.jpg" TargetMode="External"/><Relationship Id="rId8162" Type="http://schemas.openxmlformats.org/officeDocument/2006/relationships/hyperlink" Target="http://dlvr.it" TargetMode="External"/><Relationship Id="rId9496" Type="http://schemas.openxmlformats.org/officeDocument/2006/relationships/hyperlink" Target="https://twitter.com/ameanmbot" TargetMode="External"/><Relationship Id="rId8161" Type="http://schemas.openxmlformats.org/officeDocument/2006/relationships/hyperlink" Target="https://twitter.com/artwisanggeni/status/703225574588715008" TargetMode="External"/><Relationship Id="rId9497" Type="http://schemas.openxmlformats.org/officeDocument/2006/relationships/hyperlink" Target="https://twitter.com/ameanmbot/status/703276436543635456" TargetMode="External"/><Relationship Id="rId8160" Type="http://schemas.openxmlformats.org/officeDocument/2006/relationships/hyperlink" Target="https://twitter.com/artwisanggeni" TargetMode="External"/><Relationship Id="rId9498" Type="http://schemas.openxmlformats.org/officeDocument/2006/relationships/hyperlink" Target="https://pbs.twimg.com/profile_images/481334978161029120/iu3zZFEk_normal.png" TargetMode="External"/><Relationship Id="rId8167" Type="http://schemas.openxmlformats.org/officeDocument/2006/relationships/hyperlink" Target="https://pbs.twimg.com/profile_images/2813636657/599521f69e2bc210a57323b64d8e39e6_normal.jpeg" TargetMode="External"/><Relationship Id="rId9491" Type="http://schemas.openxmlformats.org/officeDocument/2006/relationships/hyperlink" Target="https://twitter.com/fsugann/status/703276424736575488" TargetMode="External"/><Relationship Id="rId8166" Type="http://schemas.openxmlformats.org/officeDocument/2006/relationships/hyperlink" Target="http://dlvr.it" TargetMode="External"/><Relationship Id="rId9492" Type="http://schemas.openxmlformats.org/officeDocument/2006/relationships/hyperlink" Target="https://pbs.twimg.com/profile_images/698079437380722688/GzyQI9U5_normal.jpg" TargetMode="External"/><Relationship Id="rId8165" Type="http://schemas.openxmlformats.org/officeDocument/2006/relationships/hyperlink" Target="https://twitter.com/artwisanggeni/status/703225578510376960" TargetMode="External"/><Relationship Id="rId9493" Type="http://schemas.openxmlformats.org/officeDocument/2006/relationships/hyperlink" Target="https://twitter.com/LillianEdmiston" TargetMode="External"/><Relationship Id="rId8164" Type="http://schemas.openxmlformats.org/officeDocument/2006/relationships/hyperlink" Target="https://twitter.com/artwisanggeni" TargetMode="External"/><Relationship Id="rId9494" Type="http://schemas.openxmlformats.org/officeDocument/2006/relationships/hyperlink" Target="https://twitter.com/LillianEdmiston/status/703276434232578048" TargetMode="External"/><Relationship Id="rId8169" Type="http://schemas.openxmlformats.org/officeDocument/2006/relationships/hyperlink" Target="https://twitter.com/artwisanggeni/status/703225582629171200" TargetMode="External"/><Relationship Id="rId8168" Type="http://schemas.openxmlformats.org/officeDocument/2006/relationships/hyperlink" Target="https://twitter.com/artwisanggeni" TargetMode="External"/><Relationship Id="rId9499" Type="http://schemas.openxmlformats.org/officeDocument/2006/relationships/hyperlink" Target="https://twitter.com/chrisjrn" TargetMode="External"/><Relationship Id="rId9490" Type="http://schemas.openxmlformats.org/officeDocument/2006/relationships/hyperlink" Target="https://twitter.com/fsugann" TargetMode="External"/><Relationship Id="rId8152" Type="http://schemas.openxmlformats.org/officeDocument/2006/relationships/hyperlink" Target="https://twitter.com/artwisanggeni" TargetMode="External"/><Relationship Id="rId9484" Type="http://schemas.openxmlformats.org/officeDocument/2006/relationships/hyperlink" Target="https://twitter.com/LillianEdmiston" TargetMode="External"/><Relationship Id="rId8151" Type="http://schemas.openxmlformats.org/officeDocument/2006/relationships/hyperlink" Target="https://pbs.twimg.com/profile_images/2813636657/599521f69e2bc210a57323b64d8e39e6_normal.jpeg" TargetMode="External"/><Relationship Id="rId9485" Type="http://schemas.openxmlformats.org/officeDocument/2006/relationships/hyperlink" Target="https://twitter.com/LillianEdmiston/status/703276421049925632" TargetMode="External"/><Relationship Id="rId8150" Type="http://schemas.openxmlformats.org/officeDocument/2006/relationships/hyperlink" Target="http://dlvr.it" TargetMode="External"/><Relationship Id="rId9486" Type="http://schemas.openxmlformats.org/officeDocument/2006/relationships/hyperlink" Target="https://pbs.twimg.com/profile_images/655014978101993476/ZpsnJW8B_normal.jpg" TargetMode="External"/><Relationship Id="rId9487" Type="http://schemas.openxmlformats.org/officeDocument/2006/relationships/hyperlink" Target="https://twitter.com/ameanmbot" TargetMode="External"/><Relationship Id="rId8156" Type="http://schemas.openxmlformats.org/officeDocument/2006/relationships/hyperlink" Target="https://twitter.com/artwisanggeni" TargetMode="External"/><Relationship Id="rId9480" Type="http://schemas.openxmlformats.org/officeDocument/2006/relationships/hyperlink" Target="https://pbs.twimg.com/profile_images/481334978161029120/iu3zZFEk_normal.png" TargetMode="External"/><Relationship Id="rId8155" Type="http://schemas.openxmlformats.org/officeDocument/2006/relationships/hyperlink" Target="https://pbs.twimg.com/profile_images/2813636657/599521f69e2bc210a57323b64d8e39e6_normal.jpeg" TargetMode="External"/><Relationship Id="rId9481" Type="http://schemas.openxmlformats.org/officeDocument/2006/relationships/hyperlink" Target="https://twitter.com/ameanmbot" TargetMode="External"/><Relationship Id="rId8154" Type="http://schemas.openxmlformats.org/officeDocument/2006/relationships/hyperlink" Target="http://dlvr.it" TargetMode="External"/><Relationship Id="rId9482" Type="http://schemas.openxmlformats.org/officeDocument/2006/relationships/hyperlink" Target="https://twitter.com/ameanmbot/status/703276420924104704" TargetMode="External"/><Relationship Id="rId8153" Type="http://schemas.openxmlformats.org/officeDocument/2006/relationships/hyperlink" Target="https://twitter.com/artwisanggeni/status/703225565717745664" TargetMode="External"/><Relationship Id="rId9483" Type="http://schemas.openxmlformats.org/officeDocument/2006/relationships/hyperlink" Target="https://pbs.twimg.com/profile_images/481334978161029120/iu3zZFEk_normal.png" TargetMode="External"/><Relationship Id="rId8159" Type="http://schemas.openxmlformats.org/officeDocument/2006/relationships/hyperlink" Target="https://pbs.twimg.com/profile_images/2813636657/599521f69e2bc210a57323b64d8e39e6_normal.jpeg" TargetMode="External"/><Relationship Id="rId8158" Type="http://schemas.openxmlformats.org/officeDocument/2006/relationships/hyperlink" Target="http://dlvr.it" TargetMode="External"/><Relationship Id="rId8157" Type="http://schemas.openxmlformats.org/officeDocument/2006/relationships/hyperlink" Target="https://twitter.com/artwisanggeni/status/703225570406977536" TargetMode="External"/><Relationship Id="rId9488" Type="http://schemas.openxmlformats.org/officeDocument/2006/relationships/hyperlink" Target="https://twitter.com/ameanmbot/status/703276423218388992" TargetMode="External"/><Relationship Id="rId9489" Type="http://schemas.openxmlformats.org/officeDocument/2006/relationships/hyperlink" Target="https://pbs.twimg.com/profile_images/481334978161029120/iu3zZFEk_normal.png" TargetMode="External"/><Relationship Id="rId5912" Type="http://schemas.openxmlformats.org/officeDocument/2006/relationships/hyperlink" Target="https://pbs.twimg.com/profile_images/611834314586750976/feZ5fZOO_normal.png" TargetMode="External"/><Relationship Id="rId5913" Type="http://schemas.openxmlformats.org/officeDocument/2006/relationships/hyperlink" Target="https://twitter.com/coding_jobfeeds" TargetMode="External"/><Relationship Id="rId5910" Type="http://schemas.openxmlformats.org/officeDocument/2006/relationships/hyperlink" Target="https://twitter.com/coding_jobfeeds" TargetMode="External"/><Relationship Id="rId5911" Type="http://schemas.openxmlformats.org/officeDocument/2006/relationships/hyperlink" Target="https://twitter.com/coding_jobfeeds/status/703085871680110592" TargetMode="External"/><Relationship Id="rId5916" Type="http://schemas.openxmlformats.org/officeDocument/2006/relationships/hyperlink" Target="https://twitter.com/clickerdeals" TargetMode="External"/><Relationship Id="rId5917" Type="http://schemas.openxmlformats.org/officeDocument/2006/relationships/hyperlink" Target="http://clickerdeals.com" TargetMode="External"/><Relationship Id="rId5914" Type="http://schemas.openxmlformats.org/officeDocument/2006/relationships/hyperlink" Target="https://twitter.com/coding_jobfeeds/status/703085874045718528" TargetMode="External"/><Relationship Id="rId5915" Type="http://schemas.openxmlformats.org/officeDocument/2006/relationships/hyperlink" Target="https://pbs.twimg.com/profile_images/611834314586750976/feZ5fZOO_normal.png" TargetMode="External"/><Relationship Id="rId5918" Type="http://schemas.openxmlformats.org/officeDocument/2006/relationships/hyperlink" Target="https://twitter.com/clickerdeals/status/703087107309350912" TargetMode="External"/><Relationship Id="rId5919" Type="http://schemas.openxmlformats.org/officeDocument/2006/relationships/hyperlink" Target="https://pbs.twimg.com/profile_images/269222451/clickerdeals_normal.png" TargetMode="External"/><Relationship Id="rId8192" Type="http://schemas.openxmlformats.org/officeDocument/2006/relationships/hyperlink" Target="https://pbs.twimg.com/profile_images/1452748283/DSC_0065__Reduced__Cropped__normal.jpg" TargetMode="External"/><Relationship Id="rId8191" Type="http://schemas.openxmlformats.org/officeDocument/2006/relationships/hyperlink" Target="https://twitter.com/KevlinHenney/status/703226187397595136" TargetMode="External"/><Relationship Id="rId8190" Type="http://schemas.openxmlformats.org/officeDocument/2006/relationships/hyperlink" Target="https://twitter.com/KevlinHenney" TargetMode="External"/><Relationship Id="rId8185" Type="http://schemas.openxmlformats.org/officeDocument/2006/relationships/hyperlink" Target="https://pbs.twimg.com/profile_images/452820822739009536/tHIdp9Kf_normal.png" TargetMode="External"/><Relationship Id="rId8184" Type="http://schemas.openxmlformats.org/officeDocument/2006/relationships/hyperlink" Target="https://twitter.com/csimpkins/status/703225870232621057" TargetMode="External"/><Relationship Id="rId8183" Type="http://schemas.openxmlformats.org/officeDocument/2006/relationships/hyperlink" Target="https://twitter.com/csimpkins" TargetMode="External"/><Relationship Id="rId8182" Type="http://schemas.openxmlformats.org/officeDocument/2006/relationships/hyperlink" Target="https://pbs.twimg.com/profile_images/378800000210104133/a3420c9a02402dde3d09a1e41f1688e5_normal.jpeg" TargetMode="External"/><Relationship Id="rId8189" Type="http://schemas.openxmlformats.org/officeDocument/2006/relationships/hyperlink" Target="https://pbs.twimg.com/profile_images/3312468366/129323224633d71286101d517a2f9817_normal.png" TargetMode="External"/><Relationship Id="rId8188" Type="http://schemas.openxmlformats.org/officeDocument/2006/relationships/hyperlink" Target="https://twitter.com/RealPython/status/703225927937847296" TargetMode="External"/><Relationship Id="rId8187" Type="http://schemas.openxmlformats.org/officeDocument/2006/relationships/hyperlink" Target="http://RealPython.com" TargetMode="External"/><Relationship Id="rId8186" Type="http://schemas.openxmlformats.org/officeDocument/2006/relationships/hyperlink" Target="https://twitter.com/RealPython" TargetMode="External"/><Relationship Id="rId5901" Type="http://schemas.openxmlformats.org/officeDocument/2006/relationships/hyperlink" Target="https://twitter.com/artwisanggeni/status/703085790687956992" TargetMode="External"/><Relationship Id="rId5902" Type="http://schemas.openxmlformats.org/officeDocument/2006/relationships/hyperlink" Target="http://dlvr.it" TargetMode="External"/><Relationship Id="rId5900" Type="http://schemas.openxmlformats.org/officeDocument/2006/relationships/hyperlink" Target="https://twitter.com/artwisanggeni" TargetMode="External"/><Relationship Id="rId5905" Type="http://schemas.openxmlformats.org/officeDocument/2006/relationships/hyperlink" Target="https://twitter.com/coding_jobfeeds/status/703085866546237440" TargetMode="External"/><Relationship Id="rId5906" Type="http://schemas.openxmlformats.org/officeDocument/2006/relationships/hyperlink" Target="https://pbs.twimg.com/profile_images/611834314586750976/feZ5fZOO_normal.png" TargetMode="External"/><Relationship Id="rId5903" Type="http://schemas.openxmlformats.org/officeDocument/2006/relationships/hyperlink" Target="https://pbs.twimg.com/profile_images/2813636657/599521f69e2bc210a57323b64d8e39e6_normal.jpeg" TargetMode="External"/><Relationship Id="rId5904" Type="http://schemas.openxmlformats.org/officeDocument/2006/relationships/hyperlink" Target="https://twitter.com/coding_jobfeeds" TargetMode="External"/><Relationship Id="rId5909" Type="http://schemas.openxmlformats.org/officeDocument/2006/relationships/hyperlink" Target="https://pbs.twimg.com/profile_images/611834314586750976/feZ5fZOO_normal.png" TargetMode="External"/><Relationship Id="rId5907" Type="http://schemas.openxmlformats.org/officeDocument/2006/relationships/hyperlink" Target="https://twitter.com/coding_jobfeeds" TargetMode="External"/><Relationship Id="rId5908" Type="http://schemas.openxmlformats.org/officeDocument/2006/relationships/hyperlink" Target="https://twitter.com/coding_jobfeeds/status/703085869209690112" TargetMode="External"/><Relationship Id="rId8181" Type="http://schemas.openxmlformats.org/officeDocument/2006/relationships/hyperlink" Target="https://twitter.com/crisodisy/status/703225733615845376" TargetMode="External"/><Relationship Id="rId8180" Type="http://schemas.openxmlformats.org/officeDocument/2006/relationships/hyperlink" Target="https://twitter.com/crisodisy" TargetMode="External"/><Relationship Id="rId8174" Type="http://schemas.openxmlformats.org/officeDocument/2006/relationships/hyperlink" Target="http://dlvr.it" TargetMode="External"/><Relationship Id="rId8173" Type="http://schemas.openxmlformats.org/officeDocument/2006/relationships/hyperlink" Target="https://twitter.com/artwisanggeni/status/703225586232090625" TargetMode="External"/><Relationship Id="rId8172" Type="http://schemas.openxmlformats.org/officeDocument/2006/relationships/hyperlink" Target="https://twitter.com/artwisanggeni" TargetMode="External"/><Relationship Id="rId8171" Type="http://schemas.openxmlformats.org/officeDocument/2006/relationships/hyperlink" Target="https://pbs.twimg.com/profile_images/2813636657/599521f69e2bc210a57323b64d8e39e6_normal.jpeg" TargetMode="External"/><Relationship Id="rId8178" Type="http://schemas.openxmlformats.org/officeDocument/2006/relationships/hyperlink" Target="http://dlvr.it" TargetMode="External"/><Relationship Id="rId8177" Type="http://schemas.openxmlformats.org/officeDocument/2006/relationships/hyperlink" Target="https://twitter.com/artwisanggeni/status/703225590061490180" TargetMode="External"/><Relationship Id="rId8176" Type="http://schemas.openxmlformats.org/officeDocument/2006/relationships/hyperlink" Target="https://twitter.com/artwisanggeni" TargetMode="External"/><Relationship Id="rId8175" Type="http://schemas.openxmlformats.org/officeDocument/2006/relationships/hyperlink" Target="https://pbs.twimg.com/profile_images/2813636657/599521f69e2bc210a57323b64d8e39e6_normal.jpeg" TargetMode="External"/><Relationship Id="rId8179" Type="http://schemas.openxmlformats.org/officeDocument/2006/relationships/hyperlink" Target="https://pbs.twimg.com/profile_images/2813636657/599521f69e2bc210a57323b64d8e39e6_normal.jpeg" TargetMode="External"/><Relationship Id="rId2027" Type="http://schemas.openxmlformats.org/officeDocument/2006/relationships/hyperlink" Target="https://twitter.com/toptalllc" TargetMode="External"/><Relationship Id="rId3359" Type="http://schemas.openxmlformats.org/officeDocument/2006/relationships/hyperlink" Target="https://twitter.com/__pythonist__/status/702943944276123649" TargetMode="External"/><Relationship Id="rId2028" Type="http://schemas.openxmlformats.org/officeDocument/2006/relationships/hyperlink" Target="https://twitter.com/toptalllc/status/702891166253985792" TargetMode="External"/><Relationship Id="rId3358" Type="http://schemas.openxmlformats.org/officeDocument/2006/relationships/hyperlink" Target="https://twitter.com/__pythonist__" TargetMode="External"/><Relationship Id="rId4689" Type="http://schemas.openxmlformats.org/officeDocument/2006/relationships/hyperlink" Target="https://twitter.com/rahulmanelkar/status/703011962708320257" TargetMode="External"/><Relationship Id="rId2029" Type="http://schemas.openxmlformats.org/officeDocument/2006/relationships/hyperlink" Target="https://pbs.twimg.com/profile_images/676789130504839169/8YieI-oQ_normal.png" TargetMode="External"/><Relationship Id="rId107" Type="http://schemas.openxmlformats.org/officeDocument/2006/relationships/hyperlink" Target="https://twitter.com/py_nsk" TargetMode="External"/><Relationship Id="rId106" Type="http://schemas.openxmlformats.org/officeDocument/2006/relationships/hyperlink" Target="https://pbs.twimg.com/profile_images/666624055479439360/WqQ1VRPB_normal.jpg" TargetMode="External"/><Relationship Id="rId105" Type="http://schemas.openxmlformats.org/officeDocument/2006/relationships/hyperlink" Target="https://twitter.com/omarsar0/status/702779912814358528" TargetMode="External"/><Relationship Id="rId104" Type="http://schemas.openxmlformats.org/officeDocument/2006/relationships/hyperlink" Target="https://twitter.com/omarsar0" TargetMode="External"/><Relationship Id="rId109" Type="http://schemas.openxmlformats.org/officeDocument/2006/relationships/hyperlink" Target="https://pbs.twimg.com/profile_images/628733919282745345/Nhm3X3iC_normal.png" TargetMode="External"/><Relationship Id="rId4680" Type="http://schemas.openxmlformats.org/officeDocument/2006/relationships/hyperlink" Target="https://twitter.com/cool_python/status/703011430614880256" TargetMode="External"/><Relationship Id="rId108" Type="http://schemas.openxmlformats.org/officeDocument/2006/relationships/hyperlink" Target="https://twitter.com/py_nsk/status/702780024848523264" TargetMode="External"/><Relationship Id="rId3351" Type="http://schemas.openxmlformats.org/officeDocument/2006/relationships/hyperlink" Target="https://pbs.twimg.com/profile_images/683144332971384832/RFFdHIXW_normal.png" TargetMode="External"/><Relationship Id="rId4682" Type="http://schemas.openxmlformats.org/officeDocument/2006/relationships/hyperlink" Target="https://twitter.com/getzegami" TargetMode="External"/><Relationship Id="rId2020" Type="http://schemas.openxmlformats.org/officeDocument/2006/relationships/hyperlink" Target="https://pbs.twimg.com/profile_images/676343744250044416/OidH-eFp_normal.png" TargetMode="External"/><Relationship Id="rId3350" Type="http://schemas.openxmlformats.org/officeDocument/2006/relationships/hyperlink" Target="https://twitter.com/GamerThriftBot/status/702943169550225408" TargetMode="External"/><Relationship Id="rId4681" Type="http://schemas.openxmlformats.org/officeDocument/2006/relationships/hyperlink" Target="https://pbs.twimg.com/profile_images/572091631055028224/Pkx__FSB_normal.png" TargetMode="External"/><Relationship Id="rId2021" Type="http://schemas.openxmlformats.org/officeDocument/2006/relationships/hyperlink" Target="https://twitter.com/Mikael_Furesjo" TargetMode="External"/><Relationship Id="rId3353" Type="http://schemas.openxmlformats.org/officeDocument/2006/relationships/hyperlink" Target="https://twitter.com/proinsanitus/status/702943352451371010" TargetMode="External"/><Relationship Id="rId4684" Type="http://schemas.openxmlformats.org/officeDocument/2006/relationships/hyperlink" Target="https://pbs.twimg.com/profile_images/530395094528974848/vB7lc4U7_normal.png" TargetMode="External"/><Relationship Id="rId2022" Type="http://schemas.openxmlformats.org/officeDocument/2006/relationships/hyperlink" Target="https://twitter.com/Mikael_Furesjo/status/702890977485312000" TargetMode="External"/><Relationship Id="rId3352" Type="http://schemas.openxmlformats.org/officeDocument/2006/relationships/hyperlink" Target="https://twitter.com/proinsanitus" TargetMode="External"/><Relationship Id="rId4683" Type="http://schemas.openxmlformats.org/officeDocument/2006/relationships/hyperlink" Target="https://twitter.com/getzegami/status/703011558436184064" TargetMode="External"/><Relationship Id="rId103" Type="http://schemas.openxmlformats.org/officeDocument/2006/relationships/hyperlink" Target="https://pbs.twimg.com/profile_images/699810062752059393/NQQfSM9g_normal.jpg" TargetMode="External"/><Relationship Id="rId2023" Type="http://schemas.openxmlformats.org/officeDocument/2006/relationships/hyperlink" Target="https://pbs.twimg.com/profile_images/541967225691713536/sEjIUqRQ_normal.jpeg" TargetMode="External"/><Relationship Id="rId3355" Type="http://schemas.openxmlformats.org/officeDocument/2006/relationships/hyperlink" Target="https://twitter.com/bustmykeyboard" TargetMode="External"/><Relationship Id="rId4686" Type="http://schemas.openxmlformats.org/officeDocument/2006/relationships/hyperlink" Target="https://twitter.com/b1eedr/status/703011669723713536" TargetMode="External"/><Relationship Id="rId102" Type="http://schemas.openxmlformats.org/officeDocument/2006/relationships/hyperlink" Target="https://twitter.com/javascriptSaBOT/status/702779639706492928" TargetMode="External"/><Relationship Id="rId2024" Type="http://schemas.openxmlformats.org/officeDocument/2006/relationships/hyperlink" Target="https://twitter.com/py3k" TargetMode="External"/><Relationship Id="rId3354" Type="http://schemas.openxmlformats.org/officeDocument/2006/relationships/hyperlink" Target="https://pbs.twimg.com/profile_images/690780193535819780/SzAvsI5D_normal.png" TargetMode="External"/><Relationship Id="rId4685" Type="http://schemas.openxmlformats.org/officeDocument/2006/relationships/hyperlink" Target="https://twitter.com/b1eedr" TargetMode="External"/><Relationship Id="rId101" Type="http://schemas.openxmlformats.org/officeDocument/2006/relationships/hyperlink" Target="https://twitter.com/javascriptSaBOT" TargetMode="External"/><Relationship Id="rId2025" Type="http://schemas.openxmlformats.org/officeDocument/2006/relationships/hyperlink" Target="https://twitter.com/py3k/status/702891106493730816" TargetMode="External"/><Relationship Id="rId3357" Type="http://schemas.openxmlformats.org/officeDocument/2006/relationships/hyperlink" Target="https://pbs.twimg.com/profile_images/684610289082355712/LQ0gVH0f_normal.jpg" TargetMode="External"/><Relationship Id="rId4688" Type="http://schemas.openxmlformats.org/officeDocument/2006/relationships/hyperlink" Target="https://twitter.com/rahulmanelkar" TargetMode="External"/><Relationship Id="rId100" Type="http://schemas.openxmlformats.org/officeDocument/2006/relationships/hyperlink" Target="https://abs.twimg.com/sticky/default_profile_images/default_profile_3_normal.png" TargetMode="External"/><Relationship Id="rId2026" Type="http://schemas.openxmlformats.org/officeDocument/2006/relationships/hyperlink" Target="https://pbs.twimg.com/profile_images/2474433856/p075cerxh0arpea6ceip_normal.png" TargetMode="External"/><Relationship Id="rId3356" Type="http://schemas.openxmlformats.org/officeDocument/2006/relationships/hyperlink" Target="https://twitter.com/bustmykeyboard/status/702943846573875200" TargetMode="External"/><Relationship Id="rId4687" Type="http://schemas.openxmlformats.org/officeDocument/2006/relationships/hyperlink" Target="https://pbs.twimg.com/profile_images/653007517912461313/JlluQwPj_normal.jpg" TargetMode="External"/><Relationship Id="rId2016" Type="http://schemas.openxmlformats.org/officeDocument/2006/relationships/hyperlink" Target="https://twitter.com/kierisi/status/702890828302168064" TargetMode="External"/><Relationship Id="rId3348" Type="http://schemas.openxmlformats.org/officeDocument/2006/relationships/hyperlink" Target="https://pbs.twimg.com/profile_images/595719736782168064/pGGE0S1o_normal.jpg" TargetMode="External"/><Relationship Id="rId4679" Type="http://schemas.openxmlformats.org/officeDocument/2006/relationships/hyperlink" Target="https://twitter.com/cool_python" TargetMode="External"/><Relationship Id="rId2017" Type="http://schemas.openxmlformats.org/officeDocument/2006/relationships/hyperlink" Target="https://pbs.twimg.com/profile_images/679646902145556480/cM-3XPTI_normal.jpg" TargetMode="External"/><Relationship Id="rId3347" Type="http://schemas.openxmlformats.org/officeDocument/2006/relationships/hyperlink" Target="https://twitter.com/py_coding/status/702942901597315074" TargetMode="External"/><Relationship Id="rId4678" Type="http://schemas.openxmlformats.org/officeDocument/2006/relationships/hyperlink" Target="https://pbs.twimg.com/profile_images/572091631055028224/Pkx__FSB_normal.png" TargetMode="External"/><Relationship Id="rId2018" Type="http://schemas.openxmlformats.org/officeDocument/2006/relationships/hyperlink" Target="https://twitter.com/FreeTutsForYou" TargetMode="External"/><Relationship Id="rId2019" Type="http://schemas.openxmlformats.org/officeDocument/2006/relationships/hyperlink" Target="https://twitter.com/FreeTutsForYou/status/702890940030185472" TargetMode="External"/><Relationship Id="rId3349" Type="http://schemas.openxmlformats.org/officeDocument/2006/relationships/hyperlink" Target="https://twitter.com/GamerThriftBot" TargetMode="External"/><Relationship Id="rId3340" Type="http://schemas.openxmlformats.org/officeDocument/2006/relationships/hyperlink" Target="https://twitter.com/py_coding" TargetMode="External"/><Relationship Id="rId4671" Type="http://schemas.openxmlformats.org/officeDocument/2006/relationships/hyperlink" Target="https://twitter.com/LillianEdmiston/status/703011225765060608" TargetMode="External"/><Relationship Id="rId4670" Type="http://schemas.openxmlformats.org/officeDocument/2006/relationships/hyperlink" Target="https://twitter.com/LillianEdmiston" TargetMode="External"/><Relationship Id="rId2010" Type="http://schemas.openxmlformats.org/officeDocument/2006/relationships/hyperlink" Target="https://twitter.com/lcrsilveira/status/702890348553482240" TargetMode="External"/><Relationship Id="rId3342" Type="http://schemas.openxmlformats.org/officeDocument/2006/relationships/hyperlink" Target="https://pbs.twimg.com/profile_images/595719736782168064/pGGE0S1o_normal.jpg" TargetMode="External"/><Relationship Id="rId4673" Type="http://schemas.openxmlformats.org/officeDocument/2006/relationships/hyperlink" Target="https://twitter.com/LillianEdmiston" TargetMode="External"/><Relationship Id="rId2011" Type="http://schemas.openxmlformats.org/officeDocument/2006/relationships/hyperlink" Target="https://pbs.twimg.com/profile_images/702728265144909824/Coy0viLQ_normal.jpg" TargetMode="External"/><Relationship Id="rId3341" Type="http://schemas.openxmlformats.org/officeDocument/2006/relationships/hyperlink" Target="https://twitter.com/py_coding/status/702942770252681217" TargetMode="External"/><Relationship Id="rId4672" Type="http://schemas.openxmlformats.org/officeDocument/2006/relationships/hyperlink" Target="https://pbs.twimg.com/profile_images/655014978101993476/ZpsnJW8B_normal.jpg" TargetMode="External"/><Relationship Id="rId2012" Type="http://schemas.openxmlformats.org/officeDocument/2006/relationships/hyperlink" Target="https://twitter.com/conklin_b" TargetMode="External"/><Relationship Id="rId3344" Type="http://schemas.openxmlformats.org/officeDocument/2006/relationships/hyperlink" Target="https://twitter.com/py_coding/status/702942770273636352" TargetMode="External"/><Relationship Id="rId4675" Type="http://schemas.openxmlformats.org/officeDocument/2006/relationships/hyperlink" Target="https://pbs.twimg.com/profile_images/655014978101993476/ZpsnJW8B_normal.jpg" TargetMode="External"/><Relationship Id="rId2013" Type="http://schemas.openxmlformats.org/officeDocument/2006/relationships/hyperlink" Target="https://twitter.com/conklin_b/status/702890712396754945" TargetMode="External"/><Relationship Id="rId3343" Type="http://schemas.openxmlformats.org/officeDocument/2006/relationships/hyperlink" Target="https://twitter.com/py_coding" TargetMode="External"/><Relationship Id="rId4674" Type="http://schemas.openxmlformats.org/officeDocument/2006/relationships/hyperlink" Target="https://twitter.com/LillianEdmiston/status/703011228097052672" TargetMode="External"/><Relationship Id="rId2014" Type="http://schemas.openxmlformats.org/officeDocument/2006/relationships/hyperlink" Target="https://pbs.twimg.com/profile_images/696790914610540545/C_FOEuhd_normal.jpg" TargetMode="External"/><Relationship Id="rId3346" Type="http://schemas.openxmlformats.org/officeDocument/2006/relationships/hyperlink" Target="https://twitter.com/py_coding" TargetMode="External"/><Relationship Id="rId4677" Type="http://schemas.openxmlformats.org/officeDocument/2006/relationships/hyperlink" Target="https://twitter.com/cool_python/status/703011429671182337" TargetMode="External"/><Relationship Id="rId2015" Type="http://schemas.openxmlformats.org/officeDocument/2006/relationships/hyperlink" Target="https://twitter.com/kierisi" TargetMode="External"/><Relationship Id="rId3345" Type="http://schemas.openxmlformats.org/officeDocument/2006/relationships/hyperlink" Target="https://pbs.twimg.com/profile_images/595719736782168064/pGGE0S1o_normal.jpg" TargetMode="External"/><Relationship Id="rId4676" Type="http://schemas.openxmlformats.org/officeDocument/2006/relationships/hyperlink" Target="https://twitter.com/cool_python" TargetMode="External"/><Relationship Id="rId2049" Type="http://schemas.openxmlformats.org/officeDocument/2006/relationships/hyperlink" Target="https://twitter.com/cool_python" TargetMode="External"/><Relationship Id="rId129" Type="http://schemas.openxmlformats.org/officeDocument/2006/relationships/hyperlink" Target="https://twitter.com/sam_et_max/status/702780895435030528" TargetMode="External"/><Relationship Id="rId128" Type="http://schemas.openxmlformats.org/officeDocument/2006/relationships/hyperlink" Target="https://twitter.com/sam_et_max" TargetMode="External"/><Relationship Id="rId127" Type="http://schemas.openxmlformats.org/officeDocument/2006/relationships/hyperlink" Target="https://pbs.twimg.com/profile_images/695642719948009474/s9J4OUA9_normal.jpg" TargetMode="External"/><Relationship Id="rId126" Type="http://schemas.openxmlformats.org/officeDocument/2006/relationships/hyperlink" Target="https://twitter.com/anioko1/status/702780842289061888" TargetMode="External"/><Relationship Id="rId3371" Type="http://schemas.openxmlformats.org/officeDocument/2006/relationships/hyperlink" Target="https://twitter.com/JoshuaLongUK/status/702944119090450432" TargetMode="External"/><Relationship Id="rId2040" Type="http://schemas.openxmlformats.org/officeDocument/2006/relationships/hyperlink" Target="https://twitter.com/cmssupport247/status/702891935086686208" TargetMode="External"/><Relationship Id="rId3370" Type="http://schemas.openxmlformats.org/officeDocument/2006/relationships/hyperlink" Target="https://twitter.com/JoshuaLongUK" TargetMode="External"/><Relationship Id="rId121" Type="http://schemas.openxmlformats.org/officeDocument/2006/relationships/hyperlink" Target="https://pbs.twimg.com/profile_images/655014978101993476/ZpsnJW8B_normal.jpg" TargetMode="External"/><Relationship Id="rId2041" Type="http://schemas.openxmlformats.org/officeDocument/2006/relationships/hyperlink" Target="https://pbs.twimg.com/profile_images/550328440574849025/bBPoyil7_normal.png" TargetMode="External"/><Relationship Id="rId3373" Type="http://schemas.openxmlformats.org/officeDocument/2006/relationships/hyperlink" Target="https://twitter.com/MTotolrahaman" TargetMode="External"/><Relationship Id="rId120" Type="http://schemas.openxmlformats.org/officeDocument/2006/relationships/hyperlink" Target="https://twitter.com/LillianEdmiston/status/702780824865873920" TargetMode="External"/><Relationship Id="rId2042" Type="http://schemas.openxmlformats.org/officeDocument/2006/relationships/hyperlink" Target="https://twitter.com/RealPython" TargetMode="External"/><Relationship Id="rId3372" Type="http://schemas.openxmlformats.org/officeDocument/2006/relationships/hyperlink" Target="https://pbs.twimg.com/profile_images/627996138403168256/DaASdgVr_normal.jpg" TargetMode="External"/><Relationship Id="rId2043" Type="http://schemas.openxmlformats.org/officeDocument/2006/relationships/hyperlink" Target="http://RealPython.com" TargetMode="External"/><Relationship Id="rId3375" Type="http://schemas.openxmlformats.org/officeDocument/2006/relationships/hyperlink" Target="https://pbs.twimg.com/profile_images/677493910256484352/-EdVaVPl_normal.jpg" TargetMode="External"/><Relationship Id="rId2044" Type="http://schemas.openxmlformats.org/officeDocument/2006/relationships/hyperlink" Target="https://twitter.com/RealPython/status/702892104666652672" TargetMode="External"/><Relationship Id="rId3374" Type="http://schemas.openxmlformats.org/officeDocument/2006/relationships/hyperlink" Target="https://twitter.com/MTotolrahaman/status/702944206822744064" TargetMode="External"/><Relationship Id="rId125" Type="http://schemas.openxmlformats.org/officeDocument/2006/relationships/hyperlink" Target="https://twitter.com/anioko1" TargetMode="External"/><Relationship Id="rId2045" Type="http://schemas.openxmlformats.org/officeDocument/2006/relationships/hyperlink" Target="https://pbs.twimg.com/profile_images/3312468366/129323224633d71286101d517a2f9817_normal.png" TargetMode="External"/><Relationship Id="rId3377" Type="http://schemas.openxmlformats.org/officeDocument/2006/relationships/hyperlink" Target="https://twitter.com/programmableweb/status/702944468446609412" TargetMode="External"/><Relationship Id="rId124" Type="http://schemas.openxmlformats.org/officeDocument/2006/relationships/hyperlink" Target="https://pbs.twimg.com/profile_images/481334978161029120/iu3zZFEk_normal.png" TargetMode="External"/><Relationship Id="rId2046" Type="http://schemas.openxmlformats.org/officeDocument/2006/relationships/hyperlink" Target="https://twitter.com/radhikaostny" TargetMode="External"/><Relationship Id="rId3376" Type="http://schemas.openxmlformats.org/officeDocument/2006/relationships/hyperlink" Target="https://twitter.com/programmableweb" TargetMode="External"/><Relationship Id="rId123" Type="http://schemas.openxmlformats.org/officeDocument/2006/relationships/hyperlink" Target="https://twitter.com/ameanmbot/status/702780826912755712" TargetMode="External"/><Relationship Id="rId2047" Type="http://schemas.openxmlformats.org/officeDocument/2006/relationships/hyperlink" Target="https://twitter.com/radhikaostny/status/702892147922571264" TargetMode="External"/><Relationship Id="rId3379" Type="http://schemas.openxmlformats.org/officeDocument/2006/relationships/hyperlink" Target="https://twitter.com/vasudevram" TargetMode="External"/><Relationship Id="rId122" Type="http://schemas.openxmlformats.org/officeDocument/2006/relationships/hyperlink" Target="https://twitter.com/ameanmbot" TargetMode="External"/><Relationship Id="rId2048" Type="http://schemas.openxmlformats.org/officeDocument/2006/relationships/hyperlink" Target="https://pbs.twimg.com/profile_images/463681258598309890/gAkNIqvj_normal.jpeg" TargetMode="External"/><Relationship Id="rId3378" Type="http://schemas.openxmlformats.org/officeDocument/2006/relationships/hyperlink" Target="https://pbs.twimg.com/profile_images/461304924672774144/7Y4K_YPl_normal.png" TargetMode="External"/><Relationship Id="rId2038" Type="http://schemas.openxmlformats.org/officeDocument/2006/relationships/hyperlink" Target="https://pbs.twimg.com/profile_images/703266586933764097/Xy8eks2C_normal.jpg" TargetMode="External"/><Relationship Id="rId2039" Type="http://schemas.openxmlformats.org/officeDocument/2006/relationships/hyperlink" Target="https://twitter.com/cmssupport247" TargetMode="External"/><Relationship Id="rId3369" Type="http://schemas.openxmlformats.org/officeDocument/2006/relationships/hyperlink" Target="https://pbs.twimg.com/profile_images/627996138403168256/DaASdgVr_normal.jpg" TargetMode="External"/><Relationship Id="rId118" Type="http://schemas.openxmlformats.org/officeDocument/2006/relationships/hyperlink" Target="https://pbs.twimg.com/profile_images/667320241102454784/lcRdAWy6_normal.jpg" TargetMode="External"/><Relationship Id="rId117" Type="http://schemas.openxmlformats.org/officeDocument/2006/relationships/hyperlink" Target="https://twitter.com/teacheraorg/status/702780818876448768" TargetMode="External"/><Relationship Id="rId116" Type="http://schemas.openxmlformats.org/officeDocument/2006/relationships/hyperlink" Target="https://twitter.com/teacheraorg" TargetMode="External"/><Relationship Id="rId115" Type="http://schemas.openxmlformats.org/officeDocument/2006/relationships/hyperlink" Target="https://pbs.twimg.com/profile_images/344513261568829423/5a7d0257036baf58b884dea7a3f5e182_normal.jpeg" TargetMode="External"/><Relationship Id="rId3360" Type="http://schemas.openxmlformats.org/officeDocument/2006/relationships/hyperlink" Target="https://pbs.twimg.com/profile_images/671078379500658688/PDOMM_Xp_normal.jpg" TargetMode="External"/><Relationship Id="rId4691" Type="http://schemas.openxmlformats.org/officeDocument/2006/relationships/hyperlink" Target="https://twitter.com/wcmckeedotcom" TargetMode="External"/><Relationship Id="rId119" Type="http://schemas.openxmlformats.org/officeDocument/2006/relationships/hyperlink" Target="https://twitter.com/LillianEdmiston" TargetMode="External"/><Relationship Id="rId4690" Type="http://schemas.openxmlformats.org/officeDocument/2006/relationships/hyperlink" Target="https://pbs.twimg.com/profile_images/941093029/s619941352_368138_3405_normal.jpg" TargetMode="External"/><Relationship Id="rId110" Type="http://schemas.openxmlformats.org/officeDocument/2006/relationships/hyperlink" Target="https://twitter.com/tweet_poke_" TargetMode="External"/><Relationship Id="rId2030" Type="http://schemas.openxmlformats.org/officeDocument/2006/relationships/hyperlink" Target="https://twitter.com/HarlanMilkove" TargetMode="External"/><Relationship Id="rId3362" Type="http://schemas.openxmlformats.org/officeDocument/2006/relationships/hyperlink" Target="https://twitter.com/HartwigMicheal/status/702944076144971780" TargetMode="External"/><Relationship Id="rId4693" Type="http://schemas.openxmlformats.org/officeDocument/2006/relationships/hyperlink" Target="https://pbs.twimg.com/profile_images/621211385746161664/tGchJstD_normal.jpg" TargetMode="External"/><Relationship Id="rId2031" Type="http://schemas.openxmlformats.org/officeDocument/2006/relationships/hyperlink" Target="https://twitter.com/HarlanMilkove/status/702891316766777344" TargetMode="External"/><Relationship Id="rId3361" Type="http://schemas.openxmlformats.org/officeDocument/2006/relationships/hyperlink" Target="https://twitter.com/HartwigMicheal" TargetMode="External"/><Relationship Id="rId4692" Type="http://schemas.openxmlformats.org/officeDocument/2006/relationships/hyperlink" Target="https://twitter.com/wcmckeedotcom/status/703012016227815425" TargetMode="External"/><Relationship Id="rId2032" Type="http://schemas.openxmlformats.org/officeDocument/2006/relationships/hyperlink" Target="https://pbs.twimg.com/profile_images/628445972075540480/JOvj2v1E_normal.jpg" TargetMode="External"/><Relationship Id="rId3364" Type="http://schemas.openxmlformats.org/officeDocument/2006/relationships/hyperlink" Target="https://twitter.com/JoshuaLongUK" TargetMode="External"/><Relationship Id="rId4695" Type="http://schemas.openxmlformats.org/officeDocument/2006/relationships/hyperlink" Target="https://twitter.com/art_control/status/703012044614868992" TargetMode="External"/><Relationship Id="rId2033" Type="http://schemas.openxmlformats.org/officeDocument/2006/relationships/hyperlink" Target="https://twitter.com/Lowerplace_PS" TargetMode="External"/><Relationship Id="rId3363" Type="http://schemas.openxmlformats.org/officeDocument/2006/relationships/hyperlink" Target="https://pbs.twimg.com/profile_images/679948461953781761/pDo9356K_normal.jpg" TargetMode="External"/><Relationship Id="rId4694" Type="http://schemas.openxmlformats.org/officeDocument/2006/relationships/hyperlink" Target="https://twitter.com/art_control" TargetMode="External"/><Relationship Id="rId114" Type="http://schemas.openxmlformats.org/officeDocument/2006/relationships/hyperlink" Target="https://twitter.com/grobaczynski/status/702780462553395200" TargetMode="External"/><Relationship Id="rId2034" Type="http://schemas.openxmlformats.org/officeDocument/2006/relationships/hyperlink" Target="https://twitter.com/Lowerplace_PS/status/702891362237161472" TargetMode="External"/><Relationship Id="rId3366" Type="http://schemas.openxmlformats.org/officeDocument/2006/relationships/hyperlink" Target="https://pbs.twimg.com/profile_images/627996138403168256/DaASdgVr_normal.jpg" TargetMode="External"/><Relationship Id="rId4697" Type="http://schemas.openxmlformats.org/officeDocument/2006/relationships/hyperlink" Target="https://twitter.com/Emanuelstifler1" TargetMode="External"/><Relationship Id="rId113" Type="http://schemas.openxmlformats.org/officeDocument/2006/relationships/hyperlink" Target="https://twitter.com/grobaczynski" TargetMode="External"/><Relationship Id="rId2035" Type="http://schemas.openxmlformats.org/officeDocument/2006/relationships/hyperlink" Target="https://pbs.twimg.com/profile_images/671716880193859584/AKi9iaAf_normal.jpg" TargetMode="External"/><Relationship Id="rId3365" Type="http://schemas.openxmlformats.org/officeDocument/2006/relationships/hyperlink" Target="https://twitter.com/JoshuaLongUK/status/702944116586508288" TargetMode="External"/><Relationship Id="rId4696" Type="http://schemas.openxmlformats.org/officeDocument/2006/relationships/hyperlink" Target="https://pbs.twimg.com/profile_images/649004216690675712/UAcrP6ol_normal.png" TargetMode="External"/><Relationship Id="rId112" Type="http://schemas.openxmlformats.org/officeDocument/2006/relationships/hyperlink" Target="https://pbs.twimg.com/profile_images/578537216823144448/GW-4L7Mg_normal.png" TargetMode="External"/><Relationship Id="rId2036" Type="http://schemas.openxmlformats.org/officeDocument/2006/relationships/hyperlink" Target="https://twitter.com/dataiku" TargetMode="External"/><Relationship Id="rId3368" Type="http://schemas.openxmlformats.org/officeDocument/2006/relationships/hyperlink" Target="https://twitter.com/JoshuaLongUK/status/702944118020960258" TargetMode="External"/><Relationship Id="rId4699" Type="http://schemas.openxmlformats.org/officeDocument/2006/relationships/hyperlink" Target="https://pbs.twimg.com/profile_images/631909618130755585/nR2dXGKb_normal.jpg" TargetMode="External"/><Relationship Id="rId111" Type="http://schemas.openxmlformats.org/officeDocument/2006/relationships/hyperlink" Target="https://twitter.com/tweet_poke_/status/702780080582430722" TargetMode="External"/><Relationship Id="rId2037" Type="http://schemas.openxmlformats.org/officeDocument/2006/relationships/hyperlink" Target="https://twitter.com/dataiku/status/702891914195017728" TargetMode="External"/><Relationship Id="rId3367" Type="http://schemas.openxmlformats.org/officeDocument/2006/relationships/hyperlink" Target="https://twitter.com/JoshuaLongUK" TargetMode="External"/><Relationship Id="rId4698" Type="http://schemas.openxmlformats.org/officeDocument/2006/relationships/hyperlink" Target="https://twitter.com/Emanuelstifler1/status/703012086134104064" TargetMode="External"/><Relationship Id="rId3315" Type="http://schemas.openxmlformats.org/officeDocument/2006/relationships/hyperlink" Target="https://pbs.twimg.com/profile_images/700674879540981761/fKiyB9Ye_normal.png" TargetMode="External"/><Relationship Id="rId4646" Type="http://schemas.openxmlformats.org/officeDocument/2006/relationships/hyperlink" Target="https://twitter.com/getzegami" TargetMode="External"/><Relationship Id="rId5978" Type="http://schemas.openxmlformats.org/officeDocument/2006/relationships/hyperlink" Target="https://twitter.com/BigDataTweetBot/status/703092337245712384" TargetMode="External"/><Relationship Id="rId3314" Type="http://schemas.openxmlformats.org/officeDocument/2006/relationships/hyperlink" Target="https://twitter.com/techmix_/status/702941899951316993" TargetMode="External"/><Relationship Id="rId4645" Type="http://schemas.openxmlformats.org/officeDocument/2006/relationships/hyperlink" Target="https://pbs.twimg.com/profile_images/662039977849589760/-bw8hiZo_normal.jpg" TargetMode="External"/><Relationship Id="rId5979" Type="http://schemas.openxmlformats.org/officeDocument/2006/relationships/hyperlink" Target="https://pbs.twimg.com/profile_images/616793252524650496/bQbxJqmz_normal.jpg" TargetMode="External"/><Relationship Id="rId3317" Type="http://schemas.openxmlformats.org/officeDocument/2006/relationships/hyperlink" Target="https://twitter.com/jcouch50/status/702941994927177728" TargetMode="External"/><Relationship Id="rId4648" Type="http://schemas.openxmlformats.org/officeDocument/2006/relationships/hyperlink" Target="https://pbs.twimg.com/profile_images/530395094528974848/vB7lc4U7_normal.png" TargetMode="External"/><Relationship Id="rId5976" Type="http://schemas.openxmlformats.org/officeDocument/2006/relationships/hyperlink" Target="https://pbs.twimg.com/profile_images/694561797433597952/qBf2e5SB_normal.jpg" TargetMode="External"/><Relationship Id="rId3316" Type="http://schemas.openxmlformats.org/officeDocument/2006/relationships/hyperlink" Target="https://twitter.com/jcouch50" TargetMode="External"/><Relationship Id="rId4647" Type="http://schemas.openxmlformats.org/officeDocument/2006/relationships/hyperlink" Target="https://twitter.com/getzegami/status/703010847493197826" TargetMode="External"/><Relationship Id="rId5977" Type="http://schemas.openxmlformats.org/officeDocument/2006/relationships/hyperlink" Target="https://twitter.com/BigDataTweetBot" TargetMode="External"/><Relationship Id="rId3319" Type="http://schemas.openxmlformats.org/officeDocument/2006/relationships/hyperlink" Target="https://twitter.com/viniciusban" TargetMode="External"/><Relationship Id="rId3318" Type="http://schemas.openxmlformats.org/officeDocument/2006/relationships/hyperlink" Target="https://pbs.twimg.com/profile_images/586630962831872000/COcDkO5V_normal.jpg" TargetMode="External"/><Relationship Id="rId4649" Type="http://schemas.openxmlformats.org/officeDocument/2006/relationships/hyperlink" Target="https://twitter.com/DrAndyPardoe" TargetMode="External"/><Relationship Id="rId5970" Type="http://schemas.openxmlformats.org/officeDocument/2006/relationships/hyperlink" Target="https://pbs.twimg.com/profile_images/596644258674802688/m2OhULtZ_normal.jpg" TargetMode="External"/><Relationship Id="rId5971" Type="http://schemas.openxmlformats.org/officeDocument/2006/relationships/hyperlink" Target="https://twitter.com/matthewtanner" TargetMode="External"/><Relationship Id="rId4640" Type="http://schemas.openxmlformats.org/officeDocument/2006/relationships/hyperlink" Target="https://twitter.com/tonyCI25" TargetMode="External"/><Relationship Id="rId3311" Type="http://schemas.openxmlformats.org/officeDocument/2006/relationships/hyperlink" Target="https://twitter.com/bychancestudios/status/702941849846214656" TargetMode="External"/><Relationship Id="rId4642" Type="http://schemas.openxmlformats.org/officeDocument/2006/relationships/hyperlink" Target="https://pbs.twimg.com/profile_images/579126685326450688/tEaNKEw6_normal.jpg" TargetMode="External"/><Relationship Id="rId5974" Type="http://schemas.openxmlformats.org/officeDocument/2006/relationships/hyperlink" Target="https://twitter.com/techpearce3" TargetMode="External"/><Relationship Id="rId3310" Type="http://schemas.openxmlformats.org/officeDocument/2006/relationships/hyperlink" Target="https://twitter.com/bychancestudios" TargetMode="External"/><Relationship Id="rId4641" Type="http://schemas.openxmlformats.org/officeDocument/2006/relationships/hyperlink" Target="https://twitter.com/tonyCI25/status/703010697421131777" TargetMode="External"/><Relationship Id="rId5975" Type="http://schemas.openxmlformats.org/officeDocument/2006/relationships/hyperlink" Target="https://twitter.com/techpearce3/status/703092004465434624" TargetMode="External"/><Relationship Id="rId3313" Type="http://schemas.openxmlformats.org/officeDocument/2006/relationships/hyperlink" Target="https://twitter.com/techmix_" TargetMode="External"/><Relationship Id="rId4644" Type="http://schemas.openxmlformats.org/officeDocument/2006/relationships/hyperlink" Target="https://twitter.com/McArthurRecruit/status/703010761937915905" TargetMode="External"/><Relationship Id="rId5972" Type="http://schemas.openxmlformats.org/officeDocument/2006/relationships/hyperlink" Target="https://twitter.com/matthewtanner/status/703091789784227840" TargetMode="External"/><Relationship Id="rId3312" Type="http://schemas.openxmlformats.org/officeDocument/2006/relationships/hyperlink" Target="https://pbs.twimg.com/profile_images/701549721173667840/PU52Wf78_normal.png" TargetMode="External"/><Relationship Id="rId4643" Type="http://schemas.openxmlformats.org/officeDocument/2006/relationships/hyperlink" Target="https://twitter.com/McArthurRecruit" TargetMode="External"/><Relationship Id="rId5973" Type="http://schemas.openxmlformats.org/officeDocument/2006/relationships/hyperlink" Target="https://pbs.twimg.com/profile_images/494870848965050368/7k6DNfy2_normal.jpeg" TargetMode="External"/><Relationship Id="rId3304" Type="http://schemas.openxmlformats.org/officeDocument/2006/relationships/hyperlink" Target="https://twitter.com/bychancestudios" TargetMode="External"/><Relationship Id="rId4635" Type="http://schemas.openxmlformats.org/officeDocument/2006/relationships/hyperlink" Target="https://twitter.com/coding_jobfeeds/status/703010381204164608" TargetMode="External"/><Relationship Id="rId5967" Type="http://schemas.openxmlformats.org/officeDocument/2006/relationships/hyperlink" Target="https://pbs.twimg.com/profile_images/378800000381190818/fd4411a0b4e47162f37023dfddfaaed3_normal.jpeg" TargetMode="External"/><Relationship Id="rId3303" Type="http://schemas.openxmlformats.org/officeDocument/2006/relationships/hyperlink" Target="https://pbs.twimg.com/profile_images/413553816966266881/iqQOoyGA_normal.jpeg" TargetMode="External"/><Relationship Id="rId4634" Type="http://schemas.openxmlformats.org/officeDocument/2006/relationships/hyperlink" Target="https://twitter.com/coding_jobfeeds" TargetMode="External"/><Relationship Id="rId5968" Type="http://schemas.openxmlformats.org/officeDocument/2006/relationships/hyperlink" Target="https://twitter.com/alex_newmayer" TargetMode="External"/><Relationship Id="rId3306" Type="http://schemas.openxmlformats.org/officeDocument/2006/relationships/hyperlink" Target="https://pbs.twimg.com/profile_images/701549721173667840/PU52Wf78_normal.png" TargetMode="External"/><Relationship Id="rId4637" Type="http://schemas.openxmlformats.org/officeDocument/2006/relationships/hyperlink" Target="https://twitter.com/digitalocean" TargetMode="External"/><Relationship Id="rId5965" Type="http://schemas.openxmlformats.org/officeDocument/2006/relationships/hyperlink" Target="https://twitter.com/0verheat_82" TargetMode="External"/><Relationship Id="rId3305" Type="http://schemas.openxmlformats.org/officeDocument/2006/relationships/hyperlink" Target="https://twitter.com/bychancestudios/status/702941727825502209" TargetMode="External"/><Relationship Id="rId4636" Type="http://schemas.openxmlformats.org/officeDocument/2006/relationships/hyperlink" Target="https://pbs.twimg.com/profile_images/611834314586750976/feZ5fZOO_normal.png" TargetMode="External"/><Relationship Id="rId5966" Type="http://schemas.openxmlformats.org/officeDocument/2006/relationships/hyperlink" Target="https://twitter.com/0verheat_82/status/703090783826489345" TargetMode="External"/><Relationship Id="rId3308" Type="http://schemas.openxmlformats.org/officeDocument/2006/relationships/hyperlink" Target="https://twitter.com/bychancestudios/status/702941849816854529" TargetMode="External"/><Relationship Id="rId4639" Type="http://schemas.openxmlformats.org/officeDocument/2006/relationships/hyperlink" Target="https://pbs.twimg.com/profile_images/667756760841613312/Ot0CLWpu_normal.png" TargetMode="External"/><Relationship Id="rId3307" Type="http://schemas.openxmlformats.org/officeDocument/2006/relationships/hyperlink" Target="https://twitter.com/bychancestudios" TargetMode="External"/><Relationship Id="rId4638" Type="http://schemas.openxmlformats.org/officeDocument/2006/relationships/hyperlink" Target="https://twitter.com/digitalocean/status/703010621894352898" TargetMode="External"/><Relationship Id="rId5969" Type="http://schemas.openxmlformats.org/officeDocument/2006/relationships/hyperlink" Target="https://twitter.com/alex_newmayer/status/703090932942376961" TargetMode="External"/><Relationship Id="rId3309" Type="http://schemas.openxmlformats.org/officeDocument/2006/relationships/hyperlink" Target="https://pbs.twimg.com/profile_images/701549721173667840/PU52Wf78_normal.png" TargetMode="External"/><Relationship Id="rId5960" Type="http://schemas.openxmlformats.org/officeDocument/2006/relationships/hyperlink" Target="https://twitter.com/HopefulGeek/status/703090528942841856" TargetMode="External"/><Relationship Id="rId3300" Type="http://schemas.openxmlformats.org/officeDocument/2006/relationships/hyperlink" Target="https://pbs.twimg.com/profile_images/1198161733/analitycbridge_normal.png" TargetMode="External"/><Relationship Id="rId4631" Type="http://schemas.openxmlformats.org/officeDocument/2006/relationships/hyperlink" Target="https://twitter.com/BLKNews" TargetMode="External"/><Relationship Id="rId5963" Type="http://schemas.openxmlformats.org/officeDocument/2006/relationships/hyperlink" Target="https://twitter.com/manudellavalle/status/703090555966717952" TargetMode="External"/><Relationship Id="rId4630" Type="http://schemas.openxmlformats.org/officeDocument/2006/relationships/hyperlink" Target="https://pbs.twimg.com/profile_images/456490947287605248/4oklmBWe_normal.png" TargetMode="External"/><Relationship Id="rId5964" Type="http://schemas.openxmlformats.org/officeDocument/2006/relationships/hyperlink" Target="https://pbs.twimg.com/profile_images/651465155868495872/0FnSog7t_normal.jpg" TargetMode="External"/><Relationship Id="rId3302" Type="http://schemas.openxmlformats.org/officeDocument/2006/relationships/hyperlink" Target="https://twitter.com/mruktechreviews/status/702941709387304962" TargetMode="External"/><Relationship Id="rId4633" Type="http://schemas.openxmlformats.org/officeDocument/2006/relationships/hyperlink" Target="https://pbs.twimg.com/profile_images/561418836906614784/CXUJC--6_normal.jpeg" TargetMode="External"/><Relationship Id="rId5961" Type="http://schemas.openxmlformats.org/officeDocument/2006/relationships/hyperlink" Target="https://pbs.twimg.com/profile_images/695137208118804480/8xneexGX_normal.png" TargetMode="External"/><Relationship Id="rId3301" Type="http://schemas.openxmlformats.org/officeDocument/2006/relationships/hyperlink" Target="https://twitter.com/mruktechreviews" TargetMode="External"/><Relationship Id="rId4632" Type="http://schemas.openxmlformats.org/officeDocument/2006/relationships/hyperlink" Target="https://twitter.com/BLKNews/status/703010323024883712" TargetMode="External"/><Relationship Id="rId5962" Type="http://schemas.openxmlformats.org/officeDocument/2006/relationships/hyperlink" Target="https://twitter.com/manudellavalle" TargetMode="External"/><Relationship Id="rId2005" Type="http://schemas.openxmlformats.org/officeDocument/2006/relationships/hyperlink" Target="https://pbs.twimg.com/profile_images/604308442275266560/SQeno78r_normal.jpg" TargetMode="External"/><Relationship Id="rId3337" Type="http://schemas.openxmlformats.org/officeDocument/2006/relationships/hyperlink" Target="https://twitter.com/bevfacey" TargetMode="External"/><Relationship Id="rId4668" Type="http://schemas.openxmlformats.org/officeDocument/2006/relationships/hyperlink" Target="https://twitter.com/mikegr2518/status/703011200703926277" TargetMode="External"/><Relationship Id="rId2006" Type="http://schemas.openxmlformats.org/officeDocument/2006/relationships/hyperlink" Target="https://twitter.com/panseybard" TargetMode="External"/><Relationship Id="rId3336" Type="http://schemas.openxmlformats.org/officeDocument/2006/relationships/hyperlink" Target="https://pbs.twimg.com/profile_images/595719736782168064/pGGE0S1o_normal.jpg" TargetMode="External"/><Relationship Id="rId4667" Type="http://schemas.openxmlformats.org/officeDocument/2006/relationships/hyperlink" Target="https://twitter.com/mikegr2518" TargetMode="External"/><Relationship Id="rId2007" Type="http://schemas.openxmlformats.org/officeDocument/2006/relationships/hyperlink" Target="https://twitter.com/panseybard/status/702890240839553024" TargetMode="External"/><Relationship Id="rId3339" Type="http://schemas.openxmlformats.org/officeDocument/2006/relationships/hyperlink" Target="https://pbs.twimg.com/profile_images/443869617211969536/pXPaWuT8_normal.jpeg" TargetMode="External"/><Relationship Id="rId5998" Type="http://schemas.openxmlformats.org/officeDocument/2006/relationships/hyperlink" Target="https://twitter.com/MTotolrahaman" TargetMode="External"/><Relationship Id="rId2008" Type="http://schemas.openxmlformats.org/officeDocument/2006/relationships/hyperlink" Target="https://pbs.twimg.com/profile_images/583850259970822144/7EgtHLoT_normal.jpg" TargetMode="External"/><Relationship Id="rId3338" Type="http://schemas.openxmlformats.org/officeDocument/2006/relationships/hyperlink" Target="https://twitter.com/bevfacey/status/702942752649007105" TargetMode="External"/><Relationship Id="rId4669" Type="http://schemas.openxmlformats.org/officeDocument/2006/relationships/hyperlink" Target="https://pbs.twimg.com/profile_images/702674540489379840/mZQ6iiyS_normal.jpg" TargetMode="External"/><Relationship Id="rId5999" Type="http://schemas.openxmlformats.org/officeDocument/2006/relationships/hyperlink" Target="https://twitter.com/MTotolrahaman/status/703093103163387904" TargetMode="External"/><Relationship Id="rId2009" Type="http://schemas.openxmlformats.org/officeDocument/2006/relationships/hyperlink" Target="https://twitter.com/lcrsilveira" TargetMode="External"/><Relationship Id="rId4660" Type="http://schemas.openxmlformats.org/officeDocument/2006/relationships/hyperlink" Target="https://pbs.twimg.com/profile_images/594567778604027906/M4yQoc1Y_normal.jpg" TargetMode="External"/><Relationship Id="rId5992" Type="http://schemas.openxmlformats.org/officeDocument/2006/relationships/hyperlink" Target="https://twitter.com/rohit_joshi" TargetMode="External"/><Relationship Id="rId5993" Type="http://schemas.openxmlformats.org/officeDocument/2006/relationships/hyperlink" Target="https://twitter.com/rohit_joshi/status/703092960649285632" TargetMode="External"/><Relationship Id="rId3331" Type="http://schemas.openxmlformats.org/officeDocument/2006/relationships/hyperlink" Target="https://twitter.com/py_coding" TargetMode="External"/><Relationship Id="rId4662" Type="http://schemas.openxmlformats.org/officeDocument/2006/relationships/hyperlink" Target="https://twitter.com/OnlineChatAsst/status/703010935238168576" TargetMode="External"/><Relationship Id="rId5990" Type="http://schemas.openxmlformats.org/officeDocument/2006/relationships/hyperlink" Target="https://twitter.com/HartwigMicheal/status/703092780109725696" TargetMode="External"/><Relationship Id="rId2000" Type="http://schemas.openxmlformats.org/officeDocument/2006/relationships/hyperlink" Target="https://twitter.com/jsans66" TargetMode="External"/><Relationship Id="rId3330" Type="http://schemas.openxmlformats.org/officeDocument/2006/relationships/hyperlink" Target="https://pbs.twimg.com/profile_images/528272392766779392/5AeOFtlc_normal.jpeg" TargetMode="External"/><Relationship Id="rId4661" Type="http://schemas.openxmlformats.org/officeDocument/2006/relationships/hyperlink" Target="https://twitter.com/OnlineChatAsst" TargetMode="External"/><Relationship Id="rId5991" Type="http://schemas.openxmlformats.org/officeDocument/2006/relationships/hyperlink" Target="https://pbs.twimg.com/profile_images/679948461953781761/pDo9356K_normal.jpg" TargetMode="External"/><Relationship Id="rId2001" Type="http://schemas.openxmlformats.org/officeDocument/2006/relationships/hyperlink" Target="https://twitter.com/jsans66/status/702890036707069953" TargetMode="External"/><Relationship Id="rId3333" Type="http://schemas.openxmlformats.org/officeDocument/2006/relationships/hyperlink" Target="https://pbs.twimg.com/profile_images/595719736782168064/pGGE0S1o_normal.jpg" TargetMode="External"/><Relationship Id="rId4664" Type="http://schemas.openxmlformats.org/officeDocument/2006/relationships/hyperlink" Target="https://twitter.com/PFerate" TargetMode="External"/><Relationship Id="rId5996" Type="http://schemas.openxmlformats.org/officeDocument/2006/relationships/hyperlink" Target="https://twitter.com/kjur/status/703092971579711489" TargetMode="External"/><Relationship Id="rId2002" Type="http://schemas.openxmlformats.org/officeDocument/2006/relationships/hyperlink" Target="https://pbs.twimg.com/profile_images/691721445462917120/9vDtemRe_normal.jpg" TargetMode="External"/><Relationship Id="rId3332" Type="http://schemas.openxmlformats.org/officeDocument/2006/relationships/hyperlink" Target="https://twitter.com/py_coding/status/702942711528169474" TargetMode="External"/><Relationship Id="rId4663" Type="http://schemas.openxmlformats.org/officeDocument/2006/relationships/hyperlink" Target="https://pbs.twimg.com/profile_images/634742736025952256/fN7PwZg8_normal.jpg" TargetMode="External"/><Relationship Id="rId5997" Type="http://schemas.openxmlformats.org/officeDocument/2006/relationships/hyperlink" Target="https://pbs.twimg.com/profile_images/378800000738226821/7e58a68825d592cc4338e470d804ff42_normal.jpeg" TargetMode="External"/><Relationship Id="rId2003" Type="http://schemas.openxmlformats.org/officeDocument/2006/relationships/hyperlink" Target="https://twitter.com/XeusLEE" TargetMode="External"/><Relationship Id="rId3335" Type="http://schemas.openxmlformats.org/officeDocument/2006/relationships/hyperlink" Target="https://twitter.com/py_coding/status/702942734701694977" TargetMode="External"/><Relationship Id="rId4666" Type="http://schemas.openxmlformats.org/officeDocument/2006/relationships/hyperlink" Target="https://pbs.twimg.com/profile_images/431556181966868480/OxyPeVdI_normal.jpeg" TargetMode="External"/><Relationship Id="rId5994" Type="http://schemas.openxmlformats.org/officeDocument/2006/relationships/hyperlink" Target="https://pbs.twimg.com/profile_images/596177437802635264/uNpmvUvf_normal.jpg" TargetMode="External"/><Relationship Id="rId2004" Type="http://schemas.openxmlformats.org/officeDocument/2006/relationships/hyperlink" Target="https://twitter.com/XeusLEE/status/702890083872022529" TargetMode="External"/><Relationship Id="rId3334" Type="http://schemas.openxmlformats.org/officeDocument/2006/relationships/hyperlink" Target="https://twitter.com/py_coding" TargetMode="External"/><Relationship Id="rId4665" Type="http://schemas.openxmlformats.org/officeDocument/2006/relationships/hyperlink" Target="https://twitter.com/PFerate/status/703011109679149056" TargetMode="External"/><Relationship Id="rId5995" Type="http://schemas.openxmlformats.org/officeDocument/2006/relationships/hyperlink" Target="https://twitter.com/kjur" TargetMode="External"/><Relationship Id="rId3326" Type="http://schemas.openxmlformats.org/officeDocument/2006/relationships/hyperlink" Target="https://twitter.com/binishala/status/702942280420876288" TargetMode="External"/><Relationship Id="rId4657" Type="http://schemas.openxmlformats.org/officeDocument/2006/relationships/hyperlink" Target="https://pbs.twimg.com/profile_images/2229759095/rt_logo_symbol_glossy_normal.jpg" TargetMode="External"/><Relationship Id="rId5989" Type="http://schemas.openxmlformats.org/officeDocument/2006/relationships/hyperlink" Target="https://twitter.com/HartwigMicheal" TargetMode="External"/><Relationship Id="rId3325" Type="http://schemas.openxmlformats.org/officeDocument/2006/relationships/hyperlink" Target="https://twitter.com/binishala" TargetMode="External"/><Relationship Id="rId4656" Type="http://schemas.openxmlformats.org/officeDocument/2006/relationships/hyperlink" Target="https://twitter.com/releaseteam/status/703010881433538560" TargetMode="External"/><Relationship Id="rId3328" Type="http://schemas.openxmlformats.org/officeDocument/2006/relationships/hyperlink" Target="https://twitter.com/pvergain" TargetMode="External"/><Relationship Id="rId4659" Type="http://schemas.openxmlformats.org/officeDocument/2006/relationships/hyperlink" Target="https://twitter.com/my_danutz/status/703010886437511168" TargetMode="External"/><Relationship Id="rId5987" Type="http://schemas.openxmlformats.org/officeDocument/2006/relationships/hyperlink" Target="https://twitter.com/Vericant/status/703092631522271234" TargetMode="External"/><Relationship Id="rId3327" Type="http://schemas.openxmlformats.org/officeDocument/2006/relationships/hyperlink" Target="https://pbs.twimg.com/profile_images/690591840408592384/RHq2CSP5_normal.jpg" TargetMode="External"/><Relationship Id="rId4658" Type="http://schemas.openxmlformats.org/officeDocument/2006/relationships/hyperlink" Target="https://twitter.com/my_danutz" TargetMode="External"/><Relationship Id="rId5988" Type="http://schemas.openxmlformats.org/officeDocument/2006/relationships/hyperlink" Target="https://pbs.twimg.com/profile_images/378800000458077580/b32d2eb7402b7f5b8980827f64d9cc19_normal.png" TargetMode="External"/><Relationship Id="rId3329" Type="http://schemas.openxmlformats.org/officeDocument/2006/relationships/hyperlink" Target="https://twitter.com/pvergain/status/702942605164814336" TargetMode="External"/><Relationship Id="rId5981" Type="http://schemas.openxmlformats.org/officeDocument/2006/relationships/hyperlink" Target="https://twitter.com/JackBaldwin16/status/703092583711375362" TargetMode="External"/><Relationship Id="rId5982" Type="http://schemas.openxmlformats.org/officeDocument/2006/relationships/hyperlink" Target="https://pbs.twimg.com/profile_images/594870213696294913/oPDQNbOF_normal.jpg" TargetMode="External"/><Relationship Id="rId3320" Type="http://schemas.openxmlformats.org/officeDocument/2006/relationships/hyperlink" Target="https://twitter.com/viniciusban/status/702942183935107075" TargetMode="External"/><Relationship Id="rId4651" Type="http://schemas.openxmlformats.org/officeDocument/2006/relationships/hyperlink" Target="https://pbs.twimg.com/profile_images/485766134268837889/t4PLhSfT_normal.jpeg" TargetMode="External"/><Relationship Id="rId4650" Type="http://schemas.openxmlformats.org/officeDocument/2006/relationships/hyperlink" Target="https://twitter.com/DrAndyPardoe/status/703010866892042240" TargetMode="External"/><Relationship Id="rId5980" Type="http://schemas.openxmlformats.org/officeDocument/2006/relationships/hyperlink" Target="https://twitter.com/JackBaldwin16" TargetMode="External"/><Relationship Id="rId3322" Type="http://schemas.openxmlformats.org/officeDocument/2006/relationships/hyperlink" Target="https://twitter.com/riversevans" TargetMode="External"/><Relationship Id="rId4653" Type="http://schemas.openxmlformats.org/officeDocument/2006/relationships/hyperlink" Target="https://twitter.com/LeMeteore/status/703010880435441664" TargetMode="External"/><Relationship Id="rId5985" Type="http://schemas.openxmlformats.org/officeDocument/2006/relationships/hyperlink" Target="https://pbs.twimg.com/profile_images/586175861889445888/Wvy8WEZx_normal.png" TargetMode="External"/><Relationship Id="rId3321" Type="http://schemas.openxmlformats.org/officeDocument/2006/relationships/hyperlink" Target="https://pbs.twimg.com/profile_images/607019239661301760/dwP4tw91_normal.jpg" TargetMode="External"/><Relationship Id="rId4652" Type="http://schemas.openxmlformats.org/officeDocument/2006/relationships/hyperlink" Target="https://twitter.com/LeMeteore" TargetMode="External"/><Relationship Id="rId5986" Type="http://schemas.openxmlformats.org/officeDocument/2006/relationships/hyperlink" Target="https://twitter.com/Vericant" TargetMode="External"/><Relationship Id="rId3324" Type="http://schemas.openxmlformats.org/officeDocument/2006/relationships/hyperlink" Target="https://pbs.twimg.com/profile_images/621880598227894272/D76i5ZmY_normal.jpg" TargetMode="External"/><Relationship Id="rId4655" Type="http://schemas.openxmlformats.org/officeDocument/2006/relationships/hyperlink" Target="https://twitter.com/releaseteam" TargetMode="External"/><Relationship Id="rId5983" Type="http://schemas.openxmlformats.org/officeDocument/2006/relationships/hyperlink" Target="https://twitter.com/Ibrahimokdad" TargetMode="External"/><Relationship Id="rId3323" Type="http://schemas.openxmlformats.org/officeDocument/2006/relationships/hyperlink" Target="https://twitter.com/riversevans/status/702942230617714688" TargetMode="External"/><Relationship Id="rId4654" Type="http://schemas.openxmlformats.org/officeDocument/2006/relationships/hyperlink" Target="https://pbs.twimg.com/profile_images/428861005255278592/whrKsPik_normal.jpeg" TargetMode="External"/><Relationship Id="rId5984" Type="http://schemas.openxmlformats.org/officeDocument/2006/relationships/hyperlink" Target="https://twitter.com/Ibrahimokdad/status/703092616963862528" TargetMode="External"/><Relationship Id="rId2090" Type="http://schemas.openxmlformats.org/officeDocument/2006/relationships/hyperlink" Target="https://twitter.com/JoshuaLongUK/status/702893327583191041" TargetMode="External"/><Relationship Id="rId2091" Type="http://schemas.openxmlformats.org/officeDocument/2006/relationships/hyperlink" Target="https://pbs.twimg.com/profile_images/627996138403168256/DaASdgVr_normal.jpg" TargetMode="External"/><Relationship Id="rId2092" Type="http://schemas.openxmlformats.org/officeDocument/2006/relationships/hyperlink" Target="https://twitter.com/mpdesignerwear" TargetMode="External"/><Relationship Id="rId2093" Type="http://schemas.openxmlformats.org/officeDocument/2006/relationships/hyperlink" Target="http://misspeachy.com" TargetMode="External"/><Relationship Id="rId2094" Type="http://schemas.openxmlformats.org/officeDocument/2006/relationships/hyperlink" Target="https://twitter.com/mpdesignerwear/status/702893362744049664" TargetMode="External"/><Relationship Id="rId2095" Type="http://schemas.openxmlformats.org/officeDocument/2006/relationships/hyperlink" Target="https://pbs.twimg.com/profile_images/669168929663787008/9xsi5DQy_normal.png" TargetMode="External"/><Relationship Id="rId2096" Type="http://schemas.openxmlformats.org/officeDocument/2006/relationships/hyperlink" Target="https://twitter.com/tthus" TargetMode="External"/><Relationship Id="rId2097" Type="http://schemas.openxmlformats.org/officeDocument/2006/relationships/hyperlink" Target="https://twitter.com/tthus/status/702893380452360192" TargetMode="External"/><Relationship Id="rId2098" Type="http://schemas.openxmlformats.org/officeDocument/2006/relationships/hyperlink" Target="https://pbs.twimg.com/profile_images/1798900601/Twit_profil_normal.jpg" TargetMode="External"/><Relationship Id="rId2099" Type="http://schemas.openxmlformats.org/officeDocument/2006/relationships/hyperlink" Target="https://twitter.com/JobHero_io" TargetMode="External"/><Relationship Id="rId9518" Type="http://schemas.openxmlformats.org/officeDocument/2006/relationships/hyperlink" Target="https://twitter.com/DustyBowl/status/703277617672286212" TargetMode="External"/><Relationship Id="rId9519" Type="http://schemas.openxmlformats.org/officeDocument/2006/relationships/hyperlink" Target="https://pbs.twimg.com/profile_images/568159765935562753/e1IOPKb8_normal.jpeg" TargetMode="External"/><Relationship Id="rId9514" Type="http://schemas.openxmlformats.org/officeDocument/2006/relationships/hyperlink" Target="https://twitter.com/ZLabe" TargetMode="External"/><Relationship Id="rId9515" Type="http://schemas.openxmlformats.org/officeDocument/2006/relationships/hyperlink" Target="https://twitter.com/ZLabe/status/703277483987054592" TargetMode="External"/><Relationship Id="rId9516" Type="http://schemas.openxmlformats.org/officeDocument/2006/relationships/hyperlink" Target="https://pbs.twimg.com/profile_images/696234847606411265/XS0i6RGM_normal.jpg" TargetMode="External"/><Relationship Id="rId9517" Type="http://schemas.openxmlformats.org/officeDocument/2006/relationships/hyperlink" Target="https://twitter.com/DustyBowl" TargetMode="External"/><Relationship Id="rId9510" Type="http://schemas.openxmlformats.org/officeDocument/2006/relationships/hyperlink" Target="https://pbs.twimg.com/profile_images/679566117187145728/UUo30Zpm_normal.jpg" TargetMode="External"/><Relationship Id="rId9511" Type="http://schemas.openxmlformats.org/officeDocument/2006/relationships/hyperlink" Target="https://twitter.com/hausfath" TargetMode="External"/><Relationship Id="rId9512" Type="http://schemas.openxmlformats.org/officeDocument/2006/relationships/hyperlink" Target="https://twitter.com/hausfath/status/703277223545942020" TargetMode="External"/><Relationship Id="rId9513" Type="http://schemas.openxmlformats.org/officeDocument/2006/relationships/hyperlink" Target="https://pbs.twimg.com/profile_images/489852192430366720/vv2Vmv4v_normal.jpeg" TargetMode="External"/><Relationship Id="rId9507" Type="http://schemas.openxmlformats.org/officeDocument/2006/relationships/hyperlink" Target="https://pbs.twimg.com/profile_images/1511083240/495353-96-20110728133130_normal.png" TargetMode="External"/><Relationship Id="rId9508" Type="http://schemas.openxmlformats.org/officeDocument/2006/relationships/hyperlink" Target="https://twitter.com/startechwall" TargetMode="External"/><Relationship Id="rId9509" Type="http://schemas.openxmlformats.org/officeDocument/2006/relationships/hyperlink" Target="https://twitter.com/startechwall/status/703277193644941312" TargetMode="External"/><Relationship Id="rId9503" Type="http://schemas.openxmlformats.org/officeDocument/2006/relationships/hyperlink" Target="https://twitter.com/tyrower/status/703277101189865472" TargetMode="External"/><Relationship Id="rId9504" Type="http://schemas.openxmlformats.org/officeDocument/2006/relationships/hyperlink" Target="https://pbs.twimg.com/profile_images/694290634920693760/UzMQ1qyB_normal.png" TargetMode="External"/><Relationship Id="rId9505" Type="http://schemas.openxmlformats.org/officeDocument/2006/relationships/hyperlink" Target="https://twitter.com/DebianNew" TargetMode="External"/><Relationship Id="rId9506" Type="http://schemas.openxmlformats.org/officeDocument/2006/relationships/hyperlink" Target="https://twitter.com/DebianNew/status/703277136459776000" TargetMode="External"/><Relationship Id="rId9500" Type="http://schemas.openxmlformats.org/officeDocument/2006/relationships/hyperlink" Target="https://twitter.com/chrisjrn/status/703276600679223296" TargetMode="External"/><Relationship Id="rId9501" Type="http://schemas.openxmlformats.org/officeDocument/2006/relationships/hyperlink" Target="https://pbs.twimg.com/profile_images/626843600395972609/q0pGljQG_normal.jpg" TargetMode="External"/><Relationship Id="rId9502" Type="http://schemas.openxmlformats.org/officeDocument/2006/relationships/hyperlink" Target="https://twitter.com/tyrower" TargetMode="External"/><Relationship Id="rId3391" Type="http://schemas.openxmlformats.org/officeDocument/2006/relationships/hyperlink" Target="http://dlvr.it" TargetMode="External"/><Relationship Id="rId2060" Type="http://schemas.openxmlformats.org/officeDocument/2006/relationships/hyperlink" Target="https://twitter.com/PyBloggers/status/702892723704078337" TargetMode="External"/><Relationship Id="rId3390" Type="http://schemas.openxmlformats.org/officeDocument/2006/relationships/hyperlink" Target="https://twitter.com/PythonBooks/status/702944938644762624" TargetMode="External"/><Relationship Id="rId2061" Type="http://schemas.openxmlformats.org/officeDocument/2006/relationships/hyperlink" Target="https://pbs.twimg.com/profile_images/682279186690621441/VjBmfdfj_normal.png" TargetMode="External"/><Relationship Id="rId3393" Type="http://schemas.openxmlformats.org/officeDocument/2006/relationships/hyperlink" Target="https://twitter.com/1871Chicago" TargetMode="External"/><Relationship Id="rId2062" Type="http://schemas.openxmlformats.org/officeDocument/2006/relationships/hyperlink" Target="https://twitter.com/TheDailyTechHQ" TargetMode="External"/><Relationship Id="rId3392" Type="http://schemas.openxmlformats.org/officeDocument/2006/relationships/hyperlink" Target="https://pbs.twimg.com/profile_images/702455638157168640/AeDgtn0C_normal.jpg" TargetMode="External"/><Relationship Id="rId2063" Type="http://schemas.openxmlformats.org/officeDocument/2006/relationships/hyperlink" Target="https://twitter.com/TheDailyTechHQ/status/702892745187332100" TargetMode="External"/><Relationship Id="rId3395" Type="http://schemas.openxmlformats.org/officeDocument/2006/relationships/hyperlink" Target="https://pbs.twimg.com/profile_images/565990504408440832/onbh66fx_normal.png" TargetMode="External"/><Relationship Id="rId2064" Type="http://schemas.openxmlformats.org/officeDocument/2006/relationships/hyperlink" Target="https://pbs.twimg.com/profile_images/681515268846317568/WkCbnvKS_normal.jpg" TargetMode="External"/><Relationship Id="rId3394" Type="http://schemas.openxmlformats.org/officeDocument/2006/relationships/hyperlink" Target="https://twitter.com/1871Chicago/status/702945038976880640" TargetMode="External"/><Relationship Id="rId2065" Type="http://schemas.openxmlformats.org/officeDocument/2006/relationships/hyperlink" Target="https://twitter.com/julianaseu" TargetMode="External"/><Relationship Id="rId3397" Type="http://schemas.openxmlformats.org/officeDocument/2006/relationships/hyperlink" Target="https://twitter.com/PythonBooks/status/702945167704064000" TargetMode="External"/><Relationship Id="rId2066" Type="http://schemas.openxmlformats.org/officeDocument/2006/relationships/hyperlink" Target="https://twitter.com/julianaseu/status/702892899483176960" TargetMode="External"/><Relationship Id="rId3396" Type="http://schemas.openxmlformats.org/officeDocument/2006/relationships/hyperlink" Target="https://twitter.com/PythonBooks" TargetMode="External"/><Relationship Id="rId2067" Type="http://schemas.openxmlformats.org/officeDocument/2006/relationships/hyperlink" Target="https://pbs.twimg.com/profile_images/580413138891382785/yDJj-8tb_normal.jpg" TargetMode="External"/><Relationship Id="rId3399" Type="http://schemas.openxmlformats.org/officeDocument/2006/relationships/hyperlink" Target="https://pbs.twimg.com/profile_images/702455638157168640/AeDgtn0C_normal.jpg" TargetMode="External"/><Relationship Id="rId2068" Type="http://schemas.openxmlformats.org/officeDocument/2006/relationships/hyperlink" Target="https://twitter.com/programmingncr" TargetMode="External"/><Relationship Id="rId3398" Type="http://schemas.openxmlformats.org/officeDocument/2006/relationships/hyperlink" Target="http://dlvr.it" TargetMode="External"/><Relationship Id="rId2069" Type="http://schemas.openxmlformats.org/officeDocument/2006/relationships/hyperlink" Target="https://twitter.com/programmingncr/status/702893010963537920" TargetMode="External"/><Relationship Id="rId3380" Type="http://schemas.openxmlformats.org/officeDocument/2006/relationships/hyperlink" Target="https://twitter.com/vasudevram/status/702944636717785088" TargetMode="External"/><Relationship Id="rId2050" Type="http://schemas.openxmlformats.org/officeDocument/2006/relationships/hyperlink" Target="https://twitter.com/cool_python/status/702892261785407489" TargetMode="External"/><Relationship Id="rId3382" Type="http://schemas.openxmlformats.org/officeDocument/2006/relationships/hyperlink" Target="https://twitter.com/importpython" TargetMode="External"/><Relationship Id="rId2051" Type="http://schemas.openxmlformats.org/officeDocument/2006/relationships/hyperlink" Target="https://pbs.twimg.com/profile_images/572091631055028224/Pkx__FSB_normal.png" TargetMode="External"/><Relationship Id="rId3381" Type="http://schemas.openxmlformats.org/officeDocument/2006/relationships/hyperlink" Target="https://pbs.twimg.com/profile_images/831115122/indian-bison-gaur_normal.jpg" TargetMode="External"/><Relationship Id="rId2052" Type="http://schemas.openxmlformats.org/officeDocument/2006/relationships/hyperlink" Target="https://twitter.com/shahingh" TargetMode="External"/><Relationship Id="rId3384" Type="http://schemas.openxmlformats.org/officeDocument/2006/relationships/hyperlink" Target="https://pbs.twimg.com/profile_images/518108253121552384/ClpFqPbX_normal.png" TargetMode="External"/><Relationship Id="rId2053" Type="http://schemas.openxmlformats.org/officeDocument/2006/relationships/hyperlink" Target="https://twitter.com/shahingh/status/702892394224680961" TargetMode="External"/><Relationship Id="rId3383" Type="http://schemas.openxmlformats.org/officeDocument/2006/relationships/hyperlink" Target="https://twitter.com/importpython/status/702944671190818816" TargetMode="External"/><Relationship Id="rId2054" Type="http://schemas.openxmlformats.org/officeDocument/2006/relationships/hyperlink" Target="https://pbs.twimg.com/profile_images/702730111481737216/Qag2JsV5_normal.jpg" TargetMode="External"/><Relationship Id="rId3386" Type="http://schemas.openxmlformats.org/officeDocument/2006/relationships/hyperlink" Target="https://twitter.com/PythonBooks/status/702944935289356288" TargetMode="External"/><Relationship Id="rId2055" Type="http://schemas.openxmlformats.org/officeDocument/2006/relationships/hyperlink" Target="https://twitter.com/RealPython" TargetMode="External"/><Relationship Id="rId3385" Type="http://schemas.openxmlformats.org/officeDocument/2006/relationships/hyperlink" Target="https://twitter.com/PythonBooks" TargetMode="External"/><Relationship Id="rId2056" Type="http://schemas.openxmlformats.org/officeDocument/2006/relationships/hyperlink" Target="http://RealPython.com" TargetMode="External"/><Relationship Id="rId3388" Type="http://schemas.openxmlformats.org/officeDocument/2006/relationships/hyperlink" Target="https://pbs.twimg.com/profile_images/702455638157168640/AeDgtn0C_normal.jpg" TargetMode="External"/><Relationship Id="rId2057" Type="http://schemas.openxmlformats.org/officeDocument/2006/relationships/hyperlink" Target="https://twitter.com/RealPython/status/702892584822112256" TargetMode="External"/><Relationship Id="rId3387" Type="http://schemas.openxmlformats.org/officeDocument/2006/relationships/hyperlink" Target="http://dlvr.it" TargetMode="External"/><Relationship Id="rId2058" Type="http://schemas.openxmlformats.org/officeDocument/2006/relationships/hyperlink" Target="https://pbs.twimg.com/profile_images/3312468366/129323224633d71286101d517a2f9817_normal.png" TargetMode="External"/><Relationship Id="rId2059" Type="http://schemas.openxmlformats.org/officeDocument/2006/relationships/hyperlink" Target="https://twitter.com/PyBloggers" TargetMode="External"/><Relationship Id="rId3389" Type="http://schemas.openxmlformats.org/officeDocument/2006/relationships/hyperlink" Target="https://twitter.com/PythonBooks" TargetMode="External"/><Relationship Id="rId2080" Type="http://schemas.openxmlformats.org/officeDocument/2006/relationships/hyperlink" Target="https://twitter.com/queirozMario21" TargetMode="External"/><Relationship Id="rId2081" Type="http://schemas.openxmlformats.org/officeDocument/2006/relationships/hyperlink" Target="https://twitter.com/queirozMario21/status/702893151552462849" TargetMode="External"/><Relationship Id="rId2082" Type="http://schemas.openxmlformats.org/officeDocument/2006/relationships/hyperlink" Target="https://pbs.twimg.com/profile_images/588723531204194304/PbtONEcW_normal.jpg" TargetMode="External"/><Relationship Id="rId2083" Type="http://schemas.openxmlformats.org/officeDocument/2006/relationships/hyperlink" Target="https://twitter.com/HartwigMicheal" TargetMode="External"/><Relationship Id="rId2084" Type="http://schemas.openxmlformats.org/officeDocument/2006/relationships/hyperlink" Target="https://twitter.com/HartwigMicheal/status/702893201150099456" TargetMode="External"/><Relationship Id="rId2085" Type="http://schemas.openxmlformats.org/officeDocument/2006/relationships/hyperlink" Target="https://pbs.twimg.com/profile_images/679948461953781761/pDo9356K_normal.jpg" TargetMode="External"/><Relationship Id="rId2086" Type="http://schemas.openxmlformats.org/officeDocument/2006/relationships/hyperlink" Target="https://twitter.com/mazlumagar" TargetMode="External"/><Relationship Id="rId2087" Type="http://schemas.openxmlformats.org/officeDocument/2006/relationships/hyperlink" Target="https://twitter.com/mazlumagar/status/702893298843848704" TargetMode="External"/><Relationship Id="rId2088" Type="http://schemas.openxmlformats.org/officeDocument/2006/relationships/hyperlink" Target="https://pbs.twimg.com/profile_images/588370356437553153/5LxPz5Go_normal.jpg" TargetMode="External"/><Relationship Id="rId2089" Type="http://schemas.openxmlformats.org/officeDocument/2006/relationships/hyperlink" Target="https://twitter.com/JoshuaLongUK" TargetMode="External"/><Relationship Id="rId2070" Type="http://schemas.openxmlformats.org/officeDocument/2006/relationships/hyperlink" Target="https://pbs.twimg.com/profile_images/662602436222193664/qKuvsfnG_normal.jpg" TargetMode="External"/><Relationship Id="rId2071" Type="http://schemas.openxmlformats.org/officeDocument/2006/relationships/hyperlink" Target="https://twitter.com/programmingncr" TargetMode="External"/><Relationship Id="rId2072" Type="http://schemas.openxmlformats.org/officeDocument/2006/relationships/hyperlink" Target="https://twitter.com/programmingncr/status/702893012200849408" TargetMode="External"/><Relationship Id="rId2073" Type="http://schemas.openxmlformats.org/officeDocument/2006/relationships/hyperlink" Target="https://pbs.twimg.com/profile_images/662602436222193664/qKuvsfnG_normal.jpg" TargetMode="External"/><Relationship Id="rId2074" Type="http://schemas.openxmlformats.org/officeDocument/2006/relationships/hyperlink" Target="https://twitter.com/programmingncr" TargetMode="External"/><Relationship Id="rId2075" Type="http://schemas.openxmlformats.org/officeDocument/2006/relationships/hyperlink" Target="https://twitter.com/programmingncr/status/702893013505331201" TargetMode="External"/><Relationship Id="rId2076" Type="http://schemas.openxmlformats.org/officeDocument/2006/relationships/hyperlink" Target="https://pbs.twimg.com/profile_images/662602436222193664/qKuvsfnG_normal.jpg" TargetMode="External"/><Relationship Id="rId2077" Type="http://schemas.openxmlformats.org/officeDocument/2006/relationships/hyperlink" Target="https://twitter.com/renato_umeton" TargetMode="External"/><Relationship Id="rId2078" Type="http://schemas.openxmlformats.org/officeDocument/2006/relationships/hyperlink" Target="https://twitter.com/renato_umeton/status/702893054135574530" TargetMode="External"/><Relationship Id="rId2079" Type="http://schemas.openxmlformats.org/officeDocument/2006/relationships/hyperlink" Target="https://pbs.twimg.com/profile_images/701553083537604608/nr8b38eG_normal.jpg" TargetMode="External"/><Relationship Id="rId8240" Type="http://schemas.openxmlformats.org/officeDocument/2006/relationships/hyperlink" Target="https://pbs.twimg.com/profile_images/1519454893/Face_3-edited_normal.jpg" TargetMode="External"/><Relationship Id="rId9572" Type="http://schemas.openxmlformats.org/officeDocument/2006/relationships/hyperlink" Target="https://twitter.com/NLenergiecollec/status/703279646117400577" TargetMode="External"/><Relationship Id="rId9573" Type="http://schemas.openxmlformats.org/officeDocument/2006/relationships/hyperlink" Target="https://pbs.twimg.com/profile_images/553157123140354049/s42pgpu3_normal.png" TargetMode="External"/><Relationship Id="rId9574" Type="http://schemas.openxmlformats.org/officeDocument/2006/relationships/hyperlink" Target="https://twitter.com/daycry9" TargetMode="External"/><Relationship Id="rId9575" Type="http://schemas.openxmlformats.org/officeDocument/2006/relationships/hyperlink" Target="https://twitter.com/daycry9/status/703279650370428928" TargetMode="External"/><Relationship Id="rId8244" Type="http://schemas.openxmlformats.org/officeDocument/2006/relationships/hyperlink" Target="https://twitter.com/cocoacoda" TargetMode="External"/><Relationship Id="rId8243" Type="http://schemas.openxmlformats.org/officeDocument/2006/relationships/hyperlink" Target="https://pbs.twimg.com/profile_images/443121981215350784/3D-2SL-R_normal.jpeg" TargetMode="External"/><Relationship Id="rId8242" Type="http://schemas.openxmlformats.org/officeDocument/2006/relationships/hyperlink" Target="https://twitter.com/justmarkham/status/703228174604374016" TargetMode="External"/><Relationship Id="rId9570" Type="http://schemas.openxmlformats.org/officeDocument/2006/relationships/hyperlink" Target="https://pbs.twimg.com/profile_images/657128470657519616/xnn0jGen_normal.jpg" TargetMode="External"/><Relationship Id="rId8241" Type="http://schemas.openxmlformats.org/officeDocument/2006/relationships/hyperlink" Target="https://twitter.com/justmarkham" TargetMode="External"/><Relationship Id="rId9571" Type="http://schemas.openxmlformats.org/officeDocument/2006/relationships/hyperlink" Target="https://twitter.com/NLenergiecollec" TargetMode="External"/><Relationship Id="rId8248" Type="http://schemas.openxmlformats.org/officeDocument/2006/relationships/hyperlink" Target="https://twitter.com/7light7blue/status/703228282309836801" TargetMode="External"/><Relationship Id="rId8247" Type="http://schemas.openxmlformats.org/officeDocument/2006/relationships/hyperlink" Target="https://twitter.com/7light7blue" TargetMode="External"/><Relationship Id="rId8246" Type="http://schemas.openxmlformats.org/officeDocument/2006/relationships/hyperlink" Target="https://pbs.twimg.com/profile_images/452064440687423488/nbwrKTwP_normal.jpeg" TargetMode="External"/><Relationship Id="rId8245" Type="http://schemas.openxmlformats.org/officeDocument/2006/relationships/hyperlink" Target="https://twitter.com/cocoacoda/status/703228273313058816" TargetMode="External"/><Relationship Id="rId9576" Type="http://schemas.openxmlformats.org/officeDocument/2006/relationships/hyperlink" Target="https://pbs.twimg.com/profile_images/657128470657519616/xnn0jGen_normal.jpg" TargetMode="External"/><Relationship Id="rId9577" Type="http://schemas.openxmlformats.org/officeDocument/2006/relationships/hyperlink" Target="https://twitter.com/fasm3837" TargetMode="External"/><Relationship Id="rId9578" Type="http://schemas.openxmlformats.org/officeDocument/2006/relationships/hyperlink" Target="https://twitter.com/fasm3837/status/703279671253835777" TargetMode="External"/><Relationship Id="rId8249" Type="http://schemas.openxmlformats.org/officeDocument/2006/relationships/hyperlink" Target="https://pbs.twimg.com/profile_images/629304662051549184/UaWSbb_Y_normal.jpg" TargetMode="External"/><Relationship Id="rId9579" Type="http://schemas.openxmlformats.org/officeDocument/2006/relationships/hyperlink" Target="https://pbs.twimg.com/profile_images/649530357335855104/CYFIvmy2_normal.png" TargetMode="External"/><Relationship Id="rId9561" Type="http://schemas.openxmlformats.org/officeDocument/2006/relationships/hyperlink" Target="https://pbs.twimg.com/profile_images/1684373225/Joe_Guy_normal.jpg" TargetMode="External"/><Relationship Id="rId9562" Type="http://schemas.openxmlformats.org/officeDocument/2006/relationships/hyperlink" Target="https://twitter.com/remoteok_jobs" TargetMode="External"/><Relationship Id="rId9563" Type="http://schemas.openxmlformats.org/officeDocument/2006/relationships/hyperlink" Target="https://twitter.com/remoteok_jobs/status/703279380924145664" TargetMode="External"/><Relationship Id="rId9564" Type="http://schemas.openxmlformats.org/officeDocument/2006/relationships/hyperlink" Target="https://pbs.twimg.com/profile_images/570940550887387136/GPzgaPsj_normal.png" TargetMode="External"/><Relationship Id="rId8233" Type="http://schemas.openxmlformats.org/officeDocument/2006/relationships/hyperlink" Target="https://twitter.com/NorDevCon/status/703227876343160833" TargetMode="External"/><Relationship Id="rId8232" Type="http://schemas.openxmlformats.org/officeDocument/2006/relationships/hyperlink" Target="https://twitter.com/NorDevCon" TargetMode="External"/><Relationship Id="rId8231" Type="http://schemas.openxmlformats.org/officeDocument/2006/relationships/hyperlink" Target="https://pbs.twimg.com/profile_images/525376074633334784/f5Nx-tIC_normal.jpeg" TargetMode="External"/><Relationship Id="rId8230" Type="http://schemas.openxmlformats.org/officeDocument/2006/relationships/hyperlink" Target="http://dlvr.it" TargetMode="External"/><Relationship Id="rId9560" Type="http://schemas.openxmlformats.org/officeDocument/2006/relationships/hyperlink" Target="https://twitter.com/RealJoeGuy/status/703279330399494144" TargetMode="External"/><Relationship Id="rId8237" Type="http://schemas.openxmlformats.org/officeDocument/2006/relationships/hyperlink" Target="https://pbs.twimg.com/profile_images/563342076843008000/ExVGYDM7_normal.png" TargetMode="External"/><Relationship Id="rId9569" Type="http://schemas.openxmlformats.org/officeDocument/2006/relationships/hyperlink" Target="https://twitter.com/daycry9/status/703279565796470784" TargetMode="External"/><Relationship Id="rId8236" Type="http://schemas.openxmlformats.org/officeDocument/2006/relationships/hyperlink" Target="https://twitter.com/kojirozora/status/703227922803458049" TargetMode="External"/><Relationship Id="rId8235" Type="http://schemas.openxmlformats.org/officeDocument/2006/relationships/hyperlink" Target="https://twitter.com/kojirozora" TargetMode="External"/><Relationship Id="rId8234" Type="http://schemas.openxmlformats.org/officeDocument/2006/relationships/hyperlink" Target="https://pbs.twimg.com/profile_images/557138110417358849/RICRodVB_normal.png" TargetMode="External"/><Relationship Id="rId9565" Type="http://schemas.openxmlformats.org/officeDocument/2006/relationships/hyperlink" Target="https://twitter.com/GPDIngenieria" TargetMode="External"/><Relationship Id="rId9566" Type="http://schemas.openxmlformats.org/officeDocument/2006/relationships/hyperlink" Target="https://twitter.com/GPDIngenieria/status/703279545202425856" TargetMode="External"/><Relationship Id="rId8239" Type="http://schemas.openxmlformats.org/officeDocument/2006/relationships/hyperlink" Target="https://twitter.com/noemi_gutierrez/status/703227968651444224" TargetMode="External"/><Relationship Id="rId9567" Type="http://schemas.openxmlformats.org/officeDocument/2006/relationships/hyperlink" Target="https://pbs.twimg.com/profile_images/694961001805041664/eNnBA5Ha_normal.jpg" TargetMode="External"/><Relationship Id="rId8238" Type="http://schemas.openxmlformats.org/officeDocument/2006/relationships/hyperlink" Target="https://twitter.com/noemi_gutierrez" TargetMode="External"/><Relationship Id="rId9568" Type="http://schemas.openxmlformats.org/officeDocument/2006/relationships/hyperlink" Target="https://twitter.com/daycry9" TargetMode="External"/><Relationship Id="rId8262" Type="http://schemas.openxmlformats.org/officeDocument/2006/relationships/hyperlink" Target="https://twitter.com/hvniekerk" TargetMode="External"/><Relationship Id="rId9594" Type="http://schemas.openxmlformats.org/officeDocument/2006/relationships/hyperlink" Target="https://pbs.twimg.com/profile_images/643779014268579840/bRJStj7A_normal.png" TargetMode="External"/><Relationship Id="rId8261" Type="http://schemas.openxmlformats.org/officeDocument/2006/relationships/hyperlink" Target="https://pbs.twimg.com/profile_images/378800000669383744/58af2acd445efe4c3c7eec73818e002c_normal.png" TargetMode="External"/><Relationship Id="rId9595" Type="http://schemas.openxmlformats.org/officeDocument/2006/relationships/hyperlink" Target="https://twitter.com/almokri" TargetMode="External"/><Relationship Id="rId8260" Type="http://schemas.openxmlformats.org/officeDocument/2006/relationships/hyperlink" Target="https://twitter.com/farashod/status/703228286520967168" TargetMode="External"/><Relationship Id="rId9596" Type="http://schemas.openxmlformats.org/officeDocument/2006/relationships/hyperlink" Target="https://twitter.com/almokri/status/703280168870109184" TargetMode="External"/><Relationship Id="rId9597" Type="http://schemas.openxmlformats.org/officeDocument/2006/relationships/hyperlink" Target="https://pbs.twimg.com/profile_images/695991175715667968/YBVg4lCj_normal.jpg" TargetMode="External"/><Relationship Id="rId8266" Type="http://schemas.openxmlformats.org/officeDocument/2006/relationships/hyperlink" Target="https://twitter.com/programmingncr/status/703228578633277441" TargetMode="External"/><Relationship Id="rId9590" Type="http://schemas.openxmlformats.org/officeDocument/2006/relationships/hyperlink" Target="https://twitter.com/PerfectGebouwen/status/703280057020715008" TargetMode="External"/><Relationship Id="rId8265" Type="http://schemas.openxmlformats.org/officeDocument/2006/relationships/hyperlink" Target="https://twitter.com/programmingncr" TargetMode="External"/><Relationship Id="rId9591" Type="http://schemas.openxmlformats.org/officeDocument/2006/relationships/hyperlink" Target="https://pbs.twimg.com/profile_images/509234504192380928/4_7KxSEL_normal.jpeg" TargetMode="External"/><Relationship Id="rId8264" Type="http://schemas.openxmlformats.org/officeDocument/2006/relationships/hyperlink" Target="https://pbs.twimg.com/profile_images/649862466675957760/gjyaoAD2_normal.jpg" TargetMode="External"/><Relationship Id="rId9592" Type="http://schemas.openxmlformats.org/officeDocument/2006/relationships/hyperlink" Target="https://twitter.com/StackDevJobs" TargetMode="External"/><Relationship Id="rId8263" Type="http://schemas.openxmlformats.org/officeDocument/2006/relationships/hyperlink" Target="https://twitter.com/hvniekerk/status/703228315885281280" TargetMode="External"/><Relationship Id="rId9593" Type="http://schemas.openxmlformats.org/officeDocument/2006/relationships/hyperlink" Target="https://twitter.com/StackDevJobs/status/703280117729128448" TargetMode="External"/><Relationship Id="rId8269" Type="http://schemas.openxmlformats.org/officeDocument/2006/relationships/hyperlink" Target="https://twitter.com/programmingncr/status/703228580625563648" TargetMode="External"/><Relationship Id="rId8268" Type="http://schemas.openxmlformats.org/officeDocument/2006/relationships/hyperlink" Target="https://twitter.com/programmingncr" TargetMode="External"/><Relationship Id="rId8267" Type="http://schemas.openxmlformats.org/officeDocument/2006/relationships/hyperlink" Target="https://pbs.twimg.com/profile_images/662602436222193664/qKuvsfnG_normal.jpg" TargetMode="External"/><Relationship Id="rId9598" Type="http://schemas.openxmlformats.org/officeDocument/2006/relationships/hyperlink" Target="https://twitter.com/LillianEdmiston" TargetMode="External"/><Relationship Id="rId9599" Type="http://schemas.openxmlformats.org/officeDocument/2006/relationships/hyperlink" Target="https://twitter.com/LillianEdmiston/status/703280259853111296" TargetMode="External"/><Relationship Id="rId8251" Type="http://schemas.openxmlformats.org/officeDocument/2006/relationships/hyperlink" Target="https://twitter.com/7light7blue/status/703228283274588160" TargetMode="External"/><Relationship Id="rId9583" Type="http://schemas.openxmlformats.org/officeDocument/2006/relationships/hyperlink" Target="https://twitter.com/PBartmess" TargetMode="External"/><Relationship Id="rId8250" Type="http://schemas.openxmlformats.org/officeDocument/2006/relationships/hyperlink" Target="https://twitter.com/7light7blue" TargetMode="External"/><Relationship Id="rId9584" Type="http://schemas.openxmlformats.org/officeDocument/2006/relationships/hyperlink" Target="https://twitter.com/PBartmess/status/703279935033470976" TargetMode="External"/><Relationship Id="rId9585" Type="http://schemas.openxmlformats.org/officeDocument/2006/relationships/hyperlink" Target="https://pbs.twimg.com/profile_images/1632519706/gravatar_normal.jpg" TargetMode="External"/><Relationship Id="rId9586" Type="http://schemas.openxmlformats.org/officeDocument/2006/relationships/hyperlink" Target="https://twitter.com/almokri" TargetMode="External"/><Relationship Id="rId8255" Type="http://schemas.openxmlformats.org/officeDocument/2006/relationships/hyperlink" Target="https://pbs.twimg.com/profile_images/483888935991390208/Z-dZgLn-_normal.jpeg" TargetMode="External"/><Relationship Id="rId8254" Type="http://schemas.openxmlformats.org/officeDocument/2006/relationships/hyperlink" Target="https://twitter.com/Gamificationir/status/703228284205731841" TargetMode="External"/><Relationship Id="rId9580" Type="http://schemas.openxmlformats.org/officeDocument/2006/relationships/hyperlink" Target="https://twitter.com/Hans_Mooibroek" TargetMode="External"/><Relationship Id="rId8253" Type="http://schemas.openxmlformats.org/officeDocument/2006/relationships/hyperlink" Target="https://twitter.com/Gamificationir" TargetMode="External"/><Relationship Id="rId9581" Type="http://schemas.openxmlformats.org/officeDocument/2006/relationships/hyperlink" Target="https://twitter.com/Hans_Mooibroek/status/703279752166162432" TargetMode="External"/><Relationship Id="rId8252" Type="http://schemas.openxmlformats.org/officeDocument/2006/relationships/hyperlink" Target="https://pbs.twimg.com/profile_images/629304662051549184/UaWSbb_Y_normal.jpg" TargetMode="External"/><Relationship Id="rId9582" Type="http://schemas.openxmlformats.org/officeDocument/2006/relationships/hyperlink" Target="https://pbs.twimg.com/profile_images/677836960141090816/reP0RdWU_normal.jpg" TargetMode="External"/><Relationship Id="rId8259" Type="http://schemas.openxmlformats.org/officeDocument/2006/relationships/hyperlink" Target="https://twitter.com/farashod" TargetMode="External"/><Relationship Id="rId8258" Type="http://schemas.openxmlformats.org/officeDocument/2006/relationships/hyperlink" Target="https://pbs.twimg.com/profile_images/378800000669383744/58af2acd445efe4c3c7eec73818e002c_normal.png" TargetMode="External"/><Relationship Id="rId8257" Type="http://schemas.openxmlformats.org/officeDocument/2006/relationships/hyperlink" Target="https://twitter.com/farashod/status/703228285694713856" TargetMode="External"/><Relationship Id="rId8256" Type="http://schemas.openxmlformats.org/officeDocument/2006/relationships/hyperlink" Target="https://twitter.com/farashod" TargetMode="External"/><Relationship Id="rId9587" Type="http://schemas.openxmlformats.org/officeDocument/2006/relationships/hyperlink" Target="https://twitter.com/almokri/status/703280037856878593" TargetMode="External"/><Relationship Id="rId9588" Type="http://schemas.openxmlformats.org/officeDocument/2006/relationships/hyperlink" Target="https://pbs.twimg.com/profile_images/695991175715667968/YBVg4lCj_normal.jpg" TargetMode="External"/><Relationship Id="rId9589" Type="http://schemas.openxmlformats.org/officeDocument/2006/relationships/hyperlink" Target="https://twitter.com/PerfectGebouwen" TargetMode="External"/><Relationship Id="rId8209" Type="http://schemas.openxmlformats.org/officeDocument/2006/relationships/hyperlink" Target="https://twitter.com/bshedwick/status/703227250158792704" TargetMode="External"/><Relationship Id="rId9530" Type="http://schemas.openxmlformats.org/officeDocument/2006/relationships/hyperlink" Target="https://twitter.com/zgudino/status/703278485918199808" TargetMode="External"/><Relationship Id="rId9531" Type="http://schemas.openxmlformats.org/officeDocument/2006/relationships/hyperlink" Target="https://pbs.twimg.com/profile_images/660114568279003136/cLGv8MDp_normal.jpg" TargetMode="External"/><Relationship Id="rId8200" Type="http://schemas.openxmlformats.org/officeDocument/2006/relationships/hyperlink" Target="https://twitter.com/ltgiv/status/703226521603837957" TargetMode="External"/><Relationship Id="rId8204" Type="http://schemas.openxmlformats.org/officeDocument/2006/relationships/hyperlink" Target="https://pbs.twimg.com/profile_images/649959977679986688/okosAH8k_normal.jpg" TargetMode="External"/><Relationship Id="rId9536" Type="http://schemas.openxmlformats.org/officeDocument/2006/relationships/hyperlink" Target="https://twitter.com/initios_com/status/703278587214843904" TargetMode="External"/><Relationship Id="rId8203" Type="http://schemas.openxmlformats.org/officeDocument/2006/relationships/hyperlink" Target="https://twitter.com/joymwhitt/status/703226601924796416" TargetMode="External"/><Relationship Id="rId9537" Type="http://schemas.openxmlformats.org/officeDocument/2006/relationships/hyperlink" Target="https://pbs.twimg.com/profile_images/601881271627722752/nVvr0-iH_normal.png" TargetMode="External"/><Relationship Id="rId8202" Type="http://schemas.openxmlformats.org/officeDocument/2006/relationships/hyperlink" Target="https://twitter.com/joymwhitt" TargetMode="External"/><Relationship Id="rId9538" Type="http://schemas.openxmlformats.org/officeDocument/2006/relationships/hyperlink" Target="https://twitter.com/HartwigMicheal" TargetMode="External"/><Relationship Id="rId8201" Type="http://schemas.openxmlformats.org/officeDocument/2006/relationships/hyperlink" Target="https://pbs.twimg.com/profile_images/539042482583916544/e5iLbogn_normal.jpeg" TargetMode="External"/><Relationship Id="rId9539" Type="http://schemas.openxmlformats.org/officeDocument/2006/relationships/hyperlink" Target="https://twitter.com/HartwigMicheal/status/703278630617669632" TargetMode="External"/><Relationship Id="rId8208" Type="http://schemas.openxmlformats.org/officeDocument/2006/relationships/hyperlink" Target="https://twitter.com/bshedwick" TargetMode="External"/><Relationship Id="rId9532" Type="http://schemas.openxmlformats.org/officeDocument/2006/relationships/hyperlink" Target="https://twitter.com/programmingncr" TargetMode="External"/><Relationship Id="rId8207" Type="http://schemas.openxmlformats.org/officeDocument/2006/relationships/hyperlink" Target="https://pbs.twimg.com/profile_images/681819908464836609/n3vCKgJU_normal.jpg" TargetMode="External"/><Relationship Id="rId9533" Type="http://schemas.openxmlformats.org/officeDocument/2006/relationships/hyperlink" Target="https://twitter.com/programmingncr/status/703278511293857792" TargetMode="External"/><Relationship Id="rId8206" Type="http://schemas.openxmlformats.org/officeDocument/2006/relationships/hyperlink" Target="https://twitter.com/dahlroman/status/703227055450759168" TargetMode="External"/><Relationship Id="rId9534" Type="http://schemas.openxmlformats.org/officeDocument/2006/relationships/hyperlink" Target="https://pbs.twimg.com/profile_images/662602436222193664/qKuvsfnG_normal.jpg" TargetMode="External"/><Relationship Id="rId8205" Type="http://schemas.openxmlformats.org/officeDocument/2006/relationships/hyperlink" Target="https://twitter.com/dahlroman" TargetMode="External"/><Relationship Id="rId9535" Type="http://schemas.openxmlformats.org/officeDocument/2006/relationships/hyperlink" Target="https://twitter.com/initios_com" TargetMode="External"/><Relationship Id="rId9529" Type="http://schemas.openxmlformats.org/officeDocument/2006/relationships/hyperlink" Target="https://twitter.com/zgudino" TargetMode="External"/><Relationship Id="rId9520" Type="http://schemas.openxmlformats.org/officeDocument/2006/relationships/hyperlink" Target="https://twitter.com/TreasureData" TargetMode="External"/><Relationship Id="rId9525" Type="http://schemas.openxmlformats.org/officeDocument/2006/relationships/hyperlink" Target="https://pbs.twimg.com/profile_images/620616216516767744/ag6N8-pg_normal.jpg" TargetMode="External"/><Relationship Id="rId9526" Type="http://schemas.openxmlformats.org/officeDocument/2006/relationships/hyperlink" Target="https://twitter.com/FreddyPantRoom" TargetMode="External"/><Relationship Id="rId9527" Type="http://schemas.openxmlformats.org/officeDocument/2006/relationships/hyperlink" Target="https://twitter.com/FreddyPantRoom/status/703278361896951808" TargetMode="External"/><Relationship Id="rId9528" Type="http://schemas.openxmlformats.org/officeDocument/2006/relationships/hyperlink" Target="https://pbs.twimg.com/profile_images/447864506580865024/xJqdMZtV_normal.jpeg" TargetMode="External"/><Relationship Id="rId9521" Type="http://schemas.openxmlformats.org/officeDocument/2006/relationships/hyperlink" Target="https://twitter.com/TreasureData/status/703277932039553024" TargetMode="External"/><Relationship Id="rId9522" Type="http://schemas.openxmlformats.org/officeDocument/2006/relationships/hyperlink" Target="https://pbs.twimg.com/profile_images/663838962239213568/_hXELMLM_normal.jpg" TargetMode="External"/><Relationship Id="rId9523" Type="http://schemas.openxmlformats.org/officeDocument/2006/relationships/hyperlink" Target="https://twitter.com/MSAdvAnalytics" TargetMode="External"/><Relationship Id="rId9524" Type="http://schemas.openxmlformats.org/officeDocument/2006/relationships/hyperlink" Target="https://twitter.com/MSAdvAnalytics/status/703278355664207872" TargetMode="External"/><Relationship Id="rId9550" Type="http://schemas.openxmlformats.org/officeDocument/2006/relationships/hyperlink" Target="https://twitter.com/randal_olson" TargetMode="External"/><Relationship Id="rId9551" Type="http://schemas.openxmlformats.org/officeDocument/2006/relationships/hyperlink" Target="https://twitter.com/randal_olson/status/703278963892883457" TargetMode="External"/><Relationship Id="rId9552" Type="http://schemas.openxmlformats.org/officeDocument/2006/relationships/hyperlink" Target="https://pbs.twimg.com/profile_images/618964235779862528/nLQhBWfq_normal.jpg" TargetMode="External"/><Relationship Id="rId9553" Type="http://schemas.openxmlformats.org/officeDocument/2006/relationships/hyperlink" Target="https://twitter.com/ggCarrots" TargetMode="External"/><Relationship Id="rId8222" Type="http://schemas.openxmlformats.org/officeDocument/2006/relationships/hyperlink" Target="https://twitter.com/helenflam/status/703227530346627073" TargetMode="External"/><Relationship Id="rId8221" Type="http://schemas.openxmlformats.org/officeDocument/2006/relationships/hyperlink" Target="https://twitter.com/helenflam" TargetMode="External"/><Relationship Id="rId8220" Type="http://schemas.openxmlformats.org/officeDocument/2006/relationships/hyperlink" Target="https://pbs.twimg.com/profile_images/3312468366/129323224633d71286101d517a2f9817_normal.png" TargetMode="External"/><Relationship Id="rId8226" Type="http://schemas.openxmlformats.org/officeDocument/2006/relationships/hyperlink" Target="http://dlvr.it" TargetMode="External"/><Relationship Id="rId9558" Type="http://schemas.openxmlformats.org/officeDocument/2006/relationships/hyperlink" Target="https://pbs.twimg.com/profile_images/643358975145193472/mqm9B06u_normal.jpg" TargetMode="External"/><Relationship Id="rId8225" Type="http://schemas.openxmlformats.org/officeDocument/2006/relationships/hyperlink" Target="https://twitter.com/freyduni/status/703227750258073601" TargetMode="External"/><Relationship Id="rId9559" Type="http://schemas.openxmlformats.org/officeDocument/2006/relationships/hyperlink" Target="https://twitter.com/RealJoeGuy" TargetMode="External"/><Relationship Id="rId8224" Type="http://schemas.openxmlformats.org/officeDocument/2006/relationships/hyperlink" Target="https://twitter.com/freyduni" TargetMode="External"/><Relationship Id="rId8223" Type="http://schemas.openxmlformats.org/officeDocument/2006/relationships/hyperlink" Target="https://pbs.twimg.com/profile_images/651248332212338690/1C8cC7IW_normal.jpg" TargetMode="External"/><Relationship Id="rId9554" Type="http://schemas.openxmlformats.org/officeDocument/2006/relationships/hyperlink" Target="https://twitter.com/ggCarrots/status/703279079877955585" TargetMode="External"/><Relationship Id="rId8229" Type="http://schemas.openxmlformats.org/officeDocument/2006/relationships/hyperlink" Target="https://twitter.com/freyduni/status/703227752627834880" TargetMode="External"/><Relationship Id="rId9555" Type="http://schemas.openxmlformats.org/officeDocument/2006/relationships/hyperlink" Target="https://pbs.twimg.com/profile_images/2655192056/95b7e54b81590e4fecb7cfeefd13d606_normal.png" TargetMode="External"/><Relationship Id="rId8228" Type="http://schemas.openxmlformats.org/officeDocument/2006/relationships/hyperlink" Target="https://twitter.com/freyduni" TargetMode="External"/><Relationship Id="rId9556" Type="http://schemas.openxmlformats.org/officeDocument/2006/relationships/hyperlink" Target="https://twitter.com/NoorDinTech" TargetMode="External"/><Relationship Id="rId8227" Type="http://schemas.openxmlformats.org/officeDocument/2006/relationships/hyperlink" Target="https://pbs.twimg.com/profile_images/525376074633334784/f5Nx-tIC_normal.jpeg" TargetMode="External"/><Relationship Id="rId9557" Type="http://schemas.openxmlformats.org/officeDocument/2006/relationships/hyperlink" Target="https://twitter.com/NoorDinTech/status/703279138828886016" TargetMode="External"/><Relationship Id="rId9540" Type="http://schemas.openxmlformats.org/officeDocument/2006/relationships/hyperlink" Target="https://pbs.twimg.com/profile_images/679948461953781761/pDo9356K_normal.jpg" TargetMode="External"/><Relationship Id="rId9541" Type="http://schemas.openxmlformats.org/officeDocument/2006/relationships/hyperlink" Target="https://twitter.com/HartwigMicheal" TargetMode="External"/><Relationship Id="rId9542" Type="http://schemas.openxmlformats.org/officeDocument/2006/relationships/hyperlink" Target="https://twitter.com/HartwigMicheal/status/703278633058746368" TargetMode="External"/><Relationship Id="rId8211" Type="http://schemas.openxmlformats.org/officeDocument/2006/relationships/hyperlink" Target="https://twitter.com/medhrk" TargetMode="External"/><Relationship Id="rId8210" Type="http://schemas.openxmlformats.org/officeDocument/2006/relationships/hyperlink" Target="https://pbs.twimg.com/profile_images/2199934517/576677_3402888185895_1080549742_32540506_187827713_n_normal.jpg" TargetMode="External"/><Relationship Id="rId8215" Type="http://schemas.openxmlformats.org/officeDocument/2006/relationships/hyperlink" Target="https://twitter.com/AjaxSoundStudio/status/703227486323261445" TargetMode="External"/><Relationship Id="rId9547" Type="http://schemas.openxmlformats.org/officeDocument/2006/relationships/hyperlink" Target="https://twitter.com/MarinerLLC" TargetMode="External"/><Relationship Id="rId8214" Type="http://schemas.openxmlformats.org/officeDocument/2006/relationships/hyperlink" Target="https://twitter.com/AjaxSoundStudio" TargetMode="External"/><Relationship Id="rId9548" Type="http://schemas.openxmlformats.org/officeDocument/2006/relationships/hyperlink" Target="https://twitter.com/MarinerLLC/status/703278764965412864" TargetMode="External"/><Relationship Id="rId8213" Type="http://schemas.openxmlformats.org/officeDocument/2006/relationships/hyperlink" Target="https://pbs.twimg.com/profile_images/495931994434322433/NDQm5n8H_normal.jpeg" TargetMode="External"/><Relationship Id="rId9549" Type="http://schemas.openxmlformats.org/officeDocument/2006/relationships/hyperlink" Target="https://pbs.twimg.com/profile_images/3502729434/95675e6f45ad2e1bbc6c5736995ec15c_normal.png" TargetMode="External"/><Relationship Id="rId8212" Type="http://schemas.openxmlformats.org/officeDocument/2006/relationships/hyperlink" Target="https://twitter.com/medhrk/status/703227341930037248" TargetMode="External"/><Relationship Id="rId8219" Type="http://schemas.openxmlformats.org/officeDocument/2006/relationships/hyperlink" Target="https://twitter.com/RealPython/status/703227514215223298" TargetMode="External"/><Relationship Id="rId9543" Type="http://schemas.openxmlformats.org/officeDocument/2006/relationships/hyperlink" Target="https://pbs.twimg.com/profile_images/679948461953781761/pDo9356K_normal.jpg" TargetMode="External"/><Relationship Id="rId8218" Type="http://schemas.openxmlformats.org/officeDocument/2006/relationships/hyperlink" Target="http://RealPython.com" TargetMode="External"/><Relationship Id="rId9544" Type="http://schemas.openxmlformats.org/officeDocument/2006/relationships/hyperlink" Target="https://twitter.com/carlesanagustin" TargetMode="External"/><Relationship Id="rId8217" Type="http://schemas.openxmlformats.org/officeDocument/2006/relationships/hyperlink" Target="https://twitter.com/RealPython" TargetMode="External"/><Relationship Id="rId9545" Type="http://schemas.openxmlformats.org/officeDocument/2006/relationships/hyperlink" Target="https://twitter.com/carlesanagustin/status/703278663161122816" TargetMode="External"/><Relationship Id="rId8216" Type="http://schemas.openxmlformats.org/officeDocument/2006/relationships/hyperlink" Target="https://pbs.twimg.com/profile_images/378800000707964752/33de6ec46327638e8877f89f9fe8ba33_normal.jpeg" TargetMode="External"/><Relationship Id="rId9546" Type="http://schemas.openxmlformats.org/officeDocument/2006/relationships/hyperlink" Target="https://pbs.twimg.com/profile_images/502800056186314752/f8WfRagr_normal.jpeg" TargetMode="External"/><Relationship Id="rId4723" Type="http://schemas.openxmlformats.org/officeDocument/2006/relationships/hyperlink" Target="https://twitter.com/artwisanggeni" TargetMode="External"/><Relationship Id="rId4722" Type="http://schemas.openxmlformats.org/officeDocument/2006/relationships/hyperlink" Target="https://pbs.twimg.com/profile_images/2813636657/599521f69e2bc210a57323b64d8e39e6_normal.jpeg" TargetMode="External"/><Relationship Id="rId4725" Type="http://schemas.openxmlformats.org/officeDocument/2006/relationships/hyperlink" Target="http://dlvr.it" TargetMode="External"/><Relationship Id="rId4724" Type="http://schemas.openxmlformats.org/officeDocument/2006/relationships/hyperlink" Target="https://twitter.com/artwisanggeni/status/703012903713046528" TargetMode="External"/><Relationship Id="rId4727" Type="http://schemas.openxmlformats.org/officeDocument/2006/relationships/hyperlink" Target="https://twitter.com/artwisanggeni" TargetMode="External"/><Relationship Id="rId4726" Type="http://schemas.openxmlformats.org/officeDocument/2006/relationships/hyperlink" Target="https://pbs.twimg.com/profile_images/2813636657/599521f69e2bc210a57323b64d8e39e6_normal.jpeg" TargetMode="External"/><Relationship Id="rId4729" Type="http://schemas.openxmlformats.org/officeDocument/2006/relationships/hyperlink" Target="http://dlvr.it" TargetMode="External"/><Relationship Id="rId4728" Type="http://schemas.openxmlformats.org/officeDocument/2006/relationships/hyperlink" Target="https://twitter.com/artwisanggeni/status/703012907055845376" TargetMode="External"/><Relationship Id="rId4721" Type="http://schemas.openxmlformats.org/officeDocument/2006/relationships/hyperlink" Target="http://dlvr.it" TargetMode="External"/><Relationship Id="rId4720" Type="http://schemas.openxmlformats.org/officeDocument/2006/relationships/hyperlink" Target="https://twitter.com/artwisanggeni/status/703012896389791745" TargetMode="External"/><Relationship Id="rId4712" Type="http://schemas.openxmlformats.org/officeDocument/2006/relationships/hyperlink" Target="https://twitter.com/artwisanggeni/status/703012888106000386" TargetMode="External"/><Relationship Id="rId4711" Type="http://schemas.openxmlformats.org/officeDocument/2006/relationships/hyperlink" Target="https://twitter.com/artwisanggeni" TargetMode="External"/><Relationship Id="rId4714" Type="http://schemas.openxmlformats.org/officeDocument/2006/relationships/hyperlink" Target="https://pbs.twimg.com/profile_images/2813636657/599521f69e2bc210a57323b64d8e39e6_normal.jpeg" TargetMode="External"/><Relationship Id="rId4713" Type="http://schemas.openxmlformats.org/officeDocument/2006/relationships/hyperlink" Target="http://dlvr.it" TargetMode="External"/><Relationship Id="rId4716" Type="http://schemas.openxmlformats.org/officeDocument/2006/relationships/hyperlink" Target="https://twitter.com/artwisanggeni/status/703012892623261697" TargetMode="External"/><Relationship Id="rId4715" Type="http://schemas.openxmlformats.org/officeDocument/2006/relationships/hyperlink" Target="https://twitter.com/artwisanggeni" TargetMode="External"/><Relationship Id="rId4718" Type="http://schemas.openxmlformats.org/officeDocument/2006/relationships/hyperlink" Target="https://pbs.twimg.com/profile_images/2813636657/599521f69e2bc210a57323b64d8e39e6_normal.jpeg" TargetMode="External"/><Relationship Id="rId4717" Type="http://schemas.openxmlformats.org/officeDocument/2006/relationships/hyperlink" Target="http://dlvr.it" TargetMode="External"/><Relationship Id="rId4719" Type="http://schemas.openxmlformats.org/officeDocument/2006/relationships/hyperlink" Target="https://twitter.com/artwisanggeni" TargetMode="External"/><Relationship Id="rId4710" Type="http://schemas.openxmlformats.org/officeDocument/2006/relationships/hyperlink" Target="https://pbs.twimg.com/profile_images/2813636657/599521f69e2bc210a57323b64d8e39e6_normal.jpeg" TargetMode="External"/><Relationship Id="rId3414" Type="http://schemas.openxmlformats.org/officeDocument/2006/relationships/hyperlink" Target="https://pbs.twimg.com/profile_images/2163169197/meagain_normal.jpg" TargetMode="External"/><Relationship Id="rId4745" Type="http://schemas.openxmlformats.org/officeDocument/2006/relationships/hyperlink" Target="https://pbs.twimg.com/profile_images/2813636657/599521f69e2bc210a57323b64d8e39e6_normal.jpeg" TargetMode="External"/><Relationship Id="rId3413" Type="http://schemas.openxmlformats.org/officeDocument/2006/relationships/hyperlink" Target="https://twitter.com/ZacErnst/status/702945994539819008" TargetMode="External"/><Relationship Id="rId4744" Type="http://schemas.openxmlformats.org/officeDocument/2006/relationships/hyperlink" Target="http://dlvr.it" TargetMode="External"/><Relationship Id="rId3416" Type="http://schemas.openxmlformats.org/officeDocument/2006/relationships/hyperlink" Target="https://twitter.com/srcport/status/702946174207205377" TargetMode="External"/><Relationship Id="rId4747" Type="http://schemas.openxmlformats.org/officeDocument/2006/relationships/hyperlink" Target="https://twitter.com/iMitwe/status/703013785083191298" TargetMode="External"/><Relationship Id="rId3415" Type="http://schemas.openxmlformats.org/officeDocument/2006/relationships/hyperlink" Target="https://twitter.com/srcport" TargetMode="External"/><Relationship Id="rId4746" Type="http://schemas.openxmlformats.org/officeDocument/2006/relationships/hyperlink" Target="https://twitter.com/iMitwe" TargetMode="External"/><Relationship Id="rId3418" Type="http://schemas.openxmlformats.org/officeDocument/2006/relationships/hyperlink" Target="https://twitter.com/soiqbot" TargetMode="External"/><Relationship Id="rId4749" Type="http://schemas.openxmlformats.org/officeDocument/2006/relationships/hyperlink" Target="https://twitter.com/korezian" TargetMode="External"/><Relationship Id="rId3417" Type="http://schemas.openxmlformats.org/officeDocument/2006/relationships/hyperlink" Target="https://pbs.twimg.com/profile_images/625824019783266305/CqN4VuZW_normal.png" TargetMode="External"/><Relationship Id="rId4748" Type="http://schemas.openxmlformats.org/officeDocument/2006/relationships/hyperlink" Target="https://pbs.twimg.com/profile_images/686787791171248128/51m2zxZn_normal.jpg" TargetMode="External"/><Relationship Id="rId3419" Type="http://schemas.openxmlformats.org/officeDocument/2006/relationships/hyperlink" Target="https://twitter.com/soiqbot/status/702946174337155073" TargetMode="External"/><Relationship Id="rId3410" Type="http://schemas.openxmlformats.org/officeDocument/2006/relationships/hyperlink" Target="https://twitter.com/herczogzoltan/status/702945785495822337" TargetMode="External"/><Relationship Id="rId4741" Type="http://schemas.openxmlformats.org/officeDocument/2006/relationships/hyperlink" Target="https://pbs.twimg.com/profile_images/2813636657/599521f69e2bc210a57323b64d8e39e6_normal.jpeg" TargetMode="External"/><Relationship Id="rId4740" Type="http://schemas.openxmlformats.org/officeDocument/2006/relationships/hyperlink" Target="http://dlvr.it" TargetMode="External"/><Relationship Id="rId3412" Type="http://schemas.openxmlformats.org/officeDocument/2006/relationships/hyperlink" Target="https://twitter.com/ZacErnst" TargetMode="External"/><Relationship Id="rId4743" Type="http://schemas.openxmlformats.org/officeDocument/2006/relationships/hyperlink" Target="https://twitter.com/artwisanggeni/status/703013195737268224" TargetMode="External"/><Relationship Id="rId3411" Type="http://schemas.openxmlformats.org/officeDocument/2006/relationships/hyperlink" Target="https://pbs.twimg.com/profile_images/429569747324108800/x56Bl29Y_normal.jpeg" TargetMode="External"/><Relationship Id="rId4742" Type="http://schemas.openxmlformats.org/officeDocument/2006/relationships/hyperlink" Target="https://twitter.com/artwisanggeni" TargetMode="External"/><Relationship Id="rId3403" Type="http://schemas.openxmlformats.org/officeDocument/2006/relationships/hyperlink" Target="https://twitter.com/elDomino_pl" TargetMode="External"/><Relationship Id="rId4734" Type="http://schemas.openxmlformats.org/officeDocument/2006/relationships/hyperlink" Target="https://twitter.com/artwisanggeni" TargetMode="External"/><Relationship Id="rId3402" Type="http://schemas.openxmlformats.org/officeDocument/2006/relationships/hyperlink" Target="https://pbs.twimg.com/profile_images/572091631055028224/Pkx__FSB_normal.png" TargetMode="External"/><Relationship Id="rId4733" Type="http://schemas.openxmlformats.org/officeDocument/2006/relationships/hyperlink" Target="https://pbs.twimg.com/profile_images/681652393382031360/RQnzNXK5_normal.jpg" TargetMode="External"/><Relationship Id="rId3405" Type="http://schemas.openxmlformats.org/officeDocument/2006/relationships/hyperlink" Target="https://pbs.twimg.com/profile_images/702153842339803136/SMaManXp_normal.jpg" TargetMode="External"/><Relationship Id="rId4736" Type="http://schemas.openxmlformats.org/officeDocument/2006/relationships/hyperlink" Target="http://dlvr.it" TargetMode="External"/><Relationship Id="rId3404" Type="http://schemas.openxmlformats.org/officeDocument/2006/relationships/hyperlink" Target="https://twitter.com/elDomino_pl/status/702945742483230721" TargetMode="External"/><Relationship Id="rId4735" Type="http://schemas.openxmlformats.org/officeDocument/2006/relationships/hyperlink" Target="https://twitter.com/artwisanggeni/status/703013188598542336" TargetMode="External"/><Relationship Id="rId3407" Type="http://schemas.openxmlformats.org/officeDocument/2006/relationships/hyperlink" Target="https://twitter.com/proinsanitus/status/702945761760145408" TargetMode="External"/><Relationship Id="rId4738" Type="http://schemas.openxmlformats.org/officeDocument/2006/relationships/hyperlink" Target="https://twitter.com/artwisanggeni" TargetMode="External"/><Relationship Id="rId3406" Type="http://schemas.openxmlformats.org/officeDocument/2006/relationships/hyperlink" Target="https://twitter.com/proinsanitus" TargetMode="External"/><Relationship Id="rId4737" Type="http://schemas.openxmlformats.org/officeDocument/2006/relationships/hyperlink" Target="https://pbs.twimg.com/profile_images/2813636657/599521f69e2bc210a57323b64d8e39e6_normal.jpeg" TargetMode="External"/><Relationship Id="rId3409" Type="http://schemas.openxmlformats.org/officeDocument/2006/relationships/hyperlink" Target="https://twitter.com/herczogzoltan" TargetMode="External"/><Relationship Id="rId3408" Type="http://schemas.openxmlformats.org/officeDocument/2006/relationships/hyperlink" Target="https://pbs.twimg.com/profile_images/690780193535819780/SzAvsI5D_normal.png" TargetMode="External"/><Relationship Id="rId4739" Type="http://schemas.openxmlformats.org/officeDocument/2006/relationships/hyperlink" Target="https://twitter.com/artwisanggeni/status/703013192914501632" TargetMode="External"/><Relationship Id="rId4730" Type="http://schemas.openxmlformats.org/officeDocument/2006/relationships/hyperlink" Target="https://pbs.twimg.com/profile_images/2813636657/599521f69e2bc210a57323b64d8e39e6_normal.jpeg" TargetMode="External"/><Relationship Id="rId3401" Type="http://schemas.openxmlformats.org/officeDocument/2006/relationships/hyperlink" Target="https://twitter.com/cool_python/status/702945584131481600" TargetMode="External"/><Relationship Id="rId4732" Type="http://schemas.openxmlformats.org/officeDocument/2006/relationships/hyperlink" Target="https://twitter.com/MauiCountyCSR/status/703012972868702209" TargetMode="External"/><Relationship Id="rId3400" Type="http://schemas.openxmlformats.org/officeDocument/2006/relationships/hyperlink" Target="https://twitter.com/cool_python" TargetMode="External"/><Relationship Id="rId4731" Type="http://schemas.openxmlformats.org/officeDocument/2006/relationships/hyperlink" Target="https://twitter.com/MauiCountyCSR" TargetMode="External"/><Relationship Id="rId8291" Type="http://schemas.openxmlformats.org/officeDocument/2006/relationships/hyperlink" Target="https://twitter.com/Lameei/status/703229404797865984" TargetMode="External"/><Relationship Id="rId8290" Type="http://schemas.openxmlformats.org/officeDocument/2006/relationships/hyperlink" Target="https://twitter.com/Lameei" TargetMode="External"/><Relationship Id="rId8284" Type="http://schemas.openxmlformats.org/officeDocument/2006/relationships/hyperlink" Target="https://twitter.com/Googleulv/status/703229353761644545" TargetMode="External"/><Relationship Id="rId8283" Type="http://schemas.openxmlformats.org/officeDocument/2006/relationships/hyperlink" Target="https://twitter.com/Googleulv" TargetMode="External"/><Relationship Id="rId8282" Type="http://schemas.openxmlformats.org/officeDocument/2006/relationships/hyperlink" Target="https://pbs.twimg.com/profile_images/544859440982151169/DsQDVGwn_normal.png" TargetMode="External"/><Relationship Id="rId8281" Type="http://schemas.openxmlformats.org/officeDocument/2006/relationships/hyperlink" Target="https://twitter.com/javeo_eu/status/703229225881440256" TargetMode="External"/><Relationship Id="rId8288" Type="http://schemas.openxmlformats.org/officeDocument/2006/relationships/hyperlink" Target="https://twitter.com/RealPython/status/703229366327611392" TargetMode="External"/><Relationship Id="rId8287" Type="http://schemas.openxmlformats.org/officeDocument/2006/relationships/hyperlink" Target="http://RealPython.com" TargetMode="External"/><Relationship Id="rId8286" Type="http://schemas.openxmlformats.org/officeDocument/2006/relationships/hyperlink" Target="https://twitter.com/RealPython" TargetMode="External"/><Relationship Id="rId8285" Type="http://schemas.openxmlformats.org/officeDocument/2006/relationships/hyperlink" Target="https://pbs.twimg.com/profile_images/631872006645022720/C3D_WfIt_normal.jpg" TargetMode="External"/><Relationship Id="rId8289" Type="http://schemas.openxmlformats.org/officeDocument/2006/relationships/hyperlink" Target="https://pbs.twimg.com/profile_images/3312468366/129323224633d71286101d517a2f9817_normal.png" TargetMode="External"/><Relationship Id="rId8280" Type="http://schemas.openxmlformats.org/officeDocument/2006/relationships/hyperlink" Target="https://twitter.com/javeo_eu" TargetMode="External"/><Relationship Id="rId8273" Type="http://schemas.openxmlformats.org/officeDocument/2006/relationships/hyperlink" Target="https://pbs.twimg.com/profile_images/682002851925639171/R4K59lW4_normal.jpg" TargetMode="External"/><Relationship Id="rId8272" Type="http://schemas.openxmlformats.org/officeDocument/2006/relationships/hyperlink" Target="https://twitter.com/arnpry/status/703228696375783424" TargetMode="External"/><Relationship Id="rId8271" Type="http://schemas.openxmlformats.org/officeDocument/2006/relationships/hyperlink" Target="https://twitter.com/arnpry" TargetMode="External"/><Relationship Id="rId8270" Type="http://schemas.openxmlformats.org/officeDocument/2006/relationships/hyperlink" Target="https://pbs.twimg.com/profile_images/662602436222193664/qKuvsfnG_normal.jpg" TargetMode="External"/><Relationship Id="rId8277" Type="http://schemas.openxmlformats.org/officeDocument/2006/relationships/hyperlink" Target="https://twitter.com/astrofra" TargetMode="External"/><Relationship Id="rId8276" Type="http://schemas.openxmlformats.org/officeDocument/2006/relationships/hyperlink" Target="https://pbs.twimg.com/profile_images/627996138403168256/DaASdgVr_normal.jpg" TargetMode="External"/><Relationship Id="rId8275" Type="http://schemas.openxmlformats.org/officeDocument/2006/relationships/hyperlink" Target="https://twitter.com/JoshuaLongUK/status/703228849077800960" TargetMode="External"/><Relationship Id="rId8274" Type="http://schemas.openxmlformats.org/officeDocument/2006/relationships/hyperlink" Target="https://twitter.com/JoshuaLongUK" TargetMode="External"/><Relationship Id="rId8279" Type="http://schemas.openxmlformats.org/officeDocument/2006/relationships/hyperlink" Target="https://pbs.twimg.com/profile_images/480235311906455552/ekUeBDr3_normal.jpeg" TargetMode="External"/><Relationship Id="rId8278" Type="http://schemas.openxmlformats.org/officeDocument/2006/relationships/hyperlink" Target="https://twitter.com/astrofra/status/703229090866798593" TargetMode="External"/><Relationship Id="rId4701" Type="http://schemas.openxmlformats.org/officeDocument/2006/relationships/hyperlink" Target="https://twitter.com/p_andrefreitas" TargetMode="External"/><Relationship Id="rId4700" Type="http://schemas.openxmlformats.org/officeDocument/2006/relationships/hyperlink" Target="http://ctrlq.org/maps/address/" TargetMode="External"/><Relationship Id="rId4703" Type="http://schemas.openxmlformats.org/officeDocument/2006/relationships/hyperlink" Target="https://pbs.twimg.com/profile_images/690642991375978496/ghOFHJPd_normal.jpg" TargetMode="External"/><Relationship Id="rId4702" Type="http://schemas.openxmlformats.org/officeDocument/2006/relationships/hyperlink" Target="https://twitter.com/p_andrefreitas/status/703012091364560897" TargetMode="External"/><Relationship Id="rId4705" Type="http://schemas.openxmlformats.org/officeDocument/2006/relationships/hyperlink" Target="https://twitter.com/_walmik/status/703012747760373760" TargetMode="External"/><Relationship Id="rId4704" Type="http://schemas.openxmlformats.org/officeDocument/2006/relationships/hyperlink" Target="https://twitter.com/_walmik" TargetMode="External"/><Relationship Id="rId4707" Type="http://schemas.openxmlformats.org/officeDocument/2006/relationships/hyperlink" Target="https://twitter.com/artwisanggeni" TargetMode="External"/><Relationship Id="rId4706" Type="http://schemas.openxmlformats.org/officeDocument/2006/relationships/hyperlink" Target="https://pbs.twimg.com/profile_images/615244647468658688/f2VIL2Nv_normal.jpg" TargetMode="External"/><Relationship Id="rId4709" Type="http://schemas.openxmlformats.org/officeDocument/2006/relationships/hyperlink" Target="http://dlvr.it" TargetMode="External"/><Relationship Id="rId4708" Type="http://schemas.openxmlformats.org/officeDocument/2006/relationships/hyperlink" Target="https://twitter.com/artwisanggeni/status/703012883760705537" TargetMode="External"/><Relationship Id="rId8295" Type="http://schemas.openxmlformats.org/officeDocument/2006/relationships/hyperlink" Target="https://pbs.twimg.com/profile_images/565990504408440832/onbh66fx_normal.png" TargetMode="External"/><Relationship Id="rId8294" Type="http://schemas.openxmlformats.org/officeDocument/2006/relationships/hyperlink" Target="https://twitter.com/1871Chicago/status/703229470640050176" TargetMode="External"/><Relationship Id="rId8293" Type="http://schemas.openxmlformats.org/officeDocument/2006/relationships/hyperlink" Target="https://twitter.com/1871Chicago" TargetMode="External"/><Relationship Id="rId8292" Type="http://schemas.openxmlformats.org/officeDocument/2006/relationships/hyperlink" Target="https://pbs.twimg.com/profile_images/594530197287776257/nIAmG4cc_normal.jpg" TargetMode="External"/><Relationship Id="rId8299" Type="http://schemas.openxmlformats.org/officeDocument/2006/relationships/hyperlink" Target="https://twitter.com/GetUdemyDeals" TargetMode="External"/><Relationship Id="rId8298" Type="http://schemas.openxmlformats.org/officeDocument/2006/relationships/hyperlink" Target="https://pbs.twimg.com/profile_images/578098320159051776/fZw6-_AW_normal.png" TargetMode="External"/><Relationship Id="rId8297" Type="http://schemas.openxmlformats.org/officeDocument/2006/relationships/hyperlink" Target="https://twitter.com/googletricks19/status/703229589972262912" TargetMode="External"/><Relationship Id="rId8296" Type="http://schemas.openxmlformats.org/officeDocument/2006/relationships/hyperlink" Target="https://twitter.com/googletricks19" TargetMode="External"/><Relationship Id="rId2148" Type="http://schemas.openxmlformats.org/officeDocument/2006/relationships/hyperlink" Target="https://twitter.com/cocoacoda" TargetMode="External"/><Relationship Id="rId2149" Type="http://schemas.openxmlformats.org/officeDocument/2006/relationships/hyperlink" Target="https://twitter.com/cocoacoda/status/702896083798761472" TargetMode="External"/><Relationship Id="rId3479" Type="http://schemas.openxmlformats.org/officeDocument/2006/relationships/hyperlink" Target="https://twitter.com/dewomser" TargetMode="External"/><Relationship Id="rId3470" Type="http://schemas.openxmlformats.org/officeDocument/2006/relationships/hyperlink" Target="http://dlvr.it" TargetMode="External"/><Relationship Id="rId2140" Type="http://schemas.openxmlformats.org/officeDocument/2006/relationships/hyperlink" Target="https://twitter.com/AndrewBaidu/status/702895433690030080" TargetMode="External"/><Relationship Id="rId3472" Type="http://schemas.openxmlformats.org/officeDocument/2006/relationships/hyperlink" Target="https://twitter.com/artwisanggeni" TargetMode="External"/><Relationship Id="rId2141" Type="http://schemas.openxmlformats.org/officeDocument/2006/relationships/hyperlink" Target="https://pbs.twimg.com/profile_images/632743976785735682/CfTy63Eb_normal.jpg" TargetMode="External"/><Relationship Id="rId3471" Type="http://schemas.openxmlformats.org/officeDocument/2006/relationships/hyperlink" Target="https://pbs.twimg.com/profile_images/2813636657/599521f69e2bc210a57323b64d8e39e6_normal.jpeg" TargetMode="External"/><Relationship Id="rId2142" Type="http://schemas.openxmlformats.org/officeDocument/2006/relationships/hyperlink" Target="https://twitter.com/AIBlender" TargetMode="External"/><Relationship Id="rId3474" Type="http://schemas.openxmlformats.org/officeDocument/2006/relationships/hyperlink" Target="http://dlvr.it" TargetMode="External"/><Relationship Id="rId2143" Type="http://schemas.openxmlformats.org/officeDocument/2006/relationships/hyperlink" Target="https://twitter.com/AIBlender/status/702895559116513280" TargetMode="External"/><Relationship Id="rId3473" Type="http://schemas.openxmlformats.org/officeDocument/2006/relationships/hyperlink" Target="https://twitter.com/artwisanggeni/status/702946854485385216" TargetMode="External"/><Relationship Id="rId2144" Type="http://schemas.openxmlformats.org/officeDocument/2006/relationships/hyperlink" Target="https://pbs.twimg.com/profile_images/2837669174/ffcf7b31759c09209cd815416c47cb7a_normal.png" TargetMode="External"/><Relationship Id="rId3476" Type="http://schemas.openxmlformats.org/officeDocument/2006/relationships/hyperlink" Target="https://twitter.com/Pvalsfr" TargetMode="External"/><Relationship Id="rId2145" Type="http://schemas.openxmlformats.org/officeDocument/2006/relationships/hyperlink" Target="https://twitter.com/PagesofTools" TargetMode="External"/><Relationship Id="rId3475" Type="http://schemas.openxmlformats.org/officeDocument/2006/relationships/hyperlink" Target="https://pbs.twimg.com/profile_images/2813636657/599521f69e2bc210a57323b64d8e39e6_normal.jpeg" TargetMode="External"/><Relationship Id="rId2146" Type="http://schemas.openxmlformats.org/officeDocument/2006/relationships/hyperlink" Target="https://twitter.com/PagesofTools/status/702895844752756736" TargetMode="External"/><Relationship Id="rId3478" Type="http://schemas.openxmlformats.org/officeDocument/2006/relationships/hyperlink" Target="https://abs.twimg.com/sticky/default_profile_images/default_profile_4_normal.png" TargetMode="External"/><Relationship Id="rId2147" Type="http://schemas.openxmlformats.org/officeDocument/2006/relationships/hyperlink" Target="https://pbs.twimg.com/profile_images/662630889822777345/xZtbsRge_normal.png" TargetMode="External"/><Relationship Id="rId3477" Type="http://schemas.openxmlformats.org/officeDocument/2006/relationships/hyperlink" Target="https://twitter.com/Pvalsfr/status/702946936647786496" TargetMode="External"/><Relationship Id="rId2137" Type="http://schemas.openxmlformats.org/officeDocument/2006/relationships/hyperlink" Target="https://twitter.com/nipun_batra/status/702895367658995712" TargetMode="External"/><Relationship Id="rId3469" Type="http://schemas.openxmlformats.org/officeDocument/2006/relationships/hyperlink" Target="https://twitter.com/artwisanggeni/status/702946851037663232" TargetMode="External"/><Relationship Id="rId2138" Type="http://schemas.openxmlformats.org/officeDocument/2006/relationships/hyperlink" Target="https://pbs.twimg.com/profile_images/701438712060620801/N35BDyqv_normal.jpg" TargetMode="External"/><Relationship Id="rId3468" Type="http://schemas.openxmlformats.org/officeDocument/2006/relationships/hyperlink" Target="https://twitter.com/artwisanggeni" TargetMode="External"/><Relationship Id="rId4799" Type="http://schemas.openxmlformats.org/officeDocument/2006/relationships/hyperlink" Target="https://pbs.twimg.com/profile_images/414665160217739264/Vjqlxhz8_normal.jpeg" TargetMode="External"/><Relationship Id="rId2139" Type="http://schemas.openxmlformats.org/officeDocument/2006/relationships/hyperlink" Target="https://twitter.com/AndrewBaidu" TargetMode="External"/><Relationship Id="rId4790" Type="http://schemas.openxmlformats.org/officeDocument/2006/relationships/hyperlink" Target="https://pbs.twimg.com/profile_images/653620263142195200/BkaTWo-x_normal.png" TargetMode="External"/><Relationship Id="rId3461" Type="http://schemas.openxmlformats.org/officeDocument/2006/relationships/hyperlink" Target="https://twitter.com/artwisanggeni/status/702946842883919872" TargetMode="External"/><Relationship Id="rId4792" Type="http://schemas.openxmlformats.org/officeDocument/2006/relationships/hyperlink" Target="https://twitter.com/Hana_Anber/status/703016377024704513" TargetMode="External"/><Relationship Id="rId2130" Type="http://schemas.openxmlformats.org/officeDocument/2006/relationships/hyperlink" Target="https://twitter.com/isimarjeetsingh" TargetMode="External"/><Relationship Id="rId3460" Type="http://schemas.openxmlformats.org/officeDocument/2006/relationships/hyperlink" Target="https://twitter.com/artwisanggeni" TargetMode="External"/><Relationship Id="rId4791" Type="http://schemas.openxmlformats.org/officeDocument/2006/relationships/hyperlink" Target="https://twitter.com/Hana_Anber" TargetMode="External"/><Relationship Id="rId2131" Type="http://schemas.openxmlformats.org/officeDocument/2006/relationships/hyperlink" Target="https://twitter.com/isimarjeetsingh/status/702894792108331008" TargetMode="External"/><Relationship Id="rId3463" Type="http://schemas.openxmlformats.org/officeDocument/2006/relationships/hyperlink" Target="https://pbs.twimg.com/profile_images/2813636657/599521f69e2bc210a57323b64d8e39e6_normal.jpeg" TargetMode="External"/><Relationship Id="rId4794" Type="http://schemas.openxmlformats.org/officeDocument/2006/relationships/hyperlink" Target="https://twitter.com/KealohaDudoit" TargetMode="External"/><Relationship Id="rId2132" Type="http://schemas.openxmlformats.org/officeDocument/2006/relationships/hyperlink" Target="https://pbs.twimg.com/profile_images/1410657635/gjuihiuhihioh_normal.JPG" TargetMode="External"/><Relationship Id="rId3462" Type="http://schemas.openxmlformats.org/officeDocument/2006/relationships/hyperlink" Target="http://dlvr.it" TargetMode="External"/><Relationship Id="rId4793" Type="http://schemas.openxmlformats.org/officeDocument/2006/relationships/hyperlink" Target="https://pbs.twimg.com/profile_images/675159429629759490/U_ciM4bZ_normal.jpg" TargetMode="External"/><Relationship Id="rId2133" Type="http://schemas.openxmlformats.org/officeDocument/2006/relationships/hyperlink" Target="https://twitter.com/BlakePrograms" TargetMode="External"/><Relationship Id="rId3465" Type="http://schemas.openxmlformats.org/officeDocument/2006/relationships/hyperlink" Target="https://twitter.com/artwisanggeni/status/702946847074029568" TargetMode="External"/><Relationship Id="rId4796" Type="http://schemas.openxmlformats.org/officeDocument/2006/relationships/hyperlink" Target="https://pbs.twimg.com/profile_images/686102038078304257/p0euEO2l_normal.png" TargetMode="External"/><Relationship Id="rId2134" Type="http://schemas.openxmlformats.org/officeDocument/2006/relationships/hyperlink" Target="https://twitter.com/BlakePrograms/status/702895250596110336" TargetMode="External"/><Relationship Id="rId3464" Type="http://schemas.openxmlformats.org/officeDocument/2006/relationships/hyperlink" Target="https://twitter.com/artwisanggeni" TargetMode="External"/><Relationship Id="rId4795" Type="http://schemas.openxmlformats.org/officeDocument/2006/relationships/hyperlink" Target="https://twitter.com/KealohaDudoit/status/703016451364368384" TargetMode="External"/><Relationship Id="rId2135" Type="http://schemas.openxmlformats.org/officeDocument/2006/relationships/hyperlink" Target="https://pbs.twimg.com/profile_images/696082242074968064/RghbdnLe_normal.jpg" TargetMode="External"/><Relationship Id="rId3467" Type="http://schemas.openxmlformats.org/officeDocument/2006/relationships/hyperlink" Target="https://pbs.twimg.com/profile_images/2813636657/599521f69e2bc210a57323b64d8e39e6_normal.jpeg" TargetMode="External"/><Relationship Id="rId4798" Type="http://schemas.openxmlformats.org/officeDocument/2006/relationships/hyperlink" Target="https://twitter.com/walkops/status/703016477813673984" TargetMode="External"/><Relationship Id="rId2136" Type="http://schemas.openxmlformats.org/officeDocument/2006/relationships/hyperlink" Target="https://twitter.com/nipun_batra" TargetMode="External"/><Relationship Id="rId3466" Type="http://schemas.openxmlformats.org/officeDocument/2006/relationships/hyperlink" Target="http://dlvr.it" TargetMode="External"/><Relationship Id="rId4797" Type="http://schemas.openxmlformats.org/officeDocument/2006/relationships/hyperlink" Target="https://twitter.com/walkops" TargetMode="External"/><Relationship Id="rId3490" Type="http://schemas.openxmlformats.org/officeDocument/2006/relationships/hyperlink" Target="https://pbs.twimg.com/profile_images/558932528350760960/Yw6eN8Hy_normal.jpeg" TargetMode="External"/><Relationship Id="rId2160" Type="http://schemas.openxmlformats.org/officeDocument/2006/relationships/hyperlink" Target="https://twitter.com/thedenimdealer" TargetMode="External"/><Relationship Id="rId3492" Type="http://schemas.openxmlformats.org/officeDocument/2006/relationships/hyperlink" Target="https://twitter.com/walkops/status/702947283453743106" TargetMode="External"/><Relationship Id="rId2161" Type="http://schemas.openxmlformats.org/officeDocument/2006/relationships/hyperlink" Target="https://twitter.com/thedenimdealer/status/702897188616192001" TargetMode="External"/><Relationship Id="rId3491" Type="http://schemas.openxmlformats.org/officeDocument/2006/relationships/hyperlink" Target="https://twitter.com/walkops" TargetMode="External"/><Relationship Id="rId2162" Type="http://schemas.openxmlformats.org/officeDocument/2006/relationships/hyperlink" Target="https://pbs.twimg.com/profile_images/702719200842932226/PQII7P1F_normal.jpg" TargetMode="External"/><Relationship Id="rId3494" Type="http://schemas.openxmlformats.org/officeDocument/2006/relationships/hyperlink" Target="https://twitter.com/rey_atkinson" TargetMode="External"/><Relationship Id="rId2163" Type="http://schemas.openxmlformats.org/officeDocument/2006/relationships/hyperlink" Target="https://twitter.com/lerrua" TargetMode="External"/><Relationship Id="rId3493" Type="http://schemas.openxmlformats.org/officeDocument/2006/relationships/hyperlink" Target="https://pbs.twimg.com/profile_images/414665160217739264/Vjqlxhz8_normal.jpeg" TargetMode="External"/><Relationship Id="rId2164" Type="http://schemas.openxmlformats.org/officeDocument/2006/relationships/hyperlink" Target="https://twitter.com/lerrua/status/702897213740097536" TargetMode="External"/><Relationship Id="rId3496" Type="http://schemas.openxmlformats.org/officeDocument/2006/relationships/hyperlink" Target="https://pbs.twimg.com/profile_images/595972448320933889/a6gFOD38_normal.jpg" TargetMode="External"/><Relationship Id="rId2165" Type="http://schemas.openxmlformats.org/officeDocument/2006/relationships/hyperlink" Target="https://pbs.twimg.com/profile_images/463058907402080256/RZ4L3AbK_normal.jpeg" TargetMode="External"/><Relationship Id="rId3495" Type="http://schemas.openxmlformats.org/officeDocument/2006/relationships/hyperlink" Target="https://twitter.com/rey_atkinson/status/702947728259682304" TargetMode="External"/><Relationship Id="rId2166" Type="http://schemas.openxmlformats.org/officeDocument/2006/relationships/hyperlink" Target="https://twitter.com/artwisanggeni" TargetMode="External"/><Relationship Id="rId3498" Type="http://schemas.openxmlformats.org/officeDocument/2006/relationships/hyperlink" Target="https://twitter.com/b_smoke/status/702948250970554368" TargetMode="External"/><Relationship Id="rId2167" Type="http://schemas.openxmlformats.org/officeDocument/2006/relationships/hyperlink" Target="https://twitter.com/artwisanggeni/status/702897409219629056" TargetMode="External"/><Relationship Id="rId3497" Type="http://schemas.openxmlformats.org/officeDocument/2006/relationships/hyperlink" Target="https://twitter.com/b_smoke" TargetMode="External"/><Relationship Id="rId2168" Type="http://schemas.openxmlformats.org/officeDocument/2006/relationships/hyperlink" Target="http://dlvr.it" TargetMode="External"/><Relationship Id="rId2169" Type="http://schemas.openxmlformats.org/officeDocument/2006/relationships/hyperlink" Target="https://pbs.twimg.com/profile_images/2813636657/599521f69e2bc210a57323b64d8e39e6_normal.jpeg" TargetMode="External"/><Relationship Id="rId3499" Type="http://schemas.openxmlformats.org/officeDocument/2006/relationships/hyperlink" Target="https://pbs.twimg.com/profile_images/1289491245/oops_normal.jpg" TargetMode="External"/><Relationship Id="rId2159" Type="http://schemas.openxmlformats.org/officeDocument/2006/relationships/hyperlink" Target="https://pbs.twimg.com/profile_images/2350115845/SmallLogo_SOLO_KAIZEN_normal.jpg" TargetMode="External"/><Relationship Id="rId3481" Type="http://schemas.openxmlformats.org/officeDocument/2006/relationships/hyperlink" Target="https://pbs.twimg.com/profile_images/406053671/ich0909_normal.png" TargetMode="External"/><Relationship Id="rId2150" Type="http://schemas.openxmlformats.org/officeDocument/2006/relationships/hyperlink" Target="https://pbs.twimg.com/profile_images/452064440687423488/nbwrKTwP_normal.jpeg" TargetMode="External"/><Relationship Id="rId3480" Type="http://schemas.openxmlformats.org/officeDocument/2006/relationships/hyperlink" Target="https://twitter.com/dewomser/status/702946961620652032" TargetMode="External"/><Relationship Id="rId2151" Type="http://schemas.openxmlformats.org/officeDocument/2006/relationships/hyperlink" Target="https://twitter.com/apowers411" TargetMode="External"/><Relationship Id="rId3483" Type="http://schemas.openxmlformats.org/officeDocument/2006/relationships/hyperlink" Target="https://twitter.com/korezian/status/702947096522051584" TargetMode="External"/><Relationship Id="rId2152" Type="http://schemas.openxmlformats.org/officeDocument/2006/relationships/hyperlink" Target="https://twitter.com/apowers411/status/702896471822225408" TargetMode="External"/><Relationship Id="rId3482" Type="http://schemas.openxmlformats.org/officeDocument/2006/relationships/hyperlink" Target="https://twitter.com/korezian" TargetMode="External"/><Relationship Id="rId2153" Type="http://schemas.openxmlformats.org/officeDocument/2006/relationships/hyperlink" Target="https://pbs.twimg.com/profile_images/547937964936790018/hSKwYqzV_normal.jpeg" TargetMode="External"/><Relationship Id="rId3485" Type="http://schemas.openxmlformats.org/officeDocument/2006/relationships/hyperlink" Target="https://twitter.com/ribcrackr" TargetMode="External"/><Relationship Id="rId2154" Type="http://schemas.openxmlformats.org/officeDocument/2006/relationships/hyperlink" Target="https://twitter.com/JoshuaLongUK" TargetMode="External"/><Relationship Id="rId3484" Type="http://schemas.openxmlformats.org/officeDocument/2006/relationships/hyperlink" Target="https://pbs.twimg.com/profile_images/460099412526518272/aNXvaTyn_normal.jpeg" TargetMode="External"/><Relationship Id="rId2155" Type="http://schemas.openxmlformats.org/officeDocument/2006/relationships/hyperlink" Target="https://twitter.com/JoshuaLongUK/status/702897134933254144" TargetMode="External"/><Relationship Id="rId3487" Type="http://schemas.openxmlformats.org/officeDocument/2006/relationships/hyperlink" Target="https://pbs.twimg.com/profile_images/695671925100716037/wM_7ofSA_normal.jpg" TargetMode="External"/><Relationship Id="rId2156" Type="http://schemas.openxmlformats.org/officeDocument/2006/relationships/hyperlink" Target="https://pbs.twimg.com/profile_images/627996138403168256/DaASdgVr_normal.jpg" TargetMode="External"/><Relationship Id="rId3486" Type="http://schemas.openxmlformats.org/officeDocument/2006/relationships/hyperlink" Target="https://twitter.com/ribcrackr/status/702947198472843264" TargetMode="External"/><Relationship Id="rId2157" Type="http://schemas.openxmlformats.org/officeDocument/2006/relationships/hyperlink" Target="https://twitter.com/KaizenRH" TargetMode="External"/><Relationship Id="rId3489" Type="http://schemas.openxmlformats.org/officeDocument/2006/relationships/hyperlink" Target="https://twitter.com/Urist_McProgger/status/702947234078466048" TargetMode="External"/><Relationship Id="rId2158" Type="http://schemas.openxmlformats.org/officeDocument/2006/relationships/hyperlink" Target="https://twitter.com/KaizenRH/status/702897179929800708" TargetMode="External"/><Relationship Id="rId3488" Type="http://schemas.openxmlformats.org/officeDocument/2006/relationships/hyperlink" Target="https://twitter.com/Urist_McProgger" TargetMode="External"/><Relationship Id="rId2104" Type="http://schemas.openxmlformats.org/officeDocument/2006/relationships/hyperlink" Target="https://twitter.com/MTotolrahaman/status/702893419312627714" TargetMode="External"/><Relationship Id="rId3436" Type="http://schemas.openxmlformats.org/officeDocument/2006/relationships/hyperlink" Target="https://twitter.com/artwisanggeni" TargetMode="External"/><Relationship Id="rId4767" Type="http://schemas.openxmlformats.org/officeDocument/2006/relationships/hyperlink" Target="https://twitter.com/LillianEdmiston" TargetMode="External"/><Relationship Id="rId2105" Type="http://schemas.openxmlformats.org/officeDocument/2006/relationships/hyperlink" Target="https://pbs.twimg.com/profile_images/677493910256484352/-EdVaVPl_normal.jpg" TargetMode="External"/><Relationship Id="rId3435" Type="http://schemas.openxmlformats.org/officeDocument/2006/relationships/hyperlink" Target="https://pbs.twimg.com/profile_images/2945146809/7e973d9b39d9663f3466f2af9855129c_normal.jpeg" TargetMode="External"/><Relationship Id="rId4766" Type="http://schemas.openxmlformats.org/officeDocument/2006/relationships/hyperlink" Target="https://pbs.twimg.com/profile_images/531536311350341632/NBRjyJ_n_normal.jpeg" TargetMode="External"/><Relationship Id="rId2106" Type="http://schemas.openxmlformats.org/officeDocument/2006/relationships/hyperlink" Target="https://twitter.com/Living_Variable" TargetMode="External"/><Relationship Id="rId3438" Type="http://schemas.openxmlformats.org/officeDocument/2006/relationships/hyperlink" Target="http://dlvr.it" TargetMode="External"/><Relationship Id="rId4769" Type="http://schemas.openxmlformats.org/officeDocument/2006/relationships/hyperlink" Target="https://pbs.twimg.com/profile_images/655014978101993476/ZpsnJW8B_normal.jpg" TargetMode="External"/><Relationship Id="rId2107" Type="http://schemas.openxmlformats.org/officeDocument/2006/relationships/hyperlink" Target="https://twitter.com/Living_Variable/status/702893996528562179" TargetMode="External"/><Relationship Id="rId3437" Type="http://schemas.openxmlformats.org/officeDocument/2006/relationships/hyperlink" Target="https://twitter.com/artwisanggeni/status/702946816342388737" TargetMode="External"/><Relationship Id="rId4768" Type="http://schemas.openxmlformats.org/officeDocument/2006/relationships/hyperlink" Target="https://twitter.com/LillianEdmiston/status/703015037263343616" TargetMode="External"/><Relationship Id="rId2108" Type="http://schemas.openxmlformats.org/officeDocument/2006/relationships/hyperlink" Target="https://pbs.twimg.com/profile_images/699680013088485376/w-mE_mx7_normal.jpg" TargetMode="External"/><Relationship Id="rId2109" Type="http://schemas.openxmlformats.org/officeDocument/2006/relationships/hyperlink" Target="https://twitter.com/art_control" TargetMode="External"/><Relationship Id="rId3439" Type="http://schemas.openxmlformats.org/officeDocument/2006/relationships/hyperlink" Target="https://pbs.twimg.com/profile_images/2813636657/599521f69e2bc210a57323b64d8e39e6_normal.jpeg" TargetMode="External"/><Relationship Id="rId3430" Type="http://schemas.openxmlformats.org/officeDocument/2006/relationships/hyperlink" Target="https://twitter.com/nightwalker" TargetMode="External"/><Relationship Id="rId4761" Type="http://schemas.openxmlformats.org/officeDocument/2006/relationships/hyperlink" Target="https://twitter.com/sgodoy" TargetMode="External"/><Relationship Id="rId4760" Type="http://schemas.openxmlformats.org/officeDocument/2006/relationships/hyperlink" Target="https://pbs.twimg.com/profile_images/457775762108448768/XmO2C1-E_normal.png" TargetMode="External"/><Relationship Id="rId2100" Type="http://schemas.openxmlformats.org/officeDocument/2006/relationships/hyperlink" Target="http://JobHero.io" TargetMode="External"/><Relationship Id="rId3432" Type="http://schemas.openxmlformats.org/officeDocument/2006/relationships/hyperlink" Target="https://pbs.twimg.com/profile_images/25542182/flickr_icon_20070307_normal.jpg" TargetMode="External"/><Relationship Id="rId4763" Type="http://schemas.openxmlformats.org/officeDocument/2006/relationships/hyperlink" Target="https://pbs.twimg.com/profile_images/3573957003/9e38683558a1687f65f7bedff441ee51_normal.jpeg" TargetMode="External"/><Relationship Id="rId2101" Type="http://schemas.openxmlformats.org/officeDocument/2006/relationships/hyperlink" Target="https://twitter.com/JobHero_io/status/702893390636175364" TargetMode="External"/><Relationship Id="rId3431" Type="http://schemas.openxmlformats.org/officeDocument/2006/relationships/hyperlink" Target="https://twitter.com/nightwalker/status/702946610297212928" TargetMode="External"/><Relationship Id="rId4762" Type="http://schemas.openxmlformats.org/officeDocument/2006/relationships/hyperlink" Target="https://twitter.com/sgodoy/status/703014278387752961" TargetMode="External"/><Relationship Id="rId2102" Type="http://schemas.openxmlformats.org/officeDocument/2006/relationships/hyperlink" Target="https://pbs.twimg.com/profile_images/609201325046280192/WqwLYJNg_normal.jpg" TargetMode="External"/><Relationship Id="rId3434" Type="http://schemas.openxmlformats.org/officeDocument/2006/relationships/hyperlink" Target="https://twitter.com/cedrickrier/status/702946621403881472" TargetMode="External"/><Relationship Id="rId4765" Type="http://schemas.openxmlformats.org/officeDocument/2006/relationships/hyperlink" Target="https://twitter.com/mrs_sills/status/703014579886919680" TargetMode="External"/><Relationship Id="rId2103" Type="http://schemas.openxmlformats.org/officeDocument/2006/relationships/hyperlink" Target="https://twitter.com/MTotolrahaman" TargetMode="External"/><Relationship Id="rId3433" Type="http://schemas.openxmlformats.org/officeDocument/2006/relationships/hyperlink" Target="https://twitter.com/cedrickrier" TargetMode="External"/><Relationship Id="rId4764" Type="http://schemas.openxmlformats.org/officeDocument/2006/relationships/hyperlink" Target="https://twitter.com/mrs_sills" TargetMode="External"/><Relationship Id="rId3425" Type="http://schemas.openxmlformats.org/officeDocument/2006/relationships/hyperlink" Target="https://twitter.com/PythonWeekly/status/702946404096987136" TargetMode="External"/><Relationship Id="rId4756" Type="http://schemas.openxmlformats.org/officeDocument/2006/relationships/hyperlink" Target="https://twitter.com/BrianDrake415/status/703014079028301824" TargetMode="External"/><Relationship Id="rId3424" Type="http://schemas.openxmlformats.org/officeDocument/2006/relationships/hyperlink" Target="https://twitter.com/PythonWeekly" TargetMode="External"/><Relationship Id="rId4755" Type="http://schemas.openxmlformats.org/officeDocument/2006/relationships/hyperlink" Target="https://twitter.com/BrianDrake415" TargetMode="External"/><Relationship Id="rId3427" Type="http://schemas.openxmlformats.org/officeDocument/2006/relationships/hyperlink" Target="https://twitter.com/walkops" TargetMode="External"/><Relationship Id="rId4758" Type="http://schemas.openxmlformats.org/officeDocument/2006/relationships/hyperlink" Target="https://twitter.com/AnalyticsVidhya" TargetMode="External"/><Relationship Id="rId3426" Type="http://schemas.openxmlformats.org/officeDocument/2006/relationships/hyperlink" Target="https://pbs.twimg.com/profile_images/1554238582/python_normal.jpg" TargetMode="External"/><Relationship Id="rId4757" Type="http://schemas.openxmlformats.org/officeDocument/2006/relationships/hyperlink" Target="https://pbs.twimg.com/profile_images/2185672884/Linked_normal.jpg" TargetMode="External"/><Relationship Id="rId3429" Type="http://schemas.openxmlformats.org/officeDocument/2006/relationships/hyperlink" Target="https://pbs.twimg.com/profile_images/414665160217739264/Vjqlxhz8_normal.jpeg" TargetMode="External"/><Relationship Id="rId3428" Type="http://schemas.openxmlformats.org/officeDocument/2006/relationships/hyperlink" Target="https://twitter.com/walkops/status/702946524565782528" TargetMode="External"/><Relationship Id="rId4759" Type="http://schemas.openxmlformats.org/officeDocument/2006/relationships/hyperlink" Target="https://twitter.com/AnalyticsVidhya/status/703014170300698625" TargetMode="External"/><Relationship Id="rId4750" Type="http://schemas.openxmlformats.org/officeDocument/2006/relationships/hyperlink" Target="https://twitter.com/korezian/status/703013858684735488" TargetMode="External"/><Relationship Id="rId3421" Type="http://schemas.openxmlformats.org/officeDocument/2006/relationships/hyperlink" Target="https://twitter.com/LearntoCodeGame" TargetMode="External"/><Relationship Id="rId4752" Type="http://schemas.openxmlformats.org/officeDocument/2006/relationships/hyperlink" Target="https://twitter.com/banks_william" TargetMode="External"/><Relationship Id="rId3420" Type="http://schemas.openxmlformats.org/officeDocument/2006/relationships/hyperlink" Target="https://pbs.twimg.com/profile_images/680887029845110784/iWdan2Gf_normal.jpg" TargetMode="External"/><Relationship Id="rId4751" Type="http://schemas.openxmlformats.org/officeDocument/2006/relationships/hyperlink" Target="https://pbs.twimg.com/profile_images/460099412526518272/aNXvaTyn_normal.jpeg" TargetMode="External"/><Relationship Id="rId3423" Type="http://schemas.openxmlformats.org/officeDocument/2006/relationships/hyperlink" Target="https://pbs.twimg.com/profile_images/690573526856814592/iIpFBX_m_normal.jpg" TargetMode="External"/><Relationship Id="rId4754" Type="http://schemas.openxmlformats.org/officeDocument/2006/relationships/hyperlink" Target="https://pbs.twimg.com/profile_images/666987561613684738/ocbEmvH-_normal.jpg" TargetMode="External"/><Relationship Id="rId3422" Type="http://schemas.openxmlformats.org/officeDocument/2006/relationships/hyperlink" Target="https://twitter.com/LearntoCodeGame/status/702946211192512512" TargetMode="External"/><Relationship Id="rId4753" Type="http://schemas.openxmlformats.org/officeDocument/2006/relationships/hyperlink" Target="https://twitter.com/banks_william/status/703013871557156864" TargetMode="External"/><Relationship Id="rId2126" Type="http://schemas.openxmlformats.org/officeDocument/2006/relationships/hyperlink" Target="https://pbs.twimg.com/profile_images/1816885964/image1328857964_normal.png" TargetMode="External"/><Relationship Id="rId3458" Type="http://schemas.openxmlformats.org/officeDocument/2006/relationships/hyperlink" Target="http://dlvr.it" TargetMode="External"/><Relationship Id="rId4789" Type="http://schemas.openxmlformats.org/officeDocument/2006/relationships/hyperlink" Target="https://twitter.com/InstantCreatis/status/703016341507350528" TargetMode="External"/><Relationship Id="rId2127" Type="http://schemas.openxmlformats.org/officeDocument/2006/relationships/hyperlink" Target="https://twitter.com/LynnColeridge" TargetMode="External"/><Relationship Id="rId3457" Type="http://schemas.openxmlformats.org/officeDocument/2006/relationships/hyperlink" Target="https://twitter.com/artwisanggeni/status/702946838828052480" TargetMode="External"/><Relationship Id="rId4788" Type="http://schemas.openxmlformats.org/officeDocument/2006/relationships/hyperlink" Target="https://twitter.com/InstantCreatis" TargetMode="External"/><Relationship Id="rId2128" Type="http://schemas.openxmlformats.org/officeDocument/2006/relationships/hyperlink" Target="https://twitter.com/LynnColeridge/status/702894328553672704" TargetMode="External"/><Relationship Id="rId2129" Type="http://schemas.openxmlformats.org/officeDocument/2006/relationships/hyperlink" Target="https://pbs.twimg.com/profile_images/611040842225061888/M69qednl_normal.png" TargetMode="External"/><Relationship Id="rId3459" Type="http://schemas.openxmlformats.org/officeDocument/2006/relationships/hyperlink" Target="https://pbs.twimg.com/profile_images/2813636657/599521f69e2bc210a57323b64d8e39e6_normal.jpeg" TargetMode="External"/><Relationship Id="rId3450" Type="http://schemas.openxmlformats.org/officeDocument/2006/relationships/hyperlink" Target="http://dlvr.it" TargetMode="External"/><Relationship Id="rId4781" Type="http://schemas.openxmlformats.org/officeDocument/2006/relationships/hyperlink" Target="https://twitter.com/rezakamalifard" TargetMode="External"/><Relationship Id="rId4780" Type="http://schemas.openxmlformats.org/officeDocument/2006/relationships/hyperlink" Target="https://pbs.twimg.com/profile_images/2461671612/image_normal.jpg" TargetMode="External"/><Relationship Id="rId2120" Type="http://schemas.openxmlformats.org/officeDocument/2006/relationships/hyperlink" Target="https://pbs.twimg.com/profile_images/2494893844/sohn005u2p2k2zy35s28_normal.jpeg" TargetMode="External"/><Relationship Id="rId3452" Type="http://schemas.openxmlformats.org/officeDocument/2006/relationships/hyperlink" Target="https://twitter.com/artwisanggeni" TargetMode="External"/><Relationship Id="rId4783" Type="http://schemas.openxmlformats.org/officeDocument/2006/relationships/hyperlink" Target="https://pbs.twimg.com/profile_images/699296573696544768/wSj8Y5qX_normal.jpg" TargetMode="External"/><Relationship Id="rId2121" Type="http://schemas.openxmlformats.org/officeDocument/2006/relationships/hyperlink" Target="https://twitter.com/Sentia_UK" TargetMode="External"/><Relationship Id="rId3451" Type="http://schemas.openxmlformats.org/officeDocument/2006/relationships/hyperlink" Target="https://pbs.twimg.com/profile_images/2813636657/599521f69e2bc210a57323b64d8e39e6_normal.jpeg" TargetMode="External"/><Relationship Id="rId4782" Type="http://schemas.openxmlformats.org/officeDocument/2006/relationships/hyperlink" Target="https://twitter.com/rezakamalifard/status/703015937302142977" TargetMode="External"/><Relationship Id="rId2122" Type="http://schemas.openxmlformats.org/officeDocument/2006/relationships/hyperlink" Target="https://twitter.com/Sentia_UK/status/702894283456692225" TargetMode="External"/><Relationship Id="rId3454" Type="http://schemas.openxmlformats.org/officeDocument/2006/relationships/hyperlink" Target="http://dlvr.it" TargetMode="External"/><Relationship Id="rId4785" Type="http://schemas.openxmlformats.org/officeDocument/2006/relationships/hyperlink" Target="http://RealPython.com" TargetMode="External"/><Relationship Id="rId2123" Type="http://schemas.openxmlformats.org/officeDocument/2006/relationships/hyperlink" Target="https://pbs.twimg.com/profile_images/686454848892604418/XuwBojF-_normal.jpg" TargetMode="External"/><Relationship Id="rId3453" Type="http://schemas.openxmlformats.org/officeDocument/2006/relationships/hyperlink" Target="https://twitter.com/artwisanggeni/status/702946834054926336" TargetMode="External"/><Relationship Id="rId4784" Type="http://schemas.openxmlformats.org/officeDocument/2006/relationships/hyperlink" Target="https://twitter.com/RealPython" TargetMode="External"/><Relationship Id="rId2124" Type="http://schemas.openxmlformats.org/officeDocument/2006/relationships/hyperlink" Target="https://twitter.com/rahulgchaudhary" TargetMode="External"/><Relationship Id="rId3456" Type="http://schemas.openxmlformats.org/officeDocument/2006/relationships/hyperlink" Target="https://twitter.com/artwisanggeni" TargetMode="External"/><Relationship Id="rId4787" Type="http://schemas.openxmlformats.org/officeDocument/2006/relationships/hyperlink" Target="https://pbs.twimg.com/profile_images/3312468366/129323224633d71286101d517a2f9817_normal.png" TargetMode="External"/><Relationship Id="rId2125" Type="http://schemas.openxmlformats.org/officeDocument/2006/relationships/hyperlink" Target="https://twitter.com/rahulgchaudhary/status/702894289232252928" TargetMode="External"/><Relationship Id="rId3455" Type="http://schemas.openxmlformats.org/officeDocument/2006/relationships/hyperlink" Target="https://pbs.twimg.com/profile_images/2813636657/599521f69e2bc210a57323b64d8e39e6_normal.jpeg" TargetMode="External"/><Relationship Id="rId4786" Type="http://schemas.openxmlformats.org/officeDocument/2006/relationships/hyperlink" Target="https://twitter.com/RealPython/status/703016293125914624" TargetMode="External"/><Relationship Id="rId2115" Type="http://schemas.openxmlformats.org/officeDocument/2006/relationships/hyperlink" Target="https://twitter.com/LynnColeridge" TargetMode="External"/><Relationship Id="rId3447" Type="http://schemas.openxmlformats.org/officeDocument/2006/relationships/hyperlink" Target="https://pbs.twimg.com/profile_images/2813636657/599521f69e2bc210a57323b64d8e39e6_normal.jpeg" TargetMode="External"/><Relationship Id="rId4778" Type="http://schemas.openxmlformats.org/officeDocument/2006/relationships/hyperlink" Target="https://twitter.com/offthemesh" TargetMode="External"/><Relationship Id="rId2116" Type="http://schemas.openxmlformats.org/officeDocument/2006/relationships/hyperlink" Target="https://twitter.com/LynnColeridge/status/702894198404440064" TargetMode="External"/><Relationship Id="rId3446" Type="http://schemas.openxmlformats.org/officeDocument/2006/relationships/hyperlink" Target="http://dlvr.it" TargetMode="External"/><Relationship Id="rId4777" Type="http://schemas.openxmlformats.org/officeDocument/2006/relationships/hyperlink" Target="https://pbs.twimg.com/profile_images/3312468366/129323224633d71286101d517a2f9817_normal.png" TargetMode="External"/><Relationship Id="rId2117" Type="http://schemas.openxmlformats.org/officeDocument/2006/relationships/hyperlink" Target="https://pbs.twimg.com/profile_images/611040842225061888/M69qednl_normal.png" TargetMode="External"/><Relationship Id="rId3449" Type="http://schemas.openxmlformats.org/officeDocument/2006/relationships/hyperlink" Target="https://twitter.com/artwisanggeni/status/702946829843828738" TargetMode="External"/><Relationship Id="rId2118" Type="http://schemas.openxmlformats.org/officeDocument/2006/relationships/hyperlink" Target="https://twitter.com/bannedit0" TargetMode="External"/><Relationship Id="rId3448" Type="http://schemas.openxmlformats.org/officeDocument/2006/relationships/hyperlink" Target="https://twitter.com/artwisanggeni" TargetMode="External"/><Relationship Id="rId4779" Type="http://schemas.openxmlformats.org/officeDocument/2006/relationships/hyperlink" Target="https://twitter.com/offthemesh/status/703015880217612289" TargetMode="External"/><Relationship Id="rId2119" Type="http://schemas.openxmlformats.org/officeDocument/2006/relationships/hyperlink" Target="https://twitter.com/bannedit0/status/702894237512245248" TargetMode="External"/><Relationship Id="rId4770" Type="http://schemas.openxmlformats.org/officeDocument/2006/relationships/hyperlink" Target="https://twitter.com/RealPython" TargetMode="External"/><Relationship Id="rId3441" Type="http://schemas.openxmlformats.org/officeDocument/2006/relationships/hyperlink" Target="https://twitter.com/artwisanggeni/status/702946821660737537" TargetMode="External"/><Relationship Id="rId4772" Type="http://schemas.openxmlformats.org/officeDocument/2006/relationships/hyperlink" Target="https://twitter.com/RealPython/status/703015372807507968" TargetMode="External"/><Relationship Id="rId2110" Type="http://schemas.openxmlformats.org/officeDocument/2006/relationships/hyperlink" Target="https://twitter.com/art_control/status/702894060554551296" TargetMode="External"/><Relationship Id="rId3440" Type="http://schemas.openxmlformats.org/officeDocument/2006/relationships/hyperlink" Target="https://twitter.com/artwisanggeni" TargetMode="External"/><Relationship Id="rId4771" Type="http://schemas.openxmlformats.org/officeDocument/2006/relationships/hyperlink" Target="http://RealPython.com" TargetMode="External"/><Relationship Id="rId2111" Type="http://schemas.openxmlformats.org/officeDocument/2006/relationships/hyperlink" Target="https://pbs.twimg.com/profile_images/649004216690675712/UAcrP6ol_normal.png" TargetMode="External"/><Relationship Id="rId3443" Type="http://schemas.openxmlformats.org/officeDocument/2006/relationships/hyperlink" Target="https://pbs.twimg.com/profile_images/2813636657/599521f69e2bc210a57323b64d8e39e6_normal.jpeg" TargetMode="External"/><Relationship Id="rId4774" Type="http://schemas.openxmlformats.org/officeDocument/2006/relationships/hyperlink" Target="https://twitter.com/RealPython" TargetMode="External"/><Relationship Id="rId2112" Type="http://schemas.openxmlformats.org/officeDocument/2006/relationships/hyperlink" Target="https://twitter.com/mjxg" TargetMode="External"/><Relationship Id="rId3442" Type="http://schemas.openxmlformats.org/officeDocument/2006/relationships/hyperlink" Target="http://dlvr.it" TargetMode="External"/><Relationship Id="rId4773" Type="http://schemas.openxmlformats.org/officeDocument/2006/relationships/hyperlink" Target="https://pbs.twimg.com/profile_images/3312468366/129323224633d71286101d517a2f9817_normal.png" TargetMode="External"/><Relationship Id="rId2113" Type="http://schemas.openxmlformats.org/officeDocument/2006/relationships/hyperlink" Target="https://twitter.com/mjxg/status/702894189428809729" TargetMode="External"/><Relationship Id="rId3445" Type="http://schemas.openxmlformats.org/officeDocument/2006/relationships/hyperlink" Target="https://twitter.com/artwisanggeni/status/702946825544683520" TargetMode="External"/><Relationship Id="rId4776" Type="http://schemas.openxmlformats.org/officeDocument/2006/relationships/hyperlink" Target="https://twitter.com/RealPython/status/703015468697669632" TargetMode="External"/><Relationship Id="rId2114" Type="http://schemas.openxmlformats.org/officeDocument/2006/relationships/hyperlink" Target="https://pbs.twimg.com/profile_images/593105328654446594/HlHiqgMo_normal.jpg" TargetMode="External"/><Relationship Id="rId3444" Type="http://schemas.openxmlformats.org/officeDocument/2006/relationships/hyperlink" Target="https://twitter.com/artwisanggeni" TargetMode="External"/><Relationship Id="rId4775" Type="http://schemas.openxmlformats.org/officeDocument/2006/relationships/hyperlink" Target="http://RealPython.com" TargetMode="External"/><Relationship Id="rId5251" Type="http://schemas.openxmlformats.org/officeDocument/2006/relationships/hyperlink" Target="https://twitter.com/startechwall" TargetMode="External"/><Relationship Id="rId6582" Type="http://schemas.openxmlformats.org/officeDocument/2006/relationships/hyperlink" Target="https://twitter.com/HH_Technology" TargetMode="External"/><Relationship Id="rId5252" Type="http://schemas.openxmlformats.org/officeDocument/2006/relationships/hyperlink" Target="https://twitter.com/startechwall/status/703038477894557696" TargetMode="External"/><Relationship Id="rId6583" Type="http://schemas.openxmlformats.org/officeDocument/2006/relationships/hyperlink" Target="https://twitter.com/HH_Technology/status/703133769692131329" TargetMode="External"/><Relationship Id="rId6580" Type="http://schemas.openxmlformats.org/officeDocument/2006/relationships/hyperlink" Target="https://twitter.com/JosefZamrzla/status/703132098731741184" TargetMode="External"/><Relationship Id="rId5250" Type="http://schemas.openxmlformats.org/officeDocument/2006/relationships/hyperlink" Target="https://pbs.twimg.com/profile_images/671623862916812800/yGsDKiP4_normal.jpg" TargetMode="External"/><Relationship Id="rId6581" Type="http://schemas.openxmlformats.org/officeDocument/2006/relationships/hyperlink" Target="https://pbs.twimg.com/profile_images/2016657771/P7160133_normal.JPG" TargetMode="External"/><Relationship Id="rId5255" Type="http://schemas.openxmlformats.org/officeDocument/2006/relationships/hyperlink" Target="https://twitter.com/techknow_jp/status/703039285117771776" TargetMode="External"/><Relationship Id="rId6586" Type="http://schemas.openxmlformats.org/officeDocument/2006/relationships/hyperlink" Target="https://twitter.com/mikegrimshaw2/status/703133903700103168" TargetMode="External"/><Relationship Id="rId5256" Type="http://schemas.openxmlformats.org/officeDocument/2006/relationships/hyperlink" Target="https://pbs.twimg.com/profile_images/560632369296580609/vEIMH-2I_normal.png" TargetMode="External"/><Relationship Id="rId6587" Type="http://schemas.openxmlformats.org/officeDocument/2006/relationships/hyperlink" Target="https://pbs.twimg.com/profile_images/611686609407180800/hZKDoHLq_normal.jpg" TargetMode="External"/><Relationship Id="rId5253" Type="http://schemas.openxmlformats.org/officeDocument/2006/relationships/hyperlink" Target="https://pbs.twimg.com/profile_images/679566117187145728/UUo30Zpm_normal.jpg" TargetMode="External"/><Relationship Id="rId6584" Type="http://schemas.openxmlformats.org/officeDocument/2006/relationships/hyperlink" Target="https://pbs.twimg.com/profile_images/543263084735787010/32MyAWdQ_normal.png" TargetMode="External"/><Relationship Id="rId5254" Type="http://schemas.openxmlformats.org/officeDocument/2006/relationships/hyperlink" Target="https://twitter.com/techknow_jp" TargetMode="External"/><Relationship Id="rId6585" Type="http://schemas.openxmlformats.org/officeDocument/2006/relationships/hyperlink" Target="https://twitter.com/mikegrimshaw2" TargetMode="External"/><Relationship Id="rId5259" Type="http://schemas.openxmlformats.org/officeDocument/2006/relationships/hyperlink" Target="https://pbs.twimg.com/profile_images/544552237943386112/WBay0CDJ_normal.png" TargetMode="External"/><Relationship Id="rId5257" Type="http://schemas.openxmlformats.org/officeDocument/2006/relationships/hyperlink" Target="https://twitter.com/ecmapping" TargetMode="External"/><Relationship Id="rId6588" Type="http://schemas.openxmlformats.org/officeDocument/2006/relationships/hyperlink" Target="https://twitter.com/Rootsector" TargetMode="External"/><Relationship Id="rId5258" Type="http://schemas.openxmlformats.org/officeDocument/2006/relationships/hyperlink" Target="https://twitter.com/ecmapping/status/703039343447769088" TargetMode="External"/><Relationship Id="rId6589" Type="http://schemas.openxmlformats.org/officeDocument/2006/relationships/hyperlink" Target="https://twitter.com/Rootsector/status/703134213185208320" TargetMode="External"/><Relationship Id="rId5240" Type="http://schemas.openxmlformats.org/officeDocument/2006/relationships/hyperlink" Target="https://twitter.com/art_control/status/703037692309860352" TargetMode="External"/><Relationship Id="rId6571" Type="http://schemas.openxmlformats.org/officeDocument/2006/relationships/hyperlink" Target="https://twitter.com/awaterma/status/703130872627630080" TargetMode="External"/><Relationship Id="rId5241" Type="http://schemas.openxmlformats.org/officeDocument/2006/relationships/hyperlink" Target="https://pbs.twimg.com/profile_images/649004216690675712/UAcrP6ol_normal.png" TargetMode="External"/><Relationship Id="rId6572" Type="http://schemas.openxmlformats.org/officeDocument/2006/relationships/hyperlink" Target="https://pbs.twimg.com/profile_images/547102200657227776/e3daOmhB_normal.png" TargetMode="External"/><Relationship Id="rId6570" Type="http://schemas.openxmlformats.org/officeDocument/2006/relationships/hyperlink" Target="https://twitter.com/awaterma" TargetMode="External"/><Relationship Id="rId5244" Type="http://schemas.openxmlformats.org/officeDocument/2006/relationships/hyperlink" Target="https://pbs.twimg.com/profile_images/420579444982431745/j7uTAxtF_normal.png" TargetMode="External"/><Relationship Id="rId6575" Type="http://schemas.openxmlformats.org/officeDocument/2006/relationships/hyperlink" Target="https://pbs.twimg.com/profile_images/1789833755/fb02_normal.png" TargetMode="External"/><Relationship Id="rId5245" Type="http://schemas.openxmlformats.org/officeDocument/2006/relationships/hyperlink" Target="https://twitter.com/itknowingness" TargetMode="External"/><Relationship Id="rId6576" Type="http://schemas.openxmlformats.org/officeDocument/2006/relationships/hyperlink" Target="https://twitter.com/365Python" TargetMode="External"/><Relationship Id="rId5242" Type="http://schemas.openxmlformats.org/officeDocument/2006/relationships/hyperlink" Target="https://twitter.com/creative_punch" TargetMode="External"/><Relationship Id="rId6573" Type="http://schemas.openxmlformats.org/officeDocument/2006/relationships/hyperlink" Target="https://twitter.com/lporcheron" TargetMode="External"/><Relationship Id="rId5243" Type="http://schemas.openxmlformats.org/officeDocument/2006/relationships/hyperlink" Target="https://twitter.com/creative_punch/status/703038024188350465" TargetMode="External"/><Relationship Id="rId6574" Type="http://schemas.openxmlformats.org/officeDocument/2006/relationships/hyperlink" Target="https://twitter.com/lporcheron/status/703131488619929600" TargetMode="External"/><Relationship Id="rId5248" Type="http://schemas.openxmlformats.org/officeDocument/2006/relationships/hyperlink" Target="https://twitter.com/AdamSmitht1" TargetMode="External"/><Relationship Id="rId6579" Type="http://schemas.openxmlformats.org/officeDocument/2006/relationships/hyperlink" Target="https://twitter.com/JosefZamrzla" TargetMode="External"/><Relationship Id="rId5249" Type="http://schemas.openxmlformats.org/officeDocument/2006/relationships/hyperlink" Target="https://twitter.com/AdamSmitht1/status/703038128219619329" TargetMode="External"/><Relationship Id="rId5246" Type="http://schemas.openxmlformats.org/officeDocument/2006/relationships/hyperlink" Target="https://twitter.com/itknowingness/status/703038026910457856" TargetMode="External"/><Relationship Id="rId6577" Type="http://schemas.openxmlformats.org/officeDocument/2006/relationships/hyperlink" Target="https://twitter.com/365Python/status/703131733709860865" TargetMode="External"/><Relationship Id="rId5247" Type="http://schemas.openxmlformats.org/officeDocument/2006/relationships/hyperlink" Target="https://pbs.twimg.com/profile_images/1164716874/favicon-triada-azul_normal.png" TargetMode="External"/><Relationship Id="rId6578" Type="http://schemas.openxmlformats.org/officeDocument/2006/relationships/hyperlink" Target="https://pbs.twimg.com/profile_images/525019025873444864/9WrZZD7__normal.png" TargetMode="External"/><Relationship Id="rId5270" Type="http://schemas.openxmlformats.org/officeDocument/2006/relationships/hyperlink" Target="https://twitter.com/coding_jobfeeds/status/703040564334354433" TargetMode="External"/><Relationship Id="rId5273" Type="http://schemas.openxmlformats.org/officeDocument/2006/relationships/hyperlink" Target="https://twitter.com/coding_jobfeeds/status/703040569191374849" TargetMode="External"/><Relationship Id="rId5274" Type="http://schemas.openxmlformats.org/officeDocument/2006/relationships/hyperlink" Target="https://pbs.twimg.com/profile_images/611834314586750976/feZ5fZOO_normal.png" TargetMode="External"/><Relationship Id="rId5271" Type="http://schemas.openxmlformats.org/officeDocument/2006/relationships/hyperlink" Target="https://pbs.twimg.com/profile_images/611834314586750976/feZ5fZOO_normal.png" TargetMode="External"/><Relationship Id="rId5272" Type="http://schemas.openxmlformats.org/officeDocument/2006/relationships/hyperlink" Target="https://twitter.com/coding_jobfeeds" TargetMode="External"/><Relationship Id="rId5277" Type="http://schemas.openxmlformats.org/officeDocument/2006/relationships/hyperlink" Target="https://pbs.twimg.com/profile_images/611834314586750976/feZ5fZOO_normal.png" TargetMode="External"/><Relationship Id="rId5278" Type="http://schemas.openxmlformats.org/officeDocument/2006/relationships/hyperlink" Target="https://twitter.com/BestJSON" TargetMode="External"/><Relationship Id="rId5275" Type="http://schemas.openxmlformats.org/officeDocument/2006/relationships/hyperlink" Target="https://twitter.com/coding_jobfeeds" TargetMode="External"/><Relationship Id="rId5276" Type="http://schemas.openxmlformats.org/officeDocument/2006/relationships/hyperlink" Target="https://twitter.com/coding_jobfeeds/status/703040574643904512" TargetMode="External"/><Relationship Id="rId5279" Type="http://schemas.openxmlformats.org/officeDocument/2006/relationships/hyperlink" Target="https://twitter.com/BestJSON/status/703040609943101440" TargetMode="External"/><Relationship Id="rId6590" Type="http://schemas.openxmlformats.org/officeDocument/2006/relationships/hyperlink" Target="https://pbs.twimg.com/profile_images/683430069562388481/QkddJBEC_normal.jpg" TargetMode="External"/><Relationship Id="rId5262" Type="http://schemas.openxmlformats.org/officeDocument/2006/relationships/hyperlink" Target="https://pbs.twimg.com/profile_images/568795658375557120/on4iBzsD_normal.jpeg" TargetMode="External"/><Relationship Id="rId6593" Type="http://schemas.openxmlformats.org/officeDocument/2006/relationships/hyperlink" Target="https://pbs.twimg.com/profile_images/459921443552116736/EGCsLpNC_normal.jpeg" TargetMode="External"/><Relationship Id="rId5263" Type="http://schemas.openxmlformats.org/officeDocument/2006/relationships/hyperlink" Target="https://twitter.com/tonyojeda3" TargetMode="External"/><Relationship Id="rId6594" Type="http://schemas.openxmlformats.org/officeDocument/2006/relationships/hyperlink" Target="https://twitter.com/artwisanggeni" TargetMode="External"/><Relationship Id="rId5260" Type="http://schemas.openxmlformats.org/officeDocument/2006/relationships/hyperlink" Target="https://twitter.com/pwang" TargetMode="External"/><Relationship Id="rId6591" Type="http://schemas.openxmlformats.org/officeDocument/2006/relationships/hyperlink" Target="https://twitter.com/gordonchiam" TargetMode="External"/><Relationship Id="rId5261" Type="http://schemas.openxmlformats.org/officeDocument/2006/relationships/hyperlink" Target="https://twitter.com/pwang/status/703039874656444416" TargetMode="External"/><Relationship Id="rId6592" Type="http://schemas.openxmlformats.org/officeDocument/2006/relationships/hyperlink" Target="https://twitter.com/gordonchiam/status/703134563195711488" TargetMode="External"/><Relationship Id="rId5266" Type="http://schemas.openxmlformats.org/officeDocument/2006/relationships/hyperlink" Target="https://twitter.com/coding_jobfeeds" TargetMode="External"/><Relationship Id="rId6597" Type="http://schemas.openxmlformats.org/officeDocument/2006/relationships/hyperlink" Target="https://pbs.twimg.com/profile_images/2813636657/599521f69e2bc210a57323b64d8e39e6_normal.jpeg" TargetMode="External"/><Relationship Id="rId5267" Type="http://schemas.openxmlformats.org/officeDocument/2006/relationships/hyperlink" Target="https://twitter.com/coding_jobfeeds/status/703040560873996288" TargetMode="External"/><Relationship Id="rId6598" Type="http://schemas.openxmlformats.org/officeDocument/2006/relationships/hyperlink" Target="https://twitter.com/artwisanggeni" TargetMode="External"/><Relationship Id="rId5264" Type="http://schemas.openxmlformats.org/officeDocument/2006/relationships/hyperlink" Target="https://twitter.com/tonyojeda3/status/703040552846172160" TargetMode="External"/><Relationship Id="rId6595" Type="http://schemas.openxmlformats.org/officeDocument/2006/relationships/hyperlink" Target="https://twitter.com/artwisanggeni/status/703134708775825408" TargetMode="External"/><Relationship Id="rId5265" Type="http://schemas.openxmlformats.org/officeDocument/2006/relationships/hyperlink" Target="https://pbs.twimg.com/profile_images/1211123351/Tony-Ojeda2_normal.JPG" TargetMode="External"/><Relationship Id="rId6596" Type="http://schemas.openxmlformats.org/officeDocument/2006/relationships/hyperlink" Target="http://dlvr.it" TargetMode="External"/><Relationship Id="rId5268" Type="http://schemas.openxmlformats.org/officeDocument/2006/relationships/hyperlink" Target="https://pbs.twimg.com/profile_images/611834314586750976/feZ5fZOO_normal.png" TargetMode="External"/><Relationship Id="rId6599" Type="http://schemas.openxmlformats.org/officeDocument/2006/relationships/hyperlink" Target="https://twitter.com/artwisanggeni/status/703134713246945282" TargetMode="External"/><Relationship Id="rId5269" Type="http://schemas.openxmlformats.org/officeDocument/2006/relationships/hyperlink" Target="https://twitter.com/coding_jobfeeds" TargetMode="External"/><Relationship Id="rId5219" Type="http://schemas.openxmlformats.org/officeDocument/2006/relationships/hyperlink" Target="https://pbs.twimg.com/profile_images/2813636657/599521f69e2bc210a57323b64d8e39e6_normal.jpeg" TargetMode="External"/><Relationship Id="rId5217" Type="http://schemas.openxmlformats.org/officeDocument/2006/relationships/hyperlink" Target="https://twitter.com/artwisanggeni/status/703037556011585536" TargetMode="External"/><Relationship Id="rId6548" Type="http://schemas.openxmlformats.org/officeDocument/2006/relationships/hyperlink" Target="https://pbs.twimg.com/profile_images/378800000259858613/ccf5cb5dca2b11faff85533dc7d88624_normal.png" TargetMode="External"/><Relationship Id="rId5218" Type="http://schemas.openxmlformats.org/officeDocument/2006/relationships/hyperlink" Target="http://dlvr.it" TargetMode="External"/><Relationship Id="rId6549" Type="http://schemas.openxmlformats.org/officeDocument/2006/relationships/hyperlink" Target="https://twitter.com/ManAHLTech" TargetMode="External"/><Relationship Id="rId7879" Type="http://schemas.openxmlformats.org/officeDocument/2006/relationships/hyperlink" Target="https://twitter.com/AnalyticsVidhya/status/703210504194547712" TargetMode="External"/><Relationship Id="rId392" Type="http://schemas.openxmlformats.org/officeDocument/2006/relationships/hyperlink" Target="http://dlvr.it" TargetMode="External"/><Relationship Id="rId391" Type="http://schemas.openxmlformats.org/officeDocument/2006/relationships/hyperlink" Target="https://twitter.com/artwisanggeni/status/702798771868962816" TargetMode="External"/><Relationship Id="rId390" Type="http://schemas.openxmlformats.org/officeDocument/2006/relationships/hyperlink" Target="https://twitter.com/artwisanggeni" TargetMode="External"/><Relationship Id="rId7870" Type="http://schemas.openxmlformats.org/officeDocument/2006/relationships/hyperlink" Target="https://twitter.com/jessamynsmith/status/703209975548649472" TargetMode="External"/><Relationship Id="rId385" Type="http://schemas.openxmlformats.org/officeDocument/2006/relationships/hyperlink" Target="https://pbs.twimg.com/profile_images/2813636657/599521f69e2bc210a57323b64d8e39e6_normal.jpeg" TargetMode="External"/><Relationship Id="rId5211" Type="http://schemas.openxmlformats.org/officeDocument/2006/relationships/hyperlink" Target="https://twitter.com/GovsInfo/status/703037392870047746" TargetMode="External"/><Relationship Id="rId6542" Type="http://schemas.openxmlformats.org/officeDocument/2006/relationships/hyperlink" Target="http://Ganarconredes.com" TargetMode="External"/><Relationship Id="rId7874" Type="http://schemas.openxmlformats.org/officeDocument/2006/relationships/hyperlink" Target="https://pbs.twimg.com/profile_images/660439145874108416/xYoJxreH_normal.jpg" TargetMode="External"/><Relationship Id="rId384" Type="http://schemas.openxmlformats.org/officeDocument/2006/relationships/hyperlink" Target="http://dlvr.it" TargetMode="External"/><Relationship Id="rId5212" Type="http://schemas.openxmlformats.org/officeDocument/2006/relationships/hyperlink" Target="https://pbs.twimg.com/profile_images/607796949085855744/yiNwAzF__normal.jpg" TargetMode="External"/><Relationship Id="rId6543" Type="http://schemas.openxmlformats.org/officeDocument/2006/relationships/hyperlink" Target="https://twitter.com/GanarConRedes/status/703127672189157376" TargetMode="External"/><Relationship Id="rId7873" Type="http://schemas.openxmlformats.org/officeDocument/2006/relationships/hyperlink" Target="https://twitter.com/Jgonzalezmilla/status/703210021266403328" TargetMode="External"/><Relationship Id="rId383" Type="http://schemas.openxmlformats.org/officeDocument/2006/relationships/hyperlink" Target="https://twitter.com/artwisanggeni/status/702798765107736576" TargetMode="External"/><Relationship Id="rId6540" Type="http://schemas.openxmlformats.org/officeDocument/2006/relationships/hyperlink" Target="https://pbs.twimg.com/profile_images/530003878079512579/1bhqJpwb_normal.jpeg" TargetMode="External"/><Relationship Id="rId7872" Type="http://schemas.openxmlformats.org/officeDocument/2006/relationships/hyperlink" Target="https://twitter.com/Jgonzalezmilla" TargetMode="External"/><Relationship Id="rId382" Type="http://schemas.openxmlformats.org/officeDocument/2006/relationships/hyperlink" Target="https://twitter.com/artwisanggeni" TargetMode="External"/><Relationship Id="rId5210" Type="http://schemas.openxmlformats.org/officeDocument/2006/relationships/hyperlink" Target="https://twitter.com/GovsInfo" TargetMode="External"/><Relationship Id="rId6541" Type="http://schemas.openxmlformats.org/officeDocument/2006/relationships/hyperlink" Target="https://twitter.com/GanarConRedes" TargetMode="External"/><Relationship Id="rId7871" Type="http://schemas.openxmlformats.org/officeDocument/2006/relationships/hyperlink" Target="https://pbs.twimg.com/profile_images/564143878270242816/MB1IFyL7_normal.jpeg" TargetMode="External"/><Relationship Id="rId389" Type="http://schemas.openxmlformats.org/officeDocument/2006/relationships/hyperlink" Target="https://pbs.twimg.com/profile_images/2813636657/599521f69e2bc210a57323b64d8e39e6_normal.jpeg" TargetMode="External"/><Relationship Id="rId5215" Type="http://schemas.openxmlformats.org/officeDocument/2006/relationships/hyperlink" Target="https://pbs.twimg.com/profile_images/638343349523484672/kAVX2NOH_normal.png" TargetMode="External"/><Relationship Id="rId6546" Type="http://schemas.openxmlformats.org/officeDocument/2006/relationships/hyperlink" Target="https://twitter.com/AutoEmpleo24" TargetMode="External"/><Relationship Id="rId7878" Type="http://schemas.openxmlformats.org/officeDocument/2006/relationships/hyperlink" Target="https://twitter.com/AnalyticsVidhya" TargetMode="External"/><Relationship Id="rId388" Type="http://schemas.openxmlformats.org/officeDocument/2006/relationships/hyperlink" Target="http://dlvr.it" TargetMode="External"/><Relationship Id="rId5216" Type="http://schemas.openxmlformats.org/officeDocument/2006/relationships/hyperlink" Target="https://twitter.com/artwisanggeni" TargetMode="External"/><Relationship Id="rId6547" Type="http://schemas.openxmlformats.org/officeDocument/2006/relationships/hyperlink" Target="https://twitter.com/AutoEmpleo24/status/703127996584951808" TargetMode="External"/><Relationship Id="rId7877" Type="http://schemas.openxmlformats.org/officeDocument/2006/relationships/hyperlink" Target="https://pbs.twimg.com/profile_images/627996138403168256/DaASdgVr_normal.jpg" TargetMode="External"/><Relationship Id="rId387" Type="http://schemas.openxmlformats.org/officeDocument/2006/relationships/hyperlink" Target="https://twitter.com/artwisanggeni/status/702798768534478848" TargetMode="External"/><Relationship Id="rId5213" Type="http://schemas.openxmlformats.org/officeDocument/2006/relationships/hyperlink" Target="https://twitter.com/piccolomud" TargetMode="External"/><Relationship Id="rId6544" Type="http://schemas.openxmlformats.org/officeDocument/2006/relationships/hyperlink" Target="http://dlvr.it" TargetMode="External"/><Relationship Id="rId7876" Type="http://schemas.openxmlformats.org/officeDocument/2006/relationships/hyperlink" Target="https://twitter.com/JoshuaLongUK/status/703210045341884416" TargetMode="External"/><Relationship Id="rId386" Type="http://schemas.openxmlformats.org/officeDocument/2006/relationships/hyperlink" Target="https://twitter.com/artwisanggeni" TargetMode="External"/><Relationship Id="rId5214" Type="http://schemas.openxmlformats.org/officeDocument/2006/relationships/hyperlink" Target="https://twitter.com/piccolomud/status/703037546956066817" TargetMode="External"/><Relationship Id="rId6545" Type="http://schemas.openxmlformats.org/officeDocument/2006/relationships/hyperlink" Target="https://pbs.twimg.com/profile_images/426031337540055040/fLEIarFv_normal.png" TargetMode="External"/><Relationship Id="rId7875" Type="http://schemas.openxmlformats.org/officeDocument/2006/relationships/hyperlink" Target="https://twitter.com/JoshuaLongUK" TargetMode="External"/><Relationship Id="rId5208" Type="http://schemas.openxmlformats.org/officeDocument/2006/relationships/hyperlink" Target="https://twitter.com/omadson/status/703037010479595520" TargetMode="External"/><Relationship Id="rId6539" Type="http://schemas.openxmlformats.org/officeDocument/2006/relationships/hyperlink" Target="https://twitter.com/therightaccess/status/703127444576841728" TargetMode="External"/><Relationship Id="rId5209" Type="http://schemas.openxmlformats.org/officeDocument/2006/relationships/hyperlink" Target="https://pbs.twimg.com/profile_images/685223250062917633/s6j2LZE3_normal.jpg" TargetMode="External"/><Relationship Id="rId5206" Type="http://schemas.openxmlformats.org/officeDocument/2006/relationships/hyperlink" Target="https://pbs.twimg.com/profile_images/571954137697247232/6C5zvAcT_normal.jpeg" TargetMode="External"/><Relationship Id="rId6537" Type="http://schemas.openxmlformats.org/officeDocument/2006/relationships/hyperlink" Target="https://pbs.twimg.com/profile_images/420579444982431745/j7uTAxtF_normal.png" TargetMode="External"/><Relationship Id="rId7869" Type="http://schemas.openxmlformats.org/officeDocument/2006/relationships/hyperlink" Target="https://twitter.com/jessamynsmith" TargetMode="External"/><Relationship Id="rId5207" Type="http://schemas.openxmlformats.org/officeDocument/2006/relationships/hyperlink" Target="https://twitter.com/omadson" TargetMode="External"/><Relationship Id="rId6538" Type="http://schemas.openxmlformats.org/officeDocument/2006/relationships/hyperlink" Target="https://twitter.com/therightaccess" TargetMode="External"/><Relationship Id="rId7868" Type="http://schemas.openxmlformats.org/officeDocument/2006/relationships/hyperlink" Target="https://pbs.twimg.com/profile_images/662602436222193664/qKuvsfnG_normal.jpg" TargetMode="External"/><Relationship Id="rId381" Type="http://schemas.openxmlformats.org/officeDocument/2006/relationships/hyperlink" Target="https://pbs.twimg.com/profile_images/2813636657/599521f69e2bc210a57323b64d8e39e6_normal.jpeg" TargetMode="External"/><Relationship Id="rId380" Type="http://schemas.openxmlformats.org/officeDocument/2006/relationships/hyperlink" Target="http://dlvr.it" TargetMode="External"/><Relationship Id="rId379" Type="http://schemas.openxmlformats.org/officeDocument/2006/relationships/hyperlink" Target="https://twitter.com/artwisanggeni/status/702798761454489600" TargetMode="External"/><Relationship Id="rId374" Type="http://schemas.openxmlformats.org/officeDocument/2006/relationships/hyperlink" Target="https://twitter.com/artwisanggeni" TargetMode="External"/><Relationship Id="rId5200" Type="http://schemas.openxmlformats.org/officeDocument/2006/relationships/hyperlink" Target="https://pbs.twimg.com/profile_images/191290179/tweet_normal.jpg" TargetMode="External"/><Relationship Id="rId6531" Type="http://schemas.openxmlformats.org/officeDocument/2006/relationships/hyperlink" Target="https://pbs.twimg.com/profile_images/420421411417489408/wnRKaR-C_normal.jpeg" TargetMode="External"/><Relationship Id="rId7863" Type="http://schemas.openxmlformats.org/officeDocument/2006/relationships/hyperlink" Target="https://twitter.com/lyuich" TargetMode="External"/><Relationship Id="rId373" Type="http://schemas.openxmlformats.org/officeDocument/2006/relationships/hyperlink" Target="https://pbs.twimg.com/profile_images/2813636657/599521f69e2bc210a57323b64d8e39e6_normal.jpeg" TargetMode="External"/><Relationship Id="rId5201" Type="http://schemas.openxmlformats.org/officeDocument/2006/relationships/hyperlink" Target="https://twitter.com/RasShepherd" TargetMode="External"/><Relationship Id="rId6532" Type="http://schemas.openxmlformats.org/officeDocument/2006/relationships/hyperlink" Target="https://twitter.com/QuantInsti" TargetMode="External"/><Relationship Id="rId7862" Type="http://schemas.openxmlformats.org/officeDocument/2006/relationships/hyperlink" Target="https://pbs.twimg.com/profile_images/2813636657/599521f69e2bc210a57323b64d8e39e6_normal.jpeg" TargetMode="External"/><Relationship Id="rId372" Type="http://schemas.openxmlformats.org/officeDocument/2006/relationships/hyperlink" Target="http://dlvr.it" TargetMode="External"/><Relationship Id="rId7861" Type="http://schemas.openxmlformats.org/officeDocument/2006/relationships/hyperlink" Target="http://dlvr.it" TargetMode="External"/><Relationship Id="rId371" Type="http://schemas.openxmlformats.org/officeDocument/2006/relationships/hyperlink" Target="https://twitter.com/artwisanggeni/status/702798753967665152" TargetMode="External"/><Relationship Id="rId6530" Type="http://schemas.openxmlformats.org/officeDocument/2006/relationships/hyperlink" Target="https://twitter.com/SemanticEarth/status/703126959220355072" TargetMode="External"/><Relationship Id="rId7860" Type="http://schemas.openxmlformats.org/officeDocument/2006/relationships/hyperlink" Target="https://twitter.com/artwisanggeni/status/703209225028182016" TargetMode="External"/><Relationship Id="rId378" Type="http://schemas.openxmlformats.org/officeDocument/2006/relationships/hyperlink" Target="https://twitter.com/artwisanggeni" TargetMode="External"/><Relationship Id="rId5204" Type="http://schemas.openxmlformats.org/officeDocument/2006/relationships/hyperlink" Target="https://twitter.com/RasShepherd" TargetMode="External"/><Relationship Id="rId6535" Type="http://schemas.openxmlformats.org/officeDocument/2006/relationships/hyperlink" Target="https://twitter.com/creative_punch" TargetMode="External"/><Relationship Id="rId7867" Type="http://schemas.openxmlformats.org/officeDocument/2006/relationships/hyperlink" Target="https://twitter.com/programmingncr/status/703209703241863168" TargetMode="External"/><Relationship Id="rId377" Type="http://schemas.openxmlformats.org/officeDocument/2006/relationships/hyperlink" Target="https://pbs.twimg.com/profile_images/2813636657/599521f69e2bc210a57323b64d8e39e6_normal.jpeg" TargetMode="External"/><Relationship Id="rId5205" Type="http://schemas.openxmlformats.org/officeDocument/2006/relationships/hyperlink" Target="https://twitter.com/RasShepherd/status/703036883484413953" TargetMode="External"/><Relationship Id="rId6536" Type="http://schemas.openxmlformats.org/officeDocument/2006/relationships/hyperlink" Target="https://twitter.com/creative_punch/status/703127360262942721" TargetMode="External"/><Relationship Id="rId7866" Type="http://schemas.openxmlformats.org/officeDocument/2006/relationships/hyperlink" Target="https://twitter.com/programmingncr" TargetMode="External"/><Relationship Id="rId376" Type="http://schemas.openxmlformats.org/officeDocument/2006/relationships/hyperlink" Target="http://dlvr.it" TargetMode="External"/><Relationship Id="rId5202" Type="http://schemas.openxmlformats.org/officeDocument/2006/relationships/hyperlink" Target="https://twitter.com/RasShepherd/status/703036605951578113" TargetMode="External"/><Relationship Id="rId6533" Type="http://schemas.openxmlformats.org/officeDocument/2006/relationships/hyperlink" Target="https://twitter.com/QuantInsti/status/703127094474067968" TargetMode="External"/><Relationship Id="rId7865" Type="http://schemas.openxmlformats.org/officeDocument/2006/relationships/hyperlink" Target="https://pbs.twimg.com/profile_images/694724153337720832/3fTb5wAI_normal.jpg" TargetMode="External"/><Relationship Id="rId375" Type="http://schemas.openxmlformats.org/officeDocument/2006/relationships/hyperlink" Target="https://twitter.com/artwisanggeni/status/702798757365096449" TargetMode="External"/><Relationship Id="rId5203" Type="http://schemas.openxmlformats.org/officeDocument/2006/relationships/hyperlink" Target="https://pbs.twimg.com/profile_images/571954137697247232/6C5zvAcT_normal.jpeg" TargetMode="External"/><Relationship Id="rId6534" Type="http://schemas.openxmlformats.org/officeDocument/2006/relationships/hyperlink" Target="https://pbs.twimg.com/profile_images/3272414315/6100aa5e267d6fc1e2e67b0782d34134_normal.jpeg" TargetMode="External"/><Relationship Id="rId7864" Type="http://schemas.openxmlformats.org/officeDocument/2006/relationships/hyperlink" Target="https://twitter.com/lyuich/status/703209288198549504" TargetMode="External"/><Relationship Id="rId5239" Type="http://schemas.openxmlformats.org/officeDocument/2006/relationships/hyperlink" Target="https://twitter.com/art_control" TargetMode="External"/><Relationship Id="rId6560" Type="http://schemas.openxmlformats.org/officeDocument/2006/relationships/hyperlink" Target="https://pbs.twimg.com/profile_images/637756417/webappz_normal.jpg" TargetMode="External"/><Relationship Id="rId7892" Type="http://schemas.openxmlformats.org/officeDocument/2006/relationships/hyperlink" Target="https://pbs.twimg.com/profile_images/684304046975483904/i8NbiURh_normal.jpg" TargetMode="External"/><Relationship Id="rId5230" Type="http://schemas.openxmlformats.org/officeDocument/2006/relationships/hyperlink" Target="http://dlvr.it" TargetMode="External"/><Relationship Id="rId6561" Type="http://schemas.openxmlformats.org/officeDocument/2006/relationships/hyperlink" Target="https://twitter.com/thecodinghouse" TargetMode="External"/><Relationship Id="rId7891" Type="http://schemas.openxmlformats.org/officeDocument/2006/relationships/hyperlink" Target="https://twitter.com/SecurityTube/status/703210863075971072" TargetMode="External"/><Relationship Id="rId7890" Type="http://schemas.openxmlformats.org/officeDocument/2006/relationships/hyperlink" Target="https://twitter.com/SecurityTube" TargetMode="External"/><Relationship Id="rId5233" Type="http://schemas.openxmlformats.org/officeDocument/2006/relationships/hyperlink" Target="https://twitter.com/artwisanggeni/status/703037568015728640" TargetMode="External"/><Relationship Id="rId6564" Type="http://schemas.openxmlformats.org/officeDocument/2006/relationships/hyperlink" Target="https://twitter.com/shepsheplu" TargetMode="External"/><Relationship Id="rId7896" Type="http://schemas.openxmlformats.org/officeDocument/2006/relationships/hyperlink" Target="https://twitter.com/Brighton_Hour" TargetMode="External"/><Relationship Id="rId5234" Type="http://schemas.openxmlformats.org/officeDocument/2006/relationships/hyperlink" Target="http://dlvr.it" TargetMode="External"/><Relationship Id="rId6565" Type="http://schemas.openxmlformats.org/officeDocument/2006/relationships/hyperlink" Target="https://twitter.com/shepsheplu/status/703129899632988160" TargetMode="External"/><Relationship Id="rId7895" Type="http://schemas.openxmlformats.org/officeDocument/2006/relationships/hyperlink" Target="https://pbs.twimg.com/profile_images/622159941307138048/5ralgs16_normal.jpg" TargetMode="External"/><Relationship Id="rId5231" Type="http://schemas.openxmlformats.org/officeDocument/2006/relationships/hyperlink" Target="https://pbs.twimg.com/profile_images/2813636657/599521f69e2bc210a57323b64d8e39e6_normal.jpeg" TargetMode="External"/><Relationship Id="rId6562" Type="http://schemas.openxmlformats.org/officeDocument/2006/relationships/hyperlink" Target="https://twitter.com/thecodinghouse/status/703129278280396800" TargetMode="External"/><Relationship Id="rId7894" Type="http://schemas.openxmlformats.org/officeDocument/2006/relationships/hyperlink" Target="https://twitter.com/thefrenchsmith/status/703210948736229380" TargetMode="External"/><Relationship Id="rId5232" Type="http://schemas.openxmlformats.org/officeDocument/2006/relationships/hyperlink" Target="https://twitter.com/artwisanggeni" TargetMode="External"/><Relationship Id="rId6563" Type="http://schemas.openxmlformats.org/officeDocument/2006/relationships/hyperlink" Target="https://pbs.twimg.com/profile_images/703216850306363392/QCsp-0fB_normal.jpg" TargetMode="External"/><Relationship Id="rId7893" Type="http://schemas.openxmlformats.org/officeDocument/2006/relationships/hyperlink" Target="https://twitter.com/thefrenchsmith" TargetMode="External"/><Relationship Id="rId5237" Type="http://schemas.openxmlformats.org/officeDocument/2006/relationships/hyperlink" Target="https://twitter.com/wcmckeedotcom/status/703037657979478018" TargetMode="External"/><Relationship Id="rId6568" Type="http://schemas.openxmlformats.org/officeDocument/2006/relationships/hyperlink" Target="https://twitter.com/leo4thewin/status/703130030801485824" TargetMode="External"/><Relationship Id="rId5238" Type="http://schemas.openxmlformats.org/officeDocument/2006/relationships/hyperlink" Target="https://pbs.twimg.com/profile_images/621211385746161664/tGchJstD_normal.jpg" TargetMode="External"/><Relationship Id="rId6569" Type="http://schemas.openxmlformats.org/officeDocument/2006/relationships/hyperlink" Target="https://pbs.twimg.com/profile_images/657027957299417089/DgD6G_pw_normal.jpg" TargetMode="External"/><Relationship Id="rId7899" Type="http://schemas.openxmlformats.org/officeDocument/2006/relationships/hyperlink" Target="https://twitter.com/quantumzone" TargetMode="External"/><Relationship Id="rId5235" Type="http://schemas.openxmlformats.org/officeDocument/2006/relationships/hyperlink" Target="https://pbs.twimg.com/profile_images/2813636657/599521f69e2bc210a57323b64d8e39e6_normal.jpeg" TargetMode="External"/><Relationship Id="rId6566" Type="http://schemas.openxmlformats.org/officeDocument/2006/relationships/hyperlink" Target="https://pbs.twimg.com/profile_images/1375393601/2627257905_f515f21483_o_normal.jpg" TargetMode="External"/><Relationship Id="rId7898" Type="http://schemas.openxmlformats.org/officeDocument/2006/relationships/hyperlink" Target="https://pbs.twimg.com/profile_images/378800000669180211/c389cef79cacc7cf59f420caf65a4dbc_normal.jpeg" TargetMode="External"/><Relationship Id="rId5236" Type="http://schemas.openxmlformats.org/officeDocument/2006/relationships/hyperlink" Target="https://twitter.com/wcmckeedotcom" TargetMode="External"/><Relationship Id="rId6567" Type="http://schemas.openxmlformats.org/officeDocument/2006/relationships/hyperlink" Target="https://twitter.com/leo4thewin" TargetMode="External"/><Relationship Id="rId7897" Type="http://schemas.openxmlformats.org/officeDocument/2006/relationships/hyperlink" Target="https://twitter.com/Brighton_Hour/status/703211083381788672" TargetMode="External"/><Relationship Id="rId5228" Type="http://schemas.openxmlformats.org/officeDocument/2006/relationships/hyperlink" Target="https://twitter.com/artwisanggeni" TargetMode="External"/><Relationship Id="rId6559" Type="http://schemas.openxmlformats.org/officeDocument/2006/relationships/hyperlink" Target="https://twitter.com/Webappz/status/703128919428300800" TargetMode="External"/><Relationship Id="rId5229" Type="http://schemas.openxmlformats.org/officeDocument/2006/relationships/hyperlink" Target="https://twitter.com/artwisanggeni/status/703037565050314752" TargetMode="External"/><Relationship Id="rId7881" Type="http://schemas.openxmlformats.org/officeDocument/2006/relationships/hyperlink" Target="https://twitter.com/clockworkTalent" TargetMode="External"/><Relationship Id="rId6550" Type="http://schemas.openxmlformats.org/officeDocument/2006/relationships/hyperlink" Target="https://twitter.com/ManAHLTech/status/703128341713285121" TargetMode="External"/><Relationship Id="rId7880" Type="http://schemas.openxmlformats.org/officeDocument/2006/relationships/hyperlink" Target="https://pbs.twimg.com/profile_images/457775762108448768/XmO2C1-E_normal.png" TargetMode="External"/><Relationship Id="rId396" Type="http://schemas.openxmlformats.org/officeDocument/2006/relationships/hyperlink" Target="http://dlvr.it" TargetMode="External"/><Relationship Id="rId5222" Type="http://schemas.openxmlformats.org/officeDocument/2006/relationships/hyperlink" Target="http://dlvr.it" TargetMode="External"/><Relationship Id="rId6553" Type="http://schemas.openxmlformats.org/officeDocument/2006/relationships/hyperlink" Target="https://twitter.com/ngtuna11/status/703128504758501376" TargetMode="External"/><Relationship Id="rId7885" Type="http://schemas.openxmlformats.org/officeDocument/2006/relationships/hyperlink" Target="https://twitter.com/cool_python/status/703210790929698816" TargetMode="External"/><Relationship Id="rId395" Type="http://schemas.openxmlformats.org/officeDocument/2006/relationships/hyperlink" Target="https://twitter.com/artwisanggeni/status/702798774943379456" TargetMode="External"/><Relationship Id="rId5223" Type="http://schemas.openxmlformats.org/officeDocument/2006/relationships/hyperlink" Target="https://pbs.twimg.com/profile_images/2813636657/599521f69e2bc210a57323b64d8e39e6_normal.jpeg" TargetMode="External"/><Relationship Id="rId6554" Type="http://schemas.openxmlformats.org/officeDocument/2006/relationships/hyperlink" Target="https://pbs.twimg.com/profile_images/674474985881141249/75TXvKk6_normal.jpg" TargetMode="External"/><Relationship Id="rId7884" Type="http://schemas.openxmlformats.org/officeDocument/2006/relationships/hyperlink" Target="https://twitter.com/cool_python" TargetMode="External"/><Relationship Id="rId394" Type="http://schemas.openxmlformats.org/officeDocument/2006/relationships/hyperlink" Target="https://twitter.com/artwisanggeni" TargetMode="External"/><Relationship Id="rId5220" Type="http://schemas.openxmlformats.org/officeDocument/2006/relationships/hyperlink" Target="https://twitter.com/artwisanggeni" TargetMode="External"/><Relationship Id="rId6551" Type="http://schemas.openxmlformats.org/officeDocument/2006/relationships/hyperlink" Target="https://pbs.twimg.com/profile_images/606122549626445824/F381wuJT_normal.jpg" TargetMode="External"/><Relationship Id="rId7883" Type="http://schemas.openxmlformats.org/officeDocument/2006/relationships/hyperlink" Target="https://pbs.twimg.com/profile_images/601659762791550977/ZyOxTkIE_normal.jpg" TargetMode="External"/><Relationship Id="rId393" Type="http://schemas.openxmlformats.org/officeDocument/2006/relationships/hyperlink" Target="https://pbs.twimg.com/profile_images/2813636657/599521f69e2bc210a57323b64d8e39e6_normal.jpeg" TargetMode="External"/><Relationship Id="rId5221" Type="http://schemas.openxmlformats.org/officeDocument/2006/relationships/hyperlink" Target="https://twitter.com/artwisanggeni/status/703037559333482497" TargetMode="External"/><Relationship Id="rId6552" Type="http://schemas.openxmlformats.org/officeDocument/2006/relationships/hyperlink" Target="https://twitter.com/ngtuna11" TargetMode="External"/><Relationship Id="rId7882" Type="http://schemas.openxmlformats.org/officeDocument/2006/relationships/hyperlink" Target="https://twitter.com/clockworkTalent/status/703210537077891073" TargetMode="External"/><Relationship Id="rId5226" Type="http://schemas.openxmlformats.org/officeDocument/2006/relationships/hyperlink" Target="http://dlvr.it" TargetMode="External"/><Relationship Id="rId6557" Type="http://schemas.openxmlformats.org/officeDocument/2006/relationships/hyperlink" Target="https://pbs.twimg.com/profile_images/697568910640607236/oBOxrUko_normal.jpg" TargetMode="External"/><Relationship Id="rId7889" Type="http://schemas.openxmlformats.org/officeDocument/2006/relationships/hyperlink" Target="https://pbs.twimg.com/profile_images/433461831395311616/J4GYY0_e_normal.jpeg" TargetMode="External"/><Relationship Id="rId399" Type="http://schemas.openxmlformats.org/officeDocument/2006/relationships/hyperlink" Target="https://twitter.com/artwisanggeni/status/702798778042978304" TargetMode="External"/><Relationship Id="rId5227" Type="http://schemas.openxmlformats.org/officeDocument/2006/relationships/hyperlink" Target="https://pbs.twimg.com/profile_images/2813636657/599521f69e2bc210a57323b64d8e39e6_normal.jpeg" TargetMode="External"/><Relationship Id="rId6558" Type="http://schemas.openxmlformats.org/officeDocument/2006/relationships/hyperlink" Target="https://twitter.com/Webappz" TargetMode="External"/><Relationship Id="rId7888" Type="http://schemas.openxmlformats.org/officeDocument/2006/relationships/hyperlink" Target="https://twitter.com/ninovsnino/status/703210846793519104" TargetMode="External"/><Relationship Id="rId398" Type="http://schemas.openxmlformats.org/officeDocument/2006/relationships/hyperlink" Target="https://twitter.com/artwisanggeni" TargetMode="External"/><Relationship Id="rId5224" Type="http://schemas.openxmlformats.org/officeDocument/2006/relationships/hyperlink" Target="https://twitter.com/artwisanggeni" TargetMode="External"/><Relationship Id="rId6555" Type="http://schemas.openxmlformats.org/officeDocument/2006/relationships/hyperlink" Target="https://twitter.com/boblinuxz" TargetMode="External"/><Relationship Id="rId7887" Type="http://schemas.openxmlformats.org/officeDocument/2006/relationships/hyperlink" Target="https://twitter.com/ninovsnino" TargetMode="External"/><Relationship Id="rId397" Type="http://schemas.openxmlformats.org/officeDocument/2006/relationships/hyperlink" Target="https://pbs.twimg.com/profile_images/2813636657/599521f69e2bc210a57323b64d8e39e6_normal.jpeg" TargetMode="External"/><Relationship Id="rId5225" Type="http://schemas.openxmlformats.org/officeDocument/2006/relationships/hyperlink" Target="https://twitter.com/artwisanggeni/status/703037561950724096" TargetMode="External"/><Relationship Id="rId6556" Type="http://schemas.openxmlformats.org/officeDocument/2006/relationships/hyperlink" Target="https://twitter.com/boblinuxz/status/703128780630417408" TargetMode="External"/><Relationship Id="rId7886" Type="http://schemas.openxmlformats.org/officeDocument/2006/relationships/hyperlink" Target="https://pbs.twimg.com/profile_images/572091631055028224/Pkx__FSB_normal.png" TargetMode="External"/><Relationship Id="rId1730" Type="http://schemas.openxmlformats.org/officeDocument/2006/relationships/hyperlink" Target="https://twitter.com/caco_patane" TargetMode="External"/><Relationship Id="rId1731" Type="http://schemas.openxmlformats.org/officeDocument/2006/relationships/hyperlink" Target="https://twitter.com/caco_patane/status/702877377559470081" TargetMode="External"/><Relationship Id="rId1732" Type="http://schemas.openxmlformats.org/officeDocument/2006/relationships/hyperlink" Target="https://pbs.twimg.com/profile_images/426554071034896384/ybLDkAHn_normal.jpeg" TargetMode="External"/><Relationship Id="rId1733" Type="http://schemas.openxmlformats.org/officeDocument/2006/relationships/hyperlink" Target="https://twitter.com/Pvalsfr" TargetMode="External"/><Relationship Id="rId1734" Type="http://schemas.openxmlformats.org/officeDocument/2006/relationships/hyperlink" Target="https://twitter.com/Pvalsfr/status/702877496526639104" TargetMode="External"/><Relationship Id="rId1735" Type="http://schemas.openxmlformats.org/officeDocument/2006/relationships/hyperlink" Target="https://abs.twimg.com/sticky/default_profile_images/default_profile_4_normal.png" TargetMode="External"/><Relationship Id="rId1736" Type="http://schemas.openxmlformats.org/officeDocument/2006/relationships/hyperlink" Target="https://twitter.com/Monkylabs" TargetMode="External"/><Relationship Id="rId1737" Type="http://schemas.openxmlformats.org/officeDocument/2006/relationships/hyperlink" Target="https://twitter.com/Monkylabs/status/702877664571494401" TargetMode="External"/><Relationship Id="rId1738" Type="http://schemas.openxmlformats.org/officeDocument/2006/relationships/hyperlink" Target="https://pbs.twimg.com/profile_images/567429931634667520/WUvoVNNI_normal.png" TargetMode="External"/><Relationship Id="rId1739" Type="http://schemas.openxmlformats.org/officeDocument/2006/relationships/hyperlink" Target="https://twitter.com/AgendaduLibreFr" TargetMode="External"/><Relationship Id="rId1720" Type="http://schemas.openxmlformats.org/officeDocument/2006/relationships/hyperlink" Target="https://twitter.com/RealPython" TargetMode="External"/><Relationship Id="rId1721" Type="http://schemas.openxmlformats.org/officeDocument/2006/relationships/hyperlink" Target="http://RealPython.com" TargetMode="External"/><Relationship Id="rId1722" Type="http://schemas.openxmlformats.org/officeDocument/2006/relationships/hyperlink" Target="https://twitter.com/RealPython/status/702877082091585536" TargetMode="External"/><Relationship Id="rId1723" Type="http://schemas.openxmlformats.org/officeDocument/2006/relationships/hyperlink" Target="https://pbs.twimg.com/profile_images/3312468366/129323224633d71286101d517a2f9817_normal.png" TargetMode="External"/><Relationship Id="rId1724" Type="http://schemas.openxmlformats.org/officeDocument/2006/relationships/hyperlink" Target="https://twitter.com/jimitnow" TargetMode="External"/><Relationship Id="rId1725" Type="http://schemas.openxmlformats.org/officeDocument/2006/relationships/hyperlink" Target="https://twitter.com/jimitnow/status/702877091952394241" TargetMode="External"/><Relationship Id="rId1726" Type="http://schemas.openxmlformats.org/officeDocument/2006/relationships/hyperlink" Target="https://pbs.twimg.com/profile_images/3775408595/9f8b8693bebf0f325f3f2c279acec095_normal.jpeg" TargetMode="External"/><Relationship Id="rId1727" Type="http://schemas.openxmlformats.org/officeDocument/2006/relationships/hyperlink" Target="https://twitter.com/MikeHerman" TargetMode="External"/><Relationship Id="rId1728" Type="http://schemas.openxmlformats.org/officeDocument/2006/relationships/hyperlink" Target="https://twitter.com/MikeHerman/status/702877321829593089" TargetMode="External"/><Relationship Id="rId1729" Type="http://schemas.openxmlformats.org/officeDocument/2006/relationships/hyperlink" Target="https://pbs.twimg.com/profile_images/1956395739/56358390A_normal.jpg" TargetMode="External"/><Relationship Id="rId1752" Type="http://schemas.openxmlformats.org/officeDocument/2006/relationships/hyperlink" Target="https://twitter.com/art_control" TargetMode="External"/><Relationship Id="rId1753" Type="http://schemas.openxmlformats.org/officeDocument/2006/relationships/hyperlink" Target="https://twitter.com/art_control/status/702878686182252548" TargetMode="External"/><Relationship Id="rId1754" Type="http://schemas.openxmlformats.org/officeDocument/2006/relationships/hyperlink" Target="https://pbs.twimg.com/profile_images/649004216690675712/UAcrP6ol_normal.png" TargetMode="External"/><Relationship Id="rId1755" Type="http://schemas.openxmlformats.org/officeDocument/2006/relationships/hyperlink" Target="https://twitter.com/albr_westside" TargetMode="External"/><Relationship Id="rId1756" Type="http://schemas.openxmlformats.org/officeDocument/2006/relationships/hyperlink" Target="https://twitter.com/albr_westside/status/702878983361339392" TargetMode="External"/><Relationship Id="rId1757" Type="http://schemas.openxmlformats.org/officeDocument/2006/relationships/hyperlink" Target="https://pbs.twimg.com/profile_images/3207286851/2ec2ea045752b37643641201b82ec2e0_normal.jpeg" TargetMode="External"/><Relationship Id="rId1758" Type="http://schemas.openxmlformats.org/officeDocument/2006/relationships/hyperlink" Target="https://twitter.com/BestSQL" TargetMode="External"/><Relationship Id="rId1759" Type="http://schemas.openxmlformats.org/officeDocument/2006/relationships/hyperlink" Target="https://twitter.com/BestSQL/status/702879169298870272" TargetMode="External"/><Relationship Id="rId1750" Type="http://schemas.openxmlformats.org/officeDocument/2006/relationships/hyperlink" Target="https://twitter.com/Simeagh/status/702878259403493376" TargetMode="External"/><Relationship Id="rId1751" Type="http://schemas.openxmlformats.org/officeDocument/2006/relationships/hyperlink" Target="https://pbs.twimg.com/profile_images/615972651597701120/MYFW8fiL_normal.jpg" TargetMode="External"/><Relationship Id="rId1741" Type="http://schemas.openxmlformats.org/officeDocument/2006/relationships/hyperlink" Target="https://pbs.twimg.com/profile_images/518168809530589184/ndYDMXcR_normal.png" TargetMode="External"/><Relationship Id="rId1742" Type="http://schemas.openxmlformats.org/officeDocument/2006/relationships/hyperlink" Target="https://twitter.com/SherlockTech" TargetMode="External"/><Relationship Id="rId1743" Type="http://schemas.openxmlformats.org/officeDocument/2006/relationships/hyperlink" Target="https://twitter.com/SherlockTech/status/702877915919290368" TargetMode="External"/><Relationship Id="rId1744" Type="http://schemas.openxmlformats.org/officeDocument/2006/relationships/hyperlink" Target="https://pbs.twimg.com/profile_images/1206023823/SQLogo_normal.jpg" TargetMode="External"/><Relationship Id="rId1745" Type="http://schemas.openxmlformats.org/officeDocument/2006/relationships/hyperlink" Target="https://twitter.com/RealPython" TargetMode="External"/><Relationship Id="rId1746" Type="http://schemas.openxmlformats.org/officeDocument/2006/relationships/hyperlink" Target="http://RealPython.com" TargetMode="External"/><Relationship Id="rId1747" Type="http://schemas.openxmlformats.org/officeDocument/2006/relationships/hyperlink" Target="https://twitter.com/RealPython/status/702878225152630784" TargetMode="External"/><Relationship Id="rId1748" Type="http://schemas.openxmlformats.org/officeDocument/2006/relationships/hyperlink" Target="https://pbs.twimg.com/profile_images/3312468366/129323224633d71286101d517a2f9817_normal.png" TargetMode="External"/><Relationship Id="rId1749" Type="http://schemas.openxmlformats.org/officeDocument/2006/relationships/hyperlink" Target="https://twitter.com/Simeagh" TargetMode="External"/><Relationship Id="rId1740" Type="http://schemas.openxmlformats.org/officeDocument/2006/relationships/hyperlink" Target="https://twitter.com/AgendaduLibreFr/status/702877782062338049" TargetMode="External"/><Relationship Id="rId5291" Type="http://schemas.openxmlformats.org/officeDocument/2006/relationships/hyperlink" Target="https://twitter.com/GovsInfo/status/703041212232671238" TargetMode="External"/><Relationship Id="rId5292" Type="http://schemas.openxmlformats.org/officeDocument/2006/relationships/hyperlink" Target="https://pbs.twimg.com/profile_images/607796949085855744/yiNwAzF__normal.jpg" TargetMode="External"/><Relationship Id="rId5290" Type="http://schemas.openxmlformats.org/officeDocument/2006/relationships/hyperlink" Target="https://twitter.com/GovsInfo" TargetMode="External"/><Relationship Id="rId5295" Type="http://schemas.openxmlformats.org/officeDocument/2006/relationships/hyperlink" Target="https://pbs.twimg.com/profile_images/690891121157902336/NtOKYJT4_normal.png" TargetMode="External"/><Relationship Id="rId5296" Type="http://schemas.openxmlformats.org/officeDocument/2006/relationships/hyperlink" Target="https://twitter.com/timelyportfolio" TargetMode="External"/><Relationship Id="rId5293" Type="http://schemas.openxmlformats.org/officeDocument/2006/relationships/hyperlink" Target="https://twitter.com/Learningcode_Qc" TargetMode="External"/><Relationship Id="rId5294" Type="http://schemas.openxmlformats.org/officeDocument/2006/relationships/hyperlink" Target="https://twitter.com/Learningcode_Qc/status/703041433297670144" TargetMode="External"/><Relationship Id="rId5299" Type="http://schemas.openxmlformats.org/officeDocument/2006/relationships/hyperlink" Target="https://twitter.com/teoliphant" TargetMode="External"/><Relationship Id="rId5297" Type="http://schemas.openxmlformats.org/officeDocument/2006/relationships/hyperlink" Target="https://twitter.com/timelyportfolio/status/703041541733015552" TargetMode="External"/><Relationship Id="rId5298" Type="http://schemas.openxmlformats.org/officeDocument/2006/relationships/hyperlink" Target="https://pbs.twimg.com/profile_images/2198946077/image_normal.jpg" TargetMode="External"/><Relationship Id="rId5280" Type="http://schemas.openxmlformats.org/officeDocument/2006/relationships/hyperlink" Target="https://pbs.twimg.com/profile_images/378800000032876560/9f356c988fc558144d2ebd1b2147c93c_normal.jpeg" TargetMode="External"/><Relationship Id="rId5281" Type="http://schemas.openxmlformats.org/officeDocument/2006/relationships/hyperlink" Target="https://twitter.com/TheEcolss" TargetMode="External"/><Relationship Id="rId5284" Type="http://schemas.openxmlformats.org/officeDocument/2006/relationships/hyperlink" Target="https://twitter.com/azrijamil" TargetMode="External"/><Relationship Id="rId5285" Type="http://schemas.openxmlformats.org/officeDocument/2006/relationships/hyperlink" Target="https://twitter.com/azrijamil/status/703040751018471424" TargetMode="External"/><Relationship Id="rId5282" Type="http://schemas.openxmlformats.org/officeDocument/2006/relationships/hyperlink" Target="https://twitter.com/TheEcolss/status/703040678456995840" TargetMode="External"/><Relationship Id="rId5283" Type="http://schemas.openxmlformats.org/officeDocument/2006/relationships/hyperlink" Target="https://pbs.twimg.com/profile_images/607236189431726081/XvbZXPdo_normal.jpg" TargetMode="External"/><Relationship Id="rId5288" Type="http://schemas.openxmlformats.org/officeDocument/2006/relationships/hyperlink" Target="https://twitter.com/Maperez324/status/703040839371530240" TargetMode="External"/><Relationship Id="rId5289" Type="http://schemas.openxmlformats.org/officeDocument/2006/relationships/hyperlink" Target="https://pbs.twimg.com/profile_images/3044987723/30f09a36235cfc6db7e597d8dd4658e5_normal.jpeg" TargetMode="External"/><Relationship Id="rId5286" Type="http://schemas.openxmlformats.org/officeDocument/2006/relationships/hyperlink" Target="https://pbs.twimg.com/profile_images/578051884444872704/72KQVwss_normal.jpg" TargetMode="External"/><Relationship Id="rId5287" Type="http://schemas.openxmlformats.org/officeDocument/2006/relationships/hyperlink" Target="https://twitter.com/Maperez324" TargetMode="External"/><Relationship Id="rId1710" Type="http://schemas.openxmlformats.org/officeDocument/2006/relationships/hyperlink" Target="http://ctrlq.org/maps/address/" TargetMode="External"/><Relationship Id="rId1711" Type="http://schemas.openxmlformats.org/officeDocument/2006/relationships/hyperlink" Target="https://twitter.com/pwang" TargetMode="External"/><Relationship Id="rId1712" Type="http://schemas.openxmlformats.org/officeDocument/2006/relationships/hyperlink" Target="https://twitter.com/pwang/status/702876447271047168" TargetMode="External"/><Relationship Id="rId1713" Type="http://schemas.openxmlformats.org/officeDocument/2006/relationships/hyperlink" Target="https://pbs.twimg.com/profile_images/568795658375557120/on4iBzsD_normal.jpeg" TargetMode="External"/><Relationship Id="rId1714" Type="http://schemas.openxmlformats.org/officeDocument/2006/relationships/hyperlink" Target="https://twitter.com/cleverexploit" TargetMode="External"/><Relationship Id="rId1715" Type="http://schemas.openxmlformats.org/officeDocument/2006/relationships/hyperlink" Target="https://twitter.com/cleverexploit/status/702876524500746240" TargetMode="External"/><Relationship Id="rId1716" Type="http://schemas.openxmlformats.org/officeDocument/2006/relationships/hyperlink" Target="https://pbs.twimg.com/profile_images/688994015438503936/OAGuhvmN_normal.jpg" TargetMode="External"/><Relationship Id="rId1717" Type="http://schemas.openxmlformats.org/officeDocument/2006/relationships/hyperlink" Target="https://twitter.com/TheDevConf" TargetMode="External"/><Relationship Id="rId1718" Type="http://schemas.openxmlformats.org/officeDocument/2006/relationships/hyperlink" Target="https://twitter.com/TheDevConf/status/702876970191863808" TargetMode="External"/><Relationship Id="rId1719" Type="http://schemas.openxmlformats.org/officeDocument/2006/relationships/hyperlink" Target="https://pbs.twimg.com/profile_images/579985773610532864/cVI4GFs4_normal.png" TargetMode="External"/><Relationship Id="rId1700" Type="http://schemas.openxmlformats.org/officeDocument/2006/relationships/hyperlink" Target="https://abs.twimg.com/sticky/default_profile_images/default_profile_4_normal.png" TargetMode="External"/><Relationship Id="rId1701" Type="http://schemas.openxmlformats.org/officeDocument/2006/relationships/hyperlink" Target="https://twitter.com/tomsnode" TargetMode="External"/><Relationship Id="rId1702" Type="http://schemas.openxmlformats.org/officeDocument/2006/relationships/hyperlink" Target="https://twitter.com/tomsnode/status/702875996404363264" TargetMode="External"/><Relationship Id="rId1703" Type="http://schemas.openxmlformats.org/officeDocument/2006/relationships/hyperlink" Target="https://pbs.twimg.com/profile_images/702871246984355840/ITe_q_Xl_normal.jpg" TargetMode="External"/><Relationship Id="rId1704" Type="http://schemas.openxmlformats.org/officeDocument/2006/relationships/hyperlink" Target="https://twitter.com/art_control" TargetMode="External"/><Relationship Id="rId1705" Type="http://schemas.openxmlformats.org/officeDocument/2006/relationships/hyperlink" Target="https://twitter.com/art_control/status/702876119020802048" TargetMode="External"/><Relationship Id="rId1706" Type="http://schemas.openxmlformats.org/officeDocument/2006/relationships/hyperlink" Target="https://pbs.twimg.com/profile_images/649004216690675712/UAcrP6ol_normal.png" TargetMode="External"/><Relationship Id="rId1707" Type="http://schemas.openxmlformats.org/officeDocument/2006/relationships/hyperlink" Target="https://twitter.com/PhoebeWedding" TargetMode="External"/><Relationship Id="rId1708" Type="http://schemas.openxmlformats.org/officeDocument/2006/relationships/hyperlink" Target="https://twitter.com/PhoebeWedding/status/702876175270592512" TargetMode="External"/><Relationship Id="rId1709" Type="http://schemas.openxmlformats.org/officeDocument/2006/relationships/hyperlink" Target="https://pbs.twimg.com/profile_images/548943363521921024/g3DyWDGm_normal.jpeg" TargetMode="External"/><Relationship Id="rId40" Type="http://schemas.openxmlformats.org/officeDocument/2006/relationships/hyperlink" Target="https://pbs.twimg.com/profile_images/2751998240/95dda3640d986ef95b32c9848dac30ef_normal.png" TargetMode="External"/><Relationship Id="rId42" Type="http://schemas.openxmlformats.org/officeDocument/2006/relationships/hyperlink" Target="https://twitter.com/artwisanggeni/status/702774071268741120" TargetMode="External"/><Relationship Id="rId41" Type="http://schemas.openxmlformats.org/officeDocument/2006/relationships/hyperlink" Target="https://twitter.com/artwisanggeni" TargetMode="External"/><Relationship Id="rId44" Type="http://schemas.openxmlformats.org/officeDocument/2006/relationships/hyperlink" Target="https://pbs.twimg.com/profile_images/2813636657/599521f69e2bc210a57323b64d8e39e6_normal.jpeg" TargetMode="External"/><Relationship Id="rId43" Type="http://schemas.openxmlformats.org/officeDocument/2006/relationships/hyperlink" Target="http://dlvr.it" TargetMode="External"/><Relationship Id="rId46" Type="http://schemas.openxmlformats.org/officeDocument/2006/relationships/hyperlink" Target="https://twitter.com/artwisanggeni/status/702774076322938880" TargetMode="External"/><Relationship Id="rId45" Type="http://schemas.openxmlformats.org/officeDocument/2006/relationships/hyperlink" Target="https://twitter.com/artwisanggeni" TargetMode="External"/><Relationship Id="rId48" Type="http://schemas.openxmlformats.org/officeDocument/2006/relationships/hyperlink" Target="https://pbs.twimg.com/profile_images/2813636657/599521f69e2bc210a57323b64d8e39e6_normal.jpeg" TargetMode="External"/><Relationship Id="rId47" Type="http://schemas.openxmlformats.org/officeDocument/2006/relationships/hyperlink" Target="http://dlvr.it" TargetMode="External"/><Relationship Id="rId49" Type="http://schemas.openxmlformats.org/officeDocument/2006/relationships/hyperlink" Target="https://twitter.com/madoz_carmem" TargetMode="External"/><Relationship Id="rId31" Type="http://schemas.openxmlformats.org/officeDocument/2006/relationships/hyperlink" Target="https://pbs.twimg.com/profile_images/1612587398/110710_EsriIUC3_normal.png" TargetMode="External"/><Relationship Id="rId30" Type="http://schemas.openxmlformats.org/officeDocument/2006/relationships/hyperlink" Target="https://twitter.com/fpgil/status/702771077097857024" TargetMode="External"/><Relationship Id="rId33" Type="http://schemas.openxmlformats.org/officeDocument/2006/relationships/hyperlink" Target="https://twitter.com/hakkiocal/status/702771182823739392" TargetMode="External"/><Relationship Id="rId32" Type="http://schemas.openxmlformats.org/officeDocument/2006/relationships/hyperlink" Target="https://twitter.com/hakkiocal" TargetMode="External"/><Relationship Id="rId35" Type="http://schemas.openxmlformats.org/officeDocument/2006/relationships/hyperlink" Target="https://twitter.com/copyconstruct" TargetMode="External"/><Relationship Id="rId34" Type="http://schemas.openxmlformats.org/officeDocument/2006/relationships/hyperlink" Target="https://pbs.twimg.com/profile_images/344513261571296504/e794b25c3e4bd37a49717dd7eb32de4e_normal.png" TargetMode="External"/><Relationship Id="rId37" Type="http://schemas.openxmlformats.org/officeDocument/2006/relationships/hyperlink" Target="https://pbs.twimg.com/profile_images/647164275148984320/z27kvl4X_normal.jpg" TargetMode="External"/><Relationship Id="rId36" Type="http://schemas.openxmlformats.org/officeDocument/2006/relationships/hyperlink" Target="https://twitter.com/copyconstruct/status/702771953434660864" TargetMode="External"/><Relationship Id="rId39" Type="http://schemas.openxmlformats.org/officeDocument/2006/relationships/hyperlink" Target="https://twitter.com/konan72000/status/702773955891961856" TargetMode="External"/><Relationship Id="rId38" Type="http://schemas.openxmlformats.org/officeDocument/2006/relationships/hyperlink" Target="https://twitter.com/konan72000" TargetMode="External"/><Relationship Id="rId20" Type="http://schemas.openxmlformats.org/officeDocument/2006/relationships/hyperlink" Target="https://twitter.com/Interoute" TargetMode="External"/><Relationship Id="rId22" Type="http://schemas.openxmlformats.org/officeDocument/2006/relationships/hyperlink" Target="https://pbs.twimg.com/profile_images/446585179910332416/CQtGKdxV_normal.png" TargetMode="External"/><Relationship Id="rId21" Type="http://schemas.openxmlformats.org/officeDocument/2006/relationships/hyperlink" Target="https://twitter.com/Interoute/status/702770006598094848" TargetMode="External"/><Relationship Id="rId24" Type="http://schemas.openxmlformats.org/officeDocument/2006/relationships/hyperlink" Target="https://twitter.com/tomy_koch/status/702770365169270784" TargetMode="External"/><Relationship Id="rId23" Type="http://schemas.openxmlformats.org/officeDocument/2006/relationships/hyperlink" Target="https://twitter.com/tomy_koch" TargetMode="External"/><Relationship Id="rId26" Type="http://schemas.openxmlformats.org/officeDocument/2006/relationships/hyperlink" Target="https://twitter.com/huzeyfeonal" TargetMode="External"/><Relationship Id="rId25" Type="http://schemas.openxmlformats.org/officeDocument/2006/relationships/hyperlink" Target="https://pbs.twimg.com/profile_images/1049503872/tko-sw-m_normal.jpg" TargetMode="External"/><Relationship Id="rId28" Type="http://schemas.openxmlformats.org/officeDocument/2006/relationships/hyperlink" Target="https://pbs.twimg.com/profile_images/465443550746791936/8zUYlab9_normal.jpeg" TargetMode="External"/><Relationship Id="rId27" Type="http://schemas.openxmlformats.org/officeDocument/2006/relationships/hyperlink" Target="https://twitter.com/huzeyfeonal/status/702770988937822208" TargetMode="External"/><Relationship Id="rId29" Type="http://schemas.openxmlformats.org/officeDocument/2006/relationships/hyperlink" Target="https://twitter.com/fpgil" TargetMode="External"/><Relationship Id="rId11" Type="http://schemas.openxmlformats.org/officeDocument/2006/relationships/hyperlink" Target="https://twitter.com/QuantInsti" TargetMode="External"/><Relationship Id="rId10" Type="http://schemas.openxmlformats.org/officeDocument/2006/relationships/hyperlink" Target="https://pbs.twimg.com/profile_images/667460854774784001/CzTgu-FS_normal.jpg" TargetMode="External"/><Relationship Id="rId13" Type="http://schemas.openxmlformats.org/officeDocument/2006/relationships/hyperlink" Target="https://pbs.twimg.com/profile_images/3272414315/6100aa5e267d6fc1e2e67b0782d34134_normal.jpeg" TargetMode="External"/><Relationship Id="rId12" Type="http://schemas.openxmlformats.org/officeDocument/2006/relationships/hyperlink" Target="https://twitter.com/QuantInsti/status/702769139027345408" TargetMode="External"/><Relationship Id="rId15" Type="http://schemas.openxmlformats.org/officeDocument/2006/relationships/hyperlink" Target="https://twitter.com/homeAIinfo/status/702769831712571392" TargetMode="External"/><Relationship Id="rId14" Type="http://schemas.openxmlformats.org/officeDocument/2006/relationships/hyperlink" Target="https://twitter.com/homeAIinfo" TargetMode="External"/><Relationship Id="rId17" Type="http://schemas.openxmlformats.org/officeDocument/2006/relationships/hyperlink" Target="https://twitter.com/Joel_Havermans" TargetMode="External"/><Relationship Id="rId16" Type="http://schemas.openxmlformats.org/officeDocument/2006/relationships/hyperlink" Target="https://pbs.twimg.com/profile_images/645650110374936580/-oQakt8x_normal.png" TargetMode="External"/><Relationship Id="rId19" Type="http://schemas.openxmlformats.org/officeDocument/2006/relationships/hyperlink" Target="https://pbs.twimg.com/profile_images/442957401281413120/IbqH8J2G_normal.jpeg" TargetMode="External"/><Relationship Id="rId18" Type="http://schemas.openxmlformats.org/officeDocument/2006/relationships/hyperlink" Target="https://twitter.com/Joel_Havermans/status/702769951208300545" TargetMode="External"/><Relationship Id="rId84" Type="http://schemas.openxmlformats.org/officeDocument/2006/relationships/hyperlink" Target="https://twitter.com/orfeomorello/status/702777233421766656" TargetMode="External"/><Relationship Id="rId1774" Type="http://schemas.openxmlformats.org/officeDocument/2006/relationships/hyperlink" Target="https://twitter.com/tunguz/status/702879921518092290" TargetMode="External"/><Relationship Id="rId83" Type="http://schemas.openxmlformats.org/officeDocument/2006/relationships/hyperlink" Target="https://twitter.com/orfeomorello" TargetMode="External"/><Relationship Id="rId1775" Type="http://schemas.openxmlformats.org/officeDocument/2006/relationships/hyperlink" Target="https://pbs.twimg.com/profile_images/378800000280104893/69d9138650448f98f88e5f4108593559_normal.jpeg" TargetMode="External"/><Relationship Id="rId86" Type="http://schemas.openxmlformats.org/officeDocument/2006/relationships/hyperlink" Target="https://twitter.com/piranade" TargetMode="External"/><Relationship Id="rId1776" Type="http://schemas.openxmlformats.org/officeDocument/2006/relationships/hyperlink" Target="https://twitter.com/_sapuru" TargetMode="External"/><Relationship Id="rId85" Type="http://schemas.openxmlformats.org/officeDocument/2006/relationships/hyperlink" Target="https://pbs.twimg.com/profile_images/552455148987891712/fDzHK3fX_normal.png" TargetMode="External"/><Relationship Id="rId1777" Type="http://schemas.openxmlformats.org/officeDocument/2006/relationships/hyperlink" Target="https://twitter.com/_sapuru/status/702879996935688193" TargetMode="External"/><Relationship Id="rId88" Type="http://schemas.openxmlformats.org/officeDocument/2006/relationships/hyperlink" Target="https://pbs.twimg.com/profile_images/507211533785370624/eVvfahHS_normal.jpeg" TargetMode="External"/><Relationship Id="rId1778" Type="http://schemas.openxmlformats.org/officeDocument/2006/relationships/hyperlink" Target="https://pbs.twimg.com/profile_images/680374275816177665/w9Mec_ST_normal.jpg" TargetMode="External"/><Relationship Id="rId87" Type="http://schemas.openxmlformats.org/officeDocument/2006/relationships/hyperlink" Target="https://twitter.com/piranade/status/702777834582970368" TargetMode="External"/><Relationship Id="rId1779" Type="http://schemas.openxmlformats.org/officeDocument/2006/relationships/hyperlink" Target="https://twitter.com/Angel_Cruijff" TargetMode="External"/><Relationship Id="rId89" Type="http://schemas.openxmlformats.org/officeDocument/2006/relationships/hyperlink" Target="https://twitter.com/sam_et_max" TargetMode="External"/><Relationship Id="rId80" Type="http://schemas.openxmlformats.org/officeDocument/2006/relationships/hyperlink" Target="https://twitter.com/bip_bop" TargetMode="External"/><Relationship Id="rId82" Type="http://schemas.openxmlformats.org/officeDocument/2006/relationships/hyperlink" Target="https://pbs.twimg.com/profile_images/3634973580/1588dd4e979608a3ddd8f60d9a068da3_normal.jpeg" TargetMode="External"/><Relationship Id="rId81" Type="http://schemas.openxmlformats.org/officeDocument/2006/relationships/hyperlink" Target="https://twitter.com/bip_bop/status/702777201532473344" TargetMode="External"/><Relationship Id="rId1770" Type="http://schemas.openxmlformats.org/officeDocument/2006/relationships/hyperlink" Target="https://twitter.com/CarAudioDealUSA" TargetMode="External"/><Relationship Id="rId1771" Type="http://schemas.openxmlformats.org/officeDocument/2006/relationships/hyperlink" Target="https://twitter.com/CarAudioDealUSA/status/702879705679138818" TargetMode="External"/><Relationship Id="rId1772" Type="http://schemas.openxmlformats.org/officeDocument/2006/relationships/hyperlink" Target="https://pbs.twimg.com/profile_images/702011382984626176/X393lyi-_normal.png" TargetMode="External"/><Relationship Id="rId1773" Type="http://schemas.openxmlformats.org/officeDocument/2006/relationships/hyperlink" Target="https://twitter.com/tunguz" TargetMode="External"/><Relationship Id="rId73" Type="http://schemas.openxmlformats.org/officeDocument/2006/relationships/hyperlink" Target="https://pbs.twimg.com/profile_images/700958563636682752/Icej50ju_normal.jpg" TargetMode="External"/><Relationship Id="rId1763" Type="http://schemas.openxmlformats.org/officeDocument/2006/relationships/hyperlink" Target="https://pbs.twimg.com/profile_images/702011382984626176/X393lyi-_normal.png" TargetMode="External"/><Relationship Id="rId72" Type="http://schemas.openxmlformats.org/officeDocument/2006/relationships/hyperlink" Target="https://twitter.com/bigdickinurgirl/status/702775980956459008" TargetMode="External"/><Relationship Id="rId1764" Type="http://schemas.openxmlformats.org/officeDocument/2006/relationships/hyperlink" Target="https://twitter.com/CarAudioDealUSA" TargetMode="External"/><Relationship Id="rId75" Type="http://schemas.openxmlformats.org/officeDocument/2006/relationships/hyperlink" Target="https://twitter.com/thagou/status/702776913656463360" TargetMode="External"/><Relationship Id="rId1765" Type="http://schemas.openxmlformats.org/officeDocument/2006/relationships/hyperlink" Target="https://twitter.com/CarAudioDealUSA/status/702879552788238342" TargetMode="External"/><Relationship Id="rId74" Type="http://schemas.openxmlformats.org/officeDocument/2006/relationships/hyperlink" Target="https://twitter.com/thagou" TargetMode="External"/><Relationship Id="rId1766" Type="http://schemas.openxmlformats.org/officeDocument/2006/relationships/hyperlink" Target="https://pbs.twimg.com/profile_images/702011382984626176/X393lyi-_normal.png" TargetMode="External"/><Relationship Id="rId77" Type="http://schemas.openxmlformats.org/officeDocument/2006/relationships/hyperlink" Target="https://twitter.com/MacThe3rd" TargetMode="External"/><Relationship Id="rId1767" Type="http://schemas.openxmlformats.org/officeDocument/2006/relationships/hyperlink" Target="https://twitter.com/thenewstack" TargetMode="External"/><Relationship Id="rId76" Type="http://schemas.openxmlformats.org/officeDocument/2006/relationships/hyperlink" Target="https://pbs.twimg.com/profile_images/511540571609911296/06_pzldy_normal.jpeg" TargetMode="External"/><Relationship Id="rId1768" Type="http://schemas.openxmlformats.org/officeDocument/2006/relationships/hyperlink" Target="https://twitter.com/thenewstack/status/702879692324519936" TargetMode="External"/><Relationship Id="rId79" Type="http://schemas.openxmlformats.org/officeDocument/2006/relationships/hyperlink" Target="https://pbs.twimg.com/profile_images/378800000034570189/e16fadad28d1c7cb9780ad3c6f7a9127_normal.jpeg" TargetMode="External"/><Relationship Id="rId1769" Type="http://schemas.openxmlformats.org/officeDocument/2006/relationships/hyperlink" Target="https://pbs.twimg.com/profile_images/650494844536647680/kxpz8kAv_normal.png" TargetMode="External"/><Relationship Id="rId78" Type="http://schemas.openxmlformats.org/officeDocument/2006/relationships/hyperlink" Target="https://twitter.com/MacThe3rd/status/702777075007156225" TargetMode="External"/><Relationship Id="rId71" Type="http://schemas.openxmlformats.org/officeDocument/2006/relationships/hyperlink" Target="https://twitter.com/bigdickinurgirl" TargetMode="External"/><Relationship Id="rId70" Type="http://schemas.openxmlformats.org/officeDocument/2006/relationships/hyperlink" Target="https://pbs.twimg.com/profile_images/541967225691713536/sEjIUqRQ_normal.jpeg" TargetMode="External"/><Relationship Id="rId1760" Type="http://schemas.openxmlformats.org/officeDocument/2006/relationships/hyperlink" Target="https://pbs.twimg.com/profile_images/378800000031537156/d9b23127866982fa03fd84212e73d695_normal.jpeg" TargetMode="External"/><Relationship Id="rId1761" Type="http://schemas.openxmlformats.org/officeDocument/2006/relationships/hyperlink" Target="https://twitter.com/CarAudioDealUSA" TargetMode="External"/><Relationship Id="rId1762" Type="http://schemas.openxmlformats.org/officeDocument/2006/relationships/hyperlink" Target="https://twitter.com/CarAudioDealUSA/status/702879399876521984" TargetMode="External"/><Relationship Id="rId62" Type="http://schemas.openxmlformats.org/officeDocument/2006/relationships/hyperlink" Target="https://twitter.com/vganesh" TargetMode="External"/><Relationship Id="rId1796" Type="http://schemas.openxmlformats.org/officeDocument/2006/relationships/hyperlink" Target="http://dlvr.it" TargetMode="External"/><Relationship Id="rId61" Type="http://schemas.openxmlformats.org/officeDocument/2006/relationships/hyperlink" Target="https://pbs.twimg.com/profile_images/646212805637476352/Y0ZZtU2H_normal.jpg" TargetMode="External"/><Relationship Id="rId1797" Type="http://schemas.openxmlformats.org/officeDocument/2006/relationships/hyperlink" Target="https://pbs.twimg.com/profile_images/2813636657/599521f69e2bc210a57323b64d8e39e6_normal.jpeg" TargetMode="External"/><Relationship Id="rId64" Type="http://schemas.openxmlformats.org/officeDocument/2006/relationships/hyperlink" Target="https://pbs.twimg.com/profile_images/488719709697609728/BIjck6I0_normal.jpeg" TargetMode="External"/><Relationship Id="rId1798" Type="http://schemas.openxmlformats.org/officeDocument/2006/relationships/hyperlink" Target="https://twitter.com/artwisanggeni" TargetMode="External"/><Relationship Id="rId63" Type="http://schemas.openxmlformats.org/officeDocument/2006/relationships/hyperlink" Target="https://twitter.com/vganesh/status/702775555075084289" TargetMode="External"/><Relationship Id="rId1799" Type="http://schemas.openxmlformats.org/officeDocument/2006/relationships/hyperlink" Target="https://twitter.com/artwisanggeni/status/702880800853745664" TargetMode="External"/><Relationship Id="rId66" Type="http://schemas.openxmlformats.org/officeDocument/2006/relationships/hyperlink" Target="https://twitter.com/JoshuaLongUK/status/702775640945270784" TargetMode="External"/><Relationship Id="rId65" Type="http://schemas.openxmlformats.org/officeDocument/2006/relationships/hyperlink" Target="https://twitter.com/JoshuaLongUK" TargetMode="External"/><Relationship Id="rId68" Type="http://schemas.openxmlformats.org/officeDocument/2006/relationships/hyperlink" Target="https://twitter.com/Mikael_Furesjo" TargetMode="External"/><Relationship Id="rId67" Type="http://schemas.openxmlformats.org/officeDocument/2006/relationships/hyperlink" Target="https://pbs.twimg.com/profile_images/627996138403168256/DaASdgVr_normal.jpg" TargetMode="External"/><Relationship Id="rId60" Type="http://schemas.openxmlformats.org/officeDocument/2006/relationships/hyperlink" Target="https://twitter.com/NavaTux/status/702775180112715776" TargetMode="External"/><Relationship Id="rId69" Type="http://schemas.openxmlformats.org/officeDocument/2006/relationships/hyperlink" Target="https://twitter.com/Mikael_Furesjo/status/702775950770106368" TargetMode="External"/><Relationship Id="rId1790" Type="http://schemas.openxmlformats.org/officeDocument/2006/relationships/hyperlink" Target="https://twitter.com/artwisanggeni" TargetMode="External"/><Relationship Id="rId1791" Type="http://schemas.openxmlformats.org/officeDocument/2006/relationships/hyperlink" Target="https://twitter.com/artwisanggeni/status/702880791643029504" TargetMode="External"/><Relationship Id="rId1792" Type="http://schemas.openxmlformats.org/officeDocument/2006/relationships/hyperlink" Target="http://dlvr.it" TargetMode="External"/><Relationship Id="rId1793" Type="http://schemas.openxmlformats.org/officeDocument/2006/relationships/hyperlink" Target="https://pbs.twimg.com/profile_images/2813636657/599521f69e2bc210a57323b64d8e39e6_normal.jpeg" TargetMode="External"/><Relationship Id="rId1794" Type="http://schemas.openxmlformats.org/officeDocument/2006/relationships/hyperlink" Target="https://twitter.com/artwisanggeni" TargetMode="External"/><Relationship Id="rId1795" Type="http://schemas.openxmlformats.org/officeDocument/2006/relationships/hyperlink" Target="https://twitter.com/artwisanggeni/status/702880796068044800" TargetMode="External"/><Relationship Id="rId51" Type="http://schemas.openxmlformats.org/officeDocument/2006/relationships/hyperlink" Target="https://pbs.twimg.com/profile_images/693514803697094656/36uF_ALo_normal.jpg" TargetMode="External"/><Relationship Id="rId1785" Type="http://schemas.openxmlformats.org/officeDocument/2006/relationships/hyperlink" Target="https://pbs.twimg.com/profile_images/2813636657/599521f69e2bc210a57323b64d8e39e6_normal.jpeg" TargetMode="External"/><Relationship Id="rId50" Type="http://schemas.openxmlformats.org/officeDocument/2006/relationships/hyperlink" Target="https://twitter.com/madoz_carmem/status/702774605245759488" TargetMode="External"/><Relationship Id="rId1786" Type="http://schemas.openxmlformats.org/officeDocument/2006/relationships/hyperlink" Target="https://twitter.com/artwisanggeni" TargetMode="External"/><Relationship Id="rId53" Type="http://schemas.openxmlformats.org/officeDocument/2006/relationships/hyperlink" Target="https://twitter.com/StackCodeReview/status/702774672077819904" TargetMode="External"/><Relationship Id="rId1787" Type="http://schemas.openxmlformats.org/officeDocument/2006/relationships/hyperlink" Target="https://twitter.com/artwisanggeni/status/702880787968847872" TargetMode="External"/><Relationship Id="rId52" Type="http://schemas.openxmlformats.org/officeDocument/2006/relationships/hyperlink" Target="https://twitter.com/StackCodeReview" TargetMode="External"/><Relationship Id="rId1788" Type="http://schemas.openxmlformats.org/officeDocument/2006/relationships/hyperlink" Target="http://dlvr.it" TargetMode="External"/><Relationship Id="rId55" Type="http://schemas.openxmlformats.org/officeDocument/2006/relationships/hyperlink" Target="https://twitter.com/BlueLineTalent" TargetMode="External"/><Relationship Id="rId1789" Type="http://schemas.openxmlformats.org/officeDocument/2006/relationships/hyperlink" Target="https://pbs.twimg.com/profile_images/2813636657/599521f69e2bc210a57323b64d8e39e6_normal.jpeg" TargetMode="External"/><Relationship Id="rId54" Type="http://schemas.openxmlformats.org/officeDocument/2006/relationships/hyperlink" Target="https://pbs.twimg.com/profile_images/669613362255282176/8iApenAA_normal.png" TargetMode="External"/><Relationship Id="rId57" Type="http://schemas.openxmlformats.org/officeDocument/2006/relationships/hyperlink" Target="http://Postings.com" TargetMode="External"/><Relationship Id="rId56" Type="http://schemas.openxmlformats.org/officeDocument/2006/relationships/hyperlink" Target="https://twitter.com/BlueLineTalent/status/702775120444526592" TargetMode="External"/><Relationship Id="rId59" Type="http://schemas.openxmlformats.org/officeDocument/2006/relationships/hyperlink" Target="https://twitter.com/NavaTux" TargetMode="External"/><Relationship Id="rId58" Type="http://schemas.openxmlformats.org/officeDocument/2006/relationships/hyperlink" Target="https://pbs.twimg.com/profile_images/555861616516792320/VCml_WiX_normal.jpeg" TargetMode="External"/><Relationship Id="rId1780" Type="http://schemas.openxmlformats.org/officeDocument/2006/relationships/hyperlink" Target="https://twitter.com/Angel_Cruijff/status/702880585853734912" TargetMode="External"/><Relationship Id="rId1781" Type="http://schemas.openxmlformats.org/officeDocument/2006/relationships/hyperlink" Target="https://pbs.twimg.com/profile_images/614937494933540867/t99_VIGQ_normal.jpg" TargetMode="External"/><Relationship Id="rId1782" Type="http://schemas.openxmlformats.org/officeDocument/2006/relationships/hyperlink" Target="https://twitter.com/artwisanggeni" TargetMode="External"/><Relationship Id="rId1783" Type="http://schemas.openxmlformats.org/officeDocument/2006/relationships/hyperlink" Target="https://twitter.com/artwisanggeni/status/702880783199961090" TargetMode="External"/><Relationship Id="rId1784" Type="http://schemas.openxmlformats.org/officeDocument/2006/relationships/hyperlink" Target="http://dlvr.it" TargetMode="External"/><Relationship Id="rId6627" Type="http://schemas.openxmlformats.org/officeDocument/2006/relationships/hyperlink" Target="https://twitter.com/OpenRiskNews/status/703134960585043968" TargetMode="External"/><Relationship Id="rId7959" Type="http://schemas.openxmlformats.org/officeDocument/2006/relationships/hyperlink" Target="https://twitter.com/jjrennie" TargetMode="External"/><Relationship Id="rId6628" Type="http://schemas.openxmlformats.org/officeDocument/2006/relationships/hyperlink" Target="https://pbs.twimg.com/profile_images/465750700673093632/fr1PqqzT_normal.png" TargetMode="External"/><Relationship Id="rId7958" Type="http://schemas.openxmlformats.org/officeDocument/2006/relationships/hyperlink" Target="https://pbs.twimg.com/profile_images/525487693308760064/2sKS05eC_normal.jpeg" TargetMode="External"/><Relationship Id="rId6625" Type="http://schemas.openxmlformats.org/officeDocument/2006/relationships/hyperlink" Target="https://pbs.twimg.com/profile_images/2813636657/599521f69e2bc210a57323b64d8e39e6_normal.jpeg" TargetMode="External"/><Relationship Id="rId7957" Type="http://schemas.openxmlformats.org/officeDocument/2006/relationships/hyperlink" Target="https://twitter.com/TheAhmedSherif/status/703214253306683392" TargetMode="External"/><Relationship Id="rId6626" Type="http://schemas.openxmlformats.org/officeDocument/2006/relationships/hyperlink" Target="https://twitter.com/OpenRiskNews" TargetMode="External"/><Relationship Id="rId7956" Type="http://schemas.openxmlformats.org/officeDocument/2006/relationships/hyperlink" Target="https://twitter.com/TheAhmedSherif" TargetMode="External"/><Relationship Id="rId6629" Type="http://schemas.openxmlformats.org/officeDocument/2006/relationships/hyperlink" Target="https://twitter.com/lucasoft_co_uk" TargetMode="External"/><Relationship Id="rId349" Type="http://schemas.openxmlformats.org/officeDocument/2006/relationships/hyperlink" Target="https://twitter.com/pydigest" TargetMode="External"/><Relationship Id="rId348" Type="http://schemas.openxmlformats.org/officeDocument/2006/relationships/hyperlink" Target="https://pbs.twimg.com/profile_images/686965105473396736/B9V5UtGS_normal.jpg" TargetMode="External"/><Relationship Id="rId347" Type="http://schemas.openxmlformats.org/officeDocument/2006/relationships/hyperlink" Target="https://twitter.com/sentiwire/status/702797682260070400" TargetMode="External"/><Relationship Id="rId346" Type="http://schemas.openxmlformats.org/officeDocument/2006/relationships/hyperlink" Target="https://twitter.com/sentiwire" TargetMode="External"/><Relationship Id="rId341" Type="http://schemas.openxmlformats.org/officeDocument/2006/relationships/hyperlink" Target="https://twitter.com/LdnCLC/status/702797337018683392" TargetMode="External"/><Relationship Id="rId7951" Type="http://schemas.openxmlformats.org/officeDocument/2006/relationships/hyperlink" Target="https://twitter.com/MrArmaar/status/703214149833265152" TargetMode="External"/><Relationship Id="rId340" Type="http://schemas.openxmlformats.org/officeDocument/2006/relationships/hyperlink" Target="https://twitter.com/LdnCLC" TargetMode="External"/><Relationship Id="rId6620" Type="http://schemas.openxmlformats.org/officeDocument/2006/relationships/hyperlink" Target="http://dlvr.it" TargetMode="External"/><Relationship Id="rId7950" Type="http://schemas.openxmlformats.org/officeDocument/2006/relationships/hyperlink" Target="https://twitter.com/MrArmaar" TargetMode="External"/><Relationship Id="rId345" Type="http://schemas.openxmlformats.org/officeDocument/2006/relationships/hyperlink" Target="https://pbs.twimg.com/profile_images/490615417660907521/pY_Uea_W_normal.jpeg" TargetMode="External"/><Relationship Id="rId6623" Type="http://schemas.openxmlformats.org/officeDocument/2006/relationships/hyperlink" Target="https://twitter.com/artwisanggeni/status/703134740522541056" TargetMode="External"/><Relationship Id="rId7955" Type="http://schemas.openxmlformats.org/officeDocument/2006/relationships/hyperlink" Target="https://abs.twimg.com/sticky/default_profile_images/default_profile_4_normal.png" TargetMode="External"/><Relationship Id="rId344" Type="http://schemas.openxmlformats.org/officeDocument/2006/relationships/hyperlink" Target="https://twitter.com/dougsparling/status/702797678510530560" TargetMode="External"/><Relationship Id="rId6624" Type="http://schemas.openxmlformats.org/officeDocument/2006/relationships/hyperlink" Target="http://dlvr.it" TargetMode="External"/><Relationship Id="rId7954" Type="http://schemas.openxmlformats.org/officeDocument/2006/relationships/hyperlink" Target="https://twitter.com/Pvalsfr/status/703214251108933632" TargetMode="External"/><Relationship Id="rId343" Type="http://schemas.openxmlformats.org/officeDocument/2006/relationships/hyperlink" Target="https://twitter.com/dougsparling" TargetMode="External"/><Relationship Id="rId6621" Type="http://schemas.openxmlformats.org/officeDocument/2006/relationships/hyperlink" Target="https://pbs.twimg.com/profile_images/2813636657/599521f69e2bc210a57323b64d8e39e6_normal.jpeg" TargetMode="External"/><Relationship Id="rId7953" Type="http://schemas.openxmlformats.org/officeDocument/2006/relationships/hyperlink" Target="https://twitter.com/Pvalsfr" TargetMode="External"/><Relationship Id="rId342" Type="http://schemas.openxmlformats.org/officeDocument/2006/relationships/hyperlink" Target="https://pbs.twimg.com/profile_images/378800000752426163/ed66b0e795765505178d7a7f0d01ba89_normal.png" TargetMode="External"/><Relationship Id="rId6622" Type="http://schemas.openxmlformats.org/officeDocument/2006/relationships/hyperlink" Target="https://twitter.com/artwisanggeni" TargetMode="External"/><Relationship Id="rId7952" Type="http://schemas.openxmlformats.org/officeDocument/2006/relationships/hyperlink" Target="https://pbs.twimg.com/profile_images/3373749025/983351446932f110e7be80a329621f30_normal.jpeg" TargetMode="External"/><Relationship Id="rId6616" Type="http://schemas.openxmlformats.org/officeDocument/2006/relationships/hyperlink" Target="http://dlvr.it" TargetMode="External"/><Relationship Id="rId7948" Type="http://schemas.openxmlformats.org/officeDocument/2006/relationships/hyperlink" Target="https://twitter.com/basaldizain/status/703213992639070208" TargetMode="External"/><Relationship Id="rId6617" Type="http://schemas.openxmlformats.org/officeDocument/2006/relationships/hyperlink" Target="https://pbs.twimg.com/profile_images/2813636657/599521f69e2bc210a57323b64d8e39e6_normal.jpeg" TargetMode="External"/><Relationship Id="rId7947" Type="http://schemas.openxmlformats.org/officeDocument/2006/relationships/hyperlink" Target="https://twitter.com/basaldizain" TargetMode="External"/><Relationship Id="rId6614" Type="http://schemas.openxmlformats.org/officeDocument/2006/relationships/hyperlink" Target="https://twitter.com/artwisanggeni" TargetMode="External"/><Relationship Id="rId7946" Type="http://schemas.openxmlformats.org/officeDocument/2006/relationships/hyperlink" Target="https://pbs.twimg.com/profile_images/496845076304101376/nyUffD1o_normal.png" TargetMode="External"/><Relationship Id="rId6615" Type="http://schemas.openxmlformats.org/officeDocument/2006/relationships/hyperlink" Target="https://twitter.com/artwisanggeni/status/703134731618033664" TargetMode="External"/><Relationship Id="rId7945" Type="http://schemas.openxmlformats.org/officeDocument/2006/relationships/hyperlink" Target="https://twitter.com/MathFlashcards/status/703213933776142338" TargetMode="External"/><Relationship Id="rId6618" Type="http://schemas.openxmlformats.org/officeDocument/2006/relationships/hyperlink" Target="https://twitter.com/artwisanggeni" TargetMode="External"/><Relationship Id="rId6619" Type="http://schemas.openxmlformats.org/officeDocument/2006/relationships/hyperlink" Target="https://twitter.com/artwisanggeni/status/703134736684699648" TargetMode="External"/><Relationship Id="rId7949" Type="http://schemas.openxmlformats.org/officeDocument/2006/relationships/hyperlink" Target="https://pbs.twimg.com/profile_images/378800000759229088/cca86ddd424f8fb945ed8d7ea4171d0b_normal.jpeg" TargetMode="External"/><Relationship Id="rId338" Type="http://schemas.openxmlformats.org/officeDocument/2006/relationships/hyperlink" Target="https://twitter.com/cphftw/status/702796997988904960" TargetMode="External"/><Relationship Id="rId337" Type="http://schemas.openxmlformats.org/officeDocument/2006/relationships/hyperlink" Target="https://twitter.com/cphftw" TargetMode="External"/><Relationship Id="rId336" Type="http://schemas.openxmlformats.org/officeDocument/2006/relationships/hyperlink" Target="https://pbs.twimg.com/profile_images/524925739984896000/NuB7jIBW_normal.jpeg" TargetMode="External"/><Relationship Id="rId335" Type="http://schemas.openxmlformats.org/officeDocument/2006/relationships/hyperlink" Target="https://twitter.com/clemensbrunner/status/702796572967497729" TargetMode="External"/><Relationship Id="rId339" Type="http://schemas.openxmlformats.org/officeDocument/2006/relationships/hyperlink" Target="https://pbs.twimg.com/profile_images/698122458377883648/ZP8TcGjS_normal.png" TargetMode="External"/><Relationship Id="rId330" Type="http://schemas.openxmlformats.org/officeDocument/2006/relationships/hyperlink" Target="https://pbs.twimg.com/profile_images/378800000689059413/65ad50ed7954794597e6877d39421e7a_normal.jpeg" TargetMode="External"/><Relationship Id="rId7940" Type="http://schemas.openxmlformats.org/officeDocument/2006/relationships/hyperlink" Target="https://pbs.twimg.com/profile_images/572091631055028224/Pkx__FSB_normal.png" TargetMode="External"/><Relationship Id="rId334" Type="http://schemas.openxmlformats.org/officeDocument/2006/relationships/hyperlink" Target="https://twitter.com/clemensbrunner" TargetMode="External"/><Relationship Id="rId6612" Type="http://schemas.openxmlformats.org/officeDocument/2006/relationships/hyperlink" Target="http://dlvr.it" TargetMode="External"/><Relationship Id="rId7944" Type="http://schemas.openxmlformats.org/officeDocument/2006/relationships/hyperlink" Target="https://twitter.com/MathFlashcards" TargetMode="External"/><Relationship Id="rId333" Type="http://schemas.openxmlformats.org/officeDocument/2006/relationships/hyperlink" Target="https://pbs.twimg.com/profile_images/481334978161029120/iu3zZFEk_normal.png" TargetMode="External"/><Relationship Id="rId6613" Type="http://schemas.openxmlformats.org/officeDocument/2006/relationships/hyperlink" Target="https://pbs.twimg.com/profile_images/2813636657/599521f69e2bc210a57323b64d8e39e6_normal.jpeg" TargetMode="External"/><Relationship Id="rId7943" Type="http://schemas.openxmlformats.org/officeDocument/2006/relationships/hyperlink" Target="https://pbs.twimg.com/profile_images/452064440687423488/nbwrKTwP_normal.jpeg" TargetMode="External"/><Relationship Id="rId332" Type="http://schemas.openxmlformats.org/officeDocument/2006/relationships/hyperlink" Target="https://twitter.com/ameanmbot/status/702796064378769408" TargetMode="External"/><Relationship Id="rId6610" Type="http://schemas.openxmlformats.org/officeDocument/2006/relationships/hyperlink" Target="https://twitter.com/artwisanggeni" TargetMode="External"/><Relationship Id="rId7942" Type="http://schemas.openxmlformats.org/officeDocument/2006/relationships/hyperlink" Target="https://twitter.com/cocoacoda/status/703213175362093057" TargetMode="External"/><Relationship Id="rId331" Type="http://schemas.openxmlformats.org/officeDocument/2006/relationships/hyperlink" Target="https://twitter.com/ameanmbot" TargetMode="External"/><Relationship Id="rId6611" Type="http://schemas.openxmlformats.org/officeDocument/2006/relationships/hyperlink" Target="https://twitter.com/artwisanggeni/status/703134726320599040" TargetMode="External"/><Relationship Id="rId7941" Type="http://schemas.openxmlformats.org/officeDocument/2006/relationships/hyperlink" Target="https://twitter.com/cocoacoda" TargetMode="External"/><Relationship Id="rId5318" Type="http://schemas.openxmlformats.org/officeDocument/2006/relationships/hyperlink" Target="https://twitter.com/coolbutuseless/status/703043117478350848" TargetMode="External"/><Relationship Id="rId6649" Type="http://schemas.openxmlformats.org/officeDocument/2006/relationships/hyperlink" Target="https://twitter.com/freelancer_INT/status/703135911467307008" TargetMode="External"/><Relationship Id="rId5319" Type="http://schemas.openxmlformats.org/officeDocument/2006/relationships/hyperlink" Target="https://pbs.twimg.com/profile_images/1858980277/icon2_normal.png" TargetMode="External"/><Relationship Id="rId5316" Type="http://schemas.openxmlformats.org/officeDocument/2006/relationships/hyperlink" Target="https://pbs.twimg.com/profile_images/616793252524650496/bQbxJqmz_normal.jpg" TargetMode="External"/><Relationship Id="rId6647" Type="http://schemas.openxmlformats.org/officeDocument/2006/relationships/hyperlink" Target="https://twitter.com/freelancer_INT" TargetMode="External"/><Relationship Id="rId7979" Type="http://schemas.openxmlformats.org/officeDocument/2006/relationships/hyperlink" Target="https://pbs.twimg.com/profile_images/496845076304101376/nyUffD1o_normal.png" TargetMode="External"/><Relationship Id="rId5317" Type="http://schemas.openxmlformats.org/officeDocument/2006/relationships/hyperlink" Target="https://twitter.com/coolbutuseless" TargetMode="External"/><Relationship Id="rId6648" Type="http://schemas.openxmlformats.org/officeDocument/2006/relationships/hyperlink" Target="http://freelancermap.com" TargetMode="External"/><Relationship Id="rId7978" Type="http://schemas.openxmlformats.org/officeDocument/2006/relationships/hyperlink" Target="https://twitter.com/MathFlashcards/status/703215955468378113" TargetMode="External"/><Relationship Id="rId370" Type="http://schemas.openxmlformats.org/officeDocument/2006/relationships/hyperlink" Target="https://twitter.com/artwisanggeni" TargetMode="External"/><Relationship Id="rId369" Type="http://schemas.openxmlformats.org/officeDocument/2006/relationships/hyperlink" Target="https://pbs.twimg.com/profile_images/2813636657/599521f69e2bc210a57323b64d8e39e6_normal.jpeg" TargetMode="External"/><Relationship Id="rId368" Type="http://schemas.openxmlformats.org/officeDocument/2006/relationships/hyperlink" Target="http://dlvr.it" TargetMode="External"/><Relationship Id="rId363" Type="http://schemas.openxmlformats.org/officeDocument/2006/relationships/hyperlink" Target="https://twitter.com/artwisanggeni/status/702798746099146752" TargetMode="External"/><Relationship Id="rId5310" Type="http://schemas.openxmlformats.org/officeDocument/2006/relationships/hyperlink" Target="https://pbs.twimg.com/profile_images/673551611587780608/ibQLxFjj_normal.jpg" TargetMode="External"/><Relationship Id="rId6641" Type="http://schemas.openxmlformats.org/officeDocument/2006/relationships/hyperlink" Target="https://twitter.com/BigDataTweetBot" TargetMode="External"/><Relationship Id="rId7973" Type="http://schemas.openxmlformats.org/officeDocument/2006/relationships/hyperlink" Target="https://pbs.twimg.com/profile_images/648667530/headshot1_normal.JPG" TargetMode="External"/><Relationship Id="rId362" Type="http://schemas.openxmlformats.org/officeDocument/2006/relationships/hyperlink" Target="https://twitter.com/artwisanggeni" TargetMode="External"/><Relationship Id="rId5311" Type="http://schemas.openxmlformats.org/officeDocument/2006/relationships/hyperlink" Target="https://twitter.com/startechwall" TargetMode="External"/><Relationship Id="rId6642" Type="http://schemas.openxmlformats.org/officeDocument/2006/relationships/hyperlink" Target="https://twitter.com/BigDataTweetBot/status/703135220489281536" TargetMode="External"/><Relationship Id="rId7972" Type="http://schemas.openxmlformats.org/officeDocument/2006/relationships/hyperlink" Target="https://twitter.com/birdsarah/status/703215326700240896" TargetMode="External"/><Relationship Id="rId361" Type="http://schemas.openxmlformats.org/officeDocument/2006/relationships/hyperlink" Target="https://pbs.twimg.com/profile_images/627996138403168256/DaASdgVr_normal.jpg" TargetMode="External"/><Relationship Id="rId7971" Type="http://schemas.openxmlformats.org/officeDocument/2006/relationships/hyperlink" Target="https://twitter.com/birdsarah" TargetMode="External"/><Relationship Id="rId360" Type="http://schemas.openxmlformats.org/officeDocument/2006/relationships/hyperlink" Target="https://twitter.com/JoshuaLongUK/status/702798280804188160" TargetMode="External"/><Relationship Id="rId6640" Type="http://schemas.openxmlformats.org/officeDocument/2006/relationships/hyperlink" Target="https://pbs.twimg.com/profile_images/616793252524650496/bQbxJqmz_normal.jpg" TargetMode="External"/><Relationship Id="rId7970" Type="http://schemas.openxmlformats.org/officeDocument/2006/relationships/hyperlink" Target="https://pbs.twimg.com/profile_images/582277789987950593/i4jOHneO_normal.jpg" TargetMode="External"/><Relationship Id="rId367" Type="http://schemas.openxmlformats.org/officeDocument/2006/relationships/hyperlink" Target="https://twitter.com/artwisanggeni/status/702798750276673536" TargetMode="External"/><Relationship Id="rId5314" Type="http://schemas.openxmlformats.org/officeDocument/2006/relationships/hyperlink" Target="https://twitter.com/BigDataTweetBot" TargetMode="External"/><Relationship Id="rId6645" Type="http://schemas.openxmlformats.org/officeDocument/2006/relationships/hyperlink" Target="https://twitter.com/jlmico/status/703135511976620032" TargetMode="External"/><Relationship Id="rId7977" Type="http://schemas.openxmlformats.org/officeDocument/2006/relationships/hyperlink" Target="https://twitter.com/MathFlashcards" TargetMode="External"/><Relationship Id="rId366" Type="http://schemas.openxmlformats.org/officeDocument/2006/relationships/hyperlink" Target="https://twitter.com/artwisanggeni" TargetMode="External"/><Relationship Id="rId5315" Type="http://schemas.openxmlformats.org/officeDocument/2006/relationships/hyperlink" Target="https://twitter.com/BigDataTweetBot/status/703042259864920064" TargetMode="External"/><Relationship Id="rId6646" Type="http://schemas.openxmlformats.org/officeDocument/2006/relationships/hyperlink" Target="https://pbs.twimg.com/profile_images/557971388112195584/cOJIiuMX_normal.png" TargetMode="External"/><Relationship Id="rId7976" Type="http://schemas.openxmlformats.org/officeDocument/2006/relationships/hyperlink" Target="https://pbs.twimg.com/profile_images/2344675896/image_normal.jpg" TargetMode="External"/><Relationship Id="rId365" Type="http://schemas.openxmlformats.org/officeDocument/2006/relationships/hyperlink" Target="https://pbs.twimg.com/profile_images/2813636657/599521f69e2bc210a57323b64d8e39e6_normal.jpeg" TargetMode="External"/><Relationship Id="rId5312" Type="http://schemas.openxmlformats.org/officeDocument/2006/relationships/hyperlink" Target="https://twitter.com/startechwall/status/703042201090170880" TargetMode="External"/><Relationship Id="rId6643" Type="http://schemas.openxmlformats.org/officeDocument/2006/relationships/hyperlink" Target="https://pbs.twimg.com/profile_images/616793252524650496/bQbxJqmz_normal.jpg" TargetMode="External"/><Relationship Id="rId7975" Type="http://schemas.openxmlformats.org/officeDocument/2006/relationships/hyperlink" Target="https://twitter.com/deronaucoin/status/703215787889143808" TargetMode="External"/><Relationship Id="rId364" Type="http://schemas.openxmlformats.org/officeDocument/2006/relationships/hyperlink" Target="http://dlvr.it" TargetMode="External"/><Relationship Id="rId5313" Type="http://schemas.openxmlformats.org/officeDocument/2006/relationships/hyperlink" Target="https://pbs.twimg.com/profile_images/679566117187145728/UUo30Zpm_normal.jpg" TargetMode="External"/><Relationship Id="rId6644" Type="http://schemas.openxmlformats.org/officeDocument/2006/relationships/hyperlink" Target="https://twitter.com/jlmico" TargetMode="External"/><Relationship Id="rId7974" Type="http://schemas.openxmlformats.org/officeDocument/2006/relationships/hyperlink" Target="https://twitter.com/deronaucoin" TargetMode="External"/><Relationship Id="rId95" Type="http://schemas.openxmlformats.org/officeDocument/2006/relationships/hyperlink" Target="https://twitter.com/insights_js" TargetMode="External"/><Relationship Id="rId5307" Type="http://schemas.openxmlformats.org/officeDocument/2006/relationships/hyperlink" Target="https://pbs.twimg.com/profile_images/671623862916812800/yGsDKiP4_normal.jpg" TargetMode="External"/><Relationship Id="rId6638" Type="http://schemas.openxmlformats.org/officeDocument/2006/relationships/hyperlink" Target="https://twitter.com/BigDataTweetBot" TargetMode="External"/><Relationship Id="rId94" Type="http://schemas.openxmlformats.org/officeDocument/2006/relationships/hyperlink" Target="https://pbs.twimg.com/profile_images/669260981319704576/H1vV6FFm_normal.png" TargetMode="External"/><Relationship Id="rId5308" Type="http://schemas.openxmlformats.org/officeDocument/2006/relationships/hyperlink" Target="https://twitter.com/BenDilday" TargetMode="External"/><Relationship Id="rId6639" Type="http://schemas.openxmlformats.org/officeDocument/2006/relationships/hyperlink" Target="https://twitter.com/BigDataTweetBot/status/703135214885670913" TargetMode="External"/><Relationship Id="rId7969" Type="http://schemas.openxmlformats.org/officeDocument/2006/relationships/hyperlink" Target="https://twitter.com/BeingExample/status/703214870599172096" TargetMode="External"/><Relationship Id="rId97" Type="http://schemas.openxmlformats.org/officeDocument/2006/relationships/hyperlink" Target="https://pbs.twimg.com/profile_images/687381862004715521/lsdcpGUk_normal.png" TargetMode="External"/><Relationship Id="rId5305" Type="http://schemas.openxmlformats.org/officeDocument/2006/relationships/hyperlink" Target="https://twitter.com/AdamSmitht1" TargetMode="External"/><Relationship Id="rId6636" Type="http://schemas.openxmlformats.org/officeDocument/2006/relationships/hyperlink" Target="https://twitter.com/MartaDzBarrera/status/703135071637622784" TargetMode="External"/><Relationship Id="rId7968" Type="http://schemas.openxmlformats.org/officeDocument/2006/relationships/hyperlink" Target="https://twitter.com/BeingExample" TargetMode="External"/><Relationship Id="rId96" Type="http://schemas.openxmlformats.org/officeDocument/2006/relationships/hyperlink" Target="https://twitter.com/insights_js/status/702779017074638848" TargetMode="External"/><Relationship Id="rId5306" Type="http://schemas.openxmlformats.org/officeDocument/2006/relationships/hyperlink" Target="https://twitter.com/AdamSmitht1/status/703041981447065601" TargetMode="External"/><Relationship Id="rId6637" Type="http://schemas.openxmlformats.org/officeDocument/2006/relationships/hyperlink" Target="https://pbs.twimg.com/profile_images/422048680934260736/08x9Ld-Q_normal.jpeg" TargetMode="External"/><Relationship Id="rId7967" Type="http://schemas.openxmlformats.org/officeDocument/2006/relationships/hyperlink" Target="https://pbs.twimg.com/profile_images/695642719948009474/s9J4OUA9_normal.jpg" TargetMode="External"/><Relationship Id="rId99" Type="http://schemas.openxmlformats.org/officeDocument/2006/relationships/hyperlink" Target="https://twitter.com/mthipparthi/status/702779599122378752" TargetMode="External"/><Relationship Id="rId98" Type="http://schemas.openxmlformats.org/officeDocument/2006/relationships/hyperlink" Target="https://twitter.com/mthipparthi" TargetMode="External"/><Relationship Id="rId5309" Type="http://schemas.openxmlformats.org/officeDocument/2006/relationships/hyperlink" Target="https://twitter.com/BenDilday/status/703042118319677440" TargetMode="External"/><Relationship Id="rId91" Type="http://schemas.openxmlformats.org/officeDocument/2006/relationships/hyperlink" Target="https://pbs.twimg.com/profile_images/1859873928/img_Dog-and-rabbit_Thomas-SCHWEIZER_ref_150.001844.00_mode_zoom_normal.jpg" TargetMode="External"/><Relationship Id="rId90" Type="http://schemas.openxmlformats.org/officeDocument/2006/relationships/hyperlink" Target="https://twitter.com/sam_et_max/status/702778088346750976" TargetMode="External"/><Relationship Id="rId93" Type="http://schemas.openxmlformats.org/officeDocument/2006/relationships/hyperlink" Target="https://twitter.com/homeAInews/status/702778696701251584" TargetMode="External"/><Relationship Id="rId92" Type="http://schemas.openxmlformats.org/officeDocument/2006/relationships/hyperlink" Target="https://twitter.com/homeAInews" TargetMode="External"/><Relationship Id="rId359" Type="http://schemas.openxmlformats.org/officeDocument/2006/relationships/hyperlink" Target="https://twitter.com/JoshuaLongUK" TargetMode="External"/><Relationship Id="rId358" Type="http://schemas.openxmlformats.org/officeDocument/2006/relationships/hyperlink" Target="https://pbs.twimg.com/profile_images/689960396065734656/fLrueKGG_normal.jpg" TargetMode="External"/><Relationship Id="rId357" Type="http://schemas.openxmlformats.org/officeDocument/2006/relationships/hyperlink" Target="https://twitter.com/kamiljsokolowsk/status/702798098343567360" TargetMode="External"/><Relationship Id="rId352" Type="http://schemas.openxmlformats.org/officeDocument/2006/relationships/hyperlink" Target="https://twitter.com/MundoSQL" TargetMode="External"/><Relationship Id="rId6630" Type="http://schemas.openxmlformats.org/officeDocument/2006/relationships/hyperlink" Target="https://twitter.com/lucasoft_co_uk/status/703134972383604736" TargetMode="External"/><Relationship Id="rId7962" Type="http://schemas.openxmlformats.org/officeDocument/2006/relationships/hyperlink" Target="https://twitter.com/RossC0" TargetMode="External"/><Relationship Id="rId351" Type="http://schemas.openxmlformats.org/officeDocument/2006/relationships/hyperlink" Target="https://pbs.twimg.com/profile_images/475228702922387457/6gYeuqxD_normal.jpeg" TargetMode="External"/><Relationship Id="rId5300" Type="http://schemas.openxmlformats.org/officeDocument/2006/relationships/hyperlink" Target="https://twitter.com/teoliphant/status/703041881215635456" TargetMode="External"/><Relationship Id="rId6631" Type="http://schemas.openxmlformats.org/officeDocument/2006/relationships/hyperlink" Target="https://pbs.twimg.com/profile_images/546760740959305728/KLYPZoQU_normal.png" TargetMode="External"/><Relationship Id="rId7961" Type="http://schemas.openxmlformats.org/officeDocument/2006/relationships/hyperlink" Target="https://pbs.twimg.com/profile_images/1116449459/Photo_on_2010-09-03_at_10.06__3_normal.jpg" TargetMode="External"/><Relationship Id="rId350" Type="http://schemas.openxmlformats.org/officeDocument/2006/relationships/hyperlink" Target="https://twitter.com/pydigest/status/702797986238230528" TargetMode="External"/><Relationship Id="rId7960" Type="http://schemas.openxmlformats.org/officeDocument/2006/relationships/hyperlink" Target="https://twitter.com/jjrennie/status/703214291873300480" TargetMode="External"/><Relationship Id="rId356" Type="http://schemas.openxmlformats.org/officeDocument/2006/relationships/hyperlink" Target="https://twitter.com/kamiljsokolowsk" TargetMode="External"/><Relationship Id="rId5303" Type="http://schemas.openxmlformats.org/officeDocument/2006/relationships/hyperlink" Target="https://twitter.com/BigDataTweetBot/status/703041978708131840" TargetMode="External"/><Relationship Id="rId6634" Type="http://schemas.openxmlformats.org/officeDocument/2006/relationships/hyperlink" Target="https://pbs.twimg.com/profile_images/3272414315/6100aa5e267d6fc1e2e67b0782d34134_normal.jpeg" TargetMode="External"/><Relationship Id="rId7966" Type="http://schemas.openxmlformats.org/officeDocument/2006/relationships/hyperlink" Target="https://twitter.com/anioko1/status/703214868871192576" TargetMode="External"/><Relationship Id="rId355" Type="http://schemas.openxmlformats.org/officeDocument/2006/relationships/hyperlink" Target="https://pbs.twimg.com/profile_images/633894151541686272/biuRvPew_normal.jpg" TargetMode="External"/><Relationship Id="rId5304" Type="http://schemas.openxmlformats.org/officeDocument/2006/relationships/hyperlink" Target="https://pbs.twimg.com/profile_images/616793252524650496/bQbxJqmz_normal.jpg" TargetMode="External"/><Relationship Id="rId6635" Type="http://schemas.openxmlformats.org/officeDocument/2006/relationships/hyperlink" Target="https://twitter.com/MartaDzBarrera" TargetMode="External"/><Relationship Id="rId7965" Type="http://schemas.openxmlformats.org/officeDocument/2006/relationships/hyperlink" Target="https://twitter.com/anioko1" TargetMode="External"/><Relationship Id="rId354" Type="http://schemas.openxmlformats.org/officeDocument/2006/relationships/hyperlink" Target="http://WordPress.com" TargetMode="External"/><Relationship Id="rId5301" Type="http://schemas.openxmlformats.org/officeDocument/2006/relationships/hyperlink" Target="https://pbs.twimg.com/profile_images/143077709/DSCF0283_2_normal.JPG" TargetMode="External"/><Relationship Id="rId6632" Type="http://schemas.openxmlformats.org/officeDocument/2006/relationships/hyperlink" Target="https://twitter.com/QuantInsti" TargetMode="External"/><Relationship Id="rId7964" Type="http://schemas.openxmlformats.org/officeDocument/2006/relationships/hyperlink" Target="https://pbs.twimg.com/profile_images/677443275201060864/oUPMnwpC_normal.jpg" TargetMode="External"/><Relationship Id="rId353" Type="http://schemas.openxmlformats.org/officeDocument/2006/relationships/hyperlink" Target="https://twitter.com/MundoSQL/status/702798032660783104" TargetMode="External"/><Relationship Id="rId5302" Type="http://schemas.openxmlformats.org/officeDocument/2006/relationships/hyperlink" Target="https://twitter.com/BigDataTweetBot" TargetMode="External"/><Relationship Id="rId6633" Type="http://schemas.openxmlformats.org/officeDocument/2006/relationships/hyperlink" Target="https://twitter.com/QuantInsti/status/703134992767983616" TargetMode="External"/><Relationship Id="rId7963" Type="http://schemas.openxmlformats.org/officeDocument/2006/relationships/hyperlink" Target="https://twitter.com/RossC0/status/703214841994018817" TargetMode="External"/><Relationship Id="rId7915" Type="http://schemas.openxmlformats.org/officeDocument/2006/relationships/hyperlink" Target="https://twitter.com/MathFlashcards/status/703211920665411585" TargetMode="External"/><Relationship Id="rId7914" Type="http://schemas.openxmlformats.org/officeDocument/2006/relationships/hyperlink" Target="https://twitter.com/MathFlashcards" TargetMode="External"/><Relationship Id="rId7913" Type="http://schemas.openxmlformats.org/officeDocument/2006/relationships/hyperlink" Target="https://pbs.twimg.com/profile_images/497274908699660288/T-e717dV_normal.png" TargetMode="External"/><Relationship Id="rId7912" Type="http://schemas.openxmlformats.org/officeDocument/2006/relationships/hyperlink" Target="https://twitter.com/muayyadalsadi/status/703211793657655296" TargetMode="External"/><Relationship Id="rId7919" Type="http://schemas.openxmlformats.org/officeDocument/2006/relationships/hyperlink" Target="https://pbs.twimg.com/profile_images/2474433856/p075cerxh0arpea6ceip_normal.png" TargetMode="External"/><Relationship Id="rId7918" Type="http://schemas.openxmlformats.org/officeDocument/2006/relationships/hyperlink" Target="https://twitter.com/py3k/status/703212083463233536" TargetMode="External"/><Relationship Id="rId7917" Type="http://schemas.openxmlformats.org/officeDocument/2006/relationships/hyperlink" Target="https://twitter.com/py3k" TargetMode="External"/><Relationship Id="rId7916" Type="http://schemas.openxmlformats.org/officeDocument/2006/relationships/hyperlink" Target="https://pbs.twimg.com/profile_images/496845076304101376/nyUffD1o_normal.png" TargetMode="External"/><Relationship Id="rId305" Type="http://schemas.openxmlformats.org/officeDocument/2006/relationships/hyperlink" Target="https://twitter.com/PythonBooks" TargetMode="External"/><Relationship Id="rId304" Type="http://schemas.openxmlformats.org/officeDocument/2006/relationships/hyperlink" Target="https://pbs.twimg.com/profile_images/702455638157168640/AeDgtn0C_normal.jpg" TargetMode="External"/><Relationship Id="rId303" Type="http://schemas.openxmlformats.org/officeDocument/2006/relationships/hyperlink" Target="https://twitter.com/PythonBooks/status/702794497940287489" TargetMode="External"/><Relationship Id="rId302" Type="http://schemas.openxmlformats.org/officeDocument/2006/relationships/hyperlink" Target="https://twitter.com/PythonBooks" TargetMode="External"/><Relationship Id="rId309" Type="http://schemas.openxmlformats.org/officeDocument/2006/relationships/hyperlink" Target="https://twitter.com/BountyBot/status/702795184052916224" TargetMode="External"/><Relationship Id="rId308" Type="http://schemas.openxmlformats.org/officeDocument/2006/relationships/hyperlink" Target="https://twitter.com/BountyBot" TargetMode="External"/><Relationship Id="rId307" Type="http://schemas.openxmlformats.org/officeDocument/2006/relationships/hyperlink" Target="https://pbs.twimg.com/profile_images/702455638157168640/AeDgtn0C_normal.jpg" TargetMode="External"/><Relationship Id="rId306" Type="http://schemas.openxmlformats.org/officeDocument/2006/relationships/hyperlink" Target="https://twitter.com/PythonBooks/status/702794539174535168" TargetMode="External"/><Relationship Id="rId301" Type="http://schemas.openxmlformats.org/officeDocument/2006/relationships/hyperlink" Target="https://pbs.twimg.com/profile_images/685472404039012352/b2J0JwJq_normal.jpg" TargetMode="External"/><Relationship Id="rId7911" Type="http://schemas.openxmlformats.org/officeDocument/2006/relationships/hyperlink" Target="https://twitter.com/muayyadalsadi" TargetMode="External"/><Relationship Id="rId300" Type="http://schemas.openxmlformats.org/officeDocument/2006/relationships/hyperlink" Target="https://twitter.com/pymudit/status/702793812574228480" TargetMode="External"/><Relationship Id="rId7910" Type="http://schemas.openxmlformats.org/officeDocument/2006/relationships/hyperlink" Target="https://pbs.twimg.com/profile_images/671623862916812800/yGsDKiP4_normal.jpg" TargetMode="External"/><Relationship Id="rId7904" Type="http://schemas.openxmlformats.org/officeDocument/2006/relationships/hyperlink" Target="https://pbs.twimg.com/profile_images/1410657635/gjuihiuhihioh_normal.JPG" TargetMode="External"/><Relationship Id="rId7903" Type="http://schemas.openxmlformats.org/officeDocument/2006/relationships/hyperlink" Target="https://twitter.com/isimarjeetsingh/status/703211715375308800" TargetMode="External"/><Relationship Id="rId7902" Type="http://schemas.openxmlformats.org/officeDocument/2006/relationships/hyperlink" Target="https://twitter.com/isimarjeetsingh" TargetMode="External"/><Relationship Id="rId7901" Type="http://schemas.openxmlformats.org/officeDocument/2006/relationships/hyperlink" Target="https://pbs.twimg.com/profile_images/138424173/allseeingeye_normal.png" TargetMode="External"/><Relationship Id="rId7908" Type="http://schemas.openxmlformats.org/officeDocument/2006/relationships/hyperlink" Target="https://twitter.com/AdamSmitht1" TargetMode="External"/><Relationship Id="rId7907" Type="http://schemas.openxmlformats.org/officeDocument/2006/relationships/hyperlink" Target="https://pbs.twimg.com/profile_images/645650110374936580/-oQakt8x_normal.png" TargetMode="External"/><Relationship Id="rId7906" Type="http://schemas.openxmlformats.org/officeDocument/2006/relationships/hyperlink" Target="https://twitter.com/homeAIinfo/status/703211734522306560" TargetMode="External"/><Relationship Id="rId7905" Type="http://schemas.openxmlformats.org/officeDocument/2006/relationships/hyperlink" Target="https://twitter.com/homeAIinfo" TargetMode="External"/><Relationship Id="rId7909" Type="http://schemas.openxmlformats.org/officeDocument/2006/relationships/hyperlink" Target="https://twitter.com/AdamSmitht1/status/703211792084893696" TargetMode="External"/><Relationship Id="rId7900" Type="http://schemas.openxmlformats.org/officeDocument/2006/relationships/hyperlink" Target="https://twitter.com/quantumzone/status/703211123965763585" TargetMode="External"/><Relationship Id="rId6605" Type="http://schemas.openxmlformats.org/officeDocument/2006/relationships/hyperlink" Target="https://pbs.twimg.com/profile_images/2813636657/599521f69e2bc210a57323b64d8e39e6_normal.jpeg" TargetMode="External"/><Relationship Id="rId7937" Type="http://schemas.openxmlformats.org/officeDocument/2006/relationships/hyperlink" Target="https://pbs.twimg.com/profile_images/1545092248/bad_smile_normal.png" TargetMode="External"/><Relationship Id="rId6606" Type="http://schemas.openxmlformats.org/officeDocument/2006/relationships/hyperlink" Target="https://twitter.com/artwisanggeni" TargetMode="External"/><Relationship Id="rId7936" Type="http://schemas.openxmlformats.org/officeDocument/2006/relationships/hyperlink" Target="https://twitter.com/snapshorty/status/703212615149842433" TargetMode="External"/><Relationship Id="rId6603" Type="http://schemas.openxmlformats.org/officeDocument/2006/relationships/hyperlink" Target="https://twitter.com/artwisanggeni/status/703134717839675392" TargetMode="External"/><Relationship Id="rId7935" Type="http://schemas.openxmlformats.org/officeDocument/2006/relationships/hyperlink" Target="https://twitter.com/snapshorty" TargetMode="External"/><Relationship Id="rId6604" Type="http://schemas.openxmlformats.org/officeDocument/2006/relationships/hyperlink" Target="http://dlvr.it" TargetMode="External"/><Relationship Id="rId7934" Type="http://schemas.openxmlformats.org/officeDocument/2006/relationships/hyperlink" Target="https://pbs.twimg.com/profile_images/2342387415/xw43fzhynfrmm9gg016b_normal.png" TargetMode="External"/><Relationship Id="rId6609" Type="http://schemas.openxmlformats.org/officeDocument/2006/relationships/hyperlink" Target="https://pbs.twimg.com/profile_images/2813636657/599521f69e2bc210a57323b64d8e39e6_normal.jpeg" TargetMode="External"/><Relationship Id="rId6607" Type="http://schemas.openxmlformats.org/officeDocument/2006/relationships/hyperlink" Target="https://twitter.com/artwisanggeni/status/703134721903951873" TargetMode="External"/><Relationship Id="rId7939" Type="http://schemas.openxmlformats.org/officeDocument/2006/relationships/hyperlink" Target="https://twitter.com/cool_python/status/703212907702657025" TargetMode="External"/><Relationship Id="rId6608" Type="http://schemas.openxmlformats.org/officeDocument/2006/relationships/hyperlink" Target="http://dlvr.it" TargetMode="External"/><Relationship Id="rId7938" Type="http://schemas.openxmlformats.org/officeDocument/2006/relationships/hyperlink" Target="https://twitter.com/cool_python" TargetMode="External"/><Relationship Id="rId327" Type="http://schemas.openxmlformats.org/officeDocument/2006/relationships/hyperlink" Target="https://pbs.twimg.com/profile_images/689726234767466496/9eYW3M4I_normal.jpg" TargetMode="External"/><Relationship Id="rId326" Type="http://schemas.openxmlformats.org/officeDocument/2006/relationships/hyperlink" Target="https://twitter.com/AnuragShukla47/status/702795556804960256" TargetMode="External"/><Relationship Id="rId325" Type="http://schemas.openxmlformats.org/officeDocument/2006/relationships/hyperlink" Target="https://twitter.com/AnuragShukla47" TargetMode="External"/><Relationship Id="rId324" Type="http://schemas.openxmlformats.org/officeDocument/2006/relationships/hyperlink" Target="https://pbs.twimg.com/profile_images/700266784356593664/6zwBHG8O_normal.png" TargetMode="External"/><Relationship Id="rId329" Type="http://schemas.openxmlformats.org/officeDocument/2006/relationships/hyperlink" Target="https://twitter.com/philippe_bchn/status/702796043981889536" TargetMode="External"/><Relationship Id="rId328" Type="http://schemas.openxmlformats.org/officeDocument/2006/relationships/hyperlink" Target="https://twitter.com/philippe_bchn" TargetMode="External"/><Relationship Id="rId323" Type="http://schemas.openxmlformats.org/officeDocument/2006/relationships/hyperlink" Target="https://twitter.com/pydatacph/status/702795515822473216" TargetMode="External"/><Relationship Id="rId6601" Type="http://schemas.openxmlformats.org/officeDocument/2006/relationships/hyperlink" Target="https://pbs.twimg.com/profile_images/2813636657/599521f69e2bc210a57323b64d8e39e6_normal.jpeg" TargetMode="External"/><Relationship Id="rId7933" Type="http://schemas.openxmlformats.org/officeDocument/2006/relationships/hyperlink" Target="https://twitter.com/nicolas_gkz/status/703212382684729344" TargetMode="External"/><Relationship Id="rId322" Type="http://schemas.openxmlformats.org/officeDocument/2006/relationships/hyperlink" Target="https://twitter.com/pydatacph" TargetMode="External"/><Relationship Id="rId6602" Type="http://schemas.openxmlformats.org/officeDocument/2006/relationships/hyperlink" Target="https://twitter.com/artwisanggeni" TargetMode="External"/><Relationship Id="rId7932" Type="http://schemas.openxmlformats.org/officeDocument/2006/relationships/hyperlink" Target="https://twitter.com/nicolas_gkz" TargetMode="External"/><Relationship Id="rId321" Type="http://schemas.openxmlformats.org/officeDocument/2006/relationships/hyperlink" Target="https://pbs.twimg.com/profile_images/703179032125267969/9Y-1Fllk_normal.jpg" TargetMode="External"/><Relationship Id="rId7931" Type="http://schemas.openxmlformats.org/officeDocument/2006/relationships/hyperlink" Target="https://pbs.twimg.com/profile_images/2645324435/a482edbf7271eb468ae1e651c581040c_normal.png" TargetMode="External"/><Relationship Id="rId320" Type="http://schemas.openxmlformats.org/officeDocument/2006/relationships/hyperlink" Target="https://twitter.com/Boolerang/status/702795474428960768" TargetMode="External"/><Relationship Id="rId6600" Type="http://schemas.openxmlformats.org/officeDocument/2006/relationships/hyperlink" Target="http://dlvr.it" TargetMode="External"/><Relationship Id="rId7930" Type="http://schemas.openxmlformats.org/officeDocument/2006/relationships/hyperlink" Target="https://twitter.com/craiggwilson/status/703212354234769408" TargetMode="External"/><Relationship Id="rId7926" Type="http://schemas.openxmlformats.org/officeDocument/2006/relationships/hyperlink" Target="https://twitter.com/adamos94" TargetMode="External"/><Relationship Id="rId7925" Type="http://schemas.openxmlformats.org/officeDocument/2006/relationships/hyperlink" Target="https://pbs.twimg.com/profile_images/631894467612647424/cggm6Khg_normal.jpg" TargetMode="External"/><Relationship Id="rId7924" Type="http://schemas.openxmlformats.org/officeDocument/2006/relationships/hyperlink" Target="https://twitter.com/TychoTa/status/703212130019856390" TargetMode="External"/><Relationship Id="rId7923" Type="http://schemas.openxmlformats.org/officeDocument/2006/relationships/hyperlink" Target="https://twitter.com/TychoTa" TargetMode="External"/><Relationship Id="rId7929" Type="http://schemas.openxmlformats.org/officeDocument/2006/relationships/hyperlink" Target="https://twitter.com/craiggwilson" TargetMode="External"/><Relationship Id="rId7928" Type="http://schemas.openxmlformats.org/officeDocument/2006/relationships/hyperlink" Target="https://pbs.twimg.com/profile_images/617219010548080640/rjMDramL_normal.jpg" TargetMode="External"/><Relationship Id="rId7927" Type="http://schemas.openxmlformats.org/officeDocument/2006/relationships/hyperlink" Target="https://twitter.com/adamos94/status/703212172202024960" TargetMode="External"/><Relationship Id="rId316" Type="http://schemas.openxmlformats.org/officeDocument/2006/relationships/hyperlink" Target="http://WordPress.com" TargetMode="External"/><Relationship Id="rId315" Type="http://schemas.openxmlformats.org/officeDocument/2006/relationships/hyperlink" Target="https://twitter.com/cindygeodev/status/702795438605217793" TargetMode="External"/><Relationship Id="rId314" Type="http://schemas.openxmlformats.org/officeDocument/2006/relationships/hyperlink" Target="https://twitter.com/cindygeodev" TargetMode="External"/><Relationship Id="rId313" Type="http://schemas.openxmlformats.org/officeDocument/2006/relationships/hyperlink" Target="https://pbs.twimg.com/profile_images/531338622/4111117620_c781e1e2b0_o_normal.jpg" TargetMode="External"/><Relationship Id="rId319" Type="http://schemas.openxmlformats.org/officeDocument/2006/relationships/hyperlink" Target="http://Boolerang.io" TargetMode="External"/><Relationship Id="rId318" Type="http://schemas.openxmlformats.org/officeDocument/2006/relationships/hyperlink" Target="https://twitter.com/Boolerang" TargetMode="External"/><Relationship Id="rId317" Type="http://schemas.openxmlformats.org/officeDocument/2006/relationships/hyperlink" Target="https://pbs.twimg.com/profile_images/532057868682272768/HFZ2YD0V_normal.png" TargetMode="External"/><Relationship Id="rId312" Type="http://schemas.openxmlformats.org/officeDocument/2006/relationships/hyperlink" Target="https://twitter.com/adrop/status/702795218345664512" TargetMode="External"/><Relationship Id="rId7922" Type="http://schemas.openxmlformats.org/officeDocument/2006/relationships/hyperlink" Target="https://pbs.twimg.com/profile_images/679566117187145728/UUo30Zpm_normal.jpg" TargetMode="External"/><Relationship Id="rId311" Type="http://schemas.openxmlformats.org/officeDocument/2006/relationships/hyperlink" Target="https://twitter.com/adrop" TargetMode="External"/><Relationship Id="rId7921" Type="http://schemas.openxmlformats.org/officeDocument/2006/relationships/hyperlink" Target="https://twitter.com/startechwall/status/703212128178716672" TargetMode="External"/><Relationship Id="rId310" Type="http://schemas.openxmlformats.org/officeDocument/2006/relationships/hyperlink" Target="https://pbs.twimg.com/profile_images/3337452891/297dea81b90b0f5fb2b7a554d6f931e7_normal.jpeg" TargetMode="External"/><Relationship Id="rId7920" Type="http://schemas.openxmlformats.org/officeDocument/2006/relationships/hyperlink" Target="https://twitter.com/startechwall" TargetMode="External"/><Relationship Id="rId4040" Type="http://schemas.openxmlformats.org/officeDocument/2006/relationships/hyperlink" Target="https://twitter.com/dallendoug" TargetMode="External"/><Relationship Id="rId5372" Type="http://schemas.openxmlformats.org/officeDocument/2006/relationships/hyperlink" Target="https://pbs.twimg.com/profile_images/539451988929294337/hCieN16A_normal.png" TargetMode="External"/><Relationship Id="rId5373" Type="http://schemas.openxmlformats.org/officeDocument/2006/relationships/hyperlink" Target="https://twitter.com/csimpkins" TargetMode="External"/><Relationship Id="rId4042" Type="http://schemas.openxmlformats.org/officeDocument/2006/relationships/hyperlink" Target="https://pbs.twimg.com/profile_images/57773442/yellowsignsmall_normal.JPG" TargetMode="External"/><Relationship Id="rId5370" Type="http://schemas.openxmlformats.org/officeDocument/2006/relationships/hyperlink" Target="https://twitter.com/livecodingtv/status/703047705229025280" TargetMode="External"/><Relationship Id="rId4041" Type="http://schemas.openxmlformats.org/officeDocument/2006/relationships/hyperlink" Target="https://twitter.com/dallendoug/status/702974839234105344" TargetMode="External"/><Relationship Id="rId5371" Type="http://schemas.openxmlformats.org/officeDocument/2006/relationships/hyperlink" Target="http://www.livecoding.tv" TargetMode="External"/><Relationship Id="rId4044" Type="http://schemas.openxmlformats.org/officeDocument/2006/relationships/hyperlink" Target="https://twitter.com/xpinjection/status/702975140729114624" TargetMode="External"/><Relationship Id="rId5376" Type="http://schemas.openxmlformats.org/officeDocument/2006/relationships/hyperlink" Target="https://twitter.com/BJKralik" TargetMode="External"/><Relationship Id="rId4043" Type="http://schemas.openxmlformats.org/officeDocument/2006/relationships/hyperlink" Target="https://twitter.com/xpinjection" TargetMode="External"/><Relationship Id="rId5377" Type="http://schemas.openxmlformats.org/officeDocument/2006/relationships/hyperlink" Target="https://twitter.com/BJKralik/status/703048388145766401" TargetMode="External"/><Relationship Id="rId4046" Type="http://schemas.openxmlformats.org/officeDocument/2006/relationships/hyperlink" Target="https://twitter.com/TutsPlusCode" TargetMode="External"/><Relationship Id="rId5374" Type="http://schemas.openxmlformats.org/officeDocument/2006/relationships/hyperlink" Target="https://twitter.com/csimpkins/status/703047805661614080" TargetMode="External"/><Relationship Id="rId4045" Type="http://schemas.openxmlformats.org/officeDocument/2006/relationships/hyperlink" Target="https://pbs.twimg.com/profile_images/603544340548423680/dQqOfs5p_normal.jpg" TargetMode="External"/><Relationship Id="rId5375" Type="http://schemas.openxmlformats.org/officeDocument/2006/relationships/hyperlink" Target="https://pbs.twimg.com/profile_images/452820822739009536/tHIdp9Kf_normal.png" TargetMode="External"/><Relationship Id="rId4048" Type="http://schemas.openxmlformats.org/officeDocument/2006/relationships/hyperlink" Target="https://pbs.twimg.com/profile_images/440360139866910721/CSiOk6MT_normal.png" TargetMode="External"/><Relationship Id="rId4047" Type="http://schemas.openxmlformats.org/officeDocument/2006/relationships/hyperlink" Target="https://twitter.com/TutsPlusCode/status/702975143291830272" TargetMode="External"/><Relationship Id="rId5378" Type="http://schemas.openxmlformats.org/officeDocument/2006/relationships/hyperlink" Target="https://pbs.twimg.com/profile_images/661256681796431872/wAcneEpy_normal.jpg" TargetMode="External"/><Relationship Id="rId4049" Type="http://schemas.openxmlformats.org/officeDocument/2006/relationships/hyperlink" Target="https://twitter.com/GERSolar" TargetMode="External"/><Relationship Id="rId5379" Type="http://schemas.openxmlformats.org/officeDocument/2006/relationships/hyperlink" Target="https://twitter.com/srikanthalex1" TargetMode="External"/><Relationship Id="rId5361" Type="http://schemas.openxmlformats.org/officeDocument/2006/relationships/hyperlink" Target="https://pbs.twimg.com/profile_images/445741861584384000/5-BiqQ-P_normal.jpeg" TargetMode="External"/><Relationship Id="rId6692" Type="http://schemas.openxmlformats.org/officeDocument/2006/relationships/hyperlink" Target="https://pbs.twimg.com/profile_images/544544396809494528/yD4U3dhY_normal.png" TargetMode="External"/><Relationship Id="rId5362" Type="http://schemas.openxmlformats.org/officeDocument/2006/relationships/hyperlink" Target="https://twitter.com/HartwigMicheal" TargetMode="External"/><Relationship Id="rId6693" Type="http://schemas.openxmlformats.org/officeDocument/2006/relationships/hyperlink" Target="https://twitter.com/jobely" TargetMode="External"/><Relationship Id="rId4031" Type="http://schemas.openxmlformats.org/officeDocument/2006/relationships/hyperlink" Target="https://twitter.com/wcmckeedotcom" TargetMode="External"/><Relationship Id="rId6690" Type="http://schemas.openxmlformats.org/officeDocument/2006/relationships/hyperlink" Target="https://twitter.com/jandrusk" TargetMode="External"/><Relationship Id="rId4030" Type="http://schemas.openxmlformats.org/officeDocument/2006/relationships/hyperlink" Target="https://pbs.twimg.com/profile_images/701940703329284096/L4xW77o2_normal.jpg" TargetMode="External"/><Relationship Id="rId5360" Type="http://schemas.openxmlformats.org/officeDocument/2006/relationships/hyperlink" Target="https://twitter.com/di3mus/status/703047102428028928" TargetMode="External"/><Relationship Id="rId6691" Type="http://schemas.openxmlformats.org/officeDocument/2006/relationships/hyperlink" Target="https://twitter.com/jandrusk/status/703142467323834368" TargetMode="External"/><Relationship Id="rId297" Type="http://schemas.openxmlformats.org/officeDocument/2006/relationships/hyperlink" Target="https://twitter.com/alejoseb/status/702793754965577728" TargetMode="External"/><Relationship Id="rId4033" Type="http://schemas.openxmlformats.org/officeDocument/2006/relationships/hyperlink" Target="https://pbs.twimg.com/profile_images/621211385746161664/tGchJstD_normal.jpg" TargetMode="External"/><Relationship Id="rId5365" Type="http://schemas.openxmlformats.org/officeDocument/2006/relationships/hyperlink" Target="https://twitter.com/MTotolrahaman" TargetMode="External"/><Relationship Id="rId6696" Type="http://schemas.openxmlformats.org/officeDocument/2006/relationships/hyperlink" Target="https://pbs.twimg.com/profile_images/543819077/Schermata_2009-11-25_a_21.06.35_normal.png" TargetMode="External"/><Relationship Id="rId296" Type="http://schemas.openxmlformats.org/officeDocument/2006/relationships/hyperlink" Target="https://twitter.com/alejoseb" TargetMode="External"/><Relationship Id="rId4032" Type="http://schemas.openxmlformats.org/officeDocument/2006/relationships/hyperlink" Target="https://twitter.com/wcmckeedotcom/status/702973784010137600" TargetMode="External"/><Relationship Id="rId5366" Type="http://schemas.openxmlformats.org/officeDocument/2006/relationships/hyperlink" Target="https://twitter.com/MTotolrahaman/status/703047692763721728" TargetMode="External"/><Relationship Id="rId6697" Type="http://schemas.openxmlformats.org/officeDocument/2006/relationships/hyperlink" Target="https://twitter.com/artwisanggeni" TargetMode="External"/><Relationship Id="rId295" Type="http://schemas.openxmlformats.org/officeDocument/2006/relationships/hyperlink" Target="https://pbs.twimg.com/profile_images/330877287/k_normal.png" TargetMode="External"/><Relationship Id="rId4035" Type="http://schemas.openxmlformats.org/officeDocument/2006/relationships/hyperlink" Target="https://twitter.com/EriChauveT/status/702974283379818496" TargetMode="External"/><Relationship Id="rId5363" Type="http://schemas.openxmlformats.org/officeDocument/2006/relationships/hyperlink" Target="https://twitter.com/HartwigMicheal/status/703047520243621888" TargetMode="External"/><Relationship Id="rId6694" Type="http://schemas.openxmlformats.org/officeDocument/2006/relationships/hyperlink" Target="http://Jobely.com" TargetMode="External"/><Relationship Id="rId294" Type="http://schemas.openxmlformats.org/officeDocument/2006/relationships/hyperlink" Target="https://twitter.com/mkamimura/status/702792450461446144" TargetMode="External"/><Relationship Id="rId4034" Type="http://schemas.openxmlformats.org/officeDocument/2006/relationships/hyperlink" Target="https://twitter.com/EriChauveT" TargetMode="External"/><Relationship Id="rId5364" Type="http://schemas.openxmlformats.org/officeDocument/2006/relationships/hyperlink" Target="https://pbs.twimg.com/profile_images/679948461953781761/pDo9356K_normal.jpg" TargetMode="External"/><Relationship Id="rId6695" Type="http://schemas.openxmlformats.org/officeDocument/2006/relationships/hyperlink" Target="https://twitter.com/jobely/status/703142474282192896" TargetMode="External"/><Relationship Id="rId4037" Type="http://schemas.openxmlformats.org/officeDocument/2006/relationships/hyperlink" Target="https://twitter.com/dvek" TargetMode="External"/><Relationship Id="rId5369" Type="http://schemas.openxmlformats.org/officeDocument/2006/relationships/hyperlink" Target="http://Livecoding.tv" TargetMode="External"/><Relationship Id="rId4036" Type="http://schemas.openxmlformats.org/officeDocument/2006/relationships/hyperlink" Target="https://pbs.twimg.com/profile_images/680330294612852737/Ssw1iLq7_normal.jpg" TargetMode="External"/><Relationship Id="rId299" Type="http://schemas.openxmlformats.org/officeDocument/2006/relationships/hyperlink" Target="https://twitter.com/pymudit" TargetMode="External"/><Relationship Id="rId4039" Type="http://schemas.openxmlformats.org/officeDocument/2006/relationships/hyperlink" Target="https://pbs.twimg.com/profile_images/1389382682/White_Glint_LOGO_by_ReckSio_-_Copy_normal.jpg" TargetMode="External"/><Relationship Id="rId5367" Type="http://schemas.openxmlformats.org/officeDocument/2006/relationships/hyperlink" Target="https://pbs.twimg.com/profile_images/677493910256484352/-EdVaVPl_normal.jpg" TargetMode="External"/><Relationship Id="rId6698" Type="http://schemas.openxmlformats.org/officeDocument/2006/relationships/hyperlink" Target="https://twitter.com/artwisanggeni/status/703142483580944384" TargetMode="External"/><Relationship Id="rId298" Type="http://schemas.openxmlformats.org/officeDocument/2006/relationships/hyperlink" Target="https://pbs.twimg.com/profile_images/596541291376353280/APkWMqMp_normal.jpg" TargetMode="External"/><Relationship Id="rId4038" Type="http://schemas.openxmlformats.org/officeDocument/2006/relationships/hyperlink" Target="https://twitter.com/dvek/status/702974392356184064" TargetMode="External"/><Relationship Id="rId5368" Type="http://schemas.openxmlformats.org/officeDocument/2006/relationships/hyperlink" Target="https://twitter.com/livecodingtv" TargetMode="External"/><Relationship Id="rId6699" Type="http://schemas.openxmlformats.org/officeDocument/2006/relationships/hyperlink" Target="http://dlvr.it" TargetMode="External"/><Relationship Id="rId5390" Type="http://schemas.openxmlformats.org/officeDocument/2006/relationships/hyperlink" Target="https://pbs.twimg.com/profile_images/2137205178/164502_1681564609557_1550845997_31590776_6646149_n_normal.jpg" TargetMode="External"/><Relationship Id="rId5391" Type="http://schemas.openxmlformats.org/officeDocument/2006/relationships/hyperlink" Target="https://twitter.com/siffolone" TargetMode="External"/><Relationship Id="rId4060" Type="http://schemas.openxmlformats.org/officeDocument/2006/relationships/hyperlink" Target="https://pbs.twimg.com/profile_images/475228702922387457/6gYeuqxD_normal.jpeg" TargetMode="External"/><Relationship Id="rId4062" Type="http://schemas.openxmlformats.org/officeDocument/2006/relationships/hyperlink" Target="https://twitter.com/py3k/status/702976163715653634" TargetMode="External"/><Relationship Id="rId5394" Type="http://schemas.openxmlformats.org/officeDocument/2006/relationships/hyperlink" Target="https://twitter.com/walkops" TargetMode="External"/><Relationship Id="rId4061" Type="http://schemas.openxmlformats.org/officeDocument/2006/relationships/hyperlink" Target="https://twitter.com/py3k" TargetMode="External"/><Relationship Id="rId5395" Type="http://schemas.openxmlformats.org/officeDocument/2006/relationships/hyperlink" Target="https://twitter.com/walkops/status/703053107404484608" TargetMode="External"/><Relationship Id="rId4064" Type="http://schemas.openxmlformats.org/officeDocument/2006/relationships/hyperlink" Target="https://twitter.com/DavidBatty" TargetMode="External"/><Relationship Id="rId5392" Type="http://schemas.openxmlformats.org/officeDocument/2006/relationships/hyperlink" Target="https://twitter.com/siffolone/status/703052278119452672" TargetMode="External"/><Relationship Id="rId4063" Type="http://schemas.openxmlformats.org/officeDocument/2006/relationships/hyperlink" Target="https://pbs.twimg.com/profile_images/2474433856/p075cerxh0arpea6ceip_normal.png" TargetMode="External"/><Relationship Id="rId5393" Type="http://schemas.openxmlformats.org/officeDocument/2006/relationships/hyperlink" Target="https://pbs.twimg.com/profile_images/631839534846734336/yBw4IKrT_normal.jpg" TargetMode="External"/><Relationship Id="rId4066" Type="http://schemas.openxmlformats.org/officeDocument/2006/relationships/hyperlink" Target="https://pbs.twimg.com/profile_images/1524208529/DavidHead29081011_normal.jpg" TargetMode="External"/><Relationship Id="rId5398" Type="http://schemas.openxmlformats.org/officeDocument/2006/relationships/hyperlink" Target="https://twitter.com/hideo_is/status/703053212425695233" TargetMode="External"/><Relationship Id="rId4065" Type="http://schemas.openxmlformats.org/officeDocument/2006/relationships/hyperlink" Target="https://twitter.com/DavidBatty/status/702976372898136064" TargetMode="External"/><Relationship Id="rId5399" Type="http://schemas.openxmlformats.org/officeDocument/2006/relationships/hyperlink" Target="https://abs.twimg.com/sticky/default_profile_images/default_profile_4_normal.png" TargetMode="External"/><Relationship Id="rId4068" Type="http://schemas.openxmlformats.org/officeDocument/2006/relationships/hyperlink" Target="https://twitter.com/wp_digest/status/702976387913797632" TargetMode="External"/><Relationship Id="rId5396" Type="http://schemas.openxmlformats.org/officeDocument/2006/relationships/hyperlink" Target="https://pbs.twimg.com/profile_images/414665160217739264/Vjqlxhz8_normal.jpeg" TargetMode="External"/><Relationship Id="rId4067" Type="http://schemas.openxmlformats.org/officeDocument/2006/relationships/hyperlink" Target="https://twitter.com/wp_digest" TargetMode="External"/><Relationship Id="rId5397" Type="http://schemas.openxmlformats.org/officeDocument/2006/relationships/hyperlink" Target="https://twitter.com/hideo_is" TargetMode="External"/><Relationship Id="rId4069" Type="http://schemas.openxmlformats.org/officeDocument/2006/relationships/hyperlink" Target="https://pbs.twimg.com/profile_images/473679277053853696/xU--F2Ox_normal.png" TargetMode="External"/><Relationship Id="rId5380" Type="http://schemas.openxmlformats.org/officeDocument/2006/relationships/hyperlink" Target="https://twitter.com/srikanthalex1/status/703048643796926464" TargetMode="External"/><Relationship Id="rId4051" Type="http://schemas.openxmlformats.org/officeDocument/2006/relationships/hyperlink" Target="https://pbs.twimg.com/profile_images/524534389690994688/O2Q5bLyo_normal.png" TargetMode="External"/><Relationship Id="rId5383" Type="http://schemas.openxmlformats.org/officeDocument/2006/relationships/hyperlink" Target="https://twitter.com/GovsInfo/status/703048704656285701" TargetMode="External"/><Relationship Id="rId4050" Type="http://schemas.openxmlformats.org/officeDocument/2006/relationships/hyperlink" Target="https://twitter.com/GERSolar/status/702975215463170049" TargetMode="External"/><Relationship Id="rId5384" Type="http://schemas.openxmlformats.org/officeDocument/2006/relationships/hyperlink" Target="https://pbs.twimg.com/profile_images/607796949085855744/yiNwAzF__normal.jpg" TargetMode="External"/><Relationship Id="rId4053" Type="http://schemas.openxmlformats.org/officeDocument/2006/relationships/hyperlink" Target="https://twitter.com/py3k/status/702975541398401024" TargetMode="External"/><Relationship Id="rId5381" Type="http://schemas.openxmlformats.org/officeDocument/2006/relationships/hyperlink" Target="https://pbs.twimg.com/profile_images/606332476378578946/MC1z8GY1_normal.jpg" TargetMode="External"/><Relationship Id="rId4052" Type="http://schemas.openxmlformats.org/officeDocument/2006/relationships/hyperlink" Target="https://twitter.com/py3k" TargetMode="External"/><Relationship Id="rId5382" Type="http://schemas.openxmlformats.org/officeDocument/2006/relationships/hyperlink" Target="https://twitter.com/GovsInfo" TargetMode="External"/><Relationship Id="rId4055" Type="http://schemas.openxmlformats.org/officeDocument/2006/relationships/hyperlink" Target="https://twitter.com/businessintel_a" TargetMode="External"/><Relationship Id="rId5387" Type="http://schemas.openxmlformats.org/officeDocument/2006/relationships/hyperlink" Target="https://pbs.twimg.com/profile_images/671623862916812800/yGsDKiP4_normal.jpg" TargetMode="External"/><Relationship Id="rId4054" Type="http://schemas.openxmlformats.org/officeDocument/2006/relationships/hyperlink" Target="https://pbs.twimg.com/profile_images/2474433856/p075cerxh0arpea6ceip_normal.png" TargetMode="External"/><Relationship Id="rId5388" Type="http://schemas.openxmlformats.org/officeDocument/2006/relationships/hyperlink" Target="https://twitter.com/performify" TargetMode="External"/><Relationship Id="rId4057" Type="http://schemas.openxmlformats.org/officeDocument/2006/relationships/hyperlink" Target="https://pbs.twimg.com/profile_images/459292526579834880/N4Y3UZPh_normal.jpeg" TargetMode="External"/><Relationship Id="rId5385" Type="http://schemas.openxmlformats.org/officeDocument/2006/relationships/hyperlink" Target="https://twitter.com/AdamSmitht1" TargetMode="External"/><Relationship Id="rId4056" Type="http://schemas.openxmlformats.org/officeDocument/2006/relationships/hyperlink" Target="https://twitter.com/businessintel_a/status/702975887935938560" TargetMode="External"/><Relationship Id="rId5386" Type="http://schemas.openxmlformats.org/officeDocument/2006/relationships/hyperlink" Target="https://twitter.com/AdamSmitht1/status/703049452697870336" TargetMode="External"/><Relationship Id="rId4059" Type="http://schemas.openxmlformats.org/officeDocument/2006/relationships/hyperlink" Target="https://twitter.com/pydigest/status/702975932328452096" TargetMode="External"/><Relationship Id="rId4058" Type="http://schemas.openxmlformats.org/officeDocument/2006/relationships/hyperlink" Target="https://twitter.com/pydigest" TargetMode="External"/><Relationship Id="rId5389" Type="http://schemas.openxmlformats.org/officeDocument/2006/relationships/hyperlink" Target="https://twitter.com/performify/status/703050425960771584" TargetMode="External"/><Relationship Id="rId4008" Type="http://schemas.openxmlformats.org/officeDocument/2006/relationships/hyperlink" Target="https://twitter.com/mintzworld/status/702971645837877249" TargetMode="External"/><Relationship Id="rId4007" Type="http://schemas.openxmlformats.org/officeDocument/2006/relationships/hyperlink" Target="https://twitter.com/mintzworld" TargetMode="External"/><Relationship Id="rId5338" Type="http://schemas.openxmlformats.org/officeDocument/2006/relationships/hyperlink" Target="https://twitter.com/vpatil" TargetMode="External"/><Relationship Id="rId6669" Type="http://schemas.openxmlformats.org/officeDocument/2006/relationships/hyperlink" Target="https://twitter.com/mikegrimshaw2" TargetMode="External"/><Relationship Id="rId4009" Type="http://schemas.openxmlformats.org/officeDocument/2006/relationships/hyperlink" Target="https://pbs.twimg.com/profile_images/1321484341/MichaelSq_normal.png" TargetMode="External"/><Relationship Id="rId5339" Type="http://schemas.openxmlformats.org/officeDocument/2006/relationships/hyperlink" Target="https://twitter.com/vpatil/status/703045697243774976" TargetMode="External"/><Relationship Id="rId271" Type="http://schemas.openxmlformats.org/officeDocument/2006/relationships/hyperlink" Target="http://dlvr.it" TargetMode="External"/><Relationship Id="rId270" Type="http://schemas.openxmlformats.org/officeDocument/2006/relationships/hyperlink" Target="https://twitter.com/artwisanggeni/status/702790437254201345" TargetMode="External"/><Relationship Id="rId269" Type="http://schemas.openxmlformats.org/officeDocument/2006/relationships/hyperlink" Target="https://twitter.com/artwisanggeni" TargetMode="External"/><Relationship Id="rId7991" Type="http://schemas.openxmlformats.org/officeDocument/2006/relationships/hyperlink" Target="https://pbs.twimg.com/profile_images/702514928041656320/VQkmKws4_normal.png" TargetMode="External"/><Relationship Id="rId6660" Type="http://schemas.openxmlformats.org/officeDocument/2006/relationships/hyperlink" Target="https://twitter.com/pixelsebi" TargetMode="External"/><Relationship Id="rId7990" Type="http://schemas.openxmlformats.org/officeDocument/2006/relationships/hyperlink" Target="https://twitter.com/macasomedina/status/703216184318107648" TargetMode="External"/><Relationship Id="rId264" Type="http://schemas.openxmlformats.org/officeDocument/2006/relationships/hyperlink" Target="https://pbs.twimg.com/profile_images/2474433856/p075cerxh0arpea6ceip_normal.png" TargetMode="External"/><Relationship Id="rId4000" Type="http://schemas.openxmlformats.org/officeDocument/2006/relationships/hyperlink" Target="https://pbs.twimg.com/profile_images/572091631055028224/Pkx__FSB_normal.png" TargetMode="External"/><Relationship Id="rId5332" Type="http://schemas.openxmlformats.org/officeDocument/2006/relationships/hyperlink" Target="http://dlvr.it" TargetMode="External"/><Relationship Id="rId6663" Type="http://schemas.openxmlformats.org/officeDocument/2006/relationships/hyperlink" Target="https://twitter.com/Mork_66" TargetMode="External"/><Relationship Id="rId7995" Type="http://schemas.openxmlformats.org/officeDocument/2006/relationships/hyperlink" Target="https://twitter.com/tonyjiazihu" TargetMode="External"/><Relationship Id="rId263" Type="http://schemas.openxmlformats.org/officeDocument/2006/relationships/hyperlink" Target="https://twitter.com/py3k/status/702790294450921472" TargetMode="External"/><Relationship Id="rId5333" Type="http://schemas.openxmlformats.org/officeDocument/2006/relationships/hyperlink" Target="https://pbs.twimg.com/profile_images/2813636657/599521f69e2bc210a57323b64d8e39e6_normal.jpeg" TargetMode="External"/><Relationship Id="rId6664" Type="http://schemas.openxmlformats.org/officeDocument/2006/relationships/hyperlink" Target="https://twitter.com/Mork_66/status/703138949250699264" TargetMode="External"/><Relationship Id="rId7994" Type="http://schemas.openxmlformats.org/officeDocument/2006/relationships/hyperlink" Target="https://pbs.twimg.com/profile_images/703237339640782849/HMpayxjh_normal.jpg" TargetMode="External"/><Relationship Id="rId262" Type="http://schemas.openxmlformats.org/officeDocument/2006/relationships/hyperlink" Target="https://twitter.com/py3k" TargetMode="External"/><Relationship Id="rId4002" Type="http://schemas.openxmlformats.org/officeDocument/2006/relationships/hyperlink" Target="https://twitter.com/codejobs/status/702971388429258753" TargetMode="External"/><Relationship Id="rId5330" Type="http://schemas.openxmlformats.org/officeDocument/2006/relationships/hyperlink" Target="https://twitter.com/artwisanggeni" TargetMode="External"/><Relationship Id="rId6661" Type="http://schemas.openxmlformats.org/officeDocument/2006/relationships/hyperlink" Target="https://twitter.com/pixelsebi/status/703137835218436096" TargetMode="External"/><Relationship Id="rId7993" Type="http://schemas.openxmlformats.org/officeDocument/2006/relationships/hyperlink" Target="https://twitter.com/soupcurry049/status/703216223811538945" TargetMode="External"/><Relationship Id="rId261" Type="http://schemas.openxmlformats.org/officeDocument/2006/relationships/hyperlink" Target="https://pbs.twimg.com/profile_images/552447349201457152/1cz_gWGz_normal.png" TargetMode="External"/><Relationship Id="rId4001" Type="http://schemas.openxmlformats.org/officeDocument/2006/relationships/hyperlink" Target="https://twitter.com/codejobs" TargetMode="External"/><Relationship Id="rId5331" Type="http://schemas.openxmlformats.org/officeDocument/2006/relationships/hyperlink" Target="https://twitter.com/artwisanggeni/status/703045621423349761" TargetMode="External"/><Relationship Id="rId6662" Type="http://schemas.openxmlformats.org/officeDocument/2006/relationships/hyperlink" Target="https://pbs.twimg.com/profile_images/671295533059809280/vielwmlT_normal.jpg" TargetMode="External"/><Relationship Id="rId7992" Type="http://schemas.openxmlformats.org/officeDocument/2006/relationships/hyperlink" Target="https://twitter.com/soupcurry049" TargetMode="External"/><Relationship Id="rId268" Type="http://schemas.openxmlformats.org/officeDocument/2006/relationships/hyperlink" Target="https://pbs.twimg.com/profile_images/2813636657/599521f69e2bc210a57323b64d8e39e6_normal.jpeg" TargetMode="External"/><Relationship Id="rId4004" Type="http://schemas.openxmlformats.org/officeDocument/2006/relationships/hyperlink" Target="https://twitter.com/lisaannefloyd" TargetMode="External"/><Relationship Id="rId5336" Type="http://schemas.openxmlformats.org/officeDocument/2006/relationships/hyperlink" Target="http://dlvr.it" TargetMode="External"/><Relationship Id="rId6667" Type="http://schemas.openxmlformats.org/officeDocument/2006/relationships/hyperlink" Target="https://twitter.com/SiphoMazibuko1/status/703139331829989376" TargetMode="External"/><Relationship Id="rId7999" Type="http://schemas.openxmlformats.org/officeDocument/2006/relationships/hyperlink" Target="https://twitter.com/makmanalp/status/703216676763013121" TargetMode="External"/><Relationship Id="rId267" Type="http://schemas.openxmlformats.org/officeDocument/2006/relationships/hyperlink" Target="http://dlvr.it" TargetMode="External"/><Relationship Id="rId4003" Type="http://schemas.openxmlformats.org/officeDocument/2006/relationships/hyperlink" Target="https://pbs.twimg.com/profile_images/603310588190658560/6jLlKtr1_normal.png" TargetMode="External"/><Relationship Id="rId5337" Type="http://schemas.openxmlformats.org/officeDocument/2006/relationships/hyperlink" Target="https://pbs.twimg.com/profile_images/2813636657/599521f69e2bc210a57323b64d8e39e6_normal.jpeg" TargetMode="External"/><Relationship Id="rId6668" Type="http://schemas.openxmlformats.org/officeDocument/2006/relationships/hyperlink" Target="https://pbs.twimg.com/profile_images/702931311628034048/4euAzUSj_normal.jpg" TargetMode="External"/><Relationship Id="rId7998" Type="http://schemas.openxmlformats.org/officeDocument/2006/relationships/hyperlink" Target="https://twitter.com/makmanalp" TargetMode="External"/><Relationship Id="rId266" Type="http://schemas.openxmlformats.org/officeDocument/2006/relationships/hyperlink" Target="https://twitter.com/artwisanggeni/status/702790433991069697" TargetMode="External"/><Relationship Id="rId4006" Type="http://schemas.openxmlformats.org/officeDocument/2006/relationships/hyperlink" Target="https://pbs.twimg.com/profile_images/529449500130443264/WoxVNAeZ_normal.jpeg" TargetMode="External"/><Relationship Id="rId5334" Type="http://schemas.openxmlformats.org/officeDocument/2006/relationships/hyperlink" Target="https://twitter.com/artwisanggeni" TargetMode="External"/><Relationship Id="rId6665" Type="http://schemas.openxmlformats.org/officeDocument/2006/relationships/hyperlink" Target="https://pbs.twimg.com/profile_images/378800000861785800/uPxDTgv4_normal.jpeg" TargetMode="External"/><Relationship Id="rId7997" Type="http://schemas.openxmlformats.org/officeDocument/2006/relationships/hyperlink" Target="https://pbs.twimg.com/profile_images/701948459092410370/M-Rhg5_z_normal.jpg" TargetMode="External"/><Relationship Id="rId265" Type="http://schemas.openxmlformats.org/officeDocument/2006/relationships/hyperlink" Target="https://twitter.com/artwisanggeni" TargetMode="External"/><Relationship Id="rId4005" Type="http://schemas.openxmlformats.org/officeDocument/2006/relationships/hyperlink" Target="https://twitter.com/lisaannefloyd/status/702971524500819970" TargetMode="External"/><Relationship Id="rId5335" Type="http://schemas.openxmlformats.org/officeDocument/2006/relationships/hyperlink" Target="https://twitter.com/artwisanggeni/status/703045627135918080" TargetMode="External"/><Relationship Id="rId6666" Type="http://schemas.openxmlformats.org/officeDocument/2006/relationships/hyperlink" Target="https://twitter.com/SiphoMazibuko1" TargetMode="External"/><Relationship Id="rId7996" Type="http://schemas.openxmlformats.org/officeDocument/2006/relationships/hyperlink" Target="https://twitter.com/tonyjiazihu/status/703216617136779265" TargetMode="External"/><Relationship Id="rId5329" Type="http://schemas.openxmlformats.org/officeDocument/2006/relationships/hyperlink" Target="https://pbs.twimg.com/profile_images/2813636657/599521f69e2bc210a57323b64d8e39e6_normal.jpeg" TargetMode="External"/><Relationship Id="rId5327" Type="http://schemas.openxmlformats.org/officeDocument/2006/relationships/hyperlink" Target="https://twitter.com/artwisanggeni/status/703045616889278464" TargetMode="External"/><Relationship Id="rId6658" Type="http://schemas.openxmlformats.org/officeDocument/2006/relationships/hyperlink" Target="https://twitter.com/BigDataTweetBot/status/703137757661540352" TargetMode="External"/><Relationship Id="rId5328" Type="http://schemas.openxmlformats.org/officeDocument/2006/relationships/hyperlink" Target="http://dlvr.it" TargetMode="External"/><Relationship Id="rId6659" Type="http://schemas.openxmlformats.org/officeDocument/2006/relationships/hyperlink" Target="https://pbs.twimg.com/profile_images/616793252524650496/bQbxJqmz_normal.jpg" TargetMode="External"/><Relationship Id="rId7989" Type="http://schemas.openxmlformats.org/officeDocument/2006/relationships/hyperlink" Target="https://twitter.com/macasomedina" TargetMode="External"/><Relationship Id="rId260" Type="http://schemas.openxmlformats.org/officeDocument/2006/relationships/hyperlink" Target="https://twitter.com/ZEEFcom/status/702789132444110848" TargetMode="External"/><Relationship Id="rId259" Type="http://schemas.openxmlformats.org/officeDocument/2006/relationships/hyperlink" Target="https://twitter.com/ZEEFcom" TargetMode="External"/><Relationship Id="rId258" Type="http://schemas.openxmlformats.org/officeDocument/2006/relationships/hyperlink" Target="https://pbs.twimg.com/profile_images/695318352932249604/esfVe4Jv_normal.jpg" TargetMode="External"/><Relationship Id="rId7980" Type="http://schemas.openxmlformats.org/officeDocument/2006/relationships/hyperlink" Target="https://twitter.com/philjeffes" TargetMode="External"/><Relationship Id="rId253" Type="http://schemas.openxmlformats.org/officeDocument/2006/relationships/hyperlink" Target="https://twitter.com/Jodiroga" TargetMode="External"/><Relationship Id="rId5321" Type="http://schemas.openxmlformats.org/officeDocument/2006/relationships/hyperlink" Target="https://twitter.com/mattgratt/status/703043315487223808" TargetMode="External"/><Relationship Id="rId6652" Type="http://schemas.openxmlformats.org/officeDocument/2006/relationships/hyperlink" Target="https://twitter.com/GogoTraining/status/703137355339673602" TargetMode="External"/><Relationship Id="rId7984" Type="http://schemas.openxmlformats.org/officeDocument/2006/relationships/hyperlink" Target="https://twitter.com/catbaba/status/703216077040455680" TargetMode="External"/><Relationship Id="rId252" Type="http://schemas.openxmlformats.org/officeDocument/2006/relationships/hyperlink" Target="https://pbs.twimg.com/profile_images/698448827968327680/n_hCbL7N_normal.jpg" TargetMode="External"/><Relationship Id="rId5322" Type="http://schemas.openxmlformats.org/officeDocument/2006/relationships/hyperlink" Target="https://pbs.twimg.com/profile_images/570433125244743680/V6iEEWln_normal.jpeg" TargetMode="External"/><Relationship Id="rId6653" Type="http://schemas.openxmlformats.org/officeDocument/2006/relationships/hyperlink" Target="https://pbs.twimg.com/profile_images/1187010497/73x73-Latest_normal.png" TargetMode="External"/><Relationship Id="rId7983" Type="http://schemas.openxmlformats.org/officeDocument/2006/relationships/hyperlink" Target="https://twitter.com/catbaba" TargetMode="External"/><Relationship Id="rId251" Type="http://schemas.openxmlformats.org/officeDocument/2006/relationships/hyperlink" Target="https://twitter.com/FlorenTselai/status/702788363422670852" TargetMode="External"/><Relationship Id="rId6650" Type="http://schemas.openxmlformats.org/officeDocument/2006/relationships/hyperlink" Target="https://pbs.twimg.com/profile_images/3353165698/5e08bdb5d15d97c7c58c40a498898503_normal.jpeg" TargetMode="External"/><Relationship Id="rId7982" Type="http://schemas.openxmlformats.org/officeDocument/2006/relationships/hyperlink" Target="https://pbs.twimg.com/profile_images/679330923167522816/VO8otQfp_normal.jpg" TargetMode="External"/><Relationship Id="rId250" Type="http://schemas.openxmlformats.org/officeDocument/2006/relationships/hyperlink" Target="https://twitter.com/FlorenTselai" TargetMode="External"/><Relationship Id="rId5320" Type="http://schemas.openxmlformats.org/officeDocument/2006/relationships/hyperlink" Target="https://twitter.com/mattgratt" TargetMode="External"/><Relationship Id="rId6651" Type="http://schemas.openxmlformats.org/officeDocument/2006/relationships/hyperlink" Target="https://twitter.com/GogoTraining" TargetMode="External"/><Relationship Id="rId7981" Type="http://schemas.openxmlformats.org/officeDocument/2006/relationships/hyperlink" Target="https://twitter.com/philjeffes/status/703216031687417857" TargetMode="External"/><Relationship Id="rId257" Type="http://schemas.openxmlformats.org/officeDocument/2006/relationships/hyperlink" Target="https://twitter.com/muyiibidun/status/702788642956247040" TargetMode="External"/><Relationship Id="rId5325" Type="http://schemas.openxmlformats.org/officeDocument/2006/relationships/hyperlink" Target="https://pbs.twimg.com/profile_images/598640478657978368/PgSHeCsJ_normal.jpg" TargetMode="External"/><Relationship Id="rId6656" Type="http://schemas.openxmlformats.org/officeDocument/2006/relationships/hyperlink" Target="https://pbs.twimg.com/profile_images/649004216690675712/UAcrP6ol_normal.png" TargetMode="External"/><Relationship Id="rId7988" Type="http://schemas.openxmlformats.org/officeDocument/2006/relationships/hyperlink" Target="https://pbs.twimg.com/profile_images/1776406585/neko_normal.jpg" TargetMode="External"/><Relationship Id="rId256" Type="http://schemas.openxmlformats.org/officeDocument/2006/relationships/hyperlink" Target="https://twitter.com/muyiibidun" TargetMode="External"/><Relationship Id="rId5326" Type="http://schemas.openxmlformats.org/officeDocument/2006/relationships/hyperlink" Target="https://twitter.com/artwisanggeni" TargetMode="External"/><Relationship Id="rId6657" Type="http://schemas.openxmlformats.org/officeDocument/2006/relationships/hyperlink" Target="https://twitter.com/BigDataTweetBot" TargetMode="External"/><Relationship Id="rId7987" Type="http://schemas.openxmlformats.org/officeDocument/2006/relationships/hyperlink" Target="https://twitter.com/ujigis/status/703216159806492672" TargetMode="External"/><Relationship Id="rId255" Type="http://schemas.openxmlformats.org/officeDocument/2006/relationships/hyperlink" Target="https://pbs.twimg.com/profile_images/600345457794150402/tJ8SN3vY_normal.jpg" TargetMode="External"/><Relationship Id="rId5323" Type="http://schemas.openxmlformats.org/officeDocument/2006/relationships/hyperlink" Target="https://twitter.com/shakamunyi" TargetMode="External"/><Relationship Id="rId6654" Type="http://schemas.openxmlformats.org/officeDocument/2006/relationships/hyperlink" Target="https://twitter.com/art_control" TargetMode="External"/><Relationship Id="rId7986" Type="http://schemas.openxmlformats.org/officeDocument/2006/relationships/hyperlink" Target="https://twitter.com/ujigis" TargetMode="External"/><Relationship Id="rId254" Type="http://schemas.openxmlformats.org/officeDocument/2006/relationships/hyperlink" Target="https://twitter.com/Jodiroga/status/702788620340609024" TargetMode="External"/><Relationship Id="rId5324" Type="http://schemas.openxmlformats.org/officeDocument/2006/relationships/hyperlink" Target="https://twitter.com/shakamunyi/status/703045555119910912" TargetMode="External"/><Relationship Id="rId6655" Type="http://schemas.openxmlformats.org/officeDocument/2006/relationships/hyperlink" Target="https://twitter.com/art_control/status/703137651092664320" TargetMode="External"/><Relationship Id="rId7985" Type="http://schemas.openxmlformats.org/officeDocument/2006/relationships/hyperlink" Target="https://pbs.twimg.com/profile_images/588673078592409601/NmgpLkX5_normal.jpg" TargetMode="External"/><Relationship Id="rId4029" Type="http://schemas.openxmlformats.org/officeDocument/2006/relationships/hyperlink" Target="https://twitter.com/jamal_moir/status/702973347722690560" TargetMode="External"/><Relationship Id="rId293" Type="http://schemas.openxmlformats.org/officeDocument/2006/relationships/hyperlink" Target="https://twitter.com/mkamimura" TargetMode="External"/><Relationship Id="rId292" Type="http://schemas.openxmlformats.org/officeDocument/2006/relationships/hyperlink" Target="https://pbs.twimg.com/profile_images/572091631055028224/Pkx__FSB_normal.png" TargetMode="External"/><Relationship Id="rId291" Type="http://schemas.openxmlformats.org/officeDocument/2006/relationships/hyperlink" Target="https://twitter.com/cool_python/status/702792044180344833" TargetMode="External"/><Relationship Id="rId290" Type="http://schemas.openxmlformats.org/officeDocument/2006/relationships/hyperlink" Target="https://twitter.com/cool_python" TargetMode="External"/><Relationship Id="rId5350" Type="http://schemas.openxmlformats.org/officeDocument/2006/relationships/hyperlink" Target="https://twitter.com/RebeccaBilbro" TargetMode="External"/><Relationship Id="rId6681" Type="http://schemas.openxmlformats.org/officeDocument/2006/relationships/hyperlink" Target="https://twitter.com/HanseSecure" TargetMode="External"/><Relationship Id="rId5351" Type="http://schemas.openxmlformats.org/officeDocument/2006/relationships/hyperlink" Target="https://twitter.com/RebeccaBilbro/status/703046095795052545" TargetMode="External"/><Relationship Id="rId6682" Type="http://schemas.openxmlformats.org/officeDocument/2006/relationships/hyperlink" Target="https://twitter.com/HanseSecure/status/703141271326429185" TargetMode="External"/><Relationship Id="rId4020" Type="http://schemas.openxmlformats.org/officeDocument/2006/relationships/hyperlink" Target="https://twitter.com/AH_TeamBusiness/status/702973035482116096" TargetMode="External"/><Relationship Id="rId6680" Type="http://schemas.openxmlformats.org/officeDocument/2006/relationships/hyperlink" Target="https://pbs.twimg.com/profile_images/611686609407180800/hZKDoHLq_normal.jpg" TargetMode="External"/><Relationship Id="rId286" Type="http://schemas.openxmlformats.org/officeDocument/2006/relationships/hyperlink" Target="https://twitter.com/brobeur" TargetMode="External"/><Relationship Id="rId4022" Type="http://schemas.openxmlformats.org/officeDocument/2006/relationships/hyperlink" Target="https://twitter.com/LillianEdmiston" TargetMode="External"/><Relationship Id="rId5354" Type="http://schemas.openxmlformats.org/officeDocument/2006/relationships/hyperlink" Target="https://twitter.com/ash_bans/status/703046625472749568" TargetMode="External"/><Relationship Id="rId6685" Type="http://schemas.openxmlformats.org/officeDocument/2006/relationships/hyperlink" Target="https://twitter.com/NotTruppi/status/703142295311245312" TargetMode="External"/><Relationship Id="rId285" Type="http://schemas.openxmlformats.org/officeDocument/2006/relationships/hyperlink" Target="https://pbs.twimg.com/profile_images/698371768269021185/NWsl5goW_normal.png" TargetMode="External"/><Relationship Id="rId4021" Type="http://schemas.openxmlformats.org/officeDocument/2006/relationships/hyperlink" Target="https://pbs.twimg.com/profile_images/502422274314895362/yxmXXcnq_normal.jpeg" TargetMode="External"/><Relationship Id="rId5355" Type="http://schemas.openxmlformats.org/officeDocument/2006/relationships/hyperlink" Target="https://pbs.twimg.com/profile_images/524639821700923392/TOrxwTbp_normal.jpeg" TargetMode="External"/><Relationship Id="rId6686" Type="http://schemas.openxmlformats.org/officeDocument/2006/relationships/hyperlink" Target="https://pbs.twimg.com/profile_images/609413283934773248/sw-fXmfQ_normal.jpg" TargetMode="External"/><Relationship Id="rId284" Type="http://schemas.openxmlformats.org/officeDocument/2006/relationships/hyperlink" Target="https://twitter.com/NeuvooNewYork0/status/702791570635022336" TargetMode="External"/><Relationship Id="rId4024" Type="http://schemas.openxmlformats.org/officeDocument/2006/relationships/hyperlink" Target="https://pbs.twimg.com/profile_images/655014978101993476/ZpsnJW8B_normal.jpg" TargetMode="External"/><Relationship Id="rId5352" Type="http://schemas.openxmlformats.org/officeDocument/2006/relationships/hyperlink" Target="https://pbs.twimg.com/profile_images/593206975070085122/vQuaf1KM_normal.jpg" TargetMode="External"/><Relationship Id="rId6683" Type="http://schemas.openxmlformats.org/officeDocument/2006/relationships/hyperlink" Target="https://pbs.twimg.com/profile_images/684401803648233472/yNxDpQZB_normal.jpg" TargetMode="External"/><Relationship Id="rId283" Type="http://schemas.openxmlformats.org/officeDocument/2006/relationships/hyperlink" Target="https://twitter.com/NeuvooNewYork0" TargetMode="External"/><Relationship Id="rId4023" Type="http://schemas.openxmlformats.org/officeDocument/2006/relationships/hyperlink" Target="https://twitter.com/LillianEdmiston/status/702973287920443396" TargetMode="External"/><Relationship Id="rId5353" Type="http://schemas.openxmlformats.org/officeDocument/2006/relationships/hyperlink" Target="https://twitter.com/ash_bans" TargetMode="External"/><Relationship Id="rId6684" Type="http://schemas.openxmlformats.org/officeDocument/2006/relationships/hyperlink" Target="https://twitter.com/NotTruppi" TargetMode="External"/><Relationship Id="rId4026" Type="http://schemas.openxmlformats.org/officeDocument/2006/relationships/hyperlink" Target="https://twitter.com/J0hnWeb/status/702973294190833664" TargetMode="External"/><Relationship Id="rId5358" Type="http://schemas.openxmlformats.org/officeDocument/2006/relationships/hyperlink" Target="https://pbs.twimg.com/profile_images/1858911325/AvatarIcon_normal.jpg" TargetMode="External"/><Relationship Id="rId6689" Type="http://schemas.openxmlformats.org/officeDocument/2006/relationships/hyperlink" Target="https://pbs.twimg.com/profile_images/628733919282745345/Nhm3X3iC_normal.png" TargetMode="External"/><Relationship Id="rId289" Type="http://schemas.openxmlformats.org/officeDocument/2006/relationships/hyperlink" Target="https://pbs.twimg.com/profile_images/487211737284739072/HBzP949-_normal.png" TargetMode="External"/><Relationship Id="rId4025" Type="http://schemas.openxmlformats.org/officeDocument/2006/relationships/hyperlink" Target="https://twitter.com/J0hnWeb" TargetMode="External"/><Relationship Id="rId5359" Type="http://schemas.openxmlformats.org/officeDocument/2006/relationships/hyperlink" Target="https://twitter.com/di3mus" TargetMode="External"/><Relationship Id="rId288" Type="http://schemas.openxmlformats.org/officeDocument/2006/relationships/hyperlink" Target="https://twitter.com/brobeur/status/702791756241362944" TargetMode="External"/><Relationship Id="rId4028" Type="http://schemas.openxmlformats.org/officeDocument/2006/relationships/hyperlink" Target="https://twitter.com/jamal_moir" TargetMode="External"/><Relationship Id="rId5356" Type="http://schemas.openxmlformats.org/officeDocument/2006/relationships/hyperlink" Target="https://twitter.com/elbaschid" TargetMode="External"/><Relationship Id="rId6687" Type="http://schemas.openxmlformats.org/officeDocument/2006/relationships/hyperlink" Target="https://twitter.com/py_nsk" TargetMode="External"/><Relationship Id="rId287" Type="http://schemas.openxmlformats.org/officeDocument/2006/relationships/hyperlink" Target="http://BroBeur.com" TargetMode="External"/><Relationship Id="rId4027" Type="http://schemas.openxmlformats.org/officeDocument/2006/relationships/hyperlink" Target="https://pbs.twimg.com/profile_images/654070637502185472/c3nPe-Fn_normal.jpg" TargetMode="External"/><Relationship Id="rId5357" Type="http://schemas.openxmlformats.org/officeDocument/2006/relationships/hyperlink" Target="https://twitter.com/elbaschid/status/703047006005035008" TargetMode="External"/><Relationship Id="rId6688" Type="http://schemas.openxmlformats.org/officeDocument/2006/relationships/hyperlink" Target="https://twitter.com/py_nsk/status/703142407047516160" TargetMode="External"/><Relationship Id="rId4019" Type="http://schemas.openxmlformats.org/officeDocument/2006/relationships/hyperlink" Target="https://twitter.com/AH_TeamBusiness" TargetMode="External"/><Relationship Id="rId4018" Type="http://schemas.openxmlformats.org/officeDocument/2006/relationships/hyperlink" Target="https://pbs.twimg.com/profile_images/499257180009529344/CSWhr7LZ_normal.jpeg" TargetMode="External"/><Relationship Id="rId5349" Type="http://schemas.openxmlformats.org/officeDocument/2006/relationships/hyperlink" Target="https://pbs.twimg.com/profile_images/679566117187145728/UUo30Zpm_normal.jpg" TargetMode="External"/><Relationship Id="rId282" Type="http://schemas.openxmlformats.org/officeDocument/2006/relationships/hyperlink" Target="https://pbs.twimg.com/profile_images/649004216690675712/UAcrP6ol_normal.png" TargetMode="External"/><Relationship Id="rId281" Type="http://schemas.openxmlformats.org/officeDocument/2006/relationships/hyperlink" Target="https://twitter.com/art_control/status/702791486501462016" TargetMode="External"/><Relationship Id="rId280" Type="http://schemas.openxmlformats.org/officeDocument/2006/relationships/hyperlink" Target="https://twitter.com/art_control" TargetMode="External"/><Relationship Id="rId6670" Type="http://schemas.openxmlformats.org/officeDocument/2006/relationships/hyperlink" Target="https://twitter.com/mikegrimshaw2/status/703140478066098176" TargetMode="External"/><Relationship Id="rId5340" Type="http://schemas.openxmlformats.org/officeDocument/2006/relationships/hyperlink" Target="https://abs.twimg.com/sticky/default_profile_images/default_profile_4_normal.png" TargetMode="External"/><Relationship Id="rId6671" Type="http://schemas.openxmlformats.org/officeDocument/2006/relationships/hyperlink" Target="https://pbs.twimg.com/profile_images/611686609407180800/hZKDoHLq_normal.jpg" TargetMode="External"/><Relationship Id="rId275" Type="http://schemas.openxmlformats.org/officeDocument/2006/relationships/hyperlink" Target="http://dlvr.it" TargetMode="External"/><Relationship Id="rId4011" Type="http://schemas.openxmlformats.org/officeDocument/2006/relationships/hyperlink" Target="https://twitter.com/RubenGB_/status/702972238396530688" TargetMode="External"/><Relationship Id="rId5343" Type="http://schemas.openxmlformats.org/officeDocument/2006/relationships/hyperlink" Target="https://pbs.twimg.com/profile_images/534179664013443072/sdaOtqas_normal.png" TargetMode="External"/><Relationship Id="rId6674" Type="http://schemas.openxmlformats.org/officeDocument/2006/relationships/hyperlink" Target="https://pbs.twimg.com/profile_images/676725138067480577/wGPUaJUR_normal.jpg" TargetMode="External"/><Relationship Id="rId274" Type="http://schemas.openxmlformats.org/officeDocument/2006/relationships/hyperlink" Target="https://twitter.com/artwisanggeni/status/702790440928477184" TargetMode="External"/><Relationship Id="rId4010" Type="http://schemas.openxmlformats.org/officeDocument/2006/relationships/hyperlink" Target="https://twitter.com/RubenGB_" TargetMode="External"/><Relationship Id="rId5344" Type="http://schemas.openxmlformats.org/officeDocument/2006/relationships/hyperlink" Target="https://twitter.com/SkinCareShare" TargetMode="External"/><Relationship Id="rId6675" Type="http://schemas.openxmlformats.org/officeDocument/2006/relationships/hyperlink" Target="https://twitter.com/importpython" TargetMode="External"/><Relationship Id="rId273" Type="http://schemas.openxmlformats.org/officeDocument/2006/relationships/hyperlink" Target="https://twitter.com/artwisanggeni" TargetMode="External"/><Relationship Id="rId4013" Type="http://schemas.openxmlformats.org/officeDocument/2006/relationships/hyperlink" Target="https://twitter.com/sweetsnipergun" TargetMode="External"/><Relationship Id="rId5341" Type="http://schemas.openxmlformats.org/officeDocument/2006/relationships/hyperlink" Target="https://twitter.com/RockyRiverGame" TargetMode="External"/><Relationship Id="rId6672" Type="http://schemas.openxmlformats.org/officeDocument/2006/relationships/hyperlink" Target="https://twitter.com/DModel3" TargetMode="External"/><Relationship Id="rId272" Type="http://schemas.openxmlformats.org/officeDocument/2006/relationships/hyperlink" Target="https://pbs.twimg.com/profile_images/2813636657/599521f69e2bc210a57323b64d8e39e6_normal.jpeg" TargetMode="External"/><Relationship Id="rId4012" Type="http://schemas.openxmlformats.org/officeDocument/2006/relationships/hyperlink" Target="https://pbs.twimg.com/profile_images/483373106816643072/Ij_Kefr5_normal.jpeg" TargetMode="External"/><Relationship Id="rId5342" Type="http://schemas.openxmlformats.org/officeDocument/2006/relationships/hyperlink" Target="https://twitter.com/RockyRiverGame/status/703045956456075264" TargetMode="External"/><Relationship Id="rId6673" Type="http://schemas.openxmlformats.org/officeDocument/2006/relationships/hyperlink" Target="https://twitter.com/DModel3/status/703140516477607936" TargetMode="External"/><Relationship Id="rId279" Type="http://schemas.openxmlformats.org/officeDocument/2006/relationships/hyperlink" Target="https://pbs.twimg.com/profile_images/686377891911745536/AQFu2YWO_normal.png" TargetMode="External"/><Relationship Id="rId4015" Type="http://schemas.openxmlformats.org/officeDocument/2006/relationships/hyperlink" Target="https://pbs.twimg.com/profile_images/702683386243104768/wWaQWSJL_normal.jpg" TargetMode="External"/><Relationship Id="rId5347" Type="http://schemas.openxmlformats.org/officeDocument/2006/relationships/hyperlink" Target="https://twitter.com/startechwall" TargetMode="External"/><Relationship Id="rId6678" Type="http://schemas.openxmlformats.org/officeDocument/2006/relationships/hyperlink" Target="https://twitter.com/mikegrimshaw2" TargetMode="External"/><Relationship Id="rId278" Type="http://schemas.openxmlformats.org/officeDocument/2006/relationships/hyperlink" Target="https://twitter.com/tdsnet2015/status/702790657274843140" TargetMode="External"/><Relationship Id="rId4014" Type="http://schemas.openxmlformats.org/officeDocument/2006/relationships/hyperlink" Target="https://twitter.com/sweetsnipergun/status/702972408563691520" TargetMode="External"/><Relationship Id="rId5348" Type="http://schemas.openxmlformats.org/officeDocument/2006/relationships/hyperlink" Target="https://twitter.com/startechwall/status/703045994620067840" TargetMode="External"/><Relationship Id="rId6679" Type="http://schemas.openxmlformats.org/officeDocument/2006/relationships/hyperlink" Target="https://twitter.com/mikegrimshaw2/status/703140742315638784" TargetMode="External"/><Relationship Id="rId277" Type="http://schemas.openxmlformats.org/officeDocument/2006/relationships/hyperlink" Target="https://twitter.com/tdsnet2015" TargetMode="External"/><Relationship Id="rId4017" Type="http://schemas.openxmlformats.org/officeDocument/2006/relationships/hyperlink" Target="https://twitter.com/NoSQLDigest/status/702972965558702080" TargetMode="External"/><Relationship Id="rId5345" Type="http://schemas.openxmlformats.org/officeDocument/2006/relationships/hyperlink" Target="https://twitter.com/SkinCareShare/status/703045962772647938" TargetMode="External"/><Relationship Id="rId6676" Type="http://schemas.openxmlformats.org/officeDocument/2006/relationships/hyperlink" Target="https://twitter.com/importpython/status/703140540502536192" TargetMode="External"/><Relationship Id="rId276" Type="http://schemas.openxmlformats.org/officeDocument/2006/relationships/hyperlink" Target="https://pbs.twimg.com/profile_images/2813636657/599521f69e2bc210a57323b64d8e39e6_normal.jpeg" TargetMode="External"/><Relationship Id="rId4016" Type="http://schemas.openxmlformats.org/officeDocument/2006/relationships/hyperlink" Target="https://twitter.com/NoSQLDigest" TargetMode="External"/><Relationship Id="rId5346" Type="http://schemas.openxmlformats.org/officeDocument/2006/relationships/hyperlink" Target="https://pbs.twimg.com/profile_images/474311405894914050/VbkGjV_I_normal.jpeg" TargetMode="External"/><Relationship Id="rId6677" Type="http://schemas.openxmlformats.org/officeDocument/2006/relationships/hyperlink" Target="https://pbs.twimg.com/profile_images/518108253121552384/ClpFqPbX_normal.png" TargetMode="External"/><Relationship Id="rId1851" Type="http://schemas.openxmlformats.org/officeDocument/2006/relationships/hyperlink" Target="https://twitter.com/startechwall/status/702883819418984448" TargetMode="External"/><Relationship Id="rId1852" Type="http://schemas.openxmlformats.org/officeDocument/2006/relationships/hyperlink" Target="https://pbs.twimg.com/profile_images/679566117187145728/UUo30Zpm_normal.jpg" TargetMode="External"/><Relationship Id="rId1853" Type="http://schemas.openxmlformats.org/officeDocument/2006/relationships/hyperlink" Target="https://twitter.com/fernandogrd" TargetMode="External"/><Relationship Id="rId1854" Type="http://schemas.openxmlformats.org/officeDocument/2006/relationships/hyperlink" Target="https://twitter.com/fernandogrd/status/702883937295532032" TargetMode="External"/><Relationship Id="rId1855" Type="http://schemas.openxmlformats.org/officeDocument/2006/relationships/hyperlink" Target="https://pbs.twimg.com/profile_images/485629866335678464/auOtBhCj_normal.jpeg" TargetMode="External"/><Relationship Id="rId1856" Type="http://schemas.openxmlformats.org/officeDocument/2006/relationships/hyperlink" Target="https://twitter.com/computerbastard" TargetMode="External"/><Relationship Id="rId1857" Type="http://schemas.openxmlformats.org/officeDocument/2006/relationships/hyperlink" Target="https://twitter.com/computerbastard/status/702884013757833216" TargetMode="External"/><Relationship Id="rId1858" Type="http://schemas.openxmlformats.org/officeDocument/2006/relationships/hyperlink" Target="https://pbs.twimg.com/profile_images/536357647646089216/KsisinzR_normal.jpeg" TargetMode="External"/><Relationship Id="rId1859" Type="http://schemas.openxmlformats.org/officeDocument/2006/relationships/hyperlink" Target="https://twitter.com/nenodias" TargetMode="External"/><Relationship Id="rId1850" Type="http://schemas.openxmlformats.org/officeDocument/2006/relationships/hyperlink" Target="https://twitter.com/startechwall" TargetMode="External"/><Relationship Id="rId1840" Type="http://schemas.openxmlformats.org/officeDocument/2006/relationships/hyperlink" Target="https://pbs.twimg.com/profile_images/2658701563/6ab340f8e50e5a5470f0ce013fdc1b9f_normal.jpeg" TargetMode="External"/><Relationship Id="rId1841" Type="http://schemas.openxmlformats.org/officeDocument/2006/relationships/hyperlink" Target="https://twitter.com/taniapaz" TargetMode="External"/><Relationship Id="rId1842" Type="http://schemas.openxmlformats.org/officeDocument/2006/relationships/hyperlink" Target="https://twitter.com/taniapaz/status/702883253053726720" TargetMode="External"/><Relationship Id="rId1843" Type="http://schemas.openxmlformats.org/officeDocument/2006/relationships/hyperlink" Target="https://pbs.twimg.com/profile_images/2289120803/klh434t6fs1svswctb5u_normal.jpeg" TargetMode="External"/><Relationship Id="rId1844" Type="http://schemas.openxmlformats.org/officeDocument/2006/relationships/hyperlink" Target="https://twitter.com/SVAM_mx" TargetMode="External"/><Relationship Id="rId1845" Type="http://schemas.openxmlformats.org/officeDocument/2006/relationships/hyperlink" Target="https://twitter.com/SVAM_mx/status/702883541869170688" TargetMode="External"/><Relationship Id="rId1846" Type="http://schemas.openxmlformats.org/officeDocument/2006/relationships/hyperlink" Target="https://pbs.twimg.com/profile_images/646792218653536260/XSfRxTDm_normal.png" TargetMode="External"/><Relationship Id="rId1847" Type="http://schemas.openxmlformats.org/officeDocument/2006/relationships/hyperlink" Target="https://twitter.com/AdamSmitht1" TargetMode="External"/><Relationship Id="rId1848" Type="http://schemas.openxmlformats.org/officeDocument/2006/relationships/hyperlink" Target="https://twitter.com/AdamSmitht1/status/702883618939670529" TargetMode="External"/><Relationship Id="rId1849" Type="http://schemas.openxmlformats.org/officeDocument/2006/relationships/hyperlink" Target="https://pbs.twimg.com/profile_images/671623862916812800/yGsDKiP4_normal.jpg" TargetMode="External"/><Relationship Id="rId1873" Type="http://schemas.openxmlformats.org/officeDocument/2006/relationships/hyperlink" Target="https://twitter.com/fireTVstickman/status/702884448942080001" TargetMode="External"/><Relationship Id="rId1874" Type="http://schemas.openxmlformats.org/officeDocument/2006/relationships/hyperlink" Target="https://pbs.twimg.com/profile_images/694941865372680194/rkInZX9X_normal.jpg" TargetMode="External"/><Relationship Id="rId1875" Type="http://schemas.openxmlformats.org/officeDocument/2006/relationships/hyperlink" Target="https://twitter.com/Brian_JobheroIO" TargetMode="External"/><Relationship Id="rId1876" Type="http://schemas.openxmlformats.org/officeDocument/2006/relationships/hyperlink" Target="https://twitter.com/Brian_JobheroIO/status/702884570421547008" TargetMode="External"/><Relationship Id="rId1877" Type="http://schemas.openxmlformats.org/officeDocument/2006/relationships/hyperlink" Target="https://pbs.twimg.com/profile_images/698551894801666048/7Xo8vJou_normal.png" TargetMode="External"/><Relationship Id="rId1878" Type="http://schemas.openxmlformats.org/officeDocument/2006/relationships/hyperlink" Target="https://twitter.com/JasonHo48020000" TargetMode="External"/><Relationship Id="rId1879" Type="http://schemas.openxmlformats.org/officeDocument/2006/relationships/hyperlink" Target="https://twitter.com/JasonHo48020000/status/702884941831385088" TargetMode="External"/><Relationship Id="rId1870" Type="http://schemas.openxmlformats.org/officeDocument/2006/relationships/hyperlink" Target="https://twitter.com/ErSanyamKhurana/status/702884404691992576" TargetMode="External"/><Relationship Id="rId1871" Type="http://schemas.openxmlformats.org/officeDocument/2006/relationships/hyperlink" Target="https://pbs.twimg.com/profile_images/555298484169891840/MYeazQTb_normal.jpeg" TargetMode="External"/><Relationship Id="rId1872" Type="http://schemas.openxmlformats.org/officeDocument/2006/relationships/hyperlink" Target="https://twitter.com/fireTVstickman" TargetMode="External"/><Relationship Id="rId1862" Type="http://schemas.openxmlformats.org/officeDocument/2006/relationships/hyperlink" Target="https://pbs.twimg.com/profile_images/532708212550549505/VEEjtFq7_normal.png" TargetMode="External"/><Relationship Id="rId1863" Type="http://schemas.openxmlformats.org/officeDocument/2006/relationships/hyperlink" Target="https://twitter.com/cesarnogCPS" TargetMode="External"/><Relationship Id="rId1864" Type="http://schemas.openxmlformats.org/officeDocument/2006/relationships/hyperlink" Target="https://twitter.com/cesarnogCPS/status/702884356210233344" TargetMode="External"/><Relationship Id="rId1865" Type="http://schemas.openxmlformats.org/officeDocument/2006/relationships/hyperlink" Target="https://pbs.twimg.com/profile_images/682455128805359617/r4Be4Yll_normal.jpg" TargetMode="External"/><Relationship Id="rId1866" Type="http://schemas.openxmlformats.org/officeDocument/2006/relationships/hyperlink" Target="https://twitter.com/cesarnogCPS" TargetMode="External"/><Relationship Id="rId1867" Type="http://schemas.openxmlformats.org/officeDocument/2006/relationships/hyperlink" Target="https://twitter.com/cesarnogCPS/status/702884357917306881" TargetMode="External"/><Relationship Id="rId1868" Type="http://schemas.openxmlformats.org/officeDocument/2006/relationships/hyperlink" Target="https://pbs.twimg.com/profile_images/682455128805359617/r4Be4Yll_normal.jpg" TargetMode="External"/><Relationship Id="rId1869" Type="http://schemas.openxmlformats.org/officeDocument/2006/relationships/hyperlink" Target="https://twitter.com/ErSanyamKhurana" TargetMode="External"/><Relationship Id="rId1860" Type="http://schemas.openxmlformats.org/officeDocument/2006/relationships/hyperlink" Target="https://twitter.com/nenodias/status/702884171367194624" TargetMode="External"/><Relationship Id="rId1861" Type="http://schemas.openxmlformats.org/officeDocument/2006/relationships/hyperlink" Target="http://t.co/hktLs3F2xG" TargetMode="External"/><Relationship Id="rId1810" Type="http://schemas.openxmlformats.org/officeDocument/2006/relationships/hyperlink" Target="https://pbs.twimg.com/profile_images/616793252524650496/bQbxJqmz_normal.jpg" TargetMode="External"/><Relationship Id="rId1811" Type="http://schemas.openxmlformats.org/officeDocument/2006/relationships/hyperlink" Target="https://twitter.com/BigDataTweetBot" TargetMode="External"/><Relationship Id="rId1812" Type="http://schemas.openxmlformats.org/officeDocument/2006/relationships/hyperlink" Target="https://twitter.com/BigDataTweetBot/status/702881090080526336" TargetMode="External"/><Relationship Id="rId1813" Type="http://schemas.openxmlformats.org/officeDocument/2006/relationships/hyperlink" Target="https://pbs.twimg.com/profile_images/616793252524650496/bQbxJqmz_normal.jpg" TargetMode="External"/><Relationship Id="rId1814" Type="http://schemas.openxmlformats.org/officeDocument/2006/relationships/hyperlink" Target="https://twitter.com/NoSQLDigest" TargetMode="External"/><Relationship Id="rId1815" Type="http://schemas.openxmlformats.org/officeDocument/2006/relationships/hyperlink" Target="https://twitter.com/NoSQLDigest/status/702881391332106240" TargetMode="External"/><Relationship Id="rId1816" Type="http://schemas.openxmlformats.org/officeDocument/2006/relationships/hyperlink" Target="https://pbs.twimg.com/profile_images/499257180009529344/CSWhr7LZ_normal.jpeg" TargetMode="External"/><Relationship Id="rId1817" Type="http://schemas.openxmlformats.org/officeDocument/2006/relationships/hyperlink" Target="https://twitter.com/JoshuaLongUK" TargetMode="External"/><Relationship Id="rId1818" Type="http://schemas.openxmlformats.org/officeDocument/2006/relationships/hyperlink" Target="https://twitter.com/JoshuaLongUK/status/702881581640380417" TargetMode="External"/><Relationship Id="rId1819" Type="http://schemas.openxmlformats.org/officeDocument/2006/relationships/hyperlink" Target="https://pbs.twimg.com/profile_images/627996138403168256/DaASdgVr_normal.jpg" TargetMode="External"/><Relationship Id="rId4080" Type="http://schemas.openxmlformats.org/officeDocument/2006/relationships/hyperlink" Target="https://twitter.com/BatBlue/status/702976623646216192" TargetMode="External"/><Relationship Id="rId4082" Type="http://schemas.openxmlformats.org/officeDocument/2006/relationships/hyperlink" Target="https://twitter.com/ggibach" TargetMode="External"/><Relationship Id="rId4081" Type="http://schemas.openxmlformats.org/officeDocument/2006/relationships/hyperlink" Target="https://pbs.twimg.com/profile_images/634037428404285440/g-giFkxq_normal.jpg" TargetMode="External"/><Relationship Id="rId4084" Type="http://schemas.openxmlformats.org/officeDocument/2006/relationships/hyperlink" Target="https://pbs.twimg.com/profile_images/622092267633774593/rojU5lYp_normal.jpg" TargetMode="External"/><Relationship Id="rId4083" Type="http://schemas.openxmlformats.org/officeDocument/2006/relationships/hyperlink" Target="https://twitter.com/ggibach/status/702976625420451844" TargetMode="External"/><Relationship Id="rId4086" Type="http://schemas.openxmlformats.org/officeDocument/2006/relationships/hyperlink" Target="https://twitter.com/bpasdar/status/702976627341463552" TargetMode="External"/><Relationship Id="rId4085" Type="http://schemas.openxmlformats.org/officeDocument/2006/relationships/hyperlink" Target="https://twitter.com/bpasdar" TargetMode="External"/><Relationship Id="rId4088" Type="http://schemas.openxmlformats.org/officeDocument/2006/relationships/hyperlink" Target="https://twitter.com/AnalyticsVidhya" TargetMode="External"/><Relationship Id="rId4087" Type="http://schemas.openxmlformats.org/officeDocument/2006/relationships/hyperlink" Target="https://pbs.twimg.com/profile_images/3665422590/0b411a4aafe3c81d4459f3074400b13e_normal.jpeg" TargetMode="External"/><Relationship Id="rId4089" Type="http://schemas.openxmlformats.org/officeDocument/2006/relationships/hyperlink" Target="https://twitter.com/AnalyticsVidhya/status/702976634664722436" TargetMode="External"/><Relationship Id="rId1800" Type="http://schemas.openxmlformats.org/officeDocument/2006/relationships/hyperlink" Target="http://dlvr.it" TargetMode="External"/><Relationship Id="rId1801" Type="http://schemas.openxmlformats.org/officeDocument/2006/relationships/hyperlink" Target="https://pbs.twimg.com/profile_images/2813636657/599521f69e2bc210a57323b64d8e39e6_normal.jpeg" TargetMode="External"/><Relationship Id="rId1802" Type="http://schemas.openxmlformats.org/officeDocument/2006/relationships/hyperlink" Target="https://twitter.com/PyBloggers" TargetMode="External"/><Relationship Id="rId1803" Type="http://schemas.openxmlformats.org/officeDocument/2006/relationships/hyperlink" Target="https://twitter.com/PyBloggers/status/702880952595382272" TargetMode="External"/><Relationship Id="rId1804" Type="http://schemas.openxmlformats.org/officeDocument/2006/relationships/hyperlink" Target="https://pbs.twimg.com/profile_images/682279186690621441/VjBmfdfj_normal.png" TargetMode="External"/><Relationship Id="rId1805" Type="http://schemas.openxmlformats.org/officeDocument/2006/relationships/hyperlink" Target="https://twitter.com/cocoacoda" TargetMode="External"/><Relationship Id="rId1806" Type="http://schemas.openxmlformats.org/officeDocument/2006/relationships/hyperlink" Target="https://twitter.com/cocoacoda/status/702880979803840512" TargetMode="External"/><Relationship Id="rId1807" Type="http://schemas.openxmlformats.org/officeDocument/2006/relationships/hyperlink" Target="https://pbs.twimg.com/profile_images/452064440687423488/nbwrKTwP_normal.jpeg" TargetMode="External"/><Relationship Id="rId1808" Type="http://schemas.openxmlformats.org/officeDocument/2006/relationships/hyperlink" Target="https://twitter.com/BigDataTweetBot" TargetMode="External"/><Relationship Id="rId1809" Type="http://schemas.openxmlformats.org/officeDocument/2006/relationships/hyperlink" Target="https://twitter.com/BigDataTweetBot/status/702881021180715008" TargetMode="External"/><Relationship Id="rId4071" Type="http://schemas.openxmlformats.org/officeDocument/2006/relationships/hyperlink" Target="https://twitter.com/omadson/status/702976420507721728" TargetMode="External"/><Relationship Id="rId4070" Type="http://schemas.openxmlformats.org/officeDocument/2006/relationships/hyperlink" Target="https://twitter.com/omadson" TargetMode="External"/><Relationship Id="rId4073" Type="http://schemas.openxmlformats.org/officeDocument/2006/relationships/hyperlink" Target="https://twitter.com/3DprintedTL" TargetMode="External"/><Relationship Id="rId4072" Type="http://schemas.openxmlformats.org/officeDocument/2006/relationships/hyperlink" Target="https://pbs.twimg.com/profile_images/685223250062917633/s6j2LZE3_normal.jpg" TargetMode="External"/><Relationship Id="rId4075" Type="http://schemas.openxmlformats.org/officeDocument/2006/relationships/hyperlink" Target="https://pbs.twimg.com/profile_images/694424077205794818/kVQpOccC_normal.jpg" TargetMode="External"/><Relationship Id="rId4074" Type="http://schemas.openxmlformats.org/officeDocument/2006/relationships/hyperlink" Target="https://twitter.com/3DprintedTL/status/702976476824514561" TargetMode="External"/><Relationship Id="rId4077" Type="http://schemas.openxmlformats.org/officeDocument/2006/relationships/hyperlink" Target="https://twitter.com/mdf200/status/702976621037428736" TargetMode="External"/><Relationship Id="rId4076" Type="http://schemas.openxmlformats.org/officeDocument/2006/relationships/hyperlink" Target="https://twitter.com/mdf200" TargetMode="External"/><Relationship Id="rId4079" Type="http://schemas.openxmlformats.org/officeDocument/2006/relationships/hyperlink" Target="https://twitter.com/BatBlue" TargetMode="External"/><Relationship Id="rId4078" Type="http://schemas.openxmlformats.org/officeDocument/2006/relationships/hyperlink" Target="https://pbs.twimg.com/profile_images/636894475072114690/TN_qIbvC_normal.png" TargetMode="External"/><Relationship Id="rId1830" Type="http://schemas.openxmlformats.org/officeDocument/2006/relationships/hyperlink" Target="https://twitter.com/journocode/status/702882942591344640" TargetMode="External"/><Relationship Id="rId1831" Type="http://schemas.openxmlformats.org/officeDocument/2006/relationships/hyperlink" Target="https://pbs.twimg.com/profile_images/663285524162048000/leUzJIIa_normal.png" TargetMode="External"/><Relationship Id="rId1832" Type="http://schemas.openxmlformats.org/officeDocument/2006/relationships/hyperlink" Target="https://twitter.com/gutomaia" TargetMode="External"/><Relationship Id="rId1833" Type="http://schemas.openxmlformats.org/officeDocument/2006/relationships/hyperlink" Target="https://twitter.com/gutomaia/status/702882967748808704" TargetMode="External"/><Relationship Id="rId1834" Type="http://schemas.openxmlformats.org/officeDocument/2006/relationships/hyperlink" Target="https://pbs.twimg.com/profile_images/2865594572/ef3de590b0e66bbf2ac644bd130e8424_normal.png" TargetMode="External"/><Relationship Id="rId1835" Type="http://schemas.openxmlformats.org/officeDocument/2006/relationships/hyperlink" Target="https://twitter.com/kushaldas" TargetMode="External"/><Relationship Id="rId1836" Type="http://schemas.openxmlformats.org/officeDocument/2006/relationships/hyperlink" Target="https://twitter.com/kushaldas/status/702883148124782593" TargetMode="External"/><Relationship Id="rId1837" Type="http://schemas.openxmlformats.org/officeDocument/2006/relationships/hyperlink" Target="https://pbs.twimg.com/profile_images/378800000439503621/12205794bfa45a4cadf3ba91bcc59ca8_normal.jpeg" TargetMode="External"/><Relationship Id="rId1838" Type="http://schemas.openxmlformats.org/officeDocument/2006/relationships/hyperlink" Target="https://twitter.com/davefugate" TargetMode="External"/><Relationship Id="rId1839" Type="http://schemas.openxmlformats.org/officeDocument/2006/relationships/hyperlink" Target="https://twitter.com/davefugate/status/702883173626093568" TargetMode="External"/><Relationship Id="rId1820" Type="http://schemas.openxmlformats.org/officeDocument/2006/relationships/hyperlink" Target="https://twitter.com/BrWhoCode" TargetMode="External"/><Relationship Id="rId1821" Type="http://schemas.openxmlformats.org/officeDocument/2006/relationships/hyperlink" Target="https://twitter.com/BrWhoCode/status/702882625858510848" TargetMode="External"/><Relationship Id="rId1822" Type="http://schemas.openxmlformats.org/officeDocument/2006/relationships/hyperlink" Target="https://pbs.twimg.com/profile_images/524445931291168768/k61oMa6e_normal.png" TargetMode="External"/><Relationship Id="rId1823" Type="http://schemas.openxmlformats.org/officeDocument/2006/relationships/hyperlink" Target="https://twitter.com/wcmckeedotcom" TargetMode="External"/><Relationship Id="rId1824" Type="http://schemas.openxmlformats.org/officeDocument/2006/relationships/hyperlink" Target="https://twitter.com/wcmckeedotcom/status/702882741566763008" TargetMode="External"/><Relationship Id="rId1825" Type="http://schemas.openxmlformats.org/officeDocument/2006/relationships/hyperlink" Target="https://pbs.twimg.com/profile_images/621211385746161664/tGchJstD_normal.jpg" TargetMode="External"/><Relationship Id="rId1826" Type="http://schemas.openxmlformats.org/officeDocument/2006/relationships/hyperlink" Target="https://twitter.com/NfNitLoop" TargetMode="External"/><Relationship Id="rId1827" Type="http://schemas.openxmlformats.org/officeDocument/2006/relationships/hyperlink" Target="https://twitter.com/NfNitLoop/status/702882836727070720" TargetMode="External"/><Relationship Id="rId1828" Type="http://schemas.openxmlformats.org/officeDocument/2006/relationships/hyperlink" Target="https://pbs.twimg.com/profile_images/3468865037/378ed7002d36972fd6e42aa85246ba3d_normal.png" TargetMode="External"/><Relationship Id="rId1829" Type="http://schemas.openxmlformats.org/officeDocument/2006/relationships/hyperlink" Target="https://twitter.com/journocode" TargetMode="External"/><Relationship Id="rId4091" Type="http://schemas.openxmlformats.org/officeDocument/2006/relationships/hyperlink" Target="https://twitter.com/esvhd" TargetMode="External"/><Relationship Id="rId4090" Type="http://schemas.openxmlformats.org/officeDocument/2006/relationships/hyperlink" Target="https://pbs.twimg.com/profile_images/457775762108448768/XmO2C1-E_normal.png" TargetMode="External"/><Relationship Id="rId4093" Type="http://schemas.openxmlformats.org/officeDocument/2006/relationships/hyperlink" Target="https://pbs.twimg.com/profile_images/680782859259490305/RmsOsBNy_normal.jpg" TargetMode="External"/><Relationship Id="rId4092" Type="http://schemas.openxmlformats.org/officeDocument/2006/relationships/hyperlink" Target="https://twitter.com/esvhd/status/702976635973332998" TargetMode="External"/><Relationship Id="rId4095" Type="http://schemas.openxmlformats.org/officeDocument/2006/relationships/hyperlink" Target="https://twitter.com/Hostxido/status/702976812356399105" TargetMode="External"/><Relationship Id="rId4094" Type="http://schemas.openxmlformats.org/officeDocument/2006/relationships/hyperlink" Target="https://twitter.com/Hostxido" TargetMode="External"/><Relationship Id="rId4097" Type="http://schemas.openxmlformats.org/officeDocument/2006/relationships/hyperlink" Target="https://twitter.com/mthipparthi" TargetMode="External"/><Relationship Id="rId4096" Type="http://schemas.openxmlformats.org/officeDocument/2006/relationships/hyperlink" Target="https://pbs.twimg.com/profile_images/2722042695/dae07433e4737bfe801edd312504579b_normal.jpeg" TargetMode="External"/><Relationship Id="rId4099" Type="http://schemas.openxmlformats.org/officeDocument/2006/relationships/hyperlink" Target="https://abs.twimg.com/sticky/default_profile_images/default_profile_3_normal.png" TargetMode="External"/><Relationship Id="rId4098" Type="http://schemas.openxmlformats.org/officeDocument/2006/relationships/hyperlink" Target="https://twitter.com/mthipparthi/status/702976813434208256" TargetMode="External"/><Relationship Id="rId1895" Type="http://schemas.openxmlformats.org/officeDocument/2006/relationships/hyperlink" Target="https://pbs.twimg.com/profile_images/626083290500497408/OIYCE0tO_normal.jpg" TargetMode="External"/><Relationship Id="rId1896" Type="http://schemas.openxmlformats.org/officeDocument/2006/relationships/hyperlink" Target="https://twitter.com/mjjacko" TargetMode="External"/><Relationship Id="rId1897" Type="http://schemas.openxmlformats.org/officeDocument/2006/relationships/hyperlink" Target="https://twitter.com/mjjacko/status/702885283058987008" TargetMode="External"/><Relationship Id="rId1898" Type="http://schemas.openxmlformats.org/officeDocument/2006/relationships/hyperlink" Target="https://pbs.twimg.com/profile_images/605072073895997441/W_g0G9fU_normal.png" TargetMode="External"/><Relationship Id="rId1899" Type="http://schemas.openxmlformats.org/officeDocument/2006/relationships/hyperlink" Target="https://twitter.com/HartwigMicheal" TargetMode="External"/><Relationship Id="rId1890" Type="http://schemas.openxmlformats.org/officeDocument/2006/relationships/hyperlink" Target="https://twitter.com/LPSComputing" TargetMode="External"/><Relationship Id="rId1891" Type="http://schemas.openxmlformats.org/officeDocument/2006/relationships/hyperlink" Target="https://twitter.com/LPSComputing/status/702885108018237440" TargetMode="External"/><Relationship Id="rId1892" Type="http://schemas.openxmlformats.org/officeDocument/2006/relationships/hyperlink" Target="https://pbs.twimg.com/profile_images/507566608769122304/6tsxczX5_normal.jpeg" TargetMode="External"/><Relationship Id="rId1893" Type="http://schemas.openxmlformats.org/officeDocument/2006/relationships/hyperlink" Target="https://twitter.com/5alowerplace" TargetMode="External"/><Relationship Id="rId1894" Type="http://schemas.openxmlformats.org/officeDocument/2006/relationships/hyperlink" Target="https://twitter.com/5alowerplace/status/702885256496553985" TargetMode="External"/><Relationship Id="rId1884" Type="http://schemas.openxmlformats.org/officeDocument/2006/relationships/hyperlink" Target="https://twitter.com/CJSaws" TargetMode="External"/><Relationship Id="rId1885" Type="http://schemas.openxmlformats.org/officeDocument/2006/relationships/hyperlink" Target="https://twitter.com/CJSaws/status/702884990271422464" TargetMode="External"/><Relationship Id="rId1886" Type="http://schemas.openxmlformats.org/officeDocument/2006/relationships/hyperlink" Target="https://pbs.twimg.com/profile_images/688212877962903553/sWhwJ1Fb_normal.jpg" TargetMode="External"/><Relationship Id="rId1887" Type="http://schemas.openxmlformats.org/officeDocument/2006/relationships/hyperlink" Target="https://twitter.com/pydigest" TargetMode="External"/><Relationship Id="rId1888" Type="http://schemas.openxmlformats.org/officeDocument/2006/relationships/hyperlink" Target="https://twitter.com/pydigest/status/702885093732392961" TargetMode="External"/><Relationship Id="rId1889" Type="http://schemas.openxmlformats.org/officeDocument/2006/relationships/hyperlink" Target="https://pbs.twimg.com/profile_images/475228702922387457/6gYeuqxD_normal.jpeg" TargetMode="External"/><Relationship Id="rId1880" Type="http://schemas.openxmlformats.org/officeDocument/2006/relationships/hyperlink" Target="https://pbs.twimg.com/profile_images/664676385139638272/kiJRP5c8_normal.jpg" TargetMode="External"/><Relationship Id="rId1881" Type="http://schemas.openxmlformats.org/officeDocument/2006/relationships/hyperlink" Target="https://twitter.com/LorenaABarba" TargetMode="External"/><Relationship Id="rId1882" Type="http://schemas.openxmlformats.org/officeDocument/2006/relationships/hyperlink" Target="https://twitter.com/LorenaABarba/status/702884984667766784" TargetMode="External"/><Relationship Id="rId1883" Type="http://schemas.openxmlformats.org/officeDocument/2006/relationships/hyperlink" Target="https://pbs.twimg.com/profile_images/1870376708/Barba-Lorena-2011a-square_normal.png" TargetMode="External"/><Relationship Id="rId5417" Type="http://schemas.openxmlformats.org/officeDocument/2006/relationships/hyperlink" Target="https://twitter.com/artwisanggeni/status/703053413110558721" TargetMode="External"/><Relationship Id="rId6748" Type="http://schemas.openxmlformats.org/officeDocument/2006/relationships/hyperlink" Target="https://pbs.twimg.com/profile_images/699651059669737476/x-7zFMg__normal.png" TargetMode="External"/><Relationship Id="rId5418" Type="http://schemas.openxmlformats.org/officeDocument/2006/relationships/hyperlink" Target="http://dlvr.it" TargetMode="External"/><Relationship Id="rId6749" Type="http://schemas.openxmlformats.org/officeDocument/2006/relationships/hyperlink" Target="https://twitter.com/dstarod" TargetMode="External"/><Relationship Id="rId5415" Type="http://schemas.openxmlformats.org/officeDocument/2006/relationships/hyperlink" Target="https://pbs.twimg.com/profile_images/2813636657/599521f69e2bc210a57323b64d8e39e6_normal.jpeg" TargetMode="External"/><Relationship Id="rId6746" Type="http://schemas.openxmlformats.org/officeDocument/2006/relationships/hyperlink" Target="https://twitter.com/Dublin_TJobs" TargetMode="External"/><Relationship Id="rId5416" Type="http://schemas.openxmlformats.org/officeDocument/2006/relationships/hyperlink" Target="https://twitter.com/artwisanggeni" TargetMode="External"/><Relationship Id="rId6747" Type="http://schemas.openxmlformats.org/officeDocument/2006/relationships/hyperlink" Target="https://twitter.com/Dublin_TJobs/status/703147207042576385" TargetMode="External"/><Relationship Id="rId5419" Type="http://schemas.openxmlformats.org/officeDocument/2006/relationships/hyperlink" Target="https://pbs.twimg.com/profile_images/2813636657/599521f69e2bc210a57323b64d8e39e6_normal.jpeg" TargetMode="External"/><Relationship Id="rId228" Type="http://schemas.openxmlformats.org/officeDocument/2006/relationships/hyperlink" Target="https://pbs.twimg.com/profile_images/662602436222193664/qKuvsfnG_normal.jpg" TargetMode="External"/><Relationship Id="rId227" Type="http://schemas.openxmlformats.org/officeDocument/2006/relationships/hyperlink" Target="https://twitter.com/programmingncr/status/702786650435403776" TargetMode="External"/><Relationship Id="rId226" Type="http://schemas.openxmlformats.org/officeDocument/2006/relationships/hyperlink" Target="https://twitter.com/programmingncr" TargetMode="External"/><Relationship Id="rId225" Type="http://schemas.openxmlformats.org/officeDocument/2006/relationships/hyperlink" Target="https://pbs.twimg.com/profile_images/640949770069102592/R0MfPjdL_normal.jpg" TargetMode="External"/><Relationship Id="rId229" Type="http://schemas.openxmlformats.org/officeDocument/2006/relationships/hyperlink" Target="https://twitter.com/programmingncr" TargetMode="External"/><Relationship Id="rId220" Type="http://schemas.openxmlformats.org/officeDocument/2006/relationships/hyperlink" Target="https://twitter.com/cclai999" TargetMode="External"/><Relationship Id="rId6740" Type="http://schemas.openxmlformats.org/officeDocument/2006/relationships/hyperlink" Target="https://twitter.com/pydigest" TargetMode="External"/><Relationship Id="rId5410" Type="http://schemas.openxmlformats.org/officeDocument/2006/relationships/hyperlink" Target="http://dlvr.it" TargetMode="External"/><Relationship Id="rId6741" Type="http://schemas.openxmlformats.org/officeDocument/2006/relationships/hyperlink" Target="https://twitter.com/pydigest/status/703145532537987072" TargetMode="External"/><Relationship Id="rId224" Type="http://schemas.openxmlformats.org/officeDocument/2006/relationships/hyperlink" Target="https://twitter.com/MorrisAcademy2/status/702786402371641345" TargetMode="External"/><Relationship Id="rId5413" Type="http://schemas.openxmlformats.org/officeDocument/2006/relationships/hyperlink" Target="https://twitter.com/artwisanggeni/status/703053410371637248" TargetMode="External"/><Relationship Id="rId6744" Type="http://schemas.openxmlformats.org/officeDocument/2006/relationships/hyperlink" Target="https://twitter.com/streaming10/status/703146105081495553" TargetMode="External"/><Relationship Id="rId223" Type="http://schemas.openxmlformats.org/officeDocument/2006/relationships/hyperlink" Target="https://twitter.com/MorrisAcademy2" TargetMode="External"/><Relationship Id="rId5414" Type="http://schemas.openxmlformats.org/officeDocument/2006/relationships/hyperlink" Target="http://dlvr.it" TargetMode="External"/><Relationship Id="rId6745" Type="http://schemas.openxmlformats.org/officeDocument/2006/relationships/hyperlink" Target="https://pbs.twimg.com/profile_images/565142655718686720/PSVo53jB_normal.jpeg" TargetMode="External"/><Relationship Id="rId222" Type="http://schemas.openxmlformats.org/officeDocument/2006/relationships/hyperlink" Target="https://pbs.twimg.com/profile_images/524123896782409728/ufH2Q-Q4_normal.jpeg" TargetMode="External"/><Relationship Id="rId5411" Type="http://schemas.openxmlformats.org/officeDocument/2006/relationships/hyperlink" Target="https://pbs.twimg.com/profile_images/2813636657/599521f69e2bc210a57323b64d8e39e6_normal.jpeg" TargetMode="External"/><Relationship Id="rId6742" Type="http://schemas.openxmlformats.org/officeDocument/2006/relationships/hyperlink" Target="https://pbs.twimg.com/profile_images/475228702922387457/6gYeuqxD_normal.jpeg" TargetMode="External"/><Relationship Id="rId221" Type="http://schemas.openxmlformats.org/officeDocument/2006/relationships/hyperlink" Target="https://twitter.com/cclai999/status/702786308410777600" TargetMode="External"/><Relationship Id="rId5412" Type="http://schemas.openxmlformats.org/officeDocument/2006/relationships/hyperlink" Target="https://twitter.com/artwisanggeni" TargetMode="External"/><Relationship Id="rId6743" Type="http://schemas.openxmlformats.org/officeDocument/2006/relationships/hyperlink" Target="https://twitter.com/streaming10" TargetMode="External"/><Relationship Id="rId5406" Type="http://schemas.openxmlformats.org/officeDocument/2006/relationships/hyperlink" Target="http://dlvr.it" TargetMode="External"/><Relationship Id="rId6737" Type="http://schemas.openxmlformats.org/officeDocument/2006/relationships/hyperlink" Target="https://twitter.com/LarryLiang2" TargetMode="External"/><Relationship Id="rId5407" Type="http://schemas.openxmlformats.org/officeDocument/2006/relationships/hyperlink" Target="https://pbs.twimg.com/profile_images/2813636657/599521f69e2bc210a57323b64d8e39e6_normal.jpeg" TargetMode="External"/><Relationship Id="rId6738" Type="http://schemas.openxmlformats.org/officeDocument/2006/relationships/hyperlink" Target="https://twitter.com/LarryLiang2/status/703145117561978882" TargetMode="External"/><Relationship Id="rId5404" Type="http://schemas.openxmlformats.org/officeDocument/2006/relationships/hyperlink" Target="https://twitter.com/artwisanggeni" TargetMode="External"/><Relationship Id="rId6735" Type="http://schemas.openxmlformats.org/officeDocument/2006/relationships/hyperlink" Target="https://twitter.com/SiliconArmada/status/703144999882399744" TargetMode="External"/><Relationship Id="rId5405" Type="http://schemas.openxmlformats.org/officeDocument/2006/relationships/hyperlink" Target="https://twitter.com/artwisanggeni/status/703053403472003072" TargetMode="External"/><Relationship Id="rId6736" Type="http://schemas.openxmlformats.org/officeDocument/2006/relationships/hyperlink" Target="https://pbs.twimg.com/profile_images/660839913970118656/5BS6sNCq_normal.png" TargetMode="External"/><Relationship Id="rId5408" Type="http://schemas.openxmlformats.org/officeDocument/2006/relationships/hyperlink" Target="https://twitter.com/artwisanggeni" TargetMode="External"/><Relationship Id="rId6739" Type="http://schemas.openxmlformats.org/officeDocument/2006/relationships/hyperlink" Target="https://pbs.twimg.com/profile_images/677803827379081216/4LamCR6b_normal.jpg" TargetMode="External"/><Relationship Id="rId5409" Type="http://schemas.openxmlformats.org/officeDocument/2006/relationships/hyperlink" Target="https://twitter.com/artwisanggeni/status/703053406949117952" TargetMode="External"/><Relationship Id="rId217" Type="http://schemas.openxmlformats.org/officeDocument/2006/relationships/hyperlink" Target="https://twitter.com/cool_python" TargetMode="External"/><Relationship Id="rId216" Type="http://schemas.openxmlformats.org/officeDocument/2006/relationships/hyperlink" Target="https://pbs.twimg.com/profile_images/1965442221/lr-stanford-wider_normal.jpg" TargetMode="External"/><Relationship Id="rId215" Type="http://schemas.openxmlformats.org/officeDocument/2006/relationships/hyperlink" Target="https://twitter.com/ramalhoorg/status/702786163988406272" TargetMode="External"/><Relationship Id="rId214" Type="http://schemas.openxmlformats.org/officeDocument/2006/relationships/hyperlink" Target="https://twitter.com/ramalhoorg" TargetMode="External"/><Relationship Id="rId219" Type="http://schemas.openxmlformats.org/officeDocument/2006/relationships/hyperlink" Target="https://pbs.twimg.com/profile_images/572091631055028224/Pkx__FSB_normal.png" TargetMode="External"/><Relationship Id="rId218" Type="http://schemas.openxmlformats.org/officeDocument/2006/relationships/hyperlink" Target="https://twitter.com/cool_python/status/702786300026482688" TargetMode="External"/><Relationship Id="rId6730" Type="http://schemas.openxmlformats.org/officeDocument/2006/relationships/hyperlink" Target="https://pbs.twimg.com/profile_images/378800000861785800/uPxDTgv4_normal.jpeg" TargetMode="External"/><Relationship Id="rId213" Type="http://schemas.openxmlformats.org/officeDocument/2006/relationships/hyperlink" Target="https://pbs.twimg.com/profile_images/617386896621182976/t50ecd9s_normal.jpg" TargetMode="External"/><Relationship Id="rId5402" Type="http://schemas.openxmlformats.org/officeDocument/2006/relationships/hyperlink" Target="http://dlvr.it" TargetMode="External"/><Relationship Id="rId6733" Type="http://schemas.openxmlformats.org/officeDocument/2006/relationships/hyperlink" Target="https://pbs.twimg.com/profile_images/701022461500895234/kbSch0bV_normal.png" TargetMode="External"/><Relationship Id="rId212" Type="http://schemas.openxmlformats.org/officeDocument/2006/relationships/hyperlink" Target="https://twitter.com/CloudNumNine/status/702785389287739393" TargetMode="External"/><Relationship Id="rId5403" Type="http://schemas.openxmlformats.org/officeDocument/2006/relationships/hyperlink" Target="https://pbs.twimg.com/profile_images/2813636657/599521f69e2bc210a57323b64d8e39e6_normal.jpeg" TargetMode="External"/><Relationship Id="rId6734" Type="http://schemas.openxmlformats.org/officeDocument/2006/relationships/hyperlink" Target="https://twitter.com/SiliconArmada" TargetMode="External"/><Relationship Id="rId211" Type="http://schemas.openxmlformats.org/officeDocument/2006/relationships/hyperlink" Target="https://twitter.com/CloudNumNine" TargetMode="External"/><Relationship Id="rId5400" Type="http://schemas.openxmlformats.org/officeDocument/2006/relationships/hyperlink" Target="https://twitter.com/artwisanggeni" TargetMode="External"/><Relationship Id="rId6731" Type="http://schemas.openxmlformats.org/officeDocument/2006/relationships/hyperlink" Target="https://twitter.com/coupon_udemy" TargetMode="External"/><Relationship Id="rId210" Type="http://schemas.openxmlformats.org/officeDocument/2006/relationships/hyperlink" Target="https://pbs.twimg.com/profile_images/577766423025573889/hFkOWr5f_normal.jpeg" TargetMode="External"/><Relationship Id="rId5401" Type="http://schemas.openxmlformats.org/officeDocument/2006/relationships/hyperlink" Target="https://twitter.com/artwisanggeni/status/703053399818792960" TargetMode="External"/><Relationship Id="rId6732" Type="http://schemas.openxmlformats.org/officeDocument/2006/relationships/hyperlink" Target="https://twitter.com/coupon_udemy/status/703144891711262720" TargetMode="External"/><Relationship Id="rId4107" Type="http://schemas.openxmlformats.org/officeDocument/2006/relationships/hyperlink" Target="https://pbs.twimg.com/profile_images/702455638157168640/AeDgtn0C_normal.jpg" TargetMode="External"/><Relationship Id="rId5439" Type="http://schemas.openxmlformats.org/officeDocument/2006/relationships/hyperlink" Target="https://pbs.twimg.com/profile_images/643779014268579840/bRJStj7A_normal.png" TargetMode="External"/><Relationship Id="rId4106" Type="http://schemas.openxmlformats.org/officeDocument/2006/relationships/hyperlink" Target="http://dlvr.it" TargetMode="External"/><Relationship Id="rId4109" Type="http://schemas.openxmlformats.org/officeDocument/2006/relationships/hyperlink" Target="https://twitter.com/trothaar/status/702977112182026241" TargetMode="External"/><Relationship Id="rId5437" Type="http://schemas.openxmlformats.org/officeDocument/2006/relationships/hyperlink" Target="https://twitter.com/StackDevJobs" TargetMode="External"/><Relationship Id="rId6768" Type="http://schemas.openxmlformats.org/officeDocument/2006/relationships/hyperlink" Target="https://twitter.com/cool_python" TargetMode="External"/><Relationship Id="rId4108" Type="http://schemas.openxmlformats.org/officeDocument/2006/relationships/hyperlink" Target="https://twitter.com/trothaar" TargetMode="External"/><Relationship Id="rId5438" Type="http://schemas.openxmlformats.org/officeDocument/2006/relationships/hyperlink" Target="https://twitter.com/StackDevJobs/status/703055216103575553" TargetMode="External"/><Relationship Id="rId6769" Type="http://schemas.openxmlformats.org/officeDocument/2006/relationships/hyperlink" Target="https://twitter.com/cool_python/status/703149022026969089" TargetMode="External"/><Relationship Id="rId249" Type="http://schemas.openxmlformats.org/officeDocument/2006/relationships/hyperlink" Target="https://pbs.twimg.com/profile_images/702455638157168640/AeDgtn0C_normal.jpg" TargetMode="External"/><Relationship Id="rId248" Type="http://schemas.openxmlformats.org/officeDocument/2006/relationships/hyperlink" Target="https://twitter.com/PythonBooks/status/702788349996564480" TargetMode="External"/><Relationship Id="rId247" Type="http://schemas.openxmlformats.org/officeDocument/2006/relationships/hyperlink" Target="https://twitter.com/PythonBooks" TargetMode="External"/><Relationship Id="rId242" Type="http://schemas.openxmlformats.org/officeDocument/2006/relationships/hyperlink" Target="https://twitter.com/Elenotes/status/702787537727782913" TargetMode="External"/><Relationship Id="rId5431" Type="http://schemas.openxmlformats.org/officeDocument/2006/relationships/hyperlink" Target="https://twitter.com/hideo_is" TargetMode="External"/><Relationship Id="rId6762" Type="http://schemas.openxmlformats.org/officeDocument/2006/relationships/hyperlink" Target="http://BroBeur.com" TargetMode="External"/><Relationship Id="rId241" Type="http://schemas.openxmlformats.org/officeDocument/2006/relationships/hyperlink" Target="https://twitter.com/Elenotes" TargetMode="External"/><Relationship Id="rId5432" Type="http://schemas.openxmlformats.org/officeDocument/2006/relationships/hyperlink" Target="https://twitter.com/hideo_is/status/703054950268416001" TargetMode="External"/><Relationship Id="rId6763" Type="http://schemas.openxmlformats.org/officeDocument/2006/relationships/hyperlink" Target="https://twitter.com/brobeur/status/703148227420246016" TargetMode="External"/><Relationship Id="rId240" Type="http://schemas.openxmlformats.org/officeDocument/2006/relationships/hyperlink" Target="https://pbs.twimg.com/profile_images/702455638157168640/AeDgtn0C_normal.jpg" TargetMode="External"/><Relationship Id="rId4101" Type="http://schemas.openxmlformats.org/officeDocument/2006/relationships/hyperlink" Target="https://twitter.com/PythonBooks/status/702977005583622144" TargetMode="External"/><Relationship Id="rId6760" Type="http://schemas.openxmlformats.org/officeDocument/2006/relationships/hyperlink" Target="https://pbs.twimg.com/profile_images/699810062752059393/NQQfSM9g_normal.jpg" TargetMode="External"/><Relationship Id="rId4100" Type="http://schemas.openxmlformats.org/officeDocument/2006/relationships/hyperlink" Target="https://twitter.com/PythonBooks" TargetMode="External"/><Relationship Id="rId5430" Type="http://schemas.openxmlformats.org/officeDocument/2006/relationships/hyperlink" Target="https://pbs.twimg.com/profile_images/544034757730779136/-jOL7GnN_normal.jpeg" TargetMode="External"/><Relationship Id="rId6761" Type="http://schemas.openxmlformats.org/officeDocument/2006/relationships/hyperlink" Target="https://twitter.com/brobeur" TargetMode="External"/><Relationship Id="rId246" Type="http://schemas.openxmlformats.org/officeDocument/2006/relationships/hyperlink" Target="https://pbs.twimg.com/profile_images/1840345615/MPC-swadow-square_mini_normal.JPG" TargetMode="External"/><Relationship Id="rId4103" Type="http://schemas.openxmlformats.org/officeDocument/2006/relationships/hyperlink" Target="https://pbs.twimg.com/profile_images/702455638157168640/AeDgtn0C_normal.jpg" TargetMode="External"/><Relationship Id="rId5435" Type="http://schemas.openxmlformats.org/officeDocument/2006/relationships/hyperlink" Target="https://twitter.com/abosio/status/703055094036692992" TargetMode="External"/><Relationship Id="rId6766" Type="http://schemas.openxmlformats.org/officeDocument/2006/relationships/hyperlink" Target="https://twitter.com/py3k/status/703148733513355264" TargetMode="External"/><Relationship Id="rId245" Type="http://schemas.openxmlformats.org/officeDocument/2006/relationships/hyperlink" Target="https://twitter.com/mmmmmmpc/status/702788255633244161" TargetMode="External"/><Relationship Id="rId4102" Type="http://schemas.openxmlformats.org/officeDocument/2006/relationships/hyperlink" Target="http://dlvr.it" TargetMode="External"/><Relationship Id="rId5436" Type="http://schemas.openxmlformats.org/officeDocument/2006/relationships/hyperlink" Target="https://pbs.twimg.com/profile_images/492098864724197376/sdnqNE9o_normal.jpeg" TargetMode="External"/><Relationship Id="rId6767" Type="http://schemas.openxmlformats.org/officeDocument/2006/relationships/hyperlink" Target="https://pbs.twimg.com/profile_images/2474433856/p075cerxh0arpea6ceip_normal.png" TargetMode="External"/><Relationship Id="rId244" Type="http://schemas.openxmlformats.org/officeDocument/2006/relationships/hyperlink" Target="https://twitter.com/mmmmmmpc" TargetMode="External"/><Relationship Id="rId4105" Type="http://schemas.openxmlformats.org/officeDocument/2006/relationships/hyperlink" Target="https://twitter.com/PythonBooks/status/702977007223635968" TargetMode="External"/><Relationship Id="rId5433" Type="http://schemas.openxmlformats.org/officeDocument/2006/relationships/hyperlink" Target="https://abs.twimg.com/sticky/default_profile_images/default_profile_4_normal.png" TargetMode="External"/><Relationship Id="rId6764" Type="http://schemas.openxmlformats.org/officeDocument/2006/relationships/hyperlink" Target="https://pbs.twimg.com/profile_images/487211737284739072/HBzP949-_normal.png" TargetMode="External"/><Relationship Id="rId243" Type="http://schemas.openxmlformats.org/officeDocument/2006/relationships/hyperlink" Target="https://pbs.twimg.com/profile_images/504858028060213248/0CIcZzLT_normal.jpeg" TargetMode="External"/><Relationship Id="rId4104" Type="http://schemas.openxmlformats.org/officeDocument/2006/relationships/hyperlink" Target="https://twitter.com/PythonBooks" TargetMode="External"/><Relationship Id="rId5434" Type="http://schemas.openxmlformats.org/officeDocument/2006/relationships/hyperlink" Target="https://twitter.com/abosio" TargetMode="External"/><Relationship Id="rId6765" Type="http://schemas.openxmlformats.org/officeDocument/2006/relationships/hyperlink" Target="https://twitter.com/py3k" TargetMode="External"/><Relationship Id="rId5428" Type="http://schemas.openxmlformats.org/officeDocument/2006/relationships/hyperlink" Target="https://twitter.com/javascriptd" TargetMode="External"/><Relationship Id="rId6759" Type="http://schemas.openxmlformats.org/officeDocument/2006/relationships/hyperlink" Target="https://twitter.com/javascriptSaBOT/status/703147804458258433" TargetMode="External"/><Relationship Id="rId5429" Type="http://schemas.openxmlformats.org/officeDocument/2006/relationships/hyperlink" Target="https://twitter.com/javascriptd/status/703054371278327808" TargetMode="External"/><Relationship Id="rId5426" Type="http://schemas.openxmlformats.org/officeDocument/2006/relationships/hyperlink" Target="http://dlvr.it" TargetMode="External"/><Relationship Id="rId6757" Type="http://schemas.openxmlformats.org/officeDocument/2006/relationships/hyperlink" Target="https://pbs.twimg.com/profile_images/507769924001878016/UsRwSg_A_normal.jpeg" TargetMode="External"/><Relationship Id="rId5427" Type="http://schemas.openxmlformats.org/officeDocument/2006/relationships/hyperlink" Target="https://pbs.twimg.com/profile_images/2813636657/599521f69e2bc210a57323b64d8e39e6_normal.jpeg" TargetMode="External"/><Relationship Id="rId6758" Type="http://schemas.openxmlformats.org/officeDocument/2006/relationships/hyperlink" Target="https://twitter.com/javascriptSaBOT" TargetMode="External"/><Relationship Id="rId239" Type="http://schemas.openxmlformats.org/officeDocument/2006/relationships/hyperlink" Target="https://twitter.com/PythonBooks/status/702786876168536064" TargetMode="External"/><Relationship Id="rId238" Type="http://schemas.openxmlformats.org/officeDocument/2006/relationships/hyperlink" Target="https://twitter.com/PythonBooks" TargetMode="External"/><Relationship Id="rId237" Type="http://schemas.openxmlformats.org/officeDocument/2006/relationships/hyperlink" Target="https://pbs.twimg.com/profile_images/417063929/250px-DrizztOmnibus.JPG_normal.jpg" TargetMode="External"/><Relationship Id="rId236" Type="http://schemas.openxmlformats.org/officeDocument/2006/relationships/hyperlink" Target="https://twitter.com/drizzt__dourden/status/702786811425329152" TargetMode="External"/><Relationship Id="rId231" Type="http://schemas.openxmlformats.org/officeDocument/2006/relationships/hyperlink" Target="https://pbs.twimg.com/profile_images/662602436222193664/qKuvsfnG_normal.jpg" TargetMode="External"/><Relationship Id="rId5420" Type="http://schemas.openxmlformats.org/officeDocument/2006/relationships/hyperlink" Target="https://twitter.com/artwisanggeni" TargetMode="External"/><Relationship Id="rId6751" Type="http://schemas.openxmlformats.org/officeDocument/2006/relationships/hyperlink" Target="https://pbs.twimg.com/profile_images/582558120532049920/9i7FfU1u_normal.png" TargetMode="External"/><Relationship Id="rId230" Type="http://schemas.openxmlformats.org/officeDocument/2006/relationships/hyperlink" Target="https://twitter.com/programmingncr/status/702786651702075392" TargetMode="External"/><Relationship Id="rId5421" Type="http://schemas.openxmlformats.org/officeDocument/2006/relationships/hyperlink" Target="https://twitter.com/artwisanggeni/status/703053416004657152" TargetMode="External"/><Relationship Id="rId6752" Type="http://schemas.openxmlformats.org/officeDocument/2006/relationships/hyperlink" Target="https://twitter.com/ameanmbot" TargetMode="External"/><Relationship Id="rId6750" Type="http://schemas.openxmlformats.org/officeDocument/2006/relationships/hyperlink" Target="https://twitter.com/dstarod/status/703147441298669568" TargetMode="External"/><Relationship Id="rId235" Type="http://schemas.openxmlformats.org/officeDocument/2006/relationships/hyperlink" Target="https://twitter.com/drizzt__dourden" TargetMode="External"/><Relationship Id="rId5424" Type="http://schemas.openxmlformats.org/officeDocument/2006/relationships/hyperlink" Target="https://twitter.com/artwisanggeni" TargetMode="External"/><Relationship Id="rId6755" Type="http://schemas.openxmlformats.org/officeDocument/2006/relationships/hyperlink" Target="https://twitter.com/RashmiRnSethy" TargetMode="External"/><Relationship Id="rId234" Type="http://schemas.openxmlformats.org/officeDocument/2006/relationships/hyperlink" Target="https://pbs.twimg.com/profile_images/702455638157168640/AeDgtn0C_normal.jpg" TargetMode="External"/><Relationship Id="rId5425" Type="http://schemas.openxmlformats.org/officeDocument/2006/relationships/hyperlink" Target="https://twitter.com/artwisanggeni/status/703053419141951488" TargetMode="External"/><Relationship Id="rId6756" Type="http://schemas.openxmlformats.org/officeDocument/2006/relationships/hyperlink" Target="https://twitter.com/RashmiRnSethy/status/703147593954521088" TargetMode="External"/><Relationship Id="rId233" Type="http://schemas.openxmlformats.org/officeDocument/2006/relationships/hyperlink" Target="https://twitter.com/PythonBooks/status/702786680281894912" TargetMode="External"/><Relationship Id="rId5422" Type="http://schemas.openxmlformats.org/officeDocument/2006/relationships/hyperlink" Target="http://dlvr.it" TargetMode="External"/><Relationship Id="rId6753" Type="http://schemas.openxmlformats.org/officeDocument/2006/relationships/hyperlink" Target="https://twitter.com/ameanmbot/status/703147449804652546" TargetMode="External"/><Relationship Id="rId232" Type="http://schemas.openxmlformats.org/officeDocument/2006/relationships/hyperlink" Target="https://twitter.com/PythonBooks" TargetMode="External"/><Relationship Id="rId5423" Type="http://schemas.openxmlformats.org/officeDocument/2006/relationships/hyperlink" Target="https://pbs.twimg.com/profile_images/2813636657/599521f69e2bc210a57323b64d8e39e6_normal.jpeg" TargetMode="External"/><Relationship Id="rId6754" Type="http://schemas.openxmlformats.org/officeDocument/2006/relationships/hyperlink" Target="https://pbs.twimg.com/profile_images/481334978161029120/iu3zZFEk_normal.png" TargetMode="External"/><Relationship Id="rId6704" Type="http://schemas.openxmlformats.org/officeDocument/2006/relationships/hyperlink" Target="https://twitter.com/sibilarecom" TargetMode="External"/><Relationship Id="rId6705" Type="http://schemas.openxmlformats.org/officeDocument/2006/relationships/hyperlink" Target="https://twitter.com/sibilarecom/status/703143222227304448" TargetMode="External"/><Relationship Id="rId6702" Type="http://schemas.openxmlformats.org/officeDocument/2006/relationships/hyperlink" Target="https://twitter.com/USaveoff/status/703143149879726082" TargetMode="External"/><Relationship Id="rId6703" Type="http://schemas.openxmlformats.org/officeDocument/2006/relationships/hyperlink" Target="https://pbs.twimg.com/profile_images/676277361394843648/S21MNCa1_normal.png" TargetMode="External"/><Relationship Id="rId6708" Type="http://schemas.openxmlformats.org/officeDocument/2006/relationships/hyperlink" Target="https://twitter.com/teacheraorg/status/703143238576635904" TargetMode="External"/><Relationship Id="rId6709" Type="http://schemas.openxmlformats.org/officeDocument/2006/relationships/hyperlink" Target="https://pbs.twimg.com/profile_images/667320241102454784/lcRdAWy6_normal.jpg" TargetMode="External"/><Relationship Id="rId6706" Type="http://schemas.openxmlformats.org/officeDocument/2006/relationships/hyperlink" Target="https://pbs.twimg.com/profile_images/521611221221380096/HgIeLsIk_normal.jpeg" TargetMode="External"/><Relationship Id="rId6707" Type="http://schemas.openxmlformats.org/officeDocument/2006/relationships/hyperlink" Target="https://twitter.com/teacheraorg" TargetMode="External"/><Relationship Id="rId6700" Type="http://schemas.openxmlformats.org/officeDocument/2006/relationships/hyperlink" Target="https://pbs.twimg.com/profile_images/2813636657/599521f69e2bc210a57323b64d8e39e6_normal.jpeg" TargetMode="External"/><Relationship Id="rId6701" Type="http://schemas.openxmlformats.org/officeDocument/2006/relationships/hyperlink" Target="https://twitter.com/USaveoff" TargetMode="External"/><Relationship Id="rId6726" Type="http://schemas.openxmlformats.org/officeDocument/2006/relationships/hyperlink" Target="https://twitter.com/DiscountUdemy/status/703144214331154436" TargetMode="External"/><Relationship Id="rId6727" Type="http://schemas.openxmlformats.org/officeDocument/2006/relationships/hyperlink" Target="https://pbs.twimg.com/profile_images/631747603625934849/2qLB-jZC_normal.jpg" TargetMode="External"/><Relationship Id="rId6724" Type="http://schemas.openxmlformats.org/officeDocument/2006/relationships/hyperlink" Target="https://pbs.twimg.com/profile_images/609579169471553536/Vvy6dSkC_normal.png" TargetMode="External"/><Relationship Id="rId6725" Type="http://schemas.openxmlformats.org/officeDocument/2006/relationships/hyperlink" Target="https://twitter.com/DiscountUdemy" TargetMode="External"/><Relationship Id="rId6728" Type="http://schemas.openxmlformats.org/officeDocument/2006/relationships/hyperlink" Target="https://twitter.com/Mork_66" TargetMode="External"/><Relationship Id="rId6729" Type="http://schemas.openxmlformats.org/officeDocument/2006/relationships/hyperlink" Target="https://twitter.com/Mork_66/status/703144354903257092" TargetMode="External"/><Relationship Id="rId206" Type="http://schemas.openxmlformats.org/officeDocument/2006/relationships/hyperlink" Target="https://twitter.com/CodeSportIO/status/702785204834824192" TargetMode="External"/><Relationship Id="rId205" Type="http://schemas.openxmlformats.org/officeDocument/2006/relationships/hyperlink" Target="https://twitter.com/CodeSportIO" TargetMode="External"/><Relationship Id="rId204" Type="http://schemas.openxmlformats.org/officeDocument/2006/relationships/hyperlink" Target="https://pbs.twimg.com/profile_images/993523587/mig21_normal.jpeg" TargetMode="External"/><Relationship Id="rId203" Type="http://schemas.openxmlformats.org/officeDocument/2006/relationships/hyperlink" Target="https://twitter.com/yapw/status/702784959707279362" TargetMode="External"/><Relationship Id="rId209" Type="http://schemas.openxmlformats.org/officeDocument/2006/relationships/hyperlink" Target="https://twitter.com/Shahor/status/702785288599441408" TargetMode="External"/><Relationship Id="rId208" Type="http://schemas.openxmlformats.org/officeDocument/2006/relationships/hyperlink" Target="https://twitter.com/Shahor" TargetMode="External"/><Relationship Id="rId207" Type="http://schemas.openxmlformats.org/officeDocument/2006/relationships/hyperlink" Target="https://pbs.twimg.com/profile_images/664911003805614080/lgGDxakw_normal.png" TargetMode="External"/><Relationship Id="rId202" Type="http://schemas.openxmlformats.org/officeDocument/2006/relationships/hyperlink" Target="https://twitter.com/yapw" TargetMode="External"/><Relationship Id="rId6722" Type="http://schemas.openxmlformats.org/officeDocument/2006/relationships/hyperlink" Target="https://twitter.com/udemy_koupon" TargetMode="External"/><Relationship Id="rId201" Type="http://schemas.openxmlformats.org/officeDocument/2006/relationships/hyperlink" Target="https://pbs.twimg.com/profile_images/598055666276663297/hSezgt1P_normal.png" TargetMode="External"/><Relationship Id="rId6723" Type="http://schemas.openxmlformats.org/officeDocument/2006/relationships/hyperlink" Target="https://twitter.com/udemy_koupon/status/703144157020188673" TargetMode="External"/><Relationship Id="rId200" Type="http://schemas.openxmlformats.org/officeDocument/2006/relationships/hyperlink" Target="https://twitter.com/Newskarnataka/status/702783415301464064" TargetMode="External"/><Relationship Id="rId6720" Type="http://schemas.openxmlformats.org/officeDocument/2006/relationships/hyperlink" Target="https://twitter.com/exonet3i/status/703143728169418753" TargetMode="External"/><Relationship Id="rId6721" Type="http://schemas.openxmlformats.org/officeDocument/2006/relationships/hyperlink" Target="https://pbs.twimg.com/profile_images/620650252870242305/1Wpl_CqG_normal.jpg" TargetMode="External"/><Relationship Id="rId6715" Type="http://schemas.openxmlformats.org/officeDocument/2006/relationships/hyperlink" Target="https://pbs.twimg.com/profile_images/583850259970822144/7EgtHLoT_normal.jpg" TargetMode="External"/><Relationship Id="rId6716" Type="http://schemas.openxmlformats.org/officeDocument/2006/relationships/hyperlink" Target="https://twitter.com/apkech" TargetMode="External"/><Relationship Id="rId6713" Type="http://schemas.openxmlformats.org/officeDocument/2006/relationships/hyperlink" Target="https://twitter.com/panseybard" TargetMode="External"/><Relationship Id="rId6714" Type="http://schemas.openxmlformats.org/officeDocument/2006/relationships/hyperlink" Target="https://twitter.com/panseybard/status/703143329970524160" TargetMode="External"/><Relationship Id="rId6719" Type="http://schemas.openxmlformats.org/officeDocument/2006/relationships/hyperlink" Target="https://twitter.com/exonet3i" TargetMode="External"/><Relationship Id="rId6717" Type="http://schemas.openxmlformats.org/officeDocument/2006/relationships/hyperlink" Target="https://twitter.com/apkech/status/703143482521616384" TargetMode="External"/><Relationship Id="rId6718" Type="http://schemas.openxmlformats.org/officeDocument/2006/relationships/hyperlink" Target="https://pbs.twimg.com/profile_images/702520190290890753/n6avRy9t_normal.png" TargetMode="External"/><Relationship Id="rId6711" Type="http://schemas.openxmlformats.org/officeDocument/2006/relationships/hyperlink" Target="https://twitter.com/anioko1/status/703143255387418624" TargetMode="External"/><Relationship Id="rId6712" Type="http://schemas.openxmlformats.org/officeDocument/2006/relationships/hyperlink" Target="https://pbs.twimg.com/profile_images/695642719948009474/s9J4OUA9_normal.jpg" TargetMode="External"/><Relationship Id="rId6710" Type="http://schemas.openxmlformats.org/officeDocument/2006/relationships/hyperlink" Target="https://twitter.com/anioko1" TargetMode="External"/><Relationship Id="rId5490" Type="http://schemas.openxmlformats.org/officeDocument/2006/relationships/hyperlink" Target="https://pbs.twimg.com/profile_images/689896417809141769/BnYiu-bd_normal.jpg" TargetMode="External"/><Relationship Id="rId4161" Type="http://schemas.openxmlformats.org/officeDocument/2006/relationships/hyperlink" Target="https://pbs.twimg.com/profile_images/702871246984355840/ITe_q_Xl_normal.jpg" TargetMode="External"/><Relationship Id="rId5493" Type="http://schemas.openxmlformats.org/officeDocument/2006/relationships/hyperlink" Target="https://pbs.twimg.com/profile_images/632225283471503360/uNl4hv-B_normal.jpg" TargetMode="External"/><Relationship Id="rId4160" Type="http://schemas.openxmlformats.org/officeDocument/2006/relationships/hyperlink" Target="https://twitter.com/tomsnode/status/702979320525017090" TargetMode="External"/><Relationship Id="rId5494" Type="http://schemas.openxmlformats.org/officeDocument/2006/relationships/hyperlink" Target="https://twitter.com/HarriSrivastav" TargetMode="External"/><Relationship Id="rId4163" Type="http://schemas.openxmlformats.org/officeDocument/2006/relationships/hyperlink" Target="https://twitter.com/technawidotnet/status/702979361520152576" TargetMode="External"/><Relationship Id="rId5491" Type="http://schemas.openxmlformats.org/officeDocument/2006/relationships/hyperlink" Target="https://twitter.com/atassn" TargetMode="External"/><Relationship Id="rId4162" Type="http://schemas.openxmlformats.org/officeDocument/2006/relationships/hyperlink" Target="https://twitter.com/technawidotnet" TargetMode="External"/><Relationship Id="rId5492" Type="http://schemas.openxmlformats.org/officeDocument/2006/relationships/hyperlink" Target="https://twitter.com/atassn/status/703059525440512001" TargetMode="External"/><Relationship Id="rId4165" Type="http://schemas.openxmlformats.org/officeDocument/2006/relationships/hyperlink" Target="https://twitter.com/marcorougeth" TargetMode="External"/><Relationship Id="rId5497" Type="http://schemas.openxmlformats.org/officeDocument/2006/relationships/hyperlink" Target="https://twitter.com/HandbagDivas" TargetMode="External"/><Relationship Id="rId4164" Type="http://schemas.openxmlformats.org/officeDocument/2006/relationships/hyperlink" Target="https://pbs.twimg.com/profile_images/451266500007981056/rz-s9BRc_normal.png" TargetMode="External"/><Relationship Id="rId5498" Type="http://schemas.openxmlformats.org/officeDocument/2006/relationships/hyperlink" Target="https://twitter.com/HandbagDivas/status/703059786032672768" TargetMode="External"/><Relationship Id="rId4167" Type="http://schemas.openxmlformats.org/officeDocument/2006/relationships/hyperlink" Target="https://pbs.twimg.com/profile_images/685185723000029184/rQxIJGmV_normal.jpg" TargetMode="External"/><Relationship Id="rId5495" Type="http://schemas.openxmlformats.org/officeDocument/2006/relationships/hyperlink" Target="https://twitter.com/HarriSrivastav/status/703059549104771073" TargetMode="External"/><Relationship Id="rId4166" Type="http://schemas.openxmlformats.org/officeDocument/2006/relationships/hyperlink" Target="https://twitter.com/marcorougeth/status/702979387021463552" TargetMode="External"/><Relationship Id="rId5496" Type="http://schemas.openxmlformats.org/officeDocument/2006/relationships/hyperlink" Target="https://pbs.twimg.com/profile_images/631722182180102145/d37Eq9sH_normal.jpg" TargetMode="External"/><Relationship Id="rId4169" Type="http://schemas.openxmlformats.org/officeDocument/2006/relationships/hyperlink" Target="https://twitter.com/DdR333/status/702979581003882496" TargetMode="External"/><Relationship Id="rId4168" Type="http://schemas.openxmlformats.org/officeDocument/2006/relationships/hyperlink" Target="https://twitter.com/DdR333" TargetMode="External"/><Relationship Id="rId5499" Type="http://schemas.openxmlformats.org/officeDocument/2006/relationships/hyperlink" Target="https://pbs.twimg.com/profile_images/3467815557/61b17c929f55ca0ffdd2b68209ea84d1_normal.jpeg" TargetMode="External"/><Relationship Id="rId4150" Type="http://schemas.openxmlformats.org/officeDocument/2006/relationships/hyperlink" Target="http://UltimateJobs.com" TargetMode="External"/><Relationship Id="rId5482" Type="http://schemas.openxmlformats.org/officeDocument/2006/relationships/hyperlink" Target="https://twitter.com/AndriiBekker" TargetMode="External"/><Relationship Id="rId5483" Type="http://schemas.openxmlformats.org/officeDocument/2006/relationships/hyperlink" Target="https://twitter.com/AndriiBekker/status/703057193243942913" TargetMode="External"/><Relationship Id="rId4152" Type="http://schemas.openxmlformats.org/officeDocument/2006/relationships/hyperlink" Target="https://pbs.twimg.com/profile_images/567802026864566272/il4Ew0zi_normal.jpeg" TargetMode="External"/><Relationship Id="rId5480" Type="http://schemas.openxmlformats.org/officeDocument/2006/relationships/hyperlink" Target="https://twitter.com/tiagoprn/status/703057034758000640" TargetMode="External"/><Relationship Id="rId4151" Type="http://schemas.openxmlformats.org/officeDocument/2006/relationships/hyperlink" Target="https://twitter.com/UltimateJobs/status/702979017889050624" TargetMode="External"/><Relationship Id="rId5481" Type="http://schemas.openxmlformats.org/officeDocument/2006/relationships/hyperlink" Target="https://pbs.twimg.com/profile_images/504068790368231424/Ae7n7Lxr_normal.jpeg" TargetMode="External"/><Relationship Id="rId4154" Type="http://schemas.openxmlformats.org/officeDocument/2006/relationships/hyperlink" Target="https://twitter.com/scott_abt/status/702979042337648640" TargetMode="External"/><Relationship Id="rId5486" Type="http://schemas.openxmlformats.org/officeDocument/2006/relationships/hyperlink" Target="https://twitter.com/MarkAllen_Tech/status/703057513080487936" TargetMode="External"/><Relationship Id="rId4153" Type="http://schemas.openxmlformats.org/officeDocument/2006/relationships/hyperlink" Target="https://twitter.com/scott_abt" TargetMode="External"/><Relationship Id="rId5487" Type="http://schemas.openxmlformats.org/officeDocument/2006/relationships/hyperlink" Target="https://pbs.twimg.com/profile_images/430812864970891264/ckv-YGMG_normal.jpeg" TargetMode="External"/><Relationship Id="rId4156" Type="http://schemas.openxmlformats.org/officeDocument/2006/relationships/hyperlink" Target="https://twitter.com/blackkolateral" TargetMode="External"/><Relationship Id="rId5484" Type="http://schemas.openxmlformats.org/officeDocument/2006/relationships/hyperlink" Target="https://pbs.twimg.com/profile_images/687648926422446080/SPytiYIL_normal.png" TargetMode="External"/><Relationship Id="rId4155" Type="http://schemas.openxmlformats.org/officeDocument/2006/relationships/hyperlink" Target="https://pbs.twimg.com/profile_images/682623756527779840/kAP0MJY8_normal.jpg" TargetMode="External"/><Relationship Id="rId5485" Type="http://schemas.openxmlformats.org/officeDocument/2006/relationships/hyperlink" Target="https://twitter.com/MarkAllen_Tech" TargetMode="External"/><Relationship Id="rId4158" Type="http://schemas.openxmlformats.org/officeDocument/2006/relationships/hyperlink" Target="https://pbs.twimg.com/profile_images/693113024232689664/zyTt3Gtv_normal.jpg" TargetMode="External"/><Relationship Id="rId4157" Type="http://schemas.openxmlformats.org/officeDocument/2006/relationships/hyperlink" Target="https://twitter.com/blackkolateral/status/702979299272306688" TargetMode="External"/><Relationship Id="rId5488" Type="http://schemas.openxmlformats.org/officeDocument/2006/relationships/hyperlink" Target="https://twitter.com/quantatrisk" TargetMode="External"/><Relationship Id="rId4159" Type="http://schemas.openxmlformats.org/officeDocument/2006/relationships/hyperlink" Target="https://twitter.com/tomsnode" TargetMode="External"/><Relationship Id="rId5489" Type="http://schemas.openxmlformats.org/officeDocument/2006/relationships/hyperlink" Target="https://twitter.com/quantatrisk/status/703058276552806400" TargetMode="External"/><Relationship Id="rId1910" Type="http://schemas.openxmlformats.org/officeDocument/2006/relationships/hyperlink" Target="http://Paper.li" TargetMode="External"/><Relationship Id="rId1911" Type="http://schemas.openxmlformats.org/officeDocument/2006/relationships/hyperlink" Target="https://pbs.twimg.com/profile_images/551118940626485248/HvInXw1o_normal.jpeg" TargetMode="External"/><Relationship Id="rId1912" Type="http://schemas.openxmlformats.org/officeDocument/2006/relationships/hyperlink" Target="https://twitter.com/cool_python" TargetMode="External"/><Relationship Id="rId1913" Type="http://schemas.openxmlformats.org/officeDocument/2006/relationships/hyperlink" Target="https://twitter.com/cool_python/status/702885675411116032" TargetMode="External"/><Relationship Id="rId1914" Type="http://schemas.openxmlformats.org/officeDocument/2006/relationships/hyperlink" Target="https://pbs.twimg.com/profile_images/572091631055028224/Pkx__FSB_normal.png" TargetMode="External"/><Relationship Id="rId1915" Type="http://schemas.openxmlformats.org/officeDocument/2006/relationships/hyperlink" Target="https://twitter.com/iPeo" TargetMode="External"/><Relationship Id="rId1916" Type="http://schemas.openxmlformats.org/officeDocument/2006/relationships/hyperlink" Target="https://twitter.com/iPeo/status/702885840289185792" TargetMode="External"/><Relationship Id="rId1917" Type="http://schemas.openxmlformats.org/officeDocument/2006/relationships/hyperlink" Target="https://pbs.twimg.com/profile_images/3569171052/5ad9f754c595580caee3870c59b63642_normal.jpeg" TargetMode="External"/><Relationship Id="rId1918" Type="http://schemas.openxmlformats.org/officeDocument/2006/relationships/hyperlink" Target="https://twitter.com/MTotolrahaman" TargetMode="External"/><Relationship Id="rId1919" Type="http://schemas.openxmlformats.org/officeDocument/2006/relationships/hyperlink" Target="https://twitter.com/MTotolrahaman/status/702885892357226496" TargetMode="External"/><Relationship Id="rId4181" Type="http://schemas.openxmlformats.org/officeDocument/2006/relationships/hyperlink" Target="https://pbs.twimg.com/profile_images/2813636657/599521f69e2bc210a57323b64d8e39e6_normal.jpeg" TargetMode="External"/><Relationship Id="rId4180" Type="http://schemas.openxmlformats.org/officeDocument/2006/relationships/hyperlink" Target="http://dlvr.it" TargetMode="External"/><Relationship Id="rId4183" Type="http://schemas.openxmlformats.org/officeDocument/2006/relationships/hyperlink" Target="https://twitter.com/artwisanggeni/status/702979686146519040" TargetMode="External"/><Relationship Id="rId4182" Type="http://schemas.openxmlformats.org/officeDocument/2006/relationships/hyperlink" Target="https://twitter.com/artwisanggeni" TargetMode="External"/><Relationship Id="rId4185" Type="http://schemas.openxmlformats.org/officeDocument/2006/relationships/hyperlink" Target="https://pbs.twimg.com/profile_images/2813636657/599521f69e2bc210a57323b64d8e39e6_normal.jpeg" TargetMode="External"/><Relationship Id="rId4184" Type="http://schemas.openxmlformats.org/officeDocument/2006/relationships/hyperlink" Target="http://dlvr.it" TargetMode="External"/><Relationship Id="rId4187" Type="http://schemas.openxmlformats.org/officeDocument/2006/relationships/hyperlink" Target="https://twitter.com/artwisanggeni/status/702979690449862657" TargetMode="External"/><Relationship Id="rId4186" Type="http://schemas.openxmlformats.org/officeDocument/2006/relationships/hyperlink" Target="https://twitter.com/artwisanggeni" TargetMode="External"/><Relationship Id="rId4189" Type="http://schemas.openxmlformats.org/officeDocument/2006/relationships/hyperlink" Target="https://pbs.twimg.com/profile_images/2813636657/599521f69e2bc210a57323b64d8e39e6_normal.jpeg" TargetMode="External"/><Relationship Id="rId4188" Type="http://schemas.openxmlformats.org/officeDocument/2006/relationships/hyperlink" Target="http://dlvr.it" TargetMode="External"/><Relationship Id="rId1900" Type="http://schemas.openxmlformats.org/officeDocument/2006/relationships/hyperlink" Target="https://twitter.com/HartwigMicheal/status/702885321810251776" TargetMode="External"/><Relationship Id="rId1901" Type="http://schemas.openxmlformats.org/officeDocument/2006/relationships/hyperlink" Target="https://pbs.twimg.com/profile_images/679948461953781761/pDo9356K_normal.jpg" TargetMode="External"/><Relationship Id="rId1902" Type="http://schemas.openxmlformats.org/officeDocument/2006/relationships/hyperlink" Target="https://twitter.com/HartwigMicheal" TargetMode="External"/><Relationship Id="rId1903" Type="http://schemas.openxmlformats.org/officeDocument/2006/relationships/hyperlink" Target="https://twitter.com/HartwigMicheal/status/702885328810541056" TargetMode="External"/><Relationship Id="rId1904" Type="http://schemas.openxmlformats.org/officeDocument/2006/relationships/hyperlink" Target="https://pbs.twimg.com/profile_images/679948461953781761/pDo9356K_normal.jpg" TargetMode="External"/><Relationship Id="rId1905" Type="http://schemas.openxmlformats.org/officeDocument/2006/relationships/hyperlink" Target="https://twitter.com/JoshuaLongUK" TargetMode="External"/><Relationship Id="rId1906" Type="http://schemas.openxmlformats.org/officeDocument/2006/relationships/hyperlink" Target="https://twitter.com/JoshuaLongUK/status/702885385794428928" TargetMode="External"/><Relationship Id="rId1907" Type="http://schemas.openxmlformats.org/officeDocument/2006/relationships/hyperlink" Target="https://pbs.twimg.com/profile_images/627996138403168256/DaASdgVr_normal.jpg" TargetMode="External"/><Relationship Id="rId1908" Type="http://schemas.openxmlformats.org/officeDocument/2006/relationships/hyperlink" Target="https://twitter.com/johnhubner" TargetMode="External"/><Relationship Id="rId1909" Type="http://schemas.openxmlformats.org/officeDocument/2006/relationships/hyperlink" Target="https://twitter.com/johnhubner/status/702885402068328448" TargetMode="External"/><Relationship Id="rId4170" Type="http://schemas.openxmlformats.org/officeDocument/2006/relationships/hyperlink" Target="https://pbs.twimg.com/profile_images/699231619413053440/U8z4CUkO_normal.jpg" TargetMode="External"/><Relationship Id="rId4172" Type="http://schemas.openxmlformats.org/officeDocument/2006/relationships/hyperlink" Target="https://twitter.com/programmingncr/status/702979632975495169" TargetMode="External"/><Relationship Id="rId4171" Type="http://schemas.openxmlformats.org/officeDocument/2006/relationships/hyperlink" Target="https://twitter.com/programmingncr" TargetMode="External"/><Relationship Id="rId4174" Type="http://schemas.openxmlformats.org/officeDocument/2006/relationships/hyperlink" Target="https://twitter.com/artwisanggeni" TargetMode="External"/><Relationship Id="rId4173" Type="http://schemas.openxmlformats.org/officeDocument/2006/relationships/hyperlink" Target="https://pbs.twimg.com/profile_images/662602436222193664/qKuvsfnG_normal.jpg" TargetMode="External"/><Relationship Id="rId4176" Type="http://schemas.openxmlformats.org/officeDocument/2006/relationships/hyperlink" Target="http://dlvr.it" TargetMode="External"/><Relationship Id="rId4175" Type="http://schemas.openxmlformats.org/officeDocument/2006/relationships/hyperlink" Target="https://twitter.com/artwisanggeni/status/702979677288148992" TargetMode="External"/><Relationship Id="rId4178" Type="http://schemas.openxmlformats.org/officeDocument/2006/relationships/hyperlink" Target="https://twitter.com/artwisanggeni" TargetMode="External"/><Relationship Id="rId4177" Type="http://schemas.openxmlformats.org/officeDocument/2006/relationships/hyperlink" Target="https://pbs.twimg.com/profile_images/2813636657/599521f69e2bc210a57323b64d8e39e6_normal.jpeg" TargetMode="External"/><Relationship Id="rId4179" Type="http://schemas.openxmlformats.org/officeDocument/2006/relationships/hyperlink" Target="https://twitter.com/artwisanggeni/status/702979681822179328" TargetMode="External"/><Relationship Id="rId4129" Type="http://schemas.openxmlformats.org/officeDocument/2006/relationships/hyperlink" Target="https://pbs.twimg.com/profile_images/638782531979079680/6n9g_4TO_normal.jpg" TargetMode="External"/><Relationship Id="rId4128" Type="http://schemas.openxmlformats.org/officeDocument/2006/relationships/hyperlink" Target="https://twitter.com/OnurOzuduru/status/702978279330942977" TargetMode="External"/><Relationship Id="rId5459" Type="http://schemas.openxmlformats.org/officeDocument/2006/relationships/hyperlink" Target="https://twitter.com/coding_jobfeeds/status/703055716316266496" TargetMode="External"/><Relationship Id="rId6780" Type="http://schemas.openxmlformats.org/officeDocument/2006/relationships/hyperlink" Target="https://twitter.com/Informatica64" TargetMode="External"/><Relationship Id="rId5450" Type="http://schemas.openxmlformats.org/officeDocument/2006/relationships/hyperlink" Target="https://twitter.com/coding_jobfeeds/status/703055670380240896" TargetMode="External"/><Relationship Id="rId6781" Type="http://schemas.openxmlformats.org/officeDocument/2006/relationships/hyperlink" Target="https://twitter.com/Informatica64/status/703150012834848769" TargetMode="External"/><Relationship Id="rId4121" Type="http://schemas.openxmlformats.org/officeDocument/2006/relationships/hyperlink" Target="https://twitter.com/cool_python/status/702977619696943105" TargetMode="External"/><Relationship Id="rId5453" Type="http://schemas.openxmlformats.org/officeDocument/2006/relationships/hyperlink" Target="https://twitter.com/coding_jobfeeds/status/703055710842650624" TargetMode="External"/><Relationship Id="rId6784" Type="http://schemas.openxmlformats.org/officeDocument/2006/relationships/hyperlink" Target="https://twitter.com/_Conserto/status/703150103637307392" TargetMode="External"/><Relationship Id="rId4120" Type="http://schemas.openxmlformats.org/officeDocument/2006/relationships/hyperlink" Target="https://twitter.com/cool_python" TargetMode="External"/><Relationship Id="rId5454" Type="http://schemas.openxmlformats.org/officeDocument/2006/relationships/hyperlink" Target="https://pbs.twimg.com/profile_images/611834314586750976/feZ5fZOO_normal.png" TargetMode="External"/><Relationship Id="rId6785" Type="http://schemas.openxmlformats.org/officeDocument/2006/relationships/hyperlink" Target="https://pbs.twimg.com/profile_images/686826588269350912/JnkBiSIb_normal.png" TargetMode="External"/><Relationship Id="rId4123" Type="http://schemas.openxmlformats.org/officeDocument/2006/relationships/hyperlink" Target="https://twitter.com/Boolerang" TargetMode="External"/><Relationship Id="rId5451" Type="http://schemas.openxmlformats.org/officeDocument/2006/relationships/hyperlink" Target="https://pbs.twimg.com/profile_images/611834314586750976/feZ5fZOO_normal.png" TargetMode="External"/><Relationship Id="rId6782" Type="http://schemas.openxmlformats.org/officeDocument/2006/relationships/hyperlink" Target="https://pbs.twimg.com/profile_images/605156275/i64log_normal.gif" TargetMode="External"/><Relationship Id="rId4122" Type="http://schemas.openxmlformats.org/officeDocument/2006/relationships/hyperlink" Target="https://pbs.twimg.com/profile_images/572091631055028224/Pkx__FSB_normal.png" TargetMode="External"/><Relationship Id="rId5452" Type="http://schemas.openxmlformats.org/officeDocument/2006/relationships/hyperlink" Target="https://twitter.com/coding_jobfeeds" TargetMode="External"/><Relationship Id="rId6783" Type="http://schemas.openxmlformats.org/officeDocument/2006/relationships/hyperlink" Target="https://twitter.com/_Conserto" TargetMode="External"/><Relationship Id="rId4125" Type="http://schemas.openxmlformats.org/officeDocument/2006/relationships/hyperlink" Target="https://twitter.com/Boolerang/status/702977908982341633" TargetMode="External"/><Relationship Id="rId5457" Type="http://schemas.openxmlformats.org/officeDocument/2006/relationships/hyperlink" Target="https://pbs.twimg.com/profile_images/611834314586750976/feZ5fZOO_normal.png" TargetMode="External"/><Relationship Id="rId6788" Type="http://schemas.openxmlformats.org/officeDocument/2006/relationships/hyperlink" Target="https://pbs.twimg.com/profile_images/632796788307591170/u5o75ERx_normal.png" TargetMode="External"/><Relationship Id="rId4124" Type="http://schemas.openxmlformats.org/officeDocument/2006/relationships/hyperlink" Target="http://Boolerang.io" TargetMode="External"/><Relationship Id="rId5458" Type="http://schemas.openxmlformats.org/officeDocument/2006/relationships/hyperlink" Target="https://twitter.com/coding_jobfeeds" TargetMode="External"/><Relationship Id="rId6789" Type="http://schemas.openxmlformats.org/officeDocument/2006/relationships/hyperlink" Target="https://twitter.com/n1videos" TargetMode="External"/><Relationship Id="rId4127" Type="http://schemas.openxmlformats.org/officeDocument/2006/relationships/hyperlink" Target="https://twitter.com/OnurOzuduru" TargetMode="External"/><Relationship Id="rId5455" Type="http://schemas.openxmlformats.org/officeDocument/2006/relationships/hyperlink" Target="https://twitter.com/coding_jobfeeds" TargetMode="External"/><Relationship Id="rId6786" Type="http://schemas.openxmlformats.org/officeDocument/2006/relationships/hyperlink" Target="https://twitter.com/SerDeveloper" TargetMode="External"/><Relationship Id="rId4126" Type="http://schemas.openxmlformats.org/officeDocument/2006/relationships/hyperlink" Target="https://pbs.twimg.com/profile_images/703179032125267969/9Y-1Fllk_normal.jpg" TargetMode="External"/><Relationship Id="rId5456" Type="http://schemas.openxmlformats.org/officeDocument/2006/relationships/hyperlink" Target="https://twitter.com/coding_jobfeeds/status/703055713715789826" TargetMode="External"/><Relationship Id="rId6787" Type="http://schemas.openxmlformats.org/officeDocument/2006/relationships/hyperlink" Target="https://twitter.com/SerDeveloper/status/703150153302028290" TargetMode="External"/><Relationship Id="rId4118" Type="http://schemas.openxmlformats.org/officeDocument/2006/relationships/hyperlink" Target="https://twitter.com/cool_python/status/702977618442850304" TargetMode="External"/><Relationship Id="rId4117" Type="http://schemas.openxmlformats.org/officeDocument/2006/relationships/hyperlink" Target="https://twitter.com/cool_python" TargetMode="External"/><Relationship Id="rId5448" Type="http://schemas.openxmlformats.org/officeDocument/2006/relationships/hyperlink" Target="https://pbs.twimg.com/profile_images/611834314586750976/feZ5fZOO_normal.png" TargetMode="External"/><Relationship Id="rId6779" Type="http://schemas.openxmlformats.org/officeDocument/2006/relationships/hyperlink" Target="https://pbs.twimg.com/profile_images/581037724787822593/wTfuZ2Sd_normal.png" TargetMode="External"/><Relationship Id="rId4119" Type="http://schemas.openxmlformats.org/officeDocument/2006/relationships/hyperlink" Target="https://pbs.twimg.com/profile_images/572091631055028224/Pkx__FSB_normal.png" TargetMode="External"/><Relationship Id="rId5449" Type="http://schemas.openxmlformats.org/officeDocument/2006/relationships/hyperlink" Target="https://twitter.com/coding_jobfeeds" TargetMode="External"/><Relationship Id="rId6770" Type="http://schemas.openxmlformats.org/officeDocument/2006/relationships/hyperlink" Target="https://pbs.twimg.com/profile_images/572091631055028224/Pkx__FSB_normal.png" TargetMode="External"/><Relationship Id="rId4110" Type="http://schemas.openxmlformats.org/officeDocument/2006/relationships/hyperlink" Target="https://pbs.twimg.com/profile_images/671359835594612737/Jo0-65ei_normal.jpg" TargetMode="External"/><Relationship Id="rId5442" Type="http://schemas.openxmlformats.org/officeDocument/2006/relationships/hyperlink" Target="https://pbs.twimg.com/profile_images/378800000030851202/b6bb871a13825bae9004a9aab3a1d726_normal.jpeg" TargetMode="External"/><Relationship Id="rId6773" Type="http://schemas.openxmlformats.org/officeDocument/2006/relationships/hyperlink" Target="https://pbs.twimg.com/profile_images/521525781529235456/ne4uW_Jo_normal.png" TargetMode="External"/><Relationship Id="rId5443" Type="http://schemas.openxmlformats.org/officeDocument/2006/relationships/hyperlink" Target="https://twitter.com/wcmckeedotcom" TargetMode="External"/><Relationship Id="rId6774" Type="http://schemas.openxmlformats.org/officeDocument/2006/relationships/hyperlink" Target="https://twitter.com/hh_consulting" TargetMode="External"/><Relationship Id="rId4112" Type="http://schemas.openxmlformats.org/officeDocument/2006/relationships/hyperlink" Target="https://twitter.com/OAWintringham/status/702977329954471936" TargetMode="External"/><Relationship Id="rId5440" Type="http://schemas.openxmlformats.org/officeDocument/2006/relationships/hyperlink" Target="https://twitter.com/PythonDaily" TargetMode="External"/><Relationship Id="rId6771" Type="http://schemas.openxmlformats.org/officeDocument/2006/relationships/hyperlink" Target="https://twitter.com/csnipphq" TargetMode="External"/><Relationship Id="rId4111" Type="http://schemas.openxmlformats.org/officeDocument/2006/relationships/hyperlink" Target="https://twitter.com/OAWintringham" TargetMode="External"/><Relationship Id="rId5441" Type="http://schemas.openxmlformats.org/officeDocument/2006/relationships/hyperlink" Target="https://twitter.com/PythonDaily/status/703055249754320896" TargetMode="External"/><Relationship Id="rId6772" Type="http://schemas.openxmlformats.org/officeDocument/2006/relationships/hyperlink" Target="https://twitter.com/csnipphq/status/703149158211805188" TargetMode="External"/><Relationship Id="rId4114" Type="http://schemas.openxmlformats.org/officeDocument/2006/relationships/hyperlink" Target="https://twitter.com/TangibleSolutns" TargetMode="External"/><Relationship Id="rId5446" Type="http://schemas.openxmlformats.org/officeDocument/2006/relationships/hyperlink" Target="https://twitter.com/coding_jobfeeds" TargetMode="External"/><Relationship Id="rId6777" Type="http://schemas.openxmlformats.org/officeDocument/2006/relationships/hyperlink" Target="https://twitter.com/FrameworksM" TargetMode="External"/><Relationship Id="rId4113" Type="http://schemas.openxmlformats.org/officeDocument/2006/relationships/hyperlink" Target="https://pbs.twimg.com/profile_images/3077751393/3dbcaa49cda8f2ff238e5e748f82bd9d_normal.png" TargetMode="External"/><Relationship Id="rId5447" Type="http://schemas.openxmlformats.org/officeDocument/2006/relationships/hyperlink" Target="https://twitter.com/coding_jobfeeds/status/703055667507159040" TargetMode="External"/><Relationship Id="rId6778" Type="http://schemas.openxmlformats.org/officeDocument/2006/relationships/hyperlink" Target="https://twitter.com/FrameworksM/status/703150008321748993" TargetMode="External"/><Relationship Id="rId4116" Type="http://schemas.openxmlformats.org/officeDocument/2006/relationships/hyperlink" Target="https://pbs.twimg.com/profile_images/413417885642416128/n-KPu43N_normal.jpeg" TargetMode="External"/><Relationship Id="rId5444" Type="http://schemas.openxmlformats.org/officeDocument/2006/relationships/hyperlink" Target="https://twitter.com/wcmckeedotcom/status/703055590826905602" TargetMode="External"/><Relationship Id="rId6775" Type="http://schemas.openxmlformats.org/officeDocument/2006/relationships/hyperlink" Target="https://twitter.com/hh_consulting/status/703149218672685061" TargetMode="External"/><Relationship Id="rId4115" Type="http://schemas.openxmlformats.org/officeDocument/2006/relationships/hyperlink" Target="https://twitter.com/TangibleSolutns/status/702977471759699969" TargetMode="External"/><Relationship Id="rId5445" Type="http://schemas.openxmlformats.org/officeDocument/2006/relationships/hyperlink" Target="https://pbs.twimg.com/profile_images/621211385746161664/tGchJstD_normal.jpg" TargetMode="External"/><Relationship Id="rId6776" Type="http://schemas.openxmlformats.org/officeDocument/2006/relationships/hyperlink" Target="https://pbs.twimg.com/profile_images/543260953802833920/7ZCmjbcy_normal.png" TargetMode="External"/><Relationship Id="rId5471" Type="http://schemas.openxmlformats.org/officeDocument/2006/relationships/hyperlink" Target="https://twitter.com/mikegrimshaw2/status/703056605458276352" TargetMode="External"/><Relationship Id="rId5472" Type="http://schemas.openxmlformats.org/officeDocument/2006/relationships/hyperlink" Target="https://pbs.twimg.com/profile_images/611686609407180800/hZKDoHLq_normal.jpg" TargetMode="External"/><Relationship Id="rId4141" Type="http://schemas.openxmlformats.org/officeDocument/2006/relationships/hyperlink" Target="https://twitter.com/guerchele/status/702978659171364865" TargetMode="External"/><Relationship Id="rId4140" Type="http://schemas.openxmlformats.org/officeDocument/2006/relationships/hyperlink" Target="https://twitter.com/guerchele" TargetMode="External"/><Relationship Id="rId5470" Type="http://schemas.openxmlformats.org/officeDocument/2006/relationships/hyperlink" Target="https://twitter.com/mikegrimshaw2" TargetMode="External"/><Relationship Id="rId4143" Type="http://schemas.openxmlformats.org/officeDocument/2006/relationships/hyperlink" Target="https://twitter.com/tullman" TargetMode="External"/><Relationship Id="rId5475" Type="http://schemas.openxmlformats.org/officeDocument/2006/relationships/hyperlink" Target="https://pbs.twimg.com/profile_images/613317207121006593/fBJIw92n_normal.jpg" TargetMode="External"/><Relationship Id="rId4142" Type="http://schemas.openxmlformats.org/officeDocument/2006/relationships/hyperlink" Target="https://pbs.twimg.com/profile_images/476415572259766272/yFnIg7J6_normal.jpeg" TargetMode="External"/><Relationship Id="rId5476" Type="http://schemas.openxmlformats.org/officeDocument/2006/relationships/hyperlink" Target="https://twitter.com/sentiwire" TargetMode="External"/><Relationship Id="rId4145" Type="http://schemas.openxmlformats.org/officeDocument/2006/relationships/hyperlink" Target="https://pbs.twimg.com/profile_images/605140445228900354/o1VtviXw_normal.jpg" TargetMode="External"/><Relationship Id="rId5473" Type="http://schemas.openxmlformats.org/officeDocument/2006/relationships/hyperlink" Target="https://twitter.com/DBaker007" TargetMode="External"/><Relationship Id="rId4144" Type="http://schemas.openxmlformats.org/officeDocument/2006/relationships/hyperlink" Target="https://twitter.com/tullman/status/702978719393189888" TargetMode="External"/><Relationship Id="rId5474" Type="http://schemas.openxmlformats.org/officeDocument/2006/relationships/hyperlink" Target="https://twitter.com/DBaker007/status/703057004768698371" TargetMode="External"/><Relationship Id="rId4147" Type="http://schemas.openxmlformats.org/officeDocument/2006/relationships/hyperlink" Target="https://twitter.com/crude2refined/status/702978919973019648" TargetMode="External"/><Relationship Id="rId5479" Type="http://schemas.openxmlformats.org/officeDocument/2006/relationships/hyperlink" Target="https://twitter.com/tiagoprn" TargetMode="External"/><Relationship Id="rId4146" Type="http://schemas.openxmlformats.org/officeDocument/2006/relationships/hyperlink" Target="https://twitter.com/crude2refined" TargetMode="External"/><Relationship Id="rId4149" Type="http://schemas.openxmlformats.org/officeDocument/2006/relationships/hyperlink" Target="https://twitter.com/UltimateJobs" TargetMode="External"/><Relationship Id="rId5477" Type="http://schemas.openxmlformats.org/officeDocument/2006/relationships/hyperlink" Target="https://twitter.com/sentiwire/status/703057008723759104" TargetMode="External"/><Relationship Id="rId4148" Type="http://schemas.openxmlformats.org/officeDocument/2006/relationships/hyperlink" Target="https://pbs.twimg.com/profile_images/420457609573847040/gXX8yrEU_normal.jpeg" TargetMode="External"/><Relationship Id="rId5478" Type="http://schemas.openxmlformats.org/officeDocument/2006/relationships/hyperlink" Target="https://pbs.twimg.com/profile_images/686965105473396736/B9V5UtGS_normal.jpg" TargetMode="External"/><Relationship Id="rId4139" Type="http://schemas.openxmlformats.org/officeDocument/2006/relationships/hyperlink" Target="https://pbs.twimg.com/profile_images/567802026864566272/il4Ew0zi_normal.jpeg" TargetMode="External"/><Relationship Id="rId5460" Type="http://schemas.openxmlformats.org/officeDocument/2006/relationships/hyperlink" Target="https://pbs.twimg.com/profile_images/611834314586750976/feZ5fZOO_normal.png" TargetMode="External"/><Relationship Id="rId6791" Type="http://schemas.openxmlformats.org/officeDocument/2006/relationships/hyperlink" Target="https://twitter.com/n1videos/status/703150709785538564" TargetMode="External"/><Relationship Id="rId5461" Type="http://schemas.openxmlformats.org/officeDocument/2006/relationships/hyperlink" Target="https://twitter.com/coding_jobfeeds" TargetMode="External"/><Relationship Id="rId6792" Type="http://schemas.openxmlformats.org/officeDocument/2006/relationships/hyperlink" Target="http://N1Videos.com" TargetMode="External"/><Relationship Id="rId4130" Type="http://schemas.openxmlformats.org/officeDocument/2006/relationships/hyperlink" Target="https://twitter.com/guerchele" TargetMode="External"/><Relationship Id="rId6790" Type="http://schemas.openxmlformats.org/officeDocument/2006/relationships/hyperlink" Target="http://N1Videos.com" TargetMode="External"/><Relationship Id="rId4132" Type="http://schemas.openxmlformats.org/officeDocument/2006/relationships/hyperlink" Target="https://pbs.twimg.com/profile_images/476415572259766272/yFnIg7J6_normal.jpeg" TargetMode="External"/><Relationship Id="rId5464" Type="http://schemas.openxmlformats.org/officeDocument/2006/relationships/hyperlink" Target="https://twitter.com/coding_jobfeeds" TargetMode="External"/><Relationship Id="rId6795" Type="http://schemas.openxmlformats.org/officeDocument/2006/relationships/hyperlink" Target="https://twitter.com/artwisanggeni/status/703150808322306049" TargetMode="External"/><Relationship Id="rId4131" Type="http://schemas.openxmlformats.org/officeDocument/2006/relationships/hyperlink" Target="https://twitter.com/guerchele/status/702978369848254464" TargetMode="External"/><Relationship Id="rId5465" Type="http://schemas.openxmlformats.org/officeDocument/2006/relationships/hyperlink" Target="https://twitter.com/coding_jobfeeds/status/703055721882132480" TargetMode="External"/><Relationship Id="rId6796" Type="http://schemas.openxmlformats.org/officeDocument/2006/relationships/hyperlink" Target="http://dlvr.it" TargetMode="External"/><Relationship Id="rId4134" Type="http://schemas.openxmlformats.org/officeDocument/2006/relationships/hyperlink" Target="https://twitter.com/HumoyunUz/status/702978632671559680" TargetMode="External"/><Relationship Id="rId5462" Type="http://schemas.openxmlformats.org/officeDocument/2006/relationships/hyperlink" Target="https://twitter.com/coding_jobfeeds/status/703055718774149120" TargetMode="External"/><Relationship Id="rId6793" Type="http://schemas.openxmlformats.org/officeDocument/2006/relationships/hyperlink" Target="https://pbs.twimg.com/profile_images/600057418182205440/hfBiBMAV_normal.png" TargetMode="External"/><Relationship Id="rId4133" Type="http://schemas.openxmlformats.org/officeDocument/2006/relationships/hyperlink" Target="https://twitter.com/HumoyunUz" TargetMode="External"/><Relationship Id="rId5463" Type="http://schemas.openxmlformats.org/officeDocument/2006/relationships/hyperlink" Target="https://pbs.twimg.com/profile_images/611834314586750976/feZ5fZOO_normal.png" TargetMode="External"/><Relationship Id="rId6794" Type="http://schemas.openxmlformats.org/officeDocument/2006/relationships/hyperlink" Target="https://twitter.com/artwisanggeni" TargetMode="External"/><Relationship Id="rId4136" Type="http://schemas.openxmlformats.org/officeDocument/2006/relationships/hyperlink" Target="https://twitter.com/UltimateJobs" TargetMode="External"/><Relationship Id="rId5468" Type="http://schemas.openxmlformats.org/officeDocument/2006/relationships/hyperlink" Target="https://twitter.com/aneesha/status/703055723400310784" TargetMode="External"/><Relationship Id="rId6799" Type="http://schemas.openxmlformats.org/officeDocument/2006/relationships/hyperlink" Target="https://twitter.com/artwisanggeni/status/703150812889911296" TargetMode="External"/><Relationship Id="rId4135" Type="http://schemas.openxmlformats.org/officeDocument/2006/relationships/hyperlink" Target="https://pbs.twimg.com/profile_images/616490041422917632/2OEFqT-M_normal.jpg" TargetMode="External"/><Relationship Id="rId5469" Type="http://schemas.openxmlformats.org/officeDocument/2006/relationships/hyperlink" Target="https://pbs.twimg.com/profile_images/436756448052142080/wQIw7t9Q_normal.png" TargetMode="External"/><Relationship Id="rId4138" Type="http://schemas.openxmlformats.org/officeDocument/2006/relationships/hyperlink" Target="https://twitter.com/UltimateJobs/status/702978650539339777" TargetMode="External"/><Relationship Id="rId5466" Type="http://schemas.openxmlformats.org/officeDocument/2006/relationships/hyperlink" Target="https://pbs.twimg.com/profile_images/611834314586750976/feZ5fZOO_normal.png" TargetMode="External"/><Relationship Id="rId6797" Type="http://schemas.openxmlformats.org/officeDocument/2006/relationships/hyperlink" Target="https://pbs.twimg.com/profile_images/2813636657/599521f69e2bc210a57323b64d8e39e6_normal.jpeg" TargetMode="External"/><Relationship Id="rId4137" Type="http://schemas.openxmlformats.org/officeDocument/2006/relationships/hyperlink" Target="http://UltimateJobs.com" TargetMode="External"/><Relationship Id="rId5467" Type="http://schemas.openxmlformats.org/officeDocument/2006/relationships/hyperlink" Target="https://twitter.com/aneesha" TargetMode="External"/><Relationship Id="rId6798" Type="http://schemas.openxmlformats.org/officeDocument/2006/relationships/hyperlink" Target="https://twitter.com/artwisanggeni" TargetMode="External"/><Relationship Id="rId1972" Type="http://schemas.openxmlformats.org/officeDocument/2006/relationships/hyperlink" Target="https://pbs.twimg.com/profile_images/682455128805359617/r4Be4Yll_normal.jpg" TargetMode="External"/><Relationship Id="rId1973" Type="http://schemas.openxmlformats.org/officeDocument/2006/relationships/hyperlink" Target="https://twitter.com/loderunnr" TargetMode="External"/><Relationship Id="rId1974" Type="http://schemas.openxmlformats.org/officeDocument/2006/relationships/hyperlink" Target="https://twitter.com/loderunnr/status/702889051318317056" TargetMode="External"/><Relationship Id="rId1975" Type="http://schemas.openxmlformats.org/officeDocument/2006/relationships/hyperlink" Target="https://pbs.twimg.com/profile_images/1054928113/tonberry_normal.jpg" TargetMode="External"/><Relationship Id="rId1976" Type="http://schemas.openxmlformats.org/officeDocument/2006/relationships/hyperlink" Target="https://twitter.com/HartwigMicheal" TargetMode="External"/><Relationship Id="rId1977" Type="http://schemas.openxmlformats.org/officeDocument/2006/relationships/hyperlink" Target="https://twitter.com/HartwigMicheal/status/702889309976797184" TargetMode="External"/><Relationship Id="rId1978" Type="http://schemas.openxmlformats.org/officeDocument/2006/relationships/hyperlink" Target="https://pbs.twimg.com/profile_images/679948461953781761/pDo9356K_normal.jpg" TargetMode="External"/><Relationship Id="rId1979" Type="http://schemas.openxmlformats.org/officeDocument/2006/relationships/hyperlink" Target="https://twitter.com/Golgothus" TargetMode="External"/><Relationship Id="rId1970" Type="http://schemas.openxmlformats.org/officeDocument/2006/relationships/hyperlink" Target="https://twitter.com/cesarnogCPS" TargetMode="External"/><Relationship Id="rId1971" Type="http://schemas.openxmlformats.org/officeDocument/2006/relationships/hyperlink" Target="https://twitter.com/cesarnogCPS/status/702888907327840256" TargetMode="External"/><Relationship Id="rId1961" Type="http://schemas.openxmlformats.org/officeDocument/2006/relationships/hyperlink" Target="https://twitter.com/pauloxnet" TargetMode="External"/><Relationship Id="rId1962" Type="http://schemas.openxmlformats.org/officeDocument/2006/relationships/hyperlink" Target="https://twitter.com/pauloxnet/status/702887718884401153" TargetMode="External"/><Relationship Id="rId1963" Type="http://schemas.openxmlformats.org/officeDocument/2006/relationships/hyperlink" Target="https://pbs.twimg.com/profile_images/588686612281708544/xm0xerTE_normal.jpg" TargetMode="External"/><Relationship Id="rId1964" Type="http://schemas.openxmlformats.org/officeDocument/2006/relationships/hyperlink" Target="https://twitter.com/cool_python" TargetMode="External"/><Relationship Id="rId1965" Type="http://schemas.openxmlformats.org/officeDocument/2006/relationships/hyperlink" Target="https://twitter.com/cool_python/status/702887795908550657" TargetMode="External"/><Relationship Id="rId1966" Type="http://schemas.openxmlformats.org/officeDocument/2006/relationships/hyperlink" Target="https://pbs.twimg.com/profile_images/572091631055028224/Pkx__FSB_normal.png" TargetMode="External"/><Relationship Id="rId1967" Type="http://schemas.openxmlformats.org/officeDocument/2006/relationships/hyperlink" Target="https://twitter.com/DruidSmith" TargetMode="External"/><Relationship Id="rId1968" Type="http://schemas.openxmlformats.org/officeDocument/2006/relationships/hyperlink" Target="https://twitter.com/DruidSmith/status/702888651068461056" TargetMode="External"/><Relationship Id="rId1969" Type="http://schemas.openxmlformats.org/officeDocument/2006/relationships/hyperlink" Target="https://pbs.twimg.com/profile_images/660617199934185472/nXBGYFZ8_normal.jpg" TargetMode="External"/><Relationship Id="rId1960" Type="http://schemas.openxmlformats.org/officeDocument/2006/relationships/hyperlink" Target="https://pbs.twimg.com/profile_images/627442973161189376/SrgQ1K0R_normal.jpg" TargetMode="External"/><Relationship Id="rId1994" Type="http://schemas.openxmlformats.org/officeDocument/2006/relationships/hyperlink" Target="https://twitter.com/PythonWeekly" TargetMode="External"/><Relationship Id="rId1995" Type="http://schemas.openxmlformats.org/officeDocument/2006/relationships/hyperlink" Target="https://twitter.com/PythonWeekly/status/702889787326382080" TargetMode="External"/><Relationship Id="rId1996" Type="http://schemas.openxmlformats.org/officeDocument/2006/relationships/hyperlink" Target="https://pbs.twimg.com/profile_images/1554238582/python_normal.jpg" TargetMode="External"/><Relationship Id="rId1997" Type="http://schemas.openxmlformats.org/officeDocument/2006/relationships/hyperlink" Target="https://twitter.com/mauriciosl" TargetMode="External"/><Relationship Id="rId1998" Type="http://schemas.openxmlformats.org/officeDocument/2006/relationships/hyperlink" Target="https://twitter.com/mauriciosl/status/702889897535913984" TargetMode="External"/><Relationship Id="rId1999" Type="http://schemas.openxmlformats.org/officeDocument/2006/relationships/hyperlink" Target="https://pbs.twimg.com/profile_images/431108594595950592/kvIsPTTr_normal.png" TargetMode="External"/><Relationship Id="rId1990" Type="http://schemas.openxmlformats.org/officeDocument/2006/relationships/hyperlink" Target="https://pbs.twimg.com/profile_images/642051243007852544/4n6TbLho_normal.jpg" TargetMode="External"/><Relationship Id="rId1991" Type="http://schemas.openxmlformats.org/officeDocument/2006/relationships/hyperlink" Target="https://twitter.com/rm53" TargetMode="External"/><Relationship Id="rId1992" Type="http://schemas.openxmlformats.org/officeDocument/2006/relationships/hyperlink" Target="https://twitter.com/rm53/status/702889768703627268" TargetMode="External"/><Relationship Id="rId1993" Type="http://schemas.openxmlformats.org/officeDocument/2006/relationships/hyperlink" Target="https://pbs.twimg.com/profile_images/2806382910/3a52e38777da6ceb0715745342b88669_normal.jpeg" TargetMode="External"/><Relationship Id="rId1983" Type="http://schemas.openxmlformats.org/officeDocument/2006/relationships/hyperlink" Target="https://twitter.com/MTotolrahaman/status/702889520346349568" TargetMode="External"/><Relationship Id="rId1984" Type="http://schemas.openxmlformats.org/officeDocument/2006/relationships/hyperlink" Target="https://pbs.twimg.com/profile_images/677493910256484352/-EdVaVPl_normal.jpg" TargetMode="External"/><Relationship Id="rId1985" Type="http://schemas.openxmlformats.org/officeDocument/2006/relationships/hyperlink" Target="https://twitter.com/Donearm" TargetMode="External"/><Relationship Id="rId1986" Type="http://schemas.openxmlformats.org/officeDocument/2006/relationships/hyperlink" Target="https://twitter.com/Donearm/status/702889564411658240" TargetMode="External"/><Relationship Id="rId1987" Type="http://schemas.openxmlformats.org/officeDocument/2006/relationships/hyperlink" Target="https://pbs.twimg.com/profile_images/641618171640676353/eDuKR7hh_normal.jpg" TargetMode="External"/><Relationship Id="rId1988" Type="http://schemas.openxmlformats.org/officeDocument/2006/relationships/hyperlink" Target="https://twitter.com/cleansprings" TargetMode="External"/><Relationship Id="rId1989" Type="http://schemas.openxmlformats.org/officeDocument/2006/relationships/hyperlink" Target="https://twitter.com/cleansprings/status/702889640081158144" TargetMode="External"/><Relationship Id="rId1980" Type="http://schemas.openxmlformats.org/officeDocument/2006/relationships/hyperlink" Target="https://twitter.com/Golgothus/status/702889344340635648" TargetMode="External"/><Relationship Id="rId1981" Type="http://schemas.openxmlformats.org/officeDocument/2006/relationships/hyperlink" Target="https://pbs.twimg.com/profile_images/693918137918459908/hw-Fka3b_normal.jpg" TargetMode="External"/><Relationship Id="rId1982" Type="http://schemas.openxmlformats.org/officeDocument/2006/relationships/hyperlink" Target="https://twitter.com/MTotolrahaman" TargetMode="External"/><Relationship Id="rId1930" Type="http://schemas.openxmlformats.org/officeDocument/2006/relationships/hyperlink" Target="https://twitter.com/JobHero_io" TargetMode="External"/><Relationship Id="rId1931" Type="http://schemas.openxmlformats.org/officeDocument/2006/relationships/hyperlink" Target="http://JobHero.io" TargetMode="External"/><Relationship Id="rId1932" Type="http://schemas.openxmlformats.org/officeDocument/2006/relationships/hyperlink" Target="https://twitter.com/JobHero_io/status/702886098847047681" TargetMode="External"/><Relationship Id="rId1933" Type="http://schemas.openxmlformats.org/officeDocument/2006/relationships/hyperlink" Target="https://pbs.twimg.com/profile_images/609201325046280192/WqwLYJNg_normal.jpg" TargetMode="External"/><Relationship Id="rId1934" Type="http://schemas.openxmlformats.org/officeDocument/2006/relationships/hyperlink" Target="https://twitter.com/EXAGolo" TargetMode="External"/><Relationship Id="rId1935" Type="http://schemas.openxmlformats.org/officeDocument/2006/relationships/hyperlink" Target="https://twitter.com/EXAGolo/status/702886145026293760" TargetMode="External"/><Relationship Id="rId1936" Type="http://schemas.openxmlformats.org/officeDocument/2006/relationships/hyperlink" Target="https://pbs.twimg.com/profile_images/576481535060156416/7-n_x96B_normal.jpeg" TargetMode="External"/><Relationship Id="rId1937" Type="http://schemas.openxmlformats.org/officeDocument/2006/relationships/hyperlink" Target="https://twitter.com/PythonWeekly" TargetMode="External"/><Relationship Id="rId1938" Type="http://schemas.openxmlformats.org/officeDocument/2006/relationships/hyperlink" Target="https://twitter.com/PythonWeekly/status/702886178412994560" TargetMode="External"/><Relationship Id="rId1939" Type="http://schemas.openxmlformats.org/officeDocument/2006/relationships/hyperlink" Target="https://pbs.twimg.com/profile_images/1554238582/python_normal.jpg" TargetMode="External"/><Relationship Id="rId1920" Type="http://schemas.openxmlformats.org/officeDocument/2006/relationships/hyperlink" Target="https://pbs.twimg.com/profile_images/677493910256484352/-EdVaVPl_normal.jpg" TargetMode="External"/><Relationship Id="rId1921" Type="http://schemas.openxmlformats.org/officeDocument/2006/relationships/hyperlink" Target="https://twitter.com/MTotolrahaman" TargetMode="External"/><Relationship Id="rId1922" Type="http://schemas.openxmlformats.org/officeDocument/2006/relationships/hyperlink" Target="https://twitter.com/MTotolrahaman/status/702885900657762313" TargetMode="External"/><Relationship Id="rId1923" Type="http://schemas.openxmlformats.org/officeDocument/2006/relationships/hyperlink" Target="https://pbs.twimg.com/profile_images/677493910256484352/-EdVaVPl_normal.jpg" TargetMode="External"/><Relationship Id="rId1924" Type="http://schemas.openxmlformats.org/officeDocument/2006/relationships/hyperlink" Target="https://twitter.com/PDX_TechEvents" TargetMode="External"/><Relationship Id="rId1925" Type="http://schemas.openxmlformats.org/officeDocument/2006/relationships/hyperlink" Target="https://twitter.com/PDX_TechEvents/status/702886026184925188" TargetMode="External"/><Relationship Id="rId1926" Type="http://schemas.openxmlformats.org/officeDocument/2006/relationships/hyperlink" Target="https://pbs.twimg.com/profile_images/701274060789952513/RAQnTJbw_normal.png" TargetMode="External"/><Relationship Id="rId1927" Type="http://schemas.openxmlformats.org/officeDocument/2006/relationships/hyperlink" Target="https://twitter.com/Jared216" TargetMode="External"/><Relationship Id="rId1928" Type="http://schemas.openxmlformats.org/officeDocument/2006/relationships/hyperlink" Target="https://twitter.com/Jared216/status/702886047575896064" TargetMode="External"/><Relationship Id="rId1929" Type="http://schemas.openxmlformats.org/officeDocument/2006/relationships/hyperlink" Target="https://pbs.twimg.com/profile_images/1383890271/twitpic_normal.png" TargetMode="External"/><Relationship Id="rId4190" Type="http://schemas.openxmlformats.org/officeDocument/2006/relationships/hyperlink" Target="https://twitter.com/artwisanggeni" TargetMode="External"/><Relationship Id="rId4192" Type="http://schemas.openxmlformats.org/officeDocument/2006/relationships/hyperlink" Target="http://dlvr.it" TargetMode="External"/><Relationship Id="rId4191" Type="http://schemas.openxmlformats.org/officeDocument/2006/relationships/hyperlink" Target="https://twitter.com/artwisanggeni/status/702979694212227073" TargetMode="External"/><Relationship Id="rId4194" Type="http://schemas.openxmlformats.org/officeDocument/2006/relationships/hyperlink" Target="https://twitter.com/artwisanggeni" TargetMode="External"/><Relationship Id="rId4193" Type="http://schemas.openxmlformats.org/officeDocument/2006/relationships/hyperlink" Target="https://pbs.twimg.com/profile_images/2813636657/599521f69e2bc210a57323b64d8e39e6_normal.jpeg" TargetMode="External"/><Relationship Id="rId4196" Type="http://schemas.openxmlformats.org/officeDocument/2006/relationships/hyperlink" Target="http://dlvr.it" TargetMode="External"/><Relationship Id="rId4195" Type="http://schemas.openxmlformats.org/officeDocument/2006/relationships/hyperlink" Target="https://twitter.com/artwisanggeni/status/702979698448400385" TargetMode="External"/><Relationship Id="rId4198" Type="http://schemas.openxmlformats.org/officeDocument/2006/relationships/hyperlink" Target="https://twitter.com/artwisanggeni" TargetMode="External"/><Relationship Id="rId4197" Type="http://schemas.openxmlformats.org/officeDocument/2006/relationships/hyperlink" Target="https://pbs.twimg.com/profile_images/2813636657/599521f69e2bc210a57323b64d8e39e6_normal.jpeg" TargetMode="External"/><Relationship Id="rId4199" Type="http://schemas.openxmlformats.org/officeDocument/2006/relationships/hyperlink" Target="https://twitter.com/artwisanggeni/status/702979702223298560" TargetMode="External"/><Relationship Id="rId1950" Type="http://schemas.openxmlformats.org/officeDocument/2006/relationships/hyperlink" Target="https://twitter.com/datentaeterin/status/702886502330667009" TargetMode="External"/><Relationship Id="rId1951" Type="http://schemas.openxmlformats.org/officeDocument/2006/relationships/hyperlink" Target="https://pbs.twimg.com/profile_images/681301431060697088/SVDdR3DG_normal.jpg" TargetMode="External"/><Relationship Id="rId1952" Type="http://schemas.openxmlformats.org/officeDocument/2006/relationships/hyperlink" Target="https://twitter.com/hackmum" TargetMode="External"/><Relationship Id="rId1953" Type="http://schemas.openxmlformats.org/officeDocument/2006/relationships/hyperlink" Target="https://twitter.com/hackmum/status/702886584572633089" TargetMode="External"/><Relationship Id="rId1954" Type="http://schemas.openxmlformats.org/officeDocument/2006/relationships/hyperlink" Target="https://pbs.twimg.com/profile_images/439453102119206912/i5x3_qmb_normal.png" TargetMode="External"/><Relationship Id="rId1955" Type="http://schemas.openxmlformats.org/officeDocument/2006/relationships/hyperlink" Target="https://twitter.com/ircstaff" TargetMode="External"/><Relationship Id="rId1956" Type="http://schemas.openxmlformats.org/officeDocument/2006/relationships/hyperlink" Target="https://twitter.com/ircstaff/status/702886847563714560" TargetMode="External"/><Relationship Id="rId1957" Type="http://schemas.openxmlformats.org/officeDocument/2006/relationships/hyperlink" Target="https://pbs.twimg.com/profile_images/1606876427/photo_normal.JPG" TargetMode="External"/><Relationship Id="rId1958" Type="http://schemas.openxmlformats.org/officeDocument/2006/relationships/hyperlink" Target="https://twitter.com/daten_drang" TargetMode="External"/><Relationship Id="rId1959" Type="http://schemas.openxmlformats.org/officeDocument/2006/relationships/hyperlink" Target="https://twitter.com/daten_drang/status/702887014614626305" TargetMode="External"/><Relationship Id="rId1940" Type="http://schemas.openxmlformats.org/officeDocument/2006/relationships/hyperlink" Target="https://twitter.com/Anonymous_wasp" TargetMode="External"/><Relationship Id="rId1941" Type="http://schemas.openxmlformats.org/officeDocument/2006/relationships/hyperlink" Target="https://twitter.com/Anonymous_wasp/status/702886271438422017" TargetMode="External"/><Relationship Id="rId1942" Type="http://schemas.openxmlformats.org/officeDocument/2006/relationships/hyperlink" Target="https://pbs.twimg.com/profile_images/690023021168476164/y0BmEXsD_normal.jpg" TargetMode="External"/><Relationship Id="rId1943" Type="http://schemas.openxmlformats.org/officeDocument/2006/relationships/hyperlink" Target="https://twitter.com/Otherbots" TargetMode="External"/><Relationship Id="rId1944" Type="http://schemas.openxmlformats.org/officeDocument/2006/relationships/hyperlink" Target="https://twitter.com/Otherbots/status/702886295710908416" TargetMode="External"/><Relationship Id="rId1945" Type="http://schemas.openxmlformats.org/officeDocument/2006/relationships/hyperlink" Target="https://pbs.twimg.com/profile_images/2743738513/354ed035acf2e52b7b04a5143acec144_normal.png" TargetMode="External"/><Relationship Id="rId1946" Type="http://schemas.openxmlformats.org/officeDocument/2006/relationships/hyperlink" Target="https://twitter.com/MainlineSrl" TargetMode="External"/><Relationship Id="rId1947" Type="http://schemas.openxmlformats.org/officeDocument/2006/relationships/hyperlink" Target="https://twitter.com/MainlineSrl/status/702886459506819072" TargetMode="External"/><Relationship Id="rId1948" Type="http://schemas.openxmlformats.org/officeDocument/2006/relationships/hyperlink" Target="https://pbs.twimg.com/profile_images/583273308067667968/u6hoxDGB_normal.png" TargetMode="External"/><Relationship Id="rId1949" Type="http://schemas.openxmlformats.org/officeDocument/2006/relationships/hyperlink" Target="https://twitter.com/datentaeterin" TargetMode="External"/><Relationship Id="rId509" Type="http://schemas.openxmlformats.org/officeDocument/2006/relationships/hyperlink" Target="https://twitter.com/PythonDaily" TargetMode="External"/><Relationship Id="rId508" Type="http://schemas.openxmlformats.org/officeDocument/2006/relationships/hyperlink" Target="https://pbs.twimg.com/profile_images/440431681262993408/NQv9HIql_normal.png" TargetMode="External"/><Relationship Id="rId9061" Type="http://schemas.openxmlformats.org/officeDocument/2006/relationships/hyperlink" Target="https://twitter.com/NowLivecodingtv" TargetMode="External"/><Relationship Id="rId9060" Type="http://schemas.openxmlformats.org/officeDocument/2006/relationships/hyperlink" Target="https://pbs.twimg.com/profile_images/699984077877874688/aR2ovqId_normal.png" TargetMode="External"/><Relationship Id="rId503" Type="http://schemas.openxmlformats.org/officeDocument/2006/relationships/hyperlink" Target="https://twitter.com/101byben/status/702811639066787844" TargetMode="External"/><Relationship Id="rId9054" Type="http://schemas.openxmlformats.org/officeDocument/2006/relationships/hyperlink" Target="https://pbs.twimg.com/profile_images/500431298234548224/vWjjErVz_normal.jpeg" TargetMode="External"/><Relationship Id="rId502" Type="http://schemas.openxmlformats.org/officeDocument/2006/relationships/hyperlink" Target="https://twitter.com/101byben" TargetMode="External"/><Relationship Id="rId9053" Type="http://schemas.openxmlformats.org/officeDocument/2006/relationships/hyperlink" Target="https://twitter.com/NaimiRoaYusti/status/703257780602462208" TargetMode="External"/><Relationship Id="rId501" Type="http://schemas.openxmlformats.org/officeDocument/2006/relationships/hyperlink" Target="https://pbs.twimg.com/profile_images/618107024451178497/Lk8jyvFa_normal.jpg" TargetMode="External"/><Relationship Id="rId9052" Type="http://schemas.openxmlformats.org/officeDocument/2006/relationships/hyperlink" Target="https://twitter.com/NaimiRoaYusti" TargetMode="External"/><Relationship Id="rId500" Type="http://schemas.openxmlformats.org/officeDocument/2006/relationships/hyperlink" Target="https://twitter.com/dsracoon/status/702810884087930880" TargetMode="External"/><Relationship Id="rId9051" Type="http://schemas.openxmlformats.org/officeDocument/2006/relationships/hyperlink" Target="https://pbs.twimg.com/profile_images/632743976785735682/CfTy63Eb_normal.jpg" TargetMode="External"/><Relationship Id="rId507" Type="http://schemas.openxmlformats.org/officeDocument/2006/relationships/hyperlink" Target="http://Linkis.com" TargetMode="External"/><Relationship Id="rId9058" Type="http://schemas.openxmlformats.org/officeDocument/2006/relationships/hyperlink" Target="https://twitter.com/NowLivecodingtv" TargetMode="External"/><Relationship Id="rId506" Type="http://schemas.openxmlformats.org/officeDocument/2006/relationships/hyperlink" Target="https://twitter.com/CouponTrump/status/702811657010069504" TargetMode="External"/><Relationship Id="rId9057" Type="http://schemas.openxmlformats.org/officeDocument/2006/relationships/hyperlink" Target="https://pbs.twimg.com/profile_images/621211385746161664/tGchJstD_normal.jpg" TargetMode="External"/><Relationship Id="rId505" Type="http://schemas.openxmlformats.org/officeDocument/2006/relationships/hyperlink" Target="https://twitter.com/CouponTrump" TargetMode="External"/><Relationship Id="rId9056" Type="http://schemas.openxmlformats.org/officeDocument/2006/relationships/hyperlink" Target="https://twitter.com/wcmckeedotcom/status/703258128528379904" TargetMode="External"/><Relationship Id="rId504" Type="http://schemas.openxmlformats.org/officeDocument/2006/relationships/hyperlink" Target="https://pbs.twimg.com/profile_images/1576211833/8_normal.jpg" TargetMode="External"/><Relationship Id="rId9055" Type="http://schemas.openxmlformats.org/officeDocument/2006/relationships/hyperlink" Target="https://twitter.com/wcmckeedotcom" TargetMode="External"/><Relationship Id="rId9059" Type="http://schemas.openxmlformats.org/officeDocument/2006/relationships/hyperlink" Target="https://twitter.com/NowLivecodingtv/status/703258509014650880" TargetMode="External"/><Relationship Id="rId9050" Type="http://schemas.openxmlformats.org/officeDocument/2006/relationships/hyperlink" Target="https://twitter.com/AndrewBaidu/status/703257754388058113" TargetMode="External"/><Relationship Id="rId9043" Type="http://schemas.openxmlformats.org/officeDocument/2006/relationships/hyperlink" Target="https://twitter.com/NaimiRoaYusti" TargetMode="External"/><Relationship Id="rId9042" Type="http://schemas.openxmlformats.org/officeDocument/2006/relationships/hyperlink" Target="https://pbs.twimg.com/profile_images/2285556852/289i4ukzauc8k5z1jtlh_normal.jpeg" TargetMode="External"/><Relationship Id="rId9041" Type="http://schemas.openxmlformats.org/officeDocument/2006/relationships/hyperlink" Target="https://twitter.com/agramajo/status/703257367115341828" TargetMode="External"/><Relationship Id="rId9040" Type="http://schemas.openxmlformats.org/officeDocument/2006/relationships/hyperlink" Target="https://twitter.com/agramajo" TargetMode="External"/><Relationship Id="rId9047" Type="http://schemas.openxmlformats.org/officeDocument/2006/relationships/hyperlink" Target="https://twitter.com/NaimiRoaYusti/status/703257546174365697" TargetMode="External"/><Relationship Id="rId9046" Type="http://schemas.openxmlformats.org/officeDocument/2006/relationships/hyperlink" Target="https://twitter.com/NaimiRoaYusti" TargetMode="External"/><Relationship Id="rId9045" Type="http://schemas.openxmlformats.org/officeDocument/2006/relationships/hyperlink" Target="https://pbs.twimg.com/profile_images/500431298234548224/vWjjErVz_normal.jpeg" TargetMode="External"/><Relationship Id="rId9044" Type="http://schemas.openxmlformats.org/officeDocument/2006/relationships/hyperlink" Target="https://twitter.com/NaimiRoaYusti/status/703257413827297281" TargetMode="External"/><Relationship Id="rId9049" Type="http://schemas.openxmlformats.org/officeDocument/2006/relationships/hyperlink" Target="https://twitter.com/AndrewBaidu" TargetMode="External"/><Relationship Id="rId9048" Type="http://schemas.openxmlformats.org/officeDocument/2006/relationships/hyperlink" Target="https://pbs.twimg.com/profile_images/500431298234548224/vWjjErVz_normal.jpeg" TargetMode="External"/><Relationship Id="rId6803" Type="http://schemas.openxmlformats.org/officeDocument/2006/relationships/hyperlink" Target="https://twitter.com/artwisanggeni/status/703150817189072897" TargetMode="External"/><Relationship Id="rId6804" Type="http://schemas.openxmlformats.org/officeDocument/2006/relationships/hyperlink" Target="http://dlvr.it" TargetMode="External"/><Relationship Id="rId6801" Type="http://schemas.openxmlformats.org/officeDocument/2006/relationships/hyperlink" Target="https://pbs.twimg.com/profile_images/2813636657/599521f69e2bc210a57323b64d8e39e6_normal.jpeg" TargetMode="External"/><Relationship Id="rId6802" Type="http://schemas.openxmlformats.org/officeDocument/2006/relationships/hyperlink" Target="https://twitter.com/artwisanggeni" TargetMode="External"/><Relationship Id="rId6807" Type="http://schemas.openxmlformats.org/officeDocument/2006/relationships/hyperlink" Target="https://twitter.com/artwisanggeni/status/703150821265936384" TargetMode="External"/><Relationship Id="rId6808" Type="http://schemas.openxmlformats.org/officeDocument/2006/relationships/hyperlink" Target="http://dlvr.it" TargetMode="External"/><Relationship Id="rId6805" Type="http://schemas.openxmlformats.org/officeDocument/2006/relationships/hyperlink" Target="https://pbs.twimg.com/profile_images/2813636657/599521f69e2bc210a57323b64d8e39e6_normal.jpeg" TargetMode="External"/><Relationship Id="rId6806" Type="http://schemas.openxmlformats.org/officeDocument/2006/relationships/hyperlink" Target="https://twitter.com/artwisanggeni" TargetMode="External"/><Relationship Id="rId6809" Type="http://schemas.openxmlformats.org/officeDocument/2006/relationships/hyperlink" Target="https://pbs.twimg.com/profile_images/2813636657/599521f69e2bc210a57323b64d8e39e6_normal.jpeg" TargetMode="External"/><Relationship Id="rId9083" Type="http://schemas.openxmlformats.org/officeDocument/2006/relationships/hyperlink" Target="https://twitter.com/big_data_flow/status/703259493086404608" TargetMode="External"/><Relationship Id="rId9082" Type="http://schemas.openxmlformats.org/officeDocument/2006/relationships/hyperlink" Target="https://twitter.com/big_data_flow" TargetMode="External"/><Relationship Id="rId9081" Type="http://schemas.openxmlformats.org/officeDocument/2006/relationships/hyperlink" Target="https://pbs.twimg.com/profile_images/533325185672155137/Yysdur7z_normal.jpeg" TargetMode="External"/><Relationship Id="rId9080" Type="http://schemas.openxmlformats.org/officeDocument/2006/relationships/hyperlink" Target="https://twitter.com/MetroPulseUSA/status/703259285707358208" TargetMode="External"/><Relationship Id="rId525" Type="http://schemas.openxmlformats.org/officeDocument/2006/relationships/hyperlink" Target="https://twitter.com/artwisanggeni" TargetMode="External"/><Relationship Id="rId9076" Type="http://schemas.openxmlformats.org/officeDocument/2006/relationships/hyperlink" Target="https://twitter.com/rockitcat" TargetMode="External"/><Relationship Id="rId524" Type="http://schemas.openxmlformats.org/officeDocument/2006/relationships/hyperlink" Target="https://pbs.twimg.com/profile_images/545114417776439296/4eABUTJW_normal.jpeg" TargetMode="External"/><Relationship Id="rId9075" Type="http://schemas.openxmlformats.org/officeDocument/2006/relationships/hyperlink" Target="https://pbs.twimg.com/profile_images/687978747870380032/drl6ZI3K_normal.jpg" TargetMode="External"/><Relationship Id="rId523" Type="http://schemas.openxmlformats.org/officeDocument/2006/relationships/hyperlink" Target="https://twitter.com/Rehansingh012/status/702815032061497344" TargetMode="External"/><Relationship Id="rId9074" Type="http://schemas.openxmlformats.org/officeDocument/2006/relationships/hyperlink" Target="https://twitter.com/RecruiterOli/status/703259124138700800" TargetMode="External"/><Relationship Id="rId522" Type="http://schemas.openxmlformats.org/officeDocument/2006/relationships/hyperlink" Target="https://twitter.com/Rehansingh012" TargetMode="External"/><Relationship Id="rId9073" Type="http://schemas.openxmlformats.org/officeDocument/2006/relationships/hyperlink" Target="https://twitter.com/RecruiterOli" TargetMode="External"/><Relationship Id="rId529" Type="http://schemas.openxmlformats.org/officeDocument/2006/relationships/hyperlink" Target="https://twitter.com/berecruitment" TargetMode="External"/><Relationship Id="rId528" Type="http://schemas.openxmlformats.org/officeDocument/2006/relationships/hyperlink" Target="https://pbs.twimg.com/profile_images/2813636657/599521f69e2bc210a57323b64d8e39e6_normal.jpeg" TargetMode="External"/><Relationship Id="rId9079" Type="http://schemas.openxmlformats.org/officeDocument/2006/relationships/hyperlink" Target="https://twitter.com/MetroPulseUSA" TargetMode="External"/><Relationship Id="rId527" Type="http://schemas.openxmlformats.org/officeDocument/2006/relationships/hyperlink" Target="http://dlvr.it" TargetMode="External"/><Relationship Id="rId9078" Type="http://schemas.openxmlformats.org/officeDocument/2006/relationships/hyperlink" Target="https://pbs.twimg.com/profile_images/672551992921755649/0Ce_J_a6_normal.png" TargetMode="External"/><Relationship Id="rId526" Type="http://schemas.openxmlformats.org/officeDocument/2006/relationships/hyperlink" Target="https://twitter.com/artwisanggeni/status/702815109089865729" TargetMode="External"/><Relationship Id="rId9077" Type="http://schemas.openxmlformats.org/officeDocument/2006/relationships/hyperlink" Target="https://twitter.com/rockitcat/status/703259164357861379" TargetMode="External"/><Relationship Id="rId521" Type="http://schemas.openxmlformats.org/officeDocument/2006/relationships/hyperlink" Target="https://pbs.twimg.com/profile_images/2474433856/p075cerxh0arpea6ceip_normal.png" TargetMode="External"/><Relationship Id="rId520" Type="http://schemas.openxmlformats.org/officeDocument/2006/relationships/hyperlink" Target="https://twitter.com/py3k/status/702814620701036544" TargetMode="External"/><Relationship Id="rId6800" Type="http://schemas.openxmlformats.org/officeDocument/2006/relationships/hyperlink" Target="http://dlvr.it" TargetMode="External"/><Relationship Id="rId519" Type="http://schemas.openxmlformats.org/officeDocument/2006/relationships/hyperlink" Target="https://twitter.com/py3k" TargetMode="External"/><Relationship Id="rId9072" Type="http://schemas.openxmlformats.org/officeDocument/2006/relationships/hyperlink" Target="https://pbs.twimg.com/profile_images/1216345873/70755_100001902148705_8207987_q_normal.jpg" TargetMode="External"/><Relationship Id="rId9071" Type="http://schemas.openxmlformats.org/officeDocument/2006/relationships/hyperlink" Target="https://twitter.com/akucchan_world/status/703258908161249281" TargetMode="External"/><Relationship Id="rId9070" Type="http://schemas.openxmlformats.org/officeDocument/2006/relationships/hyperlink" Target="https://twitter.com/akucchan_world" TargetMode="External"/><Relationship Id="rId514" Type="http://schemas.openxmlformats.org/officeDocument/2006/relationships/hyperlink" Target="http://dlvr.it" TargetMode="External"/><Relationship Id="rId9065" Type="http://schemas.openxmlformats.org/officeDocument/2006/relationships/hyperlink" Target="https://twitter.com/NowLivecodingtv/status/703258556338987008" TargetMode="External"/><Relationship Id="rId513" Type="http://schemas.openxmlformats.org/officeDocument/2006/relationships/hyperlink" Target="https://twitter.com/PythonBooks/status/702813569876754432" TargetMode="External"/><Relationship Id="rId9064" Type="http://schemas.openxmlformats.org/officeDocument/2006/relationships/hyperlink" Target="https://twitter.com/NowLivecodingtv" TargetMode="External"/><Relationship Id="rId512" Type="http://schemas.openxmlformats.org/officeDocument/2006/relationships/hyperlink" Target="https://twitter.com/PythonBooks" TargetMode="External"/><Relationship Id="rId9063" Type="http://schemas.openxmlformats.org/officeDocument/2006/relationships/hyperlink" Target="https://pbs.twimg.com/profile_images/699984077877874688/aR2ovqId_normal.png" TargetMode="External"/><Relationship Id="rId511" Type="http://schemas.openxmlformats.org/officeDocument/2006/relationships/hyperlink" Target="https://pbs.twimg.com/profile_images/378800000030851202/b6bb871a13825bae9004a9aab3a1d726_normal.jpeg" TargetMode="External"/><Relationship Id="rId9062" Type="http://schemas.openxmlformats.org/officeDocument/2006/relationships/hyperlink" Target="https://twitter.com/NowLivecodingtv/status/703258523241746432" TargetMode="External"/><Relationship Id="rId518" Type="http://schemas.openxmlformats.org/officeDocument/2006/relationships/hyperlink" Target="https://pbs.twimg.com/profile_images/660029475451727872/V8dPGiJK_normal.jpg" TargetMode="External"/><Relationship Id="rId9069" Type="http://schemas.openxmlformats.org/officeDocument/2006/relationships/hyperlink" Target="https://pbs.twimg.com/profile_images/699984077877874688/aR2ovqId_normal.png" TargetMode="External"/><Relationship Id="rId517" Type="http://schemas.openxmlformats.org/officeDocument/2006/relationships/hyperlink" Target="https://twitter.com/e_sinfonier/status/702814042591731712" TargetMode="External"/><Relationship Id="rId9068" Type="http://schemas.openxmlformats.org/officeDocument/2006/relationships/hyperlink" Target="https://twitter.com/NowLivecodingtv/status/703258558444531712" TargetMode="External"/><Relationship Id="rId516" Type="http://schemas.openxmlformats.org/officeDocument/2006/relationships/hyperlink" Target="https://twitter.com/e_sinfonier" TargetMode="External"/><Relationship Id="rId9067" Type="http://schemas.openxmlformats.org/officeDocument/2006/relationships/hyperlink" Target="https://twitter.com/NowLivecodingtv" TargetMode="External"/><Relationship Id="rId515" Type="http://schemas.openxmlformats.org/officeDocument/2006/relationships/hyperlink" Target="https://pbs.twimg.com/profile_images/702455638157168640/AeDgtn0C_normal.jpg" TargetMode="External"/><Relationship Id="rId9066" Type="http://schemas.openxmlformats.org/officeDocument/2006/relationships/hyperlink" Target="https://pbs.twimg.com/profile_images/699984077877874688/aR2ovqId_normal.png" TargetMode="External"/><Relationship Id="rId510" Type="http://schemas.openxmlformats.org/officeDocument/2006/relationships/hyperlink" Target="https://twitter.com/PythonDaily/status/702813470148825088" TargetMode="External"/><Relationship Id="rId9010" Type="http://schemas.openxmlformats.org/officeDocument/2006/relationships/hyperlink" Target="https://twitter.com/CICSNC" TargetMode="External"/><Relationship Id="rId9014" Type="http://schemas.openxmlformats.org/officeDocument/2006/relationships/hyperlink" Target="https://twitter.com/PyQR/status/703255211750641664" TargetMode="External"/><Relationship Id="rId9013" Type="http://schemas.openxmlformats.org/officeDocument/2006/relationships/hyperlink" Target="https://twitter.com/PyQR" TargetMode="External"/><Relationship Id="rId9012" Type="http://schemas.openxmlformats.org/officeDocument/2006/relationships/hyperlink" Target="https://pbs.twimg.com/profile_images/520599033673289729/GlejqYFW_normal.png" TargetMode="External"/><Relationship Id="rId9011" Type="http://schemas.openxmlformats.org/officeDocument/2006/relationships/hyperlink" Target="https://twitter.com/CICSNC/status/703255193891282944" TargetMode="External"/><Relationship Id="rId9018" Type="http://schemas.openxmlformats.org/officeDocument/2006/relationships/hyperlink" Target="https://pbs.twimg.com/profile_images/662602436222193664/qKuvsfnG_normal.jpg" TargetMode="External"/><Relationship Id="rId9017" Type="http://schemas.openxmlformats.org/officeDocument/2006/relationships/hyperlink" Target="https://twitter.com/programmingncr/status/703255296882438144" TargetMode="External"/><Relationship Id="rId9016" Type="http://schemas.openxmlformats.org/officeDocument/2006/relationships/hyperlink" Target="https://twitter.com/programmingncr" TargetMode="External"/><Relationship Id="rId9015" Type="http://schemas.openxmlformats.org/officeDocument/2006/relationships/hyperlink" Target="https://pbs.twimg.com/profile_images/697722209880707072/SvTOptqw_normal.jpg" TargetMode="External"/><Relationship Id="rId9019" Type="http://schemas.openxmlformats.org/officeDocument/2006/relationships/hyperlink" Target="https://twitter.com/programmingncr" TargetMode="External"/><Relationship Id="rId9003" Type="http://schemas.openxmlformats.org/officeDocument/2006/relationships/hyperlink" Target="https://pbs.twimg.com/profile_images/441171255048171520/N0GVkvB9_normal.jpeg" TargetMode="External"/><Relationship Id="rId9002" Type="http://schemas.openxmlformats.org/officeDocument/2006/relationships/hyperlink" Target="https://twitter.com/RashaInTheCity/status/703254841787850757" TargetMode="External"/><Relationship Id="rId9001" Type="http://schemas.openxmlformats.org/officeDocument/2006/relationships/hyperlink" Target="https://twitter.com/RashaInTheCity" TargetMode="External"/><Relationship Id="rId9000" Type="http://schemas.openxmlformats.org/officeDocument/2006/relationships/hyperlink" Target="https://pbs.twimg.com/profile_images/651144292828758018/clJZSXsx_normal.jpg" TargetMode="External"/><Relationship Id="rId9007" Type="http://schemas.openxmlformats.org/officeDocument/2006/relationships/hyperlink" Target="https://twitter.com/Experfy" TargetMode="External"/><Relationship Id="rId9006" Type="http://schemas.openxmlformats.org/officeDocument/2006/relationships/hyperlink" Target="https://pbs.twimg.com/profile_images/452560765178744833/sQa_MbK3_normal.jpeg" TargetMode="External"/><Relationship Id="rId9005" Type="http://schemas.openxmlformats.org/officeDocument/2006/relationships/hyperlink" Target="https://twitter.com/doctaphred/status/703254967168053249" TargetMode="External"/><Relationship Id="rId9004" Type="http://schemas.openxmlformats.org/officeDocument/2006/relationships/hyperlink" Target="https://twitter.com/doctaphred" TargetMode="External"/><Relationship Id="rId9009" Type="http://schemas.openxmlformats.org/officeDocument/2006/relationships/hyperlink" Target="https://pbs.twimg.com/profile_images/459560989487153152/Zmyj0kMs_normal.png" TargetMode="External"/><Relationship Id="rId9008" Type="http://schemas.openxmlformats.org/officeDocument/2006/relationships/hyperlink" Target="https://twitter.com/Experfy/status/703255137477894144" TargetMode="External"/><Relationship Id="rId9032" Type="http://schemas.openxmlformats.org/officeDocument/2006/relationships/hyperlink" Target="https://twitter.com/PythonEggs/status/703257016299446272" TargetMode="External"/><Relationship Id="rId9031" Type="http://schemas.openxmlformats.org/officeDocument/2006/relationships/hyperlink" Target="https://twitter.com/PythonEggs" TargetMode="External"/><Relationship Id="rId9030" Type="http://schemas.openxmlformats.org/officeDocument/2006/relationships/hyperlink" Target="https://pbs.twimg.com/profile_images/485766134268837889/t4PLhSfT_normal.jpeg" TargetMode="External"/><Relationship Id="rId9036" Type="http://schemas.openxmlformats.org/officeDocument/2006/relationships/hyperlink" Target="https://pbs.twimg.com/profile_images/696226577386852352/yseUYL_3_normal.jpg" TargetMode="External"/><Relationship Id="rId9035" Type="http://schemas.openxmlformats.org/officeDocument/2006/relationships/hyperlink" Target="https://twitter.com/openmylab/status/703257212412559360" TargetMode="External"/><Relationship Id="rId9034" Type="http://schemas.openxmlformats.org/officeDocument/2006/relationships/hyperlink" Target="https://twitter.com/openmylab" TargetMode="External"/><Relationship Id="rId9033" Type="http://schemas.openxmlformats.org/officeDocument/2006/relationships/hyperlink" Target="https://pbs.twimg.com/profile_images/672831695536726018/zLybHV4e_normal.jpg" TargetMode="External"/><Relationship Id="rId9039" Type="http://schemas.openxmlformats.org/officeDocument/2006/relationships/hyperlink" Target="https://pbs.twimg.com/profile_images/1185650084/dagolden-oslo-sm_normal.jpg" TargetMode="External"/><Relationship Id="rId9038" Type="http://schemas.openxmlformats.org/officeDocument/2006/relationships/hyperlink" Target="https://twitter.com/xdg/status/703257316620177410" TargetMode="External"/><Relationship Id="rId9037" Type="http://schemas.openxmlformats.org/officeDocument/2006/relationships/hyperlink" Target="https://twitter.com/xdg" TargetMode="External"/><Relationship Id="rId9021" Type="http://schemas.openxmlformats.org/officeDocument/2006/relationships/hyperlink" Target="https://pbs.twimg.com/profile_images/662602436222193664/qKuvsfnG_normal.jpg" TargetMode="External"/><Relationship Id="rId9020" Type="http://schemas.openxmlformats.org/officeDocument/2006/relationships/hyperlink" Target="https://twitter.com/programmingncr/status/703255298232946689" TargetMode="External"/><Relationship Id="rId9025" Type="http://schemas.openxmlformats.org/officeDocument/2006/relationships/hyperlink" Target="https://twitter.com/MainlineSrl" TargetMode="External"/><Relationship Id="rId9024" Type="http://schemas.openxmlformats.org/officeDocument/2006/relationships/hyperlink" Target="https://pbs.twimg.com/profile_images/662602436222193664/qKuvsfnG_normal.jpg" TargetMode="External"/><Relationship Id="rId9023" Type="http://schemas.openxmlformats.org/officeDocument/2006/relationships/hyperlink" Target="https://twitter.com/programmingncr/status/703255299419983872" TargetMode="External"/><Relationship Id="rId9022" Type="http://schemas.openxmlformats.org/officeDocument/2006/relationships/hyperlink" Target="https://twitter.com/programmingncr" TargetMode="External"/><Relationship Id="rId9029" Type="http://schemas.openxmlformats.org/officeDocument/2006/relationships/hyperlink" Target="https://twitter.com/DrAndyPardoe/status/703256455777009666" TargetMode="External"/><Relationship Id="rId9028" Type="http://schemas.openxmlformats.org/officeDocument/2006/relationships/hyperlink" Target="https://twitter.com/DrAndyPardoe" TargetMode="External"/><Relationship Id="rId9027" Type="http://schemas.openxmlformats.org/officeDocument/2006/relationships/hyperlink" Target="https://pbs.twimg.com/profile_images/583273308067667968/u6hoxDGB_normal.png" TargetMode="External"/><Relationship Id="rId9026" Type="http://schemas.openxmlformats.org/officeDocument/2006/relationships/hyperlink" Target="https://twitter.com/MainlineSrl/status/703256167632510977" TargetMode="External"/><Relationship Id="rId4206" Type="http://schemas.openxmlformats.org/officeDocument/2006/relationships/hyperlink" Target="https://twitter.com/artwisanggeni" TargetMode="External"/><Relationship Id="rId5538" Type="http://schemas.openxmlformats.org/officeDocument/2006/relationships/hyperlink" Target="https://pbs.twimg.com/profile_images/530898010469715968/oC2vzGEQ_normal.png" TargetMode="External"/><Relationship Id="rId6869" Type="http://schemas.openxmlformats.org/officeDocument/2006/relationships/hyperlink" Target="https://twitter.com/JohReichard" TargetMode="External"/><Relationship Id="rId4205" Type="http://schemas.openxmlformats.org/officeDocument/2006/relationships/hyperlink" Target="https://pbs.twimg.com/profile_images/2813636657/599521f69e2bc210a57323b64d8e39e6_normal.jpeg" TargetMode="External"/><Relationship Id="rId5539" Type="http://schemas.openxmlformats.org/officeDocument/2006/relationships/hyperlink" Target="https://twitter.com/BigDataTweetBot" TargetMode="External"/><Relationship Id="rId4208" Type="http://schemas.openxmlformats.org/officeDocument/2006/relationships/hyperlink" Target="http://dlvr.it" TargetMode="External"/><Relationship Id="rId5536" Type="http://schemas.openxmlformats.org/officeDocument/2006/relationships/hyperlink" Target="https://twitter.com/versiontracker" TargetMode="External"/><Relationship Id="rId6867" Type="http://schemas.openxmlformats.org/officeDocument/2006/relationships/hyperlink" Target="https://twitter.com/HarriSrivastav/status/703152617422065665" TargetMode="External"/><Relationship Id="rId4207" Type="http://schemas.openxmlformats.org/officeDocument/2006/relationships/hyperlink" Target="https://twitter.com/artwisanggeni/status/702979709714305024" TargetMode="External"/><Relationship Id="rId5537" Type="http://schemas.openxmlformats.org/officeDocument/2006/relationships/hyperlink" Target="https://twitter.com/versiontracker/status/703064450375524352" TargetMode="External"/><Relationship Id="rId6868" Type="http://schemas.openxmlformats.org/officeDocument/2006/relationships/hyperlink" Target="https://pbs.twimg.com/profile_images/631722182180102145/d37Eq9sH_normal.jpg" TargetMode="External"/><Relationship Id="rId590" Type="http://schemas.openxmlformats.org/officeDocument/2006/relationships/hyperlink" Target="https://pbs.twimg.com/profile_images/656127186995429376/OmkbFgwI_normal.jpg" TargetMode="External"/><Relationship Id="rId4209" Type="http://schemas.openxmlformats.org/officeDocument/2006/relationships/hyperlink" Target="https://pbs.twimg.com/profile_images/2813636657/599521f69e2bc210a57323b64d8e39e6_normal.jpeg" TargetMode="External"/><Relationship Id="rId589" Type="http://schemas.openxmlformats.org/officeDocument/2006/relationships/hyperlink" Target="http://about.me/ffranz" TargetMode="External"/><Relationship Id="rId588" Type="http://schemas.openxmlformats.org/officeDocument/2006/relationships/hyperlink" Target="https://twitter.com/ffranz/status/702816080176267265" TargetMode="External"/><Relationship Id="rId583" Type="http://schemas.openxmlformats.org/officeDocument/2006/relationships/hyperlink" Target="https://pbs.twimg.com/profile_images/2721780582/24f9096111df5297ac42bf30b5352b3b_normal.jpeg" TargetMode="External"/><Relationship Id="rId5530" Type="http://schemas.openxmlformats.org/officeDocument/2006/relationships/hyperlink" Target="https://twitter.com/shakthimaan" TargetMode="External"/><Relationship Id="rId6861" Type="http://schemas.openxmlformats.org/officeDocument/2006/relationships/hyperlink" Target="https://twitter.com/jremes84/status/703152022946582529" TargetMode="External"/><Relationship Id="rId582" Type="http://schemas.openxmlformats.org/officeDocument/2006/relationships/hyperlink" Target="https://twitter.com/osantana/status/702815920528429056" TargetMode="External"/><Relationship Id="rId5531" Type="http://schemas.openxmlformats.org/officeDocument/2006/relationships/hyperlink" Target="https://twitter.com/shakthimaan/status/703064279121985538" TargetMode="External"/><Relationship Id="rId6862" Type="http://schemas.openxmlformats.org/officeDocument/2006/relationships/hyperlink" Target="https://pbs.twimg.com/profile_images/582215133843365889/LetiaCSH_normal.png" TargetMode="External"/><Relationship Id="rId581" Type="http://schemas.openxmlformats.org/officeDocument/2006/relationships/hyperlink" Target="https://twitter.com/osantana" TargetMode="External"/><Relationship Id="rId4200" Type="http://schemas.openxmlformats.org/officeDocument/2006/relationships/hyperlink" Target="http://dlvr.it" TargetMode="External"/><Relationship Id="rId580" Type="http://schemas.openxmlformats.org/officeDocument/2006/relationships/hyperlink" Target="https://pbs.twimg.com/profile_images/344513261568829423/5a7d0257036baf58b884dea7a3f5e182_normal.jpeg" TargetMode="External"/><Relationship Id="rId6860" Type="http://schemas.openxmlformats.org/officeDocument/2006/relationships/hyperlink" Target="https://twitter.com/jremes84" TargetMode="External"/><Relationship Id="rId587" Type="http://schemas.openxmlformats.org/officeDocument/2006/relationships/hyperlink" Target="https://twitter.com/ffranz" TargetMode="External"/><Relationship Id="rId4202" Type="http://schemas.openxmlformats.org/officeDocument/2006/relationships/hyperlink" Target="https://twitter.com/artwisanggeni" TargetMode="External"/><Relationship Id="rId5534" Type="http://schemas.openxmlformats.org/officeDocument/2006/relationships/hyperlink" Target="https://twitter.com/creative_punch/status/703064448194519040" TargetMode="External"/><Relationship Id="rId6865" Type="http://schemas.openxmlformats.org/officeDocument/2006/relationships/hyperlink" Target="https://pbs.twimg.com/profile_images/667759734276001792/ikgCh8sn_normal.png" TargetMode="External"/><Relationship Id="rId586" Type="http://schemas.openxmlformats.org/officeDocument/2006/relationships/hyperlink" Target="https://pbs.twimg.com/profile_images/622399891550117888/P7JSCH-W_normal.png" TargetMode="External"/><Relationship Id="rId4201" Type="http://schemas.openxmlformats.org/officeDocument/2006/relationships/hyperlink" Target="https://pbs.twimg.com/profile_images/2813636657/599521f69e2bc210a57323b64d8e39e6_normal.jpeg" TargetMode="External"/><Relationship Id="rId5535" Type="http://schemas.openxmlformats.org/officeDocument/2006/relationships/hyperlink" Target="https://pbs.twimg.com/profile_images/420579444982431745/j7uTAxtF_normal.png" TargetMode="External"/><Relationship Id="rId6866" Type="http://schemas.openxmlformats.org/officeDocument/2006/relationships/hyperlink" Target="https://twitter.com/HarriSrivastav" TargetMode="External"/><Relationship Id="rId585" Type="http://schemas.openxmlformats.org/officeDocument/2006/relationships/hyperlink" Target="https://twitter.com/gustavohenriq/status/702815931089735680" TargetMode="External"/><Relationship Id="rId4204" Type="http://schemas.openxmlformats.org/officeDocument/2006/relationships/hyperlink" Target="http://dlvr.it" TargetMode="External"/><Relationship Id="rId5532" Type="http://schemas.openxmlformats.org/officeDocument/2006/relationships/hyperlink" Target="https://pbs.twimg.com/profile_images/655719564345368576/hX8ps0OB_normal.png" TargetMode="External"/><Relationship Id="rId6863" Type="http://schemas.openxmlformats.org/officeDocument/2006/relationships/hyperlink" Target="https://twitter.com/komodoide" TargetMode="External"/><Relationship Id="rId584" Type="http://schemas.openxmlformats.org/officeDocument/2006/relationships/hyperlink" Target="https://twitter.com/gustavohenriq" TargetMode="External"/><Relationship Id="rId4203" Type="http://schemas.openxmlformats.org/officeDocument/2006/relationships/hyperlink" Target="https://twitter.com/artwisanggeni/status/702979705960402944" TargetMode="External"/><Relationship Id="rId5533" Type="http://schemas.openxmlformats.org/officeDocument/2006/relationships/hyperlink" Target="https://twitter.com/creative_punch" TargetMode="External"/><Relationship Id="rId6864" Type="http://schemas.openxmlformats.org/officeDocument/2006/relationships/hyperlink" Target="https://twitter.com/komodoide/status/703152590289129473" TargetMode="External"/><Relationship Id="rId5527" Type="http://schemas.openxmlformats.org/officeDocument/2006/relationships/hyperlink" Target="https://twitter.com/RashmiRnSethy" TargetMode="External"/><Relationship Id="rId6858" Type="http://schemas.openxmlformats.org/officeDocument/2006/relationships/hyperlink" Target="https://twitter.com/AirwentGames/status/703151978562457600" TargetMode="External"/><Relationship Id="rId5528" Type="http://schemas.openxmlformats.org/officeDocument/2006/relationships/hyperlink" Target="https://twitter.com/RashmiRnSethy/status/703063286363856896" TargetMode="External"/><Relationship Id="rId6859" Type="http://schemas.openxmlformats.org/officeDocument/2006/relationships/hyperlink" Target="https://pbs.twimg.com/profile_images/677771192279932929/YqEN8wX9_normal.png" TargetMode="External"/><Relationship Id="rId5525" Type="http://schemas.openxmlformats.org/officeDocument/2006/relationships/hyperlink" Target="https://twitter.com/Pugliafashion/status/703062369455480832" TargetMode="External"/><Relationship Id="rId6856" Type="http://schemas.openxmlformats.org/officeDocument/2006/relationships/hyperlink" Target="https://pbs.twimg.com/profile_images/593526370937876480/UqX0p6bg_normal.jpg" TargetMode="External"/><Relationship Id="rId5526" Type="http://schemas.openxmlformats.org/officeDocument/2006/relationships/hyperlink" Target="https://pbs.twimg.com/profile_images/521311951553449984/hS9lIdSa_normal.png" TargetMode="External"/><Relationship Id="rId6857" Type="http://schemas.openxmlformats.org/officeDocument/2006/relationships/hyperlink" Target="https://twitter.com/AirwentGames" TargetMode="External"/><Relationship Id="rId5529" Type="http://schemas.openxmlformats.org/officeDocument/2006/relationships/hyperlink" Target="https://pbs.twimg.com/profile_images/507769924001878016/UsRwSg_A_normal.jpeg" TargetMode="External"/><Relationship Id="rId579" Type="http://schemas.openxmlformats.org/officeDocument/2006/relationships/hyperlink" Target="https://twitter.com/grobaczynski/status/702815845387382791" TargetMode="External"/><Relationship Id="rId578" Type="http://schemas.openxmlformats.org/officeDocument/2006/relationships/hyperlink" Target="https://twitter.com/grobaczynski" TargetMode="External"/><Relationship Id="rId577" Type="http://schemas.openxmlformats.org/officeDocument/2006/relationships/hyperlink" Target="https://pbs.twimg.com/profile_images/412770462146379777/KKpdNo9U_normal.jpeg" TargetMode="External"/><Relationship Id="rId572" Type="http://schemas.openxmlformats.org/officeDocument/2006/relationships/hyperlink" Target="https://twitter.com/brainchatbot" TargetMode="External"/><Relationship Id="rId6850" Type="http://schemas.openxmlformats.org/officeDocument/2006/relationships/hyperlink" Target="https://pbs.twimg.com/profile_images/3272414315/6100aa5e267d6fc1e2e67b0782d34134_normal.jpeg" TargetMode="External"/><Relationship Id="rId571" Type="http://schemas.openxmlformats.org/officeDocument/2006/relationships/hyperlink" Target="https://pbs.twimg.com/profile_images/512625755/icon_normal.gif" TargetMode="External"/><Relationship Id="rId5520" Type="http://schemas.openxmlformats.org/officeDocument/2006/relationships/hyperlink" Target="https://pbs.twimg.com/profile_images/572091631055028224/Pkx__FSB_normal.png" TargetMode="External"/><Relationship Id="rId6851" Type="http://schemas.openxmlformats.org/officeDocument/2006/relationships/hyperlink" Target="https://twitter.com/zaidkhanintel" TargetMode="External"/><Relationship Id="rId570" Type="http://schemas.openxmlformats.org/officeDocument/2006/relationships/hyperlink" Target="https://twitter.com/tek_news/status/702815321099472896" TargetMode="External"/><Relationship Id="rId576" Type="http://schemas.openxmlformats.org/officeDocument/2006/relationships/hyperlink" Target="https://twitter.com/brainchatbot/status/702815807257059329" TargetMode="External"/><Relationship Id="rId5523" Type="http://schemas.openxmlformats.org/officeDocument/2006/relationships/hyperlink" Target="https://abs.twimg.com/sticky/default_profile_images/default_profile_5_normal.png" TargetMode="External"/><Relationship Id="rId6854" Type="http://schemas.openxmlformats.org/officeDocument/2006/relationships/hyperlink" Target="https://twitter.com/jdimov" TargetMode="External"/><Relationship Id="rId575" Type="http://schemas.openxmlformats.org/officeDocument/2006/relationships/hyperlink" Target="https://twitter.com/brainchatbot" TargetMode="External"/><Relationship Id="rId5524" Type="http://schemas.openxmlformats.org/officeDocument/2006/relationships/hyperlink" Target="https://twitter.com/Pugliafashion" TargetMode="External"/><Relationship Id="rId6855" Type="http://schemas.openxmlformats.org/officeDocument/2006/relationships/hyperlink" Target="https://twitter.com/jdimov/status/703151735913598981" TargetMode="External"/><Relationship Id="rId574" Type="http://schemas.openxmlformats.org/officeDocument/2006/relationships/hyperlink" Target="https://pbs.twimg.com/profile_images/412770462146379777/KKpdNo9U_normal.jpeg" TargetMode="External"/><Relationship Id="rId5521" Type="http://schemas.openxmlformats.org/officeDocument/2006/relationships/hyperlink" Target="https://twitter.com/knowledge_cheat" TargetMode="External"/><Relationship Id="rId6852" Type="http://schemas.openxmlformats.org/officeDocument/2006/relationships/hyperlink" Target="https://twitter.com/zaidkhanintel/status/703151395776495620" TargetMode="External"/><Relationship Id="rId573" Type="http://schemas.openxmlformats.org/officeDocument/2006/relationships/hyperlink" Target="https://twitter.com/brainchatbot/status/702815804488859648" TargetMode="External"/><Relationship Id="rId5522" Type="http://schemas.openxmlformats.org/officeDocument/2006/relationships/hyperlink" Target="https://twitter.com/knowledge_cheat/status/703062201129500673" TargetMode="External"/><Relationship Id="rId6853" Type="http://schemas.openxmlformats.org/officeDocument/2006/relationships/hyperlink" Target="https://pbs.twimg.com/profile_images/634422118810161153/F7Dlof87_normal.jpg" TargetMode="External"/><Relationship Id="rId4228" Type="http://schemas.openxmlformats.org/officeDocument/2006/relationships/hyperlink" Target="https://twitter.com/mthipparthi" TargetMode="External"/><Relationship Id="rId4227" Type="http://schemas.openxmlformats.org/officeDocument/2006/relationships/hyperlink" Target="https://pbs.twimg.com/profile_images/677493910256484352/-EdVaVPl_normal.jpg" TargetMode="External"/><Relationship Id="rId5558" Type="http://schemas.openxmlformats.org/officeDocument/2006/relationships/hyperlink" Target="https://twitter.com/JoshuaLongUK/status/703066638179028992" TargetMode="External"/><Relationship Id="rId6889" Type="http://schemas.openxmlformats.org/officeDocument/2006/relationships/hyperlink" Target="https://twitter.com/pejonz/status/703153691310723072" TargetMode="External"/><Relationship Id="rId4229" Type="http://schemas.openxmlformats.org/officeDocument/2006/relationships/hyperlink" Target="https://twitter.com/mthipparthi/status/702980014971588608" TargetMode="External"/><Relationship Id="rId5559" Type="http://schemas.openxmlformats.org/officeDocument/2006/relationships/hyperlink" Target="https://pbs.twimg.com/profile_images/627996138403168256/DaASdgVr_normal.jpg" TargetMode="External"/><Relationship Id="rId6880" Type="http://schemas.openxmlformats.org/officeDocument/2006/relationships/hyperlink" Target="https://twitter.com/plon_io/status/703153084847894528" TargetMode="External"/><Relationship Id="rId4220" Type="http://schemas.openxmlformats.org/officeDocument/2006/relationships/hyperlink" Target="https://twitter.com/JoshuaLongUK/status/702979817965285380" TargetMode="External"/><Relationship Id="rId5552" Type="http://schemas.openxmlformats.org/officeDocument/2006/relationships/hyperlink" Target="https://twitter.com/programmingncr/status/703066218383671297" TargetMode="External"/><Relationship Id="rId6883" Type="http://schemas.openxmlformats.org/officeDocument/2006/relationships/hyperlink" Target="https://twitter.com/erlanghacker/status/703153250803929088" TargetMode="External"/><Relationship Id="rId5553" Type="http://schemas.openxmlformats.org/officeDocument/2006/relationships/hyperlink" Target="https://pbs.twimg.com/profile_images/662602436222193664/qKuvsfnG_normal.jpg" TargetMode="External"/><Relationship Id="rId6884" Type="http://schemas.openxmlformats.org/officeDocument/2006/relationships/hyperlink" Target="https://pbs.twimg.com/profile_images/510065976658784256/ZzEuNqY0_normal.jpeg" TargetMode="External"/><Relationship Id="rId4222" Type="http://schemas.openxmlformats.org/officeDocument/2006/relationships/hyperlink" Target="https://twitter.com/MTotolrahaman" TargetMode="External"/><Relationship Id="rId5550" Type="http://schemas.openxmlformats.org/officeDocument/2006/relationships/hyperlink" Target="https://pbs.twimg.com/profile_images/702455638157168640/AeDgtn0C_normal.jpg" TargetMode="External"/><Relationship Id="rId6881" Type="http://schemas.openxmlformats.org/officeDocument/2006/relationships/hyperlink" Target="https://pbs.twimg.com/profile_images/589367041536176128/TfjOhvci_normal.png" TargetMode="External"/><Relationship Id="rId4221" Type="http://schemas.openxmlformats.org/officeDocument/2006/relationships/hyperlink" Target="https://pbs.twimg.com/profile_images/627996138403168256/DaASdgVr_normal.jpg" TargetMode="External"/><Relationship Id="rId5551" Type="http://schemas.openxmlformats.org/officeDocument/2006/relationships/hyperlink" Target="https://twitter.com/programmingncr" TargetMode="External"/><Relationship Id="rId6882" Type="http://schemas.openxmlformats.org/officeDocument/2006/relationships/hyperlink" Target="https://twitter.com/erlanghacker" TargetMode="External"/><Relationship Id="rId4224" Type="http://schemas.openxmlformats.org/officeDocument/2006/relationships/hyperlink" Target="https://pbs.twimg.com/profile_images/677493910256484352/-EdVaVPl_normal.jpg" TargetMode="External"/><Relationship Id="rId5556" Type="http://schemas.openxmlformats.org/officeDocument/2006/relationships/hyperlink" Target="https://pbs.twimg.com/profile_images/662602436222193664/qKuvsfnG_normal.jpg" TargetMode="External"/><Relationship Id="rId6887" Type="http://schemas.openxmlformats.org/officeDocument/2006/relationships/hyperlink" Target="https://pbs.twimg.com/profile_images/551815722645479425/shEvNYQP_normal.jpeg" TargetMode="External"/><Relationship Id="rId4223" Type="http://schemas.openxmlformats.org/officeDocument/2006/relationships/hyperlink" Target="https://twitter.com/MTotolrahaman/status/702979893429194752" TargetMode="External"/><Relationship Id="rId5557" Type="http://schemas.openxmlformats.org/officeDocument/2006/relationships/hyperlink" Target="https://twitter.com/JoshuaLongUK" TargetMode="External"/><Relationship Id="rId6888" Type="http://schemas.openxmlformats.org/officeDocument/2006/relationships/hyperlink" Target="https://twitter.com/pejonz" TargetMode="External"/><Relationship Id="rId4226" Type="http://schemas.openxmlformats.org/officeDocument/2006/relationships/hyperlink" Target="https://twitter.com/MTotolrahaman/status/702979902396637184" TargetMode="External"/><Relationship Id="rId5554" Type="http://schemas.openxmlformats.org/officeDocument/2006/relationships/hyperlink" Target="https://twitter.com/programmingncr" TargetMode="External"/><Relationship Id="rId6885" Type="http://schemas.openxmlformats.org/officeDocument/2006/relationships/hyperlink" Target="https://twitter.com/ashish_fagna" TargetMode="External"/><Relationship Id="rId4225" Type="http://schemas.openxmlformats.org/officeDocument/2006/relationships/hyperlink" Target="https://twitter.com/MTotolrahaman" TargetMode="External"/><Relationship Id="rId5555" Type="http://schemas.openxmlformats.org/officeDocument/2006/relationships/hyperlink" Target="https://twitter.com/programmingncr/status/703066219931443200" TargetMode="External"/><Relationship Id="rId6886" Type="http://schemas.openxmlformats.org/officeDocument/2006/relationships/hyperlink" Target="https://twitter.com/ashish_fagna/status/703153276238180352" TargetMode="External"/><Relationship Id="rId4217" Type="http://schemas.openxmlformats.org/officeDocument/2006/relationships/hyperlink" Target="https://twitter.com/JoshuaLongUK/status/702979817004769280" TargetMode="External"/><Relationship Id="rId5549" Type="http://schemas.openxmlformats.org/officeDocument/2006/relationships/hyperlink" Target="https://twitter.com/PythonBooks/status/703066078348357632" TargetMode="External"/><Relationship Id="rId4216" Type="http://schemas.openxmlformats.org/officeDocument/2006/relationships/hyperlink" Target="https://twitter.com/JoshuaLongUK" TargetMode="External"/><Relationship Id="rId4219" Type="http://schemas.openxmlformats.org/officeDocument/2006/relationships/hyperlink" Target="https://twitter.com/JoshuaLongUK" TargetMode="External"/><Relationship Id="rId5547" Type="http://schemas.openxmlformats.org/officeDocument/2006/relationships/hyperlink" Target="https://pbs.twimg.com/profile_images/649004216690675712/UAcrP6ol_normal.png" TargetMode="External"/><Relationship Id="rId6878" Type="http://schemas.openxmlformats.org/officeDocument/2006/relationships/hyperlink" Target="https://twitter.com/plon_io" TargetMode="External"/><Relationship Id="rId4218" Type="http://schemas.openxmlformats.org/officeDocument/2006/relationships/hyperlink" Target="https://pbs.twimg.com/profile_images/627996138403168256/DaASdgVr_normal.jpg" TargetMode="External"/><Relationship Id="rId5548" Type="http://schemas.openxmlformats.org/officeDocument/2006/relationships/hyperlink" Target="https://twitter.com/PythonBooks" TargetMode="External"/><Relationship Id="rId6879" Type="http://schemas.openxmlformats.org/officeDocument/2006/relationships/hyperlink" Target="http://plon.io" TargetMode="External"/><Relationship Id="rId599" Type="http://schemas.openxmlformats.org/officeDocument/2006/relationships/hyperlink" Target="https://pbs.twimg.com/profile_images/469794283453558784/CbA0Ga3v_normal.jpeg" TargetMode="External"/><Relationship Id="rId594" Type="http://schemas.openxmlformats.org/officeDocument/2006/relationships/hyperlink" Target="https://twitter.com/ukstartupjobs" TargetMode="External"/><Relationship Id="rId5541" Type="http://schemas.openxmlformats.org/officeDocument/2006/relationships/hyperlink" Target="https://pbs.twimg.com/profile_images/616793252524650496/bQbxJqmz_normal.jpg" TargetMode="External"/><Relationship Id="rId6872" Type="http://schemas.openxmlformats.org/officeDocument/2006/relationships/hyperlink" Target="https://twitter.com/FULLBRIDGEjp" TargetMode="External"/><Relationship Id="rId593" Type="http://schemas.openxmlformats.org/officeDocument/2006/relationships/hyperlink" Target="https://pbs.twimg.com/profile_images/572091631055028224/Pkx__FSB_normal.png" TargetMode="External"/><Relationship Id="rId5542" Type="http://schemas.openxmlformats.org/officeDocument/2006/relationships/hyperlink" Target="https://twitter.com/copyconstruct" TargetMode="External"/><Relationship Id="rId6873" Type="http://schemas.openxmlformats.org/officeDocument/2006/relationships/hyperlink" Target="https://twitter.com/FULLBRIDGEjp/status/703152972197265408" TargetMode="External"/><Relationship Id="rId592" Type="http://schemas.openxmlformats.org/officeDocument/2006/relationships/hyperlink" Target="https://twitter.com/cool_python/status/702816105170145280" TargetMode="External"/><Relationship Id="rId4211" Type="http://schemas.openxmlformats.org/officeDocument/2006/relationships/hyperlink" Target="https://twitter.com/HartwigMicheal/status/702979722687483905" TargetMode="External"/><Relationship Id="rId6870" Type="http://schemas.openxmlformats.org/officeDocument/2006/relationships/hyperlink" Target="https://twitter.com/JohReichard/status/703152967633883136" TargetMode="External"/><Relationship Id="rId591" Type="http://schemas.openxmlformats.org/officeDocument/2006/relationships/hyperlink" Target="https://twitter.com/cool_python" TargetMode="External"/><Relationship Id="rId4210" Type="http://schemas.openxmlformats.org/officeDocument/2006/relationships/hyperlink" Target="https://twitter.com/HartwigMicheal" TargetMode="External"/><Relationship Id="rId5540" Type="http://schemas.openxmlformats.org/officeDocument/2006/relationships/hyperlink" Target="https://twitter.com/BigDataTweetBot/status/703064487583227904" TargetMode="External"/><Relationship Id="rId6871" Type="http://schemas.openxmlformats.org/officeDocument/2006/relationships/hyperlink" Target="https://pbs.twimg.com/profile_images/612153021842214912/sccyNJtH_normal.jpg" TargetMode="External"/><Relationship Id="rId598" Type="http://schemas.openxmlformats.org/officeDocument/2006/relationships/hyperlink" Target="https://twitter.com/Ryad45/status/702816767102550016" TargetMode="External"/><Relationship Id="rId4213" Type="http://schemas.openxmlformats.org/officeDocument/2006/relationships/hyperlink" Target="https://twitter.com/HartwigMicheal" TargetMode="External"/><Relationship Id="rId5545" Type="http://schemas.openxmlformats.org/officeDocument/2006/relationships/hyperlink" Target="https://twitter.com/art_control" TargetMode="External"/><Relationship Id="rId6876" Type="http://schemas.openxmlformats.org/officeDocument/2006/relationships/hyperlink" Target="https://twitter.com/wcmckeedotcom/status/703153016178737152" TargetMode="External"/><Relationship Id="rId597" Type="http://schemas.openxmlformats.org/officeDocument/2006/relationships/hyperlink" Target="https://twitter.com/Ryad45" TargetMode="External"/><Relationship Id="rId4212" Type="http://schemas.openxmlformats.org/officeDocument/2006/relationships/hyperlink" Target="https://pbs.twimg.com/profile_images/679948461953781761/pDo9356K_normal.jpg" TargetMode="External"/><Relationship Id="rId5546" Type="http://schemas.openxmlformats.org/officeDocument/2006/relationships/hyperlink" Target="https://twitter.com/art_control/status/703065884403900416" TargetMode="External"/><Relationship Id="rId6877" Type="http://schemas.openxmlformats.org/officeDocument/2006/relationships/hyperlink" Target="https://pbs.twimg.com/profile_images/621211385746161664/tGchJstD_normal.jpg" TargetMode="External"/><Relationship Id="rId596" Type="http://schemas.openxmlformats.org/officeDocument/2006/relationships/hyperlink" Target="https://pbs.twimg.com/profile_images/485423511289077760/3_6qLqLv_normal.png" TargetMode="External"/><Relationship Id="rId4215" Type="http://schemas.openxmlformats.org/officeDocument/2006/relationships/hyperlink" Target="https://pbs.twimg.com/profile_images/679948461953781761/pDo9356K_normal.jpg" TargetMode="External"/><Relationship Id="rId5543" Type="http://schemas.openxmlformats.org/officeDocument/2006/relationships/hyperlink" Target="https://twitter.com/copyconstruct/status/703064940999880704" TargetMode="External"/><Relationship Id="rId6874" Type="http://schemas.openxmlformats.org/officeDocument/2006/relationships/hyperlink" Target="https://pbs.twimg.com/profile_images/378800000821720665/5a21b9f027f382e90fcc1323374a9ec2_normal.jpeg" TargetMode="External"/><Relationship Id="rId595" Type="http://schemas.openxmlformats.org/officeDocument/2006/relationships/hyperlink" Target="https://twitter.com/ukstartupjobs/status/702816652472221696" TargetMode="External"/><Relationship Id="rId4214" Type="http://schemas.openxmlformats.org/officeDocument/2006/relationships/hyperlink" Target="https://twitter.com/HartwigMicheal/status/702979731831001090" TargetMode="External"/><Relationship Id="rId5544" Type="http://schemas.openxmlformats.org/officeDocument/2006/relationships/hyperlink" Target="https://pbs.twimg.com/profile_images/647164275148984320/z27kvl4X_normal.jpg" TargetMode="External"/><Relationship Id="rId6875" Type="http://schemas.openxmlformats.org/officeDocument/2006/relationships/hyperlink" Target="https://twitter.com/wcmckeedotcom" TargetMode="External"/><Relationship Id="rId6825" Type="http://schemas.openxmlformats.org/officeDocument/2006/relationships/hyperlink" Target="https://pbs.twimg.com/profile_images/2813636657/599521f69e2bc210a57323b64d8e39e6_normal.jpeg" TargetMode="External"/><Relationship Id="rId6826" Type="http://schemas.openxmlformats.org/officeDocument/2006/relationships/hyperlink" Target="https://twitter.com/artwisanggeni" TargetMode="External"/><Relationship Id="rId6823" Type="http://schemas.openxmlformats.org/officeDocument/2006/relationships/hyperlink" Target="https://twitter.com/artwisanggeni/status/703150838718402561" TargetMode="External"/><Relationship Id="rId6824" Type="http://schemas.openxmlformats.org/officeDocument/2006/relationships/hyperlink" Target="http://dlvr.it" TargetMode="External"/><Relationship Id="rId6829" Type="http://schemas.openxmlformats.org/officeDocument/2006/relationships/hyperlink" Target="https://pbs.twimg.com/profile_images/2813636657/599521f69e2bc210a57323b64d8e39e6_normal.jpeg" TargetMode="External"/><Relationship Id="rId6827" Type="http://schemas.openxmlformats.org/officeDocument/2006/relationships/hyperlink" Target="https://twitter.com/artwisanggeni/status/703150842069692416" TargetMode="External"/><Relationship Id="rId6828" Type="http://schemas.openxmlformats.org/officeDocument/2006/relationships/hyperlink" Target="http://dlvr.it" TargetMode="External"/><Relationship Id="rId547" Type="http://schemas.openxmlformats.org/officeDocument/2006/relationships/hyperlink" Target="http://dlvr.it" TargetMode="External"/><Relationship Id="rId9098" Type="http://schemas.openxmlformats.org/officeDocument/2006/relationships/hyperlink" Target="https://twitter.com/fcolmenero/status/703260220361986053" TargetMode="External"/><Relationship Id="rId546" Type="http://schemas.openxmlformats.org/officeDocument/2006/relationships/hyperlink" Target="https://twitter.com/artwisanggeni/status/702815124466208768" TargetMode="External"/><Relationship Id="rId9097" Type="http://schemas.openxmlformats.org/officeDocument/2006/relationships/hyperlink" Target="https://twitter.com/fcolmenero" TargetMode="External"/><Relationship Id="rId545" Type="http://schemas.openxmlformats.org/officeDocument/2006/relationships/hyperlink" Target="https://twitter.com/artwisanggeni" TargetMode="External"/><Relationship Id="rId9096" Type="http://schemas.openxmlformats.org/officeDocument/2006/relationships/hyperlink" Target="https://pbs.twimg.com/profile_images/1534398708/168303_1812321466208_1185151278_2143933_1226313_n_normal.jpg" TargetMode="External"/><Relationship Id="rId544" Type="http://schemas.openxmlformats.org/officeDocument/2006/relationships/hyperlink" Target="https://pbs.twimg.com/profile_images/2813636657/599521f69e2bc210a57323b64d8e39e6_normal.jpeg" TargetMode="External"/><Relationship Id="rId9095" Type="http://schemas.openxmlformats.org/officeDocument/2006/relationships/hyperlink" Target="https://twitter.com/Lola_Garlochi/status/703260063360798720" TargetMode="External"/><Relationship Id="rId549" Type="http://schemas.openxmlformats.org/officeDocument/2006/relationships/hyperlink" Target="https://twitter.com/artwisanggeni" TargetMode="External"/><Relationship Id="rId548" Type="http://schemas.openxmlformats.org/officeDocument/2006/relationships/hyperlink" Target="https://pbs.twimg.com/profile_images/2813636657/599521f69e2bc210a57323b64d8e39e6_normal.jpeg" TargetMode="External"/><Relationship Id="rId9099" Type="http://schemas.openxmlformats.org/officeDocument/2006/relationships/hyperlink" Target="https://pbs.twimg.com/profile_images/523179289638731776/dJyIiYSR_normal.png" TargetMode="External"/><Relationship Id="rId543" Type="http://schemas.openxmlformats.org/officeDocument/2006/relationships/hyperlink" Target="http://dlvr.it" TargetMode="External"/><Relationship Id="rId6821" Type="http://schemas.openxmlformats.org/officeDocument/2006/relationships/hyperlink" Target="https://pbs.twimg.com/profile_images/2813636657/599521f69e2bc210a57323b64d8e39e6_normal.jpeg" TargetMode="External"/><Relationship Id="rId542" Type="http://schemas.openxmlformats.org/officeDocument/2006/relationships/hyperlink" Target="https://twitter.com/artwisanggeni/status/702815121244946432" TargetMode="External"/><Relationship Id="rId6822" Type="http://schemas.openxmlformats.org/officeDocument/2006/relationships/hyperlink" Target="https://twitter.com/artwisanggeni" TargetMode="External"/><Relationship Id="rId541" Type="http://schemas.openxmlformats.org/officeDocument/2006/relationships/hyperlink" Target="https://twitter.com/artwisanggeni" TargetMode="External"/><Relationship Id="rId540" Type="http://schemas.openxmlformats.org/officeDocument/2006/relationships/hyperlink" Target="https://pbs.twimg.com/profile_images/2813636657/599521f69e2bc210a57323b64d8e39e6_normal.jpeg" TargetMode="External"/><Relationship Id="rId6820" Type="http://schemas.openxmlformats.org/officeDocument/2006/relationships/hyperlink" Target="http://dlvr.it" TargetMode="External"/><Relationship Id="rId6814" Type="http://schemas.openxmlformats.org/officeDocument/2006/relationships/hyperlink" Target="https://twitter.com/artwisanggeni" TargetMode="External"/><Relationship Id="rId6815" Type="http://schemas.openxmlformats.org/officeDocument/2006/relationships/hyperlink" Target="https://twitter.com/artwisanggeni/status/703150831361626112" TargetMode="External"/><Relationship Id="rId6812" Type="http://schemas.openxmlformats.org/officeDocument/2006/relationships/hyperlink" Target="http://dlvr.it" TargetMode="External"/><Relationship Id="rId6813" Type="http://schemas.openxmlformats.org/officeDocument/2006/relationships/hyperlink" Target="https://pbs.twimg.com/profile_images/2813636657/599521f69e2bc210a57323b64d8e39e6_normal.jpeg" TargetMode="External"/><Relationship Id="rId6818" Type="http://schemas.openxmlformats.org/officeDocument/2006/relationships/hyperlink" Target="https://twitter.com/artwisanggeni" TargetMode="External"/><Relationship Id="rId6819" Type="http://schemas.openxmlformats.org/officeDocument/2006/relationships/hyperlink" Target="https://twitter.com/artwisanggeni/status/703150835350392837" TargetMode="External"/><Relationship Id="rId6816" Type="http://schemas.openxmlformats.org/officeDocument/2006/relationships/hyperlink" Target="http://dlvr.it" TargetMode="External"/><Relationship Id="rId6817" Type="http://schemas.openxmlformats.org/officeDocument/2006/relationships/hyperlink" Target="https://pbs.twimg.com/profile_images/2813636657/599521f69e2bc210a57323b64d8e39e6_normal.jpeg" TargetMode="External"/><Relationship Id="rId9090" Type="http://schemas.openxmlformats.org/officeDocument/2006/relationships/hyperlink" Target="https://pbs.twimg.com/profile_images/606709569511780354/AuhqSVfQ_normal.jpg" TargetMode="External"/><Relationship Id="rId9094" Type="http://schemas.openxmlformats.org/officeDocument/2006/relationships/hyperlink" Target="https://twitter.com/Lola_Garlochi" TargetMode="External"/><Relationship Id="rId9093" Type="http://schemas.openxmlformats.org/officeDocument/2006/relationships/hyperlink" Target="https://pbs.twimg.com/profile_images/662039977849589760/-bw8hiZo_normal.jpg" TargetMode="External"/><Relationship Id="rId9092" Type="http://schemas.openxmlformats.org/officeDocument/2006/relationships/hyperlink" Target="https://twitter.com/McArthurRecruit/status/703259846515281920" TargetMode="External"/><Relationship Id="rId9091" Type="http://schemas.openxmlformats.org/officeDocument/2006/relationships/hyperlink" Target="https://twitter.com/McArthurRecruit" TargetMode="External"/><Relationship Id="rId536" Type="http://schemas.openxmlformats.org/officeDocument/2006/relationships/hyperlink" Target="https://pbs.twimg.com/profile_images/2813636657/599521f69e2bc210a57323b64d8e39e6_normal.jpeg" TargetMode="External"/><Relationship Id="rId9087" Type="http://schemas.openxmlformats.org/officeDocument/2006/relationships/hyperlink" Target="https://pbs.twimg.com/profile_images/1211123351/Tony-Ojeda2_normal.JPG" TargetMode="External"/><Relationship Id="rId535" Type="http://schemas.openxmlformats.org/officeDocument/2006/relationships/hyperlink" Target="http://dlvr.it" TargetMode="External"/><Relationship Id="rId9086" Type="http://schemas.openxmlformats.org/officeDocument/2006/relationships/hyperlink" Target="https://twitter.com/tonyojeda3/status/703259515693748224" TargetMode="External"/><Relationship Id="rId534" Type="http://schemas.openxmlformats.org/officeDocument/2006/relationships/hyperlink" Target="https://twitter.com/artwisanggeni/status/702815113120579584" TargetMode="External"/><Relationship Id="rId9085" Type="http://schemas.openxmlformats.org/officeDocument/2006/relationships/hyperlink" Target="https://twitter.com/tonyojeda3" TargetMode="External"/><Relationship Id="rId533" Type="http://schemas.openxmlformats.org/officeDocument/2006/relationships/hyperlink" Target="https://twitter.com/artwisanggeni" TargetMode="External"/><Relationship Id="rId9084" Type="http://schemas.openxmlformats.org/officeDocument/2006/relationships/hyperlink" Target="https://pbs.twimg.com/profile_images/681034665923317761/G4LHHc1n_normal.jpg" TargetMode="External"/><Relationship Id="rId539" Type="http://schemas.openxmlformats.org/officeDocument/2006/relationships/hyperlink" Target="http://dlvr.it" TargetMode="External"/><Relationship Id="rId538" Type="http://schemas.openxmlformats.org/officeDocument/2006/relationships/hyperlink" Target="https://twitter.com/artwisanggeni/status/702815117356838912" TargetMode="External"/><Relationship Id="rId9089" Type="http://schemas.openxmlformats.org/officeDocument/2006/relationships/hyperlink" Target="https://twitter.com/uzudocs/status/703259660254457856" TargetMode="External"/><Relationship Id="rId537" Type="http://schemas.openxmlformats.org/officeDocument/2006/relationships/hyperlink" Target="https://twitter.com/artwisanggeni" TargetMode="External"/><Relationship Id="rId9088" Type="http://schemas.openxmlformats.org/officeDocument/2006/relationships/hyperlink" Target="https://twitter.com/uzudocs" TargetMode="External"/><Relationship Id="rId532" Type="http://schemas.openxmlformats.org/officeDocument/2006/relationships/hyperlink" Target="https://pbs.twimg.com/profile_images/560374173327839232/PRMmbRyU_normal.png" TargetMode="External"/><Relationship Id="rId6810" Type="http://schemas.openxmlformats.org/officeDocument/2006/relationships/hyperlink" Target="https://twitter.com/artwisanggeni" TargetMode="External"/><Relationship Id="rId531" Type="http://schemas.openxmlformats.org/officeDocument/2006/relationships/hyperlink" Target="https://twitter.com/berecruitment/status/702815111854080000" TargetMode="External"/><Relationship Id="rId6811" Type="http://schemas.openxmlformats.org/officeDocument/2006/relationships/hyperlink" Target="https://twitter.com/artwisanggeni/status/703150825841913856" TargetMode="External"/><Relationship Id="rId530" Type="http://schemas.openxmlformats.org/officeDocument/2006/relationships/hyperlink" Target="http://RecruitmentLAB.be" TargetMode="External"/><Relationship Id="rId5516" Type="http://schemas.openxmlformats.org/officeDocument/2006/relationships/hyperlink" Target="https://twitter.com/0x4171341/status/703061595866451968" TargetMode="External"/><Relationship Id="rId6847" Type="http://schemas.openxmlformats.org/officeDocument/2006/relationships/hyperlink" Target="https://pbs.twimg.com/profile_images/481334978161029120/iu3zZFEk_normal.png" TargetMode="External"/><Relationship Id="rId5517" Type="http://schemas.openxmlformats.org/officeDocument/2006/relationships/hyperlink" Target="https://pbs.twimg.com/profile_images/699100795560706049/XKhU3-aC_normal.jpg" TargetMode="External"/><Relationship Id="rId6848" Type="http://schemas.openxmlformats.org/officeDocument/2006/relationships/hyperlink" Target="https://twitter.com/QuantInsti" TargetMode="External"/><Relationship Id="rId5514" Type="http://schemas.openxmlformats.org/officeDocument/2006/relationships/hyperlink" Target="https://pbs.twimg.com/profile_images/2474433856/p075cerxh0arpea6ceip_normal.png" TargetMode="External"/><Relationship Id="rId6845" Type="http://schemas.openxmlformats.org/officeDocument/2006/relationships/hyperlink" Target="https://twitter.com/ameanmbot" TargetMode="External"/><Relationship Id="rId5515" Type="http://schemas.openxmlformats.org/officeDocument/2006/relationships/hyperlink" Target="https://twitter.com/0x4171341" TargetMode="External"/><Relationship Id="rId6846" Type="http://schemas.openxmlformats.org/officeDocument/2006/relationships/hyperlink" Target="https://twitter.com/ameanmbot/status/703151018628911104" TargetMode="External"/><Relationship Id="rId5518" Type="http://schemas.openxmlformats.org/officeDocument/2006/relationships/hyperlink" Target="https://twitter.com/cool_python" TargetMode="External"/><Relationship Id="rId6849" Type="http://schemas.openxmlformats.org/officeDocument/2006/relationships/hyperlink" Target="https://twitter.com/QuantInsti/status/703151299722743808" TargetMode="External"/><Relationship Id="rId5519" Type="http://schemas.openxmlformats.org/officeDocument/2006/relationships/hyperlink" Target="https://twitter.com/cool_python/status/703062197275115520" TargetMode="External"/><Relationship Id="rId569" Type="http://schemas.openxmlformats.org/officeDocument/2006/relationships/hyperlink" Target="https://twitter.com/tek_news" TargetMode="External"/><Relationship Id="rId568" Type="http://schemas.openxmlformats.org/officeDocument/2006/relationships/hyperlink" Target="https://pbs.twimg.com/profile_images/2813636657/599521f69e2bc210a57323b64d8e39e6_normal.jpeg" TargetMode="External"/><Relationship Id="rId567" Type="http://schemas.openxmlformats.org/officeDocument/2006/relationships/hyperlink" Target="http://dlvr.it" TargetMode="External"/><Relationship Id="rId566" Type="http://schemas.openxmlformats.org/officeDocument/2006/relationships/hyperlink" Target="https://twitter.com/artwisanggeni/status/702815144624033792" TargetMode="External"/><Relationship Id="rId561" Type="http://schemas.openxmlformats.org/officeDocument/2006/relationships/hyperlink" Target="https://twitter.com/artwisanggeni" TargetMode="External"/><Relationship Id="rId560" Type="http://schemas.openxmlformats.org/officeDocument/2006/relationships/hyperlink" Target="https://pbs.twimg.com/profile_images/2813636657/599521f69e2bc210a57323b64d8e39e6_normal.jpeg" TargetMode="External"/><Relationship Id="rId6840" Type="http://schemas.openxmlformats.org/officeDocument/2006/relationships/hyperlink" Target="https://twitter.com/ameanmbot/status/703151011922186240" TargetMode="External"/><Relationship Id="rId565" Type="http://schemas.openxmlformats.org/officeDocument/2006/relationships/hyperlink" Target="https://twitter.com/artwisanggeni" TargetMode="External"/><Relationship Id="rId5512" Type="http://schemas.openxmlformats.org/officeDocument/2006/relationships/hyperlink" Target="https://twitter.com/py3k" TargetMode="External"/><Relationship Id="rId6843" Type="http://schemas.openxmlformats.org/officeDocument/2006/relationships/hyperlink" Target="https://twitter.com/LillianEdmiston/status/703151016267481088" TargetMode="External"/><Relationship Id="rId564" Type="http://schemas.openxmlformats.org/officeDocument/2006/relationships/hyperlink" Target="https://pbs.twimg.com/profile_images/2813636657/599521f69e2bc210a57323b64d8e39e6_normal.jpeg" TargetMode="External"/><Relationship Id="rId5513" Type="http://schemas.openxmlformats.org/officeDocument/2006/relationships/hyperlink" Target="https://twitter.com/py3k/status/703061129153667072" TargetMode="External"/><Relationship Id="rId6844" Type="http://schemas.openxmlformats.org/officeDocument/2006/relationships/hyperlink" Target="https://pbs.twimg.com/profile_images/655014978101993476/ZpsnJW8B_normal.jpg" TargetMode="External"/><Relationship Id="rId563" Type="http://schemas.openxmlformats.org/officeDocument/2006/relationships/hyperlink" Target="http://dlvr.it" TargetMode="External"/><Relationship Id="rId5510" Type="http://schemas.openxmlformats.org/officeDocument/2006/relationships/hyperlink" Target="https://twitter.com/shakamunyi/status/703060907413344256" TargetMode="External"/><Relationship Id="rId6841" Type="http://schemas.openxmlformats.org/officeDocument/2006/relationships/hyperlink" Target="https://pbs.twimg.com/profile_images/481334978161029120/iu3zZFEk_normal.png" TargetMode="External"/><Relationship Id="rId562" Type="http://schemas.openxmlformats.org/officeDocument/2006/relationships/hyperlink" Target="https://twitter.com/artwisanggeni/status/702815140706553856" TargetMode="External"/><Relationship Id="rId5511" Type="http://schemas.openxmlformats.org/officeDocument/2006/relationships/hyperlink" Target="https://pbs.twimg.com/profile_images/598640478657978368/PgSHeCsJ_normal.jpg" TargetMode="External"/><Relationship Id="rId6842" Type="http://schemas.openxmlformats.org/officeDocument/2006/relationships/hyperlink" Target="https://twitter.com/LillianEdmiston" TargetMode="External"/><Relationship Id="rId5505" Type="http://schemas.openxmlformats.org/officeDocument/2006/relationships/hyperlink" Target="https://pbs.twimg.com/profile_images/685478616189112323/r66BxUXE_normal.jpg" TargetMode="External"/><Relationship Id="rId6836" Type="http://schemas.openxmlformats.org/officeDocument/2006/relationships/hyperlink" Target="https://twitter.com/ameanmbot" TargetMode="External"/><Relationship Id="rId5506" Type="http://schemas.openxmlformats.org/officeDocument/2006/relationships/hyperlink" Target="https://twitter.com/art_control" TargetMode="External"/><Relationship Id="rId6837" Type="http://schemas.openxmlformats.org/officeDocument/2006/relationships/hyperlink" Target="https://twitter.com/ameanmbot/status/703151010491998208" TargetMode="External"/><Relationship Id="rId5503" Type="http://schemas.openxmlformats.org/officeDocument/2006/relationships/hyperlink" Target="https://twitter.com/Drux_One" TargetMode="External"/><Relationship Id="rId6834" Type="http://schemas.openxmlformats.org/officeDocument/2006/relationships/hyperlink" Target="https://twitter.com/LillianEdmiston/status/703151009502068737" TargetMode="External"/><Relationship Id="rId5504" Type="http://schemas.openxmlformats.org/officeDocument/2006/relationships/hyperlink" Target="https://twitter.com/Drux_One/status/703060216011628544" TargetMode="External"/><Relationship Id="rId6835" Type="http://schemas.openxmlformats.org/officeDocument/2006/relationships/hyperlink" Target="https://pbs.twimg.com/profile_images/655014978101993476/ZpsnJW8B_normal.jpg" TargetMode="External"/><Relationship Id="rId5509" Type="http://schemas.openxmlformats.org/officeDocument/2006/relationships/hyperlink" Target="https://twitter.com/shakamunyi" TargetMode="External"/><Relationship Id="rId5507" Type="http://schemas.openxmlformats.org/officeDocument/2006/relationships/hyperlink" Target="https://twitter.com/art_control/status/703060754891743232" TargetMode="External"/><Relationship Id="rId6838" Type="http://schemas.openxmlformats.org/officeDocument/2006/relationships/hyperlink" Target="https://pbs.twimg.com/profile_images/481334978161029120/iu3zZFEk_normal.png" TargetMode="External"/><Relationship Id="rId5508" Type="http://schemas.openxmlformats.org/officeDocument/2006/relationships/hyperlink" Target="https://pbs.twimg.com/profile_images/649004216690675712/UAcrP6ol_normal.png" TargetMode="External"/><Relationship Id="rId6839" Type="http://schemas.openxmlformats.org/officeDocument/2006/relationships/hyperlink" Target="https://twitter.com/ameanmbot" TargetMode="External"/><Relationship Id="rId558" Type="http://schemas.openxmlformats.org/officeDocument/2006/relationships/hyperlink" Target="https://twitter.com/artwisanggeni/status/702815135778254848" TargetMode="External"/><Relationship Id="rId557" Type="http://schemas.openxmlformats.org/officeDocument/2006/relationships/hyperlink" Target="https://twitter.com/artwisanggeni" TargetMode="External"/><Relationship Id="rId556" Type="http://schemas.openxmlformats.org/officeDocument/2006/relationships/hyperlink" Target="https://pbs.twimg.com/profile_images/2813636657/599521f69e2bc210a57323b64d8e39e6_normal.jpeg" TargetMode="External"/><Relationship Id="rId555" Type="http://schemas.openxmlformats.org/officeDocument/2006/relationships/hyperlink" Target="http://dlvr.it" TargetMode="External"/><Relationship Id="rId559" Type="http://schemas.openxmlformats.org/officeDocument/2006/relationships/hyperlink" Target="http://dlvr.it" TargetMode="External"/><Relationship Id="rId550" Type="http://schemas.openxmlformats.org/officeDocument/2006/relationships/hyperlink" Target="https://twitter.com/artwisanggeni/status/702815127876214784" TargetMode="External"/><Relationship Id="rId554" Type="http://schemas.openxmlformats.org/officeDocument/2006/relationships/hyperlink" Target="https://twitter.com/artwisanggeni/status/702815131676225536" TargetMode="External"/><Relationship Id="rId5501" Type="http://schemas.openxmlformats.org/officeDocument/2006/relationships/hyperlink" Target="https://twitter.com/HouYadda/status/703060089134059520" TargetMode="External"/><Relationship Id="rId6832" Type="http://schemas.openxmlformats.org/officeDocument/2006/relationships/hyperlink" Target="https://pbs.twimg.com/profile_images/655014978101993476/ZpsnJW8B_normal.jpg" TargetMode="External"/><Relationship Id="rId553" Type="http://schemas.openxmlformats.org/officeDocument/2006/relationships/hyperlink" Target="https://twitter.com/artwisanggeni" TargetMode="External"/><Relationship Id="rId5502" Type="http://schemas.openxmlformats.org/officeDocument/2006/relationships/hyperlink" Target="https://pbs.twimg.com/profile_images/653143598528077824/M9ZR2FSh_normal.jpg" TargetMode="External"/><Relationship Id="rId6833" Type="http://schemas.openxmlformats.org/officeDocument/2006/relationships/hyperlink" Target="https://twitter.com/LillianEdmiston" TargetMode="External"/><Relationship Id="rId552" Type="http://schemas.openxmlformats.org/officeDocument/2006/relationships/hyperlink" Target="https://pbs.twimg.com/profile_images/2813636657/599521f69e2bc210a57323b64d8e39e6_normal.jpeg" TargetMode="External"/><Relationship Id="rId6830" Type="http://schemas.openxmlformats.org/officeDocument/2006/relationships/hyperlink" Target="https://twitter.com/LillianEdmiston" TargetMode="External"/><Relationship Id="rId551" Type="http://schemas.openxmlformats.org/officeDocument/2006/relationships/hyperlink" Target="http://dlvr.it" TargetMode="External"/><Relationship Id="rId5500" Type="http://schemas.openxmlformats.org/officeDocument/2006/relationships/hyperlink" Target="https://twitter.com/HouYadda" TargetMode="External"/><Relationship Id="rId6831" Type="http://schemas.openxmlformats.org/officeDocument/2006/relationships/hyperlink" Target="https://twitter.com/LillianEdmiston/status/703151007824367618" TargetMode="External"/><Relationship Id="rId4280" Type="http://schemas.openxmlformats.org/officeDocument/2006/relationships/hyperlink" Target="https://twitter.com/pypsych" TargetMode="External"/><Relationship Id="rId4282" Type="http://schemas.openxmlformats.org/officeDocument/2006/relationships/hyperlink" Target="https://abs.twimg.com/sticky/default_profile_images/default_profile_1_normal.png" TargetMode="External"/><Relationship Id="rId4281" Type="http://schemas.openxmlformats.org/officeDocument/2006/relationships/hyperlink" Target="https://twitter.com/pypsych/status/702984524821561346" TargetMode="External"/><Relationship Id="rId4284" Type="http://schemas.openxmlformats.org/officeDocument/2006/relationships/hyperlink" Target="https://twitter.com/facilcloud/status/702984540441223169" TargetMode="External"/><Relationship Id="rId4283" Type="http://schemas.openxmlformats.org/officeDocument/2006/relationships/hyperlink" Target="https://twitter.com/facilcloud" TargetMode="External"/><Relationship Id="rId4286" Type="http://schemas.openxmlformats.org/officeDocument/2006/relationships/hyperlink" Target="https://twitter.com/AdamSmitht1" TargetMode="External"/><Relationship Id="rId4285" Type="http://schemas.openxmlformats.org/officeDocument/2006/relationships/hyperlink" Target="https://pbs.twimg.com/profile_images/613000942003351552/VXcNRVCX_normal.png" TargetMode="External"/><Relationship Id="rId4288" Type="http://schemas.openxmlformats.org/officeDocument/2006/relationships/hyperlink" Target="https://pbs.twimg.com/profile_images/671623862916812800/yGsDKiP4_normal.jpg" TargetMode="External"/><Relationship Id="rId4287" Type="http://schemas.openxmlformats.org/officeDocument/2006/relationships/hyperlink" Target="https://twitter.com/AdamSmitht1/status/702985505676337152" TargetMode="External"/><Relationship Id="rId4289" Type="http://schemas.openxmlformats.org/officeDocument/2006/relationships/hyperlink" Target="https://twitter.com/AdamSmitht1" TargetMode="External"/><Relationship Id="rId4271" Type="http://schemas.openxmlformats.org/officeDocument/2006/relationships/hyperlink" Target="https://twitter.com/MarinerLLC" TargetMode="External"/><Relationship Id="rId4270" Type="http://schemas.openxmlformats.org/officeDocument/2006/relationships/hyperlink" Target="https://pbs.twimg.com/profile_images/522536769502195712/cG1yitHo_normal.jpeg" TargetMode="External"/><Relationship Id="rId4273" Type="http://schemas.openxmlformats.org/officeDocument/2006/relationships/hyperlink" Target="https://pbs.twimg.com/profile_images/3502729434/95675e6f45ad2e1bbc6c5736995ec15c_normal.png" TargetMode="External"/><Relationship Id="rId4272" Type="http://schemas.openxmlformats.org/officeDocument/2006/relationships/hyperlink" Target="https://twitter.com/MarinerLLC/status/702983471086641153" TargetMode="External"/><Relationship Id="rId4275" Type="http://schemas.openxmlformats.org/officeDocument/2006/relationships/hyperlink" Target="https://twitter.com/RealJoeGuy/status/702983967725785088" TargetMode="External"/><Relationship Id="rId4274" Type="http://schemas.openxmlformats.org/officeDocument/2006/relationships/hyperlink" Target="https://twitter.com/RealJoeGuy" TargetMode="External"/><Relationship Id="rId4277" Type="http://schemas.openxmlformats.org/officeDocument/2006/relationships/hyperlink" Target="https://twitter.com/tonyojeda3" TargetMode="External"/><Relationship Id="rId4276" Type="http://schemas.openxmlformats.org/officeDocument/2006/relationships/hyperlink" Target="https://pbs.twimg.com/profile_images/1684373225/Joe_Guy_normal.jpg" TargetMode="External"/><Relationship Id="rId4279" Type="http://schemas.openxmlformats.org/officeDocument/2006/relationships/hyperlink" Target="https://pbs.twimg.com/profile_images/1211123351/Tony-Ojeda2_normal.JPG" TargetMode="External"/><Relationship Id="rId4278" Type="http://schemas.openxmlformats.org/officeDocument/2006/relationships/hyperlink" Target="https://twitter.com/tonyojeda3/status/702984029319122948" TargetMode="External"/><Relationship Id="rId4291" Type="http://schemas.openxmlformats.org/officeDocument/2006/relationships/hyperlink" Target="https://pbs.twimg.com/profile_images/671623862916812800/yGsDKiP4_normal.jpg" TargetMode="External"/><Relationship Id="rId4290" Type="http://schemas.openxmlformats.org/officeDocument/2006/relationships/hyperlink" Target="https://twitter.com/AdamSmitht1/status/702985507828047872" TargetMode="External"/><Relationship Id="rId4293" Type="http://schemas.openxmlformats.org/officeDocument/2006/relationships/hyperlink" Target="https://twitter.com/AdamSmitht1/status/702985512500518914" TargetMode="External"/><Relationship Id="rId4292" Type="http://schemas.openxmlformats.org/officeDocument/2006/relationships/hyperlink" Target="https://twitter.com/AdamSmitht1" TargetMode="External"/><Relationship Id="rId4295" Type="http://schemas.openxmlformats.org/officeDocument/2006/relationships/hyperlink" Target="https://twitter.com/AdamSmitht1" TargetMode="External"/><Relationship Id="rId4294" Type="http://schemas.openxmlformats.org/officeDocument/2006/relationships/hyperlink" Target="https://pbs.twimg.com/profile_images/671623862916812800/yGsDKiP4_normal.jpg" TargetMode="External"/><Relationship Id="rId4297" Type="http://schemas.openxmlformats.org/officeDocument/2006/relationships/hyperlink" Target="https://pbs.twimg.com/profile_images/671623862916812800/yGsDKiP4_normal.jpg" TargetMode="External"/><Relationship Id="rId4296" Type="http://schemas.openxmlformats.org/officeDocument/2006/relationships/hyperlink" Target="https://twitter.com/AdamSmitht1/status/702985516170477568" TargetMode="External"/><Relationship Id="rId4299" Type="http://schemas.openxmlformats.org/officeDocument/2006/relationships/hyperlink" Target="https://twitter.com/yoavram/status/702985571531157505" TargetMode="External"/><Relationship Id="rId4298" Type="http://schemas.openxmlformats.org/officeDocument/2006/relationships/hyperlink" Target="https://twitter.com/yoavram" TargetMode="External"/><Relationship Id="rId4249" Type="http://schemas.openxmlformats.org/officeDocument/2006/relationships/hyperlink" Target="https://twitter.com/rwangca" TargetMode="External"/><Relationship Id="rId5570" Type="http://schemas.openxmlformats.org/officeDocument/2006/relationships/hyperlink" Target="https://twitter.com/jayeshks/status/703066908334002177" TargetMode="External"/><Relationship Id="rId5571" Type="http://schemas.openxmlformats.org/officeDocument/2006/relationships/hyperlink" Target="https://abs.twimg.com/sticky/default_profile_images/default_profile_2_normal.png" TargetMode="External"/><Relationship Id="rId4240" Type="http://schemas.openxmlformats.org/officeDocument/2006/relationships/hyperlink" Target="https://twitter.com/NeuvooNewYork0" TargetMode="External"/><Relationship Id="rId4242" Type="http://schemas.openxmlformats.org/officeDocument/2006/relationships/hyperlink" Target="https://pbs.twimg.com/profile_images/698371768269021185/NWsl5goW_normal.png" TargetMode="External"/><Relationship Id="rId5574" Type="http://schemas.openxmlformats.org/officeDocument/2006/relationships/hyperlink" Target="https://pbs.twimg.com/profile_images/702455638157168640/AeDgtn0C_normal.jpg" TargetMode="External"/><Relationship Id="rId4241" Type="http://schemas.openxmlformats.org/officeDocument/2006/relationships/hyperlink" Target="https://twitter.com/NeuvooNewYork0/status/702980388268937216" TargetMode="External"/><Relationship Id="rId5575" Type="http://schemas.openxmlformats.org/officeDocument/2006/relationships/hyperlink" Target="https://twitter.com/MeganSpeir" TargetMode="External"/><Relationship Id="rId4244" Type="http://schemas.openxmlformats.org/officeDocument/2006/relationships/hyperlink" Target="https://twitter.com/majorhettich/status/702980445206663169" TargetMode="External"/><Relationship Id="rId5572" Type="http://schemas.openxmlformats.org/officeDocument/2006/relationships/hyperlink" Target="https://twitter.com/PythonBooks" TargetMode="External"/><Relationship Id="rId4243" Type="http://schemas.openxmlformats.org/officeDocument/2006/relationships/hyperlink" Target="https://twitter.com/majorhettich" TargetMode="External"/><Relationship Id="rId5573" Type="http://schemas.openxmlformats.org/officeDocument/2006/relationships/hyperlink" Target="https://twitter.com/PythonBooks/status/703067985645146112" TargetMode="External"/><Relationship Id="rId4246" Type="http://schemas.openxmlformats.org/officeDocument/2006/relationships/hyperlink" Target="https://twitter.com/unicodeveloper" TargetMode="External"/><Relationship Id="rId5578" Type="http://schemas.openxmlformats.org/officeDocument/2006/relationships/hyperlink" Target="https://twitter.com/StephLKim" TargetMode="External"/><Relationship Id="rId4245" Type="http://schemas.openxmlformats.org/officeDocument/2006/relationships/hyperlink" Target="https://pbs.twimg.com/profile_images/532929936688812032/nZpcuPFq_normal.jpeg" TargetMode="External"/><Relationship Id="rId5579" Type="http://schemas.openxmlformats.org/officeDocument/2006/relationships/hyperlink" Target="https://twitter.com/StephLKim/status/703068170051956737" TargetMode="External"/><Relationship Id="rId4248" Type="http://schemas.openxmlformats.org/officeDocument/2006/relationships/hyperlink" Target="https://pbs.twimg.com/profile_images/652935949198884864/A-dz00-a_normal.png" TargetMode="External"/><Relationship Id="rId5576" Type="http://schemas.openxmlformats.org/officeDocument/2006/relationships/hyperlink" Target="https://twitter.com/MeganSpeir/status/703068085482205184" TargetMode="External"/><Relationship Id="rId4247" Type="http://schemas.openxmlformats.org/officeDocument/2006/relationships/hyperlink" Target="https://twitter.com/unicodeveloper/status/702980614174195712" TargetMode="External"/><Relationship Id="rId5577" Type="http://schemas.openxmlformats.org/officeDocument/2006/relationships/hyperlink" Target="https://pbs.twimg.com/profile_images/378800000412738531/c224de0963f9012e5ce14aaec9908726_normal.jpeg" TargetMode="External"/><Relationship Id="rId4239" Type="http://schemas.openxmlformats.org/officeDocument/2006/relationships/hyperlink" Target="https://pbs.twimg.com/profile_images/626462458094452736/81icvhyd_normal.png" TargetMode="External"/><Relationship Id="rId4238" Type="http://schemas.openxmlformats.org/officeDocument/2006/relationships/hyperlink" Target="https://twitter.com/TeamEdhesive/status/702980347680661505" TargetMode="External"/><Relationship Id="rId5569" Type="http://schemas.openxmlformats.org/officeDocument/2006/relationships/hyperlink" Target="https://twitter.com/jayeshks" TargetMode="External"/><Relationship Id="rId6890" Type="http://schemas.openxmlformats.org/officeDocument/2006/relationships/hyperlink" Target="https://pbs.twimg.com/profile_images/500253996792037377/2p8jeE6u_normal.jpeg" TargetMode="External"/><Relationship Id="rId5560" Type="http://schemas.openxmlformats.org/officeDocument/2006/relationships/hyperlink" Target="https://twitter.com/JoshuaLongUK" TargetMode="External"/><Relationship Id="rId6891" Type="http://schemas.openxmlformats.org/officeDocument/2006/relationships/hyperlink" Target="https://twitter.com/MichelleJanosi" TargetMode="External"/><Relationship Id="rId495" Type="http://schemas.openxmlformats.org/officeDocument/2006/relationships/hyperlink" Target="https://pbs.twimg.com/profile_images/602900150982434816/m8NhOJEH_normal.jpg" TargetMode="External"/><Relationship Id="rId4231" Type="http://schemas.openxmlformats.org/officeDocument/2006/relationships/hyperlink" Target="https://twitter.com/superbobry" TargetMode="External"/><Relationship Id="rId5563" Type="http://schemas.openxmlformats.org/officeDocument/2006/relationships/hyperlink" Target="https://twitter.com/kevlbass1024" TargetMode="External"/><Relationship Id="rId6894" Type="http://schemas.openxmlformats.org/officeDocument/2006/relationships/hyperlink" Target="https://twitter.com/verbeiren" TargetMode="External"/><Relationship Id="rId494" Type="http://schemas.openxmlformats.org/officeDocument/2006/relationships/hyperlink" Target="https://twitter.com/HerTurk_/status/702809613687771136" TargetMode="External"/><Relationship Id="rId4230" Type="http://schemas.openxmlformats.org/officeDocument/2006/relationships/hyperlink" Target="https://abs.twimg.com/sticky/default_profile_images/default_profile_3_normal.png" TargetMode="External"/><Relationship Id="rId5564" Type="http://schemas.openxmlformats.org/officeDocument/2006/relationships/hyperlink" Target="https://twitter.com/kevlbass1024/status/703066766243713024" TargetMode="External"/><Relationship Id="rId6895" Type="http://schemas.openxmlformats.org/officeDocument/2006/relationships/hyperlink" Target="https://twitter.com/verbeiren/status/703153834273538048" TargetMode="External"/><Relationship Id="rId493" Type="http://schemas.openxmlformats.org/officeDocument/2006/relationships/hyperlink" Target="https://twitter.com/HerTurk_" TargetMode="External"/><Relationship Id="rId4233" Type="http://schemas.openxmlformats.org/officeDocument/2006/relationships/hyperlink" Target="https://pbs.twimg.com/profile_images/664519682137960448/LCW2x5sj_normal.jpg" TargetMode="External"/><Relationship Id="rId5561" Type="http://schemas.openxmlformats.org/officeDocument/2006/relationships/hyperlink" Target="https://twitter.com/JoshuaLongUK/status/703066640397819904" TargetMode="External"/><Relationship Id="rId6892" Type="http://schemas.openxmlformats.org/officeDocument/2006/relationships/hyperlink" Target="https://twitter.com/MichelleJanosi/status/703153696926879744" TargetMode="External"/><Relationship Id="rId492" Type="http://schemas.openxmlformats.org/officeDocument/2006/relationships/hyperlink" Target="https://pbs.twimg.com/profile_images/439453102119206912/i5x3_qmb_normal.png" TargetMode="External"/><Relationship Id="rId4232" Type="http://schemas.openxmlformats.org/officeDocument/2006/relationships/hyperlink" Target="https://twitter.com/superbobry/status/702980027655299074" TargetMode="External"/><Relationship Id="rId5562" Type="http://schemas.openxmlformats.org/officeDocument/2006/relationships/hyperlink" Target="https://pbs.twimg.com/profile_images/627996138403168256/DaASdgVr_normal.jpg" TargetMode="External"/><Relationship Id="rId6893" Type="http://schemas.openxmlformats.org/officeDocument/2006/relationships/hyperlink" Target="https://pbs.twimg.com/profile_images/689772581310717953/FUlyI50B_normal.jpg" TargetMode="External"/><Relationship Id="rId499" Type="http://schemas.openxmlformats.org/officeDocument/2006/relationships/hyperlink" Target="https://twitter.com/dsracoon" TargetMode="External"/><Relationship Id="rId4235" Type="http://schemas.openxmlformats.org/officeDocument/2006/relationships/hyperlink" Target="https://twitter.com/vllanteng/status/702980200661983232" TargetMode="External"/><Relationship Id="rId5567" Type="http://schemas.openxmlformats.org/officeDocument/2006/relationships/hyperlink" Target="https://twitter.com/NoSQLDigest/status/703066806718574592" TargetMode="External"/><Relationship Id="rId6898" Type="http://schemas.openxmlformats.org/officeDocument/2006/relationships/hyperlink" Target="https://twitter.com/pflueras/status/703153941068906496" TargetMode="External"/><Relationship Id="rId498" Type="http://schemas.openxmlformats.org/officeDocument/2006/relationships/hyperlink" Target="https://pbs.twimg.com/profile_images/702455638157168640/AeDgtn0C_normal.jpg" TargetMode="External"/><Relationship Id="rId4234" Type="http://schemas.openxmlformats.org/officeDocument/2006/relationships/hyperlink" Target="https://twitter.com/vllanteng" TargetMode="External"/><Relationship Id="rId5568" Type="http://schemas.openxmlformats.org/officeDocument/2006/relationships/hyperlink" Target="https://pbs.twimg.com/profile_images/499257180009529344/CSWhr7LZ_normal.jpeg" TargetMode="External"/><Relationship Id="rId6899" Type="http://schemas.openxmlformats.org/officeDocument/2006/relationships/hyperlink" Target="https://abs.twimg.com/sticky/default_profile_images/default_profile_2_normal.png" TargetMode="External"/><Relationship Id="rId497" Type="http://schemas.openxmlformats.org/officeDocument/2006/relationships/hyperlink" Target="https://twitter.com/PythonBooks/status/702810785328697344" TargetMode="External"/><Relationship Id="rId4237" Type="http://schemas.openxmlformats.org/officeDocument/2006/relationships/hyperlink" Target="https://twitter.com/TeamEdhesive" TargetMode="External"/><Relationship Id="rId5565" Type="http://schemas.openxmlformats.org/officeDocument/2006/relationships/hyperlink" Target="https://pbs.twimg.com/profile_images/682757887261818880/Q5--Prn6_normal.jpg" TargetMode="External"/><Relationship Id="rId6896" Type="http://schemas.openxmlformats.org/officeDocument/2006/relationships/hyperlink" Target="https://pbs.twimg.com/profile_images/389225824/n587200100_1088218_6983_1__normal.jpg" TargetMode="External"/><Relationship Id="rId496" Type="http://schemas.openxmlformats.org/officeDocument/2006/relationships/hyperlink" Target="https://twitter.com/PythonBooks" TargetMode="External"/><Relationship Id="rId4236" Type="http://schemas.openxmlformats.org/officeDocument/2006/relationships/hyperlink" Target="https://pbs.twimg.com/profile_images/579336139586347008/MRhf1yvw_normal.jpg" TargetMode="External"/><Relationship Id="rId5566" Type="http://schemas.openxmlformats.org/officeDocument/2006/relationships/hyperlink" Target="https://twitter.com/NoSQLDigest" TargetMode="External"/><Relationship Id="rId6897" Type="http://schemas.openxmlformats.org/officeDocument/2006/relationships/hyperlink" Target="https://twitter.com/pflueras" TargetMode="External"/><Relationship Id="rId4260" Type="http://schemas.openxmlformats.org/officeDocument/2006/relationships/hyperlink" Target="https://twitter.com/sinhrks/status/702982436796440576" TargetMode="External"/><Relationship Id="rId5592" Type="http://schemas.openxmlformats.org/officeDocument/2006/relationships/hyperlink" Target="https://pbs.twimg.com/profile_images/572091631055028224/Pkx__FSB_normal.png" TargetMode="External"/><Relationship Id="rId5593" Type="http://schemas.openxmlformats.org/officeDocument/2006/relationships/hyperlink" Target="https://twitter.com/PythonBooks" TargetMode="External"/><Relationship Id="rId4262" Type="http://schemas.openxmlformats.org/officeDocument/2006/relationships/hyperlink" Target="https://twitter.com/insights_js" TargetMode="External"/><Relationship Id="rId5590" Type="http://schemas.openxmlformats.org/officeDocument/2006/relationships/hyperlink" Target="https://twitter.com/cool_python" TargetMode="External"/><Relationship Id="rId4261" Type="http://schemas.openxmlformats.org/officeDocument/2006/relationships/hyperlink" Target="https://pbs.twimg.com/profile_images/523300286975057920/Vy-Z9DPz_normal.jpeg" TargetMode="External"/><Relationship Id="rId5591" Type="http://schemas.openxmlformats.org/officeDocument/2006/relationships/hyperlink" Target="https://twitter.com/cool_python/status/703068491251843072" TargetMode="External"/><Relationship Id="rId4264" Type="http://schemas.openxmlformats.org/officeDocument/2006/relationships/hyperlink" Target="https://pbs.twimg.com/profile_images/687381862004715521/lsdcpGUk_normal.png" TargetMode="External"/><Relationship Id="rId5596" Type="http://schemas.openxmlformats.org/officeDocument/2006/relationships/hyperlink" Target="https://twitter.com/PythonBooks" TargetMode="External"/><Relationship Id="rId4263" Type="http://schemas.openxmlformats.org/officeDocument/2006/relationships/hyperlink" Target="https://twitter.com/insights_js/status/702982626592714752" TargetMode="External"/><Relationship Id="rId5597" Type="http://schemas.openxmlformats.org/officeDocument/2006/relationships/hyperlink" Target="https://twitter.com/PythonBooks/status/703068563385352192" TargetMode="External"/><Relationship Id="rId4266" Type="http://schemas.openxmlformats.org/officeDocument/2006/relationships/hyperlink" Target="https://twitter.com/MSAdvAnalytics/status/702982655084732416" TargetMode="External"/><Relationship Id="rId5594" Type="http://schemas.openxmlformats.org/officeDocument/2006/relationships/hyperlink" Target="https://twitter.com/PythonBooks/status/703068545299550209" TargetMode="External"/><Relationship Id="rId4265" Type="http://schemas.openxmlformats.org/officeDocument/2006/relationships/hyperlink" Target="https://twitter.com/MSAdvAnalytics" TargetMode="External"/><Relationship Id="rId5595" Type="http://schemas.openxmlformats.org/officeDocument/2006/relationships/hyperlink" Target="https://pbs.twimg.com/profile_images/702455638157168640/AeDgtn0C_normal.jpg" TargetMode="External"/><Relationship Id="rId4268" Type="http://schemas.openxmlformats.org/officeDocument/2006/relationships/hyperlink" Target="https://twitter.com/IndieGameDevBot" TargetMode="External"/><Relationship Id="rId4267" Type="http://schemas.openxmlformats.org/officeDocument/2006/relationships/hyperlink" Target="https://pbs.twimg.com/profile_images/620616216516767744/ag6N8-pg_normal.jpg" TargetMode="External"/><Relationship Id="rId5598" Type="http://schemas.openxmlformats.org/officeDocument/2006/relationships/hyperlink" Target="https://pbs.twimg.com/profile_images/702455638157168640/AeDgtn0C_normal.jpg" TargetMode="External"/><Relationship Id="rId4269" Type="http://schemas.openxmlformats.org/officeDocument/2006/relationships/hyperlink" Target="https://twitter.com/IndieGameDevBot/status/702982711347126276" TargetMode="External"/><Relationship Id="rId5599" Type="http://schemas.openxmlformats.org/officeDocument/2006/relationships/hyperlink" Target="https://twitter.com/PythonBooks" TargetMode="External"/><Relationship Id="rId5581" Type="http://schemas.openxmlformats.org/officeDocument/2006/relationships/hyperlink" Target="https://twitter.com/PythonWeekly" TargetMode="External"/><Relationship Id="rId5582" Type="http://schemas.openxmlformats.org/officeDocument/2006/relationships/hyperlink" Target="https://twitter.com/PythonWeekly/status/703068291498168325" TargetMode="External"/><Relationship Id="rId4251" Type="http://schemas.openxmlformats.org/officeDocument/2006/relationships/hyperlink" Target="https://pbs.twimg.com/profile_images/702268908040945664/fUBmogWU_normal.jpg" TargetMode="External"/><Relationship Id="rId4250" Type="http://schemas.openxmlformats.org/officeDocument/2006/relationships/hyperlink" Target="https://twitter.com/rwangca/status/702981166731755520" TargetMode="External"/><Relationship Id="rId5580" Type="http://schemas.openxmlformats.org/officeDocument/2006/relationships/hyperlink" Target="https://pbs.twimg.com/profile_images/510928186952384512/GrsaCMEY_normal.jpeg" TargetMode="External"/><Relationship Id="rId4253" Type="http://schemas.openxmlformats.org/officeDocument/2006/relationships/hyperlink" Target="http://Clickiz.Com" TargetMode="External"/><Relationship Id="rId5585" Type="http://schemas.openxmlformats.org/officeDocument/2006/relationships/hyperlink" Target="https://twitter.com/py3k/status/703068298582294528" TargetMode="External"/><Relationship Id="rId4252" Type="http://schemas.openxmlformats.org/officeDocument/2006/relationships/hyperlink" Target="https://twitter.com/clickiz" TargetMode="External"/><Relationship Id="rId5586" Type="http://schemas.openxmlformats.org/officeDocument/2006/relationships/hyperlink" Target="https://pbs.twimg.com/profile_images/2474433856/p075cerxh0arpea6ceip_normal.png" TargetMode="External"/><Relationship Id="rId4255" Type="http://schemas.openxmlformats.org/officeDocument/2006/relationships/hyperlink" Target="https://pbs.twimg.com/profile_images/276189070/clickiz_normal.png" TargetMode="External"/><Relationship Id="rId5583" Type="http://schemas.openxmlformats.org/officeDocument/2006/relationships/hyperlink" Target="https://pbs.twimg.com/profile_images/1554238582/python_normal.jpg" TargetMode="External"/><Relationship Id="rId4254" Type="http://schemas.openxmlformats.org/officeDocument/2006/relationships/hyperlink" Target="https://twitter.com/clickiz/status/702981416485838849" TargetMode="External"/><Relationship Id="rId5584" Type="http://schemas.openxmlformats.org/officeDocument/2006/relationships/hyperlink" Target="https://twitter.com/py3k" TargetMode="External"/><Relationship Id="rId4257" Type="http://schemas.openxmlformats.org/officeDocument/2006/relationships/hyperlink" Target="https://twitter.com/iamemmanouil/status/702982341518610432" TargetMode="External"/><Relationship Id="rId5589" Type="http://schemas.openxmlformats.org/officeDocument/2006/relationships/hyperlink" Target="https://pbs.twimg.com/profile_images/682752731484925952/eD7B_GQZ_normal.jpg" TargetMode="External"/><Relationship Id="rId4256" Type="http://schemas.openxmlformats.org/officeDocument/2006/relationships/hyperlink" Target="https://twitter.com/iamemmanouil" TargetMode="External"/><Relationship Id="rId4259" Type="http://schemas.openxmlformats.org/officeDocument/2006/relationships/hyperlink" Target="https://twitter.com/sinhrks" TargetMode="External"/><Relationship Id="rId5587" Type="http://schemas.openxmlformats.org/officeDocument/2006/relationships/hyperlink" Target="https://twitter.com/foresmac" TargetMode="External"/><Relationship Id="rId4258" Type="http://schemas.openxmlformats.org/officeDocument/2006/relationships/hyperlink" Target="https://pbs.twimg.com/profile_images/472181612063367169/kmoWUHvI_normal.jpeg" TargetMode="External"/><Relationship Id="rId5588" Type="http://schemas.openxmlformats.org/officeDocument/2006/relationships/hyperlink" Target="https://twitter.com/foresmac/status/703068300511727617" TargetMode="External"/><Relationship Id="rId9113" Type="http://schemas.openxmlformats.org/officeDocument/2006/relationships/hyperlink" Target="https://twitter.com/AdamSmitht1/status/703261329403027456" TargetMode="External"/><Relationship Id="rId9112" Type="http://schemas.openxmlformats.org/officeDocument/2006/relationships/hyperlink" Target="https://twitter.com/AdamSmitht1" TargetMode="External"/><Relationship Id="rId9111" Type="http://schemas.openxmlformats.org/officeDocument/2006/relationships/hyperlink" Target="https://pbs.twimg.com/profile_images/526186594395762689/v2Y7qHl5_normal.jpeg" TargetMode="External"/><Relationship Id="rId9110" Type="http://schemas.openxmlformats.org/officeDocument/2006/relationships/hyperlink" Target="https://twitter.com/diegomvh/status/703261279725723648" TargetMode="External"/><Relationship Id="rId9117" Type="http://schemas.openxmlformats.org/officeDocument/2006/relationships/hyperlink" Target="https://pbs.twimg.com/profile_images/1859873928/img_Dog-and-rabbit_Thomas-SCHWEIZER_ref_150.001844.00_mode_zoom_normal.jpg" TargetMode="External"/><Relationship Id="rId9116" Type="http://schemas.openxmlformats.org/officeDocument/2006/relationships/hyperlink" Target="https://twitter.com/sam_et_max/status/703261338911576064" TargetMode="External"/><Relationship Id="rId9115" Type="http://schemas.openxmlformats.org/officeDocument/2006/relationships/hyperlink" Target="https://twitter.com/sam_et_max" TargetMode="External"/><Relationship Id="rId9114" Type="http://schemas.openxmlformats.org/officeDocument/2006/relationships/hyperlink" Target="https://pbs.twimg.com/profile_images/671623862916812800/yGsDKiP4_normal.jpg" TargetMode="External"/><Relationship Id="rId9119" Type="http://schemas.openxmlformats.org/officeDocument/2006/relationships/hyperlink" Target="https://twitter.com/AdamSmitht1/status/703261353402826752" TargetMode="External"/><Relationship Id="rId9118" Type="http://schemas.openxmlformats.org/officeDocument/2006/relationships/hyperlink" Target="https://twitter.com/AdamSmitht1" TargetMode="External"/><Relationship Id="rId9102" Type="http://schemas.openxmlformats.org/officeDocument/2006/relationships/hyperlink" Target="https://pbs.twimg.com/profile_images/458509436361789440/IP1VCWV8_normal.jpeg" TargetMode="External"/><Relationship Id="rId9101" Type="http://schemas.openxmlformats.org/officeDocument/2006/relationships/hyperlink" Target="https://twitter.com/ndaidong/status/703260335814397952" TargetMode="External"/><Relationship Id="rId9100" Type="http://schemas.openxmlformats.org/officeDocument/2006/relationships/hyperlink" Target="https://twitter.com/ndaidong" TargetMode="External"/><Relationship Id="rId9106" Type="http://schemas.openxmlformats.org/officeDocument/2006/relationships/hyperlink" Target="https://twitter.com/kviddy" TargetMode="External"/><Relationship Id="rId9105" Type="http://schemas.openxmlformats.org/officeDocument/2006/relationships/hyperlink" Target="https://pbs.twimg.com/profile_images/685023381255667712/yyODeWuO_normal.jpg" TargetMode="External"/><Relationship Id="rId9104" Type="http://schemas.openxmlformats.org/officeDocument/2006/relationships/hyperlink" Target="https://twitter.com/Oliver_Bernard/status/703260628354514946" TargetMode="External"/><Relationship Id="rId9103" Type="http://schemas.openxmlformats.org/officeDocument/2006/relationships/hyperlink" Target="https://twitter.com/Oliver_Bernard" TargetMode="External"/><Relationship Id="rId9109" Type="http://schemas.openxmlformats.org/officeDocument/2006/relationships/hyperlink" Target="https://twitter.com/diegomvh" TargetMode="External"/><Relationship Id="rId9108" Type="http://schemas.openxmlformats.org/officeDocument/2006/relationships/hyperlink" Target="https://pbs.twimg.com/profile_images/474835499522080768/iHFtA9jL_normal.jpeg" TargetMode="External"/><Relationship Id="rId9107" Type="http://schemas.openxmlformats.org/officeDocument/2006/relationships/hyperlink" Target="https://twitter.com/kviddy/status/703260743978852352" TargetMode="External"/><Relationship Id="rId6902" Type="http://schemas.openxmlformats.org/officeDocument/2006/relationships/hyperlink" Target="https://pbs.twimg.com/profile_images/499571610349600769/1bqfcj5K_normal.jpeg" TargetMode="External"/><Relationship Id="rId6903" Type="http://schemas.openxmlformats.org/officeDocument/2006/relationships/hyperlink" Target="https://twitter.com/joonoopenstory" TargetMode="External"/><Relationship Id="rId6900" Type="http://schemas.openxmlformats.org/officeDocument/2006/relationships/hyperlink" Target="https://twitter.com/fleilgug" TargetMode="External"/><Relationship Id="rId6901" Type="http://schemas.openxmlformats.org/officeDocument/2006/relationships/hyperlink" Target="https://twitter.com/fleilgug/status/703154118706069504" TargetMode="External"/><Relationship Id="rId6906" Type="http://schemas.openxmlformats.org/officeDocument/2006/relationships/hyperlink" Target="https://pbs.twimg.com/profile_images/485962916626067456/IlECTKMq_normal.jpeg" TargetMode="External"/><Relationship Id="rId6907" Type="http://schemas.openxmlformats.org/officeDocument/2006/relationships/hyperlink" Target="https://twitter.com/GameCreating" TargetMode="External"/><Relationship Id="rId6904" Type="http://schemas.openxmlformats.org/officeDocument/2006/relationships/hyperlink" Target="https://twitter.com/joonoopenstory/status/703154514455502848" TargetMode="External"/><Relationship Id="rId6905" Type="http://schemas.openxmlformats.org/officeDocument/2006/relationships/hyperlink" Target="http://twittbot.net" TargetMode="External"/><Relationship Id="rId6908" Type="http://schemas.openxmlformats.org/officeDocument/2006/relationships/hyperlink" Target="https://twitter.com/GameCreating/status/703155068762136576" TargetMode="External"/><Relationship Id="rId6909" Type="http://schemas.openxmlformats.org/officeDocument/2006/relationships/hyperlink" Target="https://pbs.twimg.com/profile_images/458957058692247552/kgUWn4RW_normal.jpeg" TargetMode="External"/><Relationship Id="rId9182" Type="http://schemas.openxmlformats.org/officeDocument/2006/relationships/hyperlink" Target="https://twitter.com/JoshuaLongUK/status/703263203468451841" TargetMode="External"/><Relationship Id="rId9181" Type="http://schemas.openxmlformats.org/officeDocument/2006/relationships/hyperlink" Target="https://twitter.com/JoshuaLongUK" TargetMode="External"/><Relationship Id="rId9180" Type="http://schemas.openxmlformats.org/officeDocument/2006/relationships/hyperlink" Target="https://pbs.twimg.com/profile_images/631872006645022720/C3D_WfIt_normal.jpg" TargetMode="External"/><Relationship Id="rId9175" Type="http://schemas.openxmlformats.org/officeDocument/2006/relationships/hyperlink" Target="https://twitter.com/alejolp" TargetMode="External"/><Relationship Id="rId9174" Type="http://schemas.openxmlformats.org/officeDocument/2006/relationships/hyperlink" Target="https://pbs.twimg.com/profile_images/679948461953781761/pDo9356K_normal.jpg" TargetMode="External"/><Relationship Id="rId9173" Type="http://schemas.openxmlformats.org/officeDocument/2006/relationships/hyperlink" Target="https://twitter.com/HartwigMicheal/status/703263032324071425" TargetMode="External"/><Relationship Id="rId9172" Type="http://schemas.openxmlformats.org/officeDocument/2006/relationships/hyperlink" Target="https://twitter.com/HartwigMicheal" TargetMode="External"/><Relationship Id="rId9179" Type="http://schemas.openxmlformats.org/officeDocument/2006/relationships/hyperlink" Target="https://twitter.com/Googleulv/status/703263071901519872" TargetMode="External"/><Relationship Id="rId9178" Type="http://schemas.openxmlformats.org/officeDocument/2006/relationships/hyperlink" Target="https://twitter.com/Googleulv" TargetMode="External"/><Relationship Id="rId9177" Type="http://schemas.openxmlformats.org/officeDocument/2006/relationships/hyperlink" Target="https://pbs.twimg.com/profile_images/674539776817500160/ruS8sKV4_normal.jpg" TargetMode="External"/><Relationship Id="rId9176" Type="http://schemas.openxmlformats.org/officeDocument/2006/relationships/hyperlink" Target="https://twitter.com/alejolp/status/703263038053490688" TargetMode="External"/><Relationship Id="rId9171" Type="http://schemas.openxmlformats.org/officeDocument/2006/relationships/hyperlink" Target="https://pbs.twimg.com/profile_images/662602436222193664/qKuvsfnG_normal.jpg" TargetMode="External"/><Relationship Id="rId9170" Type="http://schemas.openxmlformats.org/officeDocument/2006/relationships/hyperlink" Target="https://twitter.com/programmingncr/status/703262904510980096" TargetMode="External"/><Relationship Id="rId9164" Type="http://schemas.openxmlformats.org/officeDocument/2006/relationships/hyperlink" Target="https://twitter.com/benjaminmbrown/status/703262778195312640" TargetMode="External"/><Relationship Id="rId9163" Type="http://schemas.openxmlformats.org/officeDocument/2006/relationships/hyperlink" Target="https://twitter.com/benjaminmbrown" TargetMode="External"/><Relationship Id="rId9162" Type="http://schemas.openxmlformats.org/officeDocument/2006/relationships/hyperlink" Target="https://pbs.twimg.com/profile_images/640293876343943169/Uu5Cb52q_normal.jpg" TargetMode="External"/><Relationship Id="rId9161" Type="http://schemas.openxmlformats.org/officeDocument/2006/relationships/hyperlink" Target="https://twitter.com/justCennet/status/703262445960306688" TargetMode="External"/><Relationship Id="rId9168" Type="http://schemas.openxmlformats.org/officeDocument/2006/relationships/hyperlink" Target="https://pbs.twimg.com/profile_images/631872006645022720/C3D_WfIt_normal.jpg" TargetMode="External"/><Relationship Id="rId9167" Type="http://schemas.openxmlformats.org/officeDocument/2006/relationships/hyperlink" Target="https://twitter.com/Googleulv/status/703262793861038080" TargetMode="External"/><Relationship Id="rId9166" Type="http://schemas.openxmlformats.org/officeDocument/2006/relationships/hyperlink" Target="https://twitter.com/Googleulv" TargetMode="External"/><Relationship Id="rId9165" Type="http://schemas.openxmlformats.org/officeDocument/2006/relationships/hyperlink" Target="https://pbs.twimg.com/profile_images/656561238076293120/19hq0CzJ_normal.png" TargetMode="External"/><Relationship Id="rId9169" Type="http://schemas.openxmlformats.org/officeDocument/2006/relationships/hyperlink" Target="https://twitter.com/programmingncr" TargetMode="External"/><Relationship Id="rId6924" Type="http://schemas.openxmlformats.org/officeDocument/2006/relationships/hyperlink" Target="https://twitter.com/PythonBooks" TargetMode="External"/><Relationship Id="rId6925" Type="http://schemas.openxmlformats.org/officeDocument/2006/relationships/hyperlink" Target="https://twitter.com/PythonBooks/status/703157593317871616" TargetMode="External"/><Relationship Id="rId6922" Type="http://schemas.openxmlformats.org/officeDocument/2006/relationships/hyperlink" Target="https://twitter.com/PythonBooks/status/703157492516130816" TargetMode="External"/><Relationship Id="rId6923" Type="http://schemas.openxmlformats.org/officeDocument/2006/relationships/hyperlink" Target="https://pbs.twimg.com/profile_images/702455638157168640/AeDgtn0C_normal.jpg" TargetMode="External"/><Relationship Id="rId6928" Type="http://schemas.openxmlformats.org/officeDocument/2006/relationships/hyperlink" Target="https://twitter.com/PythonBooks/status/703157712582905856" TargetMode="External"/><Relationship Id="rId6929" Type="http://schemas.openxmlformats.org/officeDocument/2006/relationships/hyperlink" Target="https://pbs.twimg.com/profile_images/702455638157168640/AeDgtn0C_normal.jpg" TargetMode="External"/><Relationship Id="rId6926" Type="http://schemas.openxmlformats.org/officeDocument/2006/relationships/hyperlink" Target="https://pbs.twimg.com/profile_images/702455638157168640/AeDgtn0C_normal.jpg" TargetMode="External"/><Relationship Id="rId6927" Type="http://schemas.openxmlformats.org/officeDocument/2006/relationships/hyperlink" Target="https://twitter.com/PythonBooks" TargetMode="External"/><Relationship Id="rId409" Type="http://schemas.openxmlformats.org/officeDocument/2006/relationships/hyperlink" Target="https://twitter.com/BestCourses_/status/702799469310550016" TargetMode="External"/><Relationship Id="rId404" Type="http://schemas.openxmlformats.org/officeDocument/2006/relationships/hyperlink" Target="https://pbs.twimg.com/profile_images/594870213696294913/oPDQNbOF_normal.jpg" TargetMode="External"/><Relationship Id="rId9197" Type="http://schemas.openxmlformats.org/officeDocument/2006/relationships/hyperlink" Target="https://twitter.com/Dataversity/status/703263541109911553" TargetMode="External"/><Relationship Id="rId403" Type="http://schemas.openxmlformats.org/officeDocument/2006/relationships/hyperlink" Target="https://twitter.com/JackBaldwin16/status/702798926420643840" TargetMode="External"/><Relationship Id="rId9196" Type="http://schemas.openxmlformats.org/officeDocument/2006/relationships/hyperlink" Target="https://twitter.com/Dataversity" TargetMode="External"/><Relationship Id="rId402" Type="http://schemas.openxmlformats.org/officeDocument/2006/relationships/hyperlink" Target="https://twitter.com/JackBaldwin16" TargetMode="External"/><Relationship Id="rId9195" Type="http://schemas.openxmlformats.org/officeDocument/2006/relationships/hyperlink" Target="https://pbs.twimg.com/profile_images/1189992518/llama1_normal.jpg" TargetMode="External"/><Relationship Id="rId401" Type="http://schemas.openxmlformats.org/officeDocument/2006/relationships/hyperlink" Target="https://pbs.twimg.com/profile_images/2813636657/599521f69e2bc210a57323b64d8e39e6_normal.jpeg" TargetMode="External"/><Relationship Id="rId9194" Type="http://schemas.openxmlformats.org/officeDocument/2006/relationships/hyperlink" Target="https://twitter.com/ChiliConSeo/status/703263450756206594" TargetMode="External"/><Relationship Id="rId408" Type="http://schemas.openxmlformats.org/officeDocument/2006/relationships/hyperlink" Target="https://twitter.com/BestCourses_" TargetMode="External"/><Relationship Id="rId407" Type="http://schemas.openxmlformats.org/officeDocument/2006/relationships/hyperlink" Target="https://pbs.twimg.com/profile_images/643779014268579840/bRJStj7A_normal.png" TargetMode="External"/><Relationship Id="rId406" Type="http://schemas.openxmlformats.org/officeDocument/2006/relationships/hyperlink" Target="https://twitter.com/StackDevJobs/status/702799265513529344" TargetMode="External"/><Relationship Id="rId9199" Type="http://schemas.openxmlformats.org/officeDocument/2006/relationships/hyperlink" Target="https://twitter.com/datascienceplus" TargetMode="External"/><Relationship Id="rId405" Type="http://schemas.openxmlformats.org/officeDocument/2006/relationships/hyperlink" Target="https://twitter.com/StackDevJobs" TargetMode="External"/><Relationship Id="rId9198" Type="http://schemas.openxmlformats.org/officeDocument/2006/relationships/hyperlink" Target="https://pbs.twimg.com/profile_images/1286039423/DataversityIcon_300px_normal.jpg" TargetMode="External"/><Relationship Id="rId400" Type="http://schemas.openxmlformats.org/officeDocument/2006/relationships/hyperlink" Target="http://dlvr.it" TargetMode="External"/><Relationship Id="rId6920" Type="http://schemas.openxmlformats.org/officeDocument/2006/relationships/hyperlink" Target="https://pbs.twimg.com/profile_images/668777134450610177/XH0ZrTpj_normal.jpg" TargetMode="External"/><Relationship Id="rId6921" Type="http://schemas.openxmlformats.org/officeDocument/2006/relationships/hyperlink" Target="https://twitter.com/PythonBooks" TargetMode="External"/><Relationship Id="rId6913" Type="http://schemas.openxmlformats.org/officeDocument/2006/relationships/hyperlink" Target="https://pbs.twimg.com/profile_images/626800856608997376/djs4hzQw_normal.png" TargetMode="External"/><Relationship Id="rId6914" Type="http://schemas.openxmlformats.org/officeDocument/2006/relationships/hyperlink" Target="https://twitter.com/Shikari_do" TargetMode="External"/><Relationship Id="rId6911" Type="http://schemas.openxmlformats.org/officeDocument/2006/relationships/hyperlink" Target="https://twitter.com/itjobs_pt/status/703156087227183104" TargetMode="External"/><Relationship Id="rId6912" Type="http://schemas.openxmlformats.org/officeDocument/2006/relationships/hyperlink" Target="http://dlvr.it" TargetMode="External"/><Relationship Id="rId6917" Type="http://schemas.openxmlformats.org/officeDocument/2006/relationships/hyperlink" Target="https://pbs.twimg.com/profile_images/693028517903257600/WDCOpcD8_normal.png" TargetMode="External"/><Relationship Id="rId6918" Type="http://schemas.openxmlformats.org/officeDocument/2006/relationships/hyperlink" Target="https://twitter.com/sushtechie" TargetMode="External"/><Relationship Id="rId6915" Type="http://schemas.openxmlformats.org/officeDocument/2006/relationships/hyperlink" Target="http://Shikari.do" TargetMode="External"/><Relationship Id="rId6916" Type="http://schemas.openxmlformats.org/officeDocument/2006/relationships/hyperlink" Target="https://twitter.com/Shikari_do/status/703156418958897152" TargetMode="External"/><Relationship Id="rId6919" Type="http://schemas.openxmlformats.org/officeDocument/2006/relationships/hyperlink" Target="https://twitter.com/sushtechie/status/703156799772319749" TargetMode="External"/><Relationship Id="rId9193" Type="http://schemas.openxmlformats.org/officeDocument/2006/relationships/hyperlink" Target="https://twitter.com/ChiliConSeo" TargetMode="External"/><Relationship Id="rId9192" Type="http://schemas.openxmlformats.org/officeDocument/2006/relationships/hyperlink" Target="https://pbs.twimg.com/profile_images/692891971745030150/clbtNhen_normal.jpg" TargetMode="External"/><Relationship Id="rId9191" Type="http://schemas.openxmlformats.org/officeDocument/2006/relationships/hyperlink" Target="https://twitter.com/AusBatAws/status/703263290139525121" TargetMode="External"/><Relationship Id="rId9190" Type="http://schemas.openxmlformats.org/officeDocument/2006/relationships/hyperlink" Target="https://twitter.com/AusBatAws" TargetMode="External"/><Relationship Id="rId9186" Type="http://schemas.openxmlformats.org/officeDocument/2006/relationships/hyperlink" Target="https://pbs.twimg.com/profile_images/627996138403168256/DaASdgVr_normal.jpg" TargetMode="External"/><Relationship Id="rId9185" Type="http://schemas.openxmlformats.org/officeDocument/2006/relationships/hyperlink" Target="https://twitter.com/JoshuaLongUK/status/703263204479213569" TargetMode="External"/><Relationship Id="rId9184" Type="http://schemas.openxmlformats.org/officeDocument/2006/relationships/hyperlink" Target="https://twitter.com/JoshuaLongUK" TargetMode="External"/><Relationship Id="rId9183" Type="http://schemas.openxmlformats.org/officeDocument/2006/relationships/hyperlink" Target="https://pbs.twimg.com/profile_images/627996138403168256/DaASdgVr_normal.jpg" TargetMode="External"/><Relationship Id="rId9189" Type="http://schemas.openxmlformats.org/officeDocument/2006/relationships/hyperlink" Target="https://pbs.twimg.com/profile_images/624030560457850880/17LrFnZt_normal.png" TargetMode="External"/><Relationship Id="rId9188" Type="http://schemas.openxmlformats.org/officeDocument/2006/relationships/hyperlink" Target="https://twitter.com/ContinuumIO/status/703263286108655617" TargetMode="External"/><Relationship Id="rId9187" Type="http://schemas.openxmlformats.org/officeDocument/2006/relationships/hyperlink" Target="https://twitter.com/ContinuumIO" TargetMode="External"/><Relationship Id="rId6910" Type="http://schemas.openxmlformats.org/officeDocument/2006/relationships/hyperlink" Target="https://twitter.com/itjobs_pt" TargetMode="External"/><Relationship Id="rId9131" Type="http://schemas.openxmlformats.org/officeDocument/2006/relationships/hyperlink" Target="https://twitter.com/startechwall/status/703261595221278721" TargetMode="External"/><Relationship Id="rId9130" Type="http://schemas.openxmlformats.org/officeDocument/2006/relationships/hyperlink" Target="https://twitter.com/startechwall" TargetMode="External"/><Relationship Id="rId9135" Type="http://schemas.openxmlformats.org/officeDocument/2006/relationships/hyperlink" Target="https://pbs.twimg.com/profile_images/327154824/naama_normal.jpg" TargetMode="External"/><Relationship Id="rId9134" Type="http://schemas.openxmlformats.org/officeDocument/2006/relationships/hyperlink" Target="https://twitter.com/moo9000/status/703261845935751168" TargetMode="External"/><Relationship Id="rId9133" Type="http://schemas.openxmlformats.org/officeDocument/2006/relationships/hyperlink" Target="https://twitter.com/moo9000" TargetMode="External"/><Relationship Id="rId9132" Type="http://schemas.openxmlformats.org/officeDocument/2006/relationships/hyperlink" Target="https://pbs.twimg.com/profile_images/679566117187145728/UUo30Zpm_normal.jpg" TargetMode="External"/><Relationship Id="rId9139" Type="http://schemas.openxmlformats.org/officeDocument/2006/relationships/hyperlink" Target="https://twitter.com/brobeur" TargetMode="External"/><Relationship Id="rId9138" Type="http://schemas.openxmlformats.org/officeDocument/2006/relationships/hyperlink" Target="https://pbs.twimg.com/profile_images/2474433856/p075cerxh0arpea6ceip_normal.png" TargetMode="External"/><Relationship Id="rId9137" Type="http://schemas.openxmlformats.org/officeDocument/2006/relationships/hyperlink" Target="https://twitter.com/py3k/status/703261926105751552" TargetMode="External"/><Relationship Id="rId9136" Type="http://schemas.openxmlformats.org/officeDocument/2006/relationships/hyperlink" Target="https://twitter.com/py3k" TargetMode="External"/><Relationship Id="rId9120" Type="http://schemas.openxmlformats.org/officeDocument/2006/relationships/hyperlink" Target="https://pbs.twimg.com/profile_images/671623862916812800/yGsDKiP4_normal.jpg" TargetMode="External"/><Relationship Id="rId9124" Type="http://schemas.openxmlformats.org/officeDocument/2006/relationships/hyperlink" Target="https://twitter.com/DistrictDataLab" TargetMode="External"/><Relationship Id="rId9123" Type="http://schemas.openxmlformats.org/officeDocument/2006/relationships/hyperlink" Target="https://pbs.twimg.com/profile_images/630956211521785857/lI5V5iPJ_normal.jpg" TargetMode="External"/><Relationship Id="rId9122" Type="http://schemas.openxmlformats.org/officeDocument/2006/relationships/hyperlink" Target="https://twitter.com/dreadpirate15/status/703261493907709952" TargetMode="External"/><Relationship Id="rId9121" Type="http://schemas.openxmlformats.org/officeDocument/2006/relationships/hyperlink" Target="https://twitter.com/dreadpirate15" TargetMode="External"/><Relationship Id="rId9128" Type="http://schemas.openxmlformats.org/officeDocument/2006/relationships/hyperlink" Target="https://twitter.com/startechwall/status/703261570432962560" TargetMode="External"/><Relationship Id="rId9127" Type="http://schemas.openxmlformats.org/officeDocument/2006/relationships/hyperlink" Target="https://twitter.com/startechwall" TargetMode="External"/><Relationship Id="rId9126" Type="http://schemas.openxmlformats.org/officeDocument/2006/relationships/hyperlink" Target="https://pbs.twimg.com/profile_images/676095885575634944/NXl4o2HU_normal.png" TargetMode="External"/><Relationship Id="rId9125" Type="http://schemas.openxmlformats.org/officeDocument/2006/relationships/hyperlink" Target="https://twitter.com/DistrictDataLab/status/703261528758288385" TargetMode="External"/><Relationship Id="rId9129" Type="http://schemas.openxmlformats.org/officeDocument/2006/relationships/hyperlink" Target="https://pbs.twimg.com/profile_images/679566117187145728/UUo30Zpm_normal.jpg" TargetMode="External"/><Relationship Id="rId9160" Type="http://schemas.openxmlformats.org/officeDocument/2006/relationships/hyperlink" Target="https://twitter.com/justCennet" TargetMode="External"/><Relationship Id="rId9153" Type="http://schemas.openxmlformats.org/officeDocument/2006/relationships/hyperlink" Target="https://twitter.com/PythonBooks/status/703262385293783040" TargetMode="External"/><Relationship Id="rId9152" Type="http://schemas.openxmlformats.org/officeDocument/2006/relationships/hyperlink" Target="https://twitter.com/PythonBooks" TargetMode="External"/><Relationship Id="rId9151" Type="http://schemas.openxmlformats.org/officeDocument/2006/relationships/hyperlink" Target="https://pbs.twimg.com/profile_images/572091631055028224/Pkx__FSB_normal.png" TargetMode="External"/><Relationship Id="rId9150" Type="http://schemas.openxmlformats.org/officeDocument/2006/relationships/hyperlink" Target="https://twitter.com/cool_python/status/703262372052471808" TargetMode="External"/><Relationship Id="rId9157" Type="http://schemas.openxmlformats.org/officeDocument/2006/relationships/hyperlink" Target="https://twitter.com/PythonBooks/status/703262389592915968" TargetMode="External"/><Relationship Id="rId9156" Type="http://schemas.openxmlformats.org/officeDocument/2006/relationships/hyperlink" Target="https://twitter.com/PythonBooks" TargetMode="External"/><Relationship Id="rId9155" Type="http://schemas.openxmlformats.org/officeDocument/2006/relationships/hyperlink" Target="https://pbs.twimg.com/profile_images/702455638157168640/AeDgtn0C_normal.jpg" TargetMode="External"/><Relationship Id="rId9154" Type="http://schemas.openxmlformats.org/officeDocument/2006/relationships/hyperlink" Target="http://dlvr.it" TargetMode="External"/><Relationship Id="rId9159" Type="http://schemas.openxmlformats.org/officeDocument/2006/relationships/hyperlink" Target="https://pbs.twimg.com/profile_images/702455638157168640/AeDgtn0C_normal.jpg" TargetMode="External"/><Relationship Id="rId9158" Type="http://schemas.openxmlformats.org/officeDocument/2006/relationships/hyperlink" Target="http://dlvr.it" TargetMode="External"/><Relationship Id="rId9142" Type="http://schemas.openxmlformats.org/officeDocument/2006/relationships/hyperlink" Target="https://pbs.twimg.com/profile_images/487211737284739072/HBzP949-_normal.png" TargetMode="External"/><Relationship Id="rId9141" Type="http://schemas.openxmlformats.org/officeDocument/2006/relationships/hyperlink" Target="https://twitter.com/brobeur/status/703261978467426304" TargetMode="External"/><Relationship Id="rId9140" Type="http://schemas.openxmlformats.org/officeDocument/2006/relationships/hyperlink" Target="http://BroBeur.com" TargetMode="External"/><Relationship Id="rId9146" Type="http://schemas.openxmlformats.org/officeDocument/2006/relationships/hyperlink" Target="https://twitter.com/Learn_Viral" TargetMode="External"/><Relationship Id="rId9145" Type="http://schemas.openxmlformats.org/officeDocument/2006/relationships/hyperlink" Target="https://pbs.twimg.com/profile_images/729742252/asolntsev-avatar_normal.jpg" TargetMode="External"/><Relationship Id="rId9144" Type="http://schemas.openxmlformats.org/officeDocument/2006/relationships/hyperlink" Target="https://twitter.com/asolntsev/status/703262268365148160" TargetMode="External"/><Relationship Id="rId9143" Type="http://schemas.openxmlformats.org/officeDocument/2006/relationships/hyperlink" Target="https://twitter.com/asolntsev" TargetMode="External"/><Relationship Id="rId9149" Type="http://schemas.openxmlformats.org/officeDocument/2006/relationships/hyperlink" Target="https://twitter.com/cool_python" TargetMode="External"/><Relationship Id="rId9148" Type="http://schemas.openxmlformats.org/officeDocument/2006/relationships/hyperlink" Target="https://pbs.twimg.com/profile_images/611493826558083073/OoYoauVs_normal.png" TargetMode="External"/><Relationship Id="rId9147" Type="http://schemas.openxmlformats.org/officeDocument/2006/relationships/hyperlink" Target="https://twitter.com/Learn_Viral/status/703262338049286146" TargetMode="External"/><Relationship Id="rId4327" Type="http://schemas.openxmlformats.org/officeDocument/2006/relationships/hyperlink" Target="https://twitter.com/homeAIinfo" TargetMode="External"/><Relationship Id="rId5659" Type="http://schemas.openxmlformats.org/officeDocument/2006/relationships/hyperlink" Target="https://twitter.com/NowLivecodingtv" TargetMode="External"/><Relationship Id="rId4326" Type="http://schemas.openxmlformats.org/officeDocument/2006/relationships/hyperlink" Target="https://pbs.twimg.com/profile_images/574901856515719168/OjEU2rQn_normal.jpeg" TargetMode="External"/><Relationship Id="rId4329" Type="http://schemas.openxmlformats.org/officeDocument/2006/relationships/hyperlink" Target="https://pbs.twimg.com/profile_images/645650110374936580/-oQakt8x_normal.png" TargetMode="External"/><Relationship Id="rId5657" Type="http://schemas.openxmlformats.org/officeDocument/2006/relationships/hyperlink" Target="https://twitter.com/MrMichaelPink/status/703069748867817472" TargetMode="External"/><Relationship Id="rId6988" Type="http://schemas.openxmlformats.org/officeDocument/2006/relationships/hyperlink" Target="https://twitter.com/tdsnet2015" TargetMode="External"/><Relationship Id="rId4328" Type="http://schemas.openxmlformats.org/officeDocument/2006/relationships/hyperlink" Target="https://twitter.com/homeAIinfo/status/702986150298968068" TargetMode="External"/><Relationship Id="rId5658" Type="http://schemas.openxmlformats.org/officeDocument/2006/relationships/hyperlink" Target="https://pbs.twimg.com/profile_images/696484706758557697/A9RVQXwc_normal.jpg" TargetMode="External"/><Relationship Id="rId6989" Type="http://schemas.openxmlformats.org/officeDocument/2006/relationships/hyperlink" Target="https://twitter.com/tdsnet2015/status/703160594480795648" TargetMode="External"/><Relationship Id="rId469" Type="http://schemas.openxmlformats.org/officeDocument/2006/relationships/hyperlink" Target="https://twitter.com/kusadasideri/status/702805053283897345" TargetMode="External"/><Relationship Id="rId468" Type="http://schemas.openxmlformats.org/officeDocument/2006/relationships/hyperlink" Target="https://twitter.com/kusadasideri" TargetMode="External"/><Relationship Id="rId467" Type="http://schemas.openxmlformats.org/officeDocument/2006/relationships/hyperlink" Target="https://pbs.twimg.com/profile_images/621211385746161664/tGchJstD_normal.jpg" TargetMode="External"/><Relationship Id="rId462" Type="http://schemas.openxmlformats.org/officeDocument/2006/relationships/hyperlink" Target="https://twitter.com/webcuriousanima" TargetMode="External"/><Relationship Id="rId5651" Type="http://schemas.openxmlformats.org/officeDocument/2006/relationships/hyperlink" Target="https://twitter.com/Josephine0xdata/status/703069559973142528" TargetMode="External"/><Relationship Id="rId6982" Type="http://schemas.openxmlformats.org/officeDocument/2006/relationships/hyperlink" Target="https://twitter.com/SowPiano" TargetMode="External"/><Relationship Id="rId461" Type="http://schemas.openxmlformats.org/officeDocument/2006/relationships/hyperlink" Target="https://pbs.twimg.com/profile_images/671623862916812800/yGsDKiP4_normal.jpg" TargetMode="External"/><Relationship Id="rId5652" Type="http://schemas.openxmlformats.org/officeDocument/2006/relationships/hyperlink" Target="https://pbs.twimg.com/profile_images/454592263092310016/VOug2BBW_normal.jpeg" TargetMode="External"/><Relationship Id="rId6983" Type="http://schemas.openxmlformats.org/officeDocument/2006/relationships/hyperlink" Target="https://twitter.com/SowPiano/status/703159587692654597" TargetMode="External"/><Relationship Id="rId460" Type="http://schemas.openxmlformats.org/officeDocument/2006/relationships/hyperlink" Target="https://twitter.com/AdamSmitht1/status/702803881848340480" TargetMode="External"/><Relationship Id="rId4321" Type="http://schemas.openxmlformats.org/officeDocument/2006/relationships/hyperlink" Target="https://twitter.com/livecodingtv/status/702985938184441858" TargetMode="External"/><Relationship Id="rId6980" Type="http://schemas.openxmlformats.org/officeDocument/2006/relationships/hyperlink" Target="http://dlvr.it" TargetMode="External"/><Relationship Id="rId4320" Type="http://schemas.openxmlformats.org/officeDocument/2006/relationships/hyperlink" Target="http://Livecoding.tv" TargetMode="External"/><Relationship Id="rId5650" Type="http://schemas.openxmlformats.org/officeDocument/2006/relationships/hyperlink" Target="https://twitter.com/Josephine0xdata" TargetMode="External"/><Relationship Id="rId6981" Type="http://schemas.openxmlformats.org/officeDocument/2006/relationships/hyperlink" Target="https://pbs.twimg.com/profile_images/2813636657/599521f69e2bc210a57323b64d8e39e6_normal.jpeg" TargetMode="External"/><Relationship Id="rId466" Type="http://schemas.openxmlformats.org/officeDocument/2006/relationships/hyperlink" Target="https://twitter.com/wcmckeedotcom/status/702804272149368833" TargetMode="External"/><Relationship Id="rId4323" Type="http://schemas.openxmlformats.org/officeDocument/2006/relationships/hyperlink" Target="https://pbs.twimg.com/profile_images/539451988929294337/hCieN16A_normal.png" TargetMode="External"/><Relationship Id="rId5655" Type="http://schemas.openxmlformats.org/officeDocument/2006/relationships/hyperlink" Target="https://pbs.twimg.com/profile_images/701940703329284096/L4xW77o2_normal.jpg" TargetMode="External"/><Relationship Id="rId6986" Type="http://schemas.openxmlformats.org/officeDocument/2006/relationships/hyperlink" Target="https://twitter.com/kidandcat/status/703160154838028288" TargetMode="External"/><Relationship Id="rId465" Type="http://schemas.openxmlformats.org/officeDocument/2006/relationships/hyperlink" Target="https://twitter.com/wcmckeedotcom" TargetMode="External"/><Relationship Id="rId4322" Type="http://schemas.openxmlformats.org/officeDocument/2006/relationships/hyperlink" Target="http://www.livecoding.tv" TargetMode="External"/><Relationship Id="rId5656" Type="http://schemas.openxmlformats.org/officeDocument/2006/relationships/hyperlink" Target="https://twitter.com/MrMichaelPink" TargetMode="External"/><Relationship Id="rId6987" Type="http://schemas.openxmlformats.org/officeDocument/2006/relationships/hyperlink" Target="https://pbs.twimg.com/profile_images/669761837378969600/P9mNbkht_normal.jpg" TargetMode="External"/><Relationship Id="rId464" Type="http://schemas.openxmlformats.org/officeDocument/2006/relationships/hyperlink" Target="https://pbs.twimg.com/profile_images/577904408/lun_avatar_normal.jpg" TargetMode="External"/><Relationship Id="rId4325" Type="http://schemas.openxmlformats.org/officeDocument/2006/relationships/hyperlink" Target="https://twitter.com/Available_ALIVE/status/702985997202489344" TargetMode="External"/><Relationship Id="rId5653" Type="http://schemas.openxmlformats.org/officeDocument/2006/relationships/hyperlink" Target="https://twitter.com/jamal_moir" TargetMode="External"/><Relationship Id="rId6984" Type="http://schemas.openxmlformats.org/officeDocument/2006/relationships/hyperlink" Target="https://pbs.twimg.com/profile_images/601478745128620032/GrGhZw7d_normal.jpg" TargetMode="External"/><Relationship Id="rId463" Type="http://schemas.openxmlformats.org/officeDocument/2006/relationships/hyperlink" Target="https://twitter.com/webcuriousanima/status/702803955483602944" TargetMode="External"/><Relationship Id="rId4324" Type="http://schemas.openxmlformats.org/officeDocument/2006/relationships/hyperlink" Target="https://twitter.com/Available_ALIVE" TargetMode="External"/><Relationship Id="rId5654" Type="http://schemas.openxmlformats.org/officeDocument/2006/relationships/hyperlink" Target="https://twitter.com/jamal_moir/status/703069659654828032" TargetMode="External"/><Relationship Id="rId6985" Type="http://schemas.openxmlformats.org/officeDocument/2006/relationships/hyperlink" Target="https://twitter.com/kidandcat" TargetMode="External"/><Relationship Id="rId4316" Type="http://schemas.openxmlformats.org/officeDocument/2006/relationships/hyperlink" Target="https://twitter.com/Philip_W_Morris" TargetMode="External"/><Relationship Id="rId5648" Type="http://schemas.openxmlformats.org/officeDocument/2006/relationships/hyperlink" Target="https://twitter.com/PythonBooks/status/703069429408530432" TargetMode="External"/><Relationship Id="rId6979" Type="http://schemas.openxmlformats.org/officeDocument/2006/relationships/hyperlink" Target="https://twitter.com/artwisanggeni/status/703159127732654080" TargetMode="External"/><Relationship Id="rId4315" Type="http://schemas.openxmlformats.org/officeDocument/2006/relationships/hyperlink" Target="https://pbs.twimg.com/profile_images/679566117187145728/UUo30Zpm_normal.jpg" TargetMode="External"/><Relationship Id="rId5649" Type="http://schemas.openxmlformats.org/officeDocument/2006/relationships/hyperlink" Target="https://pbs.twimg.com/profile_images/702455638157168640/AeDgtn0C_normal.jpg" TargetMode="External"/><Relationship Id="rId4318" Type="http://schemas.openxmlformats.org/officeDocument/2006/relationships/hyperlink" Target="https://pbs.twimg.com/profile_images/688093545148723201/hCPglEEy_normal.jpg" TargetMode="External"/><Relationship Id="rId5646" Type="http://schemas.openxmlformats.org/officeDocument/2006/relationships/hyperlink" Target="https://pbs.twimg.com/profile_images/2813636657/599521f69e2bc210a57323b64d8e39e6_normal.jpeg" TargetMode="External"/><Relationship Id="rId6977" Type="http://schemas.openxmlformats.org/officeDocument/2006/relationships/hyperlink" Target="https://pbs.twimg.com/profile_images/2813636657/599521f69e2bc210a57323b64d8e39e6_normal.jpeg" TargetMode="External"/><Relationship Id="rId4317" Type="http://schemas.openxmlformats.org/officeDocument/2006/relationships/hyperlink" Target="https://twitter.com/Philip_W_Morris/status/702985817699000320" TargetMode="External"/><Relationship Id="rId5647" Type="http://schemas.openxmlformats.org/officeDocument/2006/relationships/hyperlink" Target="https://twitter.com/PythonBooks" TargetMode="External"/><Relationship Id="rId6978" Type="http://schemas.openxmlformats.org/officeDocument/2006/relationships/hyperlink" Target="https://twitter.com/artwisanggeni" TargetMode="External"/><Relationship Id="rId4319" Type="http://schemas.openxmlformats.org/officeDocument/2006/relationships/hyperlink" Target="https://twitter.com/livecodingtv" TargetMode="External"/><Relationship Id="rId459" Type="http://schemas.openxmlformats.org/officeDocument/2006/relationships/hyperlink" Target="https://twitter.com/AdamSmitht1" TargetMode="External"/><Relationship Id="rId458" Type="http://schemas.openxmlformats.org/officeDocument/2006/relationships/hyperlink" Target="https://pbs.twimg.com/profile_images/702455638157168640/AeDgtn0C_normal.jpg" TargetMode="External"/><Relationship Id="rId457" Type="http://schemas.openxmlformats.org/officeDocument/2006/relationships/hyperlink" Target="https://twitter.com/PythonBooks/status/702803334424465408" TargetMode="External"/><Relationship Id="rId456" Type="http://schemas.openxmlformats.org/officeDocument/2006/relationships/hyperlink" Target="https://twitter.com/PythonBooks" TargetMode="External"/><Relationship Id="rId451" Type="http://schemas.openxmlformats.org/officeDocument/2006/relationships/hyperlink" Target="https://twitter.com/mytuxfr/status/702802729639546880" TargetMode="External"/><Relationship Id="rId5640" Type="http://schemas.openxmlformats.org/officeDocument/2006/relationships/hyperlink" Target="https://twitter.com/artwisanggeni/status/703069266866675714" TargetMode="External"/><Relationship Id="rId6971" Type="http://schemas.openxmlformats.org/officeDocument/2006/relationships/hyperlink" Target="https://twitter.com/artwisanggeni/status/703159122775019520" TargetMode="External"/><Relationship Id="rId450" Type="http://schemas.openxmlformats.org/officeDocument/2006/relationships/hyperlink" Target="https://twitter.com/mytuxfr" TargetMode="External"/><Relationship Id="rId5641" Type="http://schemas.openxmlformats.org/officeDocument/2006/relationships/hyperlink" Target="http://dlvr.it" TargetMode="External"/><Relationship Id="rId6972" Type="http://schemas.openxmlformats.org/officeDocument/2006/relationships/hyperlink" Target="http://dlvr.it" TargetMode="External"/><Relationship Id="rId4310" Type="http://schemas.openxmlformats.org/officeDocument/2006/relationships/hyperlink" Target="https://twitter.com/startechwall" TargetMode="External"/><Relationship Id="rId6970" Type="http://schemas.openxmlformats.org/officeDocument/2006/relationships/hyperlink" Target="https://twitter.com/artwisanggeni" TargetMode="External"/><Relationship Id="rId455" Type="http://schemas.openxmlformats.org/officeDocument/2006/relationships/hyperlink" Target="https://pbs.twimg.com/profile_images/378800000395732848/280c978f05a649ed1dc8376db6a37a8a_normal.png" TargetMode="External"/><Relationship Id="rId4312" Type="http://schemas.openxmlformats.org/officeDocument/2006/relationships/hyperlink" Target="https://pbs.twimg.com/profile_images/679566117187145728/UUo30Zpm_normal.jpg" TargetMode="External"/><Relationship Id="rId5644" Type="http://schemas.openxmlformats.org/officeDocument/2006/relationships/hyperlink" Target="https://twitter.com/artwisanggeni/status/703069272210145280" TargetMode="External"/><Relationship Id="rId6975" Type="http://schemas.openxmlformats.org/officeDocument/2006/relationships/hyperlink" Target="https://twitter.com/artwisanggeni/status/703159125073526785" TargetMode="External"/><Relationship Id="rId454" Type="http://schemas.openxmlformats.org/officeDocument/2006/relationships/hyperlink" Target="https://twitter.com/darkelda/status/702803281240854528" TargetMode="External"/><Relationship Id="rId4311" Type="http://schemas.openxmlformats.org/officeDocument/2006/relationships/hyperlink" Target="https://twitter.com/startechwall/status/702985772446699520" TargetMode="External"/><Relationship Id="rId5645" Type="http://schemas.openxmlformats.org/officeDocument/2006/relationships/hyperlink" Target="http://dlvr.it" TargetMode="External"/><Relationship Id="rId6976" Type="http://schemas.openxmlformats.org/officeDocument/2006/relationships/hyperlink" Target="http://dlvr.it" TargetMode="External"/><Relationship Id="rId453" Type="http://schemas.openxmlformats.org/officeDocument/2006/relationships/hyperlink" Target="https://twitter.com/darkelda" TargetMode="External"/><Relationship Id="rId4314" Type="http://schemas.openxmlformats.org/officeDocument/2006/relationships/hyperlink" Target="https://twitter.com/startechwall/status/702985777022636032" TargetMode="External"/><Relationship Id="rId5642" Type="http://schemas.openxmlformats.org/officeDocument/2006/relationships/hyperlink" Target="https://pbs.twimg.com/profile_images/2813636657/599521f69e2bc210a57323b64d8e39e6_normal.jpeg" TargetMode="External"/><Relationship Id="rId6973" Type="http://schemas.openxmlformats.org/officeDocument/2006/relationships/hyperlink" Target="https://pbs.twimg.com/profile_images/2813636657/599521f69e2bc210a57323b64d8e39e6_normal.jpeg" TargetMode="External"/><Relationship Id="rId452" Type="http://schemas.openxmlformats.org/officeDocument/2006/relationships/hyperlink" Target="https://pbs.twimg.com/profile_images/515914961973805057/yDvSo6-3_normal.png" TargetMode="External"/><Relationship Id="rId4313" Type="http://schemas.openxmlformats.org/officeDocument/2006/relationships/hyperlink" Target="https://twitter.com/startechwall" TargetMode="External"/><Relationship Id="rId5643" Type="http://schemas.openxmlformats.org/officeDocument/2006/relationships/hyperlink" Target="https://twitter.com/artwisanggeni" TargetMode="External"/><Relationship Id="rId6974" Type="http://schemas.openxmlformats.org/officeDocument/2006/relationships/hyperlink" Target="https://twitter.com/artwisanggeni" TargetMode="External"/><Relationship Id="rId3018" Type="http://schemas.openxmlformats.org/officeDocument/2006/relationships/hyperlink" Target="https://twitter.com/NowLivecodingtv" TargetMode="External"/><Relationship Id="rId4349" Type="http://schemas.openxmlformats.org/officeDocument/2006/relationships/hyperlink" Target="https://twitter.com/reuvenmlerner/status/702987355821645824" TargetMode="External"/><Relationship Id="rId3017" Type="http://schemas.openxmlformats.org/officeDocument/2006/relationships/hyperlink" Target="https://pbs.twimg.com/profile_images/699984077877874688/aR2ovqId_normal.png" TargetMode="External"/><Relationship Id="rId4348" Type="http://schemas.openxmlformats.org/officeDocument/2006/relationships/hyperlink" Target="https://twitter.com/reuvenmlerner" TargetMode="External"/><Relationship Id="rId5679" Type="http://schemas.openxmlformats.org/officeDocument/2006/relationships/hyperlink" Target="https://pbs.twimg.com/profile_images/699984077877874688/aR2ovqId_normal.png" TargetMode="External"/><Relationship Id="rId3019" Type="http://schemas.openxmlformats.org/officeDocument/2006/relationships/hyperlink" Target="https://twitter.com/NowLivecodingtv/status/702933471426023424" TargetMode="External"/><Relationship Id="rId491" Type="http://schemas.openxmlformats.org/officeDocument/2006/relationships/hyperlink" Target="https://twitter.com/hackmum/status/702809114435432448" TargetMode="External"/><Relationship Id="rId490" Type="http://schemas.openxmlformats.org/officeDocument/2006/relationships/hyperlink" Target="https://twitter.com/hackmum" TargetMode="External"/><Relationship Id="rId489" Type="http://schemas.openxmlformats.org/officeDocument/2006/relationships/hyperlink" Target="https://pbs.twimg.com/profile_images/664425480620257280/tLxow3JG_normal.jpg" TargetMode="External"/><Relationship Id="rId5670" Type="http://schemas.openxmlformats.org/officeDocument/2006/relationships/hyperlink" Target="https://pbs.twimg.com/profile_images/699984077877874688/aR2ovqId_normal.png" TargetMode="External"/><Relationship Id="rId484" Type="http://schemas.openxmlformats.org/officeDocument/2006/relationships/hyperlink" Target="https://twitter.com/art_control" TargetMode="External"/><Relationship Id="rId3010" Type="http://schemas.openxmlformats.org/officeDocument/2006/relationships/hyperlink" Target="https://twitter.com/NowLivecodingtv/status/702933441491283968" TargetMode="External"/><Relationship Id="rId4341" Type="http://schemas.openxmlformats.org/officeDocument/2006/relationships/hyperlink" Target="https://pbs.twimg.com/profile_images/632203540761550848/-NqxCNiW_normal.jpg" TargetMode="External"/><Relationship Id="rId5673" Type="http://schemas.openxmlformats.org/officeDocument/2006/relationships/hyperlink" Target="https://pbs.twimg.com/profile_images/699984077877874688/aR2ovqId_normal.png" TargetMode="External"/><Relationship Id="rId483" Type="http://schemas.openxmlformats.org/officeDocument/2006/relationships/hyperlink" Target="https://pbs.twimg.com/profile_images/523203529620484096/fzN_Plp5_normal.jpeg" TargetMode="External"/><Relationship Id="rId4340" Type="http://schemas.openxmlformats.org/officeDocument/2006/relationships/hyperlink" Target="https://twitter.com/jordixou/status/702986956226043904" TargetMode="External"/><Relationship Id="rId5674" Type="http://schemas.openxmlformats.org/officeDocument/2006/relationships/hyperlink" Target="https://twitter.com/NowLivecodingtv" TargetMode="External"/><Relationship Id="rId482" Type="http://schemas.openxmlformats.org/officeDocument/2006/relationships/hyperlink" Target="https://twitter.com/GetUdemyDeals/status/702806685610549248" TargetMode="External"/><Relationship Id="rId3012" Type="http://schemas.openxmlformats.org/officeDocument/2006/relationships/hyperlink" Target="https://twitter.com/NowLivecodingtv" TargetMode="External"/><Relationship Id="rId4343" Type="http://schemas.openxmlformats.org/officeDocument/2006/relationships/hyperlink" Target="https://twitter.com/programmingncr/status/702987089802092544" TargetMode="External"/><Relationship Id="rId5671" Type="http://schemas.openxmlformats.org/officeDocument/2006/relationships/hyperlink" Target="https://twitter.com/NowLivecodingtv" TargetMode="External"/><Relationship Id="rId481" Type="http://schemas.openxmlformats.org/officeDocument/2006/relationships/hyperlink" Target="https://twitter.com/GetUdemyDeals" TargetMode="External"/><Relationship Id="rId3011" Type="http://schemas.openxmlformats.org/officeDocument/2006/relationships/hyperlink" Target="https://pbs.twimg.com/profile_images/699984077877874688/aR2ovqId_normal.png" TargetMode="External"/><Relationship Id="rId4342" Type="http://schemas.openxmlformats.org/officeDocument/2006/relationships/hyperlink" Target="https://twitter.com/programmingncr" TargetMode="External"/><Relationship Id="rId5672" Type="http://schemas.openxmlformats.org/officeDocument/2006/relationships/hyperlink" Target="https://twitter.com/NowLivecodingtv/status/703070149893627907" TargetMode="External"/><Relationship Id="rId488" Type="http://schemas.openxmlformats.org/officeDocument/2006/relationships/hyperlink" Target="https://twitter.com/titibiliki/status/702808825212973056" TargetMode="External"/><Relationship Id="rId3014" Type="http://schemas.openxmlformats.org/officeDocument/2006/relationships/hyperlink" Target="https://pbs.twimg.com/profile_images/699984077877874688/aR2ovqId_normal.png" TargetMode="External"/><Relationship Id="rId4345" Type="http://schemas.openxmlformats.org/officeDocument/2006/relationships/hyperlink" Target="https://twitter.com/HartwigMicheal" TargetMode="External"/><Relationship Id="rId5677" Type="http://schemas.openxmlformats.org/officeDocument/2006/relationships/hyperlink" Target="https://twitter.com/NowLivecodingtv" TargetMode="External"/><Relationship Id="rId487" Type="http://schemas.openxmlformats.org/officeDocument/2006/relationships/hyperlink" Target="https://twitter.com/titibiliki" TargetMode="External"/><Relationship Id="rId3013" Type="http://schemas.openxmlformats.org/officeDocument/2006/relationships/hyperlink" Target="https://twitter.com/NowLivecodingtv/status/702933447279452160" TargetMode="External"/><Relationship Id="rId4344" Type="http://schemas.openxmlformats.org/officeDocument/2006/relationships/hyperlink" Target="https://pbs.twimg.com/profile_images/662602436222193664/qKuvsfnG_normal.jpg" TargetMode="External"/><Relationship Id="rId5678" Type="http://schemas.openxmlformats.org/officeDocument/2006/relationships/hyperlink" Target="https://twitter.com/NowLivecodingtv/status/703070155325231104" TargetMode="External"/><Relationship Id="rId486" Type="http://schemas.openxmlformats.org/officeDocument/2006/relationships/hyperlink" Target="https://pbs.twimg.com/profile_images/649004216690675712/UAcrP6ol_normal.png" TargetMode="External"/><Relationship Id="rId3016" Type="http://schemas.openxmlformats.org/officeDocument/2006/relationships/hyperlink" Target="https://twitter.com/NowLivecodingtv/status/702933461217050624" TargetMode="External"/><Relationship Id="rId4347" Type="http://schemas.openxmlformats.org/officeDocument/2006/relationships/hyperlink" Target="https://pbs.twimg.com/profile_images/679948461953781761/pDo9356K_normal.jpg" TargetMode="External"/><Relationship Id="rId5675" Type="http://schemas.openxmlformats.org/officeDocument/2006/relationships/hyperlink" Target="https://twitter.com/NowLivecodingtv/status/703070152888340480" TargetMode="External"/><Relationship Id="rId485" Type="http://schemas.openxmlformats.org/officeDocument/2006/relationships/hyperlink" Target="https://twitter.com/art_control/status/702806865944649729" TargetMode="External"/><Relationship Id="rId3015" Type="http://schemas.openxmlformats.org/officeDocument/2006/relationships/hyperlink" Target="https://twitter.com/NowLivecodingtv" TargetMode="External"/><Relationship Id="rId4346" Type="http://schemas.openxmlformats.org/officeDocument/2006/relationships/hyperlink" Target="https://twitter.com/HartwigMicheal/status/702987219842306048" TargetMode="External"/><Relationship Id="rId5676" Type="http://schemas.openxmlformats.org/officeDocument/2006/relationships/hyperlink" Target="https://pbs.twimg.com/profile_images/699984077877874688/aR2ovqId_normal.png" TargetMode="External"/><Relationship Id="rId3007" Type="http://schemas.openxmlformats.org/officeDocument/2006/relationships/hyperlink" Target="https://twitter.com/NowLivecodingtv/status/702933426815414272" TargetMode="External"/><Relationship Id="rId4338" Type="http://schemas.openxmlformats.org/officeDocument/2006/relationships/hyperlink" Target="https://pbs.twimg.com/profile_images/618964235779862528/nLQhBWfq_normal.jpg" TargetMode="External"/><Relationship Id="rId3006" Type="http://schemas.openxmlformats.org/officeDocument/2006/relationships/hyperlink" Target="https://twitter.com/NowLivecodingtv" TargetMode="External"/><Relationship Id="rId4337" Type="http://schemas.openxmlformats.org/officeDocument/2006/relationships/hyperlink" Target="https://twitter.com/randal_olson/status/702986580294815745" TargetMode="External"/><Relationship Id="rId3009" Type="http://schemas.openxmlformats.org/officeDocument/2006/relationships/hyperlink" Target="https://twitter.com/NowLivecodingtv" TargetMode="External"/><Relationship Id="rId5668" Type="http://schemas.openxmlformats.org/officeDocument/2006/relationships/hyperlink" Target="https://twitter.com/NowLivecodingtv" TargetMode="External"/><Relationship Id="rId6999" Type="http://schemas.openxmlformats.org/officeDocument/2006/relationships/hyperlink" Target="https://pbs.twimg.com/profile_images/456490947287605248/4oklmBWe_normal.png" TargetMode="External"/><Relationship Id="rId3008" Type="http://schemas.openxmlformats.org/officeDocument/2006/relationships/hyperlink" Target="https://pbs.twimg.com/profile_images/699984077877874688/aR2ovqId_normal.png" TargetMode="External"/><Relationship Id="rId4339" Type="http://schemas.openxmlformats.org/officeDocument/2006/relationships/hyperlink" Target="https://twitter.com/jordixou" TargetMode="External"/><Relationship Id="rId5669" Type="http://schemas.openxmlformats.org/officeDocument/2006/relationships/hyperlink" Target="https://twitter.com/NowLivecodingtv/status/703070144914968576" TargetMode="External"/><Relationship Id="rId480" Type="http://schemas.openxmlformats.org/officeDocument/2006/relationships/hyperlink" Target="https://pbs.twimg.com/profile_images/702455638157168640/AeDgtn0C_normal.jpg" TargetMode="External"/><Relationship Id="rId479" Type="http://schemas.openxmlformats.org/officeDocument/2006/relationships/hyperlink" Target="https://twitter.com/PythonBooks/status/702806589602836480" TargetMode="External"/><Relationship Id="rId478" Type="http://schemas.openxmlformats.org/officeDocument/2006/relationships/hyperlink" Target="https://twitter.com/PythonBooks" TargetMode="External"/><Relationship Id="rId6990" Type="http://schemas.openxmlformats.org/officeDocument/2006/relationships/hyperlink" Target="https://pbs.twimg.com/profile_images/686377891911745536/AQFu2YWO_normal.png" TargetMode="External"/><Relationship Id="rId473" Type="http://schemas.openxmlformats.org/officeDocument/2006/relationships/hyperlink" Target="https://twitter.com/tweet_poke_/status/702805243671793664" TargetMode="External"/><Relationship Id="rId4330" Type="http://schemas.openxmlformats.org/officeDocument/2006/relationships/hyperlink" Target="https://twitter.com/art_control" TargetMode="External"/><Relationship Id="rId5662" Type="http://schemas.openxmlformats.org/officeDocument/2006/relationships/hyperlink" Target="https://twitter.com/NowLivecodingtv" TargetMode="External"/><Relationship Id="rId6993" Type="http://schemas.openxmlformats.org/officeDocument/2006/relationships/hyperlink" Target="https://pbs.twimg.com/profile_images/662602436222193664/qKuvsfnG_normal.jpg" TargetMode="External"/><Relationship Id="rId472" Type="http://schemas.openxmlformats.org/officeDocument/2006/relationships/hyperlink" Target="https://twitter.com/tweet_poke_" TargetMode="External"/><Relationship Id="rId5663" Type="http://schemas.openxmlformats.org/officeDocument/2006/relationships/hyperlink" Target="https://twitter.com/NowLivecodingtv/status/703070140234080257" TargetMode="External"/><Relationship Id="rId6994" Type="http://schemas.openxmlformats.org/officeDocument/2006/relationships/hyperlink" Target="https://twitter.com/MGallagher2010" TargetMode="External"/><Relationship Id="rId471" Type="http://schemas.openxmlformats.org/officeDocument/2006/relationships/hyperlink" Target="http://ctrlq.org/maps/address/" TargetMode="External"/><Relationship Id="rId3001" Type="http://schemas.openxmlformats.org/officeDocument/2006/relationships/hyperlink" Target="https://twitter.com/NowLivecodingtv/status/702933396964552704" TargetMode="External"/><Relationship Id="rId4332" Type="http://schemas.openxmlformats.org/officeDocument/2006/relationships/hyperlink" Target="https://pbs.twimg.com/profile_images/649004216690675712/UAcrP6ol_normal.png" TargetMode="External"/><Relationship Id="rId5660" Type="http://schemas.openxmlformats.org/officeDocument/2006/relationships/hyperlink" Target="https://twitter.com/NowLivecodingtv/status/703070133099634690" TargetMode="External"/><Relationship Id="rId6991" Type="http://schemas.openxmlformats.org/officeDocument/2006/relationships/hyperlink" Target="https://twitter.com/programmingncr" TargetMode="External"/><Relationship Id="rId470" Type="http://schemas.openxmlformats.org/officeDocument/2006/relationships/hyperlink" Target="https://pbs.twimg.com/profile_images/499122504951427073/UISN-0p1_normal.jpeg" TargetMode="External"/><Relationship Id="rId3000" Type="http://schemas.openxmlformats.org/officeDocument/2006/relationships/hyperlink" Target="https://twitter.com/NowLivecodingtv" TargetMode="External"/><Relationship Id="rId4331" Type="http://schemas.openxmlformats.org/officeDocument/2006/relationships/hyperlink" Target="https://twitter.com/art_control/status/702986404750618625" TargetMode="External"/><Relationship Id="rId5661" Type="http://schemas.openxmlformats.org/officeDocument/2006/relationships/hyperlink" Target="https://pbs.twimg.com/profile_images/699984077877874688/aR2ovqId_normal.png" TargetMode="External"/><Relationship Id="rId6992" Type="http://schemas.openxmlformats.org/officeDocument/2006/relationships/hyperlink" Target="https://twitter.com/programmingncr/status/703160650919342080" TargetMode="External"/><Relationship Id="rId477" Type="http://schemas.openxmlformats.org/officeDocument/2006/relationships/hyperlink" Target="https://pbs.twimg.com/profile_images/452064440687423488/nbwrKTwP_normal.jpeg" TargetMode="External"/><Relationship Id="rId3003" Type="http://schemas.openxmlformats.org/officeDocument/2006/relationships/hyperlink" Target="https://twitter.com/NowLivecodingtv" TargetMode="External"/><Relationship Id="rId4334" Type="http://schemas.openxmlformats.org/officeDocument/2006/relationships/hyperlink" Target="https://twitter.com/NumFOCUS/status/702986450887794688" TargetMode="External"/><Relationship Id="rId5666" Type="http://schemas.openxmlformats.org/officeDocument/2006/relationships/hyperlink" Target="https://twitter.com/NowLivecodingtv/status/703070143677652992" TargetMode="External"/><Relationship Id="rId6997" Type="http://schemas.openxmlformats.org/officeDocument/2006/relationships/hyperlink" Target="https://twitter.com/pythontrending" TargetMode="External"/><Relationship Id="rId476" Type="http://schemas.openxmlformats.org/officeDocument/2006/relationships/hyperlink" Target="https://twitter.com/cocoacoda/status/702805483271426048" TargetMode="External"/><Relationship Id="rId3002" Type="http://schemas.openxmlformats.org/officeDocument/2006/relationships/hyperlink" Target="https://pbs.twimg.com/profile_images/699984077877874688/aR2ovqId_normal.png" TargetMode="External"/><Relationship Id="rId4333" Type="http://schemas.openxmlformats.org/officeDocument/2006/relationships/hyperlink" Target="https://twitter.com/NumFOCUS" TargetMode="External"/><Relationship Id="rId5667" Type="http://schemas.openxmlformats.org/officeDocument/2006/relationships/hyperlink" Target="https://pbs.twimg.com/profile_images/699984077877874688/aR2ovqId_normal.png" TargetMode="External"/><Relationship Id="rId6998" Type="http://schemas.openxmlformats.org/officeDocument/2006/relationships/hyperlink" Target="https://twitter.com/pythontrending/status/703160682221408256" TargetMode="External"/><Relationship Id="rId475" Type="http://schemas.openxmlformats.org/officeDocument/2006/relationships/hyperlink" Target="https://twitter.com/cocoacoda" TargetMode="External"/><Relationship Id="rId3005" Type="http://schemas.openxmlformats.org/officeDocument/2006/relationships/hyperlink" Target="https://pbs.twimg.com/profile_images/699984077877874688/aR2ovqId_normal.png" TargetMode="External"/><Relationship Id="rId4336" Type="http://schemas.openxmlformats.org/officeDocument/2006/relationships/hyperlink" Target="https://twitter.com/randal_olson" TargetMode="External"/><Relationship Id="rId5664" Type="http://schemas.openxmlformats.org/officeDocument/2006/relationships/hyperlink" Target="https://pbs.twimg.com/profile_images/699984077877874688/aR2ovqId_normal.png" TargetMode="External"/><Relationship Id="rId6995" Type="http://schemas.openxmlformats.org/officeDocument/2006/relationships/hyperlink" Target="https://twitter.com/MGallagher2010/status/703160657407975424" TargetMode="External"/><Relationship Id="rId474" Type="http://schemas.openxmlformats.org/officeDocument/2006/relationships/hyperlink" Target="https://pbs.twimg.com/profile_images/578537216823144448/GW-4L7Mg_normal.png" TargetMode="External"/><Relationship Id="rId3004" Type="http://schemas.openxmlformats.org/officeDocument/2006/relationships/hyperlink" Target="https://twitter.com/NowLivecodingtv/status/702933411082555392" TargetMode="External"/><Relationship Id="rId4335" Type="http://schemas.openxmlformats.org/officeDocument/2006/relationships/hyperlink" Target="https://pbs.twimg.com/profile_images/702558144958869504/AIKaOGn__normal.png" TargetMode="External"/><Relationship Id="rId5665" Type="http://schemas.openxmlformats.org/officeDocument/2006/relationships/hyperlink" Target="https://twitter.com/NowLivecodingtv" TargetMode="External"/><Relationship Id="rId6996" Type="http://schemas.openxmlformats.org/officeDocument/2006/relationships/hyperlink" Target="https://pbs.twimg.com/profile_images/469802033856266240/G4Y4rX8A_normal.jpeg" TargetMode="External"/><Relationship Id="rId5615" Type="http://schemas.openxmlformats.org/officeDocument/2006/relationships/hyperlink" Target="https://twitter.com/PythonBooks/status/703068748492570624" TargetMode="External"/><Relationship Id="rId6946" Type="http://schemas.openxmlformats.org/officeDocument/2006/relationships/hyperlink" Target="https://twitter.com/artwisanggeni" TargetMode="External"/><Relationship Id="rId5616" Type="http://schemas.openxmlformats.org/officeDocument/2006/relationships/hyperlink" Target="https://pbs.twimg.com/profile_images/702455638157168640/AeDgtn0C_normal.jpg" TargetMode="External"/><Relationship Id="rId6947" Type="http://schemas.openxmlformats.org/officeDocument/2006/relationships/hyperlink" Target="https://twitter.com/artwisanggeni/status/703159107285422080" TargetMode="External"/><Relationship Id="rId5613" Type="http://schemas.openxmlformats.org/officeDocument/2006/relationships/hyperlink" Target="https://pbs.twimg.com/profile_images/702455638157168640/AeDgtn0C_normal.jpg" TargetMode="External"/><Relationship Id="rId6944" Type="http://schemas.openxmlformats.org/officeDocument/2006/relationships/hyperlink" Target="http://dlvr.it" TargetMode="External"/><Relationship Id="rId5614" Type="http://schemas.openxmlformats.org/officeDocument/2006/relationships/hyperlink" Target="https://twitter.com/PythonBooks" TargetMode="External"/><Relationship Id="rId6945" Type="http://schemas.openxmlformats.org/officeDocument/2006/relationships/hyperlink" Target="https://pbs.twimg.com/profile_images/2813636657/599521f69e2bc210a57323b64d8e39e6_normal.jpeg" TargetMode="External"/><Relationship Id="rId5619" Type="http://schemas.openxmlformats.org/officeDocument/2006/relationships/hyperlink" Target="https://pbs.twimg.com/profile_images/702455638157168640/AeDgtn0C_normal.jpg" TargetMode="External"/><Relationship Id="rId5617" Type="http://schemas.openxmlformats.org/officeDocument/2006/relationships/hyperlink" Target="https://twitter.com/PythonBooks" TargetMode="External"/><Relationship Id="rId6948" Type="http://schemas.openxmlformats.org/officeDocument/2006/relationships/hyperlink" Target="http://dlvr.it" TargetMode="External"/><Relationship Id="rId5618" Type="http://schemas.openxmlformats.org/officeDocument/2006/relationships/hyperlink" Target="https://twitter.com/PythonBooks/status/703068815366590464" TargetMode="External"/><Relationship Id="rId6949" Type="http://schemas.openxmlformats.org/officeDocument/2006/relationships/hyperlink" Target="https://pbs.twimg.com/profile_images/2813636657/599521f69e2bc210a57323b64d8e39e6_normal.jpeg" TargetMode="External"/><Relationship Id="rId426" Type="http://schemas.openxmlformats.org/officeDocument/2006/relationships/hyperlink" Target="https://twitter.com/_BarneyStins0n_" TargetMode="External"/><Relationship Id="rId425" Type="http://schemas.openxmlformats.org/officeDocument/2006/relationships/hyperlink" Target="https://pbs.twimg.com/profile_images/1388620416/furthest_work1_normal.jpg" TargetMode="External"/><Relationship Id="rId424" Type="http://schemas.openxmlformats.org/officeDocument/2006/relationships/hyperlink" Target="https://twitter.com/furthest_works/status/702800165552443392" TargetMode="External"/><Relationship Id="rId423" Type="http://schemas.openxmlformats.org/officeDocument/2006/relationships/hyperlink" Target="https://twitter.com/furthest_works" TargetMode="External"/><Relationship Id="rId429" Type="http://schemas.openxmlformats.org/officeDocument/2006/relationships/hyperlink" Target="https://twitter.com/vkaltenbronn" TargetMode="External"/><Relationship Id="rId428" Type="http://schemas.openxmlformats.org/officeDocument/2006/relationships/hyperlink" Target="https://pbs.twimg.com/profile_images/691186937525354496/hPpUzKca_normal.jpg" TargetMode="External"/><Relationship Id="rId427" Type="http://schemas.openxmlformats.org/officeDocument/2006/relationships/hyperlink" Target="https://twitter.com/_BarneyStins0n_/status/702800462181965824" TargetMode="External"/><Relationship Id="rId422" Type="http://schemas.openxmlformats.org/officeDocument/2006/relationships/hyperlink" Target="https://pbs.twimg.com/profile_images/699966979877113857/lSPpVZyT_normal.png" TargetMode="External"/><Relationship Id="rId5611" Type="http://schemas.openxmlformats.org/officeDocument/2006/relationships/hyperlink" Target="https://twitter.com/PythonBooks" TargetMode="External"/><Relationship Id="rId6942" Type="http://schemas.openxmlformats.org/officeDocument/2006/relationships/hyperlink" Target="https://twitter.com/artwisanggeni" TargetMode="External"/><Relationship Id="rId421" Type="http://schemas.openxmlformats.org/officeDocument/2006/relationships/hyperlink" Target="https://twitter.com/Zilkos/status/702800135319908352" TargetMode="External"/><Relationship Id="rId5612" Type="http://schemas.openxmlformats.org/officeDocument/2006/relationships/hyperlink" Target="https://twitter.com/PythonBooks/status/703068719241568256" TargetMode="External"/><Relationship Id="rId6943" Type="http://schemas.openxmlformats.org/officeDocument/2006/relationships/hyperlink" Target="https://twitter.com/artwisanggeni/status/703159103946764288" TargetMode="External"/><Relationship Id="rId420" Type="http://schemas.openxmlformats.org/officeDocument/2006/relationships/hyperlink" Target="https://twitter.com/Zilkos" TargetMode="External"/><Relationship Id="rId6940" Type="http://schemas.openxmlformats.org/officeDocument/2006/relationships/hyperlink" Target="https://twitter.com/javascriptd/status/703158833976217602" TargetMode="External"/><Relationship Id="rId5610" Type="http://schemas.openxmlformats.org/officeDocument/2006/relationships/hyperlink" Target="https://pbs.twimg.com/profile_images/702455638157168640/AeDgtn0C_normal.jpg" TargetMode="External"/><Relationship Id="rId6941" Type="http://schemas.openxmlformats.org/officeDocument/2006/relationships/hyperlink" Target="https://pbs.twimg.com/profile_images/544034757730779136/-jOL7GnN_normal.jpeg" TargetMode="External"/><Relationship Id="rId5604" Type="http://schemas.openxmlformats.org/officeDocument/2006/relationships/hyperlink" Target="https://pbs.twimg.com/profile_images/702455638157168640/AeDgtn0C_normal.jpg" TargetMode="External"/><Relationship Id="rId6935" Type="http://schemas.openxmlformats.org/officeDocument/2006/relationships/hyperlink" Target="https://pbs.twimg.com/profile_images/628343616109477888/n0tyOuyI_normal.png" TargetMode="External"/><Relationship Id="rId5605" Type="http://schemas.openxmlformats.org/officeDocument/2006/relationships/hyperlink" Target="https://twitter.com/PythonBooks" TargetMode="External"/><Relationship Id="rId6936" Type="http://schemas.openxmlformats.org/officeDocument/2006/relationships/hyperlink" Target="https://twitter.com/PythonBooks" TargetMode="External"/><Relationship Id="rId5602" Type="http://schemas.openxmlformats.org/officeDocument/2006/relationships/hyperlink" Target="https://twitter.com/PythonBooks" TargetMode="External"/><Relationship Id="rId6933" Type="http://schemas.openxmlformats.org/officeDocument/2006/relationships/hyperlink" Target="https://twitter.com/vicmagv" TargetMode="External"/><Relationship Id="rId5603" Type="http://schemas.openxmlformats.org/officeDocument/2006/relationships/hyperlink" Target="https://twitter.com/PythonBooks/status/703068630414536704" TargetMode="External"/><Relationship Id="rId6934" Type="http://schemas.openxmlformats.org/officeDocument/2006/relationships/hyperlink" Target="https://twitter.com/vicmagv/status/703158506606579713" TargetMode="External"/><Relationship Id="rId5608" Type="http://schemas.openxmlformats.org/officeDocument/2006/relationships/hyperlink" Target="https://twitter.com/PythonBooks" TargetMode="External"/><Relationship Id="rId6939" Type="http://schemas.openxmlformats.org/officeDocument/2006/relationships/hyperlink" Target="https://twitter.com/javascriptd" TargetMode="External"/><Relationship Id="rId5609" Type="http://schemas.openxmlformats.org/officeDocument/2006/relationships/hyperlink" Target="https://twitter.com/PythonBooks/status/703068691080974336" TargetMode="External"/><Relationship Id="rId5606" Type="http://schemas.openxmlformats.org/officeDocument/2006/relationships/hyperlink" Target="https://twitter.com/PythonBooks/status/703068653747441664" TargetMode="External"/><Relationship Id="rId6937" Type="http://schemas.openxmlformats.org/officeDocument/2006/relationships/hyperlink" Target="https://twitter.com/PythonBooks/status/703158822756421632" TargetMode="External"/><Relationship Id="rId5607" Type="http://schemas.openxmlformats.org/officeDocument/2006/relationships/hyperlink" Target="https://pbs.twimg.com/profile_images/702455638157168640/AeDgtn0C_normal.jpg" TargetMode="External"/><Relationship Id="rId6938" Type="http://schemas.openxmlformats.org/officeDocument/2006/relationships/hyperlink" Target="https://pbs.twimg.com/profile_images/702455638157168640/AeDgtn0C_normal.jpg" TargetMode="External"/><Relationship Id="rId415" Type="http://schemas.openxmlformats.org/officeDocument/2006/relationships/hyperlink" Target="https://twitter.com/salvatoremonaco/status/702800017141145600" TargetMode="External"/><Relationship Id="rId414" Type="http://schemas.openxmlformats.org/officeDocument/2006/relationships/hyperlink" Target="https://twitter.com/salvatoremonaco" TargetMode="External"/><Relationship Id="rId413" Type="http://schemas.openxmlformats.org/officeDocument/2006/relationships/hyperlink" Target="https://pbs.twimg.com/profile_images/626337909315125248/DyG7yNNm_normal.png" TargetMode="External"/><Relationship Id="rId412" Type="http://schemas.openxmlformats.org/officeDocument/2006/relationships/hyperlink" Target="https://twitter.com/journalduhacker/status/702799708872429569" TargetMode="External"/><Relationship Id="rId419" Type="http://schemas.openxmlformats.org/officeDocument/2006/relationships/hyperlink" Target="https://pbs.twimg.com/profile_images/378800000797263940/dda00273cce84ef7fff53884f9933fa2_normal.jpeg" TargetMode="External"/><Relationship Id="rId418" Type="http://schemas.openxmlformats.org/officeDocument/2006/relationships/hyperlink" Target="https://twitter.com/KanorUbu/status/702800042533511168" TargetMode="External"/><Relationship Id="rId417" Type="http://schemas.openxmlformats.org/officeDocument/2006/relationships/hyperlink" Target="https://twitter.com/KanorUbu" TargetMode="External"/><Relationship Id="rId416" Type="http://schemas.openxmlformats.org/officeDocument/2006/relationships/hyperlink" Target="https://pbs.twimg.com/profile_images/1781002900/image_normal.jpg" TargetMode="External"/><Relationship Id="rId411" Type="http://schemas.openxmlformats.org/officeDocument/2006/relationships/hyperlink" Target="https://twitter.com/journalduhacker" TargetMode="External"/><Relationship Id="rId5600" Type="http://schemas.openxmlformats.org/officeDocument/2006/relationships/hyperlink" Target="https://twitter.com/PythonBooks/status/703068599607398400" TargetMode="External"/><Relationship Id="rId6931" Type="http://schemas.openxmlformats.org/officeDocument/2006/relationships/hyperlink" Target="https://twitter.com/FAECTA_/status/703158060080984064" TargetMode="External"/><Relationship Id="rId410" Type="http://schemas.openxmlformats.org/officeDocument/2006/relationships/hyperlink" Target="https://pbs.twimg.com/profile_images/655401968802861056/yuPEMhy3_normal.jpg" TargetMode="External"/><Relationship Id="rId5601" Type="http://schemas.openxmlformats.org/officeDocument/2006/relationships/hyperlink" Target="https://pbs.twimg.com/profile_images/702455638157168640/AeDgtn0C_normal.jpg" TargetMode="External"/><Relationship Id="rId6932" Type="http://schemas.openxmlformats.org/officeDocument/2006/relationships/hyperlink" Target="https://pbs.twimg.com/profile_images/569844133280223232/LZVHwr1u_normal.png" TargetMode="External"/><Relationship Id="rId6930" Type="http://schemas.openxmlformats.org/officeDocument/2006/relationships/hyperlink" Target="https://twitter.com/FAECTA_" TargetMode="External"/><Relationship Id="rId4305" Type="http://schemas.openxmlformats.org/officeDocument/2006/relationships/hyperlink" Target="https://twitter.com/startechwall/status/702985764976644097" TargetMode="External"/><Relationship Id="rId5637" Type="http://schemas.openxmlformats.org/officeDocument/2006/relationships/hyperlink" Target="http://dlvr.it" TargetMode="External"/><Relationship Id="rId6968" Type="http://schemas.openxmlformats.org/officeDocument/2006/relationships/hyperlink" Target="http://dlvr.it" TargetMode="External"/><Relationship Id="rId4304" Type="http://schemas.openxmlformats.org/officeDocument/2006/relationships/hyperlink" Target="https://twitter.com/startechwall" TargetMode="External"/><Relationship Id="rId5638" Type="http://schemas.openxmlformats.org/officeDocument/2006/relationships/hyperlink" Target="https://pbs.twimg.com/profile_images/2813636657/599521f69e2bc210a57323b64d8e39e6_normal.jpeg" TargetMode="External"/><Relationship Id="rId6969" Type="http://schemas.openxmlformats.org/officeDocument/2006/relationships/hyperlink" Target="https://pbs.twimg.com/profile_images/2813636657/599521f69e2bc210a57323b64d8e39e6_normal.jpeg" TargetMode="External"/><Relationship Id="rId4307" Type="http://schemas.openxmlformats.org/officeDocument/2006/relationships/hyperlink" Target="https://twitter.com/startechwall" TargetMode="External"/><Relationship Id="rId5635" Type="http://schemas.openxmlformats.org/officeDocument/2006/relationships/hyperlink" Target="https://twitter.com/artwisanggeni" TargetMode="External"/><Relationship Id="rId6966" Type="http://schemas.openxmlformats.org/officeDocument/2006/relationships/hyperlink" Target="https://twitter.com/artwisanggeni" TargetMode="External"/><Relationship Id="rId4306" Type="http://schemas.openxmlformats.org/officeDocument/2006/relationships/hyperlink" Target="https://pbs.twimg.com/profile_images/679566117187145728/UUo30Zpm_normal.jpg" TargetMode="External"/><Relationship Id="rId5636" Type="http://schemas.openxmlformats.org/officeDocument/2006/relationships/hyperlink" Target="https://twitter.com/artwisanggeni/status/703069262512979968" TargetMode="External"/><Relationship Id="rId6967" Type="http://schemas.openxmlformats.org/officeDocument/2006/relationships/hyperlink" Target="https://twitter.com/artwisanggeni/status/703159120413626368" TargetMode="External"/><Relationship Id="rId4309" Type="http://schemas.openxmlformats.org/officeDocument/2006/relationships/hyperlink" Target="https://pbs.twimg.com/profile_images/679566117187145728/UUo30Zpm_normal.jpg" TargetMode="External"/><Relationship Id="rId4308" Type="http://schemas.openxmlformats.org/officeDocument/2006/relationships/hyperlink" Target="https://twitter.com/startechwall/status/702985767698698240" TargetMode="External"/><Relationship Id="rId5639" Type="http://schemas.openxmlformats.org/officeDocument/2006/relationships/hyperlink" Target="https://twitter.com/artwisanggeni" TargetMode="External"/><Relationship Id="rId448" Type="http://schemas.openxmlformats.org/officeDocument/2006/relationships/hyperlink" Target="https://twitter.com/carl_chenet/status/702802729526304769" TargetMode="External"/><Relationship Id="rId447" Type="http://schemas.openxmlformats.org/officeDocument/2006/relationships/hyperlink" Target="https://twitter.com/carl_chenet" TargetMode="External"/><Relationship Id="rId446" Type="http://schemas.openxmlformats.org/officeDocument/2006/relationships/hyperlink" Target="https://pbs.twimg.com/profile_images/684234090896179200/JwDkkha-_normal.jpg" TargetMode="External"/><Relationship Id="rId445" Type="http://schemas.openxmlformats.org/officeDocument/2006/relationships/hyperlink" Target="https://twitter.com/apcelent/status/702802481470795777" TargetMode="External"/><Relationship Id="rId449" Type="http://schemas.openxmlformats.org/officeDocument/2006/relationships/hyperlink" Target="https://pbs.twimg.com/profile_images/2777592657/94d4bcbbb2e59b6849c75e6609851fb6_normal.png" TargetMode="External"/><Relationship Id="rId440" Type="http://schemas.openxmlformats.org/officeDocument/2006/relationships/hyperlink" Target="https://pbs.twimg.com/profile_images/378800000668771195/417d81d37e2ec238530bc1415bfe5322_normal.png" TargetMode="External"/><Relationship Id="rId6960" Type="http://schemas.openxmlformats.org/officeDocument/2006/relationships/hyperlink" Target="http://dlvr.it" TargetMode="External"/><Relationship Id="rId5630" Type="http://schemas.openxmlformats.org/officeDocument/2006/relationships/hyperlink" Target="https://twitter.com/PythonBooks/status/703069010494038016" TargetMode="External"/><Relationship Id="rId6961" Type="http://schemas.openxmlformats.org/officeDocument/2006/relationships/hyperlink" Target="https://pbs.twimg.com/profile_images/2813636657/599521f69e2bc210a57323b64d8e39e6_normal.jpeg" TargetMode="External"/><Relationship Id="rId444" Type="http://schemas.openxmlformats.org/officeDocument/2006/relationships/hyperlink" Target="https://twitter.com/apcelent" TargetMode="External"/><Relationship Id="rId4301" Type="http://schemas.openxmlformats.org/officeDocument/2006/relationships/hyperlink" Target="https://twitter.com/jessejiryudavis" TargetMode="External"/><Relationship Id="rId5633" Type="http://schemas.openxmlformats.org/officeDocument/2006/relationships/hyperlink" Target="https://twitter.com/vitaminasEcom/status/703069249124868098" TargetMode="External"/><Relationship Id="rId6964" Type="http://schemas.openxmlformats.org/officeDocument/2006/relationships/hyperlink" Target="http://dlvr.it" TargetMode="External"/><Relationship Id="rId443" Type="http://schemas.openxmlformats.org/officeDocument/2006/relationships/hyperlink" Target="https://pbs.twimg.com/profile_images/2071908594/GiantButterflyGlass3_250_normal.png" TargetMode="External"/><Relationship Id="rId4300" Type="http://schemas.openxmlformats.org/officeDocument/2006/relationships/hyperlink" Target="https://pbs.twimg.com/profile_images/627419146846732288/vTMPLcxC_normal.jpg" TargetMode="External"/><Relationship Id="rId5634" Type="http://schemas.openxmlformats.org/officeDocument/2006/relationships/hyperlink" Target="https://pbs.twimg.com/profile_images/697454094512947201/Jd3-VI2x_normal.png" TargetMode="External"/><Relationship Id="rId6965" Type="http://schemas.openxmlformats.org/officeDocument/2006/relationships/hyperlink" Target="https://pbs.twimg.com/profile_images/2813636657/599521f69e2bc210a57323b64d8e39e6_normal.jpeg" TargetMode="External"/><Relationship Id="rId442" Type="http://schemas.openxmlformats.org/officeDocument/2006/relationships/hyperlink" Target="https://twitter.com/Haffina/status/702802463196364800" TargetMode="External"/><Relationship Id="rId4303" Type="http://schemas.openxmlformats.org/officeDocument/2006/relationships/hyperlink" Target="https://pbs.twimg.com/profile_images/808380981/profile_normal.jpg" TargetMode="External"/><Relationship Id="rId5631" Type="http://schemas.openxmlformats.org/officeDocument/2006/relationships/hyperlink" Target="https://pbs.twimg.com/profile_images/702455638157168640/AeDgtn0C_normal.jpg" TargetMode="External"/><Relationship Id="rId6962" Type="http://schemas.openxmlformats.org/officeDocument/2006/relationships/hyperlink" Target="https://twitter.com/artwisanggeni" TargetMode="External"/><Relationship Id="rId441" Type="http://schemas.openxmlformats.org/officeDocument/2006/relationships/hyperlink" Target="https://twitter.com/Haffina" TargetMode="External"/><Relationship Id="rId4302" Type="http://schemas.openxmlformats.org/officeDocument/2006/relationships/hyperlink" Target="https://twitter.com/jessejiryudavis/status/702985685305856000" TargetMode="External"/><Relationship Id="rId5632" Type="http://schemas.openxmlformats.org/officeDocument/2006/relationships/hyperlink" Target="https://twitter.com/vitaminasEcom" TargetMode="External"/><Relationship Id="rId6963" Type="http://schemas.openxmlformats.org/officeDocument/2006/relationships/hyperlink" Target="https://twitter.com/artwisanggeni/status/703159117737668609" TargetMode="External"/><Relationship Id="rId5626" Type="http://schemas.openxmlformats.org/officeDocument/2006/relationships/hyperlink" Target="https://twitter.com/rethumb" TargetMode="External"/><Relationship Id="rId6957" Type="http://schemas.openxmlformats.org/officeDocument/2006/relationships/hyperlink" Target="https://pbs.twimg.com/profile_images/2813636657/599521f69e2bc210a57323b64d8e39e6_normal.jpeg" TargetMode="External"/><Relationship Id="rId5627" Type="http://schemas.openxmlformats.org/officeDocument/2006/relationships/hyperlink" Target="https://twitter.com/rethumb/status/703068975429754880" TargetMode="External"/><Relationship Id="rId6958" Type="http://schemas.openxmlformats.org/officeDocument/2006/relationships/hyperlink" Target="https://twitter.com/artwisanggeni" TargetMode="External"/><Relationship Id="rId5624" Type="http://schemas.openxmlformats.org/officeDocument/2006/relationships/hyperlink" Target="https://twitter.com/PythonBooks/status/703068943699677184" TargetMode="External"/><Relationship Id="rId6955" Type="http://schemas.openxmlformats.org/officeDocument/2006/relationships/hyperlink" Target="https://twitter.com/artwisanggeni/status/703159112977092608" TargetMode="External"/><Relationship Id="rId5625" Type="http://schemas.openxmlformats.org/officeDocument/2006/relationships/hyperlink" Target="https://pbs.twimg.com/profile_images/702455638157168640/AeDgtn0C_normal.jpg" TargetMode="External"/><Relationship Id="rId6956" Type="http://schemas.openxmlformats.org/officeDocument/2006/relationships/hyperlink" Target="http://dlvr.it" TargetMode="External"/><Relationship Id="rId5628" Type="http://schemas.openxmlformats.org/officeDocument/2006/relationships/hyperlink" Target="https://pbs.twimg.com/profile_images/606508575339511808/H8_RCT0z_normal.png" TargetMode="External"/><Relationship Id="rId6959" Type="http://schemas.openxmlformats.org/officeDocument/2006/relationships/hyperlink" Target="https://twitter.com/artwisanggeni/status/703159115330113542" TargetMode="External"/><Relationship Id="rId5629" Type="http://schemas.openxmlformats.org/officeDocument/2006/relationships/hyperlink" Target="https://twitter.com/PythonBooks" TargetMode="External"/><Relationship Id="rId437" Type="http://schemas.openxmlformats.org/officeDocument/2006/relationships/hyperlink" Target="https://pbs.twimg.com/profile_images/696822585112145920/nt36T5Lh_normal.png" TargetMode="External"/><Relationship Id="rId436" Type="http://schemas.openxmlformats.org/officeDocument/2006/relationships/hyperlink" Target="https://twitter.com/WebsiteBits/status/702802180047175680" TargetMode="External"/><Relationship Id="rId435" Type="http://schemas.openxmlformats.org/officeDocument/2006/relationships/hyperlink" Target="https://twitter.com/WebsiteBits" TargetMode="External"/><Relationship Id="rId434" Type="http://schemas.openxmlformats.org/officeDocument/2006/relationships/hyperlink" Target="https://pbs.twimg.com/profile_images/662602436222193664/qKuvsfnG_normal.jpg" TargetMode="External"/><Relationship Id="rId439" Type="http://schemas.openxmlformats.org/officeDocument/2006/relationships/hyperlink" Target="https://twitter.com/Cryptie_/status/702802406405480448" TargetMode="External"/><Relationship Id="rId438" Type="http://schemas.openxmlformats.org/officeDocument/2006/relationships/hyperlink" Target="https://twitter.com/Cryptie_" TargetMode="External"/><Relationship Id="rId6950" Type="http://schemas.openxmlformats.org/officeDocument/2006/relationships/hyperlink" Target="https://twitter.com/artwisanggeni" TargetMode="External"/><Relationship Id="rId433" Type="http://schemas.openxmlformats.org/officeDocument/2006/relationships/hyperlink" Target="https://twitter.com/programmingncr/status/702801836848390144" TargetMode="External"/><Relationship Id="rId5622" Type="http://schemas.openxmlformats.org/officeDocument/2006/relationships/hyperlink" Target="https://pbs.twimg.com/profile_images/1816885964/image1328857964_normal.png" TargetMode="External"/><Relationship Id="rId6953" Type="http://schemas.openxmlformats.org/officeDocument/2006/relationships/hyperlink" Target="https://pbs.twimg.com/profile_images/2813636657/599521f69e2bc210a57323b64d8e39e6_normal.jpeg" TargetMode="External"/><Relationship Id="rId432" Type="http://schemas.openxmlformats.org/officeDocument/2006/relationships/hyperlink" Target="https://twitter.com/programmingncr" TargetMode="External"/><Relationship Id="rId5623" Type="http://schemas.openxmlformats.org/officeDocument/2006/relationships/hyperlink" Target="https://twitter.com/PythonBooks" TargetMode="External"/><Relationship Id="rId6954" Type="http://schemas.openxmlformats.org/officeDocument/2006/relationships/hyperlink" Target="https://twitter.com/artwisanggeni" TargetMode="External"/><Relationship Id="rId431" Type="http://schemas.openxmlformats.org/officeDocument/2006/relationships/hyperlink" Target="https://pbs.twimg.com/profile_images/517216990436794369/WKwcCqR8_normal.jpeg" TargetMode="External"/><Relationship Id="rId5620" Type="http://schemas.openxmlformats.org/officeDocument/2006/relationships/hyperlink" Target="https://twitter.com/rahulgchaudhary" TargetMode="External"/><Relationship Id="rId6951" Type="http://schemas.openxmlformats.org/officeDocument/2006/relationships/hyperlink" Target="https://twitter.com/artwisanggeni/status/703159110234058754" TargetMode="External"/><Relationship Id="rId430" Type="http://schemas.openxmlformats.org/officeDocument/2006/relationships/hyperlink" Target="https://twitter.com/vkaltenbronn/status/702801137490124800" TargetMode="External"/><Relationship Id="rId5621" Type="http://schemas.openxmlformats.org/officeDocument/2006/relationships/hyperlink" Target="https://twitter.com/rahulgchaudhary/status/703068878323257346" TargetMode="External"/><Relationship Id="rId6952" Type="http://schemas.openxmlformats.org/officeDocument/2006/relationships/hyperlink" Target="http://dlvr.it" TargetMode="External"/><Relationship Id="rId6108" Type="http://schemas.openxmlformats.org/officeDocument/2006/relationships/hyperlink" Target="https://twitter.com/JoshuaLongUK/status/703100520638996480" TargetMode="External"/><Relationship Id="rId6109" Type="http://schemas.openxmlformats.org/officeDocument/2006/relationships/hyperlink" Target="https://pbs.twimg.com/profile_images/627996138403168256/DaASdgVr_normal.jpg" TargetMode="External"/><Relationship Id="rId7439" Type="http://schemas.openxmlformats.org/officeDocument/2006/relationships/hyperlink" Target="https://twitter.com/PythonBooks" TargetMode="External"/><Relationship Id="rId7430" Type="http://schemas.openxmlformats.org/officeDocument/2006/relationships/hyperlink" Target="https://twitter.com/coupon_udemy" TargetMode="External"/><Relationship Id="rId8761" Type="http://schemas.openxmlformats.org/officeDocument/2006/relationships/hyperlink" Target="https://twitter.com/yann_forget/status/703249004184915968" TargetMode="External"/><Relationship Id="rId8760" Type="http://schemas.openxmlformats.org/officeDocument/2006/relationships/hyperlink" Target="https://twitter.com/yann_forget" TargetMode="External"/><Relationship Id="rId6102" Type="http://schemas.openxmlformats.org/officeDocument/2006/relationships/hyperlink" Target="https://twitter.com/johnboxall/status/703100381539102721" TargetMode="External"/><Relationship Id="rId7434" Type="http://schemas.openxmlformats.org/officeDocument/2006/relationships/hyperlink" Target="https://twitter.com/DiscountUdemy/status/703190434726678528" TargetMode="External"/><Relationship Id="rId8765" Type="http://schemas.openxmlformats.org/officeDocument/2006/relationships/hyperlink" Target="https://pbs.twimg.com/profile_images/657287084550529024/S2JzjWWA_normal.jpg" TargetMode="External"/><Relationship Id="rId6103" Type="http://schemas.openxmlformats.org/officeDocument/2006/relationships/hyperlink" Target="https://pbs.twimg.com/profile_images/633044987760869377/8IQy5wxu_normal.jpg" TargetMode="External"/><Relationship Id="rId7433" Type="http://schemas.openxmlformats.org/officeDocument/2006/relationships/hyperlink" Target="https://twitter.com/DiscountUdemy" TargetMode="External"/><Relationship Id="rId8764" Type="http://schemas.openxmlformats.org/officeDocument/2006/relationships/hyperlink" Target="https://twitter.com/davidroig1/status/703249376475549700" TargetMode="External"/><Relationship Id="rId6100" Type="http://schemas.openxmlformats.org/officeDocument/2006/relationships/hyperlink" Target="https://pbs.twimg.com/profile_images/662602436222193664/qKuvsfnG_normal.jpg" TargetMode="External"/><Relationship Id="rId7432" Type="http://schemas.openxmlformats.org/officeDocument/2006/relationships/hyperlink" Target="https://pbs.twimg.com/profile_images/701022461500895234/kbSch0bV_normal.png" TargetMode="External"/><Relationship Id="rId8763" Type="http://schemas.openxmlformats.org/officeDocument/2006/relationships/hyperlink" Target="https://twitter.com/davidroig1" TargetMode="External"/><Relationship Id="rId6101" Type="http://schemas.openxmlformats.org/officeDocument/2006/relationships/hyperlink" Target="https://twitter.com/johnboxall" TargetMode="External"/><Relationship Id="rId7431" Type="http://schemas.openxmlformats.org/officeDocument/2006/relationships/hyperlink" Target="https://twitter.com/coupon_udemy/status/703190222582976512" TargetMode="External"/><Relationship Id="rId8762" Type="http://schemas.openxmlformats.org/officeDocument/2006/relationships/hyperlink" Target="https://pbs.twimg.com/profile_images/621025704801648641/MJ9pUTHg_normal.jpg" TargetMode="External"/><Relationship Id="rId6106" Type="http://schemas.openxmlformats.org/officeDocument/2006/relationships/hyperlink" Target="https://pbs.twimg.com/profile_images/627996138403168256/DaASdgVr_normal.jpg" TargetMode="External"/><Relationship Id="rId7438" Type="http://schemas.openxmlformats.org/officeDocument/2006/relationships/hyperlink" Target="https://pbs.twimg.com/profile_images/702455638157168640/AeDgtn0C_normal.jpg" TargetMode="External"/><Relationship Id="rId8769" Type="http://schemas.openxmlformats.org/officeDocument/2006/relationships/hyperlink" Target="https://twitter.com/BuddyGit" TargetMode="External"/><Relationship Id="rId6107" Type="http://schemas.openxmlformats.org/officeDocument/2006/relationships/hyperlink" Target="https://twitter.com/JoshuaLongUK" TargetMode="External"/><Relationship Id="rId7437" Type="http://schemas.openxmlformats.org/officeDocument/2006/relationships/hyperlink" Target="https://twitter.com/PythonBooks/status/703190589551058944" TargetMode="External"/><Relationship Id="rId8768" Type="http://schemas.openxmlformats.org/officeDocument/2006/relationships/hyperlink" Target="https://pbs.twimg.com/profile_images/651144292828758018/clJZSXsx_normal.jpg" TargetMode="External"/><Relationship Id="rId6104" Type="http://schemas.openxmlformats.org/officeDocument/2006/relationships/hyperlink" Target="https://twitter.com/JoshuaLongUK" TargetMode="External"/><Relationship Id="rId7436" Type="http://schemas.openxmlformats.org/officeDocument/2006/relationships/hyperlink" Target="https://twitter.com/PythonBooks" TargetMode="External"/><Relationship Id="rId8767" Type="http://schemas.openxmlformats.org/officeDocument/2006/relationships/hyperlink" Target="https://twitter.com/MariaMgm23/status/703249445878628353" TargetMode="External"/><Relationship Id="rId6105" Type="http://schemas.openxmlformats.org/officeDocument/2006/relationships/hyperlink" Target="https://twitter.com/JoshuaLongUK/status/703100519317790720" TargetMode="External"/><Relationship Id="rId7435" Type="http://schemas.openxmlformats.org/officeDocument/2006/relationships/hyperlink" Target="https://pbs.twimg.com/profile_images/631747603625934849/2qLB-jZC_normal.jpg" TargetMode="External"/><Relationship Id="rId8766" Type="http://schemas.openxmlformats.org/officeDocument/2006/relationships/hyperlink" Target="https://twitter.com/MariaMgm23" TargetMode="External"/><Relationship Id="rId7429" Type="http://schemas.openxmlformats.org/officeDocument/2006/relationships/hyperlink" Target="https://pbs.twimg.com/profile_images/583742193082433537/YiGhGasc_normal.jpg" TargetMode="External"/><Relationship Id="rId7428" Type="http://schemas.openxmlformats.org/officeDocument/2006/relationships/hyperlink" Target="https://twitter.com/rogerio_gentil/status/703190177334874112" TargetMode="External"/><Relationship Id="rId8759" Type="http://schemas.openxmlformats.org/officeDocument/2006/relationships/hyperlink" Target="https://pbs.twimg.com/profile_images/698893390339899392/jeWzRZyv_normal.jpg" TargetMode="External"/><Relationship Id="rId8750" Type="http://schemas.openxmlformats.org/officeDocument/2006/relationships/hyperlink" Target="https://pbs.twimg.com/profile_images/697825780034887680/X1Dl7QnM_normal.png" TargetMode="External"/><Relationship Id="rId7423" Type="http://schemas.openxmlformats.org/officeDocument/2006/relationships/hyperlink" Target="https://pbs.twimg.com/profile_images/378800000467629727/55fd96b4d0799dc13574e6649b07d73a_normal.png" TargetMode="External"/><Relationship Id="rId8754" Type="http://schemas.openxmlformats.org/officeDocument/2006/relationships/hyperlink" Target="https://twitter.com/ChrisDiehl" TargetMode="External"/><Relationship Id="rId7422" Type="http://schemas.openxmlformats.org/officeDocument/2006/relationships/hyperlink" Target="https://twitter.com/coSfera/status/703190092777725953" TargetMode="External"/><Relationship Id="rId8753" Type="http://schemas.openxmlformats.org/officeDocument/2006/relationships/hyperlink" Target="https://pbs.twimg.com/profile_images/441353884540215296/LJvsDaTh_normal.jpeg" TargetMode="External"/><Relationship Id="rId7421" Type="http://schemas.openxmlformats.org/officeDocument/2006/relationships/hyperlink" Target="https://twitter.com/coSfera" TargetMode="External"/><Relationship Id="rId8752" Type="http://schemas.openxmlformats.org/officeDocument/2006/relationships/hyperlink" Target="https://twitter.com/jrobinson_uk/status/703248350322110464" TargetMode="External"/><Relationship Id="rId7420" Type="http://schemas.openxmlformats.org/officeDocument/2006/relationships/hyperlink" Target="https://pbs.twimg.com/profile_images/1610571617/john-stevenson-profile-barrel_normal.png" TargetMode="External"/><Relationship Id="rId8751" Type="http://schemas.openxmlformats.org/officeDocument/2006/relationships/hyperlink" Target="https://twitter.com/jrobinson_uk" TargetMode="External"/><Relationship Id="rId7427" Type="http://schemas.openxmlformats.org/officeDocument/2006/relationships/hyperlink" Target="https://twitter.com/rogerio_gentil" TargetMode="External"/><Relationship Id="rId8758" Type="http://schemas.openxmlformats.org/officeDocument/2006/relationships/hyperlink" Target="https://twitter.com/shivamphunt/status/703248797942480896" TargetMode="External"/><Relationship Id="rId7426" Type="http://schemas.openxmlformats.org/officeDocument/2006/relationships/hyperlink" Target="https://pbs.twimg.com/profile_images/344513261572672871/551869ae2c4cdb7406ae4467e98e407f_normal.png" TargetMode="External"/><Relationship Id="rId8757" Type="http://schemas.openxmlformats.org/officeDocument/2006/relationships/hyperlink" Target="https://twitter.com/shivamphunt" TargetMode="External"/><Relationship Id="rId7425" Type="http://schemas.openxmlformats.org/officeDocument/2006/relationships/hyperlink" Target="https://twitter.com/spugamola/status/703190168430219265" TargetMode="External"/><Relationship Id="rId8756" Type="http://schemas.openxmlformats.org/officeDocument/2006/relationships/hyperlink" Target="https://pbs.twimg.com/profile_images/690583740196585473/hzYwhRFc_normal.jpg" TargetMode="External"/><Relationship Id="rId7424" Type="http://schemas.openxmlformats.org/officeDocument/2006/relationships/hyperlink" Target="https://twitter.com/spugamola" TargetMode="External"/><Relationship Id="rId8755" Type="http://schemas.openxmlformats.org/officeDocument/2006/relationships/hyperlink" Target="https://twitter.com/ChrisDiehl/status/703248547429224448" TargetMode="External"/><Relationship Id="rId6120" Type="http://schemas.openxmlformats.org/officeDocument/2006/relationships/hyperlink" Target="https://twitter.com/HarriSrivastav/status/703101129442197504" TargetMode="External"/><Relationship Id="rId7452" Type="http://schemas.openxmlformats.org/officeDocument/2006/relationships/hyperlink" Target="https://twitter.com/PythonBooks/status/703190834322259969" TargetMode="External"/><Relationship Id="rId8783" Type="http://schemas.openxmlformats.org/officeDocument/2006/relationships/hyperlink" Target="https://pbs.twimg.com/profile_images/699984077877874688/aR2ovqId_normal.png" TargetMode="External"/><Relationship Id="rId6121" Type="http://schemas.openxmlformats.org/officeDocument/2006/relationships/hyperlink" Target="https://pbs.twimg.com/profile_images/631722182180102145/d37Eq9sH_normal.jpg" TargetMode="External"/><Relationship Id="rId7451" Type="http://schemas.openxmlformats.org/officeDocument/2006/relationships/hyperlink" Target="https://twitter.com/PythonBooks" TargetMode="External"/><Relationship Id="rId8782" Type="http://schemas.openxmlformats.org/officeDocument/2006/relationships/hyperlink" Target="https://twitter.com/NowLivecodingtv/status/703249517852893184" TargetMode="External"/><Relationship Id="rId7450" Type="http://schemas.openxmlformats.org/officeDocument/2006/relationships/hyperlink" Target="https://pbs.twimg.com/profile_images/702455638157168640/AeDgtn0C_normal.jpg" TargetMode="External"/><Relationship Id="rId8781" Type="http://schemas.openxmlformats.org/officeDocument/2006/relationships/hyperlink" Target="https://twitter.com/NowLivecodingtv" TargetMode="External"/><Relationship Id="rId8780" Type="http://schemas.openxmlformats.org/officeDocument/2006/relationships/hyperlink" Target="https://pbs.twimg.com/profile_images/699984077877874688/aR2ovqId_normal.png" TargetMode="External"/><Relationship Id="rId6124" Type="http://schemas.openxmlformats.org/officeDocument/2006/relationships/hyperlink" Target="https://abs.twimg.com/sticky/default_profile_images/default_profile_4_normal.png" TargetMode="External"/><Relationship Id="rId7456" Type="http://schemas.openxmlformats.org/officeDocument/2006/relationships/hyperlink" Target="https://pbs.twimg.com/profile_images/702455638157168640/AeDgtn0C_normal.jpg" TargetMode="External"/><Relationship Id="rId8787" Type="http://schemas.openxmlformats.org/officeDocument/2006/relationships/hyperlink" Target="https://twitter.com/NowLivecodingtv" TargetMode="External"/><Relationship Id="rId6125" Type="http://schemas.openxmlformats.org/officeDocument/2006/relationships/hyperlink" Target="https://twitter.com/MichaelCarthy" TargetMode="External"/><Relationship Id="rId7455" Type="http://schemas.openxmlformats.org/officeDocument/2006/relationships/hyperlink" Target="https://twitter.com/PythonBooks/status/703190877238403072" TargetMode="External"/><Relationship Id="rId8786" Type="http://schemas.openxmlformats.org/officeDocument/2006/relationships/hyperlink" Target="https://pbs.twimg.com/profile_images/699984077877874688/aR2ovqId_normal.png" TargetMode="External"/><Relationship Id="rId6122" Type="http://schemas.openxmlformats.org/officeDocument/2006/relationships/hyperlink" Target="https://twitter.com/TechFest002" TargetMode="External"/><Relationship Id="rId7454" Type="http://schemas.openxmlformats.org/officeDocument/2006/relationships/hyperlink" Target="https://twitter.com/PythonBooks" TargetMode="External"/><Relationship Id="rId8785" Type="http://schemas.openxmlformats.org/officeDocument/2006/relationships/hyperlink" Target="https://twitter.com/NowLivecodingtv/status/703249525641711617" TargetMode="External"/><Relationship Id="rId6123" Type="http://schemas.openxmlformats.org/officeDocument/2006/relationships/hyperlink" Target="https://twitter.com/TechFest002/status/703101467217915904" TargetMode="External"/><Relationship Id="rId7453" Type="http://schemas.openxmlformats.org/officeDocument/2006/relationships/hyperlink" Target="https://pbs.twimg.com/profile_images/702455638157168640/AeDgtn0C_normal.jpg" TargetMode="External"/><Relationship Id="rId8784" Type="http://schemas.openxmlformats.org/officeDocument/2006/relationships/hyperlink" Target="https://twitter.com/NowLivecodingtv" TargetMode="External"/><Relationship Id="rId6128" Type="http://schemas.openxmlformats.org/officeDocument/2006/relationships/hyperlink" Target="https://twitter.com/jobely" TargetMode="External"/><Relationship Id="rId6129" Type="http://schemas.openxmlformats.org/officeDocument/2006/relationships/hyperlink" Target="http://Jobely.com" TargetMode="External"/><Relationship Id="rId7459" Type="http://schemas.openxmlformats.org/officeDocument/2006/relationships/hyperlink" Target="https://pbs.twimg.com/profile_images/702455638157168640/AeDgtn0C_normal.jpg" TargetMode="External"/><Relationship Id="rId6126" Type="http://schemas.openxmlformats.org/officeDocument/2006/relationships/hyperlink" Target="https://twitter.com/MichaelCarthy/status/703101971096408065" TargetMode="External"/><Relationship Id="rId7458" Type="http://schemas.openxmlformats.org/officeDocument/2006/relationships/hyperlink" Target="https://twitter.com/PythonBooks/status/703191013872025600" TargetMode="External"/><Relationship Id="rId8789" Type="http://schemas.openxmlformats.org/officeDocument/2006/relationships/hyperlink" Target="https://pbs.twimg.com/profile_images/699984077877874688/aR2ovqId_normal.png" TargetMode="External"/><Relationship Id="rId6127" Type="http://schemas.openxmlformats.org/officeDocument/2006/relationships/hyperlink" Target="https://pbs.twimg.com/profile_images/700945942225137666/MIcDT7yT_normal.png" TargetMode="External"/><Relationship Id="rId7457" Type="http://schemas.openxmlformats.org/officeDocument/2006/relationships/hyperlink" Target="https://twitter.com/PythonBooks" TargetMode="External"/><Relationship Id="rId8788" Type="http://schemas.openxmlformats.org/officeDocument/2006/relationships/hyperlink" Target="https://twitter.com/NowLivecodingtv/status/703249529332768768" TargetMode="External"/><Relationship Id="rId6119" Type="http://schemas.openxmlformats.org/officeDocument/2006/relationships/hyperlink" Target="https://twitter.com/HarriSrivastav" TargetMode="External"/><Relationship Id="rId7441" Type="http://schemas.openxmlformats.org/officeDocument/2006/relationships/hyperlink" Target="https://pbs.twimg.com/profile_images/702455638157168640/AeDgtn0C_normal.jpg" TargetMode="External"/><Relationship Id="rId8772" Type="http://schemas.openxmlformats.org/officeDocument/2006/relationships/hyperlink" Target="https://twitter.com/NowLivecodingtv" TargetMode="External"/><Relationship Id="rId6110" Type="http://schemas.openxmlformats.org/officeDocument/2006/relationships/hyperlink" Target="https://twitter.com/vjaysah" TargetMode="External"/><Relationship Id="rId7440" Type="http://schemas.openxmlformats.org/officeDocument/2006/relationships/hyperlink" Target="https://twitter.com/PythonBooks/status/703190713304006656" TargetMode="External"/><Relationship Id="rId8771" Type="http://schemas.openxmlformats.org/officeDocument/2006/relationships/hyperlink" Target="https://pbs.twimg.com/profile_images/661824886633926656/432xL1cX_normal.png" TargetMode="External"/><Relationship Id="rId8770" Type="http://schemas.openxmlformats.org/officeDocument/2006/relationships/hyperlink" Target="https://twitter.com/BuddyGit/status/703249466091020292" TargetMode="External"/><Relationship Id="rId6113" Type="http://schemas.openxmlformats.org/officeDocument/2006/relationships/hyperlink" Target="https://twitter.com/vjaysah" TargetMode="External"/><Relationship Id="rId7445" Type="http://schemas.openxmlformats.org/officeDocument/2006/relationships/hyperlink" Target="https://twitter.com/jfgallag" TargetMode="External"/><Relationship Id="rId8776" Type="http://schemas.openxmlformats.org/officeDocument/2006/relationships/hyperlink" Target="https://twitter.com/NowLivecodingtv/status/703249508193411072" TargetMode="External"/><Relationship Id="rId6114" Type="http://schemas.openxmlformats.org/officeDocument/2006/relationships/hyperlink" Target="https://twitter.com/vjaysah/status/703100824629563392" TargetMode="External"/><Relationship Id="rId7444" Type="http://schemas.openxmlformats.org/officeDocument/2006/relationships/hyperlink" Target="https://pbs.twimg.com/profile_images/1081297474/headshot_square_bw_normal.jpg" TargetMode="External"/><Relationship Id="rId8775" Type="http://schemas.openxmlformats.org/officeDocument/2006/relationships/hyperlink" Target="https://twitter.com/NowLivecodingtv" TargetMode="External"/><Relationship Id="rId6111" Type="http://schemas.openxmlformats.org/officeDocument/2006/relationships/hyperlink" Target="https://twitter.com/vjaysah/status/703100776759988224" TargetMode="External"/><Relationship Id="rId7443" Type="http://schemas.openxmlformats.org/officeDocument/2006/relationships/hyperlink" Target="https://twitter.com/flubdevork/status/703190750192758784" TargetMode="External"/><Relationship Id="rId8774" Type="http://schemas.openxmlformats.org/officeDocument/2006/relationships/hyperlink" Target="https://pbs.twimg.com/profile_images/699984077877874688/aR2ovqId_normal.png" TargetMode="External"/><Relationship Id="rId6112" Type="http://schemas.openxmlformats.org/officeDocument/2006/relationships/hyperlink" Target="https://pbs.twimg.com/profile_images/610167123634028544/hONa9KRl_normal.jpg" TargetMode="External"/><Relationship Id="rId7442" Type="http://schemas.openxmlformats.org/officeDocument/2006/relationships/hyperlink" Target="https://twitter.com/flubdevork" TargetMode="External"/><Relationship Id="rId8773" Type="http://schemas.openxmlformats.org/officeDocument/2006/relationships/hyperlink" Target="https://twitter.com/NowLivecodingtv/status/703249507081965568" TargetMode="External"/><Relationship Id="rId6117" Type="http://schemas.openxmlformats.org/officeDocument/2006/relationships/hyperlink" Target="https://twitter.com/BestNoSQL/status/703101050530607105" TargetMode="External"/><Relationship Id="rId7449" Type="http://schemas.openxmlformats.org/officeDocument/2006/relationships/hyperlink" Target="https://twitter.com/PythonBooks/status/703190803447992321" TargetMode="External"/><Relationship Id="rId6118" Type="http://schemas.openxmlformats.org/officeDocument/2006/relationships/hyperlink" Target="https://pbs.twimg.com/profile_images/378800000031408762/3bb3d5ab19f3ede4676764115b85d7e2_normal.jpeg" TargetMode="External"/><Relationship Id="rId7448" Type="http://schemas.openxmlformats.org/officeDocument/2006/relationships/hyperlink" Target="https://twitter.com/PythonBooks" TargetMode="External"/><Relationship Id="rId8779" Type="http://schemas.openxmlformats.org/officeDocument/2006/relationships/hyperlink" Target="https://twitter.com/NowLivecodingtv/status/703249510047338497" TargetMode="External"/><Relationship Id="rId6115" Type="http://schemas.openxmlformats.org/officeDocument/2006/relationships/hyperlink" Target="https://pbs.twimg.com/profile_images/610167123634028544/hONa9KRl_normal.jpg" TargetMode="External"/><Relationship Id="rId7447" Type="http://schemas.openxmlformats.org/officeDocument/2006/relationships/hyperlink" Target="https://pbs.twimg.com/profile_images/649523644981493760/qoSy0B2j_normal.jpg" TargetMode="External"/><Relationship Id="rId8778" Type="http://schemas.openxmlformats.org/officeDocument/2006/relationships/hyperlink" Target="https://twitter.com/NowLivecodingtv" TargetMode="External"/><Relationship Id="rId6116" Type="http://schemas.openxmlformats.org/officeDocument/2006/relationships/hyperlink" Target="https://twitter.com/BestNoSQL" TargetMode="External"/><Relationship Id="rId7446" Type="http://schemas.openxmlformats.org/officeDocument/2006/relationships/hyperlink" Target="https://twitter.com/jfgallag/status/703190753216958464" TargetMode="External"/><Relationship Id="rId8777" Type="http://schemas.openxmlformats.org/officeDocument/2006/relationships/hyperlink" Target="https://pbs.twimg.com/profile_images/699984077877874688/aR2ovqId_normal.png" TargetMode="External"/><Relationship Id="rId8729" Type="http://schemas.openxmlformats.org/officeDocument/2006/relationships/hyperlink" Target="https://twitter.com/d3f0" TargetMode="External"/><Relationship Id="rId8728" Type="http://schemas.openxmlformats.org/officeDocument/2006/relationships/hyperlink" Target="https://pbs.twimg.com/profile_images/491430341974839298/zaSVXQrF_normal.jpeg" TargetMode="External"/><Relationship Id="rId8727" Type="http://schemas.openxmlformats.org/officeDocument/2006/relationships/hyperlink" Target="https://twitter.com/vmirly/status/703247374601363457" TargetMode="External"/><Relationship Id="rId8726" Type="http://schemas.openxmlformats.org/officeDocument/2006/relationships/hyperlink" Target="https://twitter.com/vmirly" TargetMode="External"/><Relationship Id="rId1" Type="http://schemas.openxmlformats.org/officeDocument/2006/relationships/hyperlink" Target="https://twitter.com/dulce303" TargetMode="External"/><Relationship Id="rId2" Type="http://schemas.openxmlformats.org/officeDocument/2006/relationships/hyperlink" Target="http://dulce.com" TargetMode="External"/><Relationship Id="rId3" Type="http://schemas.openxmlformats.org/officeDocument/2006/relationships/hyperlink" Target="https://twitter.com/dulce303/status/702767496776929281" TargetMode="External"/><Relationship Id="rId4" Type="http://schemas.openxmlformats.org/officeDocument/2006/relationships/hyperlink" Target="https://pbs.twimg.com/profile_images/1765389986/eye_2_normal.jpg" TargetMode="External"/><Relationship Id="rId9" Type="http://schemas.openxmlformats.org/officeDocument/2006/relationships/hyperlink" Target="https://twitter.com/marcel_dmg/status/702768941005979648" TargetMode="External"/><Relationship Id="rId8721" Type="http://schemas.openxmlformats.org/officeDocument/2006/relationships/hyperlink" Target="https://twitter.com/viniciusban/status/703247267084558336" TargetMode="External"/><Relationship Id="rId8720" Type="http://schemas.openxmlformats.org/officeDocument/2006/relationships/hyperlink" Target="https://twitter.com/viniciusban" TargetMode="External"/><Relationship Id="rId5" Type="http://schemas.openxmlformats.org/officeDocument/2006/relationships/hyperlink" Target="https://twitter.com/StackDevJobs" TargetMode="External"/><Relationship Id="rId8725" Type="http://schemas.openxmlformats.org/officeDocument/2006/relationships/hyperlink" Target="https://pbs.twimg.com/profile_images/636818185363308544/jPSDHL0m_normal.jpg" TargetMode="External"/><Relationship Id="rId6" Type="http://schemas.openxmlformats.org/officeDocument/2006/relationships/hyperlink" Target="https://twitter.com/StackDevJobs/status/702767518763651072" TargetMode="External"/><Relationship Id="rId8724" Type="http://schemas.openxmlformats.org/officeDocument/2006/relationships/hyperlink" Target="https://twitter.com/pyletter/status/703247308008378368" TargetMode="External"/><Relationship Id="rId7" Type="http://schemas.openxmlformats.org/officeDocument/2006/relationships/hyperlink" Target="https://pbs.twimg.com/profile_images/643779014268579840/bRJStj7A_normal.png" TargetMode="External"/><Relationship Id="rId8723" Type="http://schemas.openxmlformats.org/officeDocument/2006/relationships/hyperlink" Target="https://twitter.com/pyletter" TargetMode="External"/><Relationship Id="rId8" Type="http://schemas.openxmlformats.org/officeDocument/2006/relationships/hyperlink" Target="https://twitter.com/marcel_dmg" TargetMode="External"/><Relationship Id="rId8722" Type="http://schemas.openxmlformats.org/officeDocument/2006/relationships/hyperlink" Target="https://pbs.twimg.com/profile_images/607019239661301760/dwP4tw91_normal.jpg" TargetMode="External"/><Relationship Id="rId8718" Type="http://schemas.openxmlformats.org/officeDocument/2006/relationships/hyperlink" Target="https://twitter.com/pdellaert/status/703247160901505024" TargetMode="External"/><Relationship Id="rId8717" Type="http://schemas.openxmlformats.org/officeDocument/2006/relationships/hyperlink" Target="https://twitter.com/pdellaert" TargetMode="External"/><Relationship Id="rId8716" Type="http://schemas.openxmlformats.org/officeDocument/2006/relationships/hyperlink" Target="https://pbs.twimg.com/profile_images/702765321468436480/0hNIOmX1_normal.jpg" TargetMode="External"/><Relationship Id="rId8715" Type="http://schemas.openxmlformats.org/officeDocument/2006/relationships/hyperlink" Target="https://twitter.com/technogsalad/status/703246904684052481" TargetMode="External"/><Relationship Id="rId8719" Type="http://schemas.openxmlformats.org/officeDocument/2006/relationships/hyperlink" Target="https://pbs.twimg.com/profile_images/461622478435938304/j-LydgBb_normal.png" TargetMode="External"/><Relationship Id="rId8710" Type="http://schemas.openxmlformats.org/officeDocument/2006/relationships/hyperlink" Target="https://pbs.twimg.com/profile_images/547338209684758528/Kb9MNrJR_normal.png" TargetMode="External"/><Relationship Id="rId8714" Type="http://schemas.openxmlformats.org/officeDocument/2006/relationships/hyperlink" Target="https://twitter.com/technogsalad" TargetMode="External"/><Relationship Id="rId8713" Type="http://schemas.openxmlformats.org/officeDocument/2006/relationships/hyperlink" Target="https://pbs.twimg.com/profile_images/669199299251605504/LuAN40lz_normal.jpg" TargetMode="External"/><Relationship Id="rId8712" Type="http://schemas.openxmlformats.org/officeDocument/2006/relationships/hyperlink" Target="https://twitter.com/ruby2elixir/status/703246617021915136" TargetMode="External"/><Relationship Id="rId8711" Type="http://schemas.openxmlformats.org/officeDocument/2006/relationships/hyperlink" Target="https://twitter.com/ruby2elixir" TargetMode="External"/><Relationship Id="rId7419" Type="http://schemas.openxmlformats.org/officeDocument/2006/relationships/hyperlink" Target="https://twitter.com/jr0cket/status/703190084976189440" TargetMode="External"/><Relationship Id="rId7418" Type="http://schemas.openxmlformats.org/officeDocument/2006/relationships/hyperlink" Target="https://twitter.com/jr0cket" TargetMode="External"/><Relationship Id="rId8749" Type="http://schemas.openxmlformats.org/officeDocument/2006/relationships/hyperlink" Target="https://twitter.com/nixconnection/status/703248279698591744" TargetMode="External"/><Relationship Id="rId7417" Type="http://schemas.openxmlformats.org/officeDocument/2006/relationships/hyperlink" Target="https://pbs.twimg.com/profile_images/657493938975084544/EFKvx3e1_normal.jpg" TargetMode="External"/><Relationship Id="rId8748" Type="http://schemas.openxmlformats.org/officeDocument/2006/relationships/hyperlink" Target="https://twitter.com/nixconnection" TargetMode="External"/><Relationship Id="rId7412" Type="http://schemas.openxmlformats.org/officeDocument/2006/relationships/hyperlink" Target="https://twitter.com/startechwall" TargetMode="External"/><Relationship Id="rId8743" Type="http://schemas.openxmlformats.org/officeDocument/2006/relationships/hyperlink" Target="https://twitter.com/L030DEH1EL0/status/703248036110192640" TargetMode="External"/><Relationship Id="rId7411" Type="http://schemas.openxmlformats.org/officeDocument/2006/relationships/hyperlink" Target="https://pbs.twimg.com/profile_images/671623862916812800/yGsDKiP4_normal.jpg" TargetMode="External"/><Relationship Id="rId8742" Type="http://schemas.openxmlformats.org/officeDocument/2006/relationships/hyperlink" Target="https://twitter.com/L030DEH1EL0" TargetMode="External"/><Relationship Id="rId7410" Type="http://schemas.openxmlformats.org/officeDocument/2006/relationships/hyperlink" Target="https://twitter.com/AdamSmitht1/status/703189186891874304" TargetMode="External"/><Relationship Id="rId8741" Type="http://schemas.openxmlformats.org/officeDocument/2006/relationships/hyperlink" Target="https://pbs.twimg.com/profile_images/694326070049271808/O-tHQoHk_normal.jpg" TargetMode="External"/><Relationship Id="rId8740" Type="http://schemas.openxmlformats.org/officeDocument/2006/relationships/hyperlink" Target="https://twitter.com/altraud/status/703247834297077760" TargetMode="External"/><Relationship Id="rId7416" Type="http://schemas.openxmlformats.org/officeDocument/2006/relationships/hyperlink" Target="https://twitter.com/SugokuDekkai/status/703189755853447168" TargetMode="External"/><Relationship Id="rId8747" Type="http://schemas.openxmlformats.org/officeDocument/2006/relationships/hyperlink" Target="https://pbs.twimg.com/profile_images/572091631055028224/Pkx__FSB_normal.png" TargetMode="External"/><Relationship Id="rId7415" Type="http://schemas.openxmlformats.org/officeDocument/2006/relationships/hyperlink" Target="https://twitter.com/SugokuDekkai" TargetMode="External"/><Relationship Id="rId8746" Type="http://schemas.openxmlformats.org/officeDocument/2006/relationships/hyperlink" Target="https://twitter.com/cool_python/status/703248262774575104" TargetMode="External"/><Relationship Id="rId7414" Type="http://schemas.openxmlformats.org/officeDocument/2006/relationships/hyperlink" Target="https://pbs.twimg.com/profile_images/679566117187145728/UUo30Zpm_normal.jpg" TargetMode="External"/><Relationship Id="rId8745" Type="http://schemas.openxmlformats.org/officeDocument/2006/relationships/hyperlink" Target="https://twitter.com/cool_python" TargetMode="External"/><Relationship Id="rId7413" Type="http://schemas.openxmlformats.org/officeDocument/2006/relationships/hyperlink" Target="https://twitter.com/startechwall/status/703189484616212480" TargetMode="External"/><Relationship Id="rId8744" Type="http://schemas.openxmlformats.org/officeDocument/2006/relationships/hyperlink" Target="https://pbs.twimg.com/profile_images/3695383590/6d3b28b406126552fb356c649a7081e8_normal.jpeg" TargetMode="External"/><Relationship Id="rId7409" Type="http://schemas.openxmlformats.org/officeDocument/2006/relationships/hyperlink" Target="https://twitter.com/AdamSmitht1" TargetMode="External"/><Relationship Id="rId7408" Type="http://schemas.openxmlformats.org/officeDocument/2006/relationships/hyperlink" Target="https://pbs.twimg.com/profile_images/378800000433255445/afb972726a697b2afa012123e2a4ea46_normal.png" TargetMode="External"/><Relationship Id="rId8739" Type="http://schemas.openxmlformats.org/officeDocument/2006/relationships/hyperlink" Target="https://twitter.com/altraud" TargetMode="External"/><Relationship Id="rId7407" Type="http://schemas.openxmlformats.org/officeDocument/2006/relationships/hyperlink" Target="https://twitter.com/DataSkyMak/status/703189068775960576" TargetMode="External"/><Relationship Id="rId8738" Type="http://schemas.openxmlformats.org/officeDocument/2006/relationships/hyperlink" Target="https://pbs.twimg.com/profile_images/551118940626485248/HvInXw1o_normal.jpeg" TargetMode="External"/><Relationship Id="rId7406" Type="http://schemas.openxmlformats.org/officeDocument/2006/relationships/hyperlink" Target="https://twitter.com/DataSkyMak" TargetMode="External"/><Relationship Id="rId8737" Type="http://schemas.openxmlformats.org/officeDocument/2006/relationships/hyperlink" Target="http://Paper.li" TargetMode="External"/><Relationship Id="rId7401" Type="http://schemas.openxmlformats.org/officeDocument/2006/relationships/hyperlink" Target="https://twitter.com/TechforLifeUK/status/703188836050989057" TargetMode="External"/><Relationship Id="rId8732" Type="http://schemas.openxmlformats.org/officeDocument/2006/relationships/hyperlink" Target="https://twitter.com/AskUbuntu" TargetMode="External"/><Relationship Id="rId7400" Type="http://schemas.openxmlformats.org/officeDocument/2006/relationships/hyperlink" Target="https://twitter.com/TechforLifeUK" TargetMode="External"/><Relationship Id="rId8731" Type="http://schemas.openxmlformats.org/officeDocument/2006/relationships/hyperlink" Target="https://pbs.twimg.com/profile_images/511251863694356480/qQJgcOer_normal.jpeg" TargetMode="External"/><Relationship Id="rId8730" Type="http://schemas.openxmlformats.org/officeDocument/2006/relationships/hyperlink" Target="https://twitter.com/d3f0/status/703247791104122883" TargetMode="External"/><Relationship Id="rId7405" Type="http://schemas.openxmlformats.org/officeDocument/2006/relationships/hyperlink" Target="https://pbs.twimg.com/profile_images/3127278086/09c461b2744951038e95b0fdda1728b9_normal.png" TargetMode="External"/><Relationship Id="rId8736" Type="http://schemas.openxmlformats.org/officeDocument/2006/relationships/hyperlink" Target="https://twitter.com/johnhubner/status/703247817473658880" TargetMode="External"/><Relationship Id="rId7404" Type="http://schemas.openxmlformats.org/officeDocument/2006/relationships/hyperlink" Target="https://twitter.com/SpritesMind/status/703188838953279488" TargetMode="External"/><Relationship Id="rId8735" Type="http://schemas.openxmlformats.org/officeDocument/2006/relationships/hyperlink" Target="https://twitter.com/johnhubner" TargetMode="External"/><Relationship Id="rId7403" Type="http://schemas.openxmlformats.org/officeDocument/2006/relationships/hyperlink" Target="https://twitter.com/SpritesMind" TargetMode="External"/><Relationship Id="rId8734" Type="http://schemas.openxmlformats.org/officeDocument/2006/relationships/hyperlink" Target="https://pbs.twimg.com/profile_images/1209490090/apple-touch-icon_normal.png" TargetMode="External"/><Relationship Id="rId7402" Type="http://schemas.openxmlformats.org/officeDocument/2006/relationships/hyperlink" Target="https://pbs.twimg.com/profile_images/702440110437109760/9YAI6jN2_normal.png" TargetMode="External"/><Relationship Id="rId8733" Type="http://schemas.openxmlformats.org/officeDocument/2006/relationships/hyperlink" Target="https://twitter.com/AskUbuntu/status/703247804102287360" TargetMode="External"/><Relationship Id="rId3911" Type="http://schemas.openxmlformats.org/officeDocument/2006/relationships/hyperlink" Target="https://twitter.com/wcmckeedotcom/status/702965859032154112" TargetMode="External"/><Relationship Id="rId3910" Type="http://schemas.openxmlformats.org/officeDocument/2006/relationships/hyperlink" Target="https://twitter.com/wcmckeedotcom" TargetMode="External"/><Relationship Id="rId3913" Type="http://schemas.openxmlformats.org/officeDocument/2006/relationships/hyperlink" Target="https://twitter.com/beardedprojamz" TargetMode="External"/><Relationship Id="rId3912" Type="http://schemas.openxmlformats.org/officeDocument/2006/relationships/hyperlink" Target="https://pbs.twimg.com/profile_images/621211385746161664/tGchJstD_normal.jpg" TargetMode="External"/><Relationship Id="rId3915" Type="http://schemas.openxmlformats.org/officeDocument/2006/relationships/hyperlink" Target="https://pbs.twimg.com/profile_images/658123061674119168/mOR2u_v5_normal.jpg" TargetMode="External"/><Relationship Id="rId3914" Type="http://schemas.openxmlformats.org/officeDocument/2006/relationships/hyperlink" Target="https://twitter.com/beardedprojamz/status/702965860399316993" TargetMode="External"/><Relationship Id="rId3917" Type="http://schemas.openxmlformats.org/officeDocument/2006/relationships/hyperlink" Target="https://twitter.com/cool_python/status/702966158954250242" TargetMode="External"/><Relationship Id="rId3916" Type="http://schemas.openxmlformats.org/officeDocument/2006/relationships/hyperlink" Target="https://twitter.com/cool_python" TargetMode="External"/><Relationship Id="rId3919" Type="http://schemas.openxmlformats.org/officeDocument/2006/relationships/hyperlink" Target="https://twitter.com/CIO_PM" TargetMode="External"/><Relationship Id="rId3918" Type="http://schemas.openxmlformats.org/officeDocument/2006/relationships/hyperlink" Target="https://pbs.twimg.com/profile_images/572091631055028224/Pkx__FSB_normal.png" TargetMode="External"/><Relationship Id="rId6190" Type="http://schemas.openxmlformats.org/officeDocument/2006/relationships/hyperlink" Target="https://twitter.com/HartwigMicheal/status/703104277871374336" TargetMode="External"/><Relationship Id="rId6182" Type="http://schemas.openxmlformats.org/officeDocument/2006/relationships/hyperlink" Target="https://abs.twimg.com/sticky/default_profile_images/default_profile_6_normal.png" TargetMode="External"/><Relationship Id="rId6183" Type="http://schemas.openxmlformats.org/officeDocument/2006/relationships/hyperlink" Target="https://twitter.com/2014Emilyshores" TargetMode="External"/><Relationship Id="rId6180" Type="http://schemas.openxmlformats.org/officeDocument/2006/relationships/hyperlink" Target="https://twitter.com/OOMagno2" TargetMode="External"/><Relationship Id="rId6181" Type="http://schemas.openxmlformats.org/officeDocument/2006/relationships/hyperlink" Target="https://twitter.com/OOMagno2/status/703103970546360322" TargetMode="External"/><Relationship Id="rId6186" Type="http://schemas.openxmlformats.org/officeDocument/2006/relationships/hyperlink" Target="https://twitter.com/programmingncr" TargetMode="External"/><Relationship Id="rId6187" Type="http://schemas.openxmlformats.org/officeDocument/2006/relationships/hyperlink" Target="https://twitter.com/programmingncr/status/703104119708340224" TargetMode="External"/><Relationship Id="rId6184" Type="http://schemas.openxmlformats.org/officeDocument/2006/relationships/hyperlink" Target="https://twitter.com/2014Emilyshores/status/703104091342278656" TargetMode="External"/><Relationship Id="rId6185" Type="http://schemas.openxmlformats.org/officeDocument/2006/relationships/hyperlink" Target="https://pbs.twimg.com/profile_images/703115316503535616/y_cO0A_3_normal.jpg" TargetMode="External"/><Relationship Id="rId6188" Type="http://schemas.openxmlformats.org/officeDocument/2006/relationships/hyperlink" Target="https://pbs.twimg.com/profile_images/662602436222193664/qKuvsfnG_normal.jpg" TargetMode="External"/><Relationship Id="rId6189" Type="http://schemas.openxmlformats.org/officeDocument/2006/relationships/hyperlink" Target="https://twitter.com/HartwigMicheal" TargetMode="External"/><Relationship Id="rId3900" Type="http://schemas.openxmlformats.org/officeDocument/2006/relationships/hyperlink" Target="https://twitter.com/3ative" TargetMode="External"/><Relationship Id="rId3902" Type="http://schemas.openxmlformats.org/officeDocument/2006/relationships/hyperlink" Target="https://twitter.com/3ative/status/702965531469549569" TargetMode="External"/><Relationship Id="rId3901" Type="http://schemas.openxmlformats.org/officeDocument/2006/relationships/hyperlink" Target="http://3ATIVE.COM" TargetMode="External"/><Relationship Id="rId3904" Type="http://schemas.openxmlformats.org/officeDocument/2006/relationships/hyperlink" Target="https://twitter.com/chiefenne" TargetMode="External"/><Relationship Id="rId3903" Type="http://schemas.openxmlformats.org/officeDocument/2006/relationships/hyperlink" Target="https://pbs.twimg.com/profile_images/701620886667993089/AuILWgQ3_normal.jpg" TargetMode="External"/><Relationship Id="rId3906" Type="http://schemas.openxmlformats.org/officeDocument/2006/relationships/hyperlink" Target="https://pbs.twimg.com/profile_images/378800000613537814/b7d8d9e02dbbe646e1b039cdb568eb96_normal.png" TargetMode="External"/><Relationship Id="rId3905" Type="http://schemas.openxmlformats.org/officeDocument/2006/relationships/hyperlink" Target="https://twitter.com/chiefenne/status/702965541850456069" TargetMode="External"/><Relationship Id="rId3908" Type="http://schemas.openxmlformats.org/officeDocument/2006/relationships/hyperlink" Target="https://twitter.com/MrTheodor/status/702965580366798848" TargetMode="External"/><Relationship Id="rId3907" Type="http://schemas.openxmlformats.org/officeDocument/2006/relationships/hyperlink" Target="https://twitter.com/MrTheodor" TargetMode="External"/><Relationship Id="rId3909" Type="http://schemas.openxmlformats.org/officeDocument/2006/relationships/hyperlink" Target="https://pbs.twimg.com/profile_images/478923099287478272/Jgrl1G3V_normal.jpeg" TargetMode="External"/><Relationship Id="rId6171" Type="http://schemas.openxmlformats.org/officeDocument/2006/relationships/hyperlink" Target="https://twitter.com/DomJofo" TargetMode="External"/><Relationship Id="rId6172" Type="http://schemas.openxmlformats.org/officeDocument/2006/relationships/hyperlink" Target="https://twitter.com/DomJofo/status/703103133128364036" TargetMode="External"/><Relationship Id="rId6170" Type="http://schemas.openxmlformats.org/officeDocument/2006/relationships/hyperlink" Target="https://pbs.twimg.com/profile_images/621211385746161664/tGchJstD_normal.jpg" TargetMode="External"/><Relationship Id="rId6175" Type="http://schemas.openxmlformats.org/officeDocument/2006/relationships/hyperlink" Target="https://twitter.com/sikrigagan/status/703103224736124928" TargetMode="External"/><Relationship Id="rId6176" Type="http://schemas.openxmlformats.org/officeDocument/2006/relationships/hyperlink" Target="https://pbs.twimg.com/profile_images/521217284711268353/-S-eIG6t_normal.jpeg" TargetMode="External"/><Relationship Id="rId6173" Type="http://schemas.openxmlformats.org/officeDocument/2006/relationships/hyperlink" Target="https://pbs.twimg.com/profile_images/1114003131/DomJofo3_normal.jpg" TargetMode="External"/><Relationship Id="rId6174" Type="http://schemas.openxmlformats.org/officeDocument/2006/relationships/hyperlink" Target="https://twitter.com/sikrigagan" TargetMode="External"/><Relationship Id="rId6179" Type="http://schemas.openxmlformats.org/officeDocument/2006/relationships/hyperlink" Target="https://pbs.twimg.com/profile_images/575031389252255745/k48N1dDP_normal.jpeg" TargetMode="External"/><Relationship Id="rId6177" Type="http://schemas.openxmlformats.org/officeDocument/2006/relationships/hyperlink" Target="https://twitter.com/mustafakasap" TargetMode="External"/><Relationship Id="rId6178" Type="http://schemas.openxmlformats.org/officeDocument/2006/relationships/hyperlink" Target="https://twitter.com/mustafakasap/status/703103888992313344" TargetMode="External"/><Relationship Id="rId3931" Type="http://schemas.openxmlformats.org/officeDocument/2006/relationships/hyperlink" Target="https://twitter.com/Mikael_Furesjo" TargetMode="External"/><Relationship Id="rId2600" Type="http://schemas.openxmlformats.org/officeDocument/2006/relationships/hyperlink" Target="https://pbs.twimg.com/profile_images/1466129811/p_normal.png" TargetMode="External"/><Relationship Id="rId3930" Type="http://schemas.openxmlformats.org/officeDocument/2006/relationships/hyperlink" Target="https://pbs.twimg.com/profile_images/539541227268354048/zWAW2SGY_normal.jpeg" TargetMode="External"/><Relationship Id="rId2601" Type="http://schemas.openxmlformats.org/officeDocument/2006/relationships/hyperlink" Target="https://twitter.com/scott_barman" TargetMode="External"/><Relationship Id="rId3933" Type="http://schemas.openxmlformats.org/officeDocument/2006/relationships/hyperlink" Target="https://pbs.twimg.com/profile_images/541967225691713536/sEjIUqRQ_normal.jpeg" TargetMode="External"/><Relationship Id="rId2602" Type="http://schemas.openxmlformats.org/officeDocument/2006/relationships/hyperlink" Target="https://twitter.com/scott_barman/status/702918294123126784" TargetMode="External"/><Relationship Id="rId3932" Type="http://schemas.openxmlformats.org/officeDocument/2006/relationships/hyperlink" Target="https://twitter.com/Mikael_Furesjo/status/702966867418288128" TargetMode="External"/><Relationship Id="rId2603" Type="http://schemas.openxmlformats.org/officeDocument/2006/relationships/hyperlink" Target="https://pbs.twimg.com/profile_images/625696267356672000/SoqUYMRD_normal.jpg" TargetMode="External"/><Relationship Id="rId3935" Type="http://schemas.openxmlformats.org/officeDocument/2006/relationships/hyperlink" Target="https://twitter.com/rethumb/status/702967103528243200" TargetMode="External"/><Relationship Id="rId2604" Type="http://schemas.openxmlformats.org/officeDocument/2006/relationships/hyperlink" Target="https://twitter.com/RiskIQ" TargetMode="External"/><Relationship Id="rId3934" Type="http://schemas.openxmlformats.org/officeDocument/2006/relationships/hyperlink" Target="https://twitter.com/rethumb" TargetMode="External"/><Relationship Id="rId2605" Type="http://schemas.openxmlformats.org/officeDocument/2006/relationships/hyperlink" Target="https://twitter.com/RiskIQ/status/702918295125565441" TargetMode="External"/><Relationship Id="rId3937" Type="http://schemas.openxmlformats.org/officeDocument/2006/relationships/hyperlink" Target="https://twitter.com/oPewmaker" TargetMode="External"/><Relationship Id="rId2606" Type="http://schemas.openxmlformats.org/officeDocument/2006/relationships/hyperlink" Target="https://pbs.twimg.com/profile_images/498893278528282624/vT1dfGv__normal.png" TargetMode="External"/><Relationship Id="rId3936" Type="http://schemas.openxmlformats.org/officeDocument/2006/relationships/hyperlink" Target="https://pbs.twimg.com/profile_images/606508575339511808/H8_RCT0z_normal.png" TargetMode="External"/><Relationship Id="rId808" Type="http://schemas.openxmlformats.org/officeDocument/2006/relationships/hyperlink" Target="https://twitter.com/SharmaclSharma1/status/702834499109785600" TargetMode="External"/><Relationship Id="rId2607" Type="http://schemas.openxmlformats.org/officeDocument/2006/relationships/hyperlink" Target="https://twitter.com/edomax" TargetMode="External"/><Relationship Id="rId3939" Type="http://schemas.openxmlformats.org/officeDocument/2006/relationships/hyperlink" Target="https://pbs.twimg.com/profile_images/491922725187756032/sZamKnBo_normal.png" TargetMode="External"/><Relationship Id="rId807" Type="http://schemas.openxmlformats.org/officeDocument/2006/relationships/hyperlink" Target="https://twitter.com/SharmaclSharma1" TargetMode="External"/><Relationship Id="rId2608" Type="http://schemas.openxmlformats.org/officeDocument/2006/relationships/hyperlink" Target="https://twitter.com/edomax/status/702918446858805248" TargetMode="External"/><Relationship Id="rId3938" Type="http://schemas.openxmlformats.org/officeDocument/2006/relationships/hyperlink" Target="https://twitter.com/oPewmaker/status/702967241407647745" TargetMode="External"/><Relationship Id="rId806" Type="http://schemas.openxmlformats.org/officeDocument/2006/relationships/hyperlink" Target="https://abs.twimg.com/sticky/default_profile_images/default_profile_3_normal.png" TargetMode="External"/><Relationship Id="rId2609" Type="http://schemas.openxmlformats.org/officeDocument/2006/relationships/hyperlink" Target="https://pbs.twimg.com/profile_images/682641660623327232/DWQcyhRl_normal.jpg" TargetMode="External"/><Relationship Id="rId805" Type="http://schemas.openxmlformats.org/officeDocument/2006/relationships/hyperlink" Target="https://twitter.com/SharmaclSharma1/status/702834301767852032" TargetMode="External"/><Relationship Id="rId809" Type="http://schemas.openxmlformats.org/officeDocument/2006/relationships/hyperlink" Target="https://abs.twimg.com/sticky/default_profile_images/default_profile_3_normal.png" TargetMode="External"/><Relationship Id="rId800" Type="http://schemas.openxmlformats.org/officeDocument/2006/relationships/hyperlink" Target="https://pbs.twimg.com/profile_images/636818185363308544/jPSDHL0m_normal.jpg" TargetMode="External"/><Relationship Id="rId804" Type="http://schemas.openxmlformats.org/officeDocument/2006/relationships/hyperlink" Target="https://twitter.com/SharmaclSharma1" TargetMode="External"/><Relationship Id="rId803" Type="http://schemas.openxmlformats.org/officeDocument/2006/relationships/hyperlink" Target="https://pbs.twimg.com/profile_images/507082273762455552/Y2vPK3wW_normal.jpeg" TargetMode="External"/><Relationship Id="rId802" Type="http://schemas.openxmlformats.org/officeDocument/2006/relationships/hyperlink" Target="https://twitter.com/ultrazool/status/702834198504214528" TargetMode="External"/><Relationship Id="rId801" Type="http://schemas.openxmlformats.org/officeDocument/2006/relationships/hyperlink" Target="https://twitter.com/ultrazool" TargetMode="External"/><Relationship Id="rId3920" Type="http://schemas.openxmlformats.org/officeDocument/2006/relationships/hyperlink" Target="https://twitter.com/CIO_PM/status/702966196707037185" TargetMode="External"/><Relationship Id="rId3922" Type="http://schemas.openxmlformats.org/officeDocument/2006/relationships/hyperlink" Target="https://twitter.com/sfkeller" TargetMode="External"/><Relationship Id="rId3921" Type="http://schemas.openxmlformats.org/officeDocument/2006/relationships/hyperlink" Target="https://pbs.twimg.com/profile_images/524289096684814336/Q2rb6rPq_normal.jpeg" TargetMode="External"/><Relationship Id="rId3924" Type="http://schemas.openxmlformats.org/officeDocument/2006/relationships/hyperlink" Target="https://pbs.twimg.com/profile_images/478452232384311296/1aSJ2tkP_normal.png" TargetMode="External"/><Relationship Id="rId3923" Type="http://schemas.openxmlformats.org/officeDocument/2006/relationships/hyperlink" Target="https://twitter.com/sfkeller/status/702966202784677889" TargetMode="External"/><Relationship Id="rId3926" Type="http://schemas.openxmlformats.org/officeDocument/2006/relationships/hyperlink" Target="https://twitter.com/CaktusGroup/status/702966823659184128" TargetMode="External"/><Relationship Id="rId3925" Type="http://schemas.openxmlformats.org/officeDocument/2006/relationships/hyperlink" Target="https://twitter.com/CaktusGroup" TargetMode="External"/><Relationship Id="rId3928" Type="http://schemas.openxmlformats.org/officeDocument/2006/relationships/hyperlink" Target="https://twitter.com/reyes_richie" TargetMode="External"/><Relationship Id="rId3927" Type="http://schemas.openxmlformats.org/officeDocument/2006/relationships/hyperlink" Target="https://pbs.twimg.com/profile_images/464122698486919168/qf8YnWJo_normal.png" TargetMode="External"/><Relationship Id="rId3929" Type="http://schemas.openxmlformats.org/officeDocument/2006/relationships/hyperlink" Target="https://twitter.com/reyes_richie/status/702966830206312449" TargetMode="External"/><Relationship Id="rId6193" Type="http://schemas.openxmlformats.org/officeDocument/2006/relationships/hyperlink" Target="https://twitter.com/wcmckeedotcom/status/703104294640201728" TargetMode="External"/><Relationship Id="rId6194" Type="http://schemas.openxmlformats.org/officeDocument/2006/relationships/hyperlink" Target="https://pbs.twimg.com/profile_images/621211385746161664/tGchJstD_normal.jpg" TargetMode="External"/><Relationship Id="rId6191" Type="http://schemas.openxmlformats.org/officeDocument/2006/relationships/hyperlink" Target="https://pbs.twimg.com/profile_images/679948461953781761/pDo9356K_normal.jpg" TargetMode="External"/><Relationship Id="rId6192" Type="http://schemas.openxmlformats.org/officeDocument/2006/relationships/hyperlink" Target="https://twitter.com/wcmckeedotcom" TargetMode="External"/><Relationship Id="rId6197" Type="http://schemas.openxmlformats.org/officeDocument/2006/relationships/hyperlink" Target="https://pbs.twimg.com/profile_images/649004216690675712/UAcrP6ol_normal.png" TargetMode="External"/><Relationship Id="rId6198" Type="http://schemas.openxmlformats.org/officeDocument/2006/relationships/hyperlink" Target="https://twitter.com/MTotolrahaman" TargetMode="External"/><Relationship Id="rId6195" Type="http://schemas.openxmlformats.org/officeDocument/2006/relationships/hyperlink" Target="https://twitter.com/art_control" TargetMode="External"/><Relationship Id="rId6196" Type="http://schemas.openxmlformats.org/officeDocument/2006/relationships/hyperlink" Target="https://twitter.com/art_control/status/703104321752211457" TargetMode="External"/><Relationship Id="rId6199" Type="http://schemas.openxmlformats.org/officeDocument/2006/relationships/hyperlink" Target="https://twitter.com/MTotolrahaman/status/703104413708079105" TargetMode="External"/><Relationship Id="rId7470" Type="http://schemas.openxmlformats.org/officeDocument/2006/relationships/hyperlink" Target="https://twitter.com/PythonBooks/status/703191183267401729" TargetMode="External"/><Relationship Id="rId6142" Type="http://schemas.openxmlformats.org/officeDocument/2006/relationships/hyperlink" Target="http://dlvr.it" TargetMode="External"/><Relationship Id="rId7474" Type="http://schemas.openxmlformats.org/officeDocument/2006/relationships/hyperlink" Target="http://dlvr.it" TargetMode="External"/><Relationship Id="rId6143" Type="http://schemas.openxmlformats.org/officeDocument/2006/relationships/hyperlink" Target="https://pbs.twimg.com/profile_images/2813636657/599521f69e2bc210a57323b64d8e39e6_normal.jpeg" TargetMode="External"/><Relationship Id="rId7473" Type="http://schemas.openxmlformats.org/officeDocument/2006/relationships/hyperlink" Target="https://twitter.com/AdWordsJobs/status/703191313546498050" TargetMode="External"/><Relationship Id="rId6140" Type="http://schemas.openxmlformats.org/officeDocument/2006/relationships/hyperlink" Target="https://twitter.com/artwisanggeni" TargetMode="External"/><Relationship Id="rId7472" Type="http://schemas.openxmlformats.org/officeDocument/2006/relationships/hyperlink" Target="https://twitter.com/AdWordsJobs" TargetMode="External"/><Relationship Id="rId6141" Type="http://schemas.openxmlformats.org/officeDocument/2006/relationships/hyperlink" Target="https://twitter.com/artwisanggeni/status/703102241259986944" TargetMode="External"/><Relationship Id="rId7471" Type="http://schemas.openxmlformats.org/officeDocument/2006/relationships/hyperlink" Target="https://pbs.twimg.com/profile_images/702455638157168640/AeDgtn0C_normal.jpg" TargetMode="External"/><Relationship Id="rId6146" Type="http://schemas.openxmlformats.org/officeDocument/2006/relationships/hyperlink" Target="http://dlvr.it" TargetMode="External"/><Relationship Id="rId7478" Type="http://schemas.openxmlformats.org/officeDocument/2006/relationships/hyperlink" Target="https://pbs.twimg.com/profile_images/621211385746161664/tGchJstD_normal.jpg" TargetMode="External"/><Relationship Id="rId6147" Type="http://schemas.openxmlformats.org/officeDocument/2006/relationships/hyperlink" Target="https://pbs.twimg.com/profile_images/2813636657/599521f69e2bc210a57323b64d8e39e6_normal.jpeg" TargetMode="External"/><Relationship Id="rId7477" Type="http://schemas.openxmlformats.org/officeDocument/2006/relationships/hyperlink" Target="https://twitter.com/wcmckeedotcom/status/703191485026590721" TargetMode="External"/><Relationship Id="rId6144" Type="http://schemas.openxmlformats.org/officeDocument/2006/relationships/hyperlink" Target="https://twitter.com/artwisanggeni" TargetMode="External"/><Relationship Id="rId7476" Type="http://schemas.openxmlformats.org/officeDocument/2006/relationships/hyperlink" Target="https://twitter.com/wcmckeedotcom" TargetMode="External"/><Relationship Id="rId6145" Type="http://schemas.openxmlformats.org/officeDocument/2006/relationships/hyperlink" Target="https://twitter.com/artwisanggeni/status/703102244422455296" TargetMode="External"/><Relationship Id="rId7475" Type="http://schemas.openxmlformats.org/officeDocument/2006/relationships/hyperlink" Target="https://abs.twimg.com/sticky/default_profile_images/default_profile_1_normal.png" TargetMode="External"/><Relationship Id="rId6148" Type="http://schemas.openxmlformats.org/officeDocument/2006/relationships/hyperlink" Target="https://twitter.com/artwisanggeni" TargetMode="External"/><Relationship Id="rId6149" Type="http://schemas.openxmlformats.org/officeDocument/2006/relationships/hyperlink" Target="https://twitter.com/artwisanggeni/status/703102247731769345" TargetMode="External"/><Relationship Id="rId7479" Type="http://schemas.openxmlformats.org/officeDocument/2006/relationships/hyperlink" Target="https://twitter.com/developer_tv" TargetMode="External"/><Relationship Id="rId8790" Type="http://schemas.openxmlformats.org/officeDocument/2006/relationships/hyperlink" Target="https://twitter.com/NowLivecodingtv" TargetMode="External"/><Relationship Id="rId6131" Type="http://schemas.openxmlformats.org/officeDocument/2006/relationships/hyperlink" Target="https://pbs.twimg.com/profile_images/543819077/Schermata_2009-11-25_a_21.06.35_normal.png" TargetMode="External"/><Relationship Id="rId7463" Type="http://schemas.openxmlformats.org/officeDocument/2006/relationships/hyperlink" Target="https://twitter.com/JoshuaLongUK" TargetMode="External"/><Relationship Id="rId8794" Type="http://schemas.openxmlformats.org/officeDocument/2006/relationships/hyperlink" Target="https://twitter.com/taniapaz/status/703249978613960704" TargetMode="External"/><Relationship Id="rId6132" Type="http://schemas.openxmlformats.org/officeDocument/2006/relationships/hyperlink" Target="https://twitter.com/artwisanggeni" TargetMode="External"/><Relationship Id="rId7462" Type="http://schemas.openxmlformats.org/officeDocument/2006/relationships/hyperlink" Target="https://pbs.twimg.com/profile_images/702455638157168640/AeDgtn0C_normal.jpg" TargetMode="External"/><Relationship Id="rId8793" Type="http://schemas.openxmlformats.org/officeDocument/2006/relationships/hyperlink" Target="https://twitter.com/taniapaz" TargetMode="External"/><Relationship Id="rId7461" Type="http://schemas.openxmlformats.org/officeDocument/2006/relationships/hyperlink" Target="https://twitter.com/PythonBooks/status/703191037209157632" TargetMode="External"/><Relationship Id="rId8792" Type="http://schemas.openxmlformats.org/officeDocument/2006/relationships/hyperlink" Target="https://pbs.twimg.com/profile_images/699984077877874688/aR2ovqId_normal.png" TargetMode="External"/><Relationship Id="rId6130" Type="http://schemas.openxmlformats.org/officeDocument/2006/relationships/hyperlink" Target="https://twitter.com/jobely/status/703102200235429889" TargetMode="External"/><Relationship Id="rId7460" Type="http://schemas.openxmlformats.org/officeDocument/2006/relationships/hyperlink" Target="https://twitter.com/PythonBooks" TargetMode="External"/><Relationship Id="rId8791" Type="http://schemas.openxmlformats.org/officeDocument/2006/relationships/hyperlink" Target="https://twitter.com/NowLivecodingtv/status/703249540556660736" TargetMode="External"/><Relationship Id="rId6135" Type="http://schemas.openxmlformats.org/officeDocument/2006/relationships/hyperlink" Target="https://pbs.twimg.com/profile_images/2813636657/599521f69e2bc210a57323b64d8e39e6_normal.jpeg" TargetMode="External"/><Relationship Id="rId7467" Type="http://schemas.openxmlformats.org/officeDocument/2006/relationships/hyperlink" Target="https://twitter.com/PythonBooks/status/703191134823170048" TargetMode="External"/><Relationship Id="rId8798" Type="http://schemas.openxmlformats.org/officeDocument/2006/relationships/hyperlink" Target="https://pbs.twimg.com/profile_images/378800000781106502/aefe7f5227bc828475ed4258dd30f52b_normal.jpeg" TargetMode="External"/><Relationship Id="rId6136" Type="http://schemas.openxmlformats.org/officeDocument/2006/relationships/hyperlink" Target="https://twitter.com/artwisanggeni" TargetMode="External"/><Relationship Id="rId7466" Type="http://schemas.openxmlformats.org/officeDocument/2006/relationships/hyperlink" Target="https://twitter.com/PythonBooks" TargetMode="External"/><Relationship Id="rId8797" Type="http://schemas.openxmlformats.org/officeDocument/2006/relationships/hyperlink" Target="https://twitter.com/nwkautomaniac/status/703250002144055296" TargetMode="External"/><Relationship Id="rId6133" Type="http://schemas.openxmlformats.org/officeDocument/2006/relationships/hyperlink" Target="https://twitter.com/artwisanggeni/status/703102232263131138" TargetMode="External"/><Relationship Id="rId7465" Type="http://schemas.openxmlformats.org/officeDocument/2006/relationships/hyperlink" Target="https://pbs.twimg.com/profile_images/627996138403168256/DaASdgVr_normal.jpg" TargetMode="External"/><Relationship Id="rId8796" Type="http://schemas.openxmlformats.org/officeDocument/2006/relationships/hyperlink" Target="https://twitter.com/nwkautomaniac" TargetMode="External"/><Relationship Id="rId6134" Type="http://schemas.openxmlformats.org/officeDocument/2006/relationships/hyperlink" Target="http://dlvr.it" TargetMode="External"/><Relationship Id="rId7464" Type="http://schemas.openxmlformats.org/officeDocument/2006/relationships/hyperlink" Target="https://twitter.com/JoshuaLongUK/status/703191084923559936" TargetMode="External"/><Relationship Id="rId8795" Type="http://schemas.openxmlformats.org/officeDocument/2006/relationships/hyperlink" Target="https://pbs.twimg.com/profile_images/2289120803/klh434t6fs1svswctb5u_normal.jpeg" TargetMode="External"/><Relationship Id="rId6139" Type="http://schemas.openxmlformats.org/officeDocument/2006/relationships/hyperlink" Target="https://pbs.twimg.com/profile_images/2813636657/599521f69e2bc210a57323b64d8e39e6_normal.jpeg" TargetMode="External"/><Relationship Id="rId6137" Type="http://schemas.openxmlformats.org/officeDocument/2006/relationships/hyperlink" Target="https://twitter.com/artwisanggeni/status/703102237644443648" TargetMode="External"/><Relationship Id="rId7469" Type="http://schemas.openxmlformats.org/officeDocument/2006/relationships/hyperlink" Target="https://twitter.com/PythonBooks" TargetMode="External"/><Relationship Id="rId6138" Type="http://schemas.openxmlformats.org/officeDocument/2006/relationships/hyperlink" Target="http://dlvr.it" TargetMode="External"/><Relationship Id="rId7468" Type="http://schemas.openxmlformats.org/officeDocument/2006/relationships/hyperlink" Target="https://pbs.twimg.com/profile_images/702455638157168640/AeDgtn0C_normal.jpg" TargetMode="External"/><Relationship Id="rId8799" Type="http://schemas.openxmlformats.org/officeDocument/2006/relationships/hyperlink" Target="https://twitter.com/NowLivecodingtv" TargetMode="External"/><Relationship Id="rId6160" Type="http://schemas.openxmlformats.org/officeDocument/2006/relationships/hyperlink" Target="https://twitter.com/bear_nun/status/703102427512176640" TargetMode="External"/><Relationship Id="rId7492" Type="http://schemas.openxmlformats.org/officeDocument/2006/relationships/hyperlink" Target="https://pbs.twimg.com/profile_images/2813636657/599521f69e2bc210a57323b64d8e39e6_normal.jpeg" TargetMode="External"/><Relationship Id="rId6161" Type="http://schemas.openxmlformats.org/officeDocument/2006/relationships/hyperlink" Target="https://pbs.twimg.com/profile_images/628206193417170945/omHCTHOS_normal.jpg" TargetMode="External"/><Relationship Id="rId7491" Type="http://schemas.openxmlformats.org/officeDocument/2006/relationships/hyperlink" Target="http://dlvr.it" TargetMode="External"/><Relationship Id="rId7490" Type="http://schemas.openxmlformats.org/officeDocument/2006/relationships/hyperlink" Target="https://twitter.com/artwisanggeni/status/703192085873037312" TargetMode="External"/><Relationship Id="rId6164" Type="http://schemas.openxmlformats.org/officeDocument/2006/relationships/hyperlink" Target="https://pbs.twimg.com/profile_images/483360760668504064/1B-mzD2S_normal.png" TargetMode="External"/><Relationship Id="rId7496" Type="http://schemas.openxmlformats.org/officeDocument/2006/relationships/hyperlink" Target="https://pbs.twimg.com/profile_images/2813636657/599521f69e2bc210a57323b64d8e39e6_normal.jpeg" TargetMode="External"/><Relationship Id="rId6165" Type="http://schemas.openxmlformats.org/officeDocument/2006/relationships/hyperlink" Target="https://twitter.com/startechwall" TargetMode="External"/><Relationship Id="rId7495" Type="http://schemas.openxmlformats.org/officeDocument/2006/relationships/hyperlink" Target="http://dlvr.it" TargetMode="External"/><Relationship Id="rId6162" Type="http://schemas.openxmlformats.org/officeDocument/2006/relationships/hyperlink" Target="https://twitter.com/N3ophyte" TargetMode="External"/><Relationship Id="rId7494" Type="http://schemas.openxmlformats.org/officeDocument/2006/relationships/hyperlink" Target="https://twitter.com/artwisanggeni/status/703192100263710725" TargetMode="External"/><Relationship Id="rId6163" Type="http://schemas.openxmlformats.org/officeDocument/2006/relationships/hyperlink" Target="https://twitter.com/N3ophyte/status/703102563957116928" TargetMode="External"/><Relationship Id="rId7493" Type="http://schemas.openxmlformats.org/officeDocument/2006/relationships/hyperlink" Target="https://twitter.com/artwisanggeni" TargetMode="External"/><Relationship Id="rId6168" Type="http://schemas.openxmlformats.org/officeDocument/2006/relationships/hyperlink" Target="https://twitter.com/wcmckeedotcom" TargetMode="External"/><Relationship Id="rId6169" Type="http://schemas.openxmlformats.org/officeDocument/2006/relationships/hyperlink" Target="https://twitter.com/wcmckeedotcom/status/703102691140984832" TargetMode="External"/><Relationship Id="rId7499" Type="http://schemas.openxmlformats.org/officeDocument/2006/relationships/hyperlink" Target="http://dlvr.it" TargetMode="External"/><Relationship Id="rId6166" Type="http://schemas.openxmlformats.org/officeDocument/2006/relationships/hyperlink" Target="https://twitter.com/startechwall/status/703102594235760640" TargetMode="External"/><Relationship Id="rId7498" Type="http://schemas.openxmlformats.org/officeDocument/2006/relationships/hyperlink" Target="https://twitter.com/artwisanggeni/status/703192102797086720" TargetMode="External"/><Relationship Id="rId6167" Type="http://schemas.openxmlformats.org/officeDocument/2006/relationships/hyperlink" Target="https://pbs.twimg.com/profile_images/679566117187145728/UUo30Zpm_normal.jpg" TargetMode="External"/><Relationship Id="rId7497" Type="http://schemas.openxmlformats.org/officeDocument/2006/relationships/hyperlink" Target="https://twitter.com/artwisanggeni" TargetMode="External"/><Relationship Id="rId7481" Type="http://schemas.openxmlformats.org/officeDocument/2006/relationships/hyperlink" Target="https://pbs.twimg.com/profile_images/631719878576074752/x-egaQIl_normal.jpg" TargetMode="External"/><Relationship Id="rId6150" Type="http://schemas.openxmlformats.org/officeDocument/2006/relationships/hyperlink" Target="http://dlvr.it" TargetMode="External"/><Relationship Id="rId7480" Type="http://schemas.openxmlformats.org/officeDocument/2006/relationships/hyperlink" Target="https://twitter.com/developer_tv/status/703191714425675776" TargetMode="External"/><Relationship Id="rId6153" Type="http://schemas.openxmlformats.org/officeDocument/2006/relationships/hyperlink" Target="https://twitter.com/artwisanggeni/status/703102250772598784" TargetMode="External"/><Relationship Id="rId7485" Type="http://schemas.openxmlformats.org/officeDocument/2006/relationships/hyperlink" Target="https://twitter.com/artwisanggeni" TargetMode="External"/><Relationship Id="rId6154" Type="http://schemas.openxmlformats.org/officeDocument/2006/relationships/hyperlink" Target="http://dlvr.it" TargetMode="External"/><Relationship Id="rId7484" Type="http://schemas.openxmlformats.org/officeDocument/2006/relationships/hyperlink" Target="https://pbs.twimg.com/profile_images/675379500918677504/VdM3P9GZ_normal.jpg" TargetMode="External"/><Relationship Id="rId6151" Type="http://schemas.openxmlformats.org/officeDocument/2006/relationships/hyperlink" Target="https://pbs.twimg.com/profile_images/2813636657/599521f69e2bc210a57323b64d8e39e6_normal.jpeg" TargetMode="External"/><Relationship Id="rId7483" Type="http://schemas.openxmlformats.org/officeDocument/2006/relationships/hyperlink" Target="https://twitter.com/aengelicc/status/703191906658856960" TargetMode="External"/><Relationship Id="rId6152" Type="http://schemas.openxmlformats.org/officeDocument/2006/relationships/hyperlink" Target="https://twitter.com/artwisanggeni" TargetMode="External"/><Relationship Id="rId7482" Type="http://schemas.openxmlformats.org/officeDocument/2006/relationships/hyperlink" Target="https://twitter.com/aengelicc" TargetMode="External"/><Relationship Id="rId6157" Type="http://schemas.openxmlformats.org/officeDocument/2006/relationships/hyperlink" Target="https://twitter.com/AdamSmitht1/status/703102342996987906" TargetMode="External"/><Relationship Id="rId7489" Type="http://schemas.openxmlformats.org/officeDocument/2006/relationships/hyperlink" Target="https://twitter.com/artwisanggeni" TargetMode="External"/><Relationship Id="rId6158" Type="http://schemas.openxmlformats.org/officeDocument/2006/relationships/hyperlink" Target="https://pbs.twimg.com/profile_images/671623862916812800/yGsDKiP4_normal.jpg" TargetMode="External"/><Relationship Id="rId7488" Type="http://schemas.openxmlformats.org/officeDocument/2006/relationships/hyperlink" Target="https://pbs.twimg.com/profile_images/2813636657/599521f69e2bc210a57323b64d8e39e6_normal.jpeg" TargetMode="External"/><Relationship Id="rId6155" Type="http://schemas.openxmlformats.org/officeDocument/2006/relationships/hyperlink" Target="https://pbs.twimg.com/profile_images/2813636657/599521f69e2bc210a57323b64d8e39e6_normal.jpeg" TargetMode="External"/><Relationship Id="rId7487" Type="http://schemas.openxmlformats.org/officeDocument/2006/relationships/hyperlink" Target="http://dlvr.it" TargetMode="External"/><Relationship Id="rId6156" Type="http://schemas.openxmlformats.org/officeDocument/2006/relationships/hyperlink" Target="https://twitter.com/AdamSmitht1" TargetMode="External"/><Relationship Id="rId7486" Type="http://schemas.openxmlformats.org/officeDocument/2006/relationships/hyperlink" Target="https://twitter.com/artwisanggeni/status/703192083306164224" TargetMode="External"/><Relationship Id="rId6159" Type="http://schemas.openxmlformats.org/officeDocument/2006/relationships/hyperlink" Target="https://twitter.com/bear_nun" TargetMode="External"/><Relationship Id="rId1334" Type="http://schemas.openxmlformats.org/officeDocument/2006/relationships/hyperlink" Target="https://twitter.com/randal_olson" TargetMode="External"/><Relationship Id="rId2665" Type="http://schemas.openxmlformats.org/officeDocument/2006/relationships/hyperlink" Target="https://twitter.com/bear_nun/status/702921260997578752" TargetMode="External"/><Relationship Id="rId3997" Type="http://schemas.openxmlformats.org/officeDocument/2006/relationships/hyperlink" Target="https://pbs.twimg.com/profile_images/649004216690675712/UAcrP6ol_normal.png" TargetMode="External"/><Relationship Id="rId1335" Type="http://schemas.openxmlformats.org/officeDocument/2006/relationships/hyperlink" Target="https://twitter.com/randal_olson/status/702864201375686656" TargetMode="External"/><Relationship Id="rId2666" Type="http://schemas.openxmlformats.org/officeDocument/2006/relationships/hyperlink" Target="https://pbs.twimg.com/profile_images/628206193417170945/omHCTHOS_normal.jpg" TargetMode="External"/><Relationship Id="rId3996" Type="http://schemas.openxmlformats.org/officeDocument/2006/relationships/hyperlink" Target="https://twitter.com/art_control/status/702971030319603714" TargetMode="External"/><Relationship Id="rId1336" Type="http://schemas.openxmlformats.org/officeDocument/2006/relationships/hyperlink" Target="https://pbs.twimg.com/profile_images/618964235779862528/nLQhBWfq_normal.jpg" TargetMode="External"/><Relationship Id="rId2667" Type="http://schemas.openxmlformats.org/officeDocument/2006/relationships/hyperlink" Target="https://twitter.com/dataprix" TargetMode="External"/><Relationship Id="rId3999" Type="http://schemas.openxmlformats.org/officeDocument/2006/relationships/hyperlink" Target="https://twitter.com/cool_python/status/702971049449820160" TargetMode="External"/><Relationship Id="rId1337" Type="http://schemas.openxmlformats.org/officeDocument/2006/relationships/hyperlink" Target="https://twitter.com/jjrennie" TargetMode="External"/><Relationship Id="rId2668" Type="http://schemas.openxmlformats.org/officeDocument/2006/relationships/hyperlink" Target="https://twitter.com/dataprix/status/702921332351180801" TargetMode="External"/><Relationship Id="rId3998" Type="http://schemas.openxmlformats.org/officeDocument/2006/relationships/hyperlink" Target="https://twitter.com/cool_python" TargetMode="External"/><Relationship Id="rId1338" Type="http://schemas.openxmlformats.org/officeDocument/2006/relationships/hyperlink" Target="https://twitter.com/jjrennie/status/702864465054834688" TargetMode="External"/><Relationship Id="rId2669" Type="http://schemas.openxmlformats.org/officeDocument/2006/relationships/hyperlink" Target="https://pbs.twimg.com/profile_images/701068875/isotipo_dataprix_screen_96_normal.jpg" TargetMode="External"/><Relationship Id="rId1339" Type="http://schemas.openxmlformats.org/officeDocument/2006/relationships/hyperlink" Target="https://pbs.twimg.com/profile_images/1116449459/Photo_on_2010-09-03_at_10.06__3_normal.jpg" TargetMode="External"/><Relationship Id="rId745" Type="http://schemas.openxmlformats.org/officeDocument/2006/relationships/hyperlink" Target="https://pbs.twimg.com/profile_images/2813636657/599521f69e2bc210a57323b64d8e39e6_normal.jpeg" TargetMode="External"/><Relationship Id="rId744" Type="http://schemas.openxmlformats.org/officeDocument/2006/relationships/hyperlink" Target="http://dlvr.it" TargetMode="External"/><Relationship Id="rId743" Type="http://schemas.openxmlformats.org/officeDocument/2006/relationships/hyperlink" Target="https://twitter.com/artwisanggeni/status/702831330657107968" TargetMode="External"/><Relationship Id="rId742" Type="http://schemas.openxmlformats.org/officeDocument/2006/relationships/hyperlink" Target="https://twitter.com/artwisanggeni" TargetMode="External"/><Relationship Id="rId749" Type="http://schemas.openxmlformats.org/officeDocument/2006/relationships/hyperlink" Target="https://pbs.twimg.com/profile_images/2813636657/599521f69e2bc210a57323b64d8e39e6_normal.jpeg" TargetMode="External"/><Relationship Id="rId748" Type="http://schemas.openxmlformats.org/officeDocument/2006/relationships/hyperlink" Target="http://dlvr.it" TargetMode="External"/><Relationship Id="rId747" Type="http://schemas.openxmlformats.org/officeDocument/2006/relationships/hyperlink" Target="https://twitter.com/artwisanggeni/status/702831334629085184" TargetMode="External"/><Relationship Id="rId746" Type="http://schemas.openxmlformats.org/officeDocument/2006/relationships/hyperlink" Target="https://twitter.com/artwisanggeni" TargetMode="External"/><Relationship Id="rId3991" Type="http://schemas.openxmlformats.org/officeDocument/2006/relationships/hyperlink" Target="https://pbs.twimg.com/profile_images/702271237318246400/Av-UI7Pb_normal.jpg" TargetMode="External"/><Relationship Id="rId2660" Type="http://schemas.openxmlformats.org/officeDocument/2006/relationships/hyperlink" Target="https://pbs.twimg.com/profile_images/51857789/me_southpark_normal.png" TargetMode="External"/><Relationship Id="rId3990" Type="http://schemas.openxmlformats.org/officeDocument/2006/relationships/hyperlink" Target="https://twitter.com/LeBlunt420/status/702970391392747520" TargetMode="External"/><Relationship Id="rId741" Type="http://schemas.openxmlformats.org/officeDocument/2006/relationships/hyperlink" Target="https://pbs.twimg.com/profile_images/2813636657/599521f69e2bc210a57323b64d8e39e6_normal.jpeg" TargetMode="External"/><Relationship Id="rId1330" Type="http://schemas.openxmlformats.org/officeDocument/2006/relationships/hyperlink" Target="https://twitter.com/artwisanggeni" TargetMode="External"/><Relationship Id="rId2661" Type="http://schemas.openxmlformats.org/officeDocument/2006/relationships/hyperlink" Target="https://twitter.com/gN3mes1s" TargetMode="External"/><Relationship Id="rId3993" Type="http://schemas.openxmlformats.org/officeDocument/2006/relationships/hyperlink" Target="https://twitter.com/echorand/status/702970936547389441" TargetMode="External"/><Relationship Id="rId740" Type="http://schemas.openxmlformats.org/officeDocument/2006/relationships/hyperlink" Target="http://dlvr.it" TargetMode="External"/><Relationship Id="rId1331" Type="http://schemas.openxmlformats.org/officeDocument/2006/relationships/hyperlink" Target="https://twitter.com/artwisanggeni/status/702864168060256256" TargetMode="External"/><Relationship Id="rId2662" Type="http://schemas.openxmlformats.org/officeDocument/2006/relationships/hyperlink" Target="https://twitter.com/gN3mes1s/status/702921128684212224" TargetMode="External"/><Relationship Id="rId3992" Type="http://schemas.openxmlformats.org/officeDocument/2006/relationships/hyperlink" Target="https://twitter.com/echorand" TargetMode="External"/><Relationship Id="rId1332" Type="http://schemas.openxmlformats.org/officeDocument/2006/relationships/hyperlink" Target="http://dlvr.it" TargetMode="External"/><Relationship Id="rId2663" Type="http://schemas.openxmlformats.org/officeDocument/2006/relationships/hyperlink" Target="https://pbs.twimg.com/profile_images/626562524/hom_normal.jpg" TargetMode="External"/><Relationship Id="rId3995" Type="http://schemas.openxmlformats.org/officeDocument/2006/relationships/hyperlink" Target="https://twitter.com/art_control" TargetMode="External"/><Relationship Id="rId1333" Type="http://schemas.openxmlformats.org/officeDocument/2006/relationships/hyperlink" Target="https://pbs.twimg.com/profile_images/2813636657/599521f69e2bc210a57323b64d8e39e6_normal.jpeg" TargetMode="External"/><Relationship Id="rId2664" Type="http://schemas.openxmlformats.org/officeDocument/2006/relationships/hyperlink" Target="https://twitter.com/bear_nun" TargetMode="External"/><Relationship Id="rId3994" Type="http://schemas.openxmlformats.org/officeDocument/2006/relationships/hyperlink" Target="https://pbs.twimg.com/profile_images/640433458368548864/NmRTfx3G_normal.jpg" TargetMode="External"/><Relationship Id="rId1323" Type="http://schemas.openxmlformats.org/officeDocument/2006/relationships/hyperlink" Target="https://twitter.com/christhebutcher" TargetMode="External"/><Relationship Id="rId2654" Type="http://schemas.openxmlformats.org/officeDocument/2006/relationships/hyperlink" Target="https://pbs.twimg.com/profile_images/614937494933540867/t99_VIGQ_normal.jpg" TargetMode="External"/><Relationship Id="rId3986" Type="http://schemas.openxmlformats.org/officeDocument/2006/relationships/hyperlink" Target="https://twitter.com/davidemoro" TargetMode="External"/><Relationship Id="rId1324" Type="http://schemas.openxmlformats.org/officeDocument/2006/relationships/hyperlink" Target="https://twitter.com/christhebutcher/status/702864084006518784" TargetMode="External"/><Relationship Id="rId2655" Type="http://schemas.openxmlformats.org/officeDocument/2006/relationships/hyperlink" Target="https://twitter.com/alexamici" TargetMode="External"/><Relationship Id="rId3985" Type="http://schemas.openxmlformats.org/officeDocument/2006/relationships/hyperlink" Target="https://pbs.twimg.com/profile_images/655014978101993476/ZpsnJW8B_normal.jpg" TargetMode="External"/><Relationship Id="rId1325" Type="http://schemas.openxmlformats.org/officeDocument/2006/relationships/hyperlink" Target="https://pbs.twimg.com/profile_images/608811364379852800/BoI2Unz9_normal.jpg" TargetMode="External"/><Relationship Id="rId2656" Type="http://schemas.openxmlformats.org/officeDocument/2006/relationships/hyperlink" Target="https://twitter.com/alexamici/status/702920547563388928" TargetMode="External"/><Relationship Id="rId3988" Type="http://schemas.openxmlformats.org/officeDocument/2006/relationships/hyperlink" Target="https://pbs.twimg.com/profile_images/460873033670852609/ITpNBwFG_normal.jpeg" TargetMode="External"/><Relationship Id="rId1326" Type="http://schemas.openxmlformats.org/officeDocument/2006/relationships/hyperlink" Target="https://twitter.com/artwisanggeni" TargetMode="External"/><Relationship Id="rId2657" Type="http://schemas.openxmlformats.org/officeDocument/2006/relationships/hyperlink" Target="https://pbs.twimg.com/profile_images/378800000063871187/b665cfeb3dc5e7bceb9d9e036113f54c_normal.jpeg" TargetMode="External"/><Relationship Id="rId3987" Type="http://schemas.openxmlformats.org/officeDocument/2006/relationships/hyperlink" Target="https://twitter.com/davidemoro/status/702970139998863360" TargetMode="External"/><Relationship Id="rId1327" Type="http://schemas.openxmlformats.org/officeDocument/2006/relationships/hyperlink" Target="https://twitter.com/artwisanggeni/status/702864162330816512" TargetMode="External"/><Relationship Id="rId2658" Type="http://schemas.openxmlformats.org/officeDocument/2006/relationships/hyperlink" Target="https://twitter.com/rrockers" TargetMode="External"/><Relationship Id="rId1328" Type="http://schemas.openxmlformats.org/officeDocument/2006/relationships/hyperlink" Target="http://dlvr.it" TargetMode="External"/><Relationship Id="rId2659" Type="http://schemas.openxmlformats.org/officeDocument/2006/relationships/hyperlink" Target="https://twitter.com/rrockers/status/702921069443723264" TargetMode="External"/><Relationship Id="rId3989" Type="http://schemas.openxmlformats.org/officeDocument/2006/relationships/hyperlink" Target="https://twitter.com/LeBlunt420" TargetMode="External"/><Relationship Id="rId1329" Type="http://schemas.openxmlformats.org/officeDocument/2006/relationships/hyperlink" Target="https://pbs.twimg.com/profile_images/2813636657/599521f69e2bc210a57323b64d8e39e6_normal.jpeg" TargetMode="External"/><Relationship Id="rId739" Type="http://schemas.openxmlformats.org/officeDocument/2006/relationships/hyperlink" Target="https://twitter.com/artwisanggeni/status/702831326093713408" TargetMode="External"/><Relationship Id="rId734" Type="http://schemas.openxmlformats.org/officeDocument/2006/relationships/hyperlink" Target="https://twitter.com/artwisanggeni" TargetMode="External"/><Relationship Id="rId733" Type="http://schemas.openxmlformats.org/officeDocument/2006/relationships/hyperlink" Target="https://pbs.twimg.com/profile_images/547937964936790018/hSKwYqzV_normal.jpeg" TargetMode="External"/><Relationship Id="rId732" Type="http://schemas.openxmlformats.org/officeDocument/2006/relationships/hyperlink" Target="https://twitter.com/apowers411/status/702830638760665089" TargetMode="External"/><Relationship Id="rId731" Type="http://schemas.openxmlformats.org/officeDocument/2006/relationships/hyperlink" Target="https://twitter.com/apowers411" TargetMode="External"/><Relationship Id="rId738" Type="http://schemas.openxmlformats.org/officeDocument/2006/relationships/hyperlink" Target="https://twitter.com/artwisanggeni" TargetMode="External"/><Relationship Id="rId737" Type="http://schemas.openxmlformats.org/officeDocument/2006/relationships/hyperlink" Target="https://pbs.twimg.com/profile_images/2813636657/599521f69e2bc210a57323b64d8e39e6_normal.jpeg" TargetMode="External"/><Relationship Id="rId736" Type="http://schemas.openxmlformats.org/officeDocument/2006/relationships/hyperlink" Target="http://dlvr.it" TargetMode="External"/><Relationship Id="rId735" Type="http://schemas.openxmlformats.org/officeDocument/2006/relationships/hyperlink" Target="https://twitter.com/artwisanggeni/status/702831320863379456" TargetMode="External"/><Relationship Id="rId3980" Type="http://schemas.openxmlformats.org/officeDocument/2006/relationships/hyperlink" Target="https://twitter.com/DevLifeExp" TargetMode="External"/><Relationship Id="rId730" Type="http://schemas.openxmlformats.org/officeDocument/2006/relationships/hyperlink" Target="https://pbs.twimg.com/profile_images/693289169595015169/d4cM-r1v_normal.jpg" TargetMode="External"/><Relationship Id="rId2650" Type="http://schemas.openxmlformats.org/officeDocument/2006/relationships/hyperlink" Target="https://twitter.com/dergal/status/702920148408274944" TargetMode="External"/><Relationship Id="rId3982" Type="http://schemas.openxmlformats.org/officeDocument/2006/relationships/hyperlink" Target="https://pbs.twimg.com/profile_images/702965933195845632/LXNIE4nz_normal.jpg" TargetMode="External"/><Relationship Id="rId1320" Type="http://schemas.openxmlformats.org/officeDocument/2006/relationships/hyperlink" Target="https://twitter.com/cool_python" TargetMode="External"/><Relationship Id="rId2651" Type="http://schemas.openxmlformats.org/officeDocument/2006/relationships/hyperlink" Target="https://pbs.twimg.com/profile_images/2649219670/10226090f39dba36f6dbbbeea4142065_normal.jpeg" TargetMode="External"/><Relationship Id="rId3981" Type="http://schemas.openxmlformats.org/officeDocument/2006/relationships/hyperlink" Target="https://twitter.com/DevLifeExp/status/702969611789148161" TargetMode="External"/><Relationship Id="rId1321" Type="http://schemas.openxmlformats.org/officeDocument/2006/relationships/hyperlink" Target="https://twitter.com/cool_python/status/702863719286644739" TargetMode="External"/><Relationship Id="rId2652" Type="http://schemas.openxmlformats.org/officeDocument/2006/relationships/hyperlink" Target="https://twitter.com/Angel_Cruijff" TargetMode="External"/><Relationship Id="rId3984" Type="http://schemas.openxmlformats.org/officeDocument/2006/relationships/hyperlink" Target="https://twitter.com/LillianEdmiston/status/702969704978243584" TargetMode="External"/><Relationship Id="rId1322" Type="http://schemas.openxmlformats.org/officeDocument/2006/relationships/hyperlink" Target="https://pbs.twimg.com/profile_images/572091631055028224/Pkx__FSB_normal.png" TargetMode="External"/><Relationship Id="rId2653" Type="http://schemas.openxmlformats.org/officeDocument/2006/relationships/hyperlink" Target="https://twitter.com/Angel_Cruijff/status/702920301982588928" TargetMode="External"/><Relationship Id="rId3983" Type="http://schemas.openxmlformats.org/officeDocument/2006/relationships/hyperlink" Target="https://twitter.com/LillianEdmiston" TargetMode="External"/><Relationship Id="rId1356" Type="http://schemas.openxmlformats.org/officeDocument/2006/relationships/hyperlink" Target="https://twitter.com/wcmckeedotcom" TargetMode="External"/><Relationship Id="rId2687" Type="http://schemas.openxmlformats.org/officeDocument/2006/relationships/hyperlink" Target="https://pbs.twimg.com/profile_images/2813636657/599521f69e2bc210a57323b64d8e39e6_normal.jpeg" TargetMode="External"/><Relationship Id="rId1357" Type="http://schemas.openxmlformats.org/officeDocument/2006/relationships/hyperlink" Target="https://twitter.com/wcmckeedotcom/status/702865828983775234" TargetMode="External"/><Relationship Id="rId2688" Type="http://schemas.openxmlformats.org/officeDocument/2006/relationships/hyperlink" Target="https://twitter.com/artwisanggeni" TargetMode="External"/><Relationship Id="rId1358" Type="http://schemas.openxmlformats.org/officeDocument/2006/relationships/hyperlink" Target="https://pbs.twimg.com/profile_images/621211385746161664/tGchJstD_normal.jpg" TargetMode="External"/><Relationship Id="rId2689" Type="http://schemas.openxmlformats.org/officeDocument/2006/relationships/hyperlink" Target="https://twitter.com/artwisanggeni/status/702922304645259264" TargetMode="External"/><Relationship Id="rId1359" Type="http://schemas.openxmlformats.org/officeDocument/2006/relationships/hyperlink" Target="https://twitter.com/cocoacoda" TargetMode="External"/><Relationship Id="rId767" Type="http://schemas.openxmlformats.org/officeDocument/2006/relationships/hyperlink" Target="https://twitter.com/artwisanggeni/status/702831354392608768" TargetMode="External"/><Relationship Id="rId766" Type="http://schemas.openxmlformats.org/officeDocument/2006/relationships/hyperlink" Target="https://twitter.com/artwisanggeni" TargetMode="External"/><Relationship Id="rId765" Type="http://schemas.openxmlformats.org/officeDocument/2006/relationships/hyperlink" Target="https://pbs.twimg.com/profile_images/2813636657/599521f69e2bc210a57323b64d8e39e6_normal.jpeg" TargetMode="External"/><Relationship Id="rId764" Type="http://schemas.openxmlformats.org/officeDocument/2006/relationships/hyperlink" Target="http://dlvr.it" TargetMode="External"/><Relationship Id="rId769" Type="http://schemas.openxmlformats.org/officeDocument/2006/relationships/hyperlink" Target="https://pbs.twimg.com/profile_images/2813636657/599521f69e2bc210a57323b64d8e39e6_normal.jpeg" TargetMode="External"/><Relationship Id="rId768" Type="http://schemas.openxmlformats.org/officeDocument/2006/relationships/hyperlink" Target="http://dlvr.it" TargetMode="External"/><Relationship Id="rId2680" Type="http://schemas.openxmlformats.org/officeDocument/2006/relationships/hyperlink" Target="https://pbs.twimg.com/profile_images/2813636657/599521f69e2bc210a57323b64d8e39e6_normal.jpeg" TargetMode="External"/><Relationship Id="rId1350" Type="http://schemas.openxmlformats.org/officeDocument/2006/relationships/hyperlink" Target="https://twitter.com/justsostephen" TargetMode="External"/><Relationship Id="rId2681" Type="http://schemas.openxmlformats.org/officeDocument/2006/relationships/hyperlink" Target="https://twitter.com/laptopBlues" TargetMode="External"/><Relationship Id="rId1351" Type="http://schemas.openxmlformats.org/officeDocument/2006/relationships/hyperlink" Target="https://twitter.com/justsostephen/status/702865218913882112" TargetMode="External"/><Relationship Id="rId2682" Type="http://schemas.openxmlformats.org/officeDocument/2006/relationships/hyperlink" Target="https://twitter.com/laptopBlues/status/702922299763253249" TargetMode="External"/><Relationship Id="rId763" Type="http://schemas.openxmlformats.org/officeDocument/2006/relationships/hyperlink" Target="https://twitter.com/artwisanggeni/status/702831350894579713" TargetMode="External"/><Relationship Id="rId1352" Type="http://schemas.openxmlformats.org/officeDocument/2006/relationships/hyperlink" Target="https://pbs.twimg.com/profile_images/698076082545815552/a79mHF3n_normal.jpg" TargetMode="External"/><Relationship Id="rId2683" Type="http://schemas.openxmlformats.org/officeDocument/2006/relationships/hyperlink" Target="https://pbs.twimg.com/profile_images/702914897768742912/p7F9m7fo_normal.jpg" TargetMode="External"/><Relationship Id="rId762" Type="http://schemas.openxmlformats.org/officeDocument/2006/relationships/hyperlink" Target="https://twitter.com/artwisanggeni" TargetMode="External"/><Relationship Id="rId1353" Type="http://schemas.openxmlformats.org/officeDocument/2006/relationships/hyperlink" Target="https://twitter.com/santiagobasulto" TargetMode="External"/><Relationship Id="rId2684" Type="http://schemas.openxmlformats.org/officeDocument/2006/relationships/hyperlink" Target="https://twitter.com/artwisanggeni" TargetMode="External"/><Relationship Id="rId761" Type="http://schemas.openxmlformats.org/officeDocument/2006/relationships/hyperlink" Target="https://pbs.twimg.com/profile_images/2813636657/599521f69e2bc210a57323b64d8e39e6_normal.jpeg" TargetMode="External"/><Relationship Id="rId1354" Type="http://schemas.openxmlformats.org/officeDocument/2006/relationships/hyperlink" Target="https://twitter.com/santiagobasulto/status/702865279135707136" TargetMode="External"/><Relationship Id="rId2685" Type="http://schemas.openxmlformats.org/officeDocument/2006/relationships/hyperlink" Target="https://twitter.com/artwisanggeni/status/702922301742780417" TargetMode="External"/><Relationship Id="rId760" Type="http://schemas.openxmlformats.org/officeDocument/2006/relationships/hyperlink" Target="http://dlvr.it" TargetMode="External"/><Relationship Id="rId1355" Type="http://schemas.openxmlformats.org/officeDocument/2006/relationships/hyperlink" Target="https://pbs.twimg.com/profile_images/691909778646376449/NC2PlZO__normal.jpg" TargetMode="External"/><Relationship Id="rId2686" Type="http://schemas.openxmlformats.org/officeDocument/2006/relationships/hyperlink" Target="http://dlvr.it" TargetMode="External"/><Relationship Id="rId1345" Type="http://schemas.openxmlformats.org/officeDocument/2006/relationships/hyperlink" Target="https://twitter.com/Zeipt/status/702864545438679040" TargetMode="External"/><Relationship Id="rId2676" Type="http://schemas.openxmlformats.org/officeDocument/2006/relationships/hyperlink" Target="https://pbs.twimg.com/profile_images/2813636657/599521f69e2bc210a57323b64d8e39e6_normal.jpeg" TargetMode="External"/><Relationship Id="rId1346" Type="http://schemas.openxmlformats.org/officeDocument/2006/relationships/hyperlink" Target="https://pbs.twimg.com/profile_images/625234880553689088/_HzAIrlk_normal.png" TargetMode="External"/><Relationship Id="rId2677" Type="http://schemas.openxmlformats.org/officeDocument/2006/relationships/hyperlink" Target="https://twitter.com/artwisanggeni" TargetMode="External"/><Relationship Id="rId1347" Type="http://schemas.openxmlformats.org/officeDocument/2006/relationships/hyperlink" Target="https://twitter.com/AnnCalisto" TargetMode="External"/><Relationship Id="rId2678" Type="http://schemas.openxmlformats.org/officeDocument/2006/relationships/hyperlink" Target="https://twitter.com/artwisanggeni/status/702922298693521408" TargetMode="External"/><Relationship Id="rId1348" Type="http://schemas.openxmlformats.org/officeDocument/2006/relationships/hyperlink" Target="https://twitter.com/AnnCalisto/status/702864557744771072" TargetMode="External"/><Relationship Id="rId2679" Type="http://schemas.openxmlformats.org/officeDocument/2006/relationships/hyperlink" Target="http://dlvr.it" TargetMode="External"/><Relationship Id="rId1349" Type="http://schemas.openxmlformats.org/officeDocument/2006/relationships/hyperlink" Target="https://pbs.twimg.com/profile_images/496794351549173761/aZKHXszc_normal.jpeg" TargetMode="External"/><Relationship Id="rId756" Type="http://schemas.openxmlformats.org/officeDocument/2006/relationships/hyperlink" Target="http://dlvr.it" TargetMode="External"/><Relationship Id="rId755" Type="http://schemas.openxmlformats.org/officeDocument/2006/relationships/hyperlink" Target="https://twitter.com/artwisanggeni/status/702831342640197632" TargetMode="External"/><Relationship Id="rId754" Type="http://schemas.openxmlformats.org/officeDocument/2006/relationships/hyperlink" Target="https://twitter.com/artwisanggeni" TargetMode="External"/><Relationship Id="rId753" Type="http://schemas.openxmlformats.org/officeDocument/2006/relationships/hyperlink" Target="https://pbs.twimg.com/profile_images/2813636657/599521f69e2bc210a57323b64d8e39e6_normal.jpeg" TargetMode="External"/><Relationship Id="rId759" Type="http://schemas.openxmlformats.org/officeDocument/2006/relationships/hyperlink" Target="https://twitter.com/artwisanggeni/status/702831346733830145" TargetMode="External"/><Relationship Id="rId758" Type="http://schemas.openxmlformats.org/officeDocument/2006/relationships/hyperlink" Target="https://twitter.com/artwisanggeni" TargetMode="External"/><Relationship Id="rId757" Type="http://schemas.openxmlformats.org/officeDocument/2006/relationships/hyperlink" Target="https://pbs.twimg.com/profile_images/2813636657/599521f69e2bc210a57323b64d8e39e6_normal.jpeg" TargetMode="External"/><Relationship Id="rId2670" Type="http://schemas.openxmlformats.org/officeDocument/2006/relationships/hyperlink" Target="https://twitter.com/inboundli_tech" TargetMode="External"/><Relationship Id="rId1340" Type="http://schemas.openxmlformats.org/officeDocument/2006/relationships/hyperlink" Target="https://twitter.com/RealPython" TargetMode="External"/><Relationship Id="rId2671" Type="http://schemas.openxmlformats.org/officeDocument/2006/relationships/hyperlink" Target="https://twitter.com/inboundli_tech/status/702921758433738752" TargetMode="External"/><Relationship Id="rId752" Type="http://schemas.openxmlformats.org/officeDocument/2006/relationships/hyperlink" Target="http://dlvr.it" TargetMode="External"/><Relationship Id="rId1341" Type="http://schemas.openxmlformats.org/officeDocument/2006/relationships/hyperlink" Target="http://RealPython.com" TargetMode="External"/><Relationship Id="rId2672" Type="http://schemas.openxmlformats.org/officeDocument/2006/relationships/hyperlink" Target="https://pbs.twimg.com/profile_images/681686406637469696/oVWxgoQ9_normal.png" TargetMode="External"/><Relationship Id="rId751" Type="http://schemas.openxmlformats.org/officeDocument/2006/relationships/hyperlink" Target="https://twitter.com/artwisanggeni/status/702831338659819520" TargetMode="External"/><Relationship Id="rId1342" Type="http://schemas.openxmlformats.org/officeDocument/2006/relationships/hyperlink" Target="https://twitter.com/RealPython/status/702864483178250240" TargetMode="External"/><Relationship Id="rId2673" Type="http://schemas.openxmlformats.org/officeDocument/2006/relationships/hyperlink" Target="https://twitter.com/artwisanggeni" TargetMode="External"/><Relationship Id="rId750" Type="http://schemas.openxmlformats.org/officeDocument/2006/relationships/hyperlink" Target="https://twitter.com/artwisanggeni" TargetMode="External"/><Relationship Id="rId1343" Type="http://schemas.openxmlformats.org/officeDocument/2006/relationships/hyperlink" Target="https://pbs.twimg.com/profile_images/3312468366/129323224633d71286101d517a2f9817_normal.png" TargetMode="External"/><Relationship Id="rId2674" Type="http://schemas.openxmlformats.org/officeDocument/2006/relationships/hyperlink" Target="https://twitter.com/artwisanggeni/status/702922295325495296" TargetMode="External"/><Relationship Id="rId1344" Type="http://schemas.openxmlformats.org/officeDocument/2006/relationships/hyperlink" Target="https://twitter.com/Zeipt" TargetMode="External"/><Relationship Id="rId2675" Type="http://schemas.openxmlformats.org/officeDocument/2006/relationships/hyperlink" Target="http://dlvr.it" TargetMode="External"/><Relationship Id="rId2621" Type="http://schemas.openxmlformats.org/officeDocument/2006/relationships/hyperlink" Target="https://pbs.twimg.com/profile_images/680007215424618496/jKN3QBWT_normal.png" TargetMode="External"/><Relationship Id="rId3953" Type="http://schemas.openxmlformats.org/officeDocument/2006/relationships/hyperlink" Target="https://twitter.com/gravelfastidiou/status/702968554065412098" TargetMode="External"/><Relationship Id="rId2622" Type="http://schemas.openxmlformats.org/officeDocument/2006/relationships/hyperlink" Target="https://twitter.com/NoSQLDigest" TargetMode="External"/><Relationship Id="rId3952" Type="http://schemas.openxmlformats.org/officeDocument/2006/relationships/hyperlink" Target="https://twitter.com/gravelfastidiou" TargetMode="External"/><Relationship Id="rId2623" Type="http://schemas.openxmlformats.org/officeDocument/2006/relationships/hyperlink" Target="https://twitter.com/NoSQLDigest/status/702918965861822466" TargetMode="External"/><Relationship Id="rId3955" Type="http://schemas.openxmlformats.org/officeDocument/2006/relationships/hyperlink" Target="https://twitter.com/Boolerang" TargetMode="External"/><Relationship Id="rId2624" Type="http://schemas.openxmlformats.org/officeDocument/2006/relationships/hyperlink" Target="https://pbs.twimg.com/profile_images/499257180009529344/CSWhr7LZ_normal.jpeg" TargetMode="External"/><Relationship Id="rId3954" Type="http://schemas.openxmlformats.org/officeDocument/2006/relationships/hyperlink" Target="https://pbs.twimg.com/profile_images/626071840780369920/GNcGWCC5_normal.jpg" TargetMode="External"/><Relationship Id="rId2625" Type="http://schemas.openxmlformats.org/officeDocument/2006/relationships/hyperlink" Target="https://twitter.com/pythontrending" TargetMode="External"/><Relationship Id="rId3957" Type="http://schemas.openxmlformats.org/officeDocument/2006/relationships/hyperlink" Target="https://twitter.com/Boolerang/status/702968584591564800" TargetMode="External"/><Relationship Id="rId2626" Type="http://schemas.openxmlformats.org/officeDocument/2006/relationships/hyperlink" Target="https://twitter.com/pythontrending/status/702919106429849604" TargetMode="External"/><Relationship Id="rId3956" Type="http://schemas.openxmlformats.org/officeDocument/2006/relationships/hyperlink" Target="http://Boolerang.io" TargetMode="External"/><Relationship Id="rId2627" Type="http://schemas.openxmlformats.org/officeDocument/2006/relationships/hyperlink" Target="https://pbs.twimg.com/profile_images/456490947287605248/4oklmBWe_normal.png" TargetMode="External"/><Relationship Id="rId3959" Type="http://schemas.openxmlformats.org/officeDocument/2006/relationships/hyperlink" Target="https://twitter.com/NoSQLDigest" TargetMode="External"/><Relationship Id="rId2628" Type="http://schemas.openxmlformats.org/officeDocument/2006/relationships/hyperlink" Target="https://twitter.com/WaDaDaaaa" TargetMode="External"/><Relationship Id="rId3958" Type="http://schemas.openxmlformats.org/officeDocument/2006/relationships/hyperlink" Target="https://pbs.twimg.com/profile_images/703179032125267969/9Y-1Fllk_normal.jpg" TargetMode="External"/><Relationship Id="rId709" Type="http://schemas.openxmlformats.org/officeDocument/2006/relationships/hyperlink" Target="https://pbs.twimg.com/profile_images/669808324637011968/lD8VqchD_normal.jpg" TargetMode="External"/><Relationship Id="rId2629" Type="http://schemas.openxmlformats.org/officeDocument/2006/relationships/hyperlink" Target="https://twitter.com/WaDaDaaaa/status/702919492712701953" TargetMode="External"/><Relationship Id="rId708" Type="http://schemas.openxmlformats.org/officeDocument/2006/relationships/hyperlink" Target="https://twitter.com/ohoncharuk/status/702827049010991105" TargetMode="External"/><Relationship Id="rId707" Type="http://schemas.openxmlformats.org/officeDocument/2006/relationships/hyperlink" Target="https://twitter.com/ohoncharuk" TargetMode="External"/><Relationship Id="rId706" Type="http://schemas.openxmlformats.org/officeDocument/2006/relationships/hyperlink" Target="https://pbs.twimg.com/profile_images/699510500535697408/gRL7SFaE_normal.png" TargetMode="External"/><Relationship Id="rId701" Type="http://schemas.openxmlformats.org/officeDocument/2006/relationships/hyperlink" Target="https://twitter.com/aliostad" TargetMode="External"/><Relationship Id="rId700" Type="http://schemas.openxmlformats.org/officeDocument/2006/relationships/hyperlink" Target="https://pbs.twimg.com/profile_images/2323096455/ie6d7zexkb52v6ojptfm_normal.jpeg" TargetMode="External"/><Relationship Id="rId705" Type="http://schemas.openxmlformats.org/officeDocument/2006/relationships/hyperlink" Target="https://twitter.com/informatcaminos/status/702826784891523072" TargetMode="External"/><Relationship Id="rId704" Type="http://schemas.openxmlformats.org/officeDocument/2006/relationships/hyperlink" Target="https://twitter.com/informatcaminos" TargetMode="External"/><Relationship Id="rId703" Type="http://schemas.openxmlformats.org/officeDocument/2006/relationships/hyperlink" Target="https://pbs.twimg.com/profile_images/378800000339965509/9c794bcfcd36ed6fc5e3841cddfd1de2_normal.jpeg" TargetMode="External"/><Relationship Id="rId702" Type="http://schemas.openxmlformats.org/officeDocument/2006/relationships/hyperlink" Target="https://twitter.com/aliostad/status/702826751123169280" TargetMode="External"/><Relationship Id="rId3951" Type="http://schemas.openxmlformats.org/officeDocument/2006/relationships/hyperlink" Target="https://pbs.twimg.com/profile_images/677493910256484352/-EdVaVPl_normal.jpg" TargetMode="External"/><Relationship Id="rId2620" Type="http://schemas.openxmlformats.org/officeDocument/2006/relationships/hyperlink" Target="https://twitter.com/datasciencefan/status/702918797137678336" TargetMode="External"/><Relationship Id="rId3950" Type="http://schemas.openxmlformats.org/officeDocument/2006/relationships/hyperlink" Target="https://twitter.com/MTotolrahaman/status/702968374150750209" TargetMode="External"/><Relationship Id="rId2610" Type="http://schemas.openxmlformats.org/officeDocument/2006/relationships/hyperlink" Target="https://twitter.com/clockworkTalent" TargetMode="External"/><Relationship Id="rId3942" Type="http://schemas.openxmlformats.org/officeDocument/2006/relationships/hyperlink" Target="https://abs.twimg.com/sticky/default_profile_images/default_profile_2_normal.png" TargetMode="External"/><Relationship Id="rId2611" Type="http://schemas.openxmlformats.org/officeDocument/2006/relationships/hyperlink" Target="https://twitter.com/clockworkTalent/status/702918573333860353" TargetMode="External"/><Relationship Id="rId3941" Type="http://schemas.openxmlformats.org/officeDocument/2006/relationships/hyperlink" Target="https://twitter.com/GirishMBlore/status/702967410605707265" TargetMode="External"/><Relationship Id="rId2612" Type="http://schemas.openxmlformats.org/officeDocument/2006/relationships/hyperlink" Target="https://pbs.twimg.com/profile_images/601659762791550977/ZyOxTkIE_normal.jpg" TargetMode="External"/><Relationship Id="rId3944" Type="http://schemas.openxmlformats.org/officeDocument/2006/relationships/hyperlink" Target="https://twitter.com/JesseJMcQuade/status/702968102523260928" TargetMode="External"/><Relationship Id="rId2613" Type="http://schemas.openxmlformats.org/officeDocument/2006/relationships/hyperlink" Target="https://twitter.com/GispertMarta" TargetMode="External"/><Relationship Id="rId3943" Type="http://schemas.openxmlformats.org/officeDocument/2006/relationships/hyperlink" Target="https://twitter.com/JesseJMcQuade" TargetMode="External"/><Relationship Id="rId2614" Type="http://schemas.openxmlformats.org/officeDocument/2006/relationships/hyperlink" Target="https://twitter.com/GispertMarta/status/702918613641138176" TargetMode="External"/><Relationship Id="rId3946" Type="http://schemas.openxmlformats.org/officeDocument/2006/relationships/hyperlink" Target="https://twitter.com/HartwigMicheal" TargetMode="External"/><Relationship Id="rId2615" Type="http://schemas.openxmlformats.org/officeDocument/2006/relationships/hyperlink" Target="https://pbs.twimg.com/profile_images/1846077817/conil_RRSS_normal.jpg" TargetMode="External"/><Relationship Id="rId3945" Type="http://schemas.openxmlformats.org/officeDocument/2006/relationships/hyperlink" Target="https://abs.twimg.com/sticky/default_profile_images/default_profile_1_normal.png" TargetMode="External"/><Relationship Id="rId2616" Type="http://schemas.openxmlformats.org/officeDocument/2006/relationships/hyperlink" Target="https://twitter.com/tchappui" TargetMode="External"/><Relationship Id="rId3948" Type="http://schemas.openxmlformats.org/officeDocument/2006/relationships/hyperlink" Target="https://pbs.twimg.com/profile_images/679948461953781761/pDo9356K_normal.jpg" TargetMode="External"/><Relationship Id="rId2617" Type="http://schemas.openxmlformats.org/officeDocument/2006/relationships/hyperlink" Target="https://twitter.com/tchappui/status/702918657064697856" TargetMode="External"/><Relationship Id="rId3947" Type="http://schemas.openxmlformats.org/officeDocument/2006/relationships/hyperlink" Target="https://twitter.com/HartwigMicheal/status/702968167828574208" TargetMode="External"/><Relationship Id="rId2618" Type="http://schemas.openxmlformats.org/officeDocument/2006/relationships/hyperlink" Target="https://pbs.twimg.com/profile_images/477344764032192512/LAjvaXy5_normal.jpeg" TargetMode="External"/><Relationship Id="rId2619" Type="http://schemas.openxmlformats.org/officeDocument/2006/relationships/hyperlink" Target="https://twitter.com/datasciencefan" TargetMode="External"/><Relationship Id="rId3949" Type="http://schemas.openxmlformats.org/officeDocument/2006/relationships/hyperlink" Target="https://twitter.com/MTotolrahaman" TargetMode="External"/><Relationship Id="rId3940" Type="http://schemas.openxmlformats.org/officeDocument/2006/relationships/hyperlink" Target="https://twitter.com/GirishMBlore" TargetMode="External"/><Relationship Id="rId1312" Type="http://schemas.openxmlformats.org/officeDocument/2006/relationships/hyperlink" Target="https://pbs.twimg.com/profile_images/636549660966961152/qIuIhiO-_normal.png" TargetMode="External"/><Relationship Id="rId2643" Type="http://schemas.openxmlformats.org/officeDocument/2006/relationships/hyperlink" Target="https://twitter.com/cool_python" TargetMode="External"/><Relationship Id="rId3975" Type="http://schemas.openxmlformats.org/officeDocument/2006/relationships/hyperlink" Target="https://twitter.com/Hostxido/status/702969258918199299" TargetMode="External"/><Relationship Id="rId1313" Type="http://schemas.openxmlformats.org/officeDocument/2006/relationships/hyperlink" Target="https://twitter.com/prehistoricinc" TargetMode="External"/><Relationship Id="rId2644" Type="http://schemas.openxmlformats.org/officeDocument/2006/relationships/hyperlink" Target="https://twitter.com/cool_python/status/702919974373998592" TargetMode="External"/><Relationship Id="rId3974" Type="http://schemas.openxmlformats.org/officeDocument/2006/relationships/hyperlink" Target="https://twitter.com/Hostxido" TargetMode="External"/><Relationship Id="rId1314" Type="http://schemas.openxmlformats.org/officeDocument/2006/relationships/hyperlink" Target="https://twitter.com/prehistoricinc/status/702863340914253824" TargetMode="External"/><Relationship Id="rId2645" Type="http://schemas.openxmlformats.org/officeDocument/2006/relationships/hyperlink" Target="https://pbs.twimg.com/profile_images/572091631055028224/Pkx__FSB_normal.png" TargetMode="External"/><Relationship Id="rId3977" Type="http://schemas.openxmlformats.org/officeDocument/2006/relationships/hyperlink" Target="https://twitter.com/zaphodikus" TargetMode="External"/><Relationship Id="rId1315" Type="http://schemas.openxmlformats.org/officeDocument/2006/relationships/hyperlink" Target="https://pbs.twimg.com/profile_images/1112829450/avatarsm_normal.jpg" TargetMode="External"/><Relationship Id="rId2646" Type="http://schemas.openxmlformats.org/officeDocument/2006/relationships/hyperlink" Target="https://twitter.com/89754612a" TargetMode="External"/><Relationship Id="rId3976" Type="http://schemas.openxmlformats.org/officeDocument/2006/relationships/hyperlink" Target="https://pbs.twimg.com/profile_images/2722042695/dae07433e4737bfe801edd312504579b_normal.jpeg" TargetMode="External"/><Relationship Id="rId1316" Type="http://schemas.openxmlformats.org/officeDocument/2006/relationships/hyperlink" Target="http://ctrlq.org/maps/address/" TargetMode="External"/><Relationship Id="rId2647" Type="http://schemas.openxmlformats.org/officeDocument/2006/relationships/hyperlink" Target="https://twitter.com/89754612a/status/702920084373659649" TargetMode="External"/><Relationship Id="rId3979" Type="http://schemas.openxmlformats.org/officeDocument/2006/relationships/hyperlink" Target="https://pbs.twimg.com/profile_images/1596587704/J9PHPVBs_normal" TargetMode="External"/><Relationship Id="rId1317" Type="http://schemas.openxmlformats.org/officeDocument/2006/relationships/hyperlink" Target="https://twitter.com/ConnectionsNY" TargetMode="External"/><Relationship Id="rId2648" Type="http://schemas.openxmlformats.org/officeDocument/2006/relationships/hyperlink" Target="https://pbs.twimg.com/profile_images/639691411223396352/fxpvBBEF_normal.jpg" TargetMode="External"/><Relationship Id="rId3978" Type="http://schemas.openxmlformats.org/officeDocument/2006/relationships/hyperlink" Target="https://twitter.com/zaphodikus/status/702969394750746625" TargetMode="External"/><Relationship Id="rId1318" Type="http://schemas.openxmlformats.org/officeDocument/2006/relationships/hyperlink" Target="https://twitter.com/ConnectionsNY/status/702863387273904128" TargetMode="External"/><Relationship Id="rId2649" Type="http://schemas.openxmlformats.org/officeDocument/2006/relationships/hyperlink" Target="https://twitter.com/dergal" TargetMode="External"/><Relationship Id="rId1319" Type="http://schemas.openxmlformats.org/officeDocument/2006/relationships/hyperlink" Target="https://pbs.twimg.com/profile_images/646430794391650304/jK6EaLeg_normal.jpg" TargetMode="External"/><Relationship Id="rId729" Type="http://schemas.openxmlformats.org/officeDocument/2006/relationships/hyperlink" Target="https://twitter.com/leobiscassi/status/702830288821460992" TargetMode="External"/><Relationship Id="rId728" Type="http://schemas.openxmlformats.org/officeDocument/2006/relationships/hyperlink" Target="https://twitter.com/leobiscassi" TargetMode="External"/><Relationship Id="rId723" Type="http://schemas.openxmlformats.org/officeDocument/2006/relationships/hyperlink" Target="https://twitter.com/Educateyoursel1/status/702828625112989696" TargetMode="External"/><Relationship Id="rId722" Type="http://schemas.openxmlformats.org/officeDocument/2006/relationships/hyperlink" Target="https://twitter.com/Educateyoursel1" TargetMode="External"/><Relationship Id="rId721" Type="http://schemas.openxmlformats.org/officeDocument/2006/relationships/hyperlink" Target="https://pbs.twimg.com/profile_images/1532715722/dsj-twitter_normal.png" TargetMode="External"/><Relationship Id="rId720" Type="http://schemas.openxmlformats.org/officeDocument/2006/relationships/hyperlink" Target="https://twitter.com/dublin_startups/status/702828433601118208" TargetMode="External"/><Relationship Id="rId727" Type="http://schemas.openxmlformats.org/officeDocument/2006/relationships/hyperlink" Target="https://pbs.twimg.com/profile_images/611834314586750976/feZ5fZOO_normal.png" TargetMode="External"/><Relationship Id="rId726" Type="http://schemas.openxmlformats.org/officeDocument/2006/relationships/hyperlink" Target="https://twitter.com/coding_jobfeeds/status/702829196339507200" TargetMode="External"/><Relationship Id="rId725" Type="http://schemas.openxmlformats.org/officeDocument/2006/relationships/hyperlink" Target="https://twitter.com/coding_jobfeeds" TargetMode="External"/><Relationship Id="rId724" Type="http://schemas.openxmlformats.org/officeDocument/2006/relationships/hyperlink" Target="https://pbs.twimg.com/profile_images/700565212403879936/91jg5oEM_normal.jpg" TargetMode="External"/><Relationship Id="rId3971" Type="http://schemas.openxmlformats.org/officeDocument/2006/relationships/hyperlink" Target="https://twitter.com/py3k" TargetMode="External"/><Relationship Id="rId2640" Type="http://schemas.openxmlformats.org/officeDocument/2006/relationships/hyperlink" Target="https://twitter.com/srcport" TargetMode="External"/><Relationship Id="rId3970" Type="http://schemas.openxmlformats.org/officeDocument/2006/relationships/hyperlink" Target="https://pbs.twimg.com/profile_images/502422274314895362/yxmXXcnq_normal.jpeg" TargetMode="External"/><Relationship Id="rId1310" Type="http://schemas.openxmlformats.org/officeDocument/2006/relationships/hyperlink" Target="http://Taipei.py" TargetMode="External"/><Relationship Id="rId2641" Type="http://schemas.openxmlformats.org/officeDocument/2006/relationships/hyperlink" Target="https://twitter.com/srcport/status/702919749089492992" TargetMode="External"/><Relationship Id="rId3973" Type="http://schemas.openxmlformats.org/officeDocument/2006/relationships/hyperlink" Target="https://pbs.twimg.com/profile_images/2474433856/p075cerxh0arpea6ceip_normal.png" TargetMode="External"/><Relationship Id="rId1311" Type="http://schemas.openxmlformats.org/officeDocument/2006/relationships/hyperlink" Target="https://twitter.com/taipeipy/status/702863330977820673" TargetMode="External"/><Relationship Id="rId2642" Type="http://schemas.openxmlformats.org/officeDocument/2006/relationships/hyperlink" Target="https://pbs.twimg.com/profile_images/625824019783266305/CqN4VuZW_normal.png" TargetMode="External"/><Relationship Id="rId3972" Type="http://schemas.openxmlformats.org/officeDocument/2006/relationships/hyperlink" Target="https://twitter.com/py3k/status/702968992890281990" TargetMode="External"/><Relationship Id="rId1301" Type="http://schemas.openxmlformats.org/officeDocument/2006/relationships/hyperlink" Target="https://twitter.com/cah_anom/status/702863037615607808" TargetMode="External"/><Relationship Id="rId2632" Type="http://schemas.openxmlformats.org/officeDocument/2006/relationships/hyperlink" Target="https://twitter.com/NoSQLDigest/status/702919516943024128" TargetMode="External"/><Relationship Id="rId3964" Type="http://schemas.openxmlformats.org/officeDocument/2006/relationships/hyperlink" Target="https://pbs.twimg.com/profile_images/648912420275154944/Ab4szUPV_normal.jpg" TargetMode="External"/><Relationship Id="rId1302" Type="http://schemas.openxmlformats.org/officeDocument/2006/relationships/hyperlink" Target="https://pbs.twimg.com/profile_images/603265046479642624/EswzTJd1_normal.jpg" TargetMode="External"/><Relationship Id="rId2633" Type="http://schemas.openxmlformats.org/officeDocument/2006/relationships/hyperlink" Target="https://pbs.twimg.com/profile_images/499257180009529344/CSWhr7LZ_normal.jpeg" TargetMode="External"/><Relationship Id="rId3963" Type="http://schemas.openxmlformats.org/officeDocument/2006/relationships/hyperlink" Target="https://twitter.com/techpearce2/status/702968716443717634" TargetMode="External"/><Relationship Id="rId1303" Type="http://schemas.openxmlformats.org/officeDocument/2006/relationships/hyperlink" Target="https://twitter.com/christof77" TargetMode="External"/><Relationship Id="rId2634" Type="http://schemas.openxmlformats.org/officeDocument/2006/relationships/hyperlink" Target="https://twitter.com/jimwebber" TargetMode="External"/><Relationship Id="rId3966" Type="http://schemas.openxmlformats.org/officeDocument/2006/relationships/hyperlink" Target="https://twitter.com/GIS_Sharer/status/702968831241617409" TargetMode="External"/><Relationship Id="rId1304" Type="http://schemas.openxmlformats.org/officeDocument/2006/relationships/hyperlink" Target="https://twitter.com/christof77/status/702863299831009280" TargetMode="External"/><Relationship Id="rId2635" Type="http://schemas.openxmlformats.org/officeDocument/2006/relationships/hyperlink" Target="https://twitter.com/jimwebber/status/702919594038710272" TargetMode="External"/><Relationship Id="rId3965" Type="http://schemas.openxmlformats.org/officeDocument/2006/relationships/hyperlink" Target="https://twitter.com/GIS_Sharer" TargetMode="External"/><Relationship Id="rId1305" Type="http://schemas.openxmlformats.org/officeDocument/2006/relationships/hyperlink" Target="https://pbs.twimg.com/profile_images/529248661356544001/bVjf0pKs_normal.jpeg" TargetMode="External"/><Relationship Id="rId2636" Type="http://schemas.openxmlformats.org/officeDocument/2006/relationships/hyperlink" Target="https://pbs.twimg.com/profile_images/65422475/cartman2_normal.jpg" TargetMode="External"/><Relationship Id="rId3968" Type="http://schemas.openxmlformats.org/officeDocument/2006/relationships/hyperlink" Target="https://twitter.com/AH_TeamBusiness" TargetMode="External"/><Relationship Id="rId1306" Type="http://schemas.openxmlformats.org/officeDocument/2006/relationships/hyperlink" Target="https://twitter.com/cah_anom" TargetMode="External"/><Relationship Id="rId2637" Type="http://schemas.openxmlformats.org/officeDocument/2006/relationships/hyperlink" Target="https://twitter.com/mopayyo" TargetMode="External"/><Relationship Id="rId3967" Type="http://schemas.openxmlformats.org/officeDocument/2006/relationships/hyperlink" Target="https://pbs.twimg.com/profile_images/674226896880582656/DhIYJPm-_normal.png" TargetMode="External"/><Relationship Id="rId1307" Type="http://schemas.openxmlformats.org/officeDocument/2006/relationships/hyperlink" Target="https://twitter.com/cah_anom/status/702863319275687936" TargetMode="External"/><Relationship Id="rId2638" Type="http://schemas.openxmlformats.org/officeDocument/2006/relationships/hyperlink" Target="https://twitter.com/mopayyo/status/702919620190195712" TargetMode="External"/><Relationship Id="rId1308" Type="http://schemas.openxmlformats.org/officeDocument/2006/relationships/hyperlink" Target="https://pbs.twimg.com/profile_images/603265046479642624/EswzTJd1_normal.jpg" TargetMode="External"/><Relationship Id="rId2639" Type="http://schemas.openxmlformats.org/officeDocument/2006/relationships/hyperlink" Target="https://pbs.twimg.com/profile_images/696775903033036800/_LrTWfwX_normal.jpg" TargetMode="External"/><Relationship Id="rId3969" Type="http://schemas.openxmlformats.org/officeDocument/2006/relationships/hyperlink" Target="https://twitter.com/AH_TeamBusiness/status/702968894710030336" TargetMode="External"/><Relationship Id="rId1309" Type="http://schemas.openxmlformats.org/officeDocument/2006/relationships/hyperlink" Target="https://twitter.com/taipeipy" TargetMode="External"/><Relationship Id="rId719" Type="http://schemas.openxmlformats.org/officeDocument/2006/relationships/hyperlink" Target="https://twitter.com/dublin_startups" TargetMode="External"/><Relationship Id="rId718" Type="http://schemas.openxmlformats.org/officeDocument/2006/relationships/hyperlink" Target="https://pbs.twimg.com/profile_images/673638315686543360/Ww1_3Mey_normal.jpg" TargetMode="External"/><Relationship Id="rId717" Type="http://schemas.openxmlformats.org/officeDocument/2006/relationships/hyperlink" Target="https://twitter.com/philippebiaut/status/702828045426663424" TargetMode="External"/><Relationship Id="rId712" Type="http://schemas.openxmlformats.org/officeDocument/2006/relationships/hyperlink" Target="https://pbs.twimg.com/profile_images/673638315686543360/Ww1_3Mey_normal.jpg" TargetMode="External"/><Relationship Id="rId711" Type="http://schemas.openxmlformats.org/officeDocument/2006/relationships/hyperlink" Target="https://twitter.com/philippebiaut/status/702827507167399936" TargetMode="External"/><Relationship Id="rId710" Type="http://schemas.openxmlformats.org/officeDocument/2006/relationships/hyperlink" Target="https://twitter.com/philippebiaut" TargetMode="External"/><Relationship Id="rId716" Type="http://schemas.openxmlformats.org/officeDocument/2006/relationships/hyperlink" Target="https://twitter.com/philippebiaut" TargetMode="External"/><Relationship Id="rId715" Type="http://schemas.openxmlformats.org/officeDocument/2006/relationships/hyperlink" Target="https://pbs.twimg.com/profile_images/566502746933583875/MhjI4eN7_normal.png" TargetMode="External"/><Relationship Id="rId714" Type="http://schemas.openxmlformats.org/officeDocument/2006/relationships/hyperlink" Target="https://twitter.com/ApplyQJobs/status/702827894800834560" TargetMode="External"/><Relationship Id="rId713" Type="http://schemas.openxmlformats.org/officeDocument/2006/relationships/hyperlink" Target="https://twitter.com/ApplyQJobs" TargetMode="External"/><Relationship Id="rId3960" Type="http://schemas.openxmlformats.org/officeDocument/2006/relationships/hyperlink" Target="https://twitter.com/NoSQLDigest/status/702968631898976256" TargetMode="External"/><Relationship Id="rId2630" Type="http://schemas.openxmlformats.org/officeDocument/2006/relationships/hyperlink" Target="https://pbs.twimg.com/profile_images/620459412021379072/fJip8wVT_normal.jpg" TargetMode="External"/><Relationship Id="rId3962" Type="http://schemas.openxmlformats.org/officeDocument/2006/relationships/hyperlink" Target="https://twitter.com/techpearce2" TargetMode="External"/><Relationship Id="rId1300" Type="http://schemas.openxmlformats.org/officeDocument/2006/relationships/hyperlink" Target="https://twitter.com/cah_anom" TargetMode="External"/><Relationship Id="rId2631" Type="http://schemas.openxmlformats.org/officeDocument/2006/relationships/hyperlink" Target="https://twitter.com/NoSQLDigest" TargetMode="External"/><Relationship Id="rId3961" Type="http://schemas.openxmlformats.org/officeDocument/2006/relationships/hyperlink" Target="https://pbs.twimg.com/profile_images/499257180009529344/CSWhr7LZ_normal.jpeg" TargetMode="External"/><Relationship Id="rId8806" Type="http://schemas.openxmlformats.org/officeDocument/2006/relationships/hyperlink" Target="https://twitter.com/NowLivecodingtv/status/703250227206221824" TargetMode="External"/><Relationship Id="rId8805" Type="http://schemas.openxmlformats.org/officeDocument/2006/relationships/hyperlink" Target="https://twitter.com/NowLivecodingtv" TargetMode="External"/><Relationship Id="rId8804" Type="http://schemas.openxmlformats.org/officeDocument/2006/relationships/hyperlink" Target="https://pbs.twimg.com/profile_images/699984077877874688/aR2ovqId_normal.png" TargetMode="External"/><Relationship Id="rId8803" Type="http://schemas.openxmlformats.org/officeDocument/2006/relationships/hyperlink" Target="https://twitter.com/NowLivecodingtv/status/703250222940610560" TargetMode="External"/><Relationship Id="rId8809" Type="http://schemas.openxmlformats.org/officeDocument/2006/relationships/hyperlink" Target="https://twitter.com/NowLivecodingtv/status/703250239839477760" TargetMode="External"/><Relationship Id="rId8808" Type="http://schemas.openxmlformats.org/officeDocument/2006/relationships/hyperlink" Target="https://twitter.com/NowLivecodingtv" TargetMode="External"/><Relationship Id="rId8807" Type="http://schemas.openxmlformats.org/officeDocument/2006/relationships/hyperlink" Target="https://pbs.twimg.com/profile_images/699984077877874688/aR2ovqId_normal.png" TargetMode="External"/><Relationship Id="rId8802" Type="http://schemas.openxmlformats.org/officeDocument/2006/relationships/hyperlink" Target="https://twitter.com/NowLivecodingtv" TargetMode="External"/><Relationship Id="rId8801" Type="http://schemas.openxmlformats.org/officeDocument/2006/relationships/hyperlink" Target="https://pbs.twimg.com/profile_images/699984077877874688/aR2ovqId_normal.png" TargetMode="External"/><Relationship Id="rId8800" Type="http://schemas.openxmlformats.org/officeDocument/2006/relationships/hyperlink" Target="https://twitter.com/NowLivecodingtv/status/703250214744940544" TargetMode="External"/><Relationship Id="rId8828" Type="http://schemas.openxmlformats.org/officeDocument/2006/relationships/hyperlink" Target="https://pbs.twimg.com/profile_images/699984077877874688/aR2ovqId_normal.png" TargetMode="External"/><Relationship Id="rId8827" Type="http://schemas.openxmlformats.org/officeDocument/2006/relationships/hyperlink" Target="https://twitter.com/NowLivecodingtv/status/703250283263086592" TargetMode="External"/><Relationship Id="rId8826" Type="http://schemas.openxmlformats.org/officeDocument/2006/relationships/hyperlink" Target="https://twitter.com/NowLivecodingtv" TargetMode="External"/><Relationship Id="rId8825" Type="http://schemas.openxmlformats.org/officeDocument/2006/relationships/hyperlink" Target="https://pbs.twimg.com/profile_images/699984077877874688/aR2ovqId_normal.png" TargetMode="External"/><Relationship Id="rId8829" Type="http://schemas.openxmlformats.org/officeDocument/2006/relationships/hyperlink" Target="https://twitter.com/NowLivecodingtv" TargetMode="External"/><Relationship Id="rId8820" Type="http://schemas.openxmlformats.org/officeDocument/2006/relationships/hyperlink" Target="https://twitter.com/NowLivecodingtv" TargetMode="External"/><Relationship Id="rId8824" Type="http://schemas.openxmlformats.org/officeDocument/2006/relationships/hyperlink" Target="https://twitter.com/NowLivecodingtv/status/703250281795026948" TargetMode="External"/><Relationship Id="rId8823" Type="http://schemas.openxmlformats.org/officeDocument/2006/relationships/hyperlink" Target="https://twitter.com/NowLivecodingtv" TargetMode="External"/><Relationship Id="rId8822" Type="http://schemas.openxmlformats.org/officeDocument/2006/relationships/hyperlink" Target="https://pbs.twimg.com/profile_images/699984077877874688/aR2ovqId_normal.png" TargetMode="External"/><Relationship Id="rId8821" Type="http://schemas.openxmlformats.org/officeDocument/2006/relationships/hyperlink" Target="https://twitter.com/NowLivecodingtv/status/703250277122580482" TargetMode="External"/><Relationship Id="rId8817" Type="http://schemas.openxmlformats.org/officeDocument/2006/relationships/hyperlink" Target="https://twitter.com/NowLivecodingtv" TargetMode="External"/><Relationship Id="rId8816" Type="http://schemas.openxmlformats.org/officeDocument/2006/relationships/hyperlink" Target="https://pbs.twimg.com/profile_images/699984077877874688/aR2ovqId_normal.png" TargetMode="External"/><Relationship Id="rId8815" Type="http://schemas.openxmlformats.org/officeDocument/2006/relationships/hyperlink" Target="https://twitter.com/NowLivecodingtv/status/703250259472941056" TargetMode="External"/><Relationship Id="rId8814" Type="http://schemas.openxmlformats.org/officeDocument/2006/relationships/hyperlink" Target="https://twitter.com/NowLivecodingtv" TargetMode="External"/><Relationship Id="rId8819" Type="http://schemas.openxmlformats.org/officeDocument/2006/relationships/hyperlink" Target="https://pbs.twimg.com/profile_images/699984077877874688/aR2ovqId_normal.png" TargetMode="External"/><Relationship Id="rId8818" Type="http://schemas.openxmlformats.org/officeDocument/2006/relationships/hyperlink" Target="https://twitter.com/NowLivecodingtv/status/703250263721775104" TargetMode="External"/><Relationship Id="rId8813" Type="http://schemas.openxmlformats.org/officeDocument/2006/relationships/hyperlink" Target="https://pbs.twimg.com/profile_images/699984077877874688/aR2ovqId_normal.png" TargetMode="External"/><Relationship Id="rId8812" Type="http://schemas.openxmlformats.org/officeDocument/2006/relationships/hyperlink" Target="https://twitter.com/NowLivecodingtv/status/703250246093164544" TargetMode="External"/><Relationship Id="rId8811" Type="http://schemas.openxmlformats.org/officeDocument/2006/relationships/hyperlink" Target="https://twitter.com/NowLivecodingtv" TargetMode="External"/><Relationship Id="rId8810" Type="http://schemas.openxmlformats.org/officeDocument/2006/relationships/hyperlink" Target="https://pbs.twimg.com/profile_images/699984077877874688/aR2ovqId_normal.png" TargetMode="External"/><Relationship Id="rId1378" Type="http://schemas.openxmlformats.org/officeDocument/2006/relationships/hyperlink" Target="https://twitter.com/mikeonline/status/702866760978927616" TargetMode="External"/><Relationship Id="rId1379" Type="http://schemas.openxmlformats.org/officeDocument/2006/relationships/hyperlink" Target="https://pbs.twimg.com/profile_images/669268886290739200/_vmD-0jz_normal.jpg" TargetMode="External"/><Relationship Id="rId789" Type="http://schemas.openxmlformats.org/officeDocument/2006/relationships/hyperlink" Target="https://twitter.com/darkelda" TargetMode="External"/><Relationship Id="rId788" Type="http://schemas.openxmlformats.org/officeDocument/2006/relationships/hyperlink" Target="https://pbs.twimg.com/profile_images/419929535061049345/2HPdfrWr_normal.jpeg" TargetMode="External"/><Relationship Id="rId787" Type="http://schemas.openxmlformats.org/officeDocument/2006/relationships/hyperlink" Target="https://twitter.com/EltonStoneman/status/702832959460614145" TargetMode="External"/><Relationship Id="rId786" Type="http://schemas.openxmlformats.org/officeDocument/2006/relationships/hyperlink" Target="https://twitter.com/EltonStoneman" TargetMode="External"/><Relationship Id="rId781" Type="http://schemas.openxmlformats.org/officeDocument/2006/relationships/hyperlink" Target="https://pbs.twimg.com/profile_images/658853009745661954/cvS5RAPM_normal.jpg" TargetMode="External"/><Relationship Id="rId1370" Type="http://schemas.openxmlformats.org/officeDocument/2006/relationships/hyperlink" Target="https://pbs.twimg.com/profile_images/684559825360011264/4TRAUk_E_normal.jpg" TargetMode="External"/><Relationship Id="rId780" Type="http://schemas.openxmlformats.org/officeDocument/2006/relationships/hyperlink" Target="https://twitter.com/eloisequennevil/status/702832646494228480" TargetMode="External"/><Relationship Id="rId1371" Type="http://schemas.openxmlformats.org/officeDocument/2006/relationships/hyperlink" Target="https://twitter.com/valdesjo77" TargetMode="External"/><Relationship Id="rId1372" Type="http://schemas.openxmlformats.org/officeDocument/2006/relationships/hyperlink" Target="https://twitter.com/valdesjo77/status/702866589889257472" TargetMode="External"/><Relationship Id="rId1373" Type="http://schemas.openxmlformats.org/officeDocument/2006/relationships/hyperlink" Target="https://pbs.twimg.com/profile_images/2922359031/c47d44760a8c30cda9fd982a6a53db55_normal.jpeg" TargetMode="External"/><Relationship Id="rId785" Type="http://schemas.openxmlformats.org/officeDocument/2006/relationships/hyperlink" Target="https://pbs.twimg.com/profile_images/378800000386667255/1ad0c995dc9f694579d374948e6d9923_normal.jpeg" TargetMode="External"/><Relationship Id="rId1374" Type="http://schemas.openxmlformats.org/officeDocument/2006/relationships/hyperlink" Target="https://twitter.com/ArthurZ" TargetMode="External"/><Relationship Id="rId784" Type="http://schemas.openxmlformats.org/officeDocument/2006/relationships/hyperlink" Target="http://Paper.li" TargetMode="External"/><Relationship Id="rId1375" Type="http://schemas.openxmlformats.org/officeDocument/2006/relationships/hyperlink" Target="https://twitter.com/ArthurZ/status/702866624857153536" TargetMode="External"/><Relationship Id="rId783" Type="http://schemas.openxmlformats.org/officeDocument/2006/relationships/hyperlink" Target="https://twitter.com/DeepInTheCode/status/702832926044590080" TargetMode="External"/><Relationship Id="rId1376" Type="http://schemas.openxmlformats.org/officeDocument/2006/relationships/hyperlink" Target="https://pbs.twimg.com/profile_images/1595371391/1b1e8df2-0655-4575-a582-da912d083f7b_normal.png" TargetMode="External"/><Relationship Id="rId782" Type="http://schemas.openxmlformats.org/officeDocument/2006/relationships/hyperlink" Target="https://twitter.com/DeepInTheCode" TargetMode="External"/><Relationship Id="rId1377" Type="http://schemas.openxmlformats.org/officeDocument/2006/relationships/hyperlink" Target="https://twitter.com/mikeonline" TargetMode="External"/><Relationship Id="rId1367" Type="http://schemas.openxmlformats.org/officeDocument/2006/relationships/hyperlink" Target="https://pbs.twimg.com/profile_images/676845648029749248/Kh96fA5A_normal.png" TargetMode="External"/><Relationship Id="rId2698" Type="http://schemas.openxmlformats.org/officeDocument/2006/relationships/hyperlink" Target="http://dlvr.it" TargetMode="External"/><Relationship Id="rId1368" Type="http://schemas.openxmlformats.org/officeDocument/2006/relationships/hyperlink" Target="https://twitter.com/amanda_wrigley" TargetMode="External"/><Relationship Id="rId2699" Type="http://schemas.openxmlformats.org/officeDocument/2006/relationships/hyperlink" Target="https://pbs.twimg.com/profile_images/2813636657/599521f69e2bc210a57323b64d8e39e6_normal.jpeg" TargetMode="External"/><Relationship Id="rId1369" Type="http://schemas.openxmlformats.org/officeDocument/2006/relationships/hyperlink" Target="https://twitter.com/amanda_wrigley/status/702866508045815808" TargetMode="External"/><Relationship Id="rId778" Type="http://schemas.openxmlformats.org/officeDocument/2006/relationships/hyperlink" Target="https://abs.twimg.com/sticky/default_profile_images/default_profile_1_normal.png" TargetMode="External"/><Relationship Id="rId777" Type="http://schemas.openxmlformats.org/officeDocument/2006/relationships/hyperlink" Target="https://twitter.com/manilakashyapp1/status/702832335914336256" TargetMode="External"/><Relationship Id="rId776" Type="http://schemas.openxmlformats.org/officeDocument/2006/relationships/hyperlink" Target="https://twitter.com/manilakashyapp1" TargetMode="External"/><Relationship Id="rId775" Type="http://schemas.openxmlformats.org/officeDocument/2006/relationships/hyperlink" Target="https://pbs.twimg.com/profile_images/686674727818104834/KyKOnEwN_normal.jpg" TargetMode="External"/><Relationship Id="rId779" Type="http://schemas.openxmlformats.org/officeDocument/2006/relationships/hyperlink" Target="https://twitter.com/eloisequennevil" TargetMode="External"/><Relationship Id="rId770" Type="http://schemas.openxmlformats.org/officeDocument/2006/relationships/hyperlink" Target="https://twitter.com/manilakashyapp1" TargetMode="External"/><Relationship Id="rId2690" Type="http://schemas.openxmlformats.org/officeDocument/2006/relationships/hyperlink" Target="http://dlvr.it" TargetMode="External"/><Relationship Id="rId1360" Type="http://schemas.openxmlformats.org/officeDocument/2006/relationships/hyperlink" Target="https://twitter.com/cocoacoda/status/702865878350749697" TargetMode="External"/><Relationship Id="rId2691" Type="http://schemas.openxmlformats.org/officeDocument/2006/relationships/hyperlink" Target="https://pbs.twimg.com/profile_images/2813636657/599521f69e2bc210a57323b64d8e39e6_normal.jpeg" TargetMode="External"/><Relationship Id="rId1361" Type="http://schemas.openxmlformats.org/officeDocument/2006/relationships/hyperlink" Target="https://pbs.twimg.com/profile_images/452064440687423488/nbwrKTwP_normal.jpeg" TargetMode="External"/><Relationship Id="rId2692" Type="http://schemas.openxmlformats.org/officeDocument/2006/relationships/hyperlink" Target="https://twitter.com/artwisanggeni" TargetMode="External"/><Relationship Id="rId1362" Type="http://schemas.openxmlformats.org/officeDocument/2006/relationships/hyperlink" Target="https://twitter.com/GaelleTjat" TargetMode="External"/><Relationship Id="rId2693" Type="http://schemas.openxmlformats.org/officeDocument/2006/relationships/hyperlink" Target="https://twitter.com/artwisanggeni/status/702922307866480640" TargetMode="External"/><Relationship Id="rId774" Type="http://schemas.openxmlformats.org/officeDocument/2006/relationships/hyperlink" Target="https://twitter.com/BAUDEELODIE/status/702832276661530628" TargetMode="External"/><Relationship Id="rId1363" Type="http://schemas.openxmlformats.org/officeDocument/2006/relationships/hyperlink" Target="https://twitter.com/GaelleTjat/status/702865939600154625" TargetMode="External"/><Relationship Id="rId2694" Type="http://schemas.openxmlformats.org/officeDocument/2006/relationships/hyperlink" Target="http://dlvr.it" TargetMode="External"/><Relationship Id="rId773" Type="http://schemas.openxmlformats.org/officeDocument/2006/relationships/hyperlink" Target="https://twitter.com/BAUDEELODIE" TargetMode="External"/><Relationship Id="rId1364" Type="http://schemas.openxmlformats.org/officeDocument/2006/relationships/hyperlink" Target="https://pbs.twimg.com/profile_images/676607760411336705/hmSj7P1M_normal.jpg" TargetMode="External"/><Relationship Id="rId2695" Type="http://schemas.openxmlformats.org/officeDocument/2006/relationships/hyperlink" Target="https://pbs.twimg.com/profile_images/2813636657/599521f69e2bc210a57323b64d8e39e6_normal.jpeg" TargetMode="External"/><Relationship Id="rId772" Type="http://schemas.openxmlformats.org/officeDocument/2006/relationships/hyperlink" Target="https://abs.twimg.com/sticky/default_profile_images/default_profile_1_normal.png" TargetMode="External"/><Relationship Id="rId1365" Type="http://schemas.openxmlformats.org/officeDocument/2006/relationships/hyperlink" Target="https://twitter.com/Evindj" TargetMode="External"/><Relationship Id="rId2696" Type="http://schemas.openxmlformats.org/officeDocument/2006/relationships/hyperlink" Target="https://twitter.com/artwisanggeni" TargetMode="External"/><Relationship Id="rId771" Type="http://schemas.openxmlformats.org/officeDocument/2006/relationships/hyperlink" Target="https://twitter.com/manilakashyapp1/status/702832254582546434" TargetMode="External"/><Relationship Id="rId1366" Type="http://schemas.openxmlformats.org/officeDocument/2006/relationships/hyperlink" Target="https://twitter.com/Evindj/status/702866452555112448" TargetMode="External"/><Relationship Id="rId2697" Type="http://schemas.openxmlformats.org/officeDocument/2006/relationships/hyperlink" Target="https://twitter.com/artwisanggeni/status/702922310563442688" TargetMode="External"/><Relationship Id="rId1390" Type="http://schemas.openxmlformats.org/officeDocument/2006/relationships/hyperlink" Target="https://twitter.com/SadnessTheory/status/702867458223423488" TargetMode="External"/><Relationship Id="rId1391" Type="http://schemas.openxmlformats.org/officeDocument/2006/relationships/hyperlink" Target="https://pbs.twimg.com/profile_images/488994393945153537/VpVLs8hi_normal.jpeg" TargetMode="External"/><Relationship Id="rId1392" Type="http://schemas.openxmlformats.org/officeDocument/2006/relationships/hyperlink" Target="https://twitter.com/ryan_sb" TargetMode="External"/><Relationship Id="rId1393" Type="http://schemas.openxmlformats.org/officeDocument/2006/relationships/hyperlink" Target="https://twitter.com/ryan_sb/status/702867526724747264" TargetMode="External"/><Relationship Id="rId1394" Type="http://schemas.openxmlformats.org/officeDocument/2006/relationships/hyperlink" Target="https://pbs.twimg.com/profile_images/3536132938/c49cd8aa1da44366435b56fa5c83675c_normal.jpeg" TargetMode="External"/><Relationship Id="rId1395" Type="http://schemas.openxmlformats.org/officeDocument/2006/relationships/hyperlink" Target="https://twitter.com/michaelsjoberg" TargetMode="External"/><Relationship Id="rId1396" Type="http://schemas.openxmlformats.org/officeDocument/2006/relationships/hyperlink" Target="https://twitter.com/michaelsjoberg/status/702867554839216128" TargetMode="External"/><Relationship Id="rId1397" Type="http://schemas.openxmlformats.org/officeDocument/2006/relationships/hyperlink" Target="https://pbs.twimg.com/profile_images/669285667424333824/VdSyIQUx_normal.jpg" TargetMode="External"/><Relationship Id="rId1398" Type="http://schemas.openxmlformats.org/officeDocument/2006/relationships/hyperlink" Target="https://twitter.com/anuragranj" TargetMode="External"/><Relationship Id="rId1399" Type="http://schemas.openxmlformats.org/officeDocument/2006/relationships/hyperlink" Target="https://twitter.com/anuragranj/status/702867581342982144" TargetMode="External"/><Relationship Id="rId1389" Type="http://schemas.openxmlformats.org/officeDocument/2006/relationships/hyperlink" Target="https://twitter.com/SadnessTheory" TargetMode="External"/><Relationship Id="rId799" Type="http://schemas.openxmlformats.org/officeDocument/2006/relationships/hyperlink" Target="https://twitter.com/pyletter/status/702833825303412737" TargetMode="External"/><Relationship Id="rId798" Type="http://schemas.openxmlformats.org/officeDocument/2006/relationships/hyperlink" Target="https://twitter.com/pyletter" TargetMode="External"/><Relationship Id="rId797" Type="http://schemas.openxmlformats.org/officeDocument/2006/relationships/hyperlink" Target="https://pbs.twimg.com/profile_images/655477101538185216/Bdt3XM3m_normal.jpg" TargetMode="External"/><Relationship Id="rId1380" Type="http://schemas.openxmlformats.org/officeDocument/2006/relationships/hyperlink" Target="https://twitter.com/googletricks19" TargetMode="External"/><Relationship Id="rId792" Type="http://schemas.openxmlformats.org/officeDocument/2006/relationships/hyperlink" Target="https://twitter.com/BAUDEParis" TargetMode="External"/><Relationship Id="rId1381" Type="http://schemas.openxmlformats.org/officeDocument/2006/relationships/hyperlink" Target="https://twitter.com/googletricks19/status/702867155138772993" TargetMode="External"/><Relationship Id="rId791" Type="http://schemas.openxmlformats.org/officeDocument/2006/relationships/hyperlink" Target="https://pbs.twimg.com/profile_images/378800000395732848/280c978f05a649ed1dc8376db6a37a8a_normal.png" TargetMode="External"/><Relationship Id="rId1382" Type="http://schemas.openxmlformats.org/officeDocument/2006/relationships/hyperlink" Target="https://pbs.twimg.com/profile_images/578098320159051776/fZw6-_AW_normal.png" TargetMode="External"/><Relationship Id="rId790" Type="http://schemas.openxmlformats.org/officeDocument/2006/relationships/hyperlink" Target="https://twitter.com/darkelda/status/702833035042033665" TargetMode="External"/><Relationship Id="rId1383" Type="http://schemas.openxmlformats.org/officeDocument/2006/relationships/hyperlink" Target="https://twitter.com/cesarnogCPS" TargetMode="External"/><Relationship Id="rId1384" Type="http://schemas.openxmlformats.org/officeDocument/2006/relationships/hyperlink" Target="https://twitter.com/cesarnogCPS/status/702867400048435200" TargetMode="External"/><Relationship Id="rId796" Type="http://schemas.openxmlformats.org/officeDocument/2006/relationships/hyperlink" Target="https://twitter.com/BAUDEParis/status/702833277028147200" TargetMode="External"/><Relationship Id="rId1385" Type="http://schemas.openxmlformats.org/officeDocument/2006/relationships/hyperlink" Target="https://pbs.twimg.com/profile_images/682455128805359617/r4Be4Yll_normal.jpg" TargetMode="External"/><Relationship Id="rId795" Type="http://schemas.openxmlformats.org/officeDocument/2006/relationships/hyperlink" Target="https://twitter.com/BAUDEParis" TargetMode="External"/><Relationship Id="rId1386" Type="http://schemas.openxmlformats.org/officeDocument/2006/relationships/hyperlink" Target="https://twitter.com/Angael_Ubiker" TargetMode="External"/><Relationship Id="rId794" Type="http://schemas.openxmlformats.org/officeDocument/2006/relationships/hyperlink" Target="https://pbs.twimg.com/profile_images/655477101538185216/Bdt3XM3m_normal.jpg" TargetMode="External"/><Relationship Id="rId1387" Type="http://schemas.openxmlformats.org/officeDocument/2006/relationships/hyperlink" Target="https://twitter.com/Angael_Ubiker/status/702867451428675584" TargetMode="External"/><Relationship Id="rId793" Type="http://schemas.openxmlformats.org/officeDocument/2006/relationships/hyperlink" Target="https://twitter.com/BAUDEParis/status/702833240562933760" TargetMode="External"/><Relationship Id="rId1388" Type="http://schemas.openxmlformats.org/officeDocument/2006/relationships/hyperlink" Target="https://pbs.twimg.com/profile_images/685699849682038785/t6loQPjC_normal.jpg" TargetMode="External"/><Relationship Id="rId6229" Type="http://schemas.openxmlformats.org/officeDocument/2006/relationships/hyperlink" Target="https://twitter.com/jeanepaul" TargetMode="External"/><Relationship Id="rId7551" Type="http://schemas.openxmlformats.org/officeDocument/2006/relationships/hyperlink" Target="https://pbs.twimg.com/profile_images/3666257655/51434580187368bcd75e9d519596fcb6_normal.jpeg" TargetMode="External"/><Relationship Id="rId8882" Type="http://schemas.openxmlformats.org/officeDocument/2006/relationships/hyperlink" Target="https://pbs.twimg.com/profile_images/456490947287605248/4oklmBWe_normal.png" TargetMode="External"/><Relationship Id="rId6220" Type="http://schemas.openxmlformats.org/officeDocument/2006/relationships/hyperlink" Target="https://twitter.com/QuantInsti/status/703107255432929280" TargetMode="External"/><Relationship Id="rId7550" Type="http://schemas.openxmlformats.org/officeDocument/2006/relationships/hyperlink" Target="https://twitter.com/DCKY86/status/703194703035023360" TargetMode="External"/><Relationship Id="rId8881" Type="http://schemas.openxmlformats.org/officeDocument/2006/relationships/hyperlink" Target="https://twitter.com/pythontrending/status/703251269318778881" TargetMode="External"/><Relationship Id="rId8880" Type="http://schemas.openxmlformats.org/officeDocument/2006/relationships/hyperlink" Target="https://twitter.com/pythontrending" TargetMode="External"/><Relationship Id="rId6223" Type="http://schemas.openxmlformats.org/officeDocument/2006/relationships/hyperlink" Target="https://twitter.com/stefan495_495/status/703107665711345664" TargetMode="External"/><Relationship Id="rId7555" Type="http://schemas.openxmlformats.org/officeDocument/2006/relationships/hyperlink" Target="https://twitter.com/3baal" TargetMode="External"/><Relationship Id="rId8886" Type="http://schemas.openxmlformats.org/officeDocument/2006/relationships/hyperlink" Target="https://twitter.com/pydigest" TargetMode="External"/><Relationship Id="rId6224" Type="http://schemas.openxmlformats.org/officeDocument/2006/relationships/hyperlink" Target="https://pbs.twimg.com/profile_images/441276703076515840/7v-i8ezh_normal.jpeg" TargetMode="External"/><Relationship Id="rId7554" Type="http://schemas.openxmlformats.org/officeDocument/2006/relationships/hyperlink" Target="https://pbs.twimg.com/profile_images/668034827661234177/AN0gwMA6_normal.jpg" TargetMode="External"/><Relationship Id="rId8885" Type="http://schemas.openxmlformats.org/officeDocument/2006/relationships/hyperlink" Target="https://pbs.twimg.com/profile_images/681686406637469696/oVWxgoQ9_normal.png" TargetMode="External"/><Relationship Id="rId6221" Type="http://schemas.openxmlformats.org/officeDocument/2006/relationships/hyperlink" Target="https://pbs.twimg.com/profile_images/3272414315/6100aa5e267d6fc1e2e67b0782d34134_normal.jpeg" TargetMode="External"/><Relationship Id="rId7553" Type="http://schemas.openxmlformats.org/officeDocument/2006/relationships/hyperlink" Target="https://twitter.com/MurrayData/status/703195206636556289" TargetMode="External"/><Relationship Id="rId8884" Type="http://schemas.openxmlformats.org/officeDocument/2006/relationships/hyperlink" Target="https://twitter.com/inboundli_tech/status/703251428060614656" TargetMode="External"/><Relationship Id="rId6222" Type="http://schemas.openxmlformats.org/officeDocument/2006/relationships/hyperlink" Target="https://twitter.com/stefan495_495" TargetMode="External"/><Relationship Id="rId7552" Type="http://schemas.openxmlformats.org/officeDocument/2006/relationships/hyperlink" Target="https://twitter.com/MurrayData" TargetMode="External"/><Relationship Id="rId8883" Type="http://schemas.openxmlformats.org/officeDocument/2006/relationships/hyperlink" Target="https://twitter.com/inboundli_tech" TargetMode="External"/><Relationship Id="rId6227" Type="http://schemas.openxmlformats.org/officeDocument/2006/relationships/hyperlink" Target="http://Scoop.it" TargetMode="External"/><Relationship Id="rId7559" Type="http://schemas.openxmlformats.org/officeDocument/2006/relationships/hyperlink" Target="https://twitter.com/DeepInTheCode/status/703195311993389056" TargetMode="External"/><Relationship Id="rId6228" Type="http://schemas.openxmlformats.org/officeDocument/2006/relationships/hyperlink" Target="https://pbs.twimg.com/profile_images/378800000124779041/fbbb494a7eef5f9278c6967b6072ca3e_normal.png" TargetMode="External"/><Relationship Id="rId7558" Type="http://schemas.openxmlformats.org/officeDocument/2006/relationships/hyperlink" Target="https://twitter.com/DeepInTheCode" TargetMode="External"/><Relationship Id="rId8889" Type="http://schemas.openxmlformats.org/officeDocument/2006/relationships/hyperlink" Target="https://twitter.com/cathy_litch" TargetMode="External"/><Relationship Id="rId6225" Type="http://schemas.openxmlformats.org/officeDocument/2006/relationships/hyperlink" Target="https://twitter.com/docker" TargetMode="External"/><Relationship Id="rId7557" Type="http://schemas.openxmlformats.org/officeDocument/2006/relationships/hyperlink" Target="https://pbs.twimg.com/profile_images/3510834636/83ecb7b11173e893ec7025b26bad18df_normal.jpeg" TargetMode="External"/><Relationship Id="rId8888" Type="http://schemas.openxmlformats.org/officeDocument/2006/relationships/hyperlink" Target="https://pbs.twimg.com/profile_images/475228702922387457/6gYeuqxD_normal.jpeg" TargetMode="External"/><Relationship Id="rId6226" Type="http://schemas.openxmlformats.org/officeDocument/2006/relationships/hyperlink" Target="https://twitter.com/docker/status/703108675078983680" TargetMode="External"/><Relationship Id="rId7556" Type="http://schemas.openxmlformats.org/officeDocument/2006/relationships/hyperlink" Target="https://twitter.com/3baal/status/703195252308500480" TargetMode="External"/><Relationship Id="rId8887" Type="http://schemas.openxmlformats.org/officeDocument/2006/relationships/hyperlink" Target="https://twitter.com/pydigest/status/703251456045010944" TargetMode="External"/><Relationship Id="rId6218" Type="http://schemas.openxmlformats.org/officeDocument/2006/relationships/hyperlink" Target="https://pbs.twimg.com/profile_images/632975019719700480/gbaojWe-_normal.jpg" TargetMode="External"/><Relationship Id="rId6219" Type="http://schemas.openxmlformats.org/officeDocument/2006/relationships/hyperlink" Target="https://twitter.com/QuantInsti" TargetMode="External"/><Relationship Id="rId7549" Type="http://schemas.openxmlformats.org/officeDocument/2006/relationships/hyperlink" Target="https://twitter.com/DCKY86" TargetMode="External"/><Relationship Id="rId7540" Type="http://schemas.openxmlformats.org/officeDocument/2006/relationships/hyperlink" Target="https://twitter.com/RashmiRnSethy" TargetMode="External"/><Relationship Id="rId8871" Type="http://schemas.openxmlformats.org/officeDocument/2006/relationships/hyperlink" Target="https://twitter.com/Aspekt_32" TargetMode="External"/><Relationship Id="rId8870" Type="http://schemas.openxmlformats.org/officeDocument/2006/relationships/hyperlink" Target="https://pbs.twimg.com/profile_images/2813636657/599521f69e2bc210a57323b64d8e39e6_normal.jpeg" TargetMode="External"/><Relationship Id="rId6212" Type="http://schemas.openxmlformats.org/officeDocument/2006/relationships/hyperlink" Target="https://pbs.twimg.com/profile_images/698771560216334336/Ox02yB5e_normal.jpg" TargetMode="External"/><Relationship Id="rId7544" Type="http://schemas.openxmlformats.org/officeDocument/2006/relationships/hyperlink" Target="https://twitter.com/Pvalsfr/status/703194573774827520" TargetMode="External"/><Relationship Id="rId8875" Type="http://schemas.openxmlformats.org/officeDocument/2006/relationships/hyperlink" Target="https://twitter.com/taxamo/status/703250682099298304" TargetMode="External"/><Relationship Id="rId6213" Type="http://schemas.openxmlformats.org/officeDocument/2006/relationships/hyperlink" Target="https://twitter.com/n1tr0_Sec" TargetMode="External"/><Relationship Id="rId7543" Type="http://schemas.openxmlformats.org/officeDocument/2006/relationships/hyperlink" Target="https://twitter.com/Pvalsfr" TargetMode="External"/><Relationship Id="rId8874" Type="http://schemas.openxmlformats.org/officeDocument/2006/relationships/hyperlink" Target="https://twitter.com/taxamo" TargetMode="External"/><Relationship Id="rId6210" Type="http://schemas.openxmlformats.org/officeDocument/2006/relationships/hyperlink" Target="https://twitter.com/n1tr0_Sec" TargetMode="External"/><Relationship Id="rId7542" Type="http://schemas.openxmlformats.org/officeDocument/2006/relationships/hyperlink" Target="https://pbs.twimg.com/profile_images/507769924001878016/UsRwSg_A_normal.jpeg" TargetMode="External"/><Relationship Id="rId8873" Type="http://schemas.openxmlformats.org/officeDocument/2006/relationships/hyperlink" Target="https://pbs.twimg.com/profile_images/702457719542906880/uUHUo7rC_normal.jpg" TargetMode="External"/><Relationship Id="rId6211" Type="http://schemas.openxmlformats.org/officeDocument/2006/relationships/hyperlink" Target="https://twitter.com/n1tr0_Sec/status/703105766094278660" TargetMode="External"/><Relationship Id="rId7541" Type="http://schemas.openxmlformats.org/officeDocument/2006/relationships/hyperlink" Target="https://twitter.com/RashmiRnSethy/status/703194144391327744" TargetMode="External"/><Relationship Id="rId8872" Type="http://schemas.openxmlformats.org/officeDocument/2006/relationships/hyperlink" Target="https://twitter.com/Aspekt_32/status/703250516873236480" TargetMode="External"/><Relationship Id="rId6216" Type="http://schemas.openxmlformats.org/officeDocument/2006/relationships/hyperlink" Target="https://twitter.com/JuliaLiebtAnja" TargetMode="External"/><Relationship Id="rId7548" Type="http://schemas.openxmlformats.org/officeDocument/2006/relationships/hyperlink" Target="https://pbs.twimg.com/profile_images/662602436222193664/qKuvsfnG_normal.jpg" TargetMode="External"/><Relationship Id="rId8879" Type="http://schemas.openxmlformats.org/officeDocument/2006/relationships/hyperlink" Target="https://pbs.twimg.com/profile_images/2774725861/a1a02b0916a6e6022befe876229dd0e2_normal.jpeg" TargetMode="External"/><Relationship Id="rId6217" Type="http://schemas.openxmlformats.org/officeDocument/2006/relationships/hyperlink" Target="https://twitter.com/JuliaLiebtAnja/status/703106409123041280" TargetMode="External"/><Relationship Id="rId7547" Type="http://schemas.openxmlformats.org/officeDocument/2006/relationships/hyperlink" Target="https://twitter.com/programmingncr/status/703194675247783936" TargetMode="External"/><Relationship Id="rId8878" Type="http://schemas.openxmlformats.org/officeDocument/2006/relationships/hyperlink" Target="https://twitter.com/WorthingWeb/status/703250732313612288" TargetMode="External"/><Relationship Id="rId6214" Type="http://schemas.openxmlformats.org/officeDocument/2006/relationships/hyperlink" Target="https://twitter.com/n1tr0_Sec/status/703105788517052418" TargetMode="External"/><Relationship Id="rId7546" Type="http://schemas.openxmlformats.org/officeDocument/2006/relationships/hyperlink" Target="https://twitter.com/programmingncr" TargetMode="External"/><Relationship Id="rId8877" Type="http://schemas.openxmlformats.org/officeDocument/2006/relationships/hyperlink" Target="https://twitter.com/WorthingWeb" TargetMode="External"/><Relationship Id="rId6215" Type="http://schemas.openxmlformats.org/officeDocument/2006/relationships/hyperlink" Target="https://pbs.twimg.com/profile_images/698771560216334336/Ox02yB5e_normal.jpg" TargetMode="External"/><Relationship Id="rId7545" Type="http://schemas.openxmlformats.org/officeDocument/2006/relationships/hyperlink" Target="https://abs.twimg.com/sticky/default_profile_images/default_profile_4_normal.png" TargetMode="External"/><Relationship Id="rId8876" Type="http://schemas.openxmlformats.org/officeDocument/2006/relationships/hyperlink" Target="https://pbs.twimg.com/profile_images/524425086883737600/YOAi4F6Y_normal.png" TargetMode="External"/><Relationship Id="rId6241" Type="http://schemas.openxmlformats.org/officeDocument/2006/relationships/hyperlink" Target="https://twitter.com/AlexAguilarMX" TargetMode="External"/><Relationship Id="rId7573" Type="http://schemas.openxmlformats.org/officeDocument/2006/relationships/hyperlink" Target="https://twitter.com/__pythonist__/status/703195964597792768" TargetMode="External"/><Relationship Id="rId6242" Type="http://schemas.openxmlformats.org/officeDocument/2006/relationships/hyperlink" Target="https://twitter.com/AlexAguilarMX/status/703109113320837120" TargetMode="External"/><Relationship Id="rId7572" Type="http://schemas.openxmlformats.org/officeDocument/2006/relationships/hyperlink" Target="https://twitter.com/__pythonist__" TargetMode="External"/><Relationship Id="rId7571" Type="http://schemas.openxmlformats.org/officeDocument/2006/relationships/hyperlink" Target="https://pbs.twimg.com/profile_images/597312558870167552/e9lRnUdB_normal.png" TargetMode="External"/><Relationship Id="rId6240" Type="http://schemas.openxmlformats.org/officeDocument/2006/relationships/hyperlink" Target="https://pbs.twimg.com/profile_images/688991259508125696/eFGhWuc-_normal.png" TargetMode="External"/><Relationship Id="rId7570" Type="http://schemas.openxmlformats.org/officeDocument/2006/relationships/hyperlink" Target="http://t.co/7IeP6gGFIb" TargetMode="External"/><Relationship Id="rId6245" Type="http://schemas.openxmlformats.org/officeDocument/2006/relationships/hyperlink" Target="https://twitter.com/ramojol/status/703109166118756355" TargetMode="External"/><Relationship Id="rId7577" Type="http://schemas.openxmlformats.org/officeDocument/2006/relationships/hyperlink" Target="https://pbs.twimg.com/profile_images/378800000832302106/6d27373ca42fc853aaabdf6d7d719f5f_normal.jpeg" TargetMode="External"/><Relationship Id="rId6246" Type="http://schemas.openxmlformats.org/officeDocument/2006/relationships/hyperlink" Target="https://pbs.twimg.com/profile_images/585424227030827008/8TNJ0ZUz_normal.jpg" TargetMode="External"/><Relationship Id="rId7576" Type="http://schemas.openxmlformats.org/officeDocument/2006/relationships/hyperlink" Target="https://twitter.com/EricSchles/status/703196049184313344" TargetMode="External"/><Relationship Id="rId6243" Type="http://schemas.openxmlformats.org/officeDocument/2006/relationships/hyperlink" Target="https://pbs.twimg.com/profile_images/691756851659149313/m6m50dvY_normal.jpg" TargetMode="External"/><Relationship Id="rId7575" Type="http://schemas.openxmlformats.org/officeDocument/2006/relationships/hyperlink" Target="https://twitter.com/EricSchles" TargetMode="External"/><Relationship Id="rId6244" Type="http://schemas.openxmlformats.org/officeDocument/2006/relationships/hyperlink" Target="https://twitter.com/ramojol" TargetMode="External"/><Relationship Id="rId7574" Type="http://schemas.openxmlformats.org/officeDocument/2006/relationships/hyperlink" Target="https://pbs.twimg.com/profile_images/671078379500658688/PDOMM_Xp_normal.jpg" TargetMode="External"/><Relationship Id="rId6249" Type="http://schemas.openxmlformats.org/officeDocument/2006/relationships/hyperlink" Target="https://pbs.twimg.com/profile_images/586394158463524864/4IFdYKza_normal.jpg" TargetMode="External"/><Relationship Id="rId6247" Type="http://schemas.openxmlformats.org/officeDocument/2006/relationships/hyperlink" Target="https://twitter.com/Kentaro5626" TargetMode="External"/><Relationship Id="rId7579" Type="http://schemas.openxmlformats.org/officeDocument/2006/relationships/hyperlink" Target="https://twitter.com/halfnibble/status/703196105467629568" TargetMode="External"/><Relationship Id="rId6248" Type="http://schemas.openxmlformats.org/officeDocument/2006/relationships/hyperlink" Target="https://twitter.com/Kentaro5626/status/703109178533896193" TargetMode="External"/><Relationship Id="rId7578" Type="http://schemas.openxmlformats.org/officeDocument/2006/relationships/hyperlink" Target="https://twitter.com/halfnibble" TargetMode="External"/><Relationship Id="rId6230" Type="http://schemas.openxmlformats.org/officeDocument/2006/relationships/hyperlink" Target="https://twitter.com/jeanepaul/status/703108677419405312" TargetMode="External"/><Relationship Id="rId7562" Type="http://schemas.openxmlformats.org/officeDocument/2006/relationships/hyperlink" Target="https://twitter.com/BigDataTweetBot" TargetMode="External"/><Relationship Id="rId8893" Type="http://schemas.openxmlformats.org/officeDocument/2006/relationships/hyperlink" Target="https://twitter.com/programmingncr/status/703251544741912576" TargetMode="External"/><Relationship Id="rId6231" Type="http://schemas.openxmlformats.org/officeDocument/2006/relationships/hyperlink" Target="https://pbs.twimg.com/profile_images/639619246385836032/Oio7tWx-_normal.jpg" TargetMode="External"/><Relationship Id="rId7561" Type="http://schemas.openxmlformats.org/officeDocument/2006/relationships/hyperlink" Target="https://pbs.twimg.com/profile_images/378800000386667255/1ad0c995dc9f694579d374948e6d9923_normal.jpeg" TargetMode="External"/><Relationship Id="rId8892" Type="http://schemas.openxmlformats.org/officeDocument/2006/relationships/hyperlink" Target="https://twitter.com/programmingncr" TargetMode="External"/><Relationship Id="rId7560" Type="http://schemas.openxmlformats.org/officeDocument/2006/relationships/hyperlink" Target="http://Paper.li" TargetMode="External"/><Relationship Id="rId8891" Type="http://schemas.openxmlformats.org/officeDocument/2006/relationships/hyperlink" Target="https://pbs.twimg.com/profile_images/3220656585/25a92a9cca48be99aa4eca26beb4d756_normal.jpeg" TargetMode="External"/><Relationship Id="rId8890" Type="http://schemas.openxmlformats.org/officeDocument/2006/relationships/hyperlink" Target="https://twitter.com/cathy_litch/status/703251541138886657" TargetMode="External"/><Relationship Id="rId6234" Type="http://schemas.openxmlformats.org/officeDocument/2006/relationships/hyperlink" Target="https://pbs.twimg.com/profile_images/701940703329284096/L4xW77o2_normal.jpg" TargetMode="External"/><Relationship Id="rId7566" Type="http://schemas.openxmlformats.org/officeDocument/2006/relationships/hyperlink" Target="https://twitter.com/EricSchles/status/703195851682942976" TargetMode="External"/><Relationship Id="rId8897" Type="http://schemas.openxmlformats.org/officeDocument/2006/relationships/hyperlink" Target="https://pbs.twimg.com/profile_images/621693027304779776/OKPaVvyo_normal.jpg" TargetMode="External"/><Relationship Id="rId6235" Type="http://schemas.openxmlformats.org/officeDocument/2006/relationships/hyperlink" Target="https://twitter.com/jmatienzariera" TargetMode="External"/><Relationship Id="rId7565" Type="http://schemas.openxmlformats.org/officeDocument/2006/relationships/hyperlink" Target="https://twitter.com/EricSchles" TargetMode="External"/><Relationship Id="rId8896" Type="http://schemas.openxmlformats.org/officeDocument/2006/relationships/hyperlink" Target="https://twitter.com/api_bigdata/status/703251576358608896" TargetMode="External"/><Relationship Id="rId6232" Type="http://schemas.openxmlformats.org/officeDocument/2006/relationships/hyperlink" Target="https://twitter.com/jamal_moir" TargetMode="External"/><Relationship Id="rId7564" Type="http://schemas.openxmlformats.org/officeDocument/2006/relationships/hyperlink" Target="https://pbs.twimg.com/profile_images/616793252524650496/bQbxJqmz_normal.jpg" TargetMode="External"/><Relationship Id="rId8895" Type="http://schemas.openxmlformats.org/officeDocument/2006/relationships/hyperlink" Target="https://twitter.com/api_bigdata" TargetMode="External"/><Relationship Id="rId6233" Type="http://schemas.openxmlformats.org/officeDocument/2006/relationships/hyperlink" Target="https://twitter.com/jamal_moir/status/703108844159791104" TargetMode="External"/><Relationship Id="rId7563" Type="http://schemas.openxmlformats.org/officeDocument/2006/relationships/hyperlink" Target="https://twitter.com/BigDataTweetBot/status/703195396181508096" TargetMode="External"/><Relationship Id="rId8894" Type="http://schemas.openxmlformats.org/officeDocument/2006/relationships/hyperlink" Target="https://pbs.twimg.com/profile_images/662602436222193664/qKuvsfnG_normal.jpg" TargetMode="External"/><Relationship Id="rId6238" Type="http://schemas.openxmlformats.org/officeDocument/2006/relationships/hyperlink" Target="https://twitter.com/gsacavdm" TargetMode="External"/><Relationship Id="rId6239" Type="http://schemas.openxmlformats.org/officeDocument/2006/relationships/hyperlink" Target="https://twitter.com/gsacavdm/status/703109091397234688" TargetMode="External"/><Relationship Id="rId7569" Type="http://schemas.openxmlformats.org/officeDocument/2006/relationships/hyperlink" Target="https://twitter.com/_kemar/status/703195895559393280" TargetMode="External"/><Relationship Id="rId6236" Type="http://schemas.openxmlformats.org/officeDocument/2006/relationships/hyperlink" Target="https://twitter.com/jmatienzariera/status/703108899352645633" TargetMode="External"/><Relationship Id="rId7568" Type="http://schemas.openxmlformats.org/officeDocument/2006/relationships/hyperlink" Target="https://twitter.com/_kemar" TargetMode="External"/><Relationship Id="rId8899" Type="http://schemas.openxmlformats.org/officeDocument/2006/relationships/hyperlink" Target="https://twitter.com/HartwigMicheal/status/703251669212139520" TargetMode="External"/><Relationship Id="rId6237" Type="http://schemas.openxmlformats.org/officeDocument/2006/relationships/hyperlink" Target="https://pbs.twimg.com/profile_images/378800000488922758/a6d4c6af5f06b1f066fe6a5f6e8bfd77_normal.jpeg" TargetMode="External"/><Relationship Id="rId7567" Type="http://schemas.openxmlformats.org/officeDocument/2006/relationships/hyperlink" Target="https://pbs.twimg.com/profile_images/378800000832302106/6d27373ca42fc853aaabdf6d7d719f5f_normal.jpeg" TargetMode="External"/><Relationship Id="rId8898" Type="http://schemas.openxmlformats.org/officeDocument/2006/relationships/hyperlink" Target="https://twitter.com/HartwigMicheal" TargetMode="External"/><Relationship Id="rId7519" Type="http://schemas.openxmlformats.org/officeDocument/2006/relationships/hyperlink" Target="http://dlvr.it" TargetMode="External"/><Relationship Id="rId7518" Type="http://schemas.openxmlformats.org/officeDocument/2006/relationships/hyperlink" Target="https://twitter.com/artwisanggeni/status/703192114625024005" TargetMode="External"/><Relationship Id="rId8849" Type="http://schemas.openxmlformats.org/officeDocument/2006/relationships/hyperlink" Target="http://dlvr.it" TargetMode="External"/><Relationship Id="rId7517" Type="http://schemas.openxmlformats.org/officeDocument/2006/relationships/hyperlink" Target="https://twitter.com/artwisanggeni" TargetMode="External"/><Relationship Id="rId8848" Type="http://schemas.openxmlformats.org/officeDocument/2006/relationships/hyperlink" Target="https://twitter.com/artwisanggeni/status/703250462594564096" TargetMode="External"/><Relationship Id="rId7516" Type="http://schemas.openxmlformats.org/officeDocument/2006/relationships/hyperlink" Target="https://pbs.twimg.com/profile_images/2813636657/599521f69e2bc210a57323b64d8e39e6_normal.jpeg" TargetMode="External"/><Relationship Id="rId8847" Type="http://schemas.openxmlformats.org/officeDocument/2006/relationships/hyperlink" Target="https://twitter.com/artwisanggeni" TargetMode="External"/><Relationship Id="rId7511" Type="http://schemas.openxmlformats.org/officeDocument/2006/relationships/hyperlink" Target="http://dlvr.it" TargetMode="External"/><Relationship Id="rId8842" Type="http://schemas.openxmlformats.org/officeDocument/2006/relationships/hyperlink" Target="https://pbs.twimg.com/profile_images/2813636657/599521f69e2bc210a57323b64d8e39e6_normal.jpeg" TargetMode="External"/><Relationship Id="rId7510" Type="http://schemas.openxmlformats.org/officeDocument/2006/relationships/hyperlink" Target="https://twitter.com/artwisanggeni/status/703192109822513152" TargetMode="External"/><Relationship Id="rId8841" Type="http://schemas.openxmlformats.org/officeDocument/2006/relationships/hyperlink" Target="http://dlvr.it" TargetMode="External"/><Relationship Id="rId8840" Type="http://schemas.openxmlformats.org/officeDocument/2006/relationships/hyperlink" Target="https://twitter.com/artwisanggeni/status/703250457443971073" TargetMode="External"/><Relationship Id="rId7515" Type="http://schemas.openxmlformats.org/officeDocument/2006/relationships/hyperlink" Target="http://dlvr.it" TargetMode="External"/><Relationship Id="rId8846" Type="http://schemas.openxmlformats.org/officeDocument/2006/relationships/hyperlink" Target="https://pbs.twimg.com/profile_images/2813636657/599521f69e2bc210a57323b64d8e39e6_normal.jpeg" TargetMode="External"/><Relationship Id="rId7514" Type="http://schemas.openxmlformats.org/officeDocument/2006/relationships/hyperlink" Target="https://twitter.com/artwisanggeni/status/703192112087461888" TargetMode="External"/><Relationship Id="rId8845" Type="http://schemas.openxmlformats.org/officeDocument/2006/relationships/hyperlink" Target="http://dlvr.it" TargetMode="External"/><Relationship Id="rId7513" Type="http://schemas.openxmlformats.org/officeDocument/2006/relationships/hyperlink" Target="https://twitter.com/artwisanggeni" TargetMode="External"/><Relationship Id="rId8844" Type="http://schemas.openxmlformats.org/officeDocument/2006/relationships/hyperlink" Target="https://twitter.com/artwisanggeni/status/703250459671199744" TargetMode="External"/><Relationship Id="rId7512" Type="http://schemas.openxmlformats.org/officeDocument/2006/relationships/hyperlink" Target="https://pbs.twimg.com/profile_images/2813636657/599521f69e2bc210a57323b64d8e39e6_normal.jpeg" TargetMode="External"/><Relationship Id="rId8843" Type="http://schemas.openxmlformats.org/officeDocument/2006/relationships/hyperlink" Target="https://twitter.com/artwisanggeni" TargetMode="External"/><Relationship Id="rId7508" Type="http://schemas.openxmlformats.org/officeDocument/2006/relationships/hyperlink" Target="https://pbs.twimg.com/profile_images/2813636657/599521f69e2bc210a57323b64d8e39e6_normal.jpeg" TargetMode="External"/><Relationship Id="rId8839" Type="http://schemas.openxmlformats.org/officeDocument/2006/relationships/hyperlink" Target="https://twitter.com/artwisanggeni" TargetMode="External"/><Relationship Id="rId7507" Type="http://schemas.openxmlformats.org/officeDocument/2006/relationships/hyperlink" Target="http://dlvr.it" TargetMode="External"/><Relationship Id="rId8838" Type="http://schemas.openxmlformats.org/officeDocument/2006/relationships/hyperlink" Target="https://pbs.twimg.com/profile_images/2813636657/599521f69e2bc210a57323b64d8e39e6_normal.jpeg" TargetMode="External"/><Relationship Id="rId7506" Type="http://schemas.openxmlformats.org/officeDocument/2006/relationships/hyperlink" Target="https://twitter.com/artwisanggeni/status/703192107641495553" TargetMode="External"/><Relationship Id="rId8837" Type="http://schemas.openxmlformats.org/officeDocument/2006/relationships/hyperlink" Target="http://dlvr.it" TargetMode="External"/><Relationship Id="rId7505" Type="http://schemas.openxmlformats.org/officeDocument/2006/relationships/hyperlink" Target="https://twitter.com/artwisanggeni" TargetMode="External"/><Relationship Id="rId8836" Type="http://schemas.openxmlformats.org/officeDocument/2006/relationships/hyperlink" Target="https://twitter.com/artwisanggeni/status/703250454684110848" TargetMode="External"/><Relationship Id="rId7509" Type="http://schemas.openxmlformats.org/officeDocument/2006/relationships/hyperlink" Target="https://twitter.com/artwisanggeni" TargetMode="External"/><Relationship Id="rId7500" Type="http://schemas.openxmlformats.org/officeDocument/2006/relationships/hyperlink" Target="https://pbs.twimg.com/profile_images/2813636657/599521f69e2bc210a57323b64d8e39e6_normal.jpeg" TargetMode="External"/><Relationship Id="rId8831" Type="http://schemas.openxmlformats.org/officeDocument/2006/relationships/hyperlink" Target="https://pbs.twimg.com/profile_images/699984077877874688/aR2ovqId_normal.png" TargetMode="External"/><Relationship Id="rId8830" Type="http://schemas.openxmlformats.org/officeDocument/2006/relationships/hyperlink" Target="https://twitter.com/NowLivecodingtv/status/703250288266907648" TargetMode="External"/><Relationship Id="rId7504" Type="http://schemas.openxmlformats.org/officeDocument/2006/relationships/hyperlink" Target="https://pbs.twimg.com/profile_images/2813636657/599521f69e2bc210a57323b64d8e39e6_normal.jpeg" TargetMode="External"/><Relationship Id="rId8835" Type="http://schemas.openxmlformats.org/officeDocument/2006/relationships/hyperlink" Target="https://twitter.com/artwisanggeni" TargetMode="External"/><Relationship Id="rId7503" Type="http://schemas.openxmlformats.org/officeDocument/2006/relationships/hyperlink" Target="http://dlvr.it" TargetMode="External"/><Relationship Id="rId8834" Type="http://schemas.openxmlformats.org/officeDocument/2006/relationships/hyperlink" Target="https://pbs.twimg.com/profile_images/3056044654/58c333df91e8ff04a4d4ca5f773eeb43_normal.jpeg" TargetMode="External"/><Relationship Id="rId7502" Type="http://schemas.openxmlformats.org/officeDocument/2006/relationships/hyperlink" Target="https://twitter.com/artwisanggeni/status/703192105280151552" TargetMode="External"/><Relationship Id="rId8833" Type="http://schemas.openxmlformats.org/officeDocument/2006/relationships/hyperlink" Target="https://twitter.com/eoinbrazil/status/703250360488607744" TargetMode="External"/><Relationship Id="rId7501" Type="http://schemas.openxmlformats.org/officeDocument/2006/relationships/hyperlink" Target="https://twitter.com/artwisanggeni" TargetMode="External"/><Relationship Id="rId8832" Type="http://schemas.openxmlformats.org/officeDocument/2006/relationships/hyperlink" Target="https://twitter.com/eoinbrazil" TargetMode="External"/><Relationship Id="rId6209" Type="http://schemas.openxmlformats.org/officeDocument/2006/relationships/hyperlink" Target="https://pbs.twimg.com/profile_images/3654550270/5cab52e90000571b826f1a6d9e8d05d4_normal.png" TargetMode="External"/><Relationship Id="rId6207" Type="http://schemas.openxmlformats.org/officeDocument/2006/relationships/hyperlink" Target="https://twitter.com/JamesBTS" TargetMode="External"/><Relationship Id="rId7539" Type="http://schemas.openxmlformats.org/officeDocument/2006/relationships/hyperlink" Target="https://pbs.twimg.com/profile_images/3666257655/51434580187368bcd75e9d519596fcb6_normal.jpeg" TargetMode="External"/><Relationship Id="rId6208" Type="http://schemas.openxmlformats.org/officeDocument/2006/relationships/hyperlink" Target="https://twitter.com/JamesBTS/status/703105398195130368" TargetMode="External"/><Relationship Id="rId7538" Type="http://schemas.openxmlformats.org/officeDocument/2006/relationships/hyperlink" Target="https://twitter.com/DCKY86/status/703194056311046145" TargetMode="External"/><Relationship Id="rId8869" Type="http://schemas.openxmlformats.org/officeDocument/2006/relationships/hyperlink" Target="http://dlvr.it" TargetMode="External"/><Relationship Id="rId8860" Type="http://schemas.openxmlformats.org/officeDocument/2006/relationships/hyperlink" Target="https://twitter.com/artwisanggeni/status/703250469540397056" TargetMode="External"/><Relationship Id="rId6201" Type="http://schemas.openxmlformats.org/officeDocument/2006/relationships/hyperlink" Target="https://twitter.com/RashmiRnSethy" TargetMode="External"/><Relationship Id="rId7533" Type="http://schemas.openxmlformats.org/officeDocument/2006/relationships/hyperlink" Target="https://pbs.twimg.com/profile_images/647383165254766592/FWaWuGY9_normal.jpg" TargetMode="External"/><Relationship Id="rId8864" Type="http://schemas.openxmlformats.org/officeDocument/2006/relationships/hyperlink" Target="https://twitter.com/artwisanggeni/status/703250471725600769" TargetMode="External"/><Relationship Id="rId6202" Type="http://schemas.openxmlformats.org/officeDocument/2006/relationships/hyperlink" Target="https://twitter.com/RashmiRnSethy/status/703104853812183040" TargetMode="External"/><Relationship Id="rId7532" Type="http://schemas.openxmlformats.org/officeDocument/2006/relationships/hyperlink" Target="https://twitter.com/OTAugustsson/status/703193215344578560" TargetMode="External"/><Relationship Id="rId8863" Type="http://schemas.openxmlformats.org/officeDocument/2006/relationships/hyperlink" Target="https://twitter.com/artwisanggeni" TargetMode="External"/><Relationship Id="rId7531" Type="http://schemas.openxmlformats.org/officeDocument/2006/relationships/hyperlink" Target="https://twitter.com/OTAugustsson" TargetMode="External"/><Relationship Id="rId8862" Type="http://schemas.openxmlformats.org/officeDocument/2006/relationships/hyperlink" Target="https://pbs.twimg.com/profile_images/2813636657/599521f69e2bc210a57323b64d8e39e6_normal.jpeg" TargetMode="External"/><Relationship Id="rId6200" Type="http://schemas.openxmlformats.org/officeDocument/2006/relationships/hyperlink" Target="https://pbs.twimg.com/profile_images/677493910256484352/-EdVaVPl_normal.jpg" TargetMode="External"/><Relationship Id="rId7530" Type="http://schemas.openxmlformats.org/officeDocument/2006/relationships/hyperlink" Target="https://pbs.twimg.com/profile_images/582558120532049920/9i7FfU1u_normal.png" TargetMode="External"/><Relationship Id="rId8861" Type="http://schemas.openxmlformats.org/officeDocument/2006/relationships/hyperlink" Target="http://dlvr.it" TargetMode="External"/><Relationship Id="rId6205" Type="http://schemas.openxmlformats.org/officeDocument/2006/relationships/hyperlink" Target="https://twitter.com/JetTownie/status/703105221887537152" TargetMode="External"/><Relationship Id="rId7537" Type="http://schemas.openxmlformats.org/officeDocument/2006/relationships/hyperlink" Target="https://twitter.com/DCKY86" TargetMode="External"/><Relationship Id="rId8868" Type="http://schemas.openxmlformats.org/officeDocument/2006/relationships/hyperlink" Target="https://twitter.com/artwisanggeni/status/703250474384764928" TargetMode="External"/><Relationship Id="rId6206" Type="http://schemas.openxmlformats.org/officeDocument/2006/relationships/hyperlink" Target="https://pbs.twimg.com/profile_images/702094033523310593/LrwMtE9K_normal.png" TargetMode="External"/><Relationship Id="rId7536" Type="http://schemas.openxmlformats.org/officeDocument/2006/relationships/hyperlink" Target="https://pbs.twimg.com/profile_images/640594278847279104/OF1T85mR_normal.jpg" TargetMode="External"/><Relationship Id="rId8867" Type="http://schemas.openxmlformats.org/officeDocument/2006/relationships/hyperlink" Target="https://twitter.com/artwisanggeni" TargetMode="External"/><Relationship Id="rId6203" Type="http://schemas.openxmlformats.org/officeDocument/2006/relationships/hyperlink" Target="https://pbs.twimg.com/profile_images/507769924001878016/UsRwSg_A_normal.jpeg" TargetMode="External"/><Relationship Id="rId7535" Type="http://schemas.openxmlformats.org/officeDocument/2006/relationships/hyperlink" Target="https://twitter.com/Talent_Digger/status/703193632166141953" TargetMode="External"/><Relationship Id="rId8866" Type="http://schemas.openxmlformats.org/officeDocument/2006/relationships/hyperlink" Target="https://pbs.twimg.com/profile_images/2813636657/599521f69e2bc210a57323b64d8e39e6_normal.jpeg" TargetMode="External"/><Relationship Id="rId6204" Type="http://schemas.openxmlformats.org/officeDocument/2006/relationships/hyperlink" Target="https://twitter.com/JetTownie" TargetMode="External"/><Relationship Id="rId7534" Type="http://schemas.openxmlformats.org/officeDocument/2006/relationships/hyperlink" Target="https://twitter.com/Talent_Digger" TargetMode="External"/><Relationship Id="rId8865" Type="http://schemas.openxmlformats.org/officeDocument/2006/relationships/hyperlink" Target="http://dlvr.it" TargetMode="External"/><Relationship Id="rId7529" Type="http://schemas.openxmlformats.org/officeDocument/2006/relationships/hyperlink" Target="https://twitter.com/dstarod/status/703192943151161345" TargetMode="External"/><Relationship Id="rId7528" Type="http://schemas.openxmlformats.org/officeDocument/2006/relationships/hyperlink" Target="https://twitter.com/dstarod" TargetMode="External"/><Relationship Id="rId8859" Type="http://schemas.openxmlformats.org/officeDocument/2006/relationships/hyperlink" Target="https://twitter.com/artwisanggeni" TargetMode="External"/><Relationship Id="rId7527" Type="http://schemas.openxmlformats.org/officeDocument/2006/relationships/hyperlink" Target="https://pbs.twimg.com/profile_images/631722182180102145/d37Eq9sH_normal.jpg" TargetMode="External"/><Relationship Id="rId8858" Type="http://schemas.openxmlformats.org/officeDocument/2006/relationships/hyperlink" Target="https://pbs.twimg.com/profile_images/2813636657/599521f69e2bc210a57323b64d8e39e6_normal.jpeg" TargetMode="External"/><Relationship Id="rId7522" Type="http://schemas.openxmlformats.org/officeDocument/2006/relationships/hyperlink" Target="https://twitter.com/artwisanggeni/status/703192117795893248" TargetMode="External"/><Relationship Id="rId8853" Type="http://schemas.openxmlformats.org/officeDocument/2006/relationships/hyperlink" Target="http://dlvr.it" TargetMode="External"/><Relationship Id="rId7521" Type="http://schemas.openxmlformats.org/officeDocument/2006/relationships/hyperlink" Target="https://twitter.com/artwisanggeni" TargetMode="External"/><Relationship Id="rId8852" Type="http://schemas.openxmlformats.org/officeDocument/2006/relationships/hyperlink" Target="https://twitter.com/artwisanggeni/status/703250464863682560" TargetMode="External"/><Relationship Id="rId7520" Type="http://schemas.openxmlformats.org/officeDocument/2006/relationships/hyperlink" Target="https://pbs.twimg.com/profile_images/2813636657/599521f69e2bc210a57323b64d8e39e6_normal.jpeg" TargetMode="External"/><Relationship Id="rId8851" Type="http://schemas.openxmlformats.org/officeDocument/2006/relationships/hyperlink" Target="https://twitter.com/artwisanggeni" TargetMode="External"/><Relationship Id="rId8850" Type="http://schemas.openxmlformats.org/officeDocument/2006/relationships/hyperlink" Target="https://pbs.twimg.com/profile_images/2813636657/599521f69e2bc210a57323b64d8e39e6_normal.jpeg" TargetMode="External"/><Relationship Id="rId7526" Type="http://schemas.openxmlformats.org/officeDocument/2006/relationships/hyperlink" Target="https://twitter.com/HarriSrivastav/status/703192922011934720" TargetMode="External"/><Relationship Id="rId8857" Type="http://schemas.openxmlformats.org/officeDocument/2006/relationships/hyperlink" Target="http://dlvr.it" TargetMode="External"/><Relationship Id="rId7525" Type="http://schemas.openxmlformats.org/officeDocument/2006/relationships/hyperlink" Target="https://twitter.com/HarriSrivastav" TargetMode="External"/><Relationship Id="rId8856" Type="http://schemas.openxmlformats.org/officeDocument/2006/relationships/hyperlink" Target="https://twitter.com/artwisanggeni/status/703250467413884928" TargetMode="External"/><Relationship Id="rId7524" Type="http://schemas.openxmlformats.org/officeDocument/2006/relationships/hyperlink" Target="https://pbs.twimg.com/profile_images/2813636657/599521f69e2bc210a57323b64d8e39e6_normal.jpeg" TargetMode="External"/><Relationship Id="rId8855" Type="http://schemas.openxmlformats.org/officeDocument/2006/relationships/hyperlink" Target="https://twitter.com/artwisanggeni" TargetMode="External"/><Relationship Id="rId7523" Type="http://schemas.openxmlformats.org/officeDocument/2006/relationships/hyperlink" Target="http://dlvr.it" TargetMode="External"/><Relationship Id="rId8854" Type="http://schemas.openxmlformats.org/officeDocument/2006/relationships/hyperlink" Target="https://pbs.twimg.com/profile_images/2813636657/599521f69e2bc210a57323b64d8e39e6_normal.jpeg" TargetMode="External"/><Relationship Id="rId2700" Type="http://schemas.openxmlformats.org/officeDocument/2006/relationships/hyperlink" Target="https://twitter.com/artwisanggeni" TargetMode="External"/><Relationship Id="rId2701" Type="http://schemas.openxmlformats.org/officeDocument/2006/relationships/hyperlink" Target="https://twitter.com/artwisanggeni/status/702922313822416897" TargetMode="External"/><Relationship Id="rId2702" Type="http://schemas.openxmlformats.org/officeDocument/2006/relationships/hyperlink" Target="http://dlvr.it" TargetMode="External"/><Relationship Id="rId2703" Type="http://schemas.openxmlformats.org/officeDocument/2006/relationships/hyperlink" Target="https://pbs.twimg.com/profile_images/2813636657/599521f69e2bc210a57323b64d8e39e6_normal.jpeg" TargetMode="External"/><Relationship Id="rId2704" Type="http://schemas.openxmlformats.org/officeDocument/2006/relationships/hyperlink" Target="https://twitter.com/artwisanggeni" TargetMode="External"/><Relationship Id="rId2705" Type="http://schemas.openxmlformats.org/officeDocument/2006/relationships/hyperlink" Target="https://twitter.com/artwisanggeni/status/702922316770979840" TargetMode="External"/><Relationship Id="rId2706" Type="http://schemas.openxmlformats.org/officeDocument/2006/relationships/hyperlink" Target="http://dlvr.it" TargetMode="External"/><Relationship Id="rId2707" Type="http://schemas.openxmlformats.org/officeDocument/2006/relationships/hyperlink" Target="https://pbs.twimg.com/profile_images/2813636657/599521f69e2bc210a57323b64d8e39e6_normal.jpeg" TargetMode="External"/><Relationship Id="rId2708" Type="http://schemas.openxmlformats.org/officeDocument/2006/relationships/hyperlink" Target="https://twitter.com/chunger0923" TargetMode="External"/><Relationship Id="rId2709" Type="http://schemas.openxmlformats.org/officeDocument/2006/relationships/hyperlink" Target="https://twitter.com/chunger0923/status/702922317542756353" TargetMode="External"/><Relationship Id="rId6292" Type="http://schemas.openxmlformats.org/officeDocument/2006/relationships/hyperlink" Target="https://twitter.com/artwisanggeni" TargetMode="External"/><Relationship Id="rId6293" Type="http://schemas.openxmlformats.org/officeDocument/2006/relationships/hyperlink" Target="https://twitter.com/artwisanggeni/status/703110288518696962" TargetMode="External"/><Relationship Id="rId6290" Type="http://schemas.openxmlformats.org/officeDocument/2006/relationships/hyperlink" Target="https://twitter.com/stefabelle/status/703110283472953344" TargetMode="External"/><Relationship Id="rId6291" Type="http://schemas.openxmlformats.org/officeDocument/2006/relationships/hyperlink" Target="https://pbs.twimg.com/profile_images/696563851353952256/ThE3UxZf_normal.jpg" TargetMode="External"/><Relationship Id="rId6296" Type="http://schemas.openxmlformats.org/officeDocument/2006/relationships/hyperlink" Target="https://twitter.com/artwisanggeni" TargetMode="External"/><Relationship Id="rId6297" Type="http://schemas.openxmlformats.org/officeDocument/2006/relationships/hyperlink" Target="https://twitter.com/artwisanggeni/status/703110292427792384" TargetMode="External"/><Relationship Id="rId6294" Type="http://schemas.openxmlformats.org/officeDocument/2006/relationships/hyperlink" Target="http://dlvr.it" TargetMode="External"/><Relationship Id="rId6295" Type="http://schemas.openxmlformats.org/officeDocument/2006/relationships/hyperlink" Target="https://pbs.twimg.com/profile_images/2813636657/599521f69e2bc210a57323b64d8e39e6_normal.jpeg" TargetMode="External"/><Relationship Id="rId6298" Type="http://schemas.openxmlformats.org/officeDocument/2006/relationships/hyperlink" Target="http://dlvr.it" TargetMode="External"/><Relationship Id="rId6299" Type="http://schemas.openxmlformats.org/officeDocument/2006/relationships/hyperlink" Target="https://pbs.twimg.com/profile_images/2813636657/599521f69e2bc210a57323b64d8e39e6_normal.jpeg" TargetMode="External"/><Relationship Id="rId2720" Type="http://schemas.openxmlformats.org/officeDocument/2006/relationships/hyperlink" Target="https://twitter.com/rrockers/status/702922324320759808" TargetMode="External"/><Relationship Id="rId2721" Type="http://schemas.openxmlformats.org/officeDocument/2006/relationships/hyperlink" Target="https://pbs.twimg.com/profile_images/51857789/me_southpark_normal.png" TargetMode="External"/><Relationship Id="rId2722" Type="http://schemas.openxmlformats.org/officeDocument/2006/relationships/hyperlink" Target="https://twitter.com/kivyframework" TargetMode="External"/><Relationship Id="rId2723" Type="http://schemas.openxmlformats.org/officeDocument/2006/relationships/hyperlink" Target="https://twitter.com/kivyframework/status/702922331178586113" TargetMode="External"/><Relationship Id="rId2724" Type="http://schemas.openxmlformats.org/officeDocument/2006/relationships/hyperlink" Target="https://pbs.twimg.com/profile_images/562300519008333825/6WcGRXLU_normal.png" TargetMode="External"/><Relationship Id="rId2725" Type="http://schemas.openxmlformats.org/officeDocument/2006/relationships/hyperlink" Target="https://twitter.com/NoSQLDigest" TargetMode="External"/><Relationship Id="rId2726" Type="http://schemas.openxmlformats.org/officeDocument/2006/relationships/hyperlink" Target="https://twitter.com/NoSQLDigest/status/702923018289287170" TargetMode="External"/><Relationship Id="rId2727" Type="http://schemas.openxmlformats.org/officeDocument/2006/relationships/hyperlink" Target="https://pbs.twimg.com/profile_images/499257180009529344/CSWhr7LZ_normal.jpeg" TargetMode="External"/><Relationship Id="rId2728" Type="http://schemas.openxmlformats.org/officeDocument/2006/relationships/hyperlink" Target="https://twitter.com/tchappui" TargetMode="External"/><Relationship Id="rId2729" Type="http://schemas.openxmlformats.org/officeDocument/2006/relationships/hyperlink" Target="https://twitter.com/tchappui/status/702923266567086080" TargetMode="External"/><Relationship Id="rId2710" Type="http://schemas.openxmlformats.org/officeDocument/2006/relationships/hyperlink" Target="https://pbs.twimg.com/profile_images/3324251307/00fdbb0b8281748610bffb71726dce87_normal.jpeg" TargetMode="External"/><Relationship Id="rId2711" Type="http://schemas.openxmlformats.org/officeDocument/2006/relationships/hyperlink" Target="https://twitter.com/artwisanggeni" TargetMode="External"/><Relationship Id="rId2712" Type="http://schemas.openxmlformats.org/officeDocument/2006/relationships/hyperlink" Target="https://twitter.com/artwisanggeni/status/702922319409209344" TargetMode="External"/><Relationship Id="rId2713" Type="http://schemas.openxmlformats.org/officeDocument/2006/relationships/hyperlink" Target="http://dlvr.it" TargetMode="External"/><Relationship Id="rId2714" Type="http://schemas.openxmlformats.org/officeDocument/2006/relationships/hyperlink" Target="https://pbs.twimg.com/profile_images/2813636657/599521f69e2bc210a57323b64d8e39e6_normal.jpeg" TargetMode="External"/><Relationship Id="rId2715" Type="http://schemas.openxmlformats.org/officeDocument/2006/relationships/hyperlink" Target="https://twitter.com/artwisanggeni" TargetMode="External"/><Relationship Id="rId2716" Type="http://schemas.openxmlformats.org/officeDocument/2006/relationships/hyperlink" Target="https://twitter.com/artwisanggeni/status/702922321971978241" TargetMode="External"/><Relationship Id="rId2717" Type="http://schemas.openxmlformats.org/officeDocument/2006/relationships/hyperlink" Target="http://dlvr.it" TargetMode="External"/><Relationship Id="rId2718" Type="http://schemas.openxmlformats.org/officeDocument/2006/relationships/hyperlink" Target="https://pbs.twimg.com/profile_images/2813636657/599521f69e2bc210a57323b64d8e39e6_normal.jpeg" TargetMode="External"/><Relationship Id="rId2719" Type="http://schemas.openxmlformats.org/officeDocument/2006/relationships/hyperlink" Target="https://twitter.com/rrockers" TargetMode="External"/><Relationship Id="rId7591" Type="http://schemas.openxmlformats.org/officeDocument/2006/relationships/hyperlink" Target="https://twitter.com/cool_python/status/703197024787816448" TargetMode="External"/><Relationship Id="rId6260" Type="http://schemas.openxmlformats.org/officeDocument/2006/relationships/hyperlink" Target="https://twitter.com/Pvalsfr/status/703109661642223616" TargetMode="External"/><Relationship Id="rId7590" Type="http://schemas.openxmlformats.org/officeDocument/2006/relationships/hyperlink" Target="https://twitter.com/cool_python" TargetMode="External"/><Relationship Id="rId6263" Type="http://schemas.openxmlformats.org/officeDocument/2006/relationships/hyperlink" Target="https://twitter.com/Jobs_in_Europe/status/703109817351610368" TargetMode="External"/><Relationship Id="rId7595" Type="http://schemas.openxmlformats.org/officeDocument/2006/relationships/hyperlink" Target="https://pbs.twimg.com/profile_images/1132461818/gil_web_normal.jpg" TargetMode="External"/><Relationship Id="rId6264" Type="http://schemas.openxmlformats.org/officeDocument/2006/relationships/hyperlink" Target="https://pbs.twimg.com/profile_images/459621838373400576/gH2DhHXJ_normal.png" TargetMode="External"/><Relationship Id="rId7594" Type="http://schemas.openxmlformats.org/officeDocument/2006/relationships/hyperlink" Target="https://twitter.com/gilguilherme/status/703197126356914176" TargetMode="External"/><Relationship Id="rId6261" Type="http://schemas.openxmlformats.org/officeDocument/2006/relationships/hyperlink" Target="https://abs.twimg.com/sticky/default_profile_images/default_profile_4_normal.png" TargetMode="External"/><Relationship Id="rId7593" Type="http://schemas.openxmlformats.org/officeDocument/2006/relationships/hyperlink" Target="https://twitter.com/gilguilherme" TargetMode="External"/><Relationship Id="rId6262" Type="http://schemas.openxmlformats.org/officeDocument/2006/relationships/hyperlink" Target="https://twitter.com/Jobs_in_Europe" TargetMode="External"/><Relationship Id="rId7592" Type="http://schemas.openxmlformats.org/officeDocument/2006/relationships/hyperlink" Target="https://pbs.twimg.com/profile_images/572091631055028224/Pkx__FSB_normal.png" TargetMode="External"/><Relationship Id="rId6267" Type="http://schemas.openxmlformats.org/officeDocument/2006/relationships/hyperlink" Target="https://pbs.twimg.com/profile_images/462162326607503361/JepGrQxX_normal.png" TargetMode="External"/><Relationship Id="rId7599" Type="http://schemas.openxmlformats.org/officeDocument/2006/relationships/hyperlink" Target="https://twitter.com/russel_winder" TargetMode="External"/><Relationship Id="rId6268" Type="http://schemas.openxmlformats.org/officeDocument/2006/relationships/hyperlink" Target="https://twitter.com/javascriptd" TargetMode="External"/><Relationship Id="rId7598" Type="http://schemas.openxmlformats.org/officeDocument/2006/relationships/hyperlink" Target="https://abs.twimg.com/sticky/default_profile_images/default_profile_3_normal.png" TargetMode="External"/><Relationship Id="rId6265" Type="http://schemas.openxmlformats.org/officeDocument/2006/relationships/hyperlink" Target="https://twitter.com/Lediga_Jobb_" TargetMode="External"/><Relationship Id="rId7597" Type="http://schemas.openxmlformats.org/officeDocument/2006/relationships/hyperlink" Target="https://twitter.com/alarmsBot/status/703197448366268416" TargetMode="External"/><Relationship Id="rId6266" Type="http://schemas.openxmlformats.org/officeDocument/2006/relationships/hyperlink" Target="https://twitter.com/Lediga_Jobb_/status/703109817498402816" TargetMode="External"/><Relationship Id="rId7596" Type="http://schemas.openxmlformats.org/officeDocument/2006/relationships/hyperlink" Target="https://twitter.com/alarmsBot" TargetMode="External"/><Relationship Id="rId6269" Type="http://schemas.openxmlformats.org/officeDocument/2006/relationships/hyperlink" Target="https://twitter.com/javascriptd/status/703109866101944320" TargetMode="External"/><Relationship Id="rId7580" Type="http://schemas.openxmlformats.org/officeDocument/2006/relationships/hyperlink" Target="https://pbs.twimg.com/profile_images/3106785628/0e8cbe81403799f31a944e284af423bd_normal.jpeg" TargetMode="External"/><Relationship Id="rId6252" Type="http://schemas.openxmlformats.org/officeDocument/2006/relationships/hyperlink" Target="https://pbs.twimg.com/profile_images/1562056098/eightbit-c9fdd6ee-6da6-4be6-bdcc-169ea87f2c92_normal.png" TargetMode="External"/><Relationship Id="rId7584" Type="http://schemas.openxmlformats.org/officeDocument/2006/relationships/hyperlink" Target="https://twitter.com/py3k" TargetMode="External"/><Relationship Id="rId6253" Type="http://schemas.openxmlformats.org/officeDocument/2006/relationships/hyperlink" Target="https://twitter.com/mariuskarma" TargetMode="External"/><Relationship Id="rId7583" Type="http://schemas.openxmlformats.org/officeDocument/2006/relationships/hyperlink" Target="https://pbs.twimg.com/profile_images/662481852935053313/_m8t5yD3_normal.jpg" TargetMode="External"/><Relationship Id="rId6250" Type="http://schemas.openxmlformats.org/officeDocument/2006/relationships/hyperlink" Target="https://twitter.com/at10ti0n" TargetMode="External"/><Relationship Id="rId7582" Type="http://schemas.openxmlformats.org/officeDocument/2006/relationships/hyperlink" Target="https://twitter.com/api_echo/status/703196258949697536" TargetMode="External"/><Relationship Id="rId6251" Type="http://schemas.openxmlformats.org/officeDocument/2006/relationships/hyperlink" Target="https://twitter.com/at10ti0n/status/703109212591624192" TargetMode="External"/><Relationship Id="rId7581" Type="http://schemas.openxmlformats.org/officeDocument/2006/relationships/hyperlink" Target="https://twitter.com/api_echo" TargetMode="External"/><Relationship Id="rId6256" Type="http://schemas.openxmlformats.org/officeDocument/2006/relationships/hyperlink" Target="https://twitter.com/art_control" TargetMode="External"/><Relationship Id="rId7588" Type="http://schemas.openxmlformats.org/officeDocument/2006/relationships/hyperlink" Target="https://twitter.com/AdamSmitht1/status/703196794755354624" TargetMode="External"/><Relationship Id="rId6257" Type="http://schemas.openxmlformats.org/officeDocument/2006/relationships/hyperlink" Target="https://twitter.com/art_control/status/703109449771196416" TargetMode="External"/><Relationship Id="rId7587" Type="http://schemas.openxmlformats.org/officeDocument/2006/relationships/hyperlink" Target="https://twitter.com/AdamSmitht1" TargetMode="External"/><Relationship Id="rId6254" Type="http://schemas.openxmlformats.org/officeDocument/2006/relationships/hyperlink" Target="https://twitter.com/mariuskarma/status/703109321207341056" TargetMode="External"/><Relationship Id="rId7586" Type="http://schemas.openxmlformats.org/officeDocument/2006/relationships/hyperlink" Target="https://pbs.twimg.com/profile_images/2474433856/p075cerxh0arpea6ceip_normal.png" TargetMode="External"/><Relationship Id="rId6255" Type="http://schemas.openxmlformats.org/officeDocument/2006/relationships/hyperlink" Target="https://pbs.twimg.com/profile_images/588820751844843520/wACaBi5Z_normal.jpg" TargetMode="External"/><Relationship Id="rId7585" Type="http://schemas.openxmlformats.org/officeDocument/2006/relationships/hyperlink" Target="https://twitter.com/py3k/status/703196316831186944" TargetMode="External"/><Relationship Id="rId6258" Type="http://schemas.openxmlformats.org/officeDocument/2006/relationships/hyperlink" Target="https://pbs.twimg.com/profile_images/649004216690675712/UAcrP6ol_normal.png" TargetMode="External"/><Relationship Id="rId6259" Type="http://schemas.openxmlformats.org/officeDocument/2006/relationships/hyperlink" Target="https://twitter.com/Pvalsfr" TargetMode="External"/><Relationship Id="rId7589" Type="http://schemas.openxmlformats.org/officeDocument/2006/relationships/hyperlink" Target="https://pbs.twimg.com/profile_images/671623862916812800/yGsDKiP4_normal.jpg" TargetMode="External"/><Relationship Id="rId6281" Type="http://schemas.openxmlformats.org/officeDocument/2006/relationships/hyperlink" Target="https://twitter.com/a153048/status/703110176442753025" TargetMode="External"/><Relationship Id="rId6282" Type="http://schemas.openxmlformats.org/officeDocument/2006/relationships/hyperlink" Target="https://pbs.twimg.com/profile_images/691662853250527233/tGK9cpm-_normal.jpg" TargetMode="External"/><Relationship Id="rId6280" Type="http://schemas.openxmlformats.org/officeDocument/2006/relationships/hyperlink" Target="https://twitter.com/a153048" TargetMode="External"/><Relationship Id="rId6285" Type="http://schemas.openxmlformats.org/officeDocument/2006/relationships/hyperlink" Target="https://pbs.twimg.com/profile_images/544034757730779136/-jOL7GnN_normal.jpeg" TargetMode="External"/><Relationship Id="rId6286" Type="http://schemas.openxmlformats.org/officeDocument/2006/relationships/hyperlink" Target="https://twitter.com/VishalStudio" TargetMode="External"/><Relationship Id="rId6283" Type="http://schemas.openxmlformats.org/officeDocument/2006/relationships/hyperlink" Target="https://twitter.com/javascriptd" TargetMode="External"/><Relationship Id="rId6284" Type="http://schemas.openxmlformats.org/officeDocument/2006/relationships/hyperlink" Target="https://twitter.com/javascriptd/status/703110232797360128" TargetMode="External"/><Relationship Id="rId6289" Type="http://schemas.openxmlformats.org/officeDocument/2006/relationships/hyperlink" Target="https://twitter.com/stefabelle" TargetMode="External"/><Relationship Id="rId6287" Type="http://schemas.openxmlformats.org/officeDocument/2006/relationships/hyperlink" Target="https://twitter.com/VishalStudio/status/703110276049055744" TargetMode="External"/><Relationship Id="rId6288" Type="http://schemas.openxmlformats.org/officeDocument/2006/relationships/hyperlink" Target="https://pbs.twimg.com/profile_images/1716914889/VS_normal.PNG" TargetMode="External"/><Relationship Id="rId6270" Type="http://schemas.openxmlformats.org/officeDocument/2006/relationships/hyperlink" Target="https://pbs.twimg.com/profile_images/544034757730779136/-jOL7GnN_normal.jpeg" TargetMode="External"/><Relationship Id="rId6271" Type="http://schemas.openxmlformats.org/officeDocument/2006/relationships/hyperlink" Target="https://twitter.com/patrickdaoust15" TargetMode="External"/><Relationship Id="rId6274" Type="http://schemas.openxmlformats.org/officeDocument/2006/relationships/hyperlink" Target="https://twitter.com/dmatosl" TargetMode="External"/><Relationship Id="rId6275" Type="http://schemas.openxmlformats.org/officeDocument/2006/relationships/hyperlink" Target="https://twitter.com/dmatosl/status/703110020599140353" TargetMode="External"/><Relationship Id="rId6272" Type="http://schemas.openxmlformats.org/officeDocument/2006/relationships/hyperlink" Target="https://twitter.com/patrickdaoust15/status/703109912021245952" TargetMode="External"/><Relationship Id="rId6273" Type="http://schemas.openxmlformats.org/officeDocument/2006/relationships/hyperlink" Target="https://pbs.twimg.com/profile_images/659302970023018496/5qcf-t8I_normal.jpg" TargetMode="External"/><Relationship Id="rId6278" Type="http://schemas.openxmlformats.org/officeDocument/2006/relationships/hyperlink" Target="https://twitter.com/Will_Huang/status/703110108671139840" TargetMode="External"/><Relationship Id="rId6279" Type="http://schemas.openxmlformats.org/officeDocument/2006/relationships/hyperlink" Target="https://pbs.twimg.com/profile_images/686177661224263681/YspPLn8V_normal.jpg" TargetMode="External"/><Relationship Id="rId6276" Type="http://schemas.openxmlformats.org/officeDocument/2006/relationships/hyperlink" Target="https://pbs.twimg.com/profile_images/478359632701046784/_e0zv31m_normal.jpeg" TargetMode="External"/><Relationship Id="rId6277" Type="http://schemas.openxmlformats.org/officeDocument/2006/relationships/hyperlink" Target="https://twitter.com/Will_Huang" TargetMode="External"/><Relationship Id="rId1455" Type="http://schemas.openxmlformats.org/officeDocument/2006/relationships/hyperlink" Target="https://twitter.com/GERSolar/status/702869466527481856" TargetMode="External"/><Relationship Id="rId2786" Type="http://schemas.openxmlformats.org/officeDocument/2006/relationships/hyperlink" Target="https://twitter.com/Manquip/status/702925095073882113" TargetMode="External"/><Relationship Id="rId1456" Type="http://schemas.openxmlformats.org/officeDocument/2006/relationships/hyperlink" Target="https://pbs.twimg.com/profile_images/524534389690994688/O2Q5bLyo_normal.png" TargetMode="External"/><Relationship Id="rId2787" Type="http://schemas.openxmlformats.org/officeDocument/2006/relationships/hyperlink" Target="https://pbs.twimg.com/profile_images/494485458538074114/eiMx1ort_normal.png" TargetMode="External"/><Relationship Id="rId1457" Type="http://schemas.openxmlformats.org/officeDocument/2006/relationships/hyperlink" Target="https://twitter.com/FringeFlorida" TargetMode="External"/><Relationship Id="rId2788" Type="http://schemas.openxmlformats.org/officeDocument/2006/relationships/hyperlink" Target="https://twitter.com/programmingncr" TargetMode="External"/><Relationship Id="rId1458" Type="http://schemas.openxmlformats.org/officeDocument/2006/relationships/hyperlink" Target="https://twitter.com/FringeFlorida/status/702869554188427264" TargetMode="External"/><Relationship Id="rId2789" Type="http://schemas.openxmlformats.org/officeDocument/2006/relationships/hyperlink" Target="https://twitter.com/programmingncr/status/702925196626432000" TargetMode="External"/><Relationship Id="rId1459" Type="http://schemas.openxmlformats.org/officeDocument/2006/relationships/hyperlink" Target="https://pbs.twimg.com/profile_images/426180283059023872/0CFUtHG9_normal.jpeg" TargetMode="External"/><Relationship Id="rId629" Type="http://schemas.openxmlformats.org/officeDocument/2006/relationships/hyperlink" Target="https://pbs.twimg.com/profile_images/686870637273456640/yxHhSOcQ_normal.jpg" TargetMode="External"/><Relationship Id="rId624" Type="http://schemas.openxmlformats.org/officeDocument/2006/relationships/hyperlink" Target="https://twitter.com/Silas_Guilherme" TargetMode="External"/><Relationship Id="rId623" Type="http://schemas.openxmlformats.org/officeDocument/2006/relationships/hyperlink" Target="https://pbs.twimg.com/profile_images/601478745128620032/GrGhZw7d_normal.jpg" TargetMode="External"/><Relationship Id="rId622" Type="http://schemas.openxmlformats.org/officeDocument/2006/relationships/hyperlink" Target="https://twitter.com/SowPiano/status/702818763511562240" TargetMode="External"/><Relationship Id="rId621" Type="http://schemas.openxmlformats.org/officeDocument/2006/relationships/hyperlink" Target="https://twitter.com/SowPiano" TargetMode="External"/><Relationship Id="rId628" Type="http://schemas.openxmlformats.org/officeDocument/2006/relationships/hyperlink" Target="https://twitter.com/Devutechboy0073/status/702819285626847232" TargetMode="External"/><Relationship Id="rId627" Type="http://schemas.openxmlformats.org/officeDocument/2006/relationships/hyperlink" Target="https://twitter.com/Devutechboy0073" TargetMode="External"/><Relationship Id="rId626" Type="http://schemas.openxmlformats.org/officeDocument/2006/relationships/hyperlink" Target="https://pbs.twimg.com/profile_images/695645047107284993/J8b6bpZv_normal.jpg" TargetMode="External"/><Relationship Id="rId625" Type="http://schemas.openxmlformats.org/officeDocument/2006/relationships/hyperlink" Target="https://twitter.com/Silas_Guilherme/status/702818857946370048" TargetMode="External"/><Relationship Id="rId2780" Type="http://schemas.openxmlformats.org/officeDocument/2006/relationships/hyperlink" Target="https://pbs.twimg.com/profile_images/679948461953781761/pDo9356K_normal.jpg" TargetMode="External"/><Relationship Id="rId1450" Type="http://schemas.openxmlformats.org/officeDocument/2006/relationships/hyperlink" Target="https://pbs.twimg.com/profile_images/1577091782/bdotnet_tw_PNG_normal.png" TargetMode="External"/><Relationship Id="rId2781" Type="http://schemas.openxmlformats.org/officeDocument/2006/relationships/hyperlink" Target="https://twitter.com/RealPython" TargetMode="External"/><Relationship Id="rId620" Type="http://schemas.openxmlformats.org/officeDocument/2006/relationships/hyperlink" Target="https://pbs.twimg.com/profile_images/601659762791550977/ZyOxTkIE_normal.jpg" TargetMode="External"/><Relationship Id="rId1451" Type="http://schemas.openxmlformats.org/officeDocument/2006/relationships/hyperlink" Target="https://twitter.com/creative_punch" TargetMode="External"/><Relationship Id="rId2782" Type="http://schemas.openxmlformats.org/officeDocument/2006/relationships/hyperlink" Target="http://RealPython.com" TargetMode="External"/><Relationship Id="rId1452" Type="http://schemas.openxmlformats.org/officeDocument/2006/relationships/hyperlink" Target="https://twitter.com/creative_punch/status/702869412316106753" TargetMode="External"/><Relationship Id="rId2783" Type="http://schemas.openxmlformats.org/officeDocument/2006/relationships/hyperlink" Target="https://twitter.com/RealPython/status/702925045627105280" TargetMode="External"/><Relationship Id="rId1453" Type="http://schemas.openxmlformats.org/officeDocument/2006/relationships/hyperlink" Target="https://pbs.twimg.com/profile_images/420579444982431745/j7uTAxtF_normal.png" TargetMode="External"/><Relationship Id="rId2784" Type="http://schemas.openxmlformats.org/officeDocument/2006/relationships/hyperlink" Target="https://pbs.twimg.com/profile_images/3312468366/129323224633d71286101d517a2f9817_normal.png" TargetMode="External"/><Relationship Id="rId1454" Type="http://schemas.openxmlformats.org/officeDocument/2006/relationships/hyperlink" Target="https://twitter.com/GERSolar" TargetMode="External"/><Relationship Id="rId2785" Type="http://schemas.openxmlformats.org/officeDocument/2006/relationships/hyperlink" Target="https://twitter.com/Manquip" TargetMode="External"/><Relationship Id="rId1444" Type="http://schemas.openxmlformats.org/officeDocument/2006/relationships/hyperlink" Target="https://twitter.com/horstwilmes" TargetMode="External"/><Relationship Id="rId2775" Type="http://schemas.openxmlformats.org/officeDocument/2006/relationships/hyperlink" Target="https://twitter.com/totallygloria" TargetMode="External"/><Relationship Id="rId1445" Type="http://schemas.openxmlformats.org/officeDocument/2006/relationships/hyperlink" Target="https://twitter.com/horstwilmes/status/702868957515096064" TargetMode="External"/><Relationship Id="rId2776" Type="http://schemas.openxmlformats.org/officeDocument/2006/relationships/hyperlink" Target="https://twitter.com/totallygloria/status/702924835609931777" TargetMode="External"/><Relationship Id="rId1446" Type="http://schemas.openxmlformats.org/officeDocument/2006/relationships/hyperlink" Target="http://Paper.li" TargetMode="External"/><Relationship Id="rId2777" Type="http://schemas.openxmlformats.org/officeDocument/2006/relationships/hyperlink" Target="https://pbs.twimg.com/profile_images/652938955898228736/uAEHcc8u_normal.jpg" TargetMode="External"/><Relationship Id="rId1447" Type="http://schemas.openxmlformats.org/officeDocument/2006/relationships/hyperlink" Target="https://pbs.twimg.com/profile_images/1564146627/HorstWilmes_L2_normal.jpg" TargetMode="External"/><Relationship Id="rId2778" Type="http://schemas.openxmlformats.org/officeDocument/2006/relationships/hyperlink" Target="https://twitter.com/HartwigMicheal" TargetMode="External"/><Relationship Id="rId1448" Type="http://schemas.openxmlformats.org/officeDocument/2006/relationships/hyperlink" Target="https://twitter.com/B_DotNet" TargetMode="External"/><Relationship Id="rId2779" Type="http://schemas.openxmlformats.org/officeDocument/2006/relationships/hyperlink" Target="https://twitter.com/HartwigMicheal/status/702924961976082432" TargetMode="External"/><Relationship Id="rId1449" Type="http://schemas.openxmlformats.org/officeDocument/2006/relationships/hyperlink" Target="https://twitter.com/B_DotNet/status/702869367550287873" TargetMode="External"/><Relationship Id="rId619" Type="http://schemas.openxmlformats.org/officeDocument/2006/relationships/hyperlink" Target="https://twitter.com/clockworkTalent/status/702818649325838336" TargetMode="External"/><Relationship Id="rId618" Type="http://schemas.openxmlformats.org/officeDocument/2006/relationships/hyperlink" Target="https://twitter.com/clockworkTalent" TargetMode="External"/><Relationship Id="rId613" Type="http://schemas.openxmlformats.org/officeDocument/2006/relationships/hyperlink" Target="https://twitter.com/Arubait/status/702818359428120576" TargetMode="External"/><Relationship Id="rId612" Type="http://schemas.openxmlformats.org/officeDocument/2006/relationships/hyperlink" Target="https://twitter.com/Arubait" TargetMode="External"/><Relationship Id="rId611" Type="http://schemas.openxmlformats.org/officeDocument/2006/relationships/hyperlink" Target="https://pbs.twimg.com/profile_images/378800000368837082/8338658e87960aeb9d61005713d9c6cd_normal.jpeg" TargetMode="External"/><Relationship Id="rId610" Type="http://schemas.openxmlformats.org/officeDocument/2006/relationships/hyperlink" Target="https://twitter.com/Rosekhan120/status/702817541983309824" TargetMode="External"/><Relationship Id="rId617" Type="http://schemas.openxmlformats.org/officeDocument/2006/relationships/hyperlink" Target="https://pbs.twimg.com/profile_images/378800000543687138/8372129fa3cbd7f2183b70f1c0949804_normal.png" TargetMode="External"/><Relationship Id="rId616" Type="http://schemas.openxmlformats.org/officeDocument/2006/relationships/hyperlink" Target="https://twitter.com/gt_salles/status/702818556350693376" TargetMode="External"/><Relationship Id="rId615" Type="http://schemas.openxmlformats.org/officeDocument/2006/relationships/hyperlink" Target="https://twitter.com/gt_salles" TargetMode="External"/><Relationship Id="rId614" Type="http://schemas.openxmlformats.org/officeDocument/2006/relationships/hyperlink" Target="https://pbs.twimg.com/profile_images/507063845978787840/if1TgDbt_normal.jpeg" TargetMode="External"/><Relationship Id="rId2770" Type="http://schemas.openxmlformats.org/officeDocument/2006/relationships/hyperlink" Target="https://pbs.twimg.com/profile_images/687381862004715521/lsdcpGUk_normal.png" TargetMode="External"/><Relationship Id="rId1440" Type="http://schemas.openxmlformats.org/officeDocument/2006/relationships/hyperlink" Target="https://pbs.twimg.com/profile_images/378800000031095990/db0d0946fabb358fc8dc210b59fabb7f_normal.jpeg" TargetMode="External"/><Relationship Id="rId2771" Type="http://schemas.openxmlformats.org/officeDocument/2006/relationships/hyperlink" Target="https://twitter.com/peachythemag" TargetMode="External"/><Relationship Id="rId1441" Type="http://schemas.openxmlformats.org/officeDocument/2006/relationships/hyperlink" Target="https://twitter.com/techmix_" TargetMode="External"/><Relationship Id="rId2772" Type="http://schemas.openxmlformats.org/officeDocument/2006/relationships/hyperlink" Target="https://twitter.com/peachythemag/status/702924779095855104" TargetMode="External"/><Relationship Id="rId1442" Type="http://schemas.openxmlformats.org/officeDocument/2006/relationships/hyperlink" Target="https://twitter.com/techmix_/status/702868665075683328" TargetMode="External"/><Relationship Id="rId2773" Type="http://schemas.openxmlformats.org/officeDocument/2006/relationships/hyperlink" Target="https://pbs.twimg.com/profile_images/665178096593715200/TbB-KLrc_normal.jpg" TargetMode="External"/><Relationship Id="rId1443" Type="http://schemas.openxmlformats.org/officeDocument/2006/relationships/hyperlink" Target="https://pbs.twimg.com/profile_images/700674879540981761/fKiyB9Ye_normal.png" TargetMode="External"/><Relationship Id="rId2774" Type="http://schemas.openxmlformats.org/officeDocument/2006/relationships/hyperlink" Target="http://ctrlq.org/maps/address/" TargetMode="External"/><Relationship Id="rId1477" Type="http://schemas.openxmlformats.org/officeDocument/2006/relationships/hyperlink" Target="https://pbs.twimg.com/profile_images/523013721828782080/WW_eexnE_normal.jpeg" TargetMode="External"/><Relationship Id="rId1478" Type="http://schemas.openxmlformats.org/officeDocument/2006/relationships/hyperlink" Target="https://twitter.com/JoshuaLongUK" TargetMode="External"/><Relationship Id="rId1479" Type="http://schemas.openxmlformats.org/officeDocument/2006/relationships/hyperlink" Target="https://twitter.com/JoshuaLongUK/status/702870318545772544" TargetMode="External"/><Relationship Id="rId646" Type="http://schemas.openxmlformats.org/officeDocument/2006/relationships/hyperlink" Target="https://twitter.com/BrianLinuxing/status/702820816006864896" TargetMode="External"/><Relationship Id="rId645" Type="http://schemas.openxmlformats.org/officeDocument/2006/relationships/hyperlink" Target="https://twitter.com/BrianLinuxing" TargetMode="External"/><Relationship Id="rId644" Type="http://schemas.openxmlformats.org/officeDocument/2006/relationships/hyperlink" Target="https://pbs.twimg.com/profile_images/452064440687423488/nbwrKTwP_normal.jpeg" TargetMode="External"/><Relationship Id="rId643" Type="http://schemas.openxmlformats.org/officeDocument/2006/relationships/hyperlink" Target="https://twitter.com/cocoacoda/status/702820579557113856" TargetMode="External"/><Relationship Id="rId649" Type="http://schemas.openxmlformats.org/officeDocument/2006/relationships/hyperlink" Target="https://twitter.com/AydinYakar/status/702820909426540544" TargetMode="External"/><Relationship Id="rId648" Type="http://schemas.openxmlformats.org/officeDocument/2006/relationships/hyperlink" Target="https://twitter.com/AydinYakar" TargetMode="External"/><Relationship Id="rId647" Type="http://schemas.openxmlformats.org/officeDocument/2006/relationships/hyperlink" Target="https://pbs.twimg.com/profile_images/480100549090488321/qjFv-7QM_normal.png" TargetMode="External"/><Relationship Id="rId1470" Type="http://schemas.openxmlformats.org/officeDocument/2006/relationships/hyperlink" Target="https://twitter.com/iMitwe/status/702869987078381568" TargetMode="External"/><Relationship Id="rId1471" Type="http://schemas.openxmlformats.org/officeDocument/2006/relationships/hyperlink" Target="https://pbs.twimg.com/profile_images/686787791171248128/51m2zxZn_normal.jpg" TargetMode="External"/><Relationship Id="rId1472" Type="http://schemas.openxmlformats.org/officeDocument/2006/relationships/hyperlink" Target="https://twitter.com/kylemaxwell" TargetMode="External"/><Relationship Id="rId642" Type="http://schemas.openxmlformats.org/officeDocument/2006/relationships/hyperlink" Target="https://twitter.com/cocoacoda" TargetMode="External"/><Relationship Id="rId1473" Type="http://schemas.openxmlformats.org/officeDocument/2006/relationships/hyperlink" Target="https://twitter.com/kylemaxwell/status/702870090119667713" TargetMode="External"/><Relationship Id="rId641" Type="http://schemas.openxmlformats.org/officeDocument/2006/relationships/hyperlink" Target="https://pbs.twimg.com/profile_images/694796235945959424/1UFEWwgu_normal.jpg" TargetMode="External"/><Relationship Id="rId1474" Type="http://schemas.openxmlformats.org/officeDocument/2006/relationships/hyperlink" Target="https://pbs.twimg.com/profile_images/698990474967719936/jr4zinGb_normal.jpg" TargetMode="External"/><Relationship Id="rId640" Type="http://schemas.openxmlformats.org/officeDocument/2006/relationships/hyperlink" Target="https://twitter.com/kayauls/status/702819945399324672" TargetMode="External"/><Relationship Id="rId1475" Type="http://schemas.openxmlformats.org/officeDocument/2006/relationships/hyperlink" Target="https://twitter.com/Ewjoachim" TargetMode="External"/><Relationship Id="rId1476" Type="http://schemas.openxmlformats.org/officeDocument/2006/relationships/hyperlink" Target="https://twitter.com/Ewjoachim/status/702870125268082688" TargetMode="External"/><Relationship Id="rId1466" Type="http://schemas.openxmlformats.org/officeDocument/2006/relationships/hyperlink" Target="https://twitter.com/ForgottenSec" TargetMode="External"/><Relationship Id="rId2797" Type="http://schemas.openxmlformats.org/officeDocument/2006/relationships/hyperlink" Target="https://twitter.com/programmingncr" TargetMode="External"/><Relationship Id="rId1467" Type="http://schemas.openxmlformats.org/officeDocument/2006/relationships/hyperlink" Target="https://twitter.com/ForgottenSec/status/702869981109854208" TargetMode="External"/><Relationship Id="rId2798" Type="http://schemas.openxmlformats.org/officeDocument/2006/relationships/hyperlink" Target="https://twitter.com/programmingncr/status/702925200405479429" TargetMode="External"/><Relationship Id="rId1468" Type="http://schemas.openxmlformats.org/officeDocument/2006/relationships/hyperlink" Target="https://pbs.twimg.com/profile_images/1634003448/IMG_0779_copy_normal.JPG" TargetMode="External"/><Relationship Id="rId2799" Type="http://schemas.openxmlformats.org/officeDocument/2006/relationships/hyperlink" Target="https://pbs.twimg.com/profile_images/662602436222193664/qKuvsfnG_normal.jpg" TargetMode="External"/><Relationship Id="rId1469" Type="http://schemas.openxmlformats.org/officeDocument/2006/relationships/hyperlink" Target="https://twitter.com/iMitwe" TargetMode="External"/><Relationship Id="rId635" Type="http://schemas.openxmlformats.org/officeDocument/2006/relationships/hyperlink" Target="https://pbs.twimg.com/profile_images/686870637273456640/yxHhSOcQ_normal.jpg" TargetMode="External"/><Relationship Id="rId634" Type="http://schemas.openxmlformats.org/officeDocument/2006/relationships/hyperlink" Target="https://twitter.com/Devutechboy0073/status/702819527365566464" TargetMode="External"/><Relationship Id="rId633" Type="http://schemas.openxmlformats.org/officeDocument/2006/relationships/hyperlink" Target="https://twitter.com/Devutechboy0073" TargetMode="External"/><Relationship Id="rId632" Type="http://schemas.openxmlformats.org/officeDocument/2006/relationships/hyperlink" Target="https://pbs.twimg.com/profile_images/1241672994/Chihuly_normal.jpg" TargetMode="External"/><Relationship Id="rId639" Type="http://schemas.openxmlformats.org/officeDocument/2006/relationships/hyperlink" Target="https://twitter.com/kayauls" TargetMode="External"/><Relationship Id="rId638" Type="http://schemas.openxmlformats.org/officeDocument/2006/relationships/hyperlink" Target="https://pbs.twimg.com/profile_images/3764096563/603f7a7f21056d2b7f090a37d3f6b83e_normal.jpeg" TargetMode="External"/><Relationship Id="rId637" Type="http://schemas.openxmlformats.org/officeDocument/2006/relationships/hyperlink" Target="https://twitter.com/davidvujic/status/702819539508133888" TargetMode="External"/><Relationship Id="rId636" Type="http://schemas.openxmlformats.org/officeDocument/2006/relationships/hyperlink" Target="https://twitter.com/davidvujic" TargetMode="External"/><Relationship Id="rId2790" Type="http://schemas.openxmlformats.org/officeDocument/2006/relationships/hyperlink" Target="https://pbs.twimg.com/profile_images/662602436222193664/qKuvsfnG_normal.jpg" TargetMode="External"/><Relationship Id="rId1460" Type="http://schemas.openxmlformats.org/officeDocument/2006/relationships/hyperlink" Target="https://twitter.com/9bplus" TargetMode="External"/><Relationship Id="rId2791" Type="http://schemas.openxmlformats.org/officeDocument/2006/relationships/hyperlink" Target="https://twitter.com/programmingncr" TargetMode="External"/><Relationship Id="rId1461" Type="http://schemas.openxmlformats.org/officeDocument/2006/relationships/hyperlink" Target="https://twitter.com/9bplus/status/702869727241056256" TargetMode="External"/><Relationship Id="rId2792" Type="http://schemas.openxmlformats.org/officeDocument/2006/relationships/hyperlink" Target="https://twitter.com/programmingncr/status/702925198186717184" TargetMode="External"/><Relationship Id="rId631" Type="http://schemas.openxmlformats.org/officeDocument/2006/relationships/hyperlink" Target="https://twitter.com/drmcgettigan/status/702819419018436608" TargetMode="External"/><Relationship Id="rId1462" Type="http://schemas.openxmlformats.org/officeDocument/2006/relationships/hyperlink" Target="https://pbs.twimg.com/profile_images/673638286896697344/ue1u9N-1_normal.jpg" TargetMode="External"/><Relationship Id="rId2793" Type="http://schemas.openxmlformats.org/officeDocument/2006/relationships/hyperlink" Target="https://pbs.twimg.com/profile_images/662602436222193664/qKuvsfnG_normal.jpg" TargetMode="External"/><Relationship Id="rId630" Type="http://schemas.openxmlformats.org/officeDocument/2006/relationships/hyperlink" Target="https://twitter.com/drmcgettigan" TargetMode="External"/><Relationship Id="rId1463" Type="http://schemas.openxmlformats.org/officeDocument/2006/relationships/hyperlink" Target="https://twitter.com/PassiveTotal" TargetMode="External"/><Relationship Id="rId2794" Type="http://schemas.openxmlformats.org/officeDocument/2006/relationships/hyperlink" Target="https://twitter.com/programmingncr" TargetMode="External"/><Relationship Id="rId1464" Type="http://schemas.openxmlformats.org/officeDocument/2006/relationships/hyperlink" Target="https://twitter.com/PassiveTotal/status/702869748627812352" TargetMode="External"/><Relationship Id="rId2795" Type="http://schemas.openxmlformats.org/officeDocument/2006/relationships/hyperlink" Target="https://twitter.com/programmingncr/status/702925199390461954" TargetMode="External"/><Relationship Id="rId1465" Type="http://schemas.openxmlformats.org/officeDocument/2006/relationships/hyperlink" Target="https://pbs.twimg.com/profile_images/604494303323389952/m5IaDHbJ_normal.png" TargetMode="External"/><Relationship Id="rId2796" Type="http://schemas.openxmlformats.org/officeDocument/2006/relationships/hyperlink" Target="https://pbs.twimg.com/profile_images/662602436222193664/qKuvsfnG_normal.jpg" TargetMode="External"/><Relationship Id="rId1411" Type="http://schemas.openxmlformats.org/officeDocument/2006/relationships/hyperlink" Target="https://twitter.com/ameanmbot/status/702867896981200897" TargetMode="External"/><Relationship Id="rId2742" Type="http://schemas.openxmlformats.org/officeDocument/2006/relationships/hyperlink" Target="https://twitter.com/TheQAblog/status/702924014969290752" TargetMode="External"/><Relationship Id="rId1412" Type="http://schemas.openxmlformats.org/officeDocument/2006/relationships/hyperlink" Target="https://pbs.twimg.com/profile_images/481334978161029120/iu3zZFEk_normal.png" TargetMode="External"/><Relationship Id="rId2743" Type="http://schemas.openxmlformats.org/officeDocument/2006/relationships/hyperlink" Target="https://pbs.twimg.com/profile_images/702914406288470018/oGgSq_Xv_normal.png" TargetMode="External"/><Relationship Id="rId1413" Type="http://schemas.openxmlformats.org/officeDocument/2006/relationships/hyperlink" Target="https://twitter.com/nightwalker" TargetMode="External"/><Relationship Id="rId2744" Type="http://schemas.openxmlformats.org/officeDocument/2006/relationships/hyperlink" Target="https://twitter.com/panseybard" TargetMode="External"/><Relationship Id="rId1414" Type="http://schemas.openxmlformats.org/officeDocument/2006/relationships/hyperlink" Target="https://twitter.com/nightwalker/status/702868080972566529" TargetMode="External"/><Relationship Id="rId2745" Type="http://schemas.openxmlformats.org/officeDocument/2006/relationships/hyperlink" Target="https://twitter.com/panseybard/status/702924016810504192" TargetMode="External"/><Relationship Id="rId1415" Type="http://schemas.openxmlformats.org/officeDocument/2006/relationships/hyperlink" Target="https://pbs.twimg.com/profile_images/25542182/flickr_icon_20070307_normal.jpg" TargetMode="External"/><Relationship Id="rId2746" Type="http://schemas.openxmlformats.org/officeDocument/2006/relationships/hyperlink" Target="https://pbs.twimg.com/profile_images/583850259970822144/7EgtHLoT_normal.jpg" TargetMode="External"/><Relationship Id="rId1416" Type="http://schemas.openxmlformats.org/officeDocument/2006/relationships/hyperlink" Target="https://twitter.com/RealPython" TargetMode="External"/><Relationship Id="rId2747" Type="http://schemas.openxmlformats.org/officeDocument/2006/relationships/hyperlink" Target="https://twitter.com/NYC_TechEvents" TargetMode="External"/><Relationship Id="rId1417" Type="http://schemas.openxmlformats.org/officeDocument/2006/relationships/hyperlink" Target="http://RealPython.com" TargetMode="External"/><Relationship Id="rId2748" Type="http://schemas.openxmlformats.org/officeDocument/2006/relationships/hyperlink" Target="https://twitter.com/NYC_TechEvents/status/702924053586305027" TargetMode="External"/><Relationship Id="rId1418" Type="http://schemas.openxmlformats.org/officeDocument/2006/relationships/hyperlink" Target="https://twitter.com/RealPython/status/702868154297356293" TargetMode="External"/><Relationship Id="rId2749" Type="http://schemas.openxmlformats.org/officeDocument/2006/relationships/hyperlink" Target="https://pbs.twimg.com/profile_images/698639359512195072/nmORkXm9_normal.png" TargetMode="External"/><Relationship Id="rId1419" Type="http://schemas.openxmlformats.org/officeDocument/2006/relationships/hyperlink" Target="https://pbs.twimg.com/profile_images/3312468366/129323224633d71286101d517a2f9817_normal.png" TargetMode="External"/><Relationship Id="rId2740" Type="http://schemas.openxmlformats.org/officeDocument/2006/relationships/hyperlink" Target="https://twitter.com/TheQAblog" TargetMode="External"/><Relationship Id="rId1410" Type="http://schemas.openxmlformats.org/officeDocument/2006/relationships/hyperlink" Target="https://twitter.com/ameanmbot" TargetMode="External"/><Relationship Id="rId2741" Type="http://schemas.openxmlformats.org/officeDocument/2006/relationships/hyperlink" Target="http://MasterQA.com" TargetMode="External"/><Relationship Id="rId1400" Type="http://schemas.openxmlformats.org/officeDocument/2006/relationships/hyperlink" Target="https://abs.twimg.com/sticky/default_profile_images/default_profile_5_normal.png" TargetMode="External"/><Relationship Id="rId2731" Type="http://schemas.openxmlformats.org/officeDocument/2006/relationships/hyperlink" Target="https://twitter.com/internetsurfing" TargetMode="External"/><Relationship Id="rId1401" Type="http://schemas.openxmlformats.org/officeDocument/2006/relationships/hyperlink" Target="https://twitter.com/nucAmbiguous" TargetMode="External"/><Relationship Id="rId2732" Type="http://schemas.openxmlformats.org/officeDocument/2006/relationships/hyperlink" Target="https://twitter.com/internetsurfing/status/702923610495672320" TargetMode="External"/><Relationship Id="rId1402" Type="http://schemas.openxmlformats.org/officeDocument/2006/relationships/hyperlink" Target="https://twitter.com/nucAmbiguous/status/702867652981555200" TargetMode="External"/><Relationship Id="rId2733" Type="http://schemas.openxmlformats.org/officeDocument/2006/relationships/hyperlink" Target="https://pbs.twimg.com/profile_images/1627275100/photo_bw_normal.jpg" TargetMode="External"/><Relationship Id="rId1403" Type="http://schemas.openxmlformats.org/officeDocument/2006/relationships/hyperlink" Target="https://pbs.twimg.com/profile_images/700902391097372672/fJx8iRsJ_normal.jpg" TargetMode="External"/><Relationship Id="rId2734" Type="http://schemas.openxmlformats.org/officeDocument/2006/relationships/hyperlink" Target="https://twitter.com/cotdp" TargetMode="External"/><Relationship Id="rId1404" Type="http://schemas.openxmlformats.org/officeDocument/2006/relationships/hyperlink" Target="https://twitter.com/vigneshpamu" TargetMode="External"/><Relationship Id="rId2735" Type="http://schemas.openxmlformats.org/officeDocument/2006/relationships/hyperlink" Target="https://twitter.com/cotdp/status/702923727609176064" TargetMode="External"/><Relationship Id="rId1405" Type="http://schemas.openxmlformats.org/officeDocument/2006/relationships/hyperlink" Target="https://twitter.com/vigneshpamu/status/702867862814375937" TargetMode="External"/><Relationship Id="rId2736" Type="http://schemas.openxmlformats.org/officeDocument/2006/relationships/hyperlink" Target="https://pbs.twimg.com/profile_images/666121241305071620/-HnaknbU_normal.jpg" TargetMode="External"/><Relationship Id="rId1406" Type="http://schemas.openxmlformats.org/officeDocument/2006/relationships/hyperlink" Target="https://pbs.twimg.com/profile_images/378800000682733989/a3bf5552e4184981ce4504a794bc7d22_normal.jpeg" TargetMode="External"/><Relationship Id="rId2737" Type="http://schemas.openxmlformats.org/officeDocument/2006/relationships/hyperlink" Target="https://twitter.com/damonrouse" TargetMode="External"/><Relationship Id="rId1407" Type="http://schemas.openxmlformats.org/officeDocument/2006/relationships/hyperlink" Target="https://twitter.com/Talaikis" TargetMode="External"/><Relationship Id="rId2738" Type="http://schemas.openxmlformats.org/officeDocument/2006/relationships/hyperlink" Target="https://twitter.com/damonrouse/status/702923733757898752" TargetMode="External"/><Relationship Id="rId1408" Type="http://schemas.openxmlformats.org/officeDocument/2006/relationships/hyperlink" Target="https://twitter.com/Talaikis/status/702867894808391680" TargetMode="External"/><Relationship Id="rId2739" Type="http://schemas.openxmlformats.org/officeDocument/2006/relationships/hyperlink" Target="https://pbs.twimg.com/profile_images/418906683369197569/Ia1OG2hv_normal.jpeg" TargetMode="External"/><Relationship Id="rId1409" Type="http://schemas.openxmlformats.org/officeDocument/2006/relationships/hyperlink" Target="https://pbs.twimg.com/profile_images/633741904937545728/5M3F0M9m_normal.jpg" TargetMode="External"/><Relationship Id="rId2730" Type="http://schemas.openxmlformats.org/officeDocument/2006/relationships/hyperlink" Target="https://pbs.twimg.com/profile_images/477344764032192512/LAjvaXy5_normal.jpeg" TargetMode="External"/><Relationship Id="rId1433" Type="http://schemas.openxmlformats.org/officeDocument/2006/relationships/hyperlink" Target="https://twitter.com/B_DotNet/status/702868413501325312" TargetMode="External"/><Relationship Id="rId2764" Type="http://schemas.openxmlformats.org/officeDocument/2006/relationships/hyperlink" Target="https://pbs.twimg.com/profile_images/646041794367594497/tLls4xG6_normal.jpg" TargetMode="External"/><Relationship Id="rId1434" Type="http://schemas.openxmlformats.org/officeDocument/2006/relationships/hyperlink" Target="https://pbs.twimg.com/profile_images/1577091782/bdotnet_tw_PNG_normal.png" TargetMode="External"/><Relationship Id="rId2765" Type="http://schemas.openxmlformats.org/officeDocument/2006/relationships/hyperlink" Target="https://twitter.com/outlearn_stream" TargetMode="External"/><Relationship Id="rId1435" Type="http://schemas.openxmlformats.org/officeDocument/2006/relationships/hyperlink" Target="https://twitter.com/ExpertDay" TargetMode="External"/><Relationship Id="rId2766" Type="http://schemas.openxmlformats.org/officeDocument/2006/relationships/hyperlink" Target="https://twitter.com/outlearn_stream/status/702924691862896644" TargetMode="External"/><Relationship Id="rId1436" Type="http://schemas.openxmlformats.org/officeDocument/2006/relationships/hyperlink" Target="https://twitter.com/ExpertDay/status/702868413518114817" TargetMode="External"/><Relationship Id="rId2767" Type="http://schemas.openxmlformats.org/officeDocument/2006/relationships/hyperlink" Target="https://pbs.twimg.com/profile_images/662027059783442432/WaOzA6De_normal.png" TargetMode="External"/><Relationship Id="rId1437" Type="http://schemas.openxmlformats.org/officeDocument/2006/relationships/hyperlink" Target="https://pbs.twimg.com/profile_images/1580399863/logo_fondo_normal.png" TargetMode="External"/><Relationship Id="rId2768" Type="http://schemas.openxmlformats.org/officeDocument/2006/relationships/hyperlink" Target="https://twitter.com/insights_js" TargetMode="External"/><Relationship Id="rId1438" Type="http://schemas.openxmlformats.org/officeDocument/2006/relationships/hyperlink" Target="https://twitter.com/BestAWS" TargetMode="External"/><Relationship Id="rId2769" Type="http://schemas.openxmlformats.org/officeDocument/2006/relationships/hyperlink" Target="https://twitter.com/insights_js/status/702924708237283328" TargetMode="External"/><Relationship Id="rId1439" Type="http://schemas.openxmlformats.org/officeDocument/2006/relationships/hyperlink" Target="https://twitter.com/BestAWS/status/702868478429036544" TargetMode="External"/><Relationship Id="rId609" Type="http://schemas.openxmlformats.org/officeDocument/2006/relationships/hyperlink" Target="https://twitter.com/Rosekhan120" TargetMode="External"/><Relationship Id="rId608" Type="http://schemas.openxmlformats.org/officeDocument/2006/relationships/hyperlink" Target="https://pbs.twimg.com/profile_images/649004216690675712/UAcrP6ol_normal.png" TargetMode="External"/><Relationship Id="rId607" Type="http://schemas.openxmlformats.org/officeDocument/2006/relationships/hyperlink" Target="https://twitter.com/art_control/status/702817110649651200" TargetMode="External"/><Relationship Id="rId602" Type="http://schemas.openxmlformats.org/officeDocument/2006/relationships/hyperlink" Target="https://pbs.twimg.com/profile_images/589906116924088320/2nYk02hy_normal.jpg" TargetMode="External"/><Relationship Id="rId601" Type="http://schemas.openxmlformats.org/officeDocument/2006/relationships/hyperlink" Target="https://twitter.com/christianbarra/status/702816905174913024" TargetMode="External"/><Relationship Id="rId600" Type="http://schemas.openxmlformats.org/officeDocument/2006/relationships/hyperlink" Target="https://twitter.com/christianbarra" TargetMode="External"/><Relationship Id="rId606" Type="http://schemas.openxmlformats.org/officeDocument/2006/relationships/hyperlink" Target="https://twitter.com/art_control" TargetMode="External"/><Relationship Id="rId605" Type="http://schemas.openxmlformats.org/officeDocument/2006/relationships/hyperlink" Target="https://pbs.twimg.com/profile_images/378800000368447504/69584986a3f499eeb5fa2bd4ac263f87_normal.jpeg" TargetMode="External"/><Relationship Id="rId604" Type="http://schemas.openxmlformats.org/officeDocument/2006/relationships/hyperlink" Target="https://twitter.com/rekhasi23410549/status/702816969964150785" TargetMode="External"/><Relationship Id="rId603" Type="http://schemas.openxmlformats.org/officeDocument/2006/relationships/hyperlink" Target="https://twitter.com/rekhasi23410549" TargetMode="External"/><Relationship Id="rId2760" Type="http://schemas.openxmlformats.org/officeDocument/2006/relationships/hyperlink" Target="https://twitter.com/thekonq/status/702924551387258880" TargetMode="External"/><Relationship Id="rId1430" Type="http://schemas.openxmlformats.org/officeDocument/2006/relationships/hyperlink" Target="https://twitter.com/ColDesarrollado/status/702868413484548096" TargetMode="External"/><Relationship Id="rId2761" Type="http://schemas.openxmlformats.org/officeDocument/2006/relationships/hyperlink" Target="https://pbs.twimg.com/profile_images/378800000528846644/3f33650db259bd2b56f3e2c197d95b3c_normal.png" TargetMode="External"/><Relationship Id="rId1431" Type="http://schemas.openxmlformats.org/officeDocument/2006/relationships/hyperlink" Target="https://pbs.twimg.com/profile_images/378800000424471602/b0e11fecf5291c1b917532694e0d8247_normal.png" TargetMode="External"/><Relationship Id="rId2762" Type="http://schemas.openxmlformats.org/officeDocument/2006/relationships/hyperlink" Target="https://twitter.com/saramsmith" TargetMode="External"/><Relationship Id="rId1432" Type="http://schemas.openxmlformats.org/officeDocument/2006/relationships/hyperlink" Target="https://twitter.com/B_DotNet" TargetMode="External"/><Relationship Id="rId2763" Type="http://schemas.openxmlformats.org/officeDocument/2006/relationships/hyperlink" Target="https://twitter.com/saramsmith/status/702924633490771968" TargetMode="External"/><Relationship Id="rId1422" Type="http://schemas.openxmlformats.org/officeDocument/2006/relationships/hyperlink" Target="https://pbs.twimg.com/profile_images/696027734359805953/3xZnbWrm_normal.jpg" TargetMode="External"/><Relationship Id="rId2753" Type="http://schemas.openxmlformats.org/officeDocument/2006/relationships/hyperlink" Target="https://twitter.com/trebor74hr" TargetMode="External"/><Relationship Id="rId1423" Type="http://schemas.openxmlformats.org/officeDocument/2006/relationships/hyperlink" Target="https://twitter.com/ralvaradot" TargetMode="External"/><Relationship Id="rId2754" Type="http://schemas.openxmlformats.org/officeDocument/2006/relationships/hyperlink" Target="https://twitter.com/trebor74hr/status/702924296717516800" TargetMode="External"/><Relationship Id="rId1424" Type="http://schemas.openxmlformats.org/officeDocument/2006/relationships/hyperlink" Target="https://twitter.com/ralvaradot/status/702868386418728960" TargetMode="External"/><Relationship Id="rId2755" Type="http://schemas.openxmlformats.org/officeDocument/2006/relationships/hyperlink" Target="https://pbs.twimg.com/profile_images/1209702114/portrait-IMG_4202_normal.png" TargetMode="External"/><Relationship Id="rId1425" Type="http://schemas.openxmlformats.org/officeDocument/2006/relationships/hyperlink" Target="https://pbs.twimg.com/profile_images/1222674400/c88efa43-0d98-4ba4-ba7c-9a512aaadccf_normal.png" TargetMode="External"/><Relationship Id="rId2756" Type="http://schemas.openxmlformats.org/officeDocument/2006/relationships/hyperlink" Target="https://twitter.com/Stiles_Dub" TargetMode="External"/><Relationship Id="rId1426" Type="http://schemas.openxmlformats.org/officeDocument/2006/relationships/hyperlink" Target="https://twitter.com/BDotNetCol" TargetMode="External"/><Relationship Id="rId2757" Type="http://schemas.openxmlformats.org/officeDocument/2006/relationships/hyperlink" Target="https://twitter.com/Stiles_Dub/status/702924527026700288" TargetMode="External"/><Relationship Id="rId1427" Type="http://schemas.openxmlformats.org/officeDocument/2006/relationships/hyperlink" Target="https://twitter.com/BDotNetCol/status/702868413459333121" TargetMode="External"/><Relationship Id="rId2758" Type="http://schemas.openxmlformats.org/officeDocument/2006/relationships/hyperlink" Target="https://pbs.twimg.com/profile_images/609802826055839745/6x8fnOTZ_normal.jpg" TargetMode="External"/><Relationship Id="rId1428" Type="http://schemas.openxmlformats.org/officeDocument/2006/relationships/hyperlink" Target="https://abs.twimg.com/sticky/default_profile_images/default_profile_0_normal.png" TargetMode="External"/><Relationship Id="rId2759" Type="http://schemas.openxmlformats.org/officeDocument/2006/relationships/hyperlink" Target="https://twitter.com/thekonq" TargetMode="External"/><Relationship Id="rId1429" Type="http://schemas.openxmlformats.org/officeDocument/2006/relationships/hyperlink" Target="https://twitter.com/ColDesarrollado" TargetMode="External"/><Relationship Id="rId2750" Type="http://schemas.openxmlformats.org/officeDocument/2006/relationships/hyperlink" Target="https://twitter.com/WFLA" TargetMode="External"/><Relationship Id="rId1420" Type="http://schemas.openxmlformats.org/officeDocument/2006/relationships/hyperlink" Target="https://twitter.com/0_N72" TargetMode="External"/><Relationship Id="rId2751" Type="http://schemas.openxmlformats.org/officeDocument/2006/relationships/hyperlink" Target="https://twitter.com/WFLA/status/702924132451815424" TargetMode="External"/><Relationship Id="rId1421" Type="http://schemas.openxmlformats.org/officeDocument/2006/relationships/hyperlink" Target="https://twitter.com/0_N72/status/702868194252480512" TargetMode="External"/><Relationship Id="rId2752" Type="http://schemas.openxmlformats.org/officeDocument/2006/relationships/hyperlink" Target="https://pbs.twimg.com/profile_images/572845851618185216/EAxzm7z7_normal.jpeg" TargetMode="External"/><Relationship Id="rId8927" Type="http://schemas.openxmlformats.org/officeDocument/2006/relationships/hyperlink" Target="https://pbs.twimg.com/profile_images/449852709609295872/l-1LHUk8_normal.jpeg" TargetMode="External"/><Relationship Id="rId8926" Type="http://schemas.openxmlformats.org/officeDocument/2006/relationships/hyperlink" Target="https://twitter.com/nsz_no/status/703252677086584832" TargetMode="External"/><Relationship Id="rId8925" Type="http://schemas.openxmlformats.org/officeDocument/2006/relationships/hyperlink" Target="https://twitter.com/nsz_no" TargetMode="External"/><Relationship Id="rId8924" Type="http://schemas.openxmlformats.org/officeDocument/2006/relationships/hyperlink" Target="https://pbs.twimg.com/profile_images/440160881997926402/7tdqJ5YQ_normal.jpeg" TargetMode="External"/><Relationship Id="rId8929" Type="http://schemas.openxmlformats.org/officeDocument/2006/relationships/hyperlink" Target="https://twitter.com/cool_python/status/703252726998761472" TargetMode="External"/><Relationship Id="rId8928" Type="http://schemas.openxmlformats.org/officeDocument/2006/relationships/hyperlink" Target="https://twitter.com/cool_python" TargetMode="External"/><Relationship Id="rId8923" Type="http://schemas.openxmlformats.org/officeDocument/2006/relationships/hyperlink" Target="https://twitter.com/adnan_hashmi/status/703252352866844672" TargetMode="External"/><Relationship Id="rId8922" Type="http://schemas.openxmlformats.org/officeDocument/2006/relationships/hyperlink" Target="https://twitter.com/adnan_hashmi" TargetMode="External"/><Relationship Id="rId8921" Type="http://schemas.openxmlformats.org/officeDocument/2006/relationships/hyperlink" Target="https://pbs.twimg.com/profile_images/625868636486561792/zk_Qv_Dp_normal.jpg" TargetMode="External"/><Relationship Id="rId8920" Type="http://schemas.openxmlformats.org/officeDocument/2006/relationships/hyperlink" Target="https://twitter.com/MaMingya/status/703252137862496256" TargetMode="External"/><Relationship Id="rId8916" Type="http://schemas.openxmlformats.org/officeDocument/2006/relationships/hyperlink" Target="https://twitter.com/Gradjobpodcast" TargetMode="External"/><Relationship Id="rId8915" Type="http://schemas.openxmlformats.org/officeDocument/2006/relationships/hyperlink" Target="https://pbs.twimg.com/profile_images/558912432739844096/_bGu5lOZ_normal.jpeg" TargetMode="External"/><Relationship Id="rId8914" Type="http://schemas.openxmlformats.org/officeDocument/2006/relationships/hyperlink" Target="https://twitter.com/pranjalworm/status/703251915858022400" TargetMode="External"/><Relationship Id="rId8913" Type="http://schemas.openxmlformats.org/officeDocument/2006/relationships/hyperlink" Target="https://twitter.com/pranjalworm" TargetMode="External"/><Relationship Id="rId8919" Type="http://schemas.openxmlformats.org/officeDocument/2006/relationships/hyperlink" Target="https://twitter.com/MaMingya" TargetMode="External"/><Relationship Id="rId8918" Type="http://schemas.openxmlformats.org/officeDocument/2006/relationships/hyperlink" Target="https://pbs.twimg.com/profile_images/504639508634009601/vGq1UpfW_normal.jpeg" TargetMode="External"/><Relationship Id="rId8917" Type="http://schemas.openxmlformats.org/officeDocument/2006/relationships/hyperlink" Target="https://twitter.com/Gradjobpodcast/status/703252062356807681" TargetMode="External"/><Relationship Id="rId699" Type="http://schemas.openxmlformats.org/officeDocument/2006/relationships/hyperlink" Target="https://twitter.com/pdipao/status/702826658705903616" TargetMode="External"/><Relationship Id="rId698" Type="http://schemas.openxmlformats.org/officeDocument/2006/relationships/hyperlink" Target="https://twitter.com/pdipao" TargetMode="External"/><Relationship Id="rId693" Type="http://schemas.openxmlformats.org/officeDocument/2006/relationships/hyperlink" Target="https://twitter.com/zeromq/status/702826533476507648" TargetMode="External"/><Relationship Id="rId692" Type="http://schemas.openxmlformats.org/officeDocument/2006/relationships/hyperlink" Target="https://twitter.com/zeromq" TargetMode="External"/><Relationship Id="rId691" Type="http://schemas.openxmlformats.org/officeDocument/2006/relationships/hyperlink" Target="https://abs.twimg.com/sticky/default_profile_images/default_profile_5_normal.png" TargetMode="External"/><Relationship Id="rId690" Type="http://schemas.openxmlformats.org/officeDocument/2006/relationships/hyperlink" Target="https://twitter.com/PHLTechEvents/status/702826415553650688" TargetMode="External"/><Relationship Id="rId697" Type="http://schemas.openxmlformats.org/officeDocument/2006/relationships/hyperlink" Target="https://pbs.twimg.com/profile_images/679608317581242369/8xRCcf3q_normal.jpg" TargetMode="External"/><Relationship Id="rId8912" Type="http://schemas.openxmlformats.org/officeDocument/2006/relationships/hyperlink" Target="https://pbs.twimg.com/profile_images/677493910256484352/-EdVaVPl_normal.jpg" TargetMode="External"/><Relationship Id="rId696" Type="http://schemas.openxmlformats.org/officeDocument/2006/relationships/hyperlink" Target="https://twitter.com/hintjens/status/702826630952185858" TargetMode="External"/><Relationship Id="rId8911" Type="http://schemas.openxmlformats.org/officeDocument/2006/relationships/hyperlink" Target="https://twitter.com/MTotolrahaman/status/703251882404356096" TargetMode="External"/><Relationship Id="rId695" Type="http://schemas.openxmlformats.org/officeDocument/2006/relationships/hyperlink" Target="https://twitter.com/hintjens" TargetMode="External"/><Relationship Id="rId8910" Type="http://schemas.openxmlformats.org/officeDocument/2006/relationships/hyperlink" Target="https://twitter.com/MTotolrahaman" TargetMode="External"/><Relationship Id="rId694" Type="http://schemas.openxmlformats.org/officeDocument/2006/relationships/hyperlink" Target="https://pbs.twimg.com/profile_images/702825976221323265/mGo54er5_normal.png" TargetMode="External"/><Relationship Id="rId7618" Type="http://schemas.openxmlformats.org/officeDocument/2006/relationships/hyperlink" Target="https://twitter.com/unlmtdsmarttech/status/703198522145947649" TargetMode="External"/><Relationship Id="rId8949" Type="http://schemas.openxmlformats.org/officeDocument/2006/relationships/hyperlink" Target="https://twitter.com/itknowingness" TargetMode="External"/><Relationship Id="rId7617" Type="http://schemas.openxmlformats.org/officeDocument/2006/relationships/hyperlink" Target="https://twitter.com/unlmtdsmarttech" TargetMode="External"/><Relationship Id="rId8948" Type="http://schemas.openxmlformats.org/officeDocument/2006/relationships/hyperlink" Target="https://pbs.twimg.com/profile_images/687793404810543104/F9YS6uCI_normal.jpg" TargetMode="External"/><Relationship Id="rId7616" Type="http://schemas.openxmlformats.org/officeDocument/2006/relationships/hyperlink" Target="https://pbs.twimg.com/profile_images/1834601597/Wall-E_normal.jpg" TargetMode="External"/><Relationship Id="rId8947" Type="http://schemas.openxmlformats.org/officeDocument/2006/relationships/hyperlink" Target="https://twitter.com/robert_kalman/status/703253498364862466" TargetMode="External"/><Relationship Id="rId7615" Type="http://schemas.openxmlformats.org/officeDocument/2006/relationships/hyperlink" Target="https://twitter.com/TehHarry/status/703198489430196224" TargetMode="External"/><Relationship Id="rId8946" Type="http://schemas.openxmlformats.org/officeDocument/2006/relationships/hyperlink" Target="https://twitter.com/robert_kalman" TargetMode="External"/><Relationship Id="rId7619" Type="http://schemas.openxmlformats.org/officeDocument/2006/relationships/hyperlink" Target="https://pbs.twimg.com/profile_images/671525031948652544/gPRky3nV_normal.jpg" TargetMode="External"/><Relationship Id="rId7610" Type="http://schemas.openxmlformats.org/officeDocument/2006/relationships/hyperlink" Target="https://pbs.twimg.com/profile_images/452064440687423488/nbwrKTwP_normal.jpeg" TargetMode="External"/><Relationship Id="rId8941" Type="http://schemas.openxmlformats.org/officeDocument/2006/relationships/hyperlink" Target="https://twitter.com/SamGouldson/status/703253338008231943" TargetMode="External"/><Relationship Id="rId8940" Type="http://schemas.openxmlformats.org/officeDocument/2006/relationships/hyperlink" Target="https://twitter.com/SamGouldson" TargetMode="External"/><Relationship Id="rId7614" Type="http://schemas.openxmlformats.org/officeDocument/2006/relationships/hyperlink" Target="https://twitter.com/TehHarry" TargetMode="External"/><Relationship Id="rId8945" Type="http://schemas.openxmlformats.org/officeDocument/2006/relationships/hyperlink" Target="https://pbs.twimg.com/profile_images/675076410801827840/TjA05IGj_normal.jpg" TargetMode="External"/><Relationship Id="rId7613" Type="http://schemas.openxmlformats.org/officeDocument/2006/relationships/hyperlink" Target="https://pbs.twimg.com/profile_images/475228702922387457/6gYeuqxD_normal.jpeg" TargetMode="External"/><Relationship Id="rId8944" Type="http://schemas.openxmlformats.org/officeDocument/2006/relationships/hyperlink" Target="https://twitter.com/paleecha29/status/703253399446253568" TargetMode="External"/><Relationship Id="rId7612" Type="http://schemas.openxmlformats.org/officeDocument/2006/relationships/hyperlink" Target="https://twitter.com/pydigest/status/703198357724991490" TargetMode="External"/><Relationship Id="rId8943" Type="http://schemas.openxmlformats.org/officeDocument/2006/relationships/hyperlink" Target="https://twitter.com/paleecha29" TargetMode="External"/><Relationship Id="rId7611" Type="http://schemas.openxmlformats.org/officeDocument/2006/relationships/hyperlink" Target="https://twitter.com/pydigest" TargetMode="External"/><Relationship Id="rId8942" Type="http://schemas.openxmlformats.org/officeDocument/2006/relationships/hyperlink" Target="https://pbs.twimg.com/profile_images/703192916555014148/96EeUh0n_normal.jpg" TargetMode="External"/><Relationship Id="rId7607" Type="http://schemas.openxmlformats.org/officeDocument/2006/relationships/hyperlink" Target="https://pbs.twimg.com/profile_images/2065763037/JFP2_normal.jpg" TargetMode="External"/><Relationship Id="rId8938" Type="http://schemas.openxmlformats.org/officeDocument/2006/relationships/hyperlink" Target="https://twitter.com/anuncio_rocks/status/703253181644546048" TargetMode="External"/><Relationship Id="rId7606" Type="http://schemas.openxmlformats.org/officeDocument/2006/relationships/hyperlink" Target="https://twitter.com/JFPuget/status/703198001121009664" TargetMode="External"/><Relationship Id="rId8937" Type="http://schemas.openxmlformats.org/officeDocument/2006/relationships/hyperlink" Target="https://twitter.com/anuncio_rocks" TargetMode="External"/><Relationship Id="rId7605" Type="http://schemas.openxmlformats.org/officeDocument/2006/relationships/hyperlink" Target="https://twitter.com/JFPuget" TargetMode="External"/><Relationship Id="rId8936" Type="http://schemas.openxmlformats.org/officeDocument/2006/relationships/hyperlink" Target="https://pbs.twimg.com/profile_images/417652270700830721/ZC3MBsa-_normal.jpeg" TargetMode="External"/><Relationship Id="rId7604" Type="http://schemas.openxmlformats.org/officeDocument/2006/relationships/hyperlink" Target="https://pbs.twimg.com/profile_images/426835941571837952/2iq2CUk4_normal.png" TargetMode="External"/><Relationship Id="rId8935" Type="http://schemas.openxmlformats.org/officeDocument/2006/relationships/hyperlink" Target="https://twitter.com/blug_jp/status/703252871844724736" TargetMode="External"/><Relationship Id="rId7609" Type="http://schemas.openxmlformats.org/officeDocument/2006/relationships/hyperlink" Target="https://twitter.com/cocoacoda/status/703198074923937792" TargetMode="External"/><Relationship Id="rId7608" Type="http://schemas.openxmlformats.org/officeDocument/2006/relationships/hyperlink" Target="https://twitter.com/cocoacoda" TargetMode="External"/><Relationship Id="rId8939" Type="http://schemas.openxmlformats.org/officeDocument/2006/relationships/hyperlink" Target="https://pbs.twimg.com/profile_images/601426441562120192/V1xJJe7c_normal.png" TargetMode="External"/><Relationship Id="rId8930" Type="http://schemas.openxmlformats.org/officeDocument/2006/relationships/hyperlink" Target="https://pbs.twimg.com/profile_images/572091631055028224/Pkx__FSB_normal.png" TargetMode="External"/><Relationship Id="rId7603" Type="http://schemas.openxmlformats.org/officeDocument/2006/relationships/hyperlink" Target="https://twitter.com/Scylardor/status/703197850159681536" TargetMode="External"/><Relationship Id="rId8934" Type="http://schemas.openxmlformats.org/officeDocument/2006/relationships/hyperlink" Target="https://twitter.com/blug_jp" TargetMode="External"/><Relationship Id="rId7602" Type="http://schemas.openxmlformats.org/officeDocument/2006/relationships/hyperlink" Target="https://twitter.com/Scylardor" TargetMode="External"/><Relationship Id="rId8933" Type="http://schemas.openxmlformats.org/officeDocument/2006/relationships/hyperlink" Target="https://pbs.twimg.com/profile_images/647102811923173376/R51JaRlp_normal.png" TargetMode="External"/><Relationship Id="rId7601" Type="http://schemas.openxmlformats.org/officeDocument/2006/relationships/hyperlink" Target="https://pbs.twimg.com/profile_images/1216266877/2006-05-01_500x444_300dpi_q95_normal.jpg" TargetMode="External"/><Relationship Id="rId8932" Type="http://schemas.openxmlformats.org/officeDocument/2006/relationships/hyperlink" Target="https://twitter.com/_joac/status/703252728013832193" TargetMode="External"/><Relationship Id="rId7600" Type="http://schemas.openxmlformats.org/officeDocument/2006/relationships/hyperlink" Target="https://twitter.com/russel_winder/status/703197681972334592" TargetMode="External"/><Relationship Id="rId8931" Type="http://schemas.openxmlformats.org/officeDocument/2006/relationships/hyperlink" Target="https://twitter.com/_joac" TargetMode="External"/><Relationship Id="rId1499" Type="http://schemas.openxmlformats.org/officeDocument/2006/relationships/hyperlink" Target="https://twitter.com/PythonWeekly" TargetMode="External"/><Relationship Id="rId668" Type="http://schemas.openxmlformats.org/officeDocument/2006/relationships/hyperlink" Target="https://twitter.com/livecodingtv/status/702822614385844225" TargetMode="External"/><Relationship Id="rId667" Type="http://schemas.openxmlformats.org/officeDocument/2006/relationships/hyperlink" Target="http://Livecoding.tv" TargetMode="External"/><Relationship Id="rId666" Type="http://schemas.openxmlformats.org/officeDocument/2006/relationships/hyperlink" Target="https://twitter.com/livecodingtv" TargetMode="External"/><Relationship Id="rId665" Type="http://schemas.openxmlformats.org/officeDocument/2006/relationships/hyperlink" Target="https://pbs.twimg.com/profile_images/3678592435/c96c2d85edf68256dbea146099a4e262_normal.png" TargetMode="External"/><Relationship Id="rId669" Type="http://schemas.openxmlformats.org/officeDocument/2006/relationships/hyperlink" Target="http://www.livecoding.tv" TargetMode="External"/><Relationship Id="rId1490" Type="http://schemas.openxmlformats.org/officeDocument/2006/relationships/hyperlink" Target="https://twitter.com/studioego" TargetMode="External"/><Relationship Id="rId660" Type="http://schemas.openxmlformats.org/officeDocument/2006/relationships/hyperlink" Target="https://twitter.com/smartaayu" TargetMode="External"/><Relationship Id="rId1491" Type="http://schemas.openxmlformats.org/officeDocument/2006/relationships/hyperlink" Target="https://twitter.com/studioego/status/702870734004056064" TargetMode="External"/><Relationship Id="rId1492" Type="http://schemas.openxmlformats.org/officeDocument/2006/relationships/hyperlink" Target="https://pbs.twimg.com/profile_images/537058631024275456/epiJkkOw_normal.jpeg" TargetMode="External"/><Relationship Id="rId1493" Type="http://schemas.openxmlformats.org/officeDocument/2006/relationships/hyperlink" Target="https://twitter.com/37point2" TargetMode="External"/><Relationship Id="rId1494" Type="http://schemas.openxmlformats.org/officeDocument/2006/relationships/hyperlink" Target="https://twitter.com/37point2/status/702870823762272257" TargetMode="External"/><Relationship Id="rId664" Type="http://schemas.openxmlformats.org/officeDocument/2006/relationships/hyperlink" Target="https://twitter.com/ajsanchezsanz/status/702822532534149120" TargetMode="External"/><Relationship Id="rId1495" Type="http://schemas.openxmlformats.org/officeDocument/2006/relationships/hyperlink" Target="https://pbs.twimg.com/profile_images/1322795553/wooly_normal.bmp" TargetMode="External"/><Relationship Id="rId663" Type="http://schemas.openxmlformats.org/officeDocument/2006/relationships/hyperlink" Target="https://twitter.com/ajsanchezsanz" TargetMode="External"/><Relationship Id="rId1496" Type="http://schemas.openxmlformats.org/officeDocument/2006/relationships/hyperlink" Target="https://twitter.com/mikegrimshaw2" TargetMode="External"/><Relationship Id="rId662" Type="http://schemas.openxmlformats.org/officeDocument/2006/relationships/hyperlink" Target="https://pbs.twimg.com/profile_images/686534394723450880/pEKykTjf_normal.jpg" TargetMode="External"/><Relationship Id="rId1497" Type="http://schemas.openxmlformats.org/officeDocument/2006/relationships/hyperlink" Target="https://twitter.com/mikegrimshaw2/status/702870943983513601" TargetMode="External"/><Relationship Id="rId661" Type="http://schemas.openxmlformats.org/officeDocument/2006/relationships/hyperlink" Target="https://twitter.com/smartaayu/status/702822255936442369" TargetMode="External"/><Relationship Id="rId1498" Type="http://schemas.openxmlformats.org/officeDocument/2006/relationships/hyperlink" Target="https://pbs.twimg.com/profile_images/611686609407180800/hZKDoHLq_normal.jpg" TargetMode="External"/><Relationship Id="rId1488" Type="http://schemas.openxmlformats.org/officeDocument/2006/relationships/hyperlink" Target="https://twitter.com/PacktPub/status/702870706678136832" TargetMode="External"/><Relationship Id="rId1489" Type="http://schemas.openxmlformats.org/officeDocument/2006/relationships/hyperlink" Target="https://pbs.twimg.com/profile_images/685502131433041920/c6eSyWf7_normal.png" TargetMode="External"/><Relationship Id="rId657" Type="http://schemas.openxmlformats.org/officeDocument/2006/relationships/hyperlink" Target="https://twitter.com/mariuscotor" TargetMode="External"/><Relationship Id="rId656" Type="http://schemas.openxmlformats.org/officeDocument/2006/relationships/hyperlink" Target="https://pbs.twimg.com/profile_images/686534394723450880/pEKykTjf_normal.jpg" TargetMode="External"/><Relationship Id="rId655" Type="http://schemas.openxmlformats.org/officeDocument/2006/relationships/hyperlink" Target="https://twitter.com/smartaayu/status/702822076260831232" TargetMode="External"/><Relationship Id="rId654" Type="http://schemas.openxmlformats.org/officeDocument/2006/relationships/hyperlink" Target="https://twitter.com/smartaayu" TargetMode="External"/><Relationship Id="rId659" Type="http://schemas.openxmlformats.org/officeDocument/2006/relationships/hyperlink" Target="https://pbs.twimg.com/profile_images/552483320349462528/uBfJLmYP_normal.png" TargetMode="External"/><Relationship Id="rId658" Type="http://schemas.openxmlformats.org/officeDocument/2006/relationships/hyperlink" Target="https://twitter.com/mariuscotor/status/702822139267833857" TargetMode="External"/><Relationship Id="rId1480" Type="http://schemas.openxmlformats.org/officeDocument/2006/relationships/hyperlink" Target="https://pbs.twimg.com/profile_images/627996138403168256/DaASdgVr_normal.jpg" TargetMode="External"/><Relationship Id="rId1481" Type="http://schemas.openxmlformats.org/officeDocument/2006/relationships/hyperlink" Target="https://twitter.com/the_real_pdf" TargetMode="External"/><Relationship Id="rId1482" Type="http://schemas.openxmlformats.org/officeDocument/2006/relationships/hyperlink" Target="https://twitter.com/the_real_pdf/status/702870473475035136" TargetMode="External"/><Relationship Id="rId1483" Type="http://schemas.openxmlformats.org/officeDocument/2006/relationships/hyperlink" Target="https://pbs.twimg.com/profile_images/430148297462775808/m6ZMrd9a_normal.jpeg" TargetMode="External"/><Relationship Id="rId653" Type="http://schemas.openxmlformats.org/officeDocument/2006/relationships/hyperlink" Target="https://pbs.twimg.com/profile_images/621211385746161664/tGchJstD_normal.jpg" TargetMode="External"/><Relationship Id="rId1484" Type="http://schemas.openxmlformats.org/officeDocument/2006/relationships/hyperlink" Target="https://twitter.com/_JAStark" TargetMode="External"/><Relationship Id="rId652" Type="http://schemas.openxmlformats.org/officeDocument/2006/relationships/hyperlink" Target="https://twitter.com/wcmckeedotcom/status/702822069092945920" TargetMode="External"/><Relationship Id="rId1485" Type="http://schemas.openxmlformats.org/officeDocument/2006/relationships/hyperlink" Target="https://twitter.com/_JAStark/status/702870564487208961" TargetMode="External"/><Relationship Id="rId651" Type="http://schemas.openxmlformats.org/officeDocument/2006/relationships/hyperlink" Target="https://twitter.com/wcmckeedotcom" TargetMode="External"/><Relationship Id="rId1486" Type="http://schemas.openxmlformats.org/officeDocument/2006/relationships/hyperlink" Target="https://pbs.twimg.com/profile_images/601960744683511808/aDTTukcs_normal.jpg" TargetMode="External"/><Relationship Id="rId650" Type="http://schemas.openxmlformats.org/officeDocument/2006/relationships/hyperlink" Target="https://pbs.twimg.com/profile_images/628486610430984192/hAH6OFGV_normal.jpg" TargetMode="External"/><Relationship Id="rId1487" Type="http://schemas.openxmlformats.org/officeDocument/2006/relationships/hyperlink" Target="https://twitter.com/PacktPub" TargetMode="External"/><Relationship Id="rId8905" Type="http://schemas.openxmlformats.org/officeDocument/2006/relationships/hyperlink" Target="https://twitter.com/HartwigMicheal/status/703251687566344192" TargetMode="External"/><Relationship Id="rId8904" Type="http://schemas.openxmlformats.org/officeDocument/2006/relationships/hyperlink" Target="https://twitter.com/HartwigMicheal" TargetMode="External"/><Relationship Id="rId8903" Type="http://schemas.openxmlformats.org/officeDocument/2006/relationships/hyperlink" Target="https://pbs.twimg.com/profile_images/3552121546/31f5f06932b57512445a2b320d84c891_normal.jpeg" TargetMode="External"/><Relationship Id="rId8902" Type="http://schemas.openxmlformats.org/officeDocument/2006/relationships/hyperlink" Target="https://twitter.com/mtekasetya/status/703251674551488512" TargetMode="External"/><Relationship Id="rId8909" Type="http://schemas.openxmlformats.org/officeDocument/2006/relationships/hyperlink" Target="https://pbs.twimg.com/profile_images/677493910256484352/-EdVaVPl_normal.jpg" TargetMode="External"/><Relationship Id="rId8908" Type="http://schemas.openxmlformats.org/officeDocument/2006/relationships/hyperlink" Target="https://twitter.com/MTotolrahaman/status/703251867187412992" TargetMode="External"/><Relationship Id="rId8907" Type="http://schemas.openxmlformats.org/officeDocument/2006/relationships/hyperlink" Target="https://twitter.com/MTotolrahaman" TargetMode="External"/><Relationship Id="rId8906" Type="http://schemas.openxmlformats.org/officeDocument/2006/relationships/hyperlink" Target="https://pbs.twimg.com/profile_images/679948461953781761/pDo9356K_normal.jpg" TargetMode="External"/><Relationship Id="rId689" Type="http://schemas.openxmlformats.org/officeDocument/2006/relationships/hyperlink" Target="https://twitter.com/PHLTechEvents" TargetMode="External"/><Relationship Id="rId688" Type="http://schemas.openxmlformats.org/officeDocument/2006/relationships/hyperlink" Target="https://pbs.twimg.com/profile_images/695642719948009474/s9J4OUA9_normal.jpg" TargetMode="External"/><Relationship Id="rId687" Type="http://schemas.openxmlformats.org/officeDocument/2006/relationships/hyperlink" Target="https://twitter.com/anioko1/status/702826244438679552" TargetMode="External"/><Relationship Id="rId682" Type="http://schemas.openxmlformats.org/officeDocument/2006/relationships/hyperlink" Target="https://pbs.twimg.com/profile_images/694741070035423232/cePb80XM_normal.jpg" TargetMode="External"/><Relationship Id="rId681" Type="http://schemas.openxmlformats.org/officeDocument/2006/relationships/hyperlink" Target="https://twitter.com/AlexMourer/status/702825497353457664" TargetMode="External"/><Relationship Id="rId680" Type="http://schemas.openxmlformats.org/officeDocument/2006/relationships/hyperlink" Target="https://twitter.com/AlexMourer" TargetMode="External"/><Relationship Id="rId686" Type="http://schemas.openxmlformats.org/officeDocument/2006/relationships/hyperlink" Target="https://twitter.com/anioko1" TargetMode="External"/><Relationship Id="rId8901" Type="http://schemas.openxmlformats.org/officeDocument/2006/relationships/hyperlink" Target="https://twitter.com/mtekasetya" TargetMode="External"/><Relationship Id="rId685" Type="http://schemas.openxmlformats.org/officeDocument/2006/relationships/hyperlink" Target="https://pbs.twimg.com/profile_images/633624602787246080/gsYUN2QR_normal.png" TargetMode="External"/><Relationship Id="rId8900" Type="http://schemas.openxmlformats.org/officeDocument/2006/relationships/hyperlink" Target="https://pbs.twimg.com/profile_images/679948461953781761/pDo9356K_normal.jpg" TargetMode="External"/><Relationship Id="rId684" Type="http://schemas.openxmlformats.org/officeDocument/2006/relationships/hyperlink" Target="https://twitter.com/allaboutwebbiz/status/702826213677469696" TargetMode="External"/><Relationship Id="rId683" Type="http://schemas.openxmlformats.org/officeDocument/2006/relationships/hyperlink" Target="https://twitter.com/allaboutwebbiz" TargetMode="External"/><Relationship Id="rId679" Type="http://schemas.openxmlformats.org/officeDocument/2006/relationships/hyperlink" Target="https://pbs.twimg.com/profile_images/643779014268579840/bRJStj7A_normal.png" TargetMode="External"/><Relationship Id="rId678" Type="http://schemas.openxmlformats.org/officeDocument/2006/relationships/hyperlink" Target="https://twitter.com/StackDevJobs/status/702825333687455745" TargetMode="External"/><Relationship Id="rId677" Type="http://schemas.openxmlformats.org/officeDocument/2006/relationships/hyperlink" Target="https://twitter.com/StackDevJobs" TargetMode="External"/><Relationship Id="rId676" Type="http://schemas.openxmlformats.org/officeDocument/2006/relationships/hyperlink" Target="https://pbs.twimg.com/profile_images/543370694457692160/F50_TY0U_normal.jpeg" TargetMode="External"/><Relationship Id="rId671" Type="http://schemas.openxmlformats.org/officeDocument/2006/relationships/hyperlink" Target="https://twitter.com/mesrine_29" TargetMode="External"/><Relationship Id="rId670" Type="http://schemas.openxmlformats.org/officeDocument/2006/relationships/hyperlink" Target="https://pbs.twimg.com/profile_images/539451988929294337/hCieN16A_normal.png" TargetMode="External"/><Relationship Id="rId675" Type="http://schemas.openxmlformats.org/officeDocument/2006/relationships/hyperlink" Target="https://twitter.com/smith3471/status/702824425884745728" TargetMode="External"/><Relationship Id="rId674" Type="http://schemas.openxmlformats.org/officeDocument/2006/relationships/hyperlink" Target="https://twitter.com/smith3471" TargetMode="External"/><Relationship Id="rId673" Type="http://schemas.openxmlformats.org/officeDocument/2006/relationships/hyperlink" Target="https://pbs.twimg.com/profile_images/652884954704179200/OqASEDz6_normal.png" TargetMode="External"/><Relationship Id="rId672" Type="http://schemas.openxmlformats.org/officeDocument/2006/relationships/hyperlink" Target="https://twitter.com/mesrine_29/status/702823715113988096" TargetMode="External"/><Relationship Id="rId5019" Type="http://schemas.openxmlformats.org/officeDocument/2006/relationships/hyperlink" Target="https://twitter.com/Luisfilho30" TargetMode="External"/><Relationship Id="rId6340" Type="http://schemas.openxmlformats.org/officeDocument/2006/relationships/hyperlink" Target="https://twitter.com/MTotolrahaman" TargetMode="External"/><Relationship Id="rId7672" Type="http://schemas.openxmlformats.org/officeDocument/2006/relationships/hyperlink" Target="https://pbs.twimg.com/profile_images/652770622192287745/tHCGcol4_normal.jpg" TargetMode="External"/><Relationship Id="rId5010" Type="http://schemas.openxmlformats.org/officeDocument/2006/relationships/hyperlink" Target="https://twitter.com/coding_jobfeeds" TargetMode="External"/><Relationship Id="rId6341" Type="http://schemas.openxmlformats.org/officeDocument/2006/relationships/hyperlink" Target="https://twitter.com/MTotolrahaman/status/703111945272950785" TargetMode="External"/><Relationship Id="rId7671" Type="http://schemas.openxmlformats.org/officeDocument/2006/relationships/hyperlink" Target="https://twitter.com/vsatayamas/status/703200877373317120" TargetMode="External"/><Relationship Id="rId7670" Type="http://schemas.openxmlformats.org/officeDocument/2006/relationships/hyperlink" Target="https://twitter.com/vsatayamas" TargetMode="External"/><Relationship Id="rId5013" Type="http://schemas.openxmlformats.org/officeDocument/2006/relationships/hyperlink" Target="https://twitter.com/Luisfilho30" TargetMode="External"/><Relationship Id="rId6344" Type="http://schemas.openxmlformats.org/officeDocument/2006/relationships/hyperlink" Target="https://twitter.com/jjstevensjj/status/703111998553206784" TargetMode="External"/><Relationship Id="rId7676" Type="http://schemas.openxmlformats.org/officeDocument/2006/relationships/hyperlink" Target="https://twitter.com/pavdmyt" TargetMode="External"/><Relationship Id="rId5014" Type="http://schemas.openxmlformats.org/officeDocument/2006/relationships/hyperlink" Target="https://twitter.com/Luisfilho30/status/703026707197009923" TargetMode="External"/><Relationship Id="rId6345" Type="http://schemas.openxmlformats.org/officeDocument/2006/relationships/hyperlink" Target="https://pbs.twimg.com/profile_images/529946076200304640/mVMfNnvd_normal.jpeg" TargetMode="External"/><Relationship Id="rId7675" Type="http://schemas.openxmlformats.org/officeDocument/2006/relationships/hyperlink" Target="https://pbs.twimg.com/profile_images/378800000638306540/2520440e21b00c5c73a11cd0cdf06102_normal.png" TargetMode="External"/><Relationship Id="rId5011" Type="http://schemas.openxmlformats.org/officeDocument/2006/relationships/hyperlink" Target="https://twitter.com/coding_jobfeeds/status/703025471768948737" TargetMode="External"/><Relationship Id="rId6342" Type="http://schemas.openxmlformats.org/officeDocument/2006/relationships/hyperlink" Target="https://pbs.twimg.com/profile_images/677493910256484352/-EdVaVPl_normal.jpg" TargetMode="External"/><Relationship Id="rId7674" Type="http://schemas.openxmlformats.org/officeDocument/2006/relationships/hyperlink" Target="https://twitter.com/Think3dPrint3d/status/703200926010507265" TargetMode="External"/><Relationship Id="rId5012" Type="http://schemas.openxmlformats.org/officeDocument/2006/relationships/hyperlink" Target="https://pbs.twimg.com/profile_images/611834314586750976/feZ5fZOO_normal.png" TargetMode="External"/><Relationship Id="rId6343" Type="http://schemas.openxmlformats.org/officeDocument/2006/relationships/hyperlink" Target="https://twitter.com/jjstevensjj" TargetMode="External"/><Relationship Id="rId7673" Type="http://schemas.openxmlformats.org/officeDocument/2006/relationships/hyperlink" Target="https://twitter.com/Think3dPrint3d" TargetMode="External"/><Relationship Id="rId5017" Type="http://schemas.openxmlformats.org/officeDocument/2006/relationships/hyperlink" Target="https://twitter.com/Just_inTech/status/703026716776775680" TargetMode="External"/><Relationship Id="rId6348" Type="http://schemas.openxmlformats.org/officeDocument/2006/relationships/hyperlink" Target="https://pbs.twimg.com/profile_images/1835734860/bb_normal.JPG" TargetMode="External"/><Relationship Id="rId5018" Type="http://schemas.openxmlformats.org/officeDocument/2006/relationships/hyperlink" Target="https://pbs.twimg.com/profile_images/378800000292815377/f5c51fbda9a822768fe2b1fb2e0882dc_normal.jpeg" TargetMode="External"/><Relationship Id="rId6349" Type="http://schemas.openxmlformats.org/officeDocument/2006/relationships/hyperlink" Target="https://twitter.com/fazanki" TargetMode="External"/><Relationship Id="rId7679" Type="http://schemas.openxmlformats.org/officeDocument/2006/relationships/hyperlink" Target="https://twitter.com/cesarnogCPS" TargetMode="External"/><Relationship Id="rId5015" Type="http://schemas.openxmlformats.org/officeDocument/2006/relationships/hyperlink" Target="https://pbs.twimg.com/profile_images/666958583830040576/52TlS6eR_normal.jpg" TargetMode="External"/><Relationship Id="rId6346" Type="http://schemas.openxmlformats.org/officeDocument/2006/relationships/hyperlink" Target="https://twitter.com/babarbashir" TargetMode="External"/><Relationship Id="rId7678" Type="http://schemas.openxmlformats.org/officeDocument/2006/relationships/hyperlink" Target="https://pbs.twimg.com/profile_images/648777888980840448/i1sqh0mw_normal.jpg" TargetMode="External"/><Relationship Id="rId5016" Type="http://schemas.openxmlformats.org/officeDocument/2006/relationships/hyperlink" Target="https://twitter.com/Just_inTech" TargetMode="External"/><Relationship Id="rId6347" Type="http://schemas.openxmlformats.org/officeDocument/2006/relationships/hyperlink" Target="https://twitter.com/babarbashir/status/703112078731583488" TargetMode="External"/><Relationship Id="rId7677" Type="http://schemas.openxmlformats.org/officeDocument/2006/relationships/hyperlink" Target="https://twitter.com/pavdmyt/status/703200930506928128" TargetMode="External"/><Relationship Id="rId5008" Type="http://schemas.openxmlformats.org/officeDocument/2006/relationships/hyperlink" Target="https://twitter.com/coding_jobfeeds/status/703025469206175744" TargetMode="External"/><Relationship Id="rId6339" Type="http://schemas.openxmlformats.org/officeDocument/2006/relationships/hyperlink" Target="https://pbs.twimg.com/profile_images/631872006645022720/C3D_WfIt_normal.jpg" TargetMode="External"/><Relationship Id="rId5009" Type="http://schemas.openxmlformats.org/officeDocument/2006/relationships/hyperlink" Target="https://pbs.twimg.com/profile_images/611834314586750976/feZ5fZOO_normal.png" TargetMode="External"/><Relationship Id="rId7661" Type="http://schemas.openxmlformats.org/officeDocument/2006/relationships/hyperlink" Target="https://twitter.com/py3k" TargetMode="External"/><Relationship Id="rId8992" Type="http://schemas.openxmlformats.org/officeDocument/2006/relationships/hyperlink" Target="https://twitter.com/adnan_hashmi" TargetMode="External"/><Relationship Id="rId6330" Type="http://schemas.openxmlformats.org/officeDocument/2006/relationships/hyperlink" Target="https://abs.twimg.com/sticky/default_profile_images/default_profile_4_normal.png" TargetMode="External"/><Relationship Id="rId7660" Type="http://schemas.openxmlformats.org/officeDocument/2006/relationships/hyperlink" Target="https://pbs.twimg.com/profile_images/671623862916812800/yGsDKiP4_normal.jpg" TargetMode="External"/><Relationship Id="rId8991" Type="http://schemas.openxmlformats.org/officeDocument/2006/relationships/hyperlink" Target="https://pbs.twimg.com/profile_images/689134983315894273/A4x6WHL8_normal.png" TargetMode="External"/><Relationship Id="rId8990" Type="http://schemas.openxmlformats.org/officeDocument/2006/relationships/hyperlink" Target="https://twitter.com/AllegiantRec/status/703254719142219776" TargetMode="External"/><Relationship Id="rId5002" Type="http://schemas.openxmlformats.org/officeDocument/2006/relationships/hyperlink" Target="https://twitter.com/coding_jobfeeds/status/703025463090929664" TargetMode="External"/><Relationship Id="rId6333" Type="http://schemas.openxmlformats.org/officeDocument/2006/relationships/hyperlink" Target="https://pbs.twimg.com/profile_images/593138707210883072/2SpYUbcR_normal.jpg" TargetMode="External"/><Relationship Id="rId7665" Type="http://schemas.openxmlformats.org/officeDocument/2006/relationships/hyperlink" Target="https://twitter.com/joblinkme/status/703200553946316804" TargetMode="External"/><Relationship Id="rId8996" Type="http://schemas.openxmlformats.org/officeDocument/2006/relationships/hyperlink" Target="https://twitter.com/learn_lang1/status/703254753908760577" TargetMode="External"/><Relationship Id="rId5003" Type="http://schemas.openxmlformats.org/officeDocument/2006/relationships/hyperlink" Target="https://pbs.twimg.com/profile_images/611834314586750976/feZ5fZOO_normal.png" TargetMode="External"/><Relationship Id="rId6334" Type="http://schemas.openxmlformats.org/officeDocument/2006/relationships/hyperlink" Target="https://twitter.com/HartwigMicheal" TargetMode="External"/><Relationship Id="rId7664" Type="http://schemas.openxmlformats.org/officeDocument/2006/relationships/hyperlink" Target="https://twitter.com/joblinkme" TargetMode="External"/><Relationship Id="rId8995" Type="http://schemas.openxmlformats.org/officeDocument/2006/relationships/hyperlink" Target="https://twitter.com/learn_lang1" TargetMode="External"/><Relationship Id="rId5000" Type="http://schemas.openxmlformats.org/officeDocument/2006/relationships/hyperlink" Target="https://pbs.twimg.com/profile_images/701708113653669888/Nzm67hhC_normal.png" TargetMode="External"/><Relationship Id="rId6331" Type="http://schemas.openxmlformats.org/officeDocument/2006/relationships/hyperlink" Target="https://twitter.com/mheijman" TargetMode="External"/><Relationship Id="rId7663" Type="http://schemas.openxmlformats.org/officeDocument/2006/relationships/hyperlink" Target="https://pbs.twimg.com/profile_images/2474433856/p075cerxh0arpea6ceip_normal.png" TargetMode="External"/><Relationship Id="rId8994" Type="http://schemas.openxmlformats.org/officeDocument/2006/relationships/hyperlink" Target="https://pbs.twimg.com/profile_images/440160881997926402/7tdqJ5YQ_normal.jpeg" TargetMode="External"/><Relationship Id="rId5001" Type="http://schemas.openxmlformats.org/officeDocument/2006/relationships/hyperlink" Target="https://twitter.com/coding_jobfeeds" TargetMode="External"/><Relationship Id="rId6332" Type="http://schemas.openxmlformats.org/officeDocument/2006/relationships/hyperlink" Target="https://twitter.com/mheijman/status/703111592456515584" TargetMode="External"/><Relationship Id="rId7662" Type="http://schemas.openxmlformats.org/officeDocument/2006/relationships/hyperlink" Target="https://twitter.com/py3k/status/703200522220789760" TargetMode="External"/><Relationship Id="rId8993" Type="http://schemas.openxmlformats.org/officeDocument/2006/relationships/hyperlink" Target="https://twitter.com/adnan_hashmi/status/703254751841009664" TargetMode="External"/><Relationship Id="rId5006" Type="http://schemas.openxmlformats.org/officeDocument/2006/relationships/hyperlink" Target="https://pbs.twimg.com/profile_images/611834314586750976/feZ5fZOO_normal.png" TargetMode="External"/><Relationship Id="rId6337" Type="http://schemas.openxmlformats.org/officeDocument/2006/relationships/hyperlink" Target="https://twitter.com/Googleulv" TargetMode="External"/><Relationship Id="rId7669" Type="http://schemas.openxmlformats.org/officeDocument/2006/relationships/hyperlink" Target="https://pbs.twimg.com/profile_images/679566117187145728/UUo30Zpm_normal.jpg" TargetMode="External"/><Relationship Id="rId5007" Type="http://schemas.openxmlformats.org/officeDocument/2006/relationships/hyperlink" Target="https://twitter.com/coding_jobfeeds" TargetMode="External"/><Relationship Id="rId6338" Type="http://schemas.openxmlformats.org/officeDocument/2006/relationships/hyperlink" Target="https://twitter.com/Googleulv/status/703111792524812288" TargetMode="External"/><Relationship Id="rId7668" Type="http://schemas.openxmlformats.org/officeDocument/2006/relationships/hyperlink" Target="https://twitter.com/startechwall/status/703200809664774145" TargetMode="External"/><Relationship Id="rId8999" Type="http://schemas.openxmlformats.org/officeDocument/2006/relationships/hyperlink" Target="https://twitter.com/MariaMgm23/status/703254800385843202" TargetMode="External"/><Relationship Id="rId5004" Type="http://schemas.openxmlformats.org/officeDocument/2006/relationships/hyperlink" Target="https://twitter.com/coding_jobfeeds" TargetMode="External"/><Relationship Id="rId6335" Type="http://schemas.openxmlformats.org/officeDocument/2006/relationships/hyperlink" Target="https://twitter.com/HartwigMicheal/status/703111714745618432" TargetMode="External"/><Relationship Id="rId7667" Type="http://schemas.openxmlformats.org/officeDocument/2006/relationships/hyperlink" Target="https://twitter.com/startechwall" TargetMode="External"/><Relationship Id="rId8998" Type="http://schemas.openxmlformats.org/officeDocument/2006/relationships/hyperlink" Target="https://twitter.com/MariaMgm23" TargetMode="External"/><Relationship Id="rId5005" Type="http://schemas.openxmlformats.org/officeDocument/2006/relationships/hyperlink" Target="https://twitter.com/coding_jobfeeds/status/703025465976614914" TargetMode="External"/><Relationship Id="rId6336" Type="http://schemas.openxmlformats.org/officeDocument/2006/relationships/hyperlink" Target="https://pbs.twimg.com/profile_images/679948461953781761/pDo9356K_normal.jpg" TargetMode="External"/><Relationship Id="rId7666" Type="http://schemas.openxmlformats.org/officeDocument/2006/relationships/hyperlink" Target="https://pbs.twimg.com/profile_images/691680215874019330/dQWsqhG8_normal.jpg" TargetMode="External"/><Relationship Id="rId8997" Type="http://schemas.openxmlformats.org/officeDocument/2006/relationships/hyperlink" Target="https://pbs.twimg.com/profile_images/630112376029843457/DIp7tTzw_normal.jpg" TargetMode="External"/><Relationship Id="rId7690" Type="http://schemas.openxmlformats.org/officeDocument/2006/relationships/hyperlink" Target="https://pbs.twimg.com/profile_images/783576456/Gleamies_WALLPAPER_by_Barbroute_normal.jpg" TargetMode="External"/><Relationship Id="rId5031" Type="http://schemas.openxmlformats.org/officeDocument/2006/relationships/hyperlink" Target="https://pbs.twimg.com/profile_images/1663515697/Nuevo-DA_normal.jpg" TargetMode="External"/><Relationship Id="rId6362" Type="http://schemas.openxmlformats.org/officeDocument/2006/relationships/hyperlink" Target="https://twitter.com/namshub/status/703112700440629248" TargetMode="External"/><Relationship Id="rId7694" Type="http://schemas.openxmlformats.org/officeDocument/2006/relationships/hyperlink" Target="https://twitter.com/cool_python" TargetMode="External"/><Relationship Id="rId5032" Type="http://schemas.openxmlformats.org/officeDocument/2006/relationships/hyperlink" Target="https://twitter.com/securitybrew" TargetMode="External"/><Relationship Id="rId6363" Type="http://schemas.openxmlformats.org/officeDocument/2006/relationships/hyperlink" Target="https://pbs.twimg.com/profile_images/3485369569/ba502ab8c3404a18a798812ed8436256_normal.jpeg" TargetMode="External"/><Relationship Id="rId7693" Type="http://schemas.openxmlformats.org/officeDocument/2006/relationships/hyperlink" Target="https://pbs.twimg.com/profile_images/572091631055028224/Pkx__FSB_normal.png" TargetMode="External"/><Relationship Id="rId6360" Type="http://schemas.openxmlformats.org/officeDocument/2006/relationships/hyperlink" Target="https://pbs.twimg.com/profile_images/676343744250044416/OidH-eFp_normal.png" TargetMode="External"/><Relationship Id="rId7692" Type="http://schemas.openxmlformats.org/officeDocument/2006/relationships/hyperlink" Target="https://twitter.com/cool_python/status/703201752074559488" TargetMode="External"/><Relationship Id="rId5030" Type="http://schemas.openxmlformats.org/officeDocument/2006/relationships/hyperlink" Target="https://twitter.com/detectarte/status/703027720758939649" TargetMode="External"/><Relationship Id="rId6361" Type="http://schemas.openxmlformats.org/officeDocument/2006/relationships/hyperlink" Target="https://twitter.com/namshub" TargetMode="External"/><Relationship Id="rId7691" Type="http://schemas.openxmlformats.org/officeDocument/2006/relationships/hyperlink" Target="https://twitter.com/cool_python" TargetMode="External"/><Relationship Id="rId5035" Type="http://schemas.openxmlformats.org/officeDocument/2006/relationships/hyperlink" Target="https://twitter.com/openscad" TargetMode="External"/><Relationship Id="rId6366" Type="http://schemas.openxmlformats.org/officeDocument/2006/relationships/hyperlink" Target="https://pbs.twimg.com/profile_images/696677095200727040/JDNylP2p_normal.jpg" TargetMode="External"/><Relationship Id="rId7698" Type="http://schemas.openxmlformats.org/officeDocument/2006/relationships/hyperlink" Target="https://twitter.com/101byben/status/703201825256775680" TargetMode="External"/><Relationship Id="rId5036" Type="http://schemas.openxmlformats.org/officeDocument/2006/relationships/hyperlink" Target="https://twitter.com/openscad/status/703027965945184260" TargetMode="External"/><Relationship Id="rId6367" Type="http://schemas.openxmlformats.org/officeDocument/2006/relationships/hyperlink" Target="https://twitter.com/giocante" TargetMode="External"/><Relationship Id="rId7697" Type="http://schemas.openxmlformats.org/officeDocument/2006/relationships/hyperlink" Target="https://twitter.com/101byben" TargetMode="External"/><Relationship Id="rId5033" Type="http://schemas.openxmlformats.org/officeDocument/2006/relationships/hyperlink" Target="https://twitter.com/securitybrew/status/703027871715954688" TargetMode="External"/><Relationship Id="rId6364" Type="http://schemas.openxmlformats.org/officeDocument/2006/relationships/hyperlink" Target="https://twitter.com/c_best01" TargetMode="External"/><Relationship Id="rId7696" Type="http://schemas.openxmlformats.org/officeDocument/2006/relationships/hyperlink" Target="https://pbs.twimg.com/profile_images/572091631055028224/Pkx__FSB_normal.png" TargetMode="External"/><Relationship Id="rId5034" Type="http://schemas.openxmlformats.org/officeDocument/2006/relationships/hyperlink" Target="https://pbs.twimg.com/profile_images/451769662406008832/BUlr4PfN_normal.jpeg" TargetMode="External"/><Relationship Id="rId6365" Type="http://schemas.openxmlformats.org/officeDocument/2006/relationships/hyperlink" Target="https://twitter.com/c_best01/status/703112915306438656" TargetMode="External"/><Relationship Id="rId7695" Type="http://schemas.openxmlformats.org/officeDocument/2006/relationships/hyperlink" Target="https://twitter.com/cool_python/status/703201753769111552" TargetMode="External"/><Relationship Id="rId5039" Type="http://schemas.openxmlformats.org/officeDocument/2006/relationships/hyperlink" Target="https://twitter.com/FreeTutsForYou/status/703028125966405632" TargetMode="External"/><Relationship Id="rId5037" Type="http://schemas.openxmlformats.org/officeDocument/2006/relationships/hyperlink" Target="https://pbs.twimg.com/profile_images/3481336942/553fa030063d466cf1e3f84dace6840e_normal.png" TargetMode="External"/><Relationship Id="rId6368" Type="http://schemas.openxmlformats.org/officeDocument/2006/relationships/hyperlink" Target="https://twitter.com/giocante/status/703112929403473920" TargetMode="External"/><Relationship Id="rId5038" Type="http://schemas.openxmlformats.org/officeDocument/2006/relationships/hyperlink" Target="https://twitter.com/FreeTutsForYou" TargetMode="External"/><Relationship Id="rId6369" Type="http://schemas.openxmlformats.org/officeDocument/2006/relationships/hyperlink" Target="https://pbs.twimg.com/profile_images/547338209684758528/Kb9MNrJR_normal.png" TargetMode="External"/><Relationship Id="rId7699" Type="http://schemas.openxmlformats.org/officeDocument/2006/relationships/hyperlink" Target="https://pbs.twimg.com/profile_images/1576211833/8_normal.jpg" TargetMode="External"/><Relationship Id="rId5020" Type="http://schemas.openxmlformats.org/officeDocument/2006/relationships/hyperlink" Target="https://twitter.com/Luisfilho30/status/703026808871133186" TargetMode="External"/><Relationship Id="rId6351" Type="http://schemas.openxmlformats.org/officeDocument/2006/relationships/hyperlink" Target="https://pbs.twimg.com/profile_images/677089054731730944/8lo6q7YX_normal.jpg" TargetMode="External"/><Relationship Id="rId7683" Type="http://schemas.openxmlformats.org/officeDocument/2006/relationships/hyperlink" Target="https://twitter.com/outsdset/status/703201479654404096" TargetMode="External"/><Relationship Id="rId5021" Type="http://schemas.openxmlformats.org/officeDocument/2006/relationships/hyperlink" Target="https://pbs.twimg.com/profile_images/666958583830040576/52TlS6eR_normal.jpg" TargetMode="External"/><Relationship Id="rId6352" Type="http://schemas.openxmlformats.org/officeDocument/2006/relationships/hyperlink" Target="https://twitter.com/ngkabra" TargetMode="External"/><Relationship Id="rId7682" Type="http://schemas.openxmlformats.org/officeDocument/2006/relationships/hyperlink" Target="https://twitter.com/outsdset" TargetMode="External"/><Relationship Id="rId7681" Type="http://schemas.openxmlformats.org/officeDocument/2006/relationships/hyperlink" Target="https://pbs.twimg.com/profile_images/682455128805359617/r4Be4Yll_normal.jpg" TargetMode="External"/><Relationship Id="rId6350" Type="http://schemas.openxmlformats.org/officeDocument/2006/relationships/hyperlink" Target="https://twitter.com/fazanki/status/703112184520257536" TargetMode="External"/><Relationship Id="rId7680" Type="http://schemas.openxmlformats.org/officeDocument/2006/relationships/hyperlink" Target="https://twitter.com/cesarnogCPS/status/703201149537624064" TargetMode="External"/><Relationship Id="rId5024" Type="http://schemas.openxmlformats.org/officeDocument/2006/relationships/hyperlink" Target="https://pbs.twimg.com/profile_images/700782075595481088/NiHciBeU_normal.jpg" TargetMode="External"/><Relationship Id="rId6355" Type="http://schemas.openxmlformats.org/officeDocument/2006/relationships/hyperlink" Target="https://twitter.com/rgarcia4283" TargetMode="External"/><Relationship Id="rId7687" Type="http://schemas.openxmlformats.org/officeDocument/2006/relationships/hyperlink" Target="https://pbs.twimg.com/profile_images/601625897699975168/UNvBEBTA_normal.png" TargetMode="External"/><Relationship Id="rId5025" Type="http://schemas.openxmlformats.org/officeDocument/2006/relationships/hyperlink" Target="https://twitter.com/amplerodotcom" TargetMode="External"/><Relationship Id="rId6356" Type="http://schemas.openxmlformats.org/officeDocument/2006/relationships/hyperlink" Target="https://twitter.com/rgarcia4283/status/703112532261646336" TargetMode="External"/><Relationship Id="rId7686" Type="http://schemas.openxmlformats.org/officeDocument/2006/relationships/hyperlink" Target="https://twitter.com/theplafone/status/703201717928722432" TargetMode="External"/><Relationship Id="rId5022" Type="http://schemas.openxmlformats.org/officeDocument/2006/relationships/hyperlink" Target="https://twitter.com/datamafia" TargetMode="External"/><Relationship Id="rId6353" Type="http://schemas.openxmlformats.org/officeDocument/2006/relationships/hyperlink" Target="https://twitter.com/ngkabra/status/703112289298153473" TargetMode="External"/><Relationship Id="rId7685" Type="http://schemas.openxmlformats.org/officeDocument/2006/relationships/hyperlink" Target="https://twitter.com/theplafone" TargetMode="External"/><Relationship Id="rId5023" Type="http://schemas.openxmlformats.org/officeDocument/2006/relationships/hyperlink" Target="https://twitter.com/datamafia/status/703027333284896768" TargetMode="External"/><Relationship Id="rId6354" Type="http://schemas.openxmlformats.org/officeDocument/2006/relationships/hyperlink" Target="https://pbs.twimg.com/profile_images/808391299/navin1_normal.jpg" TargetMode="External"/><Relationship Id="rId7684" Type="http://schemas.openxmlformats.org/officeDocument/2006/relationships/hyperlink" Target="https://pbs.twimg.com/profile_images/571677464486756352/tZddM2mM_normal.jpeg" TargetMode="External"/><Relationship Id="rId5028" Type="http://schemas.openxmlformats.org/officeDocument/2006/relationships/hyperlink" Target="https://pbs.twimg.com/profile_images/581870504039964672/HJXT5xHC_normal.png" TargetMode="External"/><Relationship Id="rId6359" Type="http://schemas.openxmlformats.org/officeDocument/2006/relationships/hyperlink" Target="https://twitter.com/FreeTutsForYou/status/703112580005392384" TargetMode="External"/><Relationship Id="rId5029" Type="http://schemas.openxmlformats.org/officeDocument/2006/relationships/hyperlink" Target="https://twitter.com/detectarte" TargetMode="External"/><Relationship Id="rId5026" Type="http://schemas.openxmlformats.org/officeDocument/2006/relationships/hyperlink" Target="http://Amplero.com" TargetMode="External"/><Relationship Id="rId6357" Type="http://schemas.openxmlformats.org/officeDocument/2006/relationships/hyperlink" Target="https://pbs.twimg.com/profile_images/663172931887861760/k7YG-Zpv_normal.jpg" TargetMode="External"/><Relationship Id="rId7689" Type="http://schemas.openxmlformats.org/officeDocument/2006/relationships/hyperlink" Target="https://twitter.com/complex/status/703201723284856832" TargetMode="External"/><Relationship Id="rId5027" Type="http://schemas.openxmlformats.org/officeDocument/2006/relationships/hyperlink" Target="https://twitter.com/amplerodotcom/status/703027477510234112" TargetMode="External"/><Relationship Id="rId6358" Type="http://schemas.openxmlformats.org/officeDocument/2006/relationships/hyperlink" Target="https://twitter.com/FreeTutsForYou" TargetMode="External"/><Relationship Id="rId7688" Type="http://schemas.openxmlformats.org/officeDocument/2006/relationships/hyperlink" Target="https://twitter.com/complex" TargetMode="External"/><Relationship Id="rId6308" Type="http://schemas.openxmlformats.org/officeDocument/2006/relationships/hyperlink" Target="https://twitter.com/artwisanggeni/status/703110300552208384" TargetMode="External"/><Relationship Id="rId6309" Type="http://schemas.openxmlformats.org/officeDocument/2006/relationships/hyperlink" Target="http://dlvr.it" TargetMode="External"/><Relationship Id="rId7639" Type="http://schemas.openxmlformats.org/officeDocument/2006/relationships/hyperlink" Target="https://twitter.com/artwisanggeni" TargetMode="External"/><Relationship Id="rId6306" Type="http://schemas.openxmlformats.org/officeDocument/2006/relationships/hyperlink" Target="https://pbs.twimg.com/profile_images/2813636657/599521f69e2bc210a57323b64d8e39e6_normal.jpeg" TargetMode="External"/><Relationship Id="rId7638" Type="http://schemas.openxmlformats.org/officeDocument/2006/relationships/hyperlink" Target="https://pbs.twimg.com/profile_images/2813636657/599521f69e2bc210a57323b64d8e39e6_normal.jpeg" TargetMode="External"/><Relationship Id="rId8969" Type="http://schemas.openxmlformats.org/officeDocument/2006/relationships/hyperlink" Target="https://twitter.com/natosha_bard/status/703254073525542912" TargetMode="External"/><Relationship Id="rId6307" Type="http://schemas.openxmlformats.org/officeDocument/2006/relationships/hyperlink" Target="https://twitter.com/artwisanggeni" TargetMode="External"/><Relationship Id="rId7637" Type="http://schemas.openxmlformats.org/officeDocument/2006/relationships/hyperlink" Target="http://dlvr.it" TargetMode="External"/><Relationship Id="rId8968" Type="http://schemas.openxmlformats.org/officeDocument/2006/relationships/hyperlink" Target="https://twitter.com/natosha_bard" TargetMode="External"/><Relationship Id="rId6300" Type="http://schemas.openxmlformats.org/officeDocument/2006/relationships/hyperlink" Target="https://twitter.com/hpiedcoq" TargetMode="External"/><Relationship Id="rId7632" Type="http://schemas.openxmlformats.org/officeDocument/2006/relationships/hyperlink" Target="https://twitter.com/Pvalsfr" TargetMode="External"/><Relationship Id="rId8963" Type="http://schemas.openxmlformats.org/officeDocument/2006/relationships/hyperlink" Target="https://twitter.com/okipow/status/703253889257082881" TargetMode="External"/><Relationship Id="rId6301" Type="http://schemas.openxmlformats.org/officeDocument/2006/relationships/hyperlink" Target="https://twitter.com/hpiedcoq/status/703110294675939328" TargetMode="External"/><Relationship Id="rId7631" Type="http://schemas.openxmlformats.org/officeDocument/2006/relationships/hyperlink" Target="https://pbs.twimg.com/profile_images/2474433856/p075cerxh0arpea6ceip_normal.png" TargetMode="External"/><Relationship Id="rId8962" Type="http://schemas.openxmlformats.org/officeDocument/2006/relationships/hyperlink" Target="https://twitter.com/okipow" TargetMode="External"/><Relationship Id="rId7630" Type="http://schemas.openxmlformats.org/officeDocument/2006/relationships/hyperlink" Target="https://twitter.com/py3k/status/703199935060172800" TargetMode="External"/><Relationship Id="rId8961" Type="http://schemas.openxmlformats.org/officeDocument/2006/relationships/hyperlink" Target="https://pbs.twimg.com/profile_images/671623862916812800/yGsDKiP4_normal.jpg" TargetMode="External"/><Relationship Id="rId8960" Type="http://schemas.openxmlformats.org/officeDocument/2006/relationships/hyperlink" Target="https://twitter.com/AdamSmitht1/status/703253705915834368" TargetMode="External"/><Relationship Id="rId6304" Type="http://schemas.openxmlformats.org/officeDocument/2006/relationships/hyperlink" Target="https://twitter.com/artwisanggeni/status/703110296383070211" TargetMode="External"/><Relationship Id="rId7636" Type="http://schemas.openxmlformats.org/officeDocument/2006/relationships/hyperlink" Target="https://twitter.com/artwisanggeni/status/703200390804668417" TargetMode="External"/><Relationship Id="rId8967" Type="http://schemas.openxmlformats.org/officeDocument/2006/relationships/hyperlink" Target="https://pbs.twimg.com/profile_images/679566117187145728/UUo30Zpm_normal.jpg" TargetMode="External"/><Relationship Id="rId6305" Type="http://schemas.openxmlformats.org/officeDocument/2006/relationships/hyperlink" Target="http://dlvr.it" TargetMode="External"/><Relationship Id="rId7635" Type="http://schemas.openxmlformats.org/officeDocument/2006/relationships/hyperlink" Target="https://twitter.com/artwisanggeni" TargetMode="External"/><Relationship Id="rId8966" Type="http://schemas.openxmlformats.org/officeDocument/2006/relationships/hyperlink" Target="https://twitter.com/startechwall/status/703253901223567360" TargetMode="External"/><Relationship Id="rId6302" Type="http://schemas.openxmlformats.org/officeDocument/2006/relationships/hyperlink" Target="https://pbs.twimg.com/profile_images/664456551873257474/HTAo408v_normal.jpg" TargetMode="External"/><Relationship Id="rId7634" Type="http://schemas.openxmlformats.org/officeDocument/2006/relationships/hyperlink" Target="https://abs.twimg.com/sticky/default_profile_images/default_profile_4_normal.png" TargetMode="External"/><Relationship Id="rId8965" Type="http://schemas.openxmlformats.org/officeDocument/2006/relationships/hyperlink" Target="https://twitter.com/startechwall" TargetMode="External"/><Relationship Id="rId6303" Type="http://schemas.openxmlformats.org/officeDocument/2006/relationships/hyperlink" Target="https://twitter.com/artwisanggeni" TargetMode="External"/><Relationship Id="rId7633" Type="http://schemas.openxmlformats.org/officeDocument/2006/relationships/hyperlink" Target="https://twitter.com/Pvalsfr/status/703200021257129984" TargetMode="External"/><Relationship Id="rId8964" Type="http://schemas.openxmlformats.org/officeDocument/2006/relationships/hyperlink" Target="https://pbs.twimg.com/profile_images/513766914267422723/Z4umM6Ws_normal.jpeg" TargetMode="External"/><Relationship Id="rId7629" Type="http://schemas.openxmlformats.org/officeDocument/2006/relationships/hyperlink" Target="https://twitter.com/py3k" TargetMode="External"/><Relationship Id="rId7628" Type="http://schemas.openxmlformats.org/officeDocument/2006/relationships/hyperlink" Target="https://pbs.twimg.com/profile_images/378800000596360619/df4d9a5afecd79145b3c8d9382c97d26_normal.jpeg" TargetMode="External"/><Relationship Id="rId8959" Type="http://schemas.openxmlformats.org/officeDocument/2006/relationships/hyperlink" Target="https://twitter.com/AdamSmitht1" TargetMode="External"/><Relationship Id="rId7627" Type="http://schemas.openxmlformats.org/officeDocument/2006/relationships/hyperlink" Target="https://twitter.com/alisonjo2786/status/703199781850578944" TargetMode="External"/><Relationship Id="rId8958" Type="http://schemas.openxmlformats.org/officeDocument/2006/relationships/hyperlink" Target="https://pbs.twimg.com/profile_images/665496478022938624/5oRjES-8_normal.png" TargetMode="External"/><Relationship Id="rId7626" Type="http://schemas.openxmlformats.org/officeDocument/2006/relationships/hyperlink" Target="https://twitter.com/alisonjo2786" TargetMode="External"/><Relationship Id="rId8957" Type="http://schemas.openxmlformats.org/officeDocument/2006/relationships/hyperlink" Target="https://t.co/CvII9aw7zM" TargetMode="External"/><Relationship Id="rId7621" Type="http://schemas.openxmlformats.org/officeDocument/2006/relationships/hyperlink" Target="https://twitter.com/5610gex/status/703198638210572288" TargetMode="External"/><Relationship Id="rId8952" Type="http://schemas.openxmlformats.org/officeDocument/2006/relationships/hyperlink" Target="https://twitter.com/Mikael_Furesjo" TargetMode="External"/><Relationship Id="rId7620" Type="http://schemas.openxmlformats.org/officeDocument/2006/relationships/hyperlink" Target="https://twitter.com/5610gex" TargetMode="External"/><Relationship Id="rId8951" Type="http://schemas.openxmlformats.org/officeDocument/2006/relationships/hyperlink" Target="https://pbs.twimg.com/profile_images/1164716874/favicon-triada-azul_normal.png" TargetMode="External"/><Relationship Id="rId8950" Type="http://schemas.openxmlformats.org/officeDocument/2006/relationships/hyperlink" Target="https://twitter.com/itknowingness/status/703253503930736640" TargetMode="External"/><Relationship Id="rId7625" Type="http://schemas.openxmlformats.org/officeDocument/2006/relationships/hyperlink" Target="https://pbs.twimg.com/profile_images/701128023454588928/Idr3xRMB_normal.png" TargetMode="External"/><Relationship Id="rId8956" Type="http://schemas.openxmlformats.org/officeDocument/2006/relationships/hyperlink" Target="https://twitter.com/ahmed_ali/status/703253627708809216" TargetMode="External"/><Relationship Id="rId7624" Type="http://schemas.openxmlformats.org/officeDocument/2006/relationships/hyperlink" Target="https://twitter.com/pycareer/status/703198657978437633" TargetMode="External"/><Relationship Id="rId8955" Type="http://schemas.openxmlformats.org/officeDocument/2006/relationships/hyperlink" Target="https://twitter.com/ahmed_ali" TargetMode="External"/><Relationship Id="rId7623" Type="http://schemas.openxmlformats.org/officeDocument/2006/relationships/hyperlink" Target="https://twitter.com/pycareer" TargetMode="External"/><Relationship Id="rId8954" Type="http://schemas.openxmlformats.org/officeDocument/2006/relationships/hyperlink" Target="https://pbs.twimg.com/profile_images/541967225691713536/sEjIUqRQ_normal.jpeg" TargetMode="External"/><Relationship Id="rId7622" Type="http://schemas.openxmlformats.org/officeDocument/2006/relationships/hyperlink" Target="https://pbs.twimg.com/profile_images/497481780752953344/1zPwV6ga_normal.jpeg" TargetMode="External"/><Relationship Id="rId8953" Type="http://schemas.openxmlformats.org/officeDocument/2006/relationships/hyperlink" Target="https://twitter.com/Mikael_Furesjo/status/703253614266073088" TargetMode="External"/><Relationship Id="rId6328" Type="http://schemas.openxmlformats.org/officeDocument/2006/relationships/hyperlink" Target="https://twitter.com/Pvalsfr" TargetMode="External"/><Relationship Id="rId6329" Type="http://schemas.openxmlformats.org/officeDocument/2006/relationships/hyperlink" Target="https://twitter.com/Pvalsfr/status/703111350969462784" TargetMode="External"/><Relationship Id="rId7659" Type="http://schemas.openxmlformats.org/officeDocument/2006/relationships/hyperlink" Target="https://twitter.com/AdamSmitht1/status/703200507649777664" TargetMode="External"/><Relationship Id="rId7650" Type="http://schemas.openxmlformats.org/officeDocument/2006/relationships/hyperlink" Target="https://pbs.twimg.com/profile_images/2813636657/599521f69e2bc210a57323b64d8e39e6_normal.jpeg" TargetMode="External"/><Relationship Id="rId8981" Type="http://schemas.openxmlformats.org/officeDocument/2006/relationships/hyperlink" Target="https://twitter.com/molsson/status/703254437108838405" TargetMode="External"/><Relationship Id="rId8980" Type="http://schemas.openxmlformats.org/officeDocument/2006/relationships/hyperlink" Target="https://twitter.com/molsson" TargetMode="External"/><Relationship Id="rId6322" Type="http://schemas.openxmlformats.org/officeDocument/2006/relationships/hyperlink" Target="https://twitter.com/Pvalsfr" TargetMode="External"/><Relationship Id="rId7654" Type="http://schemas.openxmlformats.org/officeDocument/2006/relationships/hyperlink" Target="https://pbs.twimg.com/profile_images/2813636657/599521f69e2bc210a57323b64d8e39e6_normal.jpeg" TargetMode="External"/><Relationship Id="rId8985" Type="http://schemas.openxmlformats.org/officeDocument/2006/relationships/hyperlink" Target="https://pbs.twimg.com/profile_images/420579444982431745/j7uTAxtF_normal.png" TargetMode="External"/><Relationship Id="rId6323" Type="http://schemas.openxmlformats.org/officeDocument/2006/relationships/hyperlink" Target="https://twitter.com/Pvalsfr/status/703111077735731200" TargetMode="External"/><Relationship Id="rId7653" Type="http://schemas.openxmlformats.org/officeDocument/2006/relationships/hyperlink" Target="http://dlvr.it" TargetMode="External"/><Relationship Id="rId8984" Type="http://schemas.openxmlformats.org/officeDocument/2006/relationships/hyperlink" Target="https://twitter.com/creative_punch/status/703254444822163456" TargetMode="External"/><Relationship Id="rId6320" Type="http://schemas.openxmlformats.org/officeDocument/2006/relationships/hyperlink" Target="https://twitter.com/zoobab/status/703110490600263682" TargetMode="External"/><Relationship Id="rId7652" Type="http://schemas.openxmlformats.org/officeDocument/2006/relationships/hyperlink" Target="https://twitter.com/artwisanggeni/status/703200410937364480" TargetMode="External"/><Relationship Id="rId8983" Type="http://schemas.openxmlformats.org/officeDocument/2006/relationships/hyperlink" Target="https://twitter.com/creative_punch" TargetMode="External"/><Relationship Id="rId6321" Type="http://schemas.openxmlformats.org/officeDocument/2006/relationships/hyperlink" Target="https://pbs.twimg.com/profile_images/251035676/ssp_normal.jpg" TargetMode="External"/><Relationship Id="rId7651" Type="http://schemas.openxmlformats.org/officeDocument/2006/relationships/hyperlink" Target="https://twitter.com/artwisanggeni" TargetMode="External"/><Relationship Id="rId8982" Type="http://schemas.openxmlformats.org/officeDocument/2006/relationships/hyperlink" Target="https://pbs.twimg.com/profile_images/65078119/Mimmis_Sep2008_normal.JPG" TargetMode="External"/><Relationship Id="rId6326" Type="http://schemas.openxmlformats.org/officeDocument/2006/relationships/hyperlink" Target="https://twitter.com/it_ks/status/703111159193346049" TargetMode="External"/><Relationship Id="rId7658" Type="http://schemas.openxmlformats.org/officeDocument/2006/relationships/hyperlink" Target="https://twitter.com/AdamSmitht1" TargetMode="External"/><Relationship Id="rId8989" Type="http://schemas.openxmlformats.org/officeDocument/2006/relationships/hyperlink" Target="https://twitter.com/AllegiantRec" TargetMode="External"/><Relationship Id="rId6327" Type="http://schemas.openxmlformats.org/officeDocument/2006/relationships/hyperlink" Target="https://pbs.twimg.com/profile_images/629609781649498114/iPLQc0Gs_normal.png" TargetMode="External"/><Relationship Id="rId7657" Type="http://schemas.openxmlformats.org/officeDocument/2006/relationships/hyperlink" Target="https://pbs.twimg.com/profile_images/565634839013883904/kB5TbwA-_normal.png" TargetMode="External"/><Relationship Id="rId8988" Type="http://schemas.openxmlformats.org/officeDocument/2006/relationships/hyperlink" Target="https://pbs.twimg.com/profile_images/2894170808/4e250f9c17522f82040ac1afa54e1a36_normal.jpeg" TargetMode="External"/><Relationship Id="rId6324" Type="http://schemas.openxmlformats.org/officeDocument/2006/relationships/hyperlink" Target="https://abs.twimg.com/sticky/default_profile_images/default_profile_4_normal.png" TargetMode="External"/><Relationship Id="rId7656" Type="http://schemas.openxmlformats.org/officeDocument/2006/relationships/hyperlink" Target="https://twitter.com/CIRCA_StAndrews/status/703200494676631552" TargetMode="External"/><Relationship Id="rId8987" Type="http://schemas.openxmlformats.org/officeDocument/2006/relationships/hyperlink" Target="https://twitter.com/AlexeyPodgorny/status/703254564825391105" TargetMode="External"/><Relationship Id="rId6325" Type="http://schemas.openxmlformats.org/officeDocument/2006/relationships/hyperlink" Target="https://twitter.com/it_ks" TargetMode="External"/><Relationship Id="rId7655" Type="http://schemas.openxmlformats.org/officeDocument/2006/relationships/hyperlink" Target="https://twitter.com/CIRCA_StAndrews" TargetMode="External"/><Relationship Id="rId8986" Type="http://schemas.openxmlformats.org/officeDocument/2006/relationships/hyperlink" Target="https://twitter.com/AlexeyPodgorny" TargetMode="External"/><Relationship Id="rId6319" Type="http://schemas.openxmlformats.org/officeDocument/2006/relationships/hyperlink" Target="https://twitter.com/zoobab" TargetMode="External"/><Relationship Id="rId6317" Type="http://schemas.openxmlformats.org/officeDocument/2006/relationships/hyperlink" Target="http://dlvr.it" TargetMode="External"/><Relationship Id="rId7649" Type="http://schemas.openxmlformats.org/officeDocument/2006/relationships/hyperlink" Target="http://dlvr.it" TargetMode="External"/><Relationship Id="rId6318" Type="http://schemas.openxmlformats.org/officeDocument/2006/relationships/hyperlink" Target="https://pbs.twimg.com/profile_images/2813636657/599521f69e2bc210a57323b64d8e39e6_normal.jpeg" TargetMode="External"/><Relationship Id="rId7648" Type="http://schemas.openxmlformats.org/officeDocument/2006/relationships/hyperlink" Target="https://twitter.com/artwisanggeni/status/703200407128973313" TargetMode="External"/><Relationship Id="rId8979" Type="http://schemas.openxmlformats.org/officeDocument/2006/relationships/hyperlink" Target="https://pbs.twimg.com/profile_images/621211385746161664/tGchJstD_normal.jpg" TargetMode="External"/><Relationship Id="rId8970" Type="http://schemas.openxmlformats.org/officeDocument/2006/relationships/hyperlink" Target="https://pbs.twimg.com/profile_images/628474484920455168/LBX19gtV_normal.jpg" TargetMode="External"/><Relationship Id="rId6311" Type="http://schemas.openxmlformats.org/officeDocument/2006/relationships/hyperlink" Target="https://twitter.com/artwisanggeni" TargetMode="External"/><Relationship Id="rId7643" Type="http://schemas.openxmlformats.org/officeDocument/2006/relationships/hyperlink" Target="https://twitter.com/artwisanggeni" TargetMode="External"/><Relationship Id="rId8974" Type="http://schemas.openxmlformats.org/officeDocument/2006/relationships/hyperlink" Target="https://twitter.com/facundobatista" TargetMode="External"/><Relationship Id="rId6312" Type="http://schemas.openxmlformats.org/officeDocument/2006/relationships/hyperlink" Target="https://twitter.com/artwisanggeni/status/703110303622385664" TargetMode="External"/><Relationship Id="rId7642" Type="http://schemas.openxmlformats.org/officeDocument/2006/relationships/hyperlink" Target="https://pbs.twimg.com/profile_images/2813636657/599521f69e2bc210a57323b64d8e39e6_normal.jpeg" TargetMode="External"/><Relationship Id="rId8973" Type="http://schemas.openxmlformats.org/officeDocument/2006/relationships/hyperlink" Target="https://pbs.twimg.com/profile_images/605942062844768256/s2kwVRdv_normal.jpg" TargetMode="External"/><Relationship Id="rId7641" Type="http://schemas.openxmlformats.org/officeDocument/2006/relationships/hyperlink" Target="http://dlvr.it" TargetMode="External"/><Relationship Id="rId8972" Type="http://schemas.openxmlformats.org/officeDocument/2006/relationships/hyperlink" Target="https://twitter.com/mipesom/status/703254218069696512" TargetMode="External"/><Relationship Id="rId6310" Type="http://schemas.openxmlformats.org/officeDocument/2006/relationships/hyperlink" Target="https://pbs.twimg.com/profile_images/2813636657/599521f69e2bc210a57323b64d8e39e6_normal.jpeg" TargetMode="External"/><Relationship Id="rId7640" Type="http://schemas.openxmlformats.org/officeDocument/2006/relationships/hyperlink" Target="https://twitter.com/artwisanggeni/status/703200396248903682" TargetMode="External"/><Relationship Id="rId8971" Type="http://schemas.openxmlformats.org/officeDocument/2006/relationships/hyperlink" Target="https://twitter.com/mipesom" TargetMode="External"/><Relationship Id="rId6315" Type="http://schemas.openxmlformats.org/officeDocument/2006/relationships/hyperlink" Target="https://twitter.com/artwisanggeni" TargetMode="External"/><Relationship Id="rId7647" Type="http://schemas.openxmlformats.org/officeDocument/2006/relationships/hyperlink" Target="https://twitter.com/artwisanggeni" TargetMode="External"/><Relationship Id="rId8978" Type="http://schemas.openxmlformats.org/officeDocument/2006/relationships/hyperlink" Target="https://twitter.com/wcmckeedotcom/status/703254378011103232" TargetMode="External"/><Relationship Id="rId6316" Type="http://schemas.openxmlformats.org/officeDocument/2006/relationships/hyperlink" Target="https://twitter.com/artwisanggeni/status/703110306826833924" TargetMode="External"/><Relationship Id="rId7646" Type="http://schemas.openxmlformats.org/officeDocument/2006/relationships/hyperlink" Target="https://pbs.twimg.com/profile_images/2813636657/599521f69e2bc210a57323b64d8e39e6_normal.jpeg" TargetMode="External"/><Relationship Id="rId8977" Type="http://schemas.openxmlformats.org/officeDocument/2006/relationships/hyperlink" Target="https://twitter.com/wcmckeedotcom" TargetMode="External"/><Relationship Id="rId6313" Type="http://schemas.openxmlformats.org/officeDocument/2006/relationships/hyperlink" Target="http://dlvr.it" TargetMode="External"/><Relationship Id="rId7645" Type="http://schemas.openxmlformats.org/officeDocument/2006/relationships/hyperlink" Target="http://dlvr.it" TargetMode="External"/><Relationship Id="rId8976" Type="http://schemas.openxmlformats.org/officeDocument/2006/relationships/hyperlink" Target="https://pbs.twimg.com/profile_images/590952610590523392/iKicS-70_normal.jpg" TargetMode="External"/><Relationship Id="rId6314" Type="http://schemas.openxmlformats.org/officeDocument/2006/relationships/hyperlink" Target="https://pbs.twimg.com/profile_images/2813636657/599521f69e2bc210a57323b64d8e39e6_normal.jpeg" TargetMode="External"/><Relationship Id="rId7644" Type="http://schemas.openxmlformats.org/officeDocument/2006/relationships/hyperlink" Target="https://twitter.com/artwisanggeni/status/703200400887799808" TargetMode="External"/><Relationship Id="rId8975" Type="http://schemas.openxmlformats.org/officeDocument/2006/relationships/hyperlink" Target="https://twitter.com/facundobatista/status/703254248142802944" TargetMode="External"/><Relationship Id="rId2820" Type="http://schemas.openxmlformats.org/officeDocument/2006/relationships/hyperlink" Target="https://pbs.twimg.com/profile_images/1876623382/000042-1_normal.JPG" TargetMode="External"/><Relationship Id="rId2821" Type="http://schemas.openxmlformats.org/officeDocument/2006/relationships/hyperlink" Target="https://twitter.com/techmix_" TargetMode="External"/><Relationship Id="rId2822" Type="http://schemas.openxmlformats.org/officeDocument/2006/relationships/hyperlink" Target="https://twitter.com/techmix_/status/702926717141303296" TargetMode="External"/><Relationship Id="rId2823" Type="http://schemas.openxmlformats.org/officeDocument/2006/relationships/hyperlink" Target="https://pbs.twimg.com/profile_images/700674879540981761/fKiyB9Ye_normal.png" TargetMode="External"/><Relationship Id="rId2824" Type="http://schemas.openxmlformats.org/officeDocument/2006/relationships/hyperlink" Target="https://twitter.com/BicYea50" TargetMode="External"/><Relationship Id="rId2825" Type="http://schemas.openxmlformats.org/officeDocument/2006/relationships/hyperlink" Target="https://twitter.com/BicYea50/status/702926731519217665" TargetMode="External"/><Relationship Id="rId2826" Type="http://schemas.openxmlformats.org/officeDocument/2006/relationships/hyperlink" Target="https://pbs.twimg.com/profile_images/685113545156067332/VIFtqhLW_normal.jpg" TargetMode="External"/><Relationship Id="rId2827" Type="http://schemas.openxmlformats.org/officeDocument/2006/relationships/hyperlink" Target="https://twitter.com/margari888" TargetMode="External"/><Relationship Id="rId2828" Type="http://schemas.openxmlformats.org/officeDocument/2006/relationships/hyperlink" Target="https://twitter.com/margari888/status/702926788545134594" TargetMode="External"/><Relationship Id="rId2829" Type="http://schemas.openxmlformats.org/officeDocument/2006/relationships/hyperlink" Target="https://pbs.twimg.com/profile_images/487688509562425344/BsqXpDfJ_normal.jpeg" TargetMode="External"/><Relationship Id="rId5093" Type="http://schemas.openxmlformats.org/officeDocument/2006/relationships/hyperlink" Target="https://twitter.com/releaseteam/status/703030924032630784" TargetMode="External"/><Relationship Id="rId5094" Type="http://schemas.openxmlformats.org/officeDocument/2006/relationships/hyperlink" Target="https://pbs.twimg.com/profile_images/2229759095/rt_logo_symbol_glossy_normal.jpg" TargetMode="External"/><Relationship Id="rId5091" Type="http://schemas.openxmlformats.org/officeDocument/2006/relationships/hyperlink" Target="http://ctrlq.org/maps/address/" TargetMode="External"/><Relationship Id="rId5092" Type="http://schemas.openxmlformats.org/officeDocument/2006/relationships/hyperlink" Target="https://twitter.com/releaseteam" TargetMode="External"/><Relationship Id="rId5097" Type="http://schemas.openxmlformats.org/officeDocument/2006/relationships/hyperlink" Target="https://pbs.twimg.com/profile_images/664599939847028737/V34wnOyf_normal.jpg" TargetMode="External"/><Relationship Id="rId5098" Type="http://schemas.openxmlformats.org/officeDocument/2006/relationships/hyperlink" Target="https://twitter.com/dnardz" TargetMode="External"/><Relationship Id="rId5095" Type="http://schemas.openxmlformats.org/officeDocument/2006/relationships/hyperlink" Target="https://twitter.com/CiciSparkman" TargetMode="External"/><Relationship Id="rId5096" Type="http://schemas.openxmlformats.org/officeDocument/2006/relationships/hyperlink" Target="https://twitter.com/CiciSparkman/status/703031842572627969" TargetMode="External"/><Relationship Id="rId5099" Type="http://schemas.openxmlformats.org/officeDocument/2006/relationships/hyperlink" Target="https://twitter.com/dnardz/status/703032062756954119" TargetMode="External"/><Relationship Id="rId2810" Type="http://schemas.openxmlformats.org/officeDocument/2006/relationships/hyperlink" Target="https://twitter.com/opbeat/status/702925575497842688" TargetMode="External"/><Relationship Id="rId2811" Type="http://schemas.openxmlformats.org/officeDocument/2006/relationships/hyperlink" Target="https://pbs.twimg.com/profile_images/700322766168305664/DpqY0ynV_normal.png" TargetMode="External"/><Relationship Id="rId2812" Type="http://schemas.openxmlformats.org/officeDocument/2006/relationships/hyperlink" Target="https://twitter.com/trebor74hr" TargetMode="External"/><Relationship Id="rId2813" Type="http://schemas.openxmlformats.org/officeDocument/2006/relationships/hyperlink" Target="https://twitter.com/trebor74hr/status/702925858135220224" TargetMode="External"/><Relationship Id="rId2814" Type="http://schemas.openxmlformats.org/officeDocument/2006/relationships/hyperlink" Target="https://pbs.twimg.com/profile_images/1209702114/portrait-IMG_4202_normal.png" TargetMode="External"/><Relationship Id="rId2815" Type="http://schemas.openxmlformats.org/officeDocument/2006/relationships/hyperlink" Target="https://twitter.com/RealGantBlack" TargetMode="External"/><Relationship Id="rId2816" Type="http://schemas.openxmlformats.org/officeDocument/2006/relationships/hyperlink" Target="https://twitter.com/RealGantBlack/status/702926110569447424" TargetMode="External"/><Relationship Id="rId2817" Type="http://schemas.openxmlformats.org/officeDocument/2006/relationships/hyperlink" Target="https://pbs.twimg.com/profile_images/677098622010331136/t08uG60H_normal.jpg" TargetMode="External"/><Relationship Id="rId2818" Type="http://schemas.openxmlformats.org/officeDocument/2006/relationships/hyperlink" Target="https://twitter.com/yashaka" TargetMode="External"/><Relationship Id="rId2819" Type="http://schemas.openxmlformats.org/officeDocument/2006/relationships/hyperlink" Target="https://twitter.com/yashaka/status/702926273451073537" TargetMode="External"/><Relationship Id="rId5090" Type="http://schemas.openxmlformats.org/officeDocument/2006/relationships/hyperlink" Target="https://pbs.twimg.com/profile_images/641647399669243904/Bcsnd7TU_normal.jpg" TargetMode="External"/><Relationship Id="rId5082" Type="http://schemas.openxmlformats.org/officeDocument/2006/relationships/hyperlink" Target="https://twitter.com/NYC_TechEvents" TargetMode="External"/><Relationship Id="rId5083" Type="http://schemas.openxmlformats.org/officeDocument/2006/relationships/hyperlink" Target="https://twitter.com/NYC_TechEvents/status/703029496199421952" TargetMode="External"/><Relationship Id="rId5080" Type="http://schemas.openxmlformats.org/officeDocument/2006/relationships/hyperlink" Target="http://dlvr.it" TargetMode="External"/><Relationship Id="rId5081" Type="http://schemas.openxmlformats.org/officeDocument/2006/relationships/hyperlink" Target="https://pbs.twimg.com/profile_images/2813636657/599521f69e2bc210a57323b64d8e39e6_normal.jpeg" TargetMode="External"/><Relationship Id="rId5086" Type="http://schemas.openxmlformats.org/officeDocument/2006/relationships/hyperlink" Target="https://twitter.com/ShopSMartin/status/703030336633094144" TargetMode="External"/><Relationship Id="rId5087" Type="http://schemas.openxmlformats.org/officeDocument/2006/relationships/hyperlink" Target="https://pbs.twimg.com/profile_images/2329527101/cleese-as-twit_normal.jpg" TargetMode="External"/><Relationship Id="rId5084" Type="http://schemas.openxmlformats.org/officeDocument/2006/relationships/hyperlink" Target="https://pbs.twimg.com/profile_images/698639359512195072/nmORkXm9_normal.png" TargetMode="External"/><Relationship Id="rId5085" Type="http://schemas.openxmlformats.org/officeDocument/2006/relationships/hyperlink" Target="https://twitter.com/ShopSMartin" TargetMode="External"/><Relationship Id="rId5088" Type="http://schemas.openxmlformats.org/officeDocument/2006/relationships/hyperlink" Target="https://twitter.com/JobsHubIO" TargetMode="External"/><Relationship Id="rId5089" Type="http://schemas.openxmlformats.org/officeDocument/2006/relationships/hyperlink" Target="https://twitter.com/JobsHubIO/status/703030491692269568" TargetMode="External"/><Relationship Id="rId1510" Type="http://schemas.openxmlformats.org/officeDocument/2006/relationships/hyperlink" Target="https://pbs.twimg.com/profile_images/662039977849589760/-bw8hiZo_normal.jpg" TargetMode="External"/><Relationship Id="rId2841" Type="http://schemas.openxmlformats.org/officeDocument/2006/relationships/hyperlink" Target="https://twitter.com/yprez/status/702928227329818625" TargetMode="External"/><Relationship Id="rId1511" Type="http://schemas.openxmlformats.org/officeDocument/2006/relationships/hyperlink" Target="https://twitter.com/anioko1" TargetMode="External"/><Relationship Id="rId2842" Type="http://schemas.openxmlformats.org/officeDocument/2006/relationships/hyperlink" Target="https://pbs.twimg.com/profile_images/1466129811/p_normal.png" TargetMode="External"/><Relationship Id="rId1512" Type="http://schemas.openxmlformats.org/officeDocument/2006/relationships/hyperlink" Target="https://twitter.com/anioko1/status/702871514325098496" TargetMode="External"/><Relationship Id="rId2843" Type="http://schemas.openxmlformats.org/officeDocument/2006/relationships/hyperlink" Target="https://twitter.com/wcmckeedotcom" TargetMode="External"/><Relationship Id="rId1513" Type="http://schemas.openxmlformats.org/officeDocument/2006/relationships/hyperlink" Target="https://pbs.twimg.com/profile_images/695642719948009474/s9J4OUA9_normal.jpg" TargetMode="External"/><Relationship Id="rId2844" Type="http://schemas.openxmlformats.org/officeDocument/2006/relationships/hyperlink" Target="https://twitter.com/wcmckeedotcom/status/702928253372243969" TargetMode="External"/><Relationship Id="rId1514" Type="http://schemas.openxmlformats.org/officeDocument/2006/relationships/hyperlink" Target="https://twitter.com/FredRoseFilms" TargetMode="External"/><Relationship Id="rId2845" Type="http://schemas.openxmlformats.org/officeDocument/2006/relationships/hyperlink" Target="https://pbs.twimg.com/profile_images/621211385746161664/tGchJstD_normal.jpg" TargetMode="External"/><Relationship Id="rId1515" Type="http://schemas.openxmlformats.org/officeDocument/2006/relationships/hyperlink" Target="https://twitter.com/FredRoseFilms/status/702871532654235649" TargetMode="External"/><Relationship Id="rId2846" Type="http://schemas.openxmlformats.org/officeDocument/2006/relationships/hyperlink" Target="https://twitter.com/DistrictDataLab" TargetMode="External"/><Relationship Id="rId1516" Type="http://schemas.openxmlformats.org/officeDocument/2006/relationships/hyperlink" Target="https://pbs.twimg.com/profile_images/443979688935833600/DDpVbCo2_normal.jpeg" TargetMode="External"/><Relationship Id="rId2847" Type="http://schemas.openxmlformats.org/officeDocument/2006/relationships/hyperlink" Target="https://twitter.com/DistrictDataLab/status/702928298192596992" TargetMode="External"/><Relationship Id="rId1517" Type="http://schemas.openxmlformats.org/officeDocument/2006/relationships/hyperlink" Target="https://twitter.com/mikegrimshaw2" TargetMode="External"/><Relationship Id="rId2848" Type="http://schemas.openxmlformats.org/officeDocument/2006/relationships/hyperlink" Target="https://pbs.twimg.com/profile_images/676095885575634944/NXl4o2HU_normal.png" TargetMode="External"/><Relationship Id="rId1518" Type="http://schemas.openxmlformats.org/officeDocument/2006/relationships/hyperlink" Target="https://twitter.com/mikegrimshaw2/status/702871539784388608" TargetMode="External"/><Relationship Id="rId2849" Type="http://schemas.openxmlformats.org/officeDocument/2006/relationships/hyperlink" Target="https://twitter.com/drawnic" TargetMode="External"/><Relationship Id="rId1519" Type="http://schemas.openxmlformats.org/officeDocument/2006/relationships/hyperlink" Target="https://pbs.twimg.com/profile_images/611686609407180800/hZKDoHLq_normal.jpg" TargetMode="External"/><Relationship Id="rId2840" Type="http://schemas.openxmlformats.org/officeDocument/2006/relationships/hyperlink" Target="https://twitter.com/yprez" TargetMode="External"/><Relationship Id="rId2830" Type="http://schemas.openxmlformats.org/officeDocument/2006/relationships/hyperlink" Target="https://twitter.com/brentcalvert" TargetMode="External"/><Relationship Id="rId1500" Type="http://schemas.openxmlformats.org/officeDocument/2006/relationships/hyperlink" Target="https://twitter.com/PythonWeekly/status/702870961910128640" TargetMode="External"/><Relationship Id="rId2831" Type="http://schemas.openxmlformats.org/officeDocument/2006/relationships/hyperlink" Target="https://twitter.com/brentcalvert/status/702927348107051008" TargetMode="External"/><Relationship Id="rId1501" Type="http://schemas.openxmlformats.org/officeDocument/2006/relationships/hyperlink" Target="https://pbs.twimg.com/profile_images/1554238582/python_normal.jpg" TargetMode="External"/><Relationship Id="rId2832" Type="http://schemas.openxmlformats.org/officeDocument/2006/relationships/hyperlink" Target="https://pbs.twimg.com/profile_images/491666354693357568/3kx28ZUL_normal.jpeg" TargetMode="External"/><Relationship Id="rId1502" Type="http://schemas.openxmlformats.org/officeDocument/2006/relationships/hyperlink" Target="https://twitter.com/gz_k" TargetMode="External"/><Relationship Id="rId2833" Type="http://schemas.openxmlformats.org/officeDocument/2006/relationships/hyperlink" Target="https://twitter.com/freyduni" TargetMode="External"/><Relationship Id="rId1503" Type="http://schemas.openxmlformats.org/officeDocument/2006/relationships/hyperlink" Target="https://twitter.com/gz_k/status/702870987579236352" TargetMode="External"/><Relationship Id="rId2834" Type="http://schemas.openxmlformats.org/officeDocument/2006/relationships/hyperlink" Target="https://twitter.com/freyduni/status/702927833610334209" TargetMode="External"/><Relationship Id="rId1504" Type="http://schemas.openxmlformats.org/officeDocument/2006/relationships/hyperlink" Target="https://pbs.twimg.com/profile_images/1693000595/profil_normal.JPG" TargetMode="External"/><Relationship Id="rId2835" Type="http://schemas.openxmlformats.org/officeDocument/2006/relationships/hyperlink" Target="http://dlvr.it" TargetMode="External"/><Relationship Id="rId1505" Type="http://schemas.openxmlformats.org/officeDocument/2006/relationships/hyperlink" Target="https://twitter.com/viborc" TargetMode="External"/><Relationship Id="rId2836" Type="http://schemas.openxmlformats.org/officeDocument/2006/relationships/hyperlink" Target="https://pbs.twimg.com/profile_images/525376074633334784/f5Nx-tIC_normal.jpeg" TargetMode="External"/><Relationship Id="rId1506" Type="http://schemas.openxmlformats.org/officeDocument/2006/relationships/hyperlink" Target="https://twitter.com/viborc/status/702871067015127041" TargetMode="External"/><Relationship Id="rId2837" Type="http://schemas.openxmlformats.org/officeDocument/2006/relationships/hyperlink" Target="https://twitter.com/mpetyx" TargetMode="External"/><Relationship Id="rId1507" Type="http://schemas.openxmlformats.org/officeDocument/2006/relationships/hyperlink" Target="https://pbs.twimg.com/profile_images/378800000692640528/c74e221eec719bc38d2a131765f8efaf_normal.jpeg" TargetMode="External"/><Relationship Id="rId2838" Type="http://schemas.openxmlformats.org/officeDocument/2006/relationships/hyperlink" Target="https://twitter.com/mpetyx/status/702927894683762689" TargetMode="External"/><Relationship Id="rId1508" Type="http://schemas.openxmlformats.org/officeDocument/2006/relationships/hyperlink" Target="https://twitter.com/McArthurRecruit" TargetMode="External"/><Relationship Id="rId2839" Type="http://schemas.openxmlformats.org/officeDocument/2006/relationships/hyperlink" Target="https://pbs.twimg.com/profile_images/1376633950/michael_kouklos_normal.jpg" TargetMode="External"/><Relationship Id="rId1509" Type="http://schemas.openxmlformats.org/officeDocument/2006/relationships/hyperlink" Target="https://twitter.com/McArthurRecruit/status/702871292068896768" TargetMode="External"/><Relationship Id="rId6380" Type="http://schemas.openxmlformats.org/officeDocument/2006/relationships/hyperlink" Target="https://twitter.com/Manuel_Stoessel/status/703114252941266944" TargetMode="External"/><Relationship Id="rId5050" Type="http://schemas.openxmlformats.org/officeDocument/2006/relationships/hyperlink" Target="https://pbs.twimg.com/profile_images/494612417981067265/EBSDgGf4_normal.png" TargetMode="External"/><Relationship Id="rId6381" Type="http://schemas.openxmlformats.org/officeDocument/2006/relationships/hyperlink" Target="https://pbs.twimg.com/profile_images/567629036684607489/jsEGs-Tp_normal.jpeg" TargetMode="External"/><Relationship Id="rId5053" Type="http://schemas.openxmlformats.org/officeDocument/2006/relationships/hyperlink" Target="https://pbs.twimg.com/profile_images/679994710371483648/UaYX2Obc_normal.png" TargetMode="External"/><Relationship Id="rId6384" Type="http://schemas.openxmlformats.org/officeDocument/2006/relationships/hyperlink" Target="https://pbs.twimg.com/profile_images/2997357352/e3c3d241b2263f5ff4c36f8bcbb7820d_normal.jpeg" TargetMode="External"/><Relationship Id="rId5054" Type="http://schemas.openxmlformats.org/officeDocument/2006/relationships/hyperlink" Target="https://twitter.com/artwisanggeni" TargetMode="External"/><Relationship Id="rId6385" Type="http://schemas.openxmlformats.org/officeDocument/2006/relationships/hyperlink" Target="https://twitter.com/pvergain" TargetMode="External"/><Relationship Id="rId5051" Type="http://schemas.openxmlformats.org/officeDocument/2006/relationships/hyperlink" Target="https://twitter.com/remote_wolfy" TargetMode="External"/><Relationship Id="rId6382" Type="http://schemas.openxmlformats.org/officeDocument/2006/relationships/hyperlink" Target="https://twitter.com/muralikrishnag" TargetMode="External"/><Relationship Id="rId5052" Type="http://schemas.openxmlformats.org/officeDocument/2006/relationships/hyperlink" Target="https://twitter.com/remote_wolfy/status/703029213905985536" TargetMode="External"/><Relationship Id="rId6383" Type="http://schemas.openxmlformats.org/officeDocument/2006/relationships/hyperlink" Target="https://twitter.com/muralikrishnag/status/703114289649848324" TargetMode="External"/><Relationship Id="rId5057" Type="http://schemas.openxmlformats.org/officeDocument/2006/relationships/hyperlink" Target="https://pbs.twimg.com/profile_images/2813636657/599521f69e2bc210a57323b64d8e39e6_normal.jpeg" TargetMode="External"/><Relationship Id="rId6388" Type="http://schemas.openxmlformats.org/officeDocument/2006/relationships/hyperlink" Target="https://twitter.com/cool_python" TargetMode="External"/><Relationship Id="rId5058" Type="http://schemas.openxmlformats.org/officeDocument/2006/relationships/hyperlink" Target="https://twitter.com/artwisanggeni" TargetMode="External"/><Relationship Id="rId6389" Type="http://schemas.openxmlformats.org/officeDocument/2006/relationships/hyperlink" Target="https://twitter.com/cool_python/status/703115317082353664" TargetMode="External"/><Relationship Id="rId5055" Type="http://schemas.openxmlformats.org/officeDocument/2006/relationships/hyperlink" Target="https://twitter.com/artwisanggeni/status/703029399910612992" TargetMode="External"/><Relationship Id="rId6386" Type="http://schemas.openxmlformats.org/officeDocument/2006/relationships/hyperlink" Target="https://twitter.com/pvergain/status/703114479219834882" TargetMode="External"/><Relationship Id="rId5056" Type="http://schemas.openxmlformats.org/officeDocument/2006/relationships/hyperlink" Target="http://dlvr.it" TargetMode="External"/><Relationship Id="rId6387" Type="http://schemas.openxmlformats.org/officeDocument/2006/relationships/hyperlink" Target="https://pbs.twimg.com/profile_images/528272392766779392/5AeOFtlc_normal.jpeg" TargetMode="External"/><Relationship Id="rId5059" Type="http://schemas.openxmlformats.org/officeDocument/2006/relationships/hyperlink" Target="https://twitter.com/artwisanggeni/status/703029403429670912" TargetMode="External"/><Relationship Id="rId6370" Type="http://schemas.openxmlformats.org/officeDocument/2006/relationships/hyperlink" Target="https://twitter.com/py3k" TargetMode="External"/><Relationship Id="rId5042" Type="http://schemas.openxmlformats.org/officeDocument/2006/relationships/hyperlink" Target="https://twitter.com/jasonmerino/status/703028223857315840" TargetMode="External"/><Relationship Id="rId6373" Type="http://schemas.openxmlformats.org/officeDocument/2006/relationships/hyperlink" Target="https://twitter.com/phaosady" TargetMode="External"/><Relationship Id="rId5043" Type="http://schemas.openxmlformats.org/officeDocument/2006/relationships/hyperlink" Target="https://pbs.twimg.com/profile_images/3687131359/2a13c9d0409b15b9c98862965965d3a8_normal.jpeg" TargetMode="External"/><Relationship Id="rId6374" Type="http://schemas.openxmlformats.org/officeDocument/2006/relationships/hyperlink" Target="https://twitter.com/phaosady/status/703113628682100736" TargetMode="External"/><Relationship Id="rId5040" Type="http://schemas.openxmlformats.org/officeDocument/2006/relationships/hyperlink" Target="https://pbs.twimg.com/profile_images/676343744250044416/OidH-eFp_normal.png" TargetMode="External"/><Relationship Id="rId6371" Type="http://schemas.openxmlformats.org/officeDocument/2006/relationships/hyperlink" Target="https://twitter.com/py3k/status/703113393364807681" TargetMode="External"/><Relationship Id="rId5041" Type="http://schemas.openxmlformats.org/officeDocument/2006/relationships/hyperlink" Target="https://twitter.com/jasonmerino" TargetMode="External"/><Relationship Id="rId6372" Type="http://schemas.openxmlformats.org/officeDocument/2006/relationships/hyperlink" Target="https://pbs.twimg.com/profile_images/2474433856/p075cerxh0arpea6ceip_normal.png" TargetMode="External"/><Relationship Id="rId5046" Type="http://schemas.openxmlformats.org/officeDocument/2006/relationships/hyperlink" Target="https://pbs.twimg.com/profile_images/423159554856058880/0rgcQ8CG_normal.jpeg" TargetMode="External"/><Relationship Id="rId6377" Type="http://schemas.openxmlformats.org/officeDocument/2006/relationships/hyperlink" Target="https://twitter.com/samuelololol/status/703114104576167936" TargetMode="External"/><Relationship Id="rId5047" Type="http://schemas.openxmlformats.org/officeDocument/2006/relationships/hyperlink" Target="https://twitter.com/flexiodata" TargetMode="External"/><Relationship Id="rId6378" Type="http://schemas.openxmlformats.org/officeDocument/2006/relationships/hyperlink" Target="https://pbs.twimg.com/profile_images/1264161077/idiot_laugh_normal.JPG" TargetMode="External"/><Relationship Id="rId5044" Type="http://schemas.openxmlformats.org/officeDocument/2006/relationships/hyperlink" Target="https://twitter.com/FMS_Ccs" TargetMode="External"/><Relationship Id="rId6375" Type="http://schemas.openxmlformats.org/officeDocument/2006/relationships/hyperlink" Target="https://pbs.twimg.com/profile_images/675670534504497152/uYIFzxIR_normal.jpg" TargetMode="External"/><Relationship Id="rId5045" Type="http://schemas.openxmlformats.org/officeDocument/2006/relationships/hyperlink" Target="https://twitter.com/FMS_Ccs/status/703028592691830785" TargetMode="External"/><Relationship Id="rId6376" Type="http://schemas.openxmlformats.org/officeDocument/2006/relationships/hyperlink" Target="https://twitter.com/samuelololol" TargetMode="External"/><Relationship Id="rId5048" Type="http://schemas.openxmlformats.org/officeDocument/2006/relationships/hyperlink" Target="http://Flex.io" TargetMode="External"/><Relationship Id="rId6379" Type="http://schemas.openxmlformats.org/officeDocument/2006/relationships/hyperlink" Target="https://twitter.com/Manuel_Stoessel" TargetMode="External"/><Relationship Id="rId5049" Type="http://schemas.openxmlformats.org/officeDocument/2006/relationships/hyperlink" Target="https://twitter.com/flexiodata/status/703029094729039872" TargetMode="External"/><Relationship Id="rId2800" Type="http://schemas.openxmlformats.org/officeDocument/2006/relationships/hyperlink" Target="https://twitter.com/MTotolrahaman" TargetMode="External"/><Relationship Id="rId2801" Type="http://schemas.openxmlformats.org/officeDocument/2006/relationships/hyperlink" Target="https://twitter.com/MTotolrahaman/status/702925408250040321" TargetMode="External"/><Relationship Id="rId2802" Type="http://schemas.openxmlformats.org/officeDocument/2006/relationships/hyperlink" Target="https://pbs.twimg.com/profile_images/677493910256484352/-EdVaVPl_normal.jpg" TargetMode="External"/><Relationship Id="rId2803" Type="http://schemas.openxmlformats.org/officeDocument/2006/relationships/hyperlink" Target="https://twitter.com/isaacmoore7" TargetMode="External"/><Relationship Id="rId2804" Type="http://schemas.openxmlformats.org/officeDocument/2006/relationships/hyperlink" Target="https://twitter.com/isaacmoore7/status/702925527166885888" TargetMode="External"/><Relationship Id="rId2805" Type="http://schemas.openxmlformats.org/officeDocument/2006/relationships/hyperlink" Target="https://pbs.twimg.com/profile_images/634786032446259200/qX_j31L7_normal.jpg" TargetMode="External"/><Relationship Id="rId2806" Type="http://schemas.openxmlformats.org/officeDocument/2006/relationships/hyperlink" Target="https://twitter.com/RasuShrestha" TargetMode="External"/><Relationship Id="rId2807" Type="http://schemas.openxmlformats.org/officeDocument/2006/relationships/hyperlink" Target="https://twitter.com/RasuShrestha/status/702925559836352512" TargetMode="External"/><Relationship Id="rId2808" Type="http://schemas.openxmlformats.org/officeDocument/2006/relationships/hyperlink" Target="https://pbs.twimg.com/profile_images/697465361596313601/-5BdVWDc_normal.jpg" TargetMode="External"/><Relationship Id="rId2809" Type="http://schemas.openxmlformats.org/officeDocument/2006/relationships/hyperlink" Target="https://twitter.com/opbeat" TargetMode="External"/><Relationship Id="rId5071" Type="http://schemas.openxmlformats.org/officeDocument/2006/relationships/hyperlink" Target="https://twitter.com/artwisanggeni/status/703029413340848128" TargetMode="External"/><Relationship Id="rId5072" Type="http://schemas.openxmlformats.org/officeDocument/2006/relationships/hyperlink" Target="http://dlvr.it" TargetMode="External"/><Relationship Id="rId5070" Type="http://schemas.openxmlformats.org/officeDocument/2006/relationships/hyperlink" Target="https://twitter.com/artwisanggeni" TargetMode="External"/><Relationship Id="rId5075" Type="http://schemas.openxmlformats.org/officeDocument/2006/relationships/hyperlink" Target="https://twitter.com/artwisanggeni/status/703029416356524032" TargetMode="External"/><Relationship Id="rId5076" Type="http://schemas.openxmlformats.org/officeDocument/2006/relationships/hyperlink" Target="http://dlvr.it" TargetMode="External"/><Relationship Id="rId5073" Type="http://schemas.openxmlformats.org/officeDocument/2006/relationships/hyperlink" Target="https://pbs.twimg.com/profile_images/2813636657/599521f69e2bc210a57323b64d8e39e6_normal.jpeg" TargetMode="External"/><Relationship Id="rId5074" Type="http://schemas.openxmlformats.org/officeDocument/2006/relationships/hyperlink" Target="https://twitter.com/artwisanggeni" TargetMode="External"/><Relationship Id="rId5079" Type="http://schemas.openxmlformats.org/officeDocument/2006/relationships/hyperlink" Target="https://twitter.com/artwisanggeni/status/703029420005523456" TargetMode="External"/><Relationship Id="rId5077" Type="http://schemas.openxmlformats.org/officeDocument/2006/relationships/hyperlink" Target="https://pbs.twimg.com/profile_images/2813636657/599521f69e2bc210a57323b64d8e39e6_normal.jpeg" TargetMode="External"/><Relationship Id="rId5078" Type="http://schemas.openxmlformats.org/officeDocument/2006/relationships/hyperlink" Target="https://twitter.com/artwisanggeni" TargetMode="External"/><Relationship Id="rId5060" Type="http://schemas.openxmlformats.org/officeDocument/2006/relationships/hyperlink" Target="http://dlvr.it" TargetMode="External"/><Relationship Id="rId6391" Type="http://schemas.openxmlformats.org/officeDocument/2006/relationships/hyperlink" Target="https://twitter.com/Charles_JUDITH" TargetMode="External"/><Relationship Id="rId5061" Type="http://schemas.openxmlformats.org/officeDocument/2006/relationships/hyperlink" Target="https://pbs.twimg.com/profile_images/2813636657/599521f69e2bc210a57323b64d8e39e6_normal.jpeg" TargetMode="External"/><Relationship Id="rId6392" Type="http://schemas.openxmlformats.org/officeDocument/2006/relationships/hyperlink" Target="https://twitter.com/Charles_JUDITH/status/703115326234300420" TargetMode="External"/><Relationship Id="rId6390" Type="http://schemas.openxmlformats.org/officeDocument/2006/relationships/hyperlink" Target="https://pbs.twimg.com/profile_images/572091631055028224/Pkx__FSB_normal.png" TargetMode="External"/><Relationship Id="rId5064" Type="http://schemas.openxmlformats.org/officeDocument/2006/relationships/hyperlink" Target="http://dlvr.it" TargetMode="External"/><Relationship Id="rId6395" Type="http://schemas.openxmlformats.org/officeDocument/2006/relationships/hyperlink" Target="https://twitter.com/SlaviTweets/status/703115346018848768" TargetMode="External"/><Relationship Id="rId5065" Type="http://schemas.openxmlformats.org/officeDocument/2006/relationships/hyperlink" Target="https://pbs.twimg.com/profile_images/2813636657/599521f69e2bc210a57323b64d8e39e6_normal.jpeg" TargetMode="External"/><Relationship Id="rId6396" Type="http://schemas.openxmlformats.org/officeDocument/2006/relationships/hyperlink" Target="https://pbs.twimg.com/profile_images/514747664919846912/582SfV4G_normal.jpeg" TargetMode="External"/><Relationship Id="rId5062" Type="http://schemas.openxmlformats.org/officeDocument/2006/relationships/hyperlink" Target="https://twitter.com/artwisanggeni" TargetMode="External"/><Relationship Id="rId6393" Type="http://schemas.openxmlformats.org/officeDocument/2006/relationships/hyperlink" Target="https://pbs.twimg.com/profile_images/1764386971/cjudith_normal.jpeg" TargetMode="External"/><Relationship Id="rId5063" Type="http://schemas.openxmlformats.org/officeDocument/2006/relationships/hyperlink" Target="https://twitter.com/artwisanggeni/status/703029406529236992" TargetMode="External"/><Relationship Id="rId6394" Type="http://schemas.openxmlformats.org/officeDocument/2006/relationships/hyperlink" Target="https://twitter.com/SlaviTweets" TargetMode="External"/><Relationship Id="rId5068" Type="http://schemas.openxmlformats.org/officeDocument/2006/relationships/hyperlink" Target="http://dlvr.it" TargetMode="External"/><Relationship Id="rId6399" Type="http://schemas.openxmlformats.org/officeDocument/2006/relationships/hyperlink" Target="https://pbs.twimg.com/profile_images/378800000030851202/b6bb871a13825bae9004a9aab3a1d726_normal.jpeg" TargetMode="External"/><Relationship Id="rId5069" Type="http://schemas.openxmlformats.org/officeDocument/2006/relationships/hyperlink" Target="https://pbs.twimg.com/profile_images/2813636657/599521f69e2bc210a57323b64d8e39e6_normal.jpeg" TargetMode="External"/><Relationship Id="rId5066" Type="http://schemas.openxmlformats.org/officeDocument/2006/relationships/hyperlink" Target="https://twitter.com/artwisanggeni" TargetMode="External"/><Relationship Id="rId6397" Type="http://schemas.openxmlformats.org/officeDocument/2006/relationships/hyperlink" Target="https://twitter.com/PythonDaily" TargetMode="External"/><Relationship Id="rId5067" Type="http://schemas.openxmlformats.org/officeDocument/2006/relationships/hyperlink" Target="https://twitter.com/artwisanggeni/status/703029409716940801" TargetMode="External"/><Relationship Id="rId6398" Type="http://schemas.openxmlformats.org/officeDocument/2006/relationships/hyperlink" Target="https://twitter.com/PythonDaily/status/703115512037806080" TargetMode="External"/><Relationship Id="rId1576" Type="http://schemas.openxmlformats.org/officeDocument/2006/relationships/hyperlink" Target="https://pbs.twimg.com/profile_images/2813636657/599521f69e2bc210a57323b64d8e39e6_normal.jpeg" TargetMode="External"/><Relationship Id="rId1577" Type="http://schemas.openxmlformats.org/officeDocument/2006/relationships/hyperlink" Target="https://twitter.com/artwisanggeni" TargetMode="External"/><Relationship Id="rId1578" Type="http://schemas.openxmlformats.org/officeDocument/2006/relationships/hyperlink" Target="https://twitter.com/artwisanggeni/status/702872856426745856" TargetMode="External"/><Relationship Id="rId1579" Type="http://schemas.openxmlformats.org/officeDocument/2006/relationships/hyperlink" Target="http://dlvr.it" TargetMode="External"/><Relationship Id="rId987" Type="http://schemas.openxmlformats.org/officeDocument/2006/relationships/hyperlink" Target="https://twitter.com/artwisanggeni/status/702847898673770496" TargetMode="External"/><Relationship Id="rId986" Type="http://schemas.openxmlformats.org/officeDocument/2006/relationships/hyperlink" Target="https://twitter.com/artwisanggeni" TargetMode="External"/><Relationship Id="rId985" Type="http://schemas.openxmlformats.org/officeDocument/2006/relationships/hyperlink" Target="https://pbs.twimg.com/profile_images/2813636657/599521f69e2bc210a57323b64d8e39e6_normal.jpeg" TargetMode="External"/><Relationship Id="rId984" Type="http://schemas.openxmlformats.org/officeDocument/2006/relationships/hyperlink" Target="http://dlvr.it" TargetMode="External"/><Relationship Id="rId989" Type="http://schemas.openxmlformats.org/officeDocument/2006/relationships/hyperlink" Target="https://pbs.twimg.com/profile_images/2813636657/599521f69e2bc210a57323b64d8e39e6_normal.jpeg" TargetMode="External"/><Relationship Id="rId988" Type="http://schemas.openxmlformats.org/officeDocument/2006/relationships/hyperlink" Target="http://dlvr.it" TargetMode="External"/><Relationship Id="rId1570" Type="http://schemas.openxmlformats.org/officeDocument/2006/relationships/hyperlink" Target="https://twitter.com/artwisanggeni/status/702872850600849409" TargetMode="External"/><Relationship Id="rId1571" Type="http://schemas.openxmlformats.org/officeDocument/2006/relationships/hyperlink" Target="http://dlvr.it" TargetMode="External"/><Relationship Id="rId983" Type="http://schemas.openxmlformats.org/officeDocument/2006/relationships/hyperlink" Target="https://twitter.com/artwisanggeni/status/702847894567583744" TargetMode="External"/><Relationship Id="rId1572" Type="http://schemas.openxmlformats.org/officeDocument/2006/relationships/hyperlink" Target="https://pbs.twimg.com/profile_images/2813636657/599521f69e2bc210a57323b64d8e39e6_normal.jpeg" TargetMode="External"/><Relationship Id="rId982" Type="http://schemas.openxmlformats.org/officeDocument/2006/relationships/hyperlink" Target="https://twitter.com/artwisanggeni" TargetMode="External"/><Relationship Id="rId1573" Type="http://schemas.openxmlformats.org/officeDocument/2006/relationships/hyperlink" Target="https://twitter.com/artwisanggeni" TargetMode="External"/><Relationship Id="rId981" Type="http://schemas.openxmlformats.org/officeDocument/2006/relationships/hyperlink" Target="https://pbs.twimg.com/profile_images/2813636657/599521f69e2bc210a57323b64d8e39e6_normal.jpeg" TargetMode="External"/><Relationship Id="rId1574" Type="http://schemas.openxmlformats.org/officeDocument/2006/relationships/hyperlink" Target="https://twitter.com/artwisanggeni/status/702872853327142912" TargetMode="External"/><Relationship Id="rId980" Type="http://schemas.openxmlformats.org/officeDocument/2006/relationships/hyperlink" Target="http://dlvr.it" TargetMode="External"/><Relationship Id="rId1575" Type="http://schemas.openxmlformats.org/officeDocument/2006/relationships/hyperlink" Target="http://dlvr.it" TargetMode="External"/><Relationship Id="rId1565" Type="http://schemas.openxmlformats.org/officeDocument/2006/relationships/hyperlink" Target="https://twitter.com/artwisanggeni" TargetMode="External"/><Relationship Id="rId2896" Type="http://schemas.openxmlformats.org/officeDocument/2006/relationships/hyperlink" Target="http://dlvr.it" TargetMode="External"/><Relationship Id="rId1566" Type="http://schemas.openxmlformats.org/officeDocument/2006/relationships/hyperlink" Target="https://twitter.com/artwisanggeni/status/702872847627124736" TargetMode="External"/><Relationship Id="rId2897" Type="http://schemas.openxmlformats.org/officeDocument/2006/relationships/hyperlink" Target="https://pbs.twimg.com/profile_images/2813636657/599521f69e2bc210a57323b64d8e39e6_normal.jpeg" TargetMode="External"/><Relationship Id="rId1567" Type="http://schemas.openxmlformats.org/officeDocument/2006/relationships/hyperlink" Target="http://dlvr.it" TargetMode="External"/><Relationship Id="rId2898" Type="http://schemas.openxmlformats.org/officeDocument/2006/relationships/hyperlink" Target="https://twitter.com/artwisanggeni" TargetMode="External"/><Relationship Id="rId1568" Type="http://schemas.openxmlformats.org/officeDocument/2006/relationships/hyperlink" Target="https://pbs.twimg.com/profile_images/2813636657/599521f69e2bc210a57323b64d8e39e6_normal.jpeg" TargetMode="External"/><Relationship Id="rId2899" Type="http://schemas.openxmlformats.org/officeDocument/2006/relationships/hyperlink" Target="https://twitter.com/artwisanggeni/status/702930606829637632" TargetMode="External"/><Relationship Id="rId1569" Type="http://schemas.openxmlformats.org/officeDocument/2006/relationships/hyperlink" Target="https://twitter.com/artwisanggeni" TargetMode="External"/><Relationship Id="rId976" Type="http://schemas.openxmlformats.org/officeDocument/2006/relationships/hyperlink" Target="http://dlvr.it" TargetMode="External"/><Relationship Id="rId975" Type="http://schemas.openxmlformats.org/officeDocument/2006/relationships/hyperlink" Target="https://twitter.com/artwisanggeni/status/702847883880505344" TargetMode="External"/><Relationship Id="rId974" Type="http://schemas.openxmlformats.org/officeDocument/2006/relationships/hyperlink" Target="https://twitter.com/artwisanggeni" TargetMode="External"/><Relationship Id="rId973" Type="http://schemas.openxmlformats.org/officeDocument/2006/relationships/hyperlink" Target="https://pbs.twimg.com/profile_images/2813636657/599521f69e2bc210a57323b64d8e39e6_normal.jpeg" TargetMode="External"/><Relationship Id="rId979" Type="http://schemas.openxmlformats.org/officeDocument/2006/relationships/hyperlink" Target="https://twitter.com/artwisanggeni/status/702847889987383300" TargetMode="External"/><Relationship Id="rId978" Type="http://schemas.openxmlformats.org/officeDocument/2006/relationships/hyperlink" Target="https://twitter.com/artwisanggeni" TargetMode="External"/><Relationship Id="rId977" Type="http://schemas.openxmlformats.org/officeDocument/2006/relationships/hyperlink" Target="https://pbs.twimg.com/profile_images/2813636657/599521f69e2bc210a57323b64d8e39e6_normal.jpeg" TargetMode="External"/><Relationship Id="rId2890" Type="http://schemas.openxmlformats.org/officeDocument/2006/relationships/hyperlink" Target="https://pbs.twimg.com/profile_images/671623862916812800/yGsDKiP4_normal.jpg" TargetMode="External"/><Relationship Id="rId1560" Type="http://schemas.openxmlformats.org/officeDocument/2006/relationships/hyperlink" Target="https://pbs.twimg.com/profile_images/2813636657/599521f69e2bc210a57323b64d8e39e6_normal.jpeg" TargetMode="External"/><Relationship Id="rId2891" Type="http://schemas.openxmlformats.org/officeDocument/2006/relationships/hyperlink" Target="https://twitter.com/gil_cano" TargetMode="External"/><Relationship Id="rId972" Type="http://schemas.openxmlformats.org/officeDocument/2006/relationships/hyperlink" Target="http://dlvr.it" TargetMode="External"/><Relationship Id="rId1561" Type="http://schemas.openxmlformats.org/officeDocument/2006/relationships/hyperlink" Target="https://twitter.com/artwisanggeni" TargetMode="External"/><Relationship Id="rId2892" Type="http://schemas.openxmlformats.org/officeDocument/2006/relationships/hyperlink" Target="https://twitter.com/gil_cano/status/702930555113852929" TargetMode="External"/><Relationship Id="rId971" Type="http://schemas.openxmlformats.org/officeDocument/2006/relationships/hyperlink" Target="https://twitter.com/artwisanggeni/status/702847878746624000" TargetMode="External"/><Relationship Id="rId1562" Type="http://schemas.openxmlformats.org/officeDocument/2006/relationships/hyperlink" Target="https://twitter.com/artwisanggeni/status/702872844728840192" TargetMode="External"/><Relationship Id="rId2893" Type="http://schemas.openxmlformats.org/officeDocument/2006/relationships/hyperlink" Target="https://pbs.twimg.com/profile_images/600153637088661504/HxzhLdx4_normal.jpg" TargetMode="External"/><Relationship Id="rId970" Type="http://schemas.openxmlformats.org/officeDocument/2006/relationships/hyperlink" Target="https://twitter.com/artwisanggeni" TargetMode="External"/><Relationship Id="rId1563" Type="http://schemas.openxmlformats.org/officeDocument/2006/relationships/hyperlink" Target="http://dlvr.it" TargetMode="External"/><Relationship Id="rId2894" Type="http://schemas.openxmlformats.org/officeDocument/2006/relationships/hyperlink" Target="https://twitter.com/artwisanggeni" TargetMode="External"/><Relationship Id="rId1564" Type="http://schemas.openxmlformats.org/officeDocument/2006/relationships/hyperlink" Target="https://pbs.twimg.com/profile_images/2813636657/599521f69e2bc210a57323b64d8e39e6_normal.jpeg" TargetMode="External"/><Relationship Id="rId2895" Type="http://schemas.openxmlformats.org/officeDocument/2006/relationships/hyperlink" Target="https://twitter.com/artwisanggeni/status/702930601922265088" TargetMode="External"/><Relationship Id="rId1598" Type="http://schemas.openxmlformats.org/officeDocument/2006/relationships/hyperlink" Target="https://twitter.com/ExpertDay/status/702873381801164801" TargetMode="External"/><Relationship Id="rId1599" Type="http://schemas.openxmlformats.org/officeDocument/2006/relationships/hyperlink" Target="https://pbs.twimg.com/profile_images/1580399863/logo_fondo_normal.png" TargetMode="External"/><Relationship Id="rId1590" Type="http://schemas.openxmlformats.org/officeDocument/2006/relationships/hyperlink" Target="https://twitter.com/RealPython" TargetMode="External"/><Relationship Id="rId1591" Type="http://schemas.openxmlformats.org/officeDocument/2006/relationships/hyperlink" Target="http://RealPython.com" TargetMode="External"/><Relationship Id="rId1592" Type="http://schemas.openxmlformats.org/officeDocument/2006/relationships/hyperlink" Target="https://twitter.com/RealPython/status/702873163906953216" TargetMode="External"/><Relationship Id="rId1593" Type="http://schemas.openxmlformats.org/officeDocument/2006/relationships/hyperlink" Target="https://pbs.twimg.com/profile_images/3312468366/129323224633d71286101d517a2f9817_normal.png" TargetMode="External"/><Relationship Id="rId1594" Type="http://schemas.openxmlformats.org/officeDocument/2006/relationships/hyperlink" Target="https://twitter.com/ralvaradot" TargetMode="External"/><Relationship Id="rId1595" Type="http://schemas.openxmlformats.org/officeDocument/2006/relationships/hyperlink" Target="https://twitter.com/ralvaradot/status/702873351195398144" TargetMode="External"/><Relationship Id="rId1596" Type="http://schemas.openxmlformats.org/officeDocument/2006/relationships/hyperlink" Target="https://pbs.twimg.com/profile_images/1222674400/c88efa43-0d98-4ba4-ba7c-9a512aaadccf_normal.png" TargetMode="External"/><Relationship Id="rId1597" Type="http://schemas.openxmlformats.org/officeDocument/2006/relationships/hyperlink" Target="https://twitter.com/ExpertDay" TargetMode="External"/><Relationship Id="rId1587" Type="http://schemas.openxmlformats.org/officeDocument/2006/relationships/hyperlink" Target="https://twitter.com/OlivierBohrer" TargetMode="External"/><Relationship Id="rId1588" Type="http://schemas.openxmlformats.org/officeDocument/2006/relationships/hyperlink" Target="https://twitter.com/OlivierBohrer/status/702873086236950528" TargetMode="External"/><Relationship Id="rId1589" Type="http://schemas.openxmlformats.org/officeDocument/2006/relationships/hyperlink" Target="https://pbs.twimg.com/profile_images/579837108338167808/eP41s1zQ_normal.png" TargetMode="External"/><Relationship Id="rId998" Type="http://schemas.openxmlformats.org/officeDocument/2006/relationships/hyperlink" Target="https://twitter.com/sablobsimus/status/702848102366121985" TargetMode="External"/><Relationship Id="rId997" Type="http://schemas.openxmlformats.org/officeDocument/2006/relationships/hyperlink" Target="https://twitter.com/sablobsimus" TargetMode="External"/><Relationship Id="rId996" Type="http://schemas.openxmlformats.org/officeDocument/2006/relationships/hyperlink" Target="https://pbs.twimg.com/profile_images/378800000395732848/280c978f05a649ed1dc8376db6a37a8a_normal.png" TargetMode="External"/><Relationship Id="rId995" Type="http://schemas.openxmlformats.org/officeDocument/2006/relationships/hyperlink" Target="https://twitter.com/darkelda/status/702848040898568194" TargetMode="External"/><Relationship Id="rId999" Type="http://schemas.openxmlformats.org/officeDocument/2006/relationships/hyperlink" Target="https://pbs.twimg.com/profile_images/462354379/reflx01_normal.png" TargetMode="External"/><Relationship Id="rId990" Type="http://schemas.openxmlformats.org/officeDocument/2006/relationships/hyperlink" Target="https://twitter.com/artwisanggeni" TargetMode="External"/><Relationship Id="rId1580" Type="http://schemas.openxmlformats.org/officeDocument/2006/relationships/hyperlink" Target="https://pbs.twimg.com/profile_images/2813636657/599521f69e2bc210a57323b64d8e39e6_normal.jpeg" TargetMode="External"/><Relationship Id="rId1581" Type="http://schemas.openxmlformats.org/officeDocument/2006/relationships/hyperlink" Target="https://twitter.com/NoSQLDigest" TargetMode="External"/><Relationship Id="rId1582" Type="http://schemas.openxmlformats.org/officeDocument/2006/relationships/hyperlink" Target="https://twitter.com/NoSQLDigest/status/702872995983798277" TargetMode="External"/><Relationship Id="rId994" Type="http://schemas.openxmlformats.org/officeDocument/2006/relationships/hyperlink" Target="https://twitter.com/darkelda" TargetMode="External"/><Relationship Id="rId1583" Type="http://schemas.openxmlformats.org/officeDocument/2006/relationships/hyperlink" Target="https://pbs.twimg.com/profile_images/499257180009529344/CSWhr7LZ_normal.jpeg" TargetMode="External"/><Relationship Id="rId993" Type="http://schemas.openxmlformats.org/officeDocument/2006/relationships/hyperlink" Target="https://pbs.twimg.com/profile_images/2813636657/599521f69e2bc210a57323b64d8e39e6_normal.jpeg" TargetMode="External"/><Relationship Id="rId1584" Type="http://schemas.openxmlformats.org/officeDocument/2006/relationships/hyperlink" Target="https://twitter.com/LindskogLizette" TargetMode="External"/><Relationship Id="rId992" Type="http://schemas.openxmlformats.org/officeDocument/2006/relationships/hyperlink" Target="http://dlvr.it" TargetMode="External"/><Relationship Id="rId1585" Type="http://schemas.openxmlformats.org/officeDocument/2006/relationships/hyperlink" Target="https://twitter.com/LindskogLizette/status/702873079924563968" TargetMode="External"/><Relationship Id="rId991" Type="http://schemas.openxmlformats.org/officeDocument/2006/relationships/hyperlink" Target="https://twitter.com/artwisanggeni/status/702847906923937795" TargetMode="External"/><Relationship Id="rId1586" Type="http://schemas.openxmlformats.org/officeDocument/2006/relationships/hyperlink" Target="https://pbs.twimg.com/profile_images/378800000808930090/a471194d8fed1fcaa9962b52a54c0f81_normal.jpeg" TargetMode="External"/><Relationship Id="rId1532" Type="http://schemas.openxmlformats.org/officeDocument/2006/relationships/hyperlink" Target="https://twitter.com/FugueHQ" TargetMode="External"/><Relationship Id="rId2863" Type="http://schemas.openxmlformats.org/officeDocument/2006/relationships/hyperlink" Target="https://pbs.twimg.com/profile_images/621693027304779776/OKPaVvyo_normal.jpg" TargetMode="External"/><Relationship Id="rId1533" Type="http://schemas.openxmlformats.org/officeDocument/2006/relationships/hyperlink" Target="https://twitter.com/FugueHQ/status/702872321653084161" TargetMode="External"/><Relationship Id="rId2864" Type="http://schemas.openxmlformats.org/officeDocument/2006/relationships/hyperlink" Target="https://twitter.com/MCanalytics" TargetMode="External"/><Relationship Id="rId1534" Type="http://schemas.openxmlformats.org/officeDocument/2006/relationships/hyperlink" Target="https://pbs.twimg.com/profile_images/687691749909749760/tQn8cmQv_normal.png" TargetMode="External"/><Relationship Id="rId2865" Type="http://schemas.openxmlformats.org/officeDocument/2006/relationships/hyperlink" Target="https://twitter.com/MCanalytics/status/702928961332838400" TargetMode="External"/><Relationship Id="rId1535" Type="http://schemas.openxmlformats.org/officeDocument/2006/relationships/hyperlink" Target="https://twitter.com/zoetropeLabs" TargetMode="External"/><Relationship Id="rId2866" Type="http://schemas.openxmlformats.org/officeDocument/2006/relationships/hyperlink" Target="https://pbs.twimg.com/profile_images/642779267927945218/MYTAxfc-_normal.jpg" TargetMode="External"/><Relationship Id="rId1536" Type="http://schemas.openxmlformats.org/officeDocument/2006/relationships/hyperlink" Target="https://twitter.com/zoetropeLabs/status/702872599030796288" TargetMode="External"/><Relationship Id="rId2867" Type="http://schemas.openxmlformats.org/officeDocument/2006/relationships/hyperlink" Target="https://twitter.com/nwolovick" TargetMode="External"/><Relationship Id="rId1537" Type="http://schemas.openxmlformats.org/officeDocument/2006/relationships/hyperlink" Target="https://pbs.twimg.com/profile_images/378800000664192435/30fdedde058503e15a606e1089e54170_normal.png" TargetMode="External"/><Relationship Id="rId2868" Type="http://schemas.openxmlformats.org/officeDocument/2006/relationships/hyperlink" Target="https://twitter.com/nwolovick/status/702929157072809984" TargetMode="External"/><Relationship Id="rId1538" Type="http://schemas.openxmlformats.org/officeDocument/2006/relationships/hyperlink" Target="https://twitter.com/artwisanggeni" TargetMode="External"/><Relationship Id="rId2869" Type="http://schemas.openxmlformats.org/officeDocument/2006/relationships/hyperlink" Target="https://pbs.twimg.com/profile_images/651855422303916032/xChskRyA_normal.png" TargetMode="External"/><Relationship Id="rId1539" Type="http://schemas.openxmlformats.org/officeDocument/2006/relationships/hyperlink" Target="https://twitter.com/artwisanggeni/status/702872828220059648" TargetMode="External"/><Relationship Id="rId949" Type="http://schemas.openxmlformats.org/officeDocument/2006/relationships/hyperlink" Target="https://twitter.com/JoshuaLongUK/status/702847491595698176" TargetMode="External"/><Relationship Id="rId948" Type="http://schemas.openxmlformats.org/officeDocument/2006/relationships/hyperlink" Target="https://twitter.com/JoshuaLongUK" TargetMode="External"/><Relationship Id="rId943" Type="http://schemas.openxmlformats.org/officeDocument/2006/relationships/hyperlink" Target="https://twitter.com/HartwigMicheal/status/702847171742322688" TargetMode="External"/><Relationship Id="rId942" Type="http://schemas.openxmlformats.org/officeDocument/2006/relationships/hyperlink" Target="https://twitter.com/HartwigMicheal" TargetMode="External"/><Relationship Id="rId941" Type="http://schemas.openxmlformats.org/officeDocument/2006/relationships/hyperlink" Target="https://pbs.twimg.com/profile_images/662602436222193664/qKuvsfnG_normal.jpg" TargetMode="External"/><Relationship Id="rId940" Type="http://schemas.openxmlformats.org/officeDocument/2006/relationships/hyperlink" Target="https://twitter.com/programmingncr/status/702847068436566016" TargetMode="External"/><Relationship Id="rId947" Type="http://schemas.openxmlformats.org/officeDocument/2006/relationships/hyperlink" Target="https://pbs.twimg.com/profile_images/572091631055028224/Pkx__FSB_normal.png" TargetMode="External"/><Relationship Id="rId946" Type="http://schemas.openxmlformats.org/officeDocument/2006/relationships/hyperlink" Target="https://twitter.com/cool_python/status/702847188590694402" TargetMode="External"/><Relationship Id="rId945" Type="http://schemas.openxmlformats.org/officeDocument/2006/relationships/hyperlink" Target="https://twitter.com/cool_python" TargetMode="External"/><Relationship Id="rId944" Type="http://schemas.openxmlformats.org/officeDocument/2006/relationships/hyperlink" Target="https://pbs.twimg.com/profile_images/679948461953781761/pDo9356K_normal.jpg" TargetMode="External"/><Relationship Id="rId2860" Type="http://schemas.openxmlformats.org/officeDocument/2006/relationships/hyperlink" Target="https://pbs.twimg.com/profile_images/2429450882/profile_normal.jpg" TargetMode="External"/><Relationship Id="rId1530" Type="http://schemas.openxmlformats.org/officeDocument/2006/relationships/hyperlink" Target="https://twitter.com/catalyst256/status/702872226350178304" TargetMode="External"/><Relationship Id="rId2861" Type="http://schemas.openxmlformats.org/officeDocument/2006/relationships/hyperlink" Target="https://twitter.com/api_bigdata" TargetMode="External"/><Relationship Id="rId1531" Type="http://schemas.openxmlformats.org/officeDocument/2006/relationships/hyperlink" Target="https://pbs.twimg.com/profile_images/664850367964946432/MM3NS2iW_normal.jpg" TargetMode="External"/><Relationship Id="rId2862" Type="http://schemas.openxmlformats.org/officeDocument/2006/relationships/hyperlink" Target="https://twitter.com/api_bigdata/status/702928458272391169" TargetMode="External"/><Relationship Id="rId1521" Type="http://schemas.openxmlformats.org/officeDocument/2006/relationships/hyperlink" Target="https://twitter.com/walkops/status/702871730692292608" TargetMode="External"/><Relationship Id="rId2852" Type="http://schemas.openxmlformats.org/officeDocument/2006/relationships/hyperlink" Target="https://twitter.com/py3k" TargetMode="External"/><Relationship Id="rId1522" Type="http://schemas.openxmlformats.org/officeDocument/2006/relationships/hyperlink" Target="https://pbs.twimg.com/profile_images/414665160217739264/Vjqlxhz8_normal.jpeg" TargetMode="External"/><Relationship Id="rId2853" Type="http://schemas.openxmlformats.org/officeDocument/2006/relationships/hyperlink" Target="https://twitter.com/py3k/status/702928382800093184" TargetMode="External"/><Relationship Id="rId1523" Type="http://schemas.openxmlformats.org/officeDocument/2006/relationships/hyperlink" Target="https://twitter.com/TechnetDigital" TargetMode="External"/><Relationship Id="rId2854" Type="http://schemas.openxmlformats.org/officeDocument/2006/relationships/hyperlink" Target="https://pbs.twimg.com/profile_images/2474433856/p075cerxh0arpea6ceip_normal.png" TargetMode="External"/><Relationship Id="rId1524" Type="http://schemas.openxmlformats.org/officeDocument/2006/relationships/hyperlink" Target="https://twitter.com/TechnetDigital/status/702871874649387008" TargetMode="External"/><Relationship Id="rId2855" Type="http://schemas.openxmlformats.org/officeDocument/2006/relationships/hyperlink" Target="https://twitter.com/7light7blue" TargetMode="External"/><Relationship Id="rId1525" Type="http://schemas.openxmlformats.org/officeDocument/2006/relationships/hyperlink" Target="https://pbs.twimg.com/profile_images/696755002048712705/GPvIcEjX_normal.png" TargetMode="External"/><Relationship Id="rId2856" Type="http://schemas.openxmlformats.org/officeDocument/2006/relationships/hyperlink" Target="https://twitter.com/7light7blue/status/702928390538596352" TargetMode="External"/><Relationship Id="rId1526" Type="http://schemas.openxmlformats.org/officeDocument/2006/relationships/hyperlink" Target="https://twitter.com/mikegrimshaw2" TargetMode="External"/><Relationship Id="rId2857" Type="http://schemas.openxmlformats.org/officeDocument/2006/relationships/hyperlink" Target="https://pbs.twimg.com/profile_images/629304662051549184/UaWSbb_Y_normal.jpg" TargetMode="External"/><Relationship Id="rId1527" Type="http://schemas.openxmlformats.org/officeDocument/2006/relationships/hyperlink" Target="https://twitter.com/mikegrimshaw2/status/702871891246055424" TargetMode="External"/><Relationship Id="rId2858" Type="http://schemas.openxmlformats.org/officeDocument/2006/relationships/hyperlink" Target="https://twitter.com/elmor34" TargetMode="External"/><Relationship Id="rId1528" Type="http://schemas.openxmlformats.org/officeDocument/2006/relationships/hyperlink" Target="https://pbs.twimg.com/profile_images/611686609407180800/hZKDoHLq_normal.jpg" TargetMode="External"/><Relationship Id="rId2859" Type="http://schemas.openxmlformats.org/officeDocument/2006/relationships/hyperlink" Target="https://twitter.com/elmor34/status/702928391385829378" TargetMode="External"/><Relationship Id="rId1529" Type="http://schemas.openxmlformats.org/officeDocument/2006/relationships/hyperlink" Target="https://twitter.com/catalyst256" TargetMode="External"/><Relationship Id="rId939" Type="http://schemas.openxmlformats.org/officeDocument/2006/relationships/hyperlink" Target="https://twitter.com/programmingncr" TargetMode="External"/><Relationship Id="rId938" Type="http://schemas.openxmlformats.org/officeDocument/2006/relationships/hyperlink" Target="https://pbs.twimg.com/profile_images/524534389690994688/O2Q5bLyo_normal.png" TargetMode="External"/><Relationship Id="rId937" Type="http://schemas.openxmlformats.org/officeDocument/2006/relationships/hyperlink" Target="https://twitter.com/GERSolar/status/702846807336996869" TargetMode="External"/><Relationship Id="rId932" Type="http://schemas.openxmlformats.org/officeDocument/2006/relationships/hyperlink" Target="https://pbs.twimg.com/profile_images/2474433856/p075cerxh0arpea6ceip_normal.png" TargetMode="External"/><Relationship Id="rId931" Type="http://schemas.openxmlformats.org/officeDocument/2006/relationships/hyperlink" Target="https://twitter.com/py3k/status/702845768567230464" TargetMode="External"/><Relationship Id="rId930" Type="http://schemas.openxmlformats.org/officeDocument/2006/relationships/hyperlink" Target="https://twitter.com/py3k" TargetMode="External"/><Relationship Id="rId936" Type="http://schemas.openxmlformats.org/officeDocument/2006/relationships/hyperlink" Target="https://twitter.com/GERSolar" TargetMode="External"/><Relationship Id="rId935" Type="http://schemas.openxmlformats.org/officeDocument/2006/relationships/hyperlink" Target="https://pbs.twimg.com/profile_images/678592301489242113/Sfm3y8Po_normal.jpg" TargetMode="External"/><Relationship Id="rId934" Type="http://schemas.openxmlformats.org/officeDocument/2006/relationships/hyperlink" Target="https://twitter.com/SeiichiShiga/status/702846053591089152" TargetMode="External"/><Relationship Id="rId933" Type="http://schemas.openxmlformats.org/officeDocument/2006/relationships/hyperlink" Target="https://twitter.com/SeiichiShiga" TargetMode="External"/><Relationship Id="rId2850" Type="http://schemas.openxmlformats.org/officeDocument/2006/relationships/hyperlink" Target="https://twitter.com/drawnic/status/702928373434208256" TargetMode="External"/><Relationship Id="rId1520" Type="http://schemas.openxmlformats.org/officeDocument/2006/relationships/hyperlink" Target="https://twitter.com/walkops" TargetMode="External"/><Relationship Id="rId2851" Type="http://schemas.openxmlformats.org/officeDocument/2006/relationships/hyperlink" Target="https://pbs.twimg.com/profile_images/583713824743809025/XGJHaZs1_normal.jpg" TargetMode="External"/><Relationship Id="rId1554" Type="http://schemas.openxmlformats.org/officeDocument/2006/relationships/hyperlink" Target="https://twitter.com/artwisanggeni/status/702872838005399552" TargetMode="External"/><Relationship Id="rId2885" Type="http://schemas.openxmlformats.org/officeDocument/2006/relationships/hyperlink" Target="https://twitter.com/AdamSmitht1" TargetMode="External"/><Relationship Id="rId1555" Type="http://schemas.openxmlformats.org/officeDocument/2006/relationships/hyperlink" Target="http://dlvr.it" TargetMode="External"/><Relationship Id="rId2886" Type="http://schemas.openxmlformats.org/officeDocument/2006/relationships/hyperlink" Target="https://twitter.com/AdamSmitht1/status/702930478333108224" TargetMode="External"/><Relationship Id="rId1556" Type="http://schemas.openxmlformats.org/officeDocument/2006/relationships/hyperlink" Target="https://pbs.twimg.com/profile_images/2813636657/599521f69e2bc210a57323b64d8e39e6_normal.jpeg" TargetMode="External"/><Relationship Id="rId2887" Type="http://schemas.openxmlformats.org/officeDocument/2006/relationships/hyperlink" Target="https://pbs.twimg.com/profile_images/671623862916812800/yGsDKiP4_normal.jpg" TargetMode="External"/><Relationship Id="rId1557" Type="http://schemas.openxmlformats.org/officeDocument/2006/relationships/hyperlink" Target="https://twitter.com/artwisanggeni" TargetMode="External"/><Relationship Id="rId2888" Type="http://schemas.openxmlformats.org/officeDocument/2006/relationships/hyperlink" Target="https://twitter.com/AdamSmitht1" TargetMode="External"/><Relationship Id="rId1558" Type="http://schemas.openxmlformats.org/officeDocument/2006/relationships/hyperlink" Target="https://twitter.com/artwisanggeni/status/702872841306279941" TargetMode="External"/><Relationship Id="rId2889" Type="http://schemas.openxmlformats.org/officeDocument/2006/relationships/hyperlink" Target="https://twitter.com/AdamSmitht1/status/702930501577940992" TargetMode="External"/><Relationship Id="rId1559" Type="http://schemas.openxmlformats.org/officeDocument/2006/relationships/hyperlink" Target="http://dlvr.it" TargetMode="External"/><Relationship Id="rId965" Type="http://schemas.openxmlformats.org/officeDocument/2006/relationships/hyperlink" Target="https://pbs.twimg.com/profile_images/2813636657/599521f69e2bc210a57323b64d8e39e6_normal.jpeg" TargetMode="External"/><Relationship Id="rId964" Type="http://schemas.openxmlformats.org/officeDocument/2006/relationships/hyperlink" Target="http://dlvr.it" TargetMode="External"/><Relationship Id="rId963" Type="http://schemas.openxmlformats.org/officeDocument/2006/relationships/hyperlink" Target="https://twitter.com/artwisanggeni/status/702847868176957440" TargetMode="External"/><Relationship Id="rId962" Type="http://schemas.openxmlformats.org/officeDocument/2006/relationships/hyperlink" Target="https://twitter.com/artwisanggeni" TargetMode="External"/><Relationship Id="rId969" Type="http://schemas.openxmlformats.org/officeDocument/2006/relationships/hyperlink" Target="https://pbs.twimg.com/profile_images/2813636657/599521f69e2bc210a57323b64d8e39e6_normal.jpeg" TargetMode="External"/><Relationship Id="rId968" Type="http://schemas.openxmlformats.org/officeDocument/2006/relationships/hyperlink" Target="http://dlvr.it" TargetMode="External"/><Relationship Id="rId967" Type="http://schemas.openxmlformats.org/officeDocument/2006/relationships/hyperlink" Target="https://twitter.com/artwisanggeni/status/702847873969364992" TargetMode="External"/><Relationship Id="rId966" Type="http://schemas.openxmlformats.org/officeDocument/2006/relationships/hyperlink" Target="https://twitter.com/artwisanggeni" TargetMode="External"/><Relationship Id="rId2880" Type="http://schemas.openxmlformats.org/officeDocument/2006/relationships/hyperlink" Target="https://twitter.com/GERSolar/status/702929876354011136" TargetMode="External"/><Relationship Id="rId961" Type="http://schemas.openxmlformats.org/officeDocument/2006/relationships/hyperlink" Target="https://pbs.twimg.com/profile_images/2813636657/599521f69e2bc210a57323b64d8e39e6_normal.jpeg" TargetMode="External"/><Relationship Id="rId1550" Type="http://schemas.openxmlformats.org/officeDocument/2006/relationships/hyperlink" Target="https://twitter.com/artwisanggeni/status/702872834800877568" TargetMode="External"/><Relationship Id="rId2881" Type="http://schemas.openxmlformats.org/officeDocument/2006/relationships/hyperlink" Target="https://pbs.twimg.com/profile_images/524534389690994688/O2Q5bLyo_normal.png" TargetMode="External"/><Relationship Id="rId960" Type="http://schemas.openxmlformats.org/officeDocument/2006/relationships/hyperlink" Target="http://dlvr.it" TargetMode="External"/><Relationship Id="rId1551" Type="http://schemas.openxmlformats.org/officeDocument/2006/relationships/hyperlink" Target="http://dlvr.it" TargetMode="External"/><Relationship Id="rId2882" Type="http://schemas.openxmlformats.org/officeDocument/2006/relationships/hyperlink" Target="https://twitter.com/xxxhaitiansexua" TargetMode="External"/><Relationship Id="rId1552" Type="http://schemas.openxmlformats.org/officeDocument/2006/relationships/hyperlink" Target="https://pbs.twimg.com/profile_images/2813636657/599521f69e2bc210a57323b64d8e39e6_normal.jpeg" TargetMode="External"/><Relationship Id="rId2883" Type="http://schemas.openxmlformats.org/officeDocument/2006/relationships/hyperlink" Target="https://twitter.com/xxxhaitiansexua/status/702930360649302016" TargetMode="External"/><Relationship Id="rId1553" Type="http://schemas.openxmlformats.org/officeDocument/2006/relationships/hyperlink" Target="https://twitter.com/artwisanggeni" TargetMode="External"/><Relationship Id="rId2884" Type="http://schemas.openxmlformats.org/officeDocument/2006/relationships/hyperlink" Target="https://pbs.twimg.com/profile_images/699724053100240896/c8-g-fAg_normal.jpg" TargetMode="External"/><Relationship Id="rId1543" Type="http://schemas.openxmlformats.org/officeDocument/2006/relationships/hyperlink" Target="https://twitter.com/SiliconArmada/status/702872828274671617" TargetMode="External"/><Relationship Id="rId2874" Type="http://schemas.openxmlformats.org/officeDocument/2006/relationships/hyperlink" Target="https://twitter.com/TeamString/status/702929402837991424" TargetMode="External"/><Relationship Id="rId1544" Type="http://schemas.openxmlformats.org/officeDocument/2006/relationships/hyperlink" Target="https://pbs.twimg.com/profile_images/660839913970118656/5BS6sNCq_normal.png" TargetMode="External"/><Relationship Id="rId2875" Type="http://schemas.openxmlformats.org/officeDocument/2006/relationships/hyperlink" Target="https://pbs.twimg.com/profile_images/460998264808955904/6K64_v4a_normal.png" TargetMode="External"/><Relationship Id="rId1545" Type="http://schemas.openxmlformats.org/officeDocument/2006/relationships/hyperlink" Target="https://twitter.com/artwisanggeni" TargetMode="External"/><Relationship Id="rId2876" Type="http://schemas.openxmlformats.org/officeDocument/2006/relationships/hyperlink" Target="https://twitter.com/initNirvana" TargetMode="External"/><Relationship Id="rId1546" Type="http://schemas.openxmlformats.org/officeDocument/2006/relationships/hyperlink" Target="https://twitter.com/artwisanggeni/status/702872831361613825" TargetMode="External"/><Relationship Id="rId2877" Type="http://schemas.openxmlformats.org/officeDocument/2006/relationships/hyperlink" Target="https://twitter.com/initNirvana/status/702929728626302976" TargetMode="External"/><Relationship Id="rId1547" Type="http://schemas.openxmlformats.org/officeDocument/2006/relationships/hyperlink" Target="http://dlvr.it" TargetMode="External"/><Relationship Id="rId2878" Type="http://schemas.openxmlformats.org/officeDocument/2006/relationships/hyperlink" Target="https://pbs.twimg.com/profile_images/689305386063536128/LEYg835B_normal.jpg" TargetMode="External"/><Relationship Id="rId1548" Type="http://schemas.openxmlformats.org/officeDocument/2006/relationships/hyperlink" Target="https://pbs.twimg.com/profile_images/2813636657/599521f69e2bc210a57323b64d8e39e6_normal.jpeg" TargetMode="External"/><Relationship Id="rId2879" Type="http://schemas.openxmlformats.org/officeDocument/2006/relationships/hyperlink" Target="https://twitter.com/GERSolar" TargetMode="External"/><Relationship Id="rId1549" Type="http://schemas.openxmlformats.org/officeDocument/2006/relationships/hyperlink" Target="https://twitter.com/artwisanggeni" TargetMode="External"/><Relationship Id="rId959" Type="http://schemas.openxmlformats.org/officeDocument/2006/relationships/hyperlink" Target="https://twitter.com/artwisanggeni/status/702847861688434688" TargetMode="External"/><Relationship Id="rId954" Type="http://schemas.openxmlformats.org/officeDocument/2006/relationships/hyperlink" Target="https://twitter.com/artwisanggeni" TargetMode="External"/><Relationship Id="rId953" Type="http://schemas.openxmlformats.org/officeDocument/2006/relationships/hyperlink" Target="https://pbs.twimg.com/profile_images/677493910256484352/-EdVaVPl_normal.jpg" TargetMode="External"/><Relationship Id="rId952" Type="http://schemas.openxmlformats.org/officeDocument/2006/relationships/hyperlink" Target="https://twitter.com/MTotolrahaman/status/702847563658043393" TargetMode="External"/><Relationship Id="rId951" Type="http://schemas.openxmlformats.org/officeDocument/2006/relationships/hyperlink" Target="https://twitter.com/MTotolrahaman" TargetMode="External"/><Relationship Id="rId958" Type="http://schemas.openxmlformats.org/officeDocument/2006/relationships/hyperlink" Target="https://twitter.com/artwisanggeni" TargetMode="External"/><Relationship Id="rId957" Type="http://schemas.openxmlformats.org/officeDocument/2006/relationships/hyperlink" Target="https://pbs.twimg.com/profile_images/2813636657/599521f69e2bc210a57323b64d8e39e6_normal.jpeg" TargetMode="External"/><Relationship Id="rId956" Type="http://schemas.openxmlformats.org/officeDocument/2006/relationships/hyperlink" Target="http://dlvr.it" TargetMode="External"/><Relationship Id="rId955" Type="http://schemas.openxmlformats.org/officeDocument/2006/relationships/hyperlink" Target="https://twitter.com/artwisanggeni/status/702847856516857856" TargetMode="External"/><Relationship Id="rId950" Type="http://schemas.openxmlformats.org/officeDocument/2006/relationships/hyperlink" Target="https://pbs.twimg.com/profile_images/627996138403168256/DaASdgVr_normal.jpg" TargetMode="External"/><Relationship Id="rId2870" Type="http://schemas.openxmlformats.org/officeDocument/2006/relationships/hyperlink" Target="https://twitter.com/cool_python" TargetMode="External"/><Relationship Id="rId1540" Type="http://schemas.openxmlformats.org/officeDocument/2006/relationships/hyperlink" Target="http://dlvr.it" TargetMode="External"/><Relationship Id="rId2871" Type="http://schemas.openxmlformats.org/officeDocument/2006/relationships/hyperlink" Target="https://twitter.com/cool_python/status/702929228606644224" TargetMode="External"/><Relationship Id="rId1541" Type="http://schemas.openxmlformats.org/officeDocument/2006/relationships/hyperlink" Target="https://pbs.twimg.com/profile_images/2813636657/599521f69e2bc210a57323b64d8e39e6_normal.jpeg" TargetMode="External"/><Relationship Id="rId2872" Type="http://schemas.openxmlformats.org/officeDocument/2006/relationships/hyperlink" Target="https://pbs.twimg.com/profile_images/572091631055028224/Pkx__FSB_normal.png" TargetMode="External"/><Relationship Id="rId1542" Type="http://schemas.openxmlformats.org/officeDocument/2006/relationships/hyperlink" Target="https://twitter.com/SiliconArmada" TargetMode="External"/><Relationship Id="rId2873" Type="http://schemas.openxmlformats.org/officeDocument/2006/relationships/hyperlink" Target="https://twitter.com/TeamString" TargetMode="External"/><Relationship Id="rId7717" Type="http://schemas.openxmlformats.org/officeDocument/2006/relationships/hyperlink" Target="https://pbs.twimg.com/profile_images/583850259970822144/7EgtHLoT_normal.jpg" TargetMode="External"/><Relationship Id="rId7716" Type="http://schemas.openxmlformats.org/officeDocument/2006/relationships/hyperlink" Target="https://twitter.com/panseybard/status/703202573545648128" TargetMode="External"/><Relationship Id="rId7715" Type="http://schemas.openxmlformats.org/officeDocument/2006/relationships/hyperlink" Target="https://twitter.com/panseybard" TargetMode="External"/><Relationship Id="rId7714" Type="http://schemas.openxmlformats.org/officeDocument/2006/relationships/hyperlink" Target="https://pbs.twimg.com/profile_images/646145735222628352/JdwsTZeW_normal.jpg" TargetMode="External"/><Relationship Id="rId7719" Type="http://schemas.openxmlformats.org/officeDocument/2006/relationships/hyperlink" Target="https://twitter.com/sdouche/status/703202730224041984" TargetMode="External"/><Relationship Id="rId7718" Type="http://schemas.openxmlformats.org/officeDocument/2006/relationships/hyperlink" Target="https://twitter.com/sdouche" TargetMode="External"/><Relationship Id="rId7713" Type="http://schemas.openxmlformats.org/officeDocument/2006/relationships/hyperlink" Target="https://twitter.com/AprenderGameDev/status/703202324706004992" TargetMode="External"/><Relationship Id="rId7712" Type="http://schemas.openxmlformats.org/officeDocument/2006/relationships/hyperlink" Target="https://twitter.com/AprenderGameDev" TargetMode="External"/><Relationship Id="rId7711" Type="http://schemas.openxmlformats.org/officeDocument/2006/relationships/hyperlink" Target="https://pbs.twimg.com/profile_images/682757887261818880/Q5--Prn6_normal.jpg" TargetMode="External"/><Relationship Id="rId7710" Type="http://schemas.openxmlformats.org/officeDocument/2006/relationships/hyperlink" Target="https://twitter.com/kevlbass1024/status/703202238311825408" TargetMode="External"/><Relationship Id="rId7706" Type="http://schemas.openxmlformats.org/officeDocument/2006/relationships/hyperlink" Target="https://twitter.com/EvanBianco" TargetMode="External"/><Relationship Id="rId7705" Type="http://schemas.openxmlformats.org/officeDocument/2006/relationships/hyperlink" Target="https://pbs.twimg.com/profile_images/645761542269440000/a2TC8EJh_normal.jpg" TargetMode="External"/><Relationship Id="rId7704" Type="http://schemas.openxmlformats.org/officeDocument/2006/relationships/hyperlink" Target="https://twitter.com/GameDevBRbot/status/703202212357378049" TargetMode="External"/><Relationship Id="rId7703" Type="http://schemas.openxmlformats.org/officeDocument/2006/relationships/hyperlink" Target="https://twitter.com/GameDevBRbot" TargetMode="External"/><Relationship Id="rId7709" Type="http://schemas.openxmlformats.org/officeDocument/2006/relationships/hyperlink" Target="https://twitter.com/kevlbass1024" TargetMode="External"/><Relationship Id="rId7708" Type="http://schemas.openxmlformats.org/officeDocument/2006/relationships/hyperlink" Target="https://pbs.twimg.com/profile_images/2118254595/Evan_1432_normal.jpg" TargetMode="External"/><Relationship Id="rId7707" Type="http://schemas.openxmlformats.org/officeDocument/2006/relationships/hyperlink" Target="https://twitter.com/EvanBianco/status/703202226764906496" TargetMode="External"/><Relationship Id="rId7702" Type="http://schemas.openxmlformats.org/officeDocument/2006/relationships/hyperlink" Target="https://pbs.twimg.com/profile_images/651733187278716928/Z6hz-ep1_normal.jpg" TargetMode="External"/><Relationship Id="rId7701" Type="http://schemas.openxmlformats.org/officeDocument/2006/relationships/hyperlink" Target="https://twitter.com/Velinda_Packt/status/703202004038909955" TargetMode="External"/><Relationship Id="rId7700" Type="http://schemas.openxmlformats.org/officeDocument/2006/relationships/hyperlink" Target="https://twitter.com/Velinda_Packt" TargetMode="External"/><Relationship Id="rId6407" Type="http://schemas.openxmlformats.org/officeDocument/2006/relationships/hyperlink" Target="https://twitter.com/aburgool/status/703116279775760384" TargetMode="External"/><Relationship Id="rId7739" Type="http://schemas.openxmlformats.org/officeDocument/2006/relationships/hyperlink" Target="https://twitter.com/HackLabAl" TargetMode="External"/><Relationship Id="rId6408" Type="http://schemas.openxmlformats.org/officeDocument/2006/relationships/hyperlink" Target="https://pbs.twimg.com/profile_images/3307934126/f430733c3c365c583819174a84dc59b2_normal.jpeg" TargetMode="External"/><Relationship Id="rId7738" Type="http://schemas.openxmlformats.org/officeDocument/2006/relationships/hyperlink" Target="https://pbs.twimg.com/profile_images/607796949085855744/yiNwAzF__normal.jpg" TargetMode="External"/><Relationship Id="rId6405" Type="http://schemas.openxmlformats.org/officeDocument/2006/relationships/hyperlink" Target="https://pbs.twimg.com/profile_images/685632362101657600/8koVJClI_normal.png" TargetMode="External"/><Relationship Id="rId7737" Type="http://schemas.openxmlformats.org/officeDocument/2006/relationships/hyperlink" Target="https://twitter.com/GovsInfo/status/703203521005527040" TargetMode="External"/><Relationship Id="rId6406" Type="http://schemas.openxmlformats.org/officeDocument/2006/relationships/hyperlink" Target="https://twitter.com/aburgool" TargetMode="External"/><Relationship Id="rId7736" Type="http://schemas.openxmlformats.org/officeDocument/2006/relationships/hyperlink" Target="https://twitter.com/GovsInfo" TargetMode="External"/><Relationship Id="rId6409" Type="http://schemas.openxmlformats.org/officeDocument/2006/relationships/hyperlink" Target="https://twitter.com/Redimido" TargetMode="External"/><Relationship Id="rId7731" Type="http://schemas.openxmlformats.org/officeDocument/2006/relationships/hyperlink" Target="https://twitter.com/googletricks19/status/703203245481713664" TargetMode="External"/><Relationship Id="rId6400" Type="http://schemas.openxmlformats.org/officeDocument/2006/relationships/hyperlink" Target="https://twitter.com/SlaviTweets" TargetMode="External"/><Relationship Id="rId7730" Type="http://schemas.openxmlformats.org/officeDocument/2006/relationships/hyperlink" Target="https://twitter.com/googletricks19" TargetMode="External"/><Relationship Id="rId6403" Type="http://schemas.openxmlformats.org/officeDocument/2006/relationships/hyperlink" Target="https://twitter.com/FakeUnicode" TargetMode="External"/><Relationship Id="rId7735" Type="http://schemas.openxmlformats.org/officeDocument/2006/relationships/hyperlink" Target="https://pbs.twimg.com/profile_images/688661500521754624/qLQPH0T0_normal.jpg" TargetMode="External"/><Relationship Id="rId6404" Type="http://schemas.openxmlformats.org/officeDocument/2006/relationships/hyperlink" Target="https://twitter.com/FakeUnicode/status/703115939382894592" TargetMode="External"/><Relationship Id="rId7734" Type="http://schemas.openxmlformats.org/officeDocument/2006/relationships/hyperlink" Target="https://twitter.com/nadeauv/status/703203515938840577" TargetMode="External"/><Relationship Id="rId6401" Type="http://schemas.openxmlformats.org/officeDocument/2006/relationships/hyperlink" Target="https://twitter.com/SlaviTweets/status/703115893732081664" TargetMode="External"/><Relationship Id="rId7733" Type="http://schemas.openxmlformats.org/officeDocument/2006/relationships/hyperlink" Target="https://twitter.com/nadeauv" TargetMode="External"/><Relationship Id="rId6402" Type="http://schemas.openxmlformats.org/officeDocument/2006/relationships/hyperlink" Target="https://pbs.twimg.com/profile_images/514747664919846912/582SfV4G_normal.jpeg" TargetMode="External"/><Relationship Id="rId7732" Type="http://schemas.openxmlformats.org/officeDocument/2006/relationships/hyperlink" Target="https://pbs.twimg.com/profile_images/578098320159051776/fZw6-_AW_normal.png" TargetMode="External"/><Relationship Id="rId7728" Type="http://schemas.openxmlformats.org/officeDocument/2006/relationships/hyperlink" Target="https://twitter.com/G2Play/status/703203214221549568" TargetMode="External"/><Relationship Id="rId7727" Type="http://schemas.openxmlformats.org/officeDocument/2006/relationships/hyperlink" Target="https://twitter.com/G2Play" TargetMode="External"/><Relationship Id="rId7726" Type="http://schemas.openxmlformats.org/officeDocument/2006/relationships/hyperlink" Target="https://pbs.twimg.com/profile_images/517412760750407680/zT6xH1e4_normal.jpeg" TargetMode="External"/><Relationship Id="rId7725" Type="http://schemas.openxmlformats.org/officeDocument/2006/relationships/hyperlink" Target="https://twitter.com/gitlotto/status/703203142444384256" TargetMode="External"/><Relationship Id="rId7729" Type="http://schemas.openxmlformats.org/officeDocument/2006/relationships/hyperlink" Target="https://pbs.twimg.com/profile_images/677381339142729729/5e4WnBDg_normal.png" TargetMode="External"/><Relationship Id="rId7720" Type="http://schemas.openxmlformats.org/officeDocument/2006/relationships/hyperlink" Target="https://pbs.twimg.com/profile_images/666975647030501378/p8oTApbG_normal.jpg" TargetMode="External"/><Relationship Id="rId7724" Type="http://schemas.openxmlformats.org/officeDocument/2006/relationships/hyperlink" Target="https://twitter.com/gitlotto" TargetMode="External"/><Relationship Id="rId7723" Type="http://schemas.openxmlformats.org/officeDocument/2006/relationships/hyperlink" Target="https://pbs.twimg.com/profile_images/691472885265883136/eJR02sjx_normal.png" TargetMode="External"/><Relationship Id="rId7722" Type="http://schemas.openxmlformats.org/officeDocument/2006/relationships/hyperlink" Target="https://twitter.com/dwhitena/status/703203124002103296" TargetMode="External"/><Relationship Id="rId7721" Type="http://schemas.openxmlformats.org/officeDocument/2006/relationships/hyperlink" Target="https://twitter.com/dwhitena" TargetMode="External"/><Relationship Id="rId5130" Type="http://schemas.openxmlformats.org/officeDocument/2006/relationships/hyperlink" Target="https://pbs.twimg.com/profile_images/557757725342326784/Nvoty5Cl_normal.png" TargetMode="External"/><Relationship Id="rId6461" Type="http://schemas.openxmlformats.org/officeDocument/2006/relationships/hyperlink" Target="https://pbs.twimg.com/profile_images/378800000016960436/96436f79161292b5b11faf6fb1753016_normal.png" TargetMode="External"/><Relationship Id="rId7793" Type="http://schemas.openxmlformats.org/officeDocument/2006/relationships/hyperlink" Target="https://twitter.com/okulisty41" TargetMode="External"/><Relationship Id="rId5131" Type="http://schemas.openxmlformats.org/officeDocument/2006/relationships/hyperlink" Target="https://twitter.com/PythonBooks" TargetMode="External"/><Relationship Id="rId6462" Type="http://schemas.openxmlformats.org/officeDocument/2006/relationships/hyperlink" Target="https://twitter.com/Mikael_Furesjo" TargetMode="External"/><Relationship Id="rId7792" Type="http://schemas.openxmlformats.org/officeDocument/2006/relationships/hyperlink" Target="https://pbs.twimg.com/profile_images/478935316922138624/0dnURBb1_normal.jpeg" TargetMode="External"/><Relationship Id="rId7791" Type="http://schemas.openxmlformats.org/officeDocument/2006/relationships/hyperlink" Target="https://twitter.com/dae6d66960534c4/status/703207548560793600" TargetMode="External"/><Relationship Id="rId6460" Type="http://schemas.openxmlformats.org/officeDocument/2006/relationships/hyperlink" Target="https://twitter.com/egoktay/status/703120736559304704" TargetMode="External"/><Relationship Id="rId7790" Type="http://schemas.openxmlformats.org/officeDocument/2006/relationships/hyperlink" Target="https://twitter.com/dae6d66960534c4" TargetMode="External"/><Relationship Id="rId5134" Type="http://schemas.openxmlformats.org/officeDocument/2006/relationships/hyperlink" Target="https://pbs.twimg.com/profile_images/702455638157168640/AeDgtn0C_normal.jpg" TargetMode="External"/><Relationship Id="rId6465" Type="http://schemas.openxmlformats.org/officeDocument/2006/relationships/hyperlink" Target="https://twitter.com/QuantInsti" TargetMode="External"/><Relationship Id="rId7797" Type="http://schemas.openxmlformats.org/officeDocument/2006/relationships/hyperlink" Target="https://twitter.com/RandolphAlexan2/status/703207627208171520" TargetMode="External"/><Relationship Id="rId5135" Type="http://schemas.openxmlformats.org/officeDocument/2006/relationships/hyperlink" Target="https://twitter.com/AdamSmitht1" TargetMode="External"/><Relationship Id="rId6466" Type="http://schemas.openxmlformats.org/officeDocument/2006/relationships/hyperlink" Target="https://twitter.com/QuantInsti/status/703121095646314498" TargetMode="External"/><Relationship Id="rId7796" Type="http://schemas.openxmlformats.org/officeDocument/2006/relationships/hyperlink" Target="https://twitter.com/RandolphAlexan2" TargetMode="External"/><Relationship Id="rId5132" Type="http://schemas.openxmlformats.org/officeDocument/2006/relationships/hyperlink" Target="https://twitter.com/PythonBooks/status/703034254960136193" TargetMode="External"/><Relationship Id="rId6463" Type="http://schemas.openxmlformats.org/officeDocument/2006/relationships/hyperlink" Target="https://twitter.com/Mikael_Furesjo/status/703120764338200577" TargetMode="External"/><Relationship Id="rId7795" Type="http://schemas.openxmlformats.org/officeDocument/2006/relationships/hyperlink" Target="https://abs.twimg.com/sticky/default_profile_images/default_profile_4_normal.png" TargetMode="External"/><Relationship Id="rId5133" Type="http://schemas.openxmlformats.org/officeDocument/2006/relationships/hyperlink" Target="http://dlvr.it" TargetMode="External"/><Relationship Id="rId6464" Type="http://schemas.openxmlformats.org/officeDocument/2006/relationships/hyperlink" Target="https://pbs.twimg.com/profile_images/541967225691713536/sEjIUqRQ_normal.jpeg" TargetMode="External"/><Relationship Id="rId7794" Type="http://schemas.openxmlformats.org/officeDocument/2006/relationships/hyperlink" Target="https://twitter.com/okulisty41/status/703207563672821760" TargetMode="External"/><Relationship Id="rId5138" Type="http://schemas.openxmlformats.org/officeDocument/2006/relationships/hyperlink" Target="https://twitter.com/TheDonutShop" TargetMode="External"/><Relationship Id="rId6469" Type="http://schemas.openxmlformats.org/officeDocument/2006/relationships/hyperlink" Target="https://twitter.com/TheFordFiesta/status/703121667359264769" TargetMode="External"/><Relationship Id="rId5139" Type="http://schemas.openxmlformats.org/officeDocument/2006/relationships/hyperlink" Target="https://twitter.com/TheDonutShop/status/703034583474937856" TargetMode="External"/><Relationship Id="rId5136" Type="http://schemas.openxmlformats.org/officeDocument/2006/relationships/hyperlink" Target="https://twitter.com/AdamSmitht1/status/703034372702732288" TargetMode="External"/><Relationship Id="rId6467" Type="http://schemas.openxmlformats.org/officeDocument/2006/relationships/hyperlink" Target="https://pbs.twimg.com/profile_images/3272414315/6100aa5e267d6fc1e2e67b0782d34134_normal.jpeg" TargetMode="External"/><Relationship Id="rId7799" Type="http://schemas.openxmlformats.org/officeDocument/2006/relationships/hyperlink" Target="https://twitter.com/SavandBros" TargetMode="External"/><Relationship Id="rId5137" Type="http://schemas.openxmlformats.org/officeDocument/2006/relationships/hyperlink" Target="https://pbs.twimg.com/profile_images/671623862916812800/yGsDKiP4_normal.jpg" TargetMode="External"/><Relationship Id="rId6468" Type="http://schemas.openxmlformats.org/officeDocument/2006/relationships/hyperlink" Target="https://twitter.com/TheFordFiesta" TargetMode="External"/><Relationship Id="rId7798" Type="http://schemas.openxmlformats.org/officeDocument/2006/relationships/hyperlink" Target="https://pbs.twimg.com/profile_images/3657408228/fe239ad1cf3bbe0d92e7da39eab8c6e3_normal.jpeg" TargetMode="External"/><Relationship Id="rId5129" Type="http://schemas.openxmlformats.org/officeDocument/2006/relationships/hyperlink" Target="https://twitter.com/LoopGM/status/703033779368099840" TargetMode="External"/><Relationship Id="rId6450" Type="http://schemas.openxmlformats.org/officeDocument/2006/relationships/hyperlink" Target="https://twitter.com/nicdm" TargetMode="External"/><Relationship Id="rId7782" Type="http://schemas.openxmlformats.org/officeDocument/2006/relationships/hyperlink" Target="https://twitter.com/DataAndDataViz/status/703207023341604864" TargetMode="External"/><Relationship Id="rId5120" Type="http://schemas.openxmlformats.org/officeDocument/2006/relationships/hyperlink" Target="https://twitter.com/BJKralik/status/703032728975970304" TargetMode="External"/><Relationship Id="rId6451" Type="http://schemas.openxmlformats.org/officeDocument/2006/relationships/hyperlink" Target="https://twitter.com/nicdm/status/703119894112374785" TargetMode="External"/><Relationship Id="rId7781" Type="http://schemas.openxmlformats.org/officeDocument/2006/relationships/hyperlink" Target="https://twitter.com/DataAndDataViz" TargetMode="External"/><Relationship Id="rId7780" Type="http://schemas.openxmlformats.org/officeDocument/2006/relationships/hyperlink" Target="https://pbs.twimg.com/profile_images/658975932984659968/H5q23w7V_normal.jpg" TargetMode="External"/><Relationship Id="rId5123" Type="http://schemas.openxmlformats.org/officeDocument/2006/relationships/hyperlink" Target="https://twitter.com/datamafia/status/703033078583861248" TargetMode="External"/><Relationship Id="rId6454" Type="http://schemas.openxmlformats.org/officeDocument/2006/relationships/hyperlink" Target="https://twitter.com/iPredictt/status/703119968569667588" TargetMode="External"/><Relationship Id="rId7786" Type="http://schemas.openxmlformats.org/officeDocument/2006/relationships/hyperlink" Target="https://pbs.twimg.com/profile_images/578715778914086912/f1GcHTDV_normal.jpeg" TargetMode="External"/><Relationship Id="rId5124" Type="http://schemas.openxmlformats.org/officeDocument/2006/relationships/hyperlink" Target="https://pbs.twimg.com/profile_images/700782075595481088/NiHciBeU_normal.jpg" TargetMode="External"/><Relationship Id="rId6455" Type="http://schemas.openxmlformats.org/officeDocument/2006/relationships/hyperlink" Target="https://pbs.twimg.com/profile_images/664998127364128768/8m1nUusT_normal.jpg" TargetMode="External"/><Relationship Id="rId7785" Type="http://schemas.openxmlformats.org/officeDocument/2006/relationships/hyperlink" Target="https://twitter.com/MikeyJck/status/703207340758073348" TargetMode="External"/><Relationship Id="rId5121" Type="http://schemas.openxmlformats.org/officeDocument/2006/relationships/hyperlink" Target="https://pbs.twimg.com/profile_images/661256681796431872/wAcneEpy_normal.jpg" TargetMode="External"/><Relationship Id="rId6452" Type="http://schemas.openxmlformats.org/officeDocument/2006/relationships/hyperlink" Target="https://pbs.twimg.com/profile_images/442044742612688896/dqE0YTBI_normal.jpeg" TargetMode="External"/><Relationship Id="rId7784" Type="http://schemas.openxmlformats.org/officeDocument/2006/relationships/hyperlink" Target="https://twitter.com/MikeyJck" TargetMode="External"/><Relationship Id="rId5122" Type="http://schemas.openxmlformats.org/officeDocument/2006/relationships/hyperlink" Target="https://twitter.com/datamafia" TargetMode="External"/><Relationship Id="rId6453" Type="http://schemas.openxmlformats.org/officeDocument/2006/relationships/hyperlink" Target="https://twitter.com/iPredictt" TargetMode="External"/><Relationship Id="rId7783" Type="http://schemas.openxmlformats.org/officeDocument/2006/relationships/hyperlink" Target="https://pbs.twimg.com/profile_images/412249095110008832/J_K4--iQ_normal.png" TargetMode="External"/><Relationship Id="rId5127" Type="http://schemas.openxmlformats.org/officeDocument/2006/relationships/hyperlink" Target="https://pbs.twimg.com/profile_images/700782075595481088/NiHciBeU_normal.jpg" TargetMode="External"/><Relationship Id="rId6458" Type="http://schemas.openxmlformats.org/officeDocument/2006/relationships/hyperlink" Target="https://pbs.twimg.com/profile_images/491922725187756032/sZamKnBo_normal.png" TargetMode="External"/><Relationship Id="rId5128" Type="http://schemas.openxmlformats.org/officeDocument/2006/relationships/hyperlink" Target="https://twitter.com/LoopGM" TargetMode="External"/><Relationship Id="rId6459" Type="http://schemas.openxmlformats.org/officeDocument/2006/relationships/hyperlink" Target="https://twitter.com/egoktay" TargetMode="External"/><Relationship Id="rId7789" Type="http://schemas.openxmlformats.org/officeDocument/2006/relationships/hyperlink" Target="https://pbs.twimg.com/profile_images/808380981/profile_normal.jpg" TargetMode="External"/><Relationship Id="rId5125" Type="http://schemas.openxmlformats.org/officeDocument/2006/relationships/hyperlink" Target="https://twitter.com/datamafia" TargetMode="External"/><Relationship Id="rId6456" Type="http://schemas.openxmlformats.org/officeDocument/2006/relationships/hyperlink" Target="https://twitter.com/oPewmaker" TargetMode="External"/><Relationship Id="rId7788" Type="http://schemas.openxmlformats.org/officeDocument/2006/relationships/hyperlink" Target="https://twitter.com/jessejiryudavis/status/703207394327793665" TargetMode="External"/><Relationship Id="rId5126" Type="http://schemas.openxmlformats.org/officeDocument/2006/relationships/hyperlink" Target="https://twitter.com/datamafia/status/703033754781163521" TargetMode="External"/><Relationship Id="rId6457" Type="http://schemas.openxmlformats.org/officeDocument/2006/relationships/hyperlink" Target="https://twitter.com/oPewmaker/status/703120038190931968" TargetMode="External"/><Relationship Id="rId7787" Type="http://schemas.openxmlformats.org/officeDocument/2006/relationships/hyperlink" Target="https://twitter.com/jessejiryudavis" TargetMode="External"/><Relationship Id="rId6480" Type="http://schemas.openxmlformats.org/officeDocument/2006/relationships/hyperlink" Target="https://twitter.com/dwimalai" TargetMode="External"/><Relationship Id="rId5152" Type="http://schemas.openxmlformats.org/officeDocument/2006/relationships/hyperlink" Target="https://pbs.twimg.com/profile_images/679566117187145728/UUo30Zpm_normal.jpg" TargetMode="External"/><Relationship Id="rId6483" Type="http://schemas.openxmlformats.org/officeDocument/2006/relationships/hyperlink" Target="https://twitter.com/GetUdemyDeals" TargetMode="External"/><Relationship Id="rId5153" Type="http://schemas.openxmlformats.org/officeDocument/2006/relationships/hyperlink" Target="https://twitter.com/startechwall" TargetMode="External"/><Relationship Id="rId6484" Type="http://schemas.openxmlformats.org/officeDocument/2006/relationships/hyperlink" Target="https://twitter.com/GetUdemyDeals/status/703123866936221696" TargetMode="External"/><Relationship Id="rId5150" Type="http://schemas.openxmlformats.org/officeDocument/2006/relationships/hyperlink" Target="https://twitter.com/startechwall" TargetMode="External"/><Relationship Id="rId6481" Type="http://schemas.openxmlformats.org/officeDocument/2006/relationships/hyperlink" Target="https://twitter.com/dwimalai/status/703123319319429120" TargetMode="External"/><Relationship Id="rId5151" Type="http://schemas.openxmlformats.org/officeDocument/2006/relationships/hyperlink" Target="https://twitter.com/startechwall/status/703034872907042816" TargetMode="External"/><Relationship Id="rId6482" Type="http://schemas.openxmlformats.org/officeDocument/2006/relationships/hyperlink" Target="https://abs.twimg.com/sticky/default_profile_images/default_profile_2_normal.png" TargetMode="External"/><Relationship Id="rId5156" Type="http://schemas.openxmlformats.org/officeDocument/2006/relationships/hyperlink" Target="https://twitter.com/iamzareenf" TargetMode="External"/><Relationship Id="rId6487" Type="http://schemas.openxmlformats.org/officeDocument/2006/relationships/hyperlink" Target="https://twitter.com/windowsokuho/status/703123903191756800" TargetMode="External"/><Relationship Id="rId5157" Type="http://schemas.openxmlformats.org/officeDocument/2006/relationships/hyperlink" Target="https://twitter.com/iamzareenf/status/703035171382140929" TargetMode="External"/><Relationship Id="rId6488" Type="http://schemas.openxmlformats.org/officeDocument/2006/relationships/hyperlink" Target="https://pbs.twimg.com/profile_images/626615183280975872/bLugsmZo_normal.png" TargetMode="External"/><Relationship Id="rId5154" Type="http://schemas.openxmlformats.org/officeDocument/2006/relationships/hyperlink" Target="https://twitter.com/startechwall/status/703034886525997057" TargetMode="External"/><Relationship Id="rId6485" Type="http://schemas.openxmlformats.org/officeDocument/2006/relationships/hyperlink" Target="https://pbs.twimg.com/profile_images/523203529620484096/fzN_Plp5_normal.jpeg" TargetMode="External"/><Relationship Id="rId5155" Type="http://schemas.openxmlformats.org/officeDocument/2006/relationships/hyperlink" Target="https://pbs.twimg.com/profile_images/679566117187145728/UUo30Zpm_normal.jpg" TargetMode="External"/><Relationship Id="rId6486" Type="http://schemas.openxmlformats.org/officeDocument/2006/relationships/hyperlink" Target="https://twitter.com/windowsokuho" TargetMode="External"/><Relationship Id="rId5158" Type="http://schemas.openxmlformats.org/officeDocument/2006/relationships/hyperlink" Target="https://pbs.twimg.com/profile_images/694922293223432193/2zwZmuFK_normal.jpg" TargetMode="External"/><Relationship Id="rId6489" Type="http://schemas.openxmlformats.org/officeDocument/2006/relationships/hyperlink" Target="https://twitter.com/assorizontal" TargetMode="External"/><Relationship Id="rId5159" Type="http://schemas.openxmlformats.org/officeDocument/2006/relationships/hyperlink" Target="https://twitter.com/DistrictDataLab" TargetMode="External"/><Relationship Id="rId5141" Type="http://schemas.openxmlformats.org/officeDocument/2006/relationships/hyperlink" Target="https://twitter.com/EdwinGrubbs" TargetMode="External"/><Relationship Id="rId6472" Type="http://schemas.openxmlformats.org/officeDocument/2006/relationships/hyperlink" Target="https://twitter.com/ksahnine/status/703121756718936064" TargetMode="External"/><Relationship Id="rId5142" Type="http://schemas.openxmlformats.org/officeDocument/2006/relationships/hyperlink" Target="https://twitter.com/EdwinGrubbs/status/703034596720451584" TargetMode="External"/><Relationship Id="rId6473" Type="http://schemas.openxmlformats.org/officeDocument/2006/relationships/hyperlink" Target="https://pbs.twimg.com/profile_images/669075240291536896/b_jRGUPm_normal.jpg" TargetMode="External"/><Relationship Id="rId6470" Type="http://schemas.openxmlformats.org/officeDocument/2006/relationships/hyperlink" Target="https://pbs.twimg.com/profile_images/664943767833747458/j4aSFpnF_normal.jpg" TargetMode="External"/><Relationship Id="rId5140" Type="http://schemas.openxmlformats.org/officeDocument/2006/relationships/hyperlink" Target="https://pbs.twimg.com/profile_images/469256166732619776/SZGdmr_k_normal.jpeg" TargetMode="External"/><Relationship Id="rId6471" Type="http://schemas.openxmlformats.org/officeDocument/2006/relationships/hyperlink" Target="https://twitter.com/ksahnine" TargetMode="External"/><Relationship Id="rId5145" Type="http://schemas.openxmlformats.org/officeDocument/2006/relationships/hyperlink" Target="https://twitter.com/importpython/status/703034673543278592" TargetMode="External"/><Relationship Id="rId6476" Type="http://schemas.openxmlformats.org/officeDocument/2006/relationships/hyperlink" Target="https://pbs.twimg.com/profile_images/481189240/dasBlogAndi_normal.jpg" TargetMode="External"/><Relationship Id="rId5146" Type="http://schemas.openxmlformats.org/officeDocument/2006/relationships/hyperlink" Target="https://pbs.twimg.com/profile_images/518108253121552384/ClpFqPbX_normal.png" TargetMode="External"/><Relationship Id="rId6477" Type="http://schemas.openxmlformats.org/officeDocument/2006/relationships/hyperlink" Target="https://twitter.com/burhan" TargetMode="External"/><Relationship Id="rId5143" Type="http://schemas.openxmlformats.org/officeDocument/2006/relationships/hyperlink" Target="https://pbs.twimg.com/profile_images/542450458170634240/uo9GvwUX_normal.jpeg" TargetMode="External"/><Relationship Id="rId6474" Type="http://schemas.openxmlformats.org/officeDocument/2006/relationships/hyperlink" Target="https://twitter.com/a_maier56" TargetMode="External"/><Relationship Id="rId5144" Type="http://schemas.openxmlformats.org/officeDocument/2006/relationships/hyperlink" Target="https://twitter.com/importpython" TargetMode="External"/><Relationship Id="rId6475" Type="http://schemas.openxmlformats.org/officeDocument/2006/relationships/hyperlink" Target="https://twitter.com/a_maier56/status/703122550314782720" TargetMode="External"/><Relationship Id="rId5149" Type="http://schemas.openxmlformats.org/officeDocument/2006/relationships/hyperlink" Target="https://pbs.twimg.com/profile_images/378800000859901667/G4KBj2Zr_normal.jpeg" TargetMode="External"/><Relationship Id="rId5147" Type="http://schemas.openxmlformats.org/officeDocument/2006/relationships/hyperlink" Target="https://twitter.com/kannanpoem" TargetMode="External"/><Relationship Id="rId6478" Type="http://schemas.openxmlformats.org/officeDocument/2006/relationships/hyperlink" Target="https://twitter.com/burhan/status/703122846529130496" TargetMode="External"/><Relationship Id="rId5148" Type="http://schemas.openxmlformats.org/officeDocument/2006/relationships/hyperlink" Target="https://twitter.com/kannanpoem/status/703034758146592768" TargetMode="External"/><Relationship Id="rId6479" Type="http://schemas.openxmlformats.org/officeDocument/2006/relationships/hyperlink" Target="https://pbs.twimg.com/profile_images/597270741474643968/YB7cADRC_normal.jpg" TargetMode="External"/><Relationship Id="rId6429" Type="http://schemas.openxmlformats.org/officeDocument/2006/relationships/hyperlink" Target="http://dlvr.it" TargetMode="External"/><Relationship Id="rId6427" Type="http://schemas.openxmlformats.org/officeDocument/2006/relationships/hyperlink" Target="https://twitter.com/artwisanggeni" TargetMode="External"/><Relationship Id="rId7759" Type="http://schemas.openxmlformats.org/officeDocument/2006/relationships/hyperlink" Target="https://pbs.twimg.com/profile_images/456490947287605248/4oklmBWe_normal.png" TargetMode="External"/><Relationship Id="rId6428" Type="http://schemas.openxmlformats.org/officeDocument/2006/relationships/hyperlink" Target="https://twitter.com/artwisanggeni/status/703118340013723648" TargetMode="External"/><Relationship Id="rId7758" Type="http://schemas.openxmlformats.org/officeDocument/2006/relationships/hyperlink" Target="https://twitter.com/pythontrending/status/703205967350079488" TargetMode="External"/><Relationship Id="rId6421" Type="http://schemas.openxmlformats.org/officeDocument/2006/relationships/hyperlink" Target="https://twitter.com/panseybard" TargetMode="External"/><Relationship Id="rId7753" Type="http://schemas.openxmlformats.org/officeDocument/2006/relationships/hyperlink" Target="https://pbs.twimg.com/profile_images/679566117187145728/UUo30Zpm_normal.jpg" TargetMode="External"/><Relationship Id="rId6422" Type="http://schemas.openxmlformats.org/officeDocument/2006/relationships/hyperlink" Target="https://twitter.com/panseybard/status/703117813188177920" TargetMode="External"/><Relationship Id="rId7752" Type="http://schemas.openxmlformats.org/officeDocument/2006/relationships/hyperlink" Target="https://twitter.com/startechwall/status/703204627920130049" TargetMode="External"/><Relationship Id="rId7751" Type="http://schemas.openxmlformats.org/officeDocument/2006/relationships/hyperlink" Target="https://twitter.com/startechwall" TargetMode="External"/><Relationship Id="rId6420" Type="http://schemas.openxmlformats.org/officeDocument/2006/relationships/hyperlink" Target="https://pbs.twimg.com/profile_images/521941605347893248/LLFIjOTu_normal.jpeg" TargetMode="External"/><Relationship Id="rId7750" Type="http://schemas.openxmlformats.org/officeDocument/2006/relationships/hyperlink" Target="https://pbs.twimg.com/profile_images/621211385746161664/tGchJstD_normal.jpg" TargetMode="External"/><Relationship Id="rId6425" Type="http://schemas.openxmlformats.org/officeDocument/2006/relationships/hyperlink" Target="https://twitter.com/_jobonline/status/703118157611798528" TargetMode="External"/><Relationship Id="rId7757" Type="http://schemas.openxmlformats.org/officeDocument/2006/relationships/hyperlink" Target="https://twitter.com/pythontrending" TargetMode="External"/><Relationship Id="rId6426" Type="http://schemas.openxmlformats.org/officeDocument/2006/relationships/hyperlink" Target="https://pbs.twimg.com/profile_images/1388526758/_jobonline_normal.jpg" TargetMode="External"/><Relationship Id="rId7756" Type="http://schemas.openxmlformats.org/officeDocument/2006/relationships/hyperlink" Target="https://pbs.twimg.com/profile_images/542739494173433857/28KoM_k-_normal.jpeg" TargetMode="External"/><Relationship Id="rId6423" Type="http://schemas.openxmlformats.org/officeDocument/2006/relationships/hyperlink" Target="https://pbs.twimg.com/profile_images/583850259970822144/7EgtHLoT_normal.jpg" TargetMode="External"/><Relationship Id="rId7755" Type="http://schemas.openxmlformats.org/officeDocument/2006/relationships/hyperlink" Target="https://twitter.com/mas_Settoo/status/703204639412342784" TargetMode="External"/><Relationship Id="rId6424" Type="http://schemas.openxmlformats.org/officeDocument/2006/relationships/hyperlink" Target="https://twitter.com/_jobonline" TargetMode="External"/><Relationship Id="rId7754" Type="http://schemas.openxmlformats.org/officeDocument/2006/relationships/hyperlink" Target="https://twitter.com/mas_Settoo" TargetMode="External"/><Relationship Id="rId6418" Type="http://schemas.openxmlformats.org/officeDocument/2006/relationships/hyperlink" Target="https://twitter.com/kefukar" TargetMode="External"/><Relationship Id="rId6419" Type="http://schemas.openxmlformats.org/officeDocument/2006/relationships/hyperlink" Target="https://twitter.com/kefukar/status/703117791658770432" TargetMode="External"/><Relationship Id="rId7749" Type="http://schemas.openxmlformats.org/officeDocument/2006/relationships/hyperlink" Target="https://twitter.com/wcmckeedotcom/status/703204311040462848" TargetMode="External"/><Relationship Id="rId6416" Type="http://schemas.openxmlformats.org/officeDocument/2006/relationships/hyperlink" Target="https://twitter.com/BigDataTweetBot/status/703117535546204161" TargetMode="External"/><Relationship Id="rId7748" Type="http://schemas.openxmlformats.org/officeDocument/2006/relationships/hyperlink" Target="https://twitter.com/wcmckeedotcom" TargetMode="External"/><Relationship Id="rId6417" Type="http://schemas.openxmlformats.org/officeDocument/2006/relationships/hyperlink" Target="https://pbs.twimg.com/profile_images/616793252524650496/bQbxJqmz_normal.jpg" TargetMode="External"/><Relationship Id="rId7747" Type="http://schemas.openxmlformats.org/officeDocument/2006/relationships/hyperlink" Target="https://pbs.twimg.com/profile_images/671623862916812800/yGsDKiP4_normal.jpg" TargetMode="External"/><Relationship Id="rId6410" Type="http://schemas.openxmlformats.org/officeDocument/2006/relationships/hyperlink" Target="https://twitter.com/Redimido/status/703117292108840965" TargetMode="External"/><Relationship Id="rId7742" Type="http://schemas.openxmlformats.org/officeDocument/2006/relationships/hyperlink" Target="https://twitter.com/astrotweeps" TargetMode="External"/><Relationship Id="rId6411" Type="http://schemas.openxmlformats.org/officeDocument/2006/relationships/hyperlink" Target="https://pbs.twimg.com/profile_images/646859320932483072/31k3x9iz_normal.jpg" TargetMode="External"/><Relationship Id="rId7741" Type="http://schemas.openxmlformats.org/officeDocument/2006/relationships/hyperlink" Target="https://pbs.twimg.com/profile_images/482077913051709442/9gXVrpBj_normal.png" TargetMode="External"/><Relationship Id="rId7740" Type="http://schemas.openxmlformats.org/officeDocument/2006/relationships/hyperlink" Target="https://twitter.com/HackLabAl/status/703203787171704832" TargetMode="External"/><Relationship Id="rId6414" Type="http://schemas.openxmlformats.org/officeDocument/2006/relationships/hyperlink" Target="https://pbs.twimg.com/profile_images/547027832107307008/ouzveoDk_normal.jpeg" TargetMode="External"/><Relationship Id="rId7746" Type="http://schemas.openxmlformats.org/officeDocument/2006/relationships/hyperlink" Target="https://twitter.com/AdamSmitht1/status/703204287405543424" TargetMode="External"/><Relationship Id="rId6415" Type="http://schemas.openxmlformats.org/officeDocument/2006/relationships/hyperlink" Target="https://twitter.com/BigDataTweetBot" TargetMode="External"/><Relationship Id="rId7745" Type="http://schemas.openxmlformats.org/officeDocument/2006/relationships/hyperlink" Target="https://twitter.com/AdamSmitht1" TargetMode="External"/><Relationship Id="rId6412" Type="http://schemas.openxmlformats.org/officeDocument/2006/relationships/hyperlink" Target="https://twitter.com/orlissenberg" TargetMode="External"/><Relationship Id="rId7744" Type="http://schemas.openxmlformats.org/officeDocument/2006/relationships/hyperlink" Target="https://pbs.twimg.com/profile_images/421392247448281088/ISTkdnbs_normal.png" TargetMode="External"/><Relationship Id="rId6413" Type="http://schemas.openxmlformats.org/officeDocument/2006/relationships/hyperlink" Target="https://twitter.com/orlissenberg/status/703117395993317376" TargetMode="External"/><Relationship Id="rId7743" Type="http://schemas.openxmlformats.org/officeDocument/2006/relationships/hyperlink" Target="https://twitter.com/astrotweeps/status/703204182191427584" TargetMode="External"/><Relationship Id="rId5118" Type="http://schemas.openxmlformats.org/officeDocument/2006/relationships/hyperlink" Target="https://pbs.twimg.com/profile_images/677493910256484352/-EdVaVPl_normal.jpg" TargetMode="External"/><Relationship Id="rId6449" Type="http://schemas.openxmlformats.org/officeDocument/2006/relationships/hyperlink" Target="https://pbs.twimg.com/profile_images/528272392766779392/5AeOFtlc_normal.jpeg" TargetMode="External"/><Relationship Id="rId5119" Type="http://schemas.openxmlformats.org/officeDocument/2006/relationships/hyperlink" Target="https://twitter.com/BJKralik" TargetMode="External"/><Relationship Id="rId7771" Type="http://schemas.openxmlformats.org/officeDocument/2006/relationships/hyperlink" Target="https://pbs.twimg.com/profile_images/2474433856/p075cerxh0arpea6ceip_normal.png" TargetMode="External"/><Relationship Id="rId6440" Type="http://schemas.openxmlformats.org/officeDocument/2006/relationships/hyperlink" Target="https://twitter.com/artwisanggeni/status/703118350843408384" TargetMode="External"/><Relationship Id="rId7770" Type="http://schemas.openxmlformats.org/officeDocument/2006/relationships/hyperlink" Target="https://twitter.com/py3k/status/703206585728901120" TargetMode="External"/><Relationship Id="rId5112" Type="http://schemas.openxmlformats.org/officeDocument/2006/relationships/hyperlink" Target="https://pbs.twimg.com/profile_images/679948461953781761/pDo9356K_normal.jpg" TargetMode="External"/><Relationship Id="rId6443" Type="http://schemas.openxmlformats.org/officeDocument/2006/relationships/hyperlink" Target="https://twitter.com/artwisanggeni" TargetMode="External"/><Relationship Id="rId7775" Type="http://schemas.openxmlformats.org/officeDocument/2006/relationships/hyperlink" Target="https://twitter.com/steph_hazlewood" TargetMode="External"/><Relationship Id="rId5113" Type="http://schemas.openxmlformats.org/officeDocument/2006/relationships/hyperlink" Target="https://twitter.com/cesarnogCPS" TargetMode="External"/><Relationship Id="rId6444" Type="http://schemas.openxmlformats.org/officeDocument/2006/relationships/hyperlink" Target="https://twitter.com/artwisanggeni/status/703118354341449730" TargetMode="External"/><Relationship Id="rId7774" Type="http://schemas.openxmlformats.org/officeDocument/2006/relationships/hyperlink" Target="https://pbs.twimg.com/profile_images/1376633950/michael_kouklos_normal.jpg" TargetMode="External"/><Relationship Id="rId5110" Type="http://schemas.openxmlformats.org/officeDocument/2006/relationships/hyperlink" Target="https://twitter.com/HartwigMicheal" TargetMode="External"/><Relationship Id="rId6441" Type="http://schemas.openxmlformats.org/officeDocument/2006/relationships/hyperlink" Target="http://dlvr.it" TargetMode="External"/><Relationship Id="rId7773" Type="http://schemas.openxmlformats.org/officeDocument/2006/relationships/hyperlink" Target="https://twitter.com/mpetyx/status/703206733313925124" TargetMode="External"/><Relationship Id="rId5111" Type="http://schemas.openxmlformats.org/officeDocument/2006/relationships/hyperlink" Target="https://twitter.com/HartwigMicheal/status/703032387614146561" TargetMode="External"/><Relationship Id="rId6442" Type="http://schemas.openxmlformats.org/officeDocument/2006/relationships/hyperlink" Target="https://pbs.twimg.com/profile_images/2813636657/599521f69e2bc210a57323b64d8e39e6_normal.jpeg" TargetMode="External"/><Relationship Id="rId7772" Type="http://schemas.openxmlformats.org/officeDocument/2006/relationships/hyperlink" Target="https://twitter.com/mpetyx" TargetMode="External"/><Relationship Id="rId5116" Type="http://schemas.openxmlformats.org/officeDocument/2006/relationships/hyperlink" Target="https://twitter.com/MTotolrahaman" TargetMode="External"/><Relationship Id="rId6447" Type="http://schemas.openxmlformats.org/officeDocument/2006/relationships/hyperlink" Target="https://twitter.com/pvergain" TargetMode="External"/><Relationship Id="rId7779" Type="http://schemas.openxmlformats.org/officeDocument/2006/relationships/hyperlink" Target="https://twitter.com/chrbknudsen/status/703206868018208768" TargetMode="External"/><Relationship Id="rId5117" Type="http://schemas.openxmlformats.org/officeDocument/2006/relationships/hyperlink" Target="https://twitter.com/MTotolrahaman/status/703032620855250944" TargetMode="External"/><Relationship Id="rId6448" Type="http://schemas.openxmlformats.org/officeDocument/2006/relationships/hyperlink" Target="https://twitter.com/pvergain/status/703119113216880640" TargetMode="External"/><Relationship Id="rId7778" Type="http://schemas.openxmlformats.org/officeDocument/2006/relationships/hyperlink" Target="https://twitter.com/chrbknudsen" TargetMode="External"/><Relationship Id="rId5114" Type="http://schemas.openxmlformats.org/officeDocument/2006/relationships/hyperlink" Target="https://twitter.com/cesarnogCPS/status/703032606472929280" TargetMode="External"/><Relationship Id="rId6445" Type="http://schemas.openxmlformats.org/officeDocument/2006/relationships/hyperlink" Target="http://dlvr.it" TargetMode="External"/><Relationship Id="rId7777" Type="http://schemas.openxmlformats.org/officeDocument/2006/relationships/hyperlink" Target="https://pbs.twimg.com/profile_images/1257830384/p-shazlewood_normal.jpg" TargetMode="External"/><Relationship Id="rId5115" Type="http://schemas.openxmlformats.org/officeDocument/2006/relationships/hyperlink" Target="https://pbs.twimg.com/profile_images/682455128805359617/r4Be4Yll_normal.jpg" TargetMode="External"/><Relationship Id="rId6446" Type="http://schemas.openxmlformats.org/officeDocument/2006/relationships/hyperlink" Target="https://pbs.twimg.com/profile_images/2813636657/599521f69e2bc210a57323b64d8e39e6_normal.jpeg" TargetMode="External"/><Relationship Id="rId7776" Type="http://schemas.openxmlformats.org/officeDocument/2006/relationships/hyperlink" Target="https://twitter.com/steph_hazlewood/status/703206854298619904" TargetMode="External"/><Relationship Id="rId5109" Type="http://schemas.openxmlformats.org/officeDocument/2006/relationships/hyperlink" Target="https://pbs.twimg.com/profile_images/542450458170634240/uo9GvwUX_normal.jpeg" TargetMode="External"/><Relationship Id="rId5107" Type="http://schemas.openxmlformats.org/officeDocument/2006/relationships/hyperlink" Target="https://twitter.com/EdwinGrubbs" TargetMode="External"/><Relationship Id="rId6438" Type="http://schemas.openxmlformats.org/officeDocument/2006/relationships/hyperlink" Target="https://pbs.twimg.com/profile_images/2813636657/599521f69e2bc210a57323b64d8e39e6_normal.jpeg" TargetMode="External"/><Relationship Id="rId5108" Type="http://schemas.openxmlformats.org/officeDocument/2006/relationships/hyperlink" Target="https://twitter.com/EdwinGrubbs/status/703032361114431489" TargetMode="External"/><Relationship Id="rId6439" Type="http://schemas.openxmlformats.org/officeDocument/2006/relationships/hyperlink" Target="https://twitter.com/artwisanggeni" TargetMode="External"/><Relationship Id="rId7769" Type="http://schemas.openxmlformats.org/officeDocument/2006/relationships/hyperlink" Target="https://twitter.com/py3k" TargetMode="External"/><Relationship Id="rId7760" Type="http://schemas.openxmlformats.org/officeDocument/2006/relationships/hyperlink" Target="https://twitter.com/programmingncr" TargetMode="External"/><Relationship Id="rId5101" Type="http://schemas.openxmlformats.org/officeDocument/2006/relationships/hyperlink" Target="https://twitter.com/leocamello" TargetMode="External"/><Relationship Id="rId6432" Type="http://schemas.openxmlformats.org/officeDocument/2006/relationships/hyperlink" Target="https://twitter.com/artwisanggeni/status/703118343759204352" TargetMode="External"/><Relationship Id="rId7764" Type="http://schemas.openxmlformats.org/officeDocument/2006/relationships/hyperlink" Target="https://twitter.com/JoshuaLongUK/status/703206231238901760" TargetMode="External"/><Relationship Id="rId5102" Type="http://schemas.openxmlformats.org/officeDocument/2006/relationships/hyperlink" Target="https://twitter.com/leocamello/status/703032133112172544" TargetMode="External"/><Relationship Id="rId6433" Type="http://schemas.openxmlformats.org/officeDocument/2006/relationships/hyperlink" Target="http://dlvr.it" TargetMode="External"/><Relationship Id="rId7763" Type="http://schemas.openxmlformats.org/officeDocument/2006/relationships/hyperlink" Target="https://twitter.com/JoshuaLongUK" TargetMode="External"/><Relationship Id="rId6430" Type="http://schemas.openxmlformats.org/officeDocument/2006/relationships/hyperlink" Target="https://pbs.twimg.com/profile_images/2813636657/599521f69e2bc210a57323b64d8e39e6_normal.jpeg" TargetMode="External"/><Relationship Id="rId7762" Type="http://schemas.openxmlformats.org/officeDocument/2006/relationships/hyperlink" Target="https://pbs.twimg.com/profile_images/662602436222193664/qKuvsfnG_normal.jpg" TargetMode="External"/><Relationship Id="rId5100" Type="http://schemas.openxmlformats.org/officeDocument/2006/relationships/hyperlink" Target="https://pbs.twimg.com/profile_images/671071139972571136/FFLfZBCP_normal.jpg" TargetMode="External"/><Relationship Id="rId6431" Type="http://schemas.openxmlformats.org/officeDocument/2006/relationships/hyperlink" Target="https://twitter.com/artwisanggeni" TargetMode="External"/><Relationship Id="rId7761" Type="http://schemas.openxmlformats.org/officeDocument/2006/relationships/hyperlink" Target="https://twitter.com/programmingncr/status/703205990670475264" TargetMode="External"/><Relationship Id="rId5105" Type="http://schemas.openxmlformats.org/officeDocument/2006/relationships/hyperlink" Target="https://twitter.com/raybesiga/status/703032249336229888" TargetMode="External"/><Relationship Id="rId6436" Type="http://schemas.openxmlformats.org/officeDocument/2006/relationships/hyperlink" Target="https://twitter.com/artwisanggeni/status/703118347206942725" TargetMode="External"/><Relationship Id="rId7768" Type="http://schemas.openxmlformats.org/officeDocument/2006/relationships/hyperlink" Target="https://pbs.twimg.com/profile_images/698507084019605504/nb0tbDSG_normal.jpg" TargetMode="External"/><Relationship Id="rId5106" Type="http://schemas.openxmlformats.org/officeDocument/2006/relationships/hyperlink" Target="https://pbs.twimg.com/profile_images/458886855421734912/ZByfxNnh_normal.jpeg" TargetMode="External"/><Relationship Id="rId6437" Type="http://schemas.openxmlformats.org/officeDocument/2006/relationships/hyperlink" Target="http://dlvr.it" TargetMode="External"/><Relationship Id="rId7767" Type="http://schemas.openxmlformats.org/officeDocument/2006/relationships/hyperlink" Target="https://twitter.com/VictorPerezPalm/status/703206357822869504" TargetMode="External"/><Relationship Id="rId5103" Type="http://schemas.openxmlformats.org/officeDocument/2006/relationships/hyperlink" Target="https://pbs.twimg.com/profile_images/487011176056754176/7l08iQ3q_normal.jpeg" TargetMode="External"/><Relationship Id="rId6434" Type="http://schemas.openxmlformats.org/officeDocument/2006/relationships/hyperlink" Target="https://pbs.twimg.com/profile_images/2813636657/599521f69e2bc210a57323b64d8e39e6_normal.jpeg" TargetMode="External"/><Relationship Id="rId7766" Type="http://schemas.openxmlformats.org/officeDocument/2006/relationships/hyperlink" Target="https://twitter.com/VictorPerezPalm" TargetMode="External"/><Relationship Id="rId5104" Type="http://schemas.openxmlformats.org/officeDocument/2006/relationships/hyperlink" Target="https://twitter.com/raybesiga" TargetMode="External"/><Relationship Id="rId6435" Type="http://schemas.openxmlformats.org/officeDocument/2006/relationships/hyperlink" Target="https://twitter.com/artwisanggeni" TargetMode="External"/><Relationship Id="rId7765" Type="http://schemas.openxmlformats.org/officeDocument/2006/relationships/hyperlink" Target="https://pbs.twimg.com/profile_images/627996138403168256/DaASdgVr_normal.jpg" TargetMode="External"/><Relationship Id="rId2940" Type="http://schemas.openxmlformats.org/officeDocument/2006/relationships/hyperlink" Target="https://twitter.com/StephaneVast" TargetMode="External"/><Relationship Id="rId1610" Type="http://schemas.openxmlformats.org/officeDocument/2006/relationships/hyperlink" Target="https://twitter.com/cool_python/status/702873404710457344" TargetMode="External"/><Relationship Id="rId2941" Type="http://schemas.openxmlformats.org/officeDocument/2006/relationships/hyperlink" Target="https://twitter.com/StephaneVast/status/702931663316246528" TargetMode="External"/><Relationship Id="rId1611" Type="http://schemas.openxmlformats.org/officeDocument/2006/relationships/hyperlink" Target="https://pbs.twimg.com/profile_images/572091631055028224/Pkx__FSB_normal.png" TargetMode="External"/><Relationship Id="rId2942" Type="http://schemas.openxmlformats.org/officeDocument/2006/relationships/hyperlink" Target="https://pbs.twimg.com/profile_images/665528380666855424/tOcbIj74_normal.jpg" TargetMode="External"/><Relationship Id="rId1612" Type="http://schemas.openxmlformats.org/officeDocument/2006/relationships/hyperlink" Target="https://twitter.com/NAGTalk" TargetMode="External"/><Relationship Id="rId2943" Type="http://schemas.openxmlformats.org/officeDocument/2006/relationships/hyperlink" Target="https://twitter.com/plonemexico" TargetMode="External"/><Relationship Id="rId1613" Type="http://schemas.openxmlformats.org/officeDocument/2006/relationships/hyperlink" Target="https://twitter.com/NAGTalk/status/702873478626676737" TargetMode="External"/><Relationship Id="rId2944" Type="http://schemas.openxmlformats.org/officeDocument/2006/relationships/hyperlink" Target="https://twitter.com/plonemexico/status/702931674942734336" TargetMode="External"/><Relationship Id="rId1614" Type="http://schemas.openxmlformats.org/officeDocument/2006/relationships/hyperlink" Target="https://pbs.twimg.com/profile_images/677027371/nag_logo1_normal.jpg" TargetMode="External"/><Relationship Id="rId2945" Type="http://schemas.openxmlformats.org/officeDocument/2006/relationships/hyperlink" Target="https://pbs.twimg.com/profile_images/284877324/plone-icon-128_normal.png" TargetMode="External"/><Relationship Id="rId1615" Type="http://schemas.openxmlformats.org/officeDocument/2006/relationships/hyperlink" Target="https://twitter.com/ameanmbot" TargetMode="External"/><Relationship Id="rId2946" Type="http://schemas.openxmlformats.org/officeDocument/2006/relationships/hyperlink" Target="https://twitter.com/NeuvooDnepropUK" TargetMode="External"/><Relationship Id="rId1616" Type="http://schemas.openxmlformats.org/officeDocument/2006/relationships/hyperlink" Target="https://twitter.com/ameanmbot/status/702873486356774912" TargetMode="External"/><Relationship Id="rId2947" Type="http://schemas.openxmlformats.org/officeDocument/2006/relationships/hyperlink" Target="https://twitter.com/NeuvooDnepropUK/status/702931773777428480" TargetMode="External"/><Relationship Id="rId907" Type="http://schemas.openxmlformats.org/officeDocument/2006/relationships/hyperlink" Target="https://twitter.com/Pugliafashion/status/702843192547397632" TargetMode="External"/><Relationship Id="rId1617" Type="http://schemas.openxmlformats.org/officeDocument/2006/relationships/hyperlink" Target="https://pbs.twimg.com/profile_images/481334978161029120/iu3zZFEk_normal.png" TargetMode="External"/><Relationship Id="rId2948" Type="http://schemas.openxmlformats.org/officeDocument/2006/relationships/hyperlink" Target="https://pbs.twimg.com/profile_images/698372472975060992/MV4onZxD_normal.png" TargetMode="External"/><Relationship Id="rId906" Type="http://schemas.openxmlformats.org/officeDocument/2006/relationships/hyperlink" Target="https://twitter.com/Pugliafashion" TargetMode="External"/><Relationship Id="rId1618" Type="http://schemas.openxmlformats.org/officeDocument/2006/relationships/hyperlink" Target="https://twitter.com/B_DotNet" TargetMode="External"/><Relationship Id="rId2949" Type="http://schemas.openxmlformats.org/officeDocument/2006/relationships/hyperlink" Target="https://twitter.com/ch_doig" TargetMode="External"/><Relationship Id="rId905" Type="http://schemas.openxmlformats.org/officeDocument/2006/relationships/hyperlink" Target="https://pbs.twimg.com/profile_images/681128850823245824/OoWZyxZ5_normal.jpg" TargetMode="External"/><Relationship Id="rId1619" Type="http://schemas.openxmlformats.org/officeDocument/2006/relationships/hyperlink" Target="https://twitter.com/B_DotNet/status/702873498285445120" TargetMode="External"/><Relationship Id="rId904" Type="http://schemas.openxmlformats.org/officeDocument/2006/relationships/hyperlink" Target="https://twitter.com/Release_nl/status/702843172792229889" TargetMode="External"/><Relationship Id="rId909" Type="http://schemas.openxmlformats.org/officeDocument/2006/relationships/hyperlink" Target="https://twitter.com/IEBigData" TargetMode="External"/><Relationship Id="rId908" Type="http://schemas.openxmlformats.org/officeDocument/2006/relationships/hyperlink" Target="https://pbs.twimg.com/profile_images/521311951553449984/hS9lIdSa_normal.png" TargetMode="External"/><Relationship Id="rId903" Type="http://schemas.openxmlformats.org/officeDocument/2006/relationships/hyperlink" Target="https://twitter.com/Release_nl" TargetMode="External"/><Relationship Id="rId902" Type="http://schemas.openxmlformats.org/officeDocument/2006/relationships/hyperlink" Target="https://pbs.twimg.com/profile_images/572091631055028224/Pkx__FSB_normal.png" TargetMode="External"/><Relationship Id="rId901" Type="http://schemas.openxmlformats.org/officeDocument/2006/relationships/hyperlink" Target="https://twitter.com/cool_python/status/702842218143416320" TargetMode="External"/><Relationship Id="rId900" Type="http://schemas.openxmlformats.org/officeDocument/2006/relationships/hyperlink" Target="https://twitter.com/cool_python" TargetMode="External"/><Relationship Id="rId2930" Type="http://schemas.openxmlformats.org/officeDocument/2006/relationships/hyperlink" Target="https://pbs.twimg.com/profile_images/685502131433041920/c6eSyWf7_normal.png" TargetMode="External"/><Relationship Id="rId1600" Type="http://schemas.openxmlformats.org/officeDocument/2006/relationships/hyperlink" Target="https://twitter.com/BDotNetCol" TargetMode="External"/><Relationship Id="rId2931" Type="http://schemas.openxmlformats.org/officeDocument/2006/relationships/hyperlink" Target="https://twitter.com/thealexcons" TargetMode="External"/><Relationship Id="rId1601" Type="http://schemas.openxmlformats.org/officeDocument/2006/relationships/hyperlink" Target="https://twitter.com/BDotNetCol/status/702873381813809153" TargetMode="External"/><Relationship Id="rId2932" Type="http://schemas.openxmlformats.org/officeDocument/2006/relationships/hyperlink" Target="https://twitter.com/thealexcons/status/702931110406332418" TargetMode="External"/><Relationship Id="rId1602" Type="http://schemas.openxmlformats.org/officeDocument/2006/relationships/hyperlink" Target="https://abs.twimg.com/sticky/default_profile_images/default_profile_0_normal.png" TargetMode="External"/><Relationship Id="rId2933" Type="http://schemas.openxmlformats.org/officeDocument/2006/relationships/hyperlink" Target="https://pbs.twimg.com/profile_images/670576920057282560/i0ZkXHGf_normal.png" TargetMode="External"/><Relationship Id="rId1603" Type="http://schemas.openxmlformats.org/officeDocument/2006/relationships/hyperlink" Target="https://twitter.com/ColDesarrollado" TargetMode="External"/><Relationship Id="rId2934" Type="http://schemas.openxmlformats.org/officeDocument/2006/relationships/hyperlink" Target="https://twitter.com/math3uscom" TargetMode="External"/><Relationship Id="rId1604" Type="http://schemas.openxmlformats.org/officeDocument/2006/relationships/hyperlink" Target="https://twitter.com/ColDesarrollado/status/702873381834792960" TargetMode="External"/><Relationship Id="rId2935" Type="http://schemas.openxmlformats.org/officeDocument/2006/relationships/hyperlink" Target="https://twitter.com/math3uscom/status/702931133734985730" TargetMode="External"/><Relationship Id="rId1605" Type="http://schemas.openxmlformats.org/officeDocument/2006/relationships/hyperlink" Target="https://pbs.twimg.com/profile_images/378800000424471602/b0e11fecf5291c1b917532694e0d8247_normal.png" TargetMode="External"/><Relationship Id="rId2936" Type="http://schemas.openxmlformats.org/officeDocument/2006/relationships/hyperlink" Target="https://pbs.twimg.com/profile_images/697855654577496064/ezrj73P__normal.png" TargetMode="External"/><Relationship Id="rId1606" Type="http://schemas.openxmlformats.org/officeDocument/2006/relationships/hyperlink" Target="https://twitter.com/B_DotNet" TargetMode="External"/><Relationship Id="rId2937" Type="http://schemas.openxmlformats.org/officeDocument/2006/relationships/hyperlink" Target="https://twitter.com/cool_python" TargetMode="External"/><Relationship Id="rId1607" Type="http://schemas.openxmlformats.org/officeDocument/2006/relationships/hyperlink" Target="https://twitter.com/B_DotNet/status/702873381956403201" TargetMode="External"/><Relationship Id="rId2938" Type="http://schemas.openxmlformats.org/officeDocument/2006/relationships/hyperlink" Target="https://twitter.com/cool_python/status/702931491794378752" TargetMode="External"/><Relationship Id="rId1608" Type="http://schemas.openxmlformats.org/officeDocument/2006/relationships/hyperlink" Target="https://pbs.twimg.com/profile_images/1577091782/bdotnet_tw_PNG_normal.png" TargetMode="External"/><Relationship Id="rId2939" Type="http://schemas.openxmlformats.org/officeDocument/2006/relationships/hyperlink" Target="https://pbs.twimg.com/profile_images/572091631055028224/Pkx__FSB_normal.png" TargetMode="External"/><Relationship Id="rId1609" Type="http://schemas.openxmlformats.org/officeDocument/2006/relationships/hyperlink" Target="https://twitter.com/cool_python" TargetMode="External"/><Relationship Id="rId1631" Type="http://schemas.openxmlformats.org/officeDocument/2006/relationships/hyperlink" Target="https://twitter.com/PythonDaily/status/702873777680420864" TargetMode="External"/><Relationship Id="rId2962" Type="http://schemas.openxmlformats.org/officeDocument/2006/relationships/hyperlink" Target="https://twitter.com/marcobonzanini/status/702932683157073920" TargetMode="External"/><Relationship Id="rId1632" Type="http://schemas.openxmlformats.org/officeDocument/2006/relationships/hyperlink" Target="https://pbs.twimg.com/profile_images/378800000030851202/b6bb871a13825bae9004a9aab3a1d726_normal.jpeg" TargetMode="External"/><Relationship Id="rId2963" Type="http://schemas.openxmlformats.org/officeDocument/2006/relationships/hyperlink" Target="https://pbs.twimg.com/profile_images/1436932130/marco-ir_normal.jpg" TargetMode="External"/><Relationship Id="rId1633" Type="http://schemas.openxmlformats.org/officeDocument/2006/relationships/hyperlink" Target="https://twitter.com/RealPython" TargetMode="External"/><Relationship Id="rId2964" Type="http://schemas.openxmlformats.org/officeDocument/2006/relationships/hyperlink" Target="https://twitter.com/TalkPython" TargetMode="External"/><Relationship Id="rId1634" Type="http://schemas.openxmlformats.org/officeDocument/2006/relationships/hyperlink" Target="http://RealPython.com" TargetMode="External"/><Relationship Id="rId2965" Type="http://schemas.openxmlformats.org/officeDocument/2006/relationships/hyperlink" Target="https://twitter.com/TalkPython/status/702933053186953217" TargetMode="External"/><Relationship Id="rId1635" Type="http://schemas.openxmlformats.org/officeDocument/2006/relationships/hyperlink" Target="https://twitter.com/RealPython/status/702873799952183296" TargetMode="External"/><Relationship Id="rId2966" Type="http://schemas.openxmlformats.org/officeDocument/2006/relationships/hyperlink" Target="https://pbs.twimg.com/profile_images/700233189193883649/Xoobn3zf_normal.png" TargetMode="External"/><Relationship Id="rId1636" Type="http://schemas.openxmlformats.org/officeDocument/2006/relationships/hyperlink" Target="https://pbs.twimg.com/profile_images/3312468366/129323224633d71286101d517a2f9817_normal.png" TargetMode="External"/><Relationship Id="rId2967" Type="http://schemas.openxmlformats.org/officeDocument/2006/relationships/hyperlink" Target="https://twitter.com/PhilippJFR" TargetMode="External"/><Relationship Id="rId1637" Type="http://schemas.openxmlformats.org/officeDocument/2006/relationships/hyperlink" Target="https://twitter.com/Harrisonova" TargetMode="External"/><Relationship Id="rId2968" Type="http://schemas.openxmlformats.org/officeDocument/2006/relationships/hyperlink" Target="https://twitter.com/PhilippJFR/status/702933257952821248" TargetMode="External"/><Relationship Id="rId1638" Type="http://schemas.openxmlformats.org/officeDocument/2006/relationships/hyperlink" Target="https://twitter.com/Harrisonova/status/702873831598387200" TargetMode="External"/><Relationship Id="rId2969" Type="http://schemas.openxmlformats.org/officeDocument/2006/relationships/hyperlink" Target="https://pbs.twimg.com/profile_images/544696274897760256/GlYz1EW6_normal.jpeg" TargetMode="External"/><Relationship Id="rId929" Type="http://schemas.openxmlformats.org/officeDocument/2006/relationships/hyperlink" Target="https://pbs.twimg.com/profile_images/537978102140268545/QR1g8zVL_normal.jpeg" TargetMode="External"/><Relationship Id="rId1639" Type="http://schemas.openxmlformats.org/officeDocument/2006/relationships/hyperlink" Target="https://pbs.twimg.com/profile_images/445968595479044096/Udoj9N6K_normal.jpeg" TargetMode="External"/><Relationship Id="rId928" Type="http://schemas.openxmlformats.org/officeDocument/2006/relationships/hyperlink" Target="https://twitter.com/FredericPierron/status/702845038120845312" TargetMode="External"/><Relationship Id="rId927" Type="http://schemas.openxmlformats.org/officeDocument/2006/relationships/hyperlink" Target="https://twitter.com/FredericPierron" TargetMode="External"/><Relationship Id="rId926" Type="http://schemas.openxmlformats.org/officeDocument/2006/relationships/hyperlink" Target="https://pbs.twimg.com/profile_images/694917721415258112/xHniutom_normal.jpg" TargetMode="External"/><Relationship Id="rId921" Type="http://schemas.openxmlformats.org/officeDocument/2006/relationships/hyperlink" Target="https://twitter.com/ImaokaE" TargetMode="External"/><Relationship Id="rId920" Type="http://schemas.openxmlformats.org/officeDocument/2006/relationships/hyperlink" Target="https://pbs.twimg.com/profile_images/568832444233555968/ckatBsdG_normal.jpeg" TargetMode="External"/><Relationship Id="rId925" Type="http://schemas.openxmlformats.org/officeDocument/2006/relationships/hyperlink" Target="https://twitter.com/vagrant_destroy/status/702844904930734080" TargetMode="External"/><Relationship Id="rId924" Type="http://schemas.openxmlformats.org/officeDocument/2006/relationships/hyperlink" Target="https://twitter.com/vagrant_destroy" TargetMode="External"/><Relationship Id="rId923" Type="http://schemas.openxmlformats.org/officeDocument/2006/relationships/hyperlink" Target="https://pbs.twimg.com/profile_images/690711150564999168/xOrO6c_y_normal.jpg" TargetMode="External"/><Relationship Id="rId922" Type="http://schemas.openxmlformats.org/officeDocument/2006/relationships/hyperlink" Target="https://twitter.com/ImaokaE/status/702844326770974720" TargetMode="External"/><Relationship Id="rId2960" Type="http://schemas.openxmlformats.org/officeDocument/2006/relationships/hyperlink" Target="https://pbs.twimg.com/profile_images/475228702922387457/6gYeuqxD_normal.jpeg" TargetMode="External"/><Relationship Id="rId1630" Type="http://schemas.openxmlformats.org/officeDocument/2006/relationships/hyperlink" Target="https://twitter.com/PythonDaily" TargetMode="External"/><Relationship Id="rId2961" Type="http://schemas.openxmlformats.org/officeDocument/2006/relationships/hyperlink" Target="https://twitter.com/marcobonzanini" TargetMode="External"/><Relationship Id="rId1620" Type="http://schemas.openxmlformats.org/officeDocument/2006/relationships/hyperlink" Target="https://pbs.twimg.com/profile_images/1577091782/bdotnet_tw_PNG_normal.png" TargetMode="External"/><Relationship Id="rId2951" Type="http://schemas.openxmlformats.org/officeDocument/2006/relationships/hyperlink" Target="https://pbs.twimg.com/profile_images/685233984901496832/RFM2IM3m_normal.jpg" TargetMode="External"/><Relationship Id="rId1621" Type="http://schemas.openxmlformats.org/officeDocument/2006/relationships/hyperlink" Target="https://twitter.com/art_control" TargetMode="External"/><Relationship Id="rId2952" Type="http://schemas.openxmlformats.org/officeDocument/2006/relationships/hyperlink" Target="https://twitter.com/kraken_data" TargetMode="External"/><Relationship Id="rId1622" Type="http://schemas.openxmlformats.org/officeDocument/2006/relationships/hyperlink" Target="https://twitter.com/art_control/status/702873548088582144" TargetMode="External"/><Relationship Id="rId2953" Type="http://schemas.openxmlformats.org/officeDocument/2006/relationships/hyperlink" Target="https://twitter.com/kraken_data/status/702932114317189120" TargetMode="External"/><Relationship Id="rId1623" Type="http://schemas.openxmlformats.org/officeDocument/2006/relationships/hyperlink" Target="https://pbs.twimg.com/profile_images/649004216690675712/UAcrP6ol_normal.png" TargetMode="External"/><Relationship Id="rId2954" Type="http://schemas.openxmlformats.org/officeDocument/2006/relationships/hyperlink" Target="https://pbs.twimg.com/profile_images/636900150678528000/56ynmXfd_normal.png" TargetMode="External"/><Relationship Id="rId1624" Type="http://schemas.openxmlformats.org/officeDocument/2006/relationships/hyperlink" Target="https://twitter.com/adextelecom" TargetMode="External"/><Relationship Id="rId2955" Type="http://schemas.openxmlformats.org/officeDocument/2006/relationships/hyperlink" Target="https://twitter.com/RWaveAPI" TargetMode="External"/><Relationship Id="rId1625" Type="http://schemas.openxmlformats.org/officeDocument/2006/relationships/hyperlink" Target="https://twitter.com/adextelecom/status/702873552865751041" TargetMode="External"/><Relationship Id="rId2956" Type="http://schemas.openxmlformats.org/officeDocument/2006/relationships/hyperlink" Target="https://twitter.com/RWaveAPI/status/702932147796119552" TargetMode="External"/><Relationship Id="rId1626" Type="http://schemas.openxmlformats.org/officeDocument/2006/relationships/hyperlink" Target="https://pbs.twimg.com/profile_images/1121013376/Logo_normal.jpg" TargetMode="External"/><Relationship Id="rId2957" Type="http://schemas.openxmlformats.org/officeDocument/2006/relationships/hyperlink" Target="https://pbs.twimg.com/profile_images/672105380663562240/O3BLPArK_normal.png" TargetMode="External"/><Relationship Id="rId1627" Type="http://schemas.openxmlformats.org/officeDocument/2006/relationships/hyperlink" Target="https://twitter.com/murciego" TargetMode="External"/><Relationship Id="rId2958" Type="http://schemas.openxmlformats.org/officeDocument/2006/relationships/hyperlink" Target="https://twitter.com/pydigest" TargetMode="External"/><Relationship Id="rId918" Type="http://schemas.openxmlformats.org/officeDocument/2006/relationships/hyperlink" Target="https://twitter.com/sensinum" TargetMode="External"/><Relationship Id="rId1628" Type="http://schemas.openxmlformats.org/officeDocument/2006/relationships/hyperlink" Target="https://twitter.com/murciego/status/702873602585202688" TargetMode="External"/><Relationship Id="rId2959" Type="http://schemas.openxmlformats.org/officeDocument/2006/relationships/hyperlink" Target="https://twitter.com/pydigest/status/702932223524208641" TargetMode="External"/><Relationship Id="rId917" Type="http://schemas.openxmlformats.org/officeDocument/2006/relationships/hyperlink" Target="https://pbs.twimg.com/profile_images/520993831274049536/POynJoPN_normal.jpeg" TargetMode="External"/><Relationship Id="rId1629" Type="http://schemas.openxmlformats.org/officeDocument/2006/relationships/hyperlink" Target="https://pbs.twimg.com/profile_images/640833631540396032/rJDe9GDX_normal.png" TargetMode="External"/><Relationship Id="rId916" Type="http://schemas.openxmlformats.org/officeDocument/2006/relationships/hyperlink" Target="https://twitter.com/EdTechPatty/status/702843801409298433" TargetMode="External"/><Relationship Id="rId915" Type="http://schemas.openxmlformats.org/officeDocument/2006/relationships/hyperlink" Target="https://twitter.com/EdTechPatty" TargetMode="External"/><Relationship Id="rId919" Type="http://schemas.openxmlformats.org/officeDocument/2006/relationships/hyperlink" Target="https://twitter.com/sensinum/status/702843958423121920" TargetMode="External"/><Relationship Id="rId910" Type="http://schemas.openxmlformats.org/officeDocument/2006/relationships/hyperlink" Target="https://twitter.com/IEBigData/status/702843244762284037" TargetMode="External"/><Relationship Id="rId914" Type="http://schemas.openxmlformats.org/officeDocument/2006/relationships/hyperlink" Target="https://pbs.twimg.com/profile_images/475228702922387457/6gYeuqxD_normal.jpeg" TargetMode="External"/><Relationship Id="rId913" Type="http://schemas.openxmlformats.org/officeDocument/2006/relationships/hyperlink" Target="https://twitter.com/pydigest/status/702843278627106816" TargetMode="External"/><Relationship Id="rId912" Type="http://schemas.openxmlformats.org/officeDocument/2006/relationships/hyperlink" Target="https://twitter.com/pydigest" TargetMode="External"/><Relationship Id="rId911" Type="http://schemas.openxmlformats.org/officeDocument/2006/relationships/hyperlink" Target="https://pbs.twimg.com/profile_images/555070506706018304/C1G_eHqC_normal.jpeg" TargetMode="External"/><Relationship Id="rId2950" Type="http://schemas.openxmlformats.org/officeDocument/2006/relationships/hyperlink" Target="https://twitter.com/ch_doig/status/702931851669667841" TargetMode="External"/><Relationship Id="rId2900" Type="http://schemas.openxmlformats.org/officeDocument/2006/relationships/hyperlink" Target="http://dlvr.it" TargetMode="External"/><Relationship Id="rId2901" Type="http://schemas.openxmlformats.org/officeDocument/2006/relationships/hyperlink" Target="https://pbs.twimg.com/profile_images/2813636657/599521f69e2bc210a57323b64d8e39e6_normal.jpeg" TargetMode="External"/><Relationship Id="rId2902" Type="http://schemas.openxmlformats.org/officeDocument/2006/relationships/hyperlink" Target="https://twitter.com/artwisanggeni" TargetMode="External"/><Relationship Id="rId2903" Type="http://schemas.openxmlformats.org/officeDocument/2006/relationships/hyperlink" Target="https://twitter.com/artwisanggeni/status/702930611648860160" TargetMode="External"/><Relationship Id="rId2904" Type="http://schemas.openxmlformats.org/officeDocument/2006/relationships/hyperlink" Target="http://dlvr.it" TargetMode="External"/><Relationship Id="rId2905" Type="http://schemas.openxmlformats.org/officeDocument/2006/relationships/hyperlink" Target="https://pbs.twimg.com/profile_images/2813636657/599521f69e2bc210a57323b64d8e39e6_normal.jpeg" TargetMode="External"/><Relationship Id="rId2906" Type="http://schemas.openxmlformats.org/officeDocument/2006/relationships/hyperlink" Target="https://twitter.com/artwisanggeni" TargetMode="External"/><Relationship Id="rId2907" Type="http://schemas.openxmlformats.org/officeDocument/2006/relationships/hyperlink" Target="https://twitter.com/artwisanggeni/status/702930615876718592" TargetMode="External"/><Relationship Id="rId2908" Type="http://schemas.openxmlformats.org/officeDocument/2006/relationships/hyperlink" Target="http://dlvr.it" TargetMode="External"/><Relationship Id="rId2909" Type="http://schemas.openxmlformats.org/officeDocument/2006/relationships/hyperlink" Target="https://pbs.twimg.com/profile_images/2813636657/599521f69e2bc210a57323b64d8e39e6_normal.jpeg" TargetMode="External"/><Relationship Id="rId5170" Type="http://schemas.openxmlformats.org/officeDocument/2006/relationships/hyperlink" Target="https://pbs.twimg.com/profile_images/676838769769783296/dKMh-GgM_normal.jpg" TargetMode="External"/><Relationship Id="rId5171" Type="http://schemas.openxmlformats.org/officeDocument/2006/relationships/hyperlink" Target="https://twitter.com/fbugati" TargetMode="External"/><Relationship Id="rId5174" Type="http://schemas.openxmlformats.org/officeDocument/2006/relationships/hyperlink" Target="https://twitter.com/HartwigMicheal" TargetMode="External"/><Relationship Id="rId5175" Type="http://schemas.openxmlformats.org/officeDocument/2006/relationships/hyperlink" Target="https://twitter.com/HartwigMicheal/status/703036154107580416" TargetMode="External"/><Relationship Id="rId5172" Type="http://schemas.openxmlformats.org/officeDocument/2006/relationships/hyperlink" Target="https://twitter.com/fbugati/status/703036105935994880" TargetMode="External"/><Relationship Id="rId5173" Type="http://schemas.openxmlformats.org/officeDocument/2006/relationships/hyperlink" Target="https://pbs.twimg.com/profile_images/378800000797981152/e6d587709071bb43b421666a2b05728c_normal.jpeg" TargetMode="External"/><Relationship Id="rId5178" Type="http://schemas.openxmlformats.org/officeDocument/2006/relationships/hyperlink" Target="https://twitter.com/HartwigMicheal/status/703036160784908288" TargetMode="External"/><Relationship Id="rId5179" Type="http://schemas.openxmlformats.org/officeDocument/2006/relationships/hyperlink" Target="https://pbs.twimg.com/profile_images/679948461953781761/pDo9356K_normal.jpg" TargetMode="External"/><Relationship Id="rId5176" Type="http://schemas.openxmlformats.org/officeDocument/2006/relationships/hyperlink" Target="https://pbs.twimg.com/profile_images/679948461953781761/pDo9356K_normal.jpg" TargetMode="External"/><Relationship Id="rId5177" Type="http://schemas.openxmlformats.org/officeDocument/2006/relationships/hyperlink" Target="https://twitter.com/HartwigMicheal" TargetMode="External"/><Relationship Id="rId6490" Type="http://schemas.openxmlformats.org/officeDocument/2006/relationships/hyperlink" Target="https://twitter.com/assorizontal/status/703123932061106176" TargetMode="External"/><Relationship Id="rId5160" Type="http://schemas.openxmlformats.org/officeDocument/2006/relationships/hyperlink" Target="https://twitter.com/DistrictDataLab/status/703035258791436289" TargetMode="External"/><Relationship Id="rId6491" Type="http://schemas.openxmlformats.org/officeDocument/2006/relationships/hyperlink" Target="https://pbs.twimg.com/profile_images/664166609314037760/GZBSu2t6_normal.png" TargetMode="External"/><Relationship Id="rId5163" Type="http://schemas.openxmlformats.org/officeDocument/2006/relationships/hyperlink" Target="https://twitter.com/jamal_moir/status/703035454564671489" TargetMode="External"/><Relationship Id="rId6494" Type="http://schemas.openxmlformats.org/officeDocument/2006/relationships/hyperlink" Target="https://pbs.twimg.com/profile_images/680782859259490305/RmsOsBNy_normal.jpg" TargetMode="External"/><Relationship Id="rId5164" Type="http://schemas.openxmlformats.org/officeDocument/2006/relationships/hyperlink" Target="https://pbs.twimg.com/profile_images/701940703329284096/L4xW77o2_normal.jpg" TargetMode="External"/><Relationship Id="rId6495" Type="http://schemas.openxmlformats.org/officeDocument/2006/relationships/hyperlink" Target="https://twitter.com/SiliconArmada" TargetMode="External"/><Relationship Id="rId5161" Type="http://schemas.openxmlformats.org/officeDocument/2006/relationships/hyperlink" Target="https://pbs.twimg.com/profile_images/676095885575634944/NXl4o2HU_normal.png" TargetMode="External"/><Relationship Id="rId6492" Type="http://schemas.openxmlformats.org/officeDocument/2006/relationships/hyperlink" Target="https://twitter.com/esvhd" TargetMode="External"/><Relationship Id="rId5162" Type="http://schemas.openxmlformats.org/officeDocument/2006/relationships/hyperlink" Target="https://twitter.com/jamal_moir" TargetMode="External"/><Relationship Id="rId6493" Type="http://schemas.openxmlformats.org/officeDocument/2006/relationships/hyperlink" Target="https://twitter.com/esvhd/status/703124884499492864" TargetMode="External"/><Relationship Id="rId5167" Type="http://schemas.openxmlformats.org/officeDocument/2006/relationships/hyperlink" Target="https://pbs.twimg.com/profile_images/572091631055028224/Pkx__FSB_normal.png" TargetMode="External"/><Relationship Id="rId6498" Type="http://schemas.openxmlformats.org/officeDocument/2006/relationships/hyperlink" Target="https://twitter.com/Paris_TechJobs" TargetMode="External"/><Relationship Id="rId5168" Type="http://schemas.openxmlformats.org/officeDocument/2006/relationships/hyperlink" Target="https://twitter.com/nicholasgatto" TargetMode="External"/><Relationship Id="rId6499" Type="http://schemas.openxmlformats.org/officeDocument/2006/relationships/hyperlink" Target="https://twitter.com/Paris_TechJobs/status/703124962610024450" TargetMode="External"/><Relationship Id="rId5165" Type="http://schemas.openxmlformats.org/officeDocument/2006/relationships/hyperlink" Target="https://twitter.com/cool_python" TargetMode="External"/><Relationship Id="rId6496" Type="http://schemas.openxmlformats.org/officeDocument/2006/relationships/hyperlink" Target="https://twitter.com/SiliconArmada/status/703124962240913408" TargetMode="External"/><Relationship Id="rId5166" Type="http://schemas.openxmlformats.org/officeDocument/2006/relationships/hyperlink" Target="https://twitter.com/cool_python/status/703035775886237697" TargetMode="External"/><Relationship Id="rId6497" Type="http://schemas.openxmlformats.org/officeDocument/2006/relationships/hyperlink" Target="https://pbs.twimg.com/profile_images/660839913970118656/5BS6sNCq_normal.png" TargetMode="External"/><Relationship Id="rId5169" Type="http://schemas.openxmlformats.org/officeDocument/2006/relationships/hyperlink" Target="https://twitter.com/nicholasgatto/status/703036036310499329" TargetMode="External"/><Relationship Id="rId2920" Type="http://schemas.openxmlformats.org/officeDocument/2006/relationships/hyperlink" Target="https://twitter.com/PythonDaily/status/702931075668967424" TargetMode="External"/><Relationship Id="rId2921" Type="http://schemas.openxmlformats.org/officeDocument/2006/relationships/hyperlink" Target="https://pbs.twimg.com/profile_images/378800000030851202/b6bb871a13825bae9004a9aab3a1d726_normal.jpeg" TargetMode="External"/><Relationship Id="rId2922" Type="http://schemas.openxmlformats.org/officeDocument/2006/relationships/hyperlink" Target="https://twitter.com/PythonWeekly" TargetMode="External"/><Relationship Id="rId2923" Type="http://schemas.openxmlformats.org/officeDocument/2006/relationships/hyperlink" Target="https://twitter.com/PythonWeekly/status/702931080169582593" TargetMode="External"/><Relationship Id="rId2924" Type="http://schemas.openxmlformats.org/officeDocument/2006/relationships/hyperlink" Target="https://pbs.twimg.com/profile_images/1554238582/python_normal.jpg" TargetMode="External"/><Relationship Id="rId2925" Type="http://schemas.openxmlformats.org/officeDocument/2006/relationships/hyperlink" Target="https://twitter.com/ContinuumIO" TargetMode="External"/><Relationship Id="rId2926" Type="http://schemas.openxmlformats.org/officeDocument/2006/relationships/hyperlink" Target="https://twitter.com/ContinuumIO/status/702931100532871168" TargetMode="External"/><Relationship Id="rId2927" Type="http://schemas.openxmlformats.org/officeDocument/2006/relationships/hyperlink" Target="https://pbs.twimg.com/profile_images/624030560457850880/17LrFnZt_normal.png" TargetMode="External"/><Relationship Id="rId2928" Type="http://schemas.openxmlformats.org/officeDocument/2006/relationships/hyperlink" Target="https://twitter.com/PacktPub" TargetMode="External"/><Relationship Id="rId2929" Type="http://schemas.openxmlformats.org/officeDocument/2006/relationships/hyperlink" Target="https://twitter.com/PacktPub/status/702931110091575297" TargetMode="External"/><Relationship Id="rId5192" Type="http://schemas.openxmlformats.org/officeDocument/2006/relationships/hyperlink" Target="https://twitter.com/MTotolrahaman" TargetMode="External"/><Relationship Id="rId5193" Type="http://schemas.openxmlformats.org/officeDocument/2006/relationships/hyperlink" Target="https://twitter.com/MTotolrahaman/status/703036387977764864" TargetMode="External"/><Relationship Id="rId5190" Type="http://schemas.openxmlformats.org/officeDocument/2006/relationships/hyperlink" Target="https://twitter.com/MTotolrahaman/status/703036380037910530" TargetMode="External"/><Relationship Id="rId5191" Type="http://schemas.openxmlformats.org/officeDocument/2006/relationships/hyperlink" Target="https://pbs.twimg.com/profile_images/677493910256484352/-EdVaVPl_normal.jpg" TargetMode="External"/><Relationship Id="rId5196" Type="http://schemas.openxmlformats.org/officeDocument/2006/relationships/hyperlink" Target="https://twitter.com/MTotolrahaman/status/703036389999452161" TargetMode="External"/><Relationship Id="rId5197" Type="http://schemas.openxmlformats.org/officeDocument/2006/relationships/hyperlink" Target="https://pbs.twimg.com/profile_images/677493910256484352/-EdVaVPl_normal.jpg" TargetMode="External"/><Relationship Id="rId5194" Type="http://schemas.openxmlformats.org/officeDocument/2006/relationships/hyperlink" Target="https://pbs.twimg.com/profile_images/677493910256484352/-EdVaVPl_normal.jpg" TargetMode="External"/><Relationship Id="rId5195" Type="http://schemas.openxmlformats.org/officeDocument/2006/relationships/hyperlink" Target="https://twitter.com/MTotolrahaman" TargetMode="External"/><Relationship Id="rId5198" Type="http://schemas.openxmlformats.org/officeDocument/2006/relationships/hyperlink" Target="https://twitter.com/davisdanae" TargetMode="External"/><Relationship Id="rId5199" Type="http://schemas.openxmlformats.org/officeDocument/2006/relationships/hyperlink" Target="https://twitter.com/davisdanae/status/703036435172032512" TargetMode="External"/><Relationship Id="rId2910" Type="http://schemas.openxmlformats.org/officeDocument/2006/relationships/hyperlink" Target="https://twitter.com/startechwall" TargetMode="External"/><Relationship Id="rId2911" Type="http://schemas.openxmlformats.org/officeDocument/2006/relationships/hyperlink" Target="https://twitter.com/startechwall/status/702930834844684288" TargetMode="External"/><Relationship Id="rId2912" Type="http://schemas.openxmlformats.org/officeDocument/2006/relationships/hyperlink" Target="https://pbs.twimg.com/profile_images/679566117187145728/UUo30Zpm_normal.jpg" TargetMode="External"/><Relationship Id="rId2913" Type="http://schemas.openxmlformats.org/officeDocument/2006/relationships/hyperlink" Target="https://twitter.com/startechwall" TargetMode="External"/><Relationship Id="rId2914" Type="http://schemas.openxmlformats.org/officeDocument/2006/relationships/hyperlink" Target="https://twitter.com/startechwall/status/702930847700283393" TargetMode="External"/><Relationship Id="rId2915" Type="http://schemas.openxmlformats.org/officeDocument/2006/relationships/hyperlink" Target="https://pbs.twimg.com/profile_images/679566117187145728/UUo30Zpm_normal.jpg" TargetMode="External"/><Relationship Id="rId2916" Type="http://schemas.openxmlformats.org/officeDocument/2006/relationships/hyperlink" Target="https://twitter.com/vasudevram" TargetMode="External"/><Relationship Id="rId2917" Type="http://schemas.openxmlformats.org/officeDocument/2006/relationships/hyperlink" Target="https://twitter.com/vasudevram/status/702930938649415680" TargetMode="External"/><Relationship Id="rId2918" Type="http://schemas.openxmlformats.org/officeDocument/2006/relationships/hyperlink" Target="https://pbs.twimg.com/profile_images/831115122/indian-bison-gaur_normal.jpg" TargetMode="External"/><Relationship Id="rId2919" Type="http://schemas.openxmlformats.org/officeDocument/2006/relationships/hyperlink" Target="https://twitter.com/PythonDaily" TargetMode="External"/><Relationship Id="rId5181" Type="http://schemas.openxmlformats.org/officeDocument/2006/relationships/hyperlink" Target="https://twitter.com/HartwigMicheal/status/703036163142098944" TargetMode="External"/><Relationship Id="rId5182" Type="http://schemas.openxmlformats.org/officeDocument/2006/relationships/hyperlink" Target="https://pbs.twimg.com/profile_images/679948461953781761/pDo9356K_normal.jpg" TargetMode="External"/><Relationship Id="rId5180" Type="http://schemas.openxmlformats.org/officeDocument/2006/relationships/hyperlink" Target="https://twitter.com/HartwigMicheal" TargetMode="External"/><Relationship Id="rId5185" Type="http://schemas.openxmlformats.org/officeDocument/2006/relationships/hyperlink" Target="https://pbs.twimg.com/profile_images/1464503986/avatar_normal.jpg" TargetMode="External"/><Relationship Id="rId5186" Type="http://schemas.openxmlformats.org/officeDocument/2006/relationships/hyperlink" Target="https://twitter.com/RasShepherd" TargetMode="External"/><Relationship Id="rId5183" Type="http://schemas.openxmlformats.org/officeDocument/2006/relationships/hyperlink" Target="https://twitter.com/yellowrocket96" TargetMode="External"/><Relationship Id="rId5184" Type="http://schemas.openxmlformats.org/officeDocument/2006/relationships/hyperlink" Target="https://twitter.com/yellowrocket96/status/703036182850973696" TargetMode="External"/><Relationship Id="rId5189" Type="http://schemas.openxmlformats.org/officeDocument/2006/relationships/hyperlink" Target="https://twitter.com/MTotolrahaman" TargetMode="External"/><Relationship Id="rId5187" Type="http://schemas.openxmlformats.org/officeDocument/2006/relationships/hyperlink" Target="https://twitter.com/RasShepherd/status/703036376502161409" TargetMode="External"/><Relationship Id="rId5188" Type="http://schemas.openxmlformats.org/officeDocument/2006/relationships/hyperlink" Target="https://pbs.twimg.com/profile_images/571954137697247232/6C5zvAcT_normal.jpeg" TargetMode="External"/><Relationship Id="rId1697" Type="http://schemas.openxmlformats.org/officeDocument/2006/relationships/hyperlink" Target="https://pbs.twimg.com/profile_images/529760930767192064/fyuauJpj_normal.jpeg" TargetMode="External"/><Relationship Id="rId1698" Type="http://schemas.openxmlformats.org/officeDocument/2006/relationships/hyperlink" Target="https://twitter.com/Pvalsfr" TargetMode="External"/><Relationship Id="rId1699" Type="http://schemas.openxmlformats.org/officeDocument/2006/relationships/hyperlink" Target="https://twitter.com/Pvalsfr/status/702875990163329025" TargetMode="External"/><Relationship Id="rId866" Type="http://schemas.openxmlformats.org/officeDocument/2006/relationships/hyperlink" Target="https://twitter.com/artwisanggeni/status/702839609479163904" TargetMode="External"/><Relationship Id="rId865" Type="http://schemas.openxmlformats.org/officeDocument/2006/relationships/hyperlink" Target="https://twitter.com/artwisanggeni" TargetMode="External"/><Relationship Id="rId864" Type="http://schemas.openxmlformats.org/officeDocument/2006/relationships/hyperlink" Target="https://pbs.twimg.com/profile_images/2813636657/599521f69e2bc210a57323b64d8e39e6_normal.jpeg" TargetMode="External"/><Relationship Id="rId863" Type="http://schemas.openxmlformats.org/officeDocument/2006/relationships/hyperlink" Target="http://dlvr.it" TargetMode="External"/><Relationship Id="rId869" Type="http://schemas.openxmlformats.org/officeDocument/2006/relationships/hyperlink" Target="https://twitter.com/artwisanggeni" TargetMode="External"/><Relationship Id="rId868" Type="http://schemas.openxmlformats.org/officeDocument/2006/relationships/hyperlink" Target="https://pbs.twimg.com/profile_images/2813636657/599521f69e2bc210a57323b64d8e39e6_normal.jpeg" TargetMode="External"/><Relationship Id="rId867" Type="http://schemas.openxmlformats.org/officeDocument/2006/relationships/hyperlink" Target="http://dlvr.it" TargetMode="External"/><Relationship Id="rId1690" Type="http://schemas.openxmlformats.org/officeDocument/2006/relationships/hyperlink" Target="https://twitter.com/tweet_poke_/status/702875715121893378" TargetMode="External"/><Relationship Id="rId1691" Type="http://schemas.openxmlformats.org/officeDocument/2006/relationships/hyperlink" Target="https://pbs.twimg.com/profile_images/578537216823144448/GW-4L7Mg_normal.png" TargetMode="External"/><Relationship Id="rId1692" Type="http://schemas.openxmlformats.org/officeDocument/2006/relationships/hyperlink" Target="https://twitter.com/Pvalsfr" TargetMode="External"/><Relationship Id="rId862" Type="http://schemas.openxmlformats.org/officeDocument/2006/relationships/hyperlink" Target="https://twitter.com/artwisanggeni/status/702839606513799168" TargetMode="External"/><Relationship Id="rId1693" Type="http://schemas.openxmlformats.org/officeDocument/2006/relationships/hyperlink" Target="https://twitter.com/Pvalsfr/status/702875932500037633" TargetMode="External"/><Relationship Id="rId861" Type="http://schemas.openxmlformats.org/officeDocument/2006/relationships/hyperlink" Target="https://twitter.com/artwisanggeni" TargetMode="External"/><Relationship Id="rId1694" Type="http://schemas.openxmlformats.org/officeDocument/2006/relationships/hyperlink" Target="https://abs.twimg.com/sticky/default_profile_images/default_profile_4_normal.png" TargetMode="External"/><Relationship Id="rId860" Type="http://schemas.openxmlformats.org/officeDocument/2006/relationships/hyperlink" Target="https://pbs.twimg.com/profile_images/3467815557/61b17c929f55ca0ffdd2b68209ea84d1_normal.jpeg" TargetMode="External"/><Relationship Id="rId1695" Type="http://schemas.openxmlformats.org/officeDocument/2006/relationships/hyperlink" Target="https://twitter.com/diek007" TargetMode="External"/><Relationship Id="rId1696" Type="http://schemas.openxmlformats.org/officeDocument/2006/relationships/hyperlink" Target="https://twitter.com/diek007/status/702875943245893632" TargetMode="External"/><Relationship Id="rId1686" Type="http://schemas.openxmlformats.org/officeDocument/2006/relationships/hyperlink" Target="https://twitter.com/GeertHub" TargetMode="External"/><Relationship Id="rId1687" Type="http://schemas.openxmlformats.org/officeDocument/2006/relationships/hyperlink" Target="https://twitter.com/GeertHub/status/702875709279064070" TargetMode="External"/><Relationship Id="rId1688" Type="http://schemas.openxmlformats.org/officeDocument/2006/relationships/hyperlink" Target="https://pbs.twimg.com/profile_images/683734803133235200/NogCr1RI_normal.jpg" TargetMode="External"/><Relationship Id="rId1689" Type="http://schemas.openxmlformats.org/officeDocument/2006/relationships/hyperlink" Target="https://twitter.com/tweet_poke_" TargetMode="External"/><Relationship Id="rId855" Type="http://schemas.openxmlformats.org/officeDocument/2006/relationships/hyperlink" Target="https://twitter.com/Russqui" TargetMode="External"/><Relationship Id="rId854" Type="http://schemas.openxmlformats.org/officeDocument/2006/relationships/hyperlink" Target="https://pbs.twimg.com/profile_images/3229442079/800b5f79bd5ad9c586ce5c2de8dadbed_normal.jpeg" TargetMode="External"/><Relationship Id="rId853" Type="http://schemas.openxmlformats.org/officeDocument/2006/relationships/hyperlink" Target="https://twitter.com/dmkavanagh/status/702838932979982336" TargetMode="External"/><Relationship Id="rId852" Type="http://schemas.openxmlformats.org/officeDocument/2006/relationships/hyperlink" Target="https://twitter.com/dmkavanagh" TargetMode="External"/><Relationship Id="rId859" Type="http://schemas.openxmlformats.org/officeDocument/2006/relationships/hyperlink" Target="https://twitter.com/HandbagDivas/status/702839360417374208" TargetMode="External"/><Relationship Id="rId858" Type="http://schemas.openxmlformats.org/officeDocument/2006/relationships/hyperlink" Target="https://twitter.com/HandbagDivas" TargetMode="External"/><Relationship Id="rId857" Type="http://schemas.openxmlformats.org/officeDocument/2006/relationships/hyperlink" Target="https://pbs.twimg.com/profile_images/553211926004514817/z-2XWl70_normal.jpeg" TargetMode="External"/><Relationship Id="rId856" Type="http://schemas.openxmlformats.org/officeDocument/2006/relationships/hyperlink" Target="https://twitter.com/Russqui/status/702839217743769605" TargetMode="External"/><Relationship Id="rId1680" Type="http://schemas.openxmlformats.org/officeDocument/2006/relationships/hyperlink" Target="https://twitter.com/capsecdc" TargetMode="External"/><Relationship Id="rId1681" Type="http://schemas.openxmlformats.org/officeDocument/2006/relationships/hyperlink" Target="https://twitter.com/capsecdc/status/702875655021731840" TargetMode="External"/><Relationship Id="rId851" Type="http://schemas.openxmlformats.org/officeDocument/2006/relationships/hyperlink" Target="https://pbs.twimg.com/profile_images/378800000260987222/53b2a49f3f6bc6ffbf2d3689790f7904_normal.png" TargetMode="External"/><Relationship Id="rId1682" Type="http://schemas.openxmlformats.org/officeDocument/2006/relationships/hyperlink" Target="https://abs.twimg.com/sticky/default_profile_images/default_profile_6_normal.png" TargetMode="External"/><Relationship Id="rId850" Type="http://schemas.openxmlformats.org/officeDocument/2006/relationships/hyperlink" Target="https://twitter.com/diego_pacheco/status/702838802709143552" TargetMode="External"/><Relationship Id="rId1683" Type="http://schemas.openxmlformats.org/officeDocument/2006/relationships/hyperlink" Target="https://twitter.com/caco_patane" TargetMode="External"/><Relationship Id="rId1684" Type="http://schemas.openxmlformats.org/officeDocument/2006/relationships/hyperlink" Target="https://twitter.com/caco_patane/status/702875697581309952" TargetMode="External"/><Relationship Id="rId1685" Type="http://schemas.openxmlformats.org/officeDocument/2006/relationships/hyperlink" Target="https://pbs.twimg.com/profile_images/426554071034896384/ybLDkAHn_normal.jpeg" TargetMode="External"/><Relationship Id="rId888" Type="http://schemas.openxmlformats.org/officeDocument/2006/relationships/hyperlink" Target="https://twitter.com/FrameworksM" TargetMode="External"/><Relationship Id="rId887" Type="http://schemas.openxmlformats.org/officeDocument/2006/relationships/hyperlink" Target="https://pbs.twimg.com/profile_images/694181682421719040/2VTezRAS_normal.jpg" TargetMode="External"/><Relationship Id="rId886" Type="http://schemas.openxmlformats.org/officeDocument/2006/relationships/hyperlink" Target="https://twitter.com/udemycodecoupon/status/702839862055940096" TargetMode="External"/><Relationship Id="rId885" Type="http://schemas.openxmlformats.org/officeDocument/2006/relationships/hyperlink" Target="https://twitter.com/udemycodecoupon" TargetMode="External"/><Relationship Id="rId889" Type="http://schemas.openxmlformats.org/officeDocument/2006/relationships/hyperlink" Target="https://twitter.com/FrameworksM/status/702840470163087360" TargetMode="External"/><Relationship Id="rId880" Type="http://schemas.openxmlformats.org/officeDocument/2006/relationships/hyperlink" Target="https://pbs.twimg.com/profile_images/2813636657/599521f69e2bc210a57323b64d8e39e6_normal.jpeg" TargetMode="External"/><Relationship Id="rId884" Type="http://schemas.openxmlformats.org/officeDocument/2006/relationships/hyperlink" Target="https://pbs.twimg.com/profile_images/2813636657/599521f69e2bc210a57323b64d8e39e6_normal.jpeg" TargetMode="External"/><Relationship Id="rId883" Type="http://schemas.openxmlformats.org/officeDocument/2006/relationships/hyperlink" Target="http://dlvr.it" TargetMode="External"/><Relationship Id="rId882" Type="http://schemas.openxmlformats.org/officeDocument/2006/relationships/hyperlink" Target="https://twitter.com/artwisanggeni/status/702839619629416452" TargetMode="External"/><Relationship Id="rId881" Type="http://schemas.openxmlformats.org/officeDocument/2006/relationships/hyperlink" Target="https://twitter.com/artwisanggeni" TargetMode="External"/><Relationship Id="rId877" Type="http://schemas.openxmlformats.org/officeDocument/2006/relationships/hyperlink" Target="https://twitter.com/artwisanggeni" TargetMode="External"/><Relationship Id="rId876" Type="http://schemas.openxmlformats.org/officeDocument/2006/relationships/hyperlink" Target="https://pbs.twimg.com/profile_images/2813636657/599521f69e2bc210a57323b64d8e39e6_normal.jpeg" TargetMode="External"/><Relationship Id="rId875" Type="http://schemas.openxmlformats.org/officeDocument/2006/relationships/hyperlink" Target="http://dlvr.it" TargetMode="External"/><Relationship Id="rId874" Type="http://schemas.openxmlformats.org/officeDocument/2006/relationships/hyperlink" Target="https://twitter.com/artwisanggeni/status/702839614856237056" TargetMode="External"/><Relationship Id="rId879" Type="http://schemas.openxmlformats.org/officeDocument/2006/relationships/hyperlink" Target="http://dlvr.it" TargetMode="External"/><Relationship Id="rId878" Type="http://schemas.openxmlformats.org/officeDocument/2006/relationships/hyperlink" Target="https://twitter.com/artwisanggeni/status/702839617406394368" TargetMode="External"/><Relationship Id="rId873" Type="http://schemas.openxmlformats.org/officeDocument/2006/relationships/hyperlink" Target="https://twitter.com/artwisanggeni" TargetMode="External"/><Relationship Id="rId872" Type="http://schemas.openxmlformats.org/officeDocument/2006/relationships/hyperlink" Target="https://pbs.twimg.com/profile_images/2813636657/599521f69e2bc210a57323b64d8e39e6_normal.jpeg" TargetMode="External"/><Relationship Id="rId871" Type="http://schemas.openxmlformats.org/officeDocument/2006/relationships/hyperlink" Target="http://dlvr.it" TargetMode="External"/><Relationship Id="rId870" Type="http://schemas.openxmlformats.org/officeDocument/2006/relationships/hyperlink" Target="https://twitter.com/artwisanggeni/status/702839612234813440" TargetMode="External"/><Relationship Id="rId1653" Type="http://schemas.openxmlformats.org/officeDocument/2006/relationships/hyperlink" Target="https://twitter.com/0x4d_/status/702874615715127297" TargetMode="External"/><Relationship Id="rId2984" Type="http://schemas.openxmlformats.org/officeDocument/2006/relationships/hyperlink" Target="https://pbs.twimg.com/profile_images/699984077877874688/aR2ovqId_normal.png" TargetMode="External"/><Relationship Id="rId1654" Type="http://schemas.openxmlformats.org/officeDocument/2006/relationships/hyperlink" Target="https://pbs.twimg.com/profile_images/662962846699884544/S7_LN4c0_normal.jpg" TargetMode="External"/><Relationship Id="rId2985" Type="http://schemas.openxmlformats.org/officeDocument/2006/relationships/hyperlink" Target="https://twitter.com/NowLivecodingtv" TargetMode="External"/><Relationship Id="rId1655" Type="http://schemas.openxmlformats.org/officeDocument/2006/relationships/hyperlink" Target="https://twitter.com/grayops" TargetMode="External"/><Relationship Id="rId2986" Type="http://schemas.openxmlformats.org/officeDocument/2006/relationships/hyperlink" Target="https://twitter.com/NowLivecodingtv/status/702933352169377792" TargetMode="External"/><Relationship Id="rId1656" Type="http://schemas.openxmlformats.org/officeDocument/2006/relationships/hyperlink" Target="https://twitter.com/grayops/status/702874955365687296" TargetMode="External"/><Relationship Id="rId2987" Type="http://schemas.openxmlformats.org/officeDocument/2006/relationships/hyperlink" Target="https://pbs.twimg.com/profile_images/699984077877874688/aR2ovqId_normal.png" TargetMode="External"/><Relationship Id="rId1657" Type="http://schemas.openxmlformats.org/officeDocument/2006/relationships/hyperlink" Target="https://pbs.twimg.com/profile_images/378800000623828876/fbece1d8691389f89dc1e121c17412e4_normal.jpeg" TargetMode="External"/><Relationship Id="rId2988" Type="http://schemas.openxmlformats.org/officeDocument/2006/relationships/hyperlink" Target="https://twitter.com/NowLivecodingtv" TargetMode="External"/><Relationship Id="rId1658" Type="http://schemas.openxmlformats.org/officeDocument/2006/relationships/hyperlink" Target="https://twitter.com/maxscgo" TargetMode="External"/><Relationship Id="rId2989" Type="http://schemas.openxmlformats.org/officeDocument/2006/relationships/hyperlink" Target="https://twitter.com/NowLivecodingtv/status/702933357273874432" TargetMode="External"/><Relationship Id="rId1659" Type="http://schemas.openxmlformats.org/officeDocument/2006/relationships/hyperlink" Target="https://twitter.com/maxscgo/status/702875019895033856" TargetMode="External"/><Relationship Id="rId829" Type="http://schemas.openxmlformats.org/officeDocument/2006/relationships/hyperlink" Target="https://twitter.com/cocoacoda/status/702835680855064576" TargetMode="External"/><Relationship Id="rId828" Type="http://schemas.openxmlformats.org/officeDocument/2006/relationships/hyperlink" Target="https://twitter.com/cocoacoda" TargetMode="External"/><Relationship Id="rId827" Type="http://schemas.openxmlformats.org/officeDocument/2006/relationships/hyperlink" Target="https://pbs.twimg.com/profile_images/512625755/icon_normal.gif" TargetMode="External"/><Relationship Id="rId822" Type="http://schemas.openxmlformats.org/officeDocument/2006/relationships/hyperlink" Target="https://twitter.com/ikarius" TargetMode="External"/><Relationship Id="rId821" Type="http://schemas.openxmlformats.org/officeDocument/2006/relationships/hyperlink" Target="https://pbs.twimg.com/profile_images/1162660352/logo_aulambra_normal.png" TargetMode="External"/><Relationship Id="rId820" Type="http://schemas.openxmlformats.org/officeDocument/2006/relationships/hyperlink" Target="https://twitter.com/DudasProgramar/status/702835377820868608" TargetMode="External"/><Relationship Id="rId826" Type="http://schemas.openxmlformats.org/officeDocument/2006/relationships/hyperlink" Target="https://twitter.com/tek_news/status/702835453439963136" TargetMode="External"/><Relationship Id="rId825" Type="http://schemas.openxmlformats.org/officeDocument/2006/relationships/hyperlink" Target="https://twitter.com/tek_news" TargetMode="External"/><Relationship Id="rId824" Type="http://schemas.openxmlformats.org/officeDocument/2006/relationships/hyperlink" Target="https://pbs.twimg.com/profile_images/680465592512561155/JRfBwlGN_normal.png" TargetMode="External"/><Relationship Id="rId823" Type="http://schemas.openxmlformats.org/officeDocument/2006/relationships/hyperlink" Target="https://twitter.com/ikarius/status/702835383411802112" TargetMode="External"/><Relationship Id="rId2980" Type="http://schemas.openxmlformats.org/officeDocument/2006/relationships/hyperlink" Target="https://twitter.com/NowLivecodingtv/status/702933331646611456" TargetMode="External"/><Relationship Id="rId1650" Type="http://schemas.openxmlformats.org/officeDocument/2006/relationships/hyperlink" Target="https://twitter.com/brian_warehime/status/702874472374804480" TargetMode="External"/><Relationship Id="rId2981" Type="http://schemas.openxmlformats.org/officeDocument/2006/relationships/hyperlink" Target="https://pbs.twimg.com/profile_images/699984077877874688/aR2ovqId_normal.png" TargetMode="External"/><Relationship Id="rId1651" Type="http://schemas.openxmlformats.org/officeDocument/2006/relationships/hyperlink" Target="https://pbs.twimg.com/profile_images/661394704278413312/_Qc_9SLZ_normal.png" TargetMode="External"/><Relationship Id="rId2982" Type="http://schemas.openxmlformats.org/officeDocument/2006/relationships/hyperlink" Target="https://twitter.com/NowLivecodingtv" TargetMode="External"/><Relationship Id="rId1652" Type="http://schemas.openxmlformats.org/officeDocument/2006/relationships/hyperlink" Target="https://twitter.com/0x4d_" TargetMode="External"/><Relationship Id="rId2983" Type="http://schemas.openxmlformats.org/officeDocument/2006/relationships/hyperlink" Target="https://twitter.com/NowLivecodingtv/status/702933336939868160" TargetMode="External"/><Relationship Id="rId1642" Type="http://schemas.openxmlformats.org/officeDocument/2006/relationships/hyperlink" Target="https://pbs.twimg.com/profile_images/1956395739/56358390A_normal.jpg" TargetMode="External"/><Relationship Id="rId2973" Type="http://schemas.openxmlformats.org/officeDocument/2006/relationships/hyperlink" Target="https://twitter.com/NowLivecodingtv" TargetMode="External"/><Relationship Id="rId1643" Type="http://schemas.openxmlformats.org/officeDocument/2006/relationships/hyperlink" Target="https://twitter.com/Kercode56" TargetMode="External"/><Relationship Id="rId2974" Type="http://schemas.openxmlformats.org/officeDocument/2006/relationships/hyperlink" Target="https://twitter.com/NowLivecodingtv/status/702933310436151297" TargetMode="External"/><Relationship Id="rId1644" Type="http://schemas.openxmlformats.org/officeDocument/2006/relationships/hyperlink" Target="https://twitter.com/Kercode56/status/702874358394589185" TargetMode="External"/><Relationship Id="rId2975" Type="http://schemas.openxmlformats.org/officeDocument/2006/relationships/hyperlink" Target="https://pbs.twimg.com/profile_images/699984077877874688/aR2ovqId_normal.png" TargetMode="External"/><Relationship Id="rId1645" Type="http://schemas.openxmlformats.org/officeDocument/2006/relationships/hyperlink" Target="https://pbs.twimg.com/profile_images/689360451428290560/VRvYKuIY_normal.jpg" TargetMode="External"/><Relationship Id="rId2976" Type="http://schemas.openxmlformats.org/officeDocument/2006/relationships/hyperlink" Target="https://twitter.com/NowLivecodingtv" TargetMode="External"/><Relationship Id="rId1646" Type="http://schemas.openxmlformats.org/officeDocument/2006/relationships/hyperlink" Target="https://twitter.com/coding_jobfeeds" TargetMode="External"/><Relationship Id="rId2977" Type="http://schemas.openxmlformats.org/officeDocument/2006/relationships/hyperlink" Target="https://twitter.com/NowLivecodingtv/status/702933317406953473" TargetMode="External"/><Relationship Id="rId1647" Type="http://schemas.openxmlformats.org/officeDocument/2006/relationships/hyperlink" Target="https://twitter.com/coding_jobfeeds/status/702874463147331584" TargetMode="External"/><Relationship Id="rId2978" Type="http://schemas.openxmlformats.org/officeDocument/2006/relationships/hyperlink" Target="https://pbs.twimg.com/profile_images/699984077877874688/aR2ovqId_normal.png" TargetMode="External"/><Relationship Id="rId1648" Type="http://schemas.openxmlformats.org/officeDocument/2006/relationships/hyperlink" Target="https://pbs.twimg.com/profile_images/611834314586750976/feZ5fZOO_normal.png" TargetMode="External"/><Relationship Id="rId2979" Type="http://schemas.openxmlformats.org/officeDocument/2006/relationships/hyperlink" Target="https://twitter.com/NowLivecodingtv" TargetMode="External"/><Relationship Id="rId1649" Type="http://schemas.openxmlformats.org/officeDocument/2006/relationships/hyperlink" Target="https://twitter.com/brian_warehime" TargetMode="External"/><Relationship Id="rId819" Type="http://schemas.openxmlformats.org/officeDocument/2006/relationships/hyperlink" Target="https://twitter.com/DudasProgramar" TargetMode="External"/><Relationship Id="rId818" Type="http://schemas.openxmlformats.org/officeDocument/2006/relationships/hyperlink" Target="https://pbs.twimg.com/profile_images/414665160217739264/Vjqlxhz8_normal.jpeg" TargetMode="External"/><Relationship Id="rId817" Type="http://schemas.openxmlformats.org/officeDocument/2006/relationships/hyperlink" Target="https://twitter.com/walkops/status/702835226779770880" TargetMode="External"/><Relationship Id="rId816" Type="http://schemas.openxmlformats.org/officeDocument/2006/relationships/hyperlink" Target="https://twitter.com/walkops" TargetMode="External"/><Relationship Id="rId811" Type="http://schemas.openxmlformats.org/officeDocument/2006/relationships/hyperlink" Target="https://twitter.com/SpalonaSloncem/status/702834679309844480" TargetMode="External"/><Relationship Id="rId810" Type="http://schemas.openxmlformats.org/officeDocument/2006/relationships/hyperlink" Target="https://twitter.com/SpalonaSloncem" TargetMode="External"/><Relationship Id="rId815" Type="http://schemas.openxmlformats.org/officeDocument/2006/relationships/hyperlink" Target="https://pbs.twimg.com/profile_images/698862438926540800/rEbqDiAl_normal.jpg" TargetMode="External"/><Relationship Id="rId814" Type="http://schemas.openxmlformats.org/officeDocument/2006/relationships/hyperlink" Target="https://twitter.com/spara/status/702834977285648384" TargetMode="External"/><Relationship Id="rId813" Type="http://schemas.openxmlformats.org/officeDocument/2006/relationships/hyperlink" Target="https://twitter.com/spara" TargetMode="External"/><Relationship Id="rId812" Type="http://schemas.openxmlformats.org/officeDocument/2006/relationships/hyperlink" Target="https://pbs.twimg.com/profile_images/1695398097/_MG_0320_normal.jpg" TargetMode="External"/><Relationship Id="rId2970" Type="http://schemas.openxmlformats.org/officeDocument/2006/relationships/hyperlink" Target="https://twitter.com/psj211" TargetMode="External"/><Relationship Id="rId1640" Type="http://schemas.openxmlformats.org/officeDocument/2006/relationships/hyperlink" Target="https://twitter.com/MikeHerman" TargetMode="External"/><Relationship Id="rId2971" Type="http://schemas.openxmlformats.org/officeDocument/2006/relationships/hyperlink" Target="https://twitter.com/psj211/status/702933289930194944" TargetMode="External"/><Relationship Id="rId1641" Type="http://schemas.openxmlformats.org/officeDocument/2006/relationships/hyperlink" Target="https://twitter.com/MikeHerman/status/702873949084880897" TargetMode="External"/><Relationship Id="rId2972" Type="http://schemas.openxmlformats.org/officeDocument/2006/relationships/hyperlink" Target="https://abs.twimg.com/sticky/default_profile_images/default_profile_2_normal.png" TargetMode="External"/><Relationship Id="rId1675" Type="http://schemas.openxmlformats.org/officeDocument/2006/relationships/hyperlink" Target="https://twitter.com/MRBrandonGibson/status/702875501761847296" TargetMode="External"/><Relationship Id="rId1676" Type="http://schemas.openxmlformats.org/officeDocument/2006/relationships/hyperlink" Target="https://pbs.twimg.com/profile_images/611017951131480064/SBdHW0j0_normal.jpg" TargetMode="External"/><Relationship Id="rId1677" Type="http://schemas.openxmlformats.org/officeDocument/2006/relationships/hyperlink" Target="https://twitter.com/javeo_eu" TargetMode="External"/><Relationship Id="rId1678" Type="http://schemas.openxmlformats.org/officeDocument/2006/relationships/hyperlink" Target="https://twitter.com/javeo_eu/status/702875650902851584" TargetMode="External"/><Relationship Id="rId1679" Type="http://schemas.openxmlformats.org/officeDocument/2006/relationships/hyperlink" Target="https://pbs.twimg.com/profile_images/544859440982151169/DsQDVGwn_normal.png" TargetMode="External"/><Relationship Id="rId849" Type="http://schemas.openxmlformats.org/officeDocument/2006/relationships/hyperlink" Target="https://twitter.com/diego_pacheco" TargetMode="External"/><Relationship Id="rId844" Type="http://schemas.openxmlformats.org/officeDocument/2006/relationships/hyperlink" Target="https://twitter.com/franckyvall/status/702838342614970368" TargetMode="External"/><Relationship Id="rId843" Type="http://schemas.openxmlformats.org/officeDocument/2006/relationships/hyperlink" Target="https://twitter.com/franckyvall" TargetMode="External"/><Relationship Id="rId842" Type="http://schemas.openxmlformats.org/officeDocument/2006/relationships/hyperlink" Target="https://pbs.twimg.com/profile_images/666280197767974912/07oN3R79_normal.jpg" TargetMode="External"/><Relationship Id="rId841" Type="http://schemas.openxmlformats.org/officeDocument/2006/relationships/hyperlink" Target="https://twitter.com/PeeBeen/status/702838166038978560" TargetMode="External"/><Relationship Id="rId848" Type="http://schemas.openxmlformats.org/officeDocument/2006/relationships/hyperlink" Target="https://abs.twimg.com/sticky/default_profile_images/default_profile_4_normal.png" TargetMode="External"/><Relationship Id="rId847" Type="http://schemas.openxmlformats.org/officeDocument/2006/relationships/hyperlink" Target="https://twitter.com/Pvalsfr/status/702838709130018816" TargetMode="External"/><Relationship Id="rId846" Type="http://schemas.openxmlformats.org/officeDocument/2006/relationships/hyperlink" Target="https://twitter.com/Pvalsfr" TargetMode="External"/><Relationship Id="rId845" Type="http://schemas.openxmlformats.org/officeDocument/2006/relationships/hyperlink" Target="https://pbs.twimg.com/profile_images/554752977441787904/2TvgWf0A_normal.jpeg" TargetMode="External"/><Relationship Id="rId1670" Type="http://schemas.openxmlformats.org/officeDocument/2006/relationships/hyperlink" Target="https://pbs.twimg.com/profile_images/529760930767192064/fyuauJpj_normal.jpeg" TargetMode="External"/><Relationship Id="rId840" Type="http://schemas.openxmlformats.org/officeDocument/2006/relationships/hyperlink" Target="https://twitter.com/PeeBeen" TargetMode="External"/><Relationship Id="rId1671" Type="http://schemas.openxmlformats.org/officeDocument/2006/relationships/hyperlink" Target="https://twitter.com/clayadavis" TargetMode="External"/><Relationship Id="rId1672" Type="http://schemas.openxmlformats.org/officeDocument/2006/relationships/hyperlink" Target="https://twitter.com/clayadavis/status/702875314226143233" TargetMode="External"/><Relationship Id="rId1673" Type="http://schemas.openxmlformats.org/officeDocument/2006/relationships/hyperlink" Target="https://pbs.twimg.com/profile_images/378800000050180676/dc89d6080894c83755adfcdb8ded31d5_normal.jpeg" TargetMode="External"/><Relationship Id="rId1674" Type="http://schemas.openxmlformats.org/officeDocument/2006/relationships/hyperlink" Target="https://twitter.com/MRBrandonGibson" TargetMode="External"/><Relationship Id="rId1664" Type="http://schemas.openxmlformats.org/officeDocument/2006/relationships/hyperlink" Target="https://pbs.twimg.com/profile_images/3312468366/129323224633d71286101d517a2f9817_normal.png" TargetMode="External"/><Relationship Id="rId2995" Type="http://schemas.openxmlformats.org/officeDocument/2006/relationships/hyperlink" Target="https://twitter.com/NowLivecodingtv/status/702933376429223936" TargetMode="External"/><Relationship Id="rId1665" Type="http://schemas.openxmlformats.org/officeDocument/2006/relationships/hyperlink" Target="https://twitter.com/maxscgo" TargetMode="External"/><Relationship Id="rId2996" Type="http://schemas.openxmlformats.org/officeDocument/2006/relationships/hyperlink" Target="https://pbs.twimg.com/profile_images/699984077877874688/aR2ovqId_normal.png" TargetMode="External"/><Relationship Id="rId1666" Type="http://schemas.openxmlformats.org/officeDocument/2006/relationships/hyperlink" Target="https://twitter.com/maxscgo/status/702875163495374848" TargetMode="External"/><Relationship Id="rId2997" Type="http://schemas.openxmlformats.org/officeDocument/2006/relationships/hyperlink" Target="https://twitter.com/NowLivecodingtv" TargetMode="External"/><Relationship Id="rId1667" Type="http://schemas.openxmlformats.org/officeDocument/2006/relationships/hyperlink" Target="https://pbs.twimg.com/profile_images/560628288822190080/CBwdgEmJ_normal.jpeg" TargetMode="External"/><Relationship Id="rId2998" Type="http://schemas.openxmlformats.org/officeDocument/2006/relationships/hyperlink" Target="https://twitter.com/NowLivecodingtv/status/702933386763988992" TargetMode="External"/><Relationship Id="rId1668" Type="http://schemas.openxmlformats.org/officeDocument/2006/relationships/hyperlink" Target="https://twitter.com/diek007" TargetMode="External"/><Relationship Id="rId2999" Type="http://schemas.openxmlformats.org/officeDocument/2006/relationships/hyperlink" Target="https://pbs.twimg.com/profile_images/699984077877874688/aR2ovqId_normal.png" TargetMode="External"/><Relationship Id="rId1669" Type="http://schemas.openxmlformats.org/officeDocument/2006/relationships/hyperlink" Target="https://twitter.com/diek007/status/702875292528984065" TargetMode="External"/><Relationship Id="rId839" Type="http://schemas.openxmlformats.org/officeDocument/2006/relationships/hyperlink" Target="https://pbs.twimg.com/profile_images/631721808509579264/Vg4qsQuT_normal.jpg" TargetMode="External"/><Relationship Id="rId838" Type="http://schemas.openxmlformats.org/officeDocument/2006/relationships/hyperlink" Target="https://twitter.com/SarkarEllora/status/702837996706537472" TargetMode="External"/><Relationship Id="rId833" Type="http://schemas.openxmlformats.org/officeDocument/2006/relationships/hyperlink" Target="https://pbs.twimg.com/profile_images/686377891911745536/AQFu2YWO_normal.png" TargetMode="External"/><Relationship Id="rId832" Type="http://schemas.openxmlformats.org/officeDocument/2006/relationships/hyperlink" Target="https://twitter.com/tdsnet2015/status/702835960602501122" TargetMode="External"/><Relationship Id="rId831" Type="http://schemas.openxmlformats.org/officeDocument/2006/relationships/hyperlink" Target="https://twitter.com/tdsnet2015" TargetMode="External"/><Relationship Id="rId830" Type="http://schemas.openxmlformats.org/officeDocument/2006/relationships/hyperlink" Target="https://pbs.twimg.com/profile_images/452064440687423488/nbwrKTwP_normal.jpeg" TargetMode="External"/><Relationship Id="rId837" Type="http://schemas.openxmlformats.org/officeDocument/2006/relationships/hyperlink" Target="https://twitter.com/SarkarEllora" TargetMode="External"/><Relationship Id="rId836" Type="http://schemas.openxmlformats.org/officeDocument/2006/relationships/hyperlink" Target="https://pbs.twimg.com/profile_images/414665160217739264/Vjqlxhz8_normal.jpeg" TargetMode="External"/><Relationship Id="rId835" Type="http://schemas.openxmlformats.org/officeDocument/2006/relationships/hyperlink" Target="https://twitter.com/walkops/status/702837504400031744" TargetMode="External"/><Relationship Id="rId834" Type="http://schemas.openxmlformats.org/officeDocument/2006/relationships/hyperlink" Target="https://twitter.com/walkops" TargetMode="External"/><Relationship Id="rId2990" Type="http://schemas.openxmlformats.org/officeDocument/2006/relationships/hyperlink" Target="https://pbs.twimg.com/profile_images/699984077877874688/aR2ovqId_normal.png" TargetMode="External"/><Relationship Id="rId1660" Type="http://schemas.openxmlformats.org/officeDocument/2006/relationships/hyperlink" Target="https://pbs.twimg.com/profile_images/560628288822190080/CBwdgEmJ_normal.jpeg" TargetMode="External"/><Relationship Id="rId2991" Type="http://schemas.openxmlformats.org/officeDocument/2006/relationships/hyperlink" Target="https://twitter.com/NowLivecodingtv" TargetMode="External"/><Relationship Id="rId1661" Type="http://schemas.openxmlformats.org/officeDocument/2006/relationships/hyperlink" Target="https://twitter.com/RealPython" TargetMode="External"/><Relationship Id="rId2992" Type="http://schemas.openxmlformats.org/officeDocument/2006/relationships/hyperlink" Target="https://twitter.com/NowLivecodingtv/status/702933371362488320" TargetMode="External"/><Relationship Id="rId1662" Type="http://schemas.openxmlformats.org/officeDocument/2006/relationships/hyperlink" Target="http://RealPython.com" TargetMode="External"/><Relationship Id="rId2993" Type="http://schemas.openxmlformats.org/officeDocument/2006/relationships/hyperlink" Target="https://pbs.twimg.com/profile_images/699984077877874688/aR2ovqId_normal.png" TargetMode="External"/><Relationship Id="rId1663" Type="http://schemas.openxmlformats.org/officeDocument/2006/relationships/hyperlink" Target="https://twitter.com/RealPython/status/702875109246173184" TargetMode="External"/><Relationship Id="rId2994" Type="http://schemas.openxmlformats.org/officeDocument/2006/relationships/hyperlink" Target="https://twitter.com/NowLivecodingtv" TargetMode="External"/><Relationship Id="rId6506" Type="http://schemas.openxmlformats.org/officeDocument/2006/relationships/hyperlink" Target="https://pbs.twimg.com/profile_images/560084587695464448/8_l2_2Iw_normal.jpeg" TargetMode="External"/><Relationship Id="rId7838" Type="http://schemas.openxmlformats.org/officeDocument/2006/relationships/hyperlink" Target="https://pbs.twimg.com/profile_images/2813636657/599521f69e2bc210a57323b64d8e39e6_normal.jpeg" TargetMode="External"/><Relationship Id="rId6507" Type="http://schemas.openxmlformats.org/officeDocument/2006/relationships/hyperlink" Target="https://twitter.com/Wroclaw2016es" TargetMode="External"/><Relationship Id="rId7837" Type="http://schemas.openxmlformats.org/officeDocument/2006/relationships/hyperlink" Target="http://dlvr.it" TargetMode="External"/><Relationship Id="rId6504" Type="http://schemas.openxmlformats.org/officeDocument/2006/relationships/hyperlink" Target="https://twitter.com/MyMoano" TargetMode="External"/><Relationship Id="rId7836" Type="http://schemas.openxmlformats.org/officeDocument/2006/relationships/hyperlink" Target="https://twitter.com/artwisanggeni/status/703209207403663360" TargetMode="External"/><Relationship Id="rId6505" Type="http://schemas.openxmlformats.org/officeDocument/2006/relationships/hyperlink" Target="https://twitter.com/MyMoano/status/703125273588334592" TargetMode="External"/><Relationship Id="rId7835" Type="http://schemas.openxmlformats.org/officeDocument/2006/relationships/hyperlink" Target="https://twitter.com/artwisanggeni" TargetMode="External"/><Relationship Id="rId6508" Type="http://schemas.openxmlformats.org/officeDocument/2006/relationships/hyperlink" Target="https://twitter.com/Wroclaw2016es/status/703125306719121408" TargetMode="External"/><Relationship Id="rId6509" Type="http://schemas.openxmlformats.org/officeDocument/2006/relationships/hyperlink" Target="https://pbs.twimg.com/profile_images/616266655602184192/H__frPAp_normal.jpg" TargetMode="External"/><Relationship Id="rId7839" Type="http://schemas.openxmlformats.org/officeDocument/2006/relationships/hyperlink" Target="https://twitter.com/artwisanggeni" TargetMode="External"/><Relationship Id="rId7830" Type="http://schemas.openxmlformats.org/officeDocument/2006/relationships/hyperlink" Target="https://pbs.twimg.com/profile_images/2813636657/599521f69e2bc210a57323b64d8e39e6_normal.jpeg" TargetMode="External"/><Relationship Id="rId6502" Type="http://schemas.openxmlformats.org/officeDocument/2006/relationships/hyperlink" Target="https://twitter.com/a_hartikainen/status/703125130336075776" TargetMode="External"/><Relationship Id="rId7834" Type="http://schemas.openxmlformats.org/officeDocument/2006/relationships/hyperlink" Target="https://pbs.twimg.com/profile_images/2813636657/599521f69e2bc210a57323b64d8e39e6_normal.jpeg" TargetMode="External"/><Relationship Id="rId6503" Type="http://schemas.openxmlformats.org/officeDocument/2006/relationships/hyperlink" Target="https://abs.twimg.com/sticky/default_profile_images/default_profile_1_normal.png" TargetMode="External"/><Relationship Id="rId7833" Type="http://schemas.openxmlformats.org/officeDocument/2006/relationships/hyperlink" Target="http://dlvr.it" TargetMode="External"/><Relationship Id="rId6500" Type="http://schemas.openxmlformats.org/officeDocument/2006/relationships/hyperlink" Target="https://pbs.twimg.com/profile_images/692420104462700544/lzD8ftgI_normal.png" TargetMode="External"/><Relationship Id="rId7832" Type="http://schemas.openxmlformats.org/officeDocument/2006/relationships/hyperlink" Target="https://twitter.com/artwisanggeni/status/703209202886422528" TargetMode="External"/><Relationship Id="rId6501" Type="http://schemas.openxmlformats.org/officeDocument/2006/relationships/hyperlink" Target="https://twitter.com/a_hartikainen" TargetMode="External"/><Relationship Id="rId7831" Type="http://schemas.openxmlformats.org/officeDocument/2006/relationships/hyperlink" Target="https://twitter.com/artwisanggeni" TargetMode="External"/><Relationship Id="rId7827" Type="http://schemas.openxmlformats.org/officeDocument/2006/relationships/hyperlink" Target="https://twitter.com/artwisanggeni" TargetMode="External"/><Relationship Id="rId7826" Type="http://schemas.openxmlformats.org/officeDocument/2006/relationships/hyperlink" Target="https://pbs.twimg.com/profile_images/2813636657/599521f69e2bc210a57323b64d8e39e6_normal.jpeg" TargetMode="External"/><Relationship Id="rId7825" Type="http://schemas.openxmlformats.org/officeDocument/2006/relationships/hyperlink" Target="http://dlvr.it" TargetMode="External"/><Relationship Id="rId7824" Type="http://schemas.openxmlformats.org/officeDocument/2006/relationships/hyperlink" Target="https://twitter.com/artwisanggeni/status/703209196624293888" TargetMode="External"/><Relationship Id="rId7829" Type="http://schemas.openxmlformats.org/officeDocument/2006/relationships/hyperlink" Target="http://dlvr.it" TargetMode="External"/><Relationship Id="rId7828" Type="http://schemas.openxmlformats.org/officeDocument/2006/relationships/hyperlink" Target="https://twitter.com/artwisanggeni/status/703209200067833856" TargetMode="External"/><Relationship Id="rId7823" Type="http://schemas.openxmlformats.org/officeDocument/2006/relationships/hyperlink" Target="https://twitter.com/artwisanggeni" TargetMode="External"/><Relationship Id="rId7822" Type="http://schemas.openxmlformats.org/officeDocument/2006/relationships/hyperlink" Target="https://pbs.twimg.com/profile_images/2474433856/p075cerxh0arpea6ceip_normal.png" TargetMode="External"/><Relationship Id="rId7821" Type="http://schemas.openxmlformats.org/officeDocument/2006/relationships/hyperlink" Target="https://twitter.com/py3k/status/703208711158931458" TargetMode="External"/><Relationship Id="rId7820" Type="http://schemas.openxmlformats.org/officeDocument/2006/relationships/hyperlink" Target="https://twitter.com/py3k" TargetMode="External"/><Relationship Id="rId6528" Type="http://schemas.openxmlformats.org/officeDocument/2006/relationships/hyperlink" Target="https://twitter.com/SemanticEarth" TargetMode="External"/><Relationship Id="rId6529" Type="http://schemas.openxmlformats.org/officeDocument/2006/relationships/hyperlink" Target="http://semanticearth.com" TargetMode="External"/><Relationship Id="rId7859" Type="http://schemas.openxmlformats.org/officeDocument/2006/relationships/hyperlink" Target="https://twitter.com/artwisanggeni" TargetMode="External"/><Relationship Id="rId6526" Type="http://schemas.openxmlformats.org/officeDocument/2006/relationships/hyperlink" Target="https://twitter.com/aburgool/status/703126641115959296" TargetMode="External"/><Relationship Id="rId7858" Type="http://schemas.openxmlformats.org/officeDocument/2006/relationships/hyperlink" Target="https://pbs.twimg.com/profile_images/2813636657/599521f69e2bc210a57323b64d8e39e6_normal.jpeg" TargetMode="External"/><Relationship Id="rId6527" Type="http://schemas.openxmlformats.org/officeDocument/2006/relationships/hyperlink" Target="https://pbs.twimg.com/profile_images/3307934126/f430733c3c365c583819174a84dc59b2_normal.jpeg" TargetMode="External"/><Relationship Id="rId7857" Type="http://schemas.openxmlformats.org/officeDocument/2006/relationships/hyperlink" Target="http://dlvr.it" TargetMode="External"/><Relationship Id="rId6520" Type="http://schemas.openxmlformats.org/officeDocument/2006/relationships/hyperlink" Target="https://twitter.com/Pvalsfr/status/703126453701849088" TargetMode="External"/><Relationship Id="rId7852" Type="http://schemas.openxmlformats.org/officeDocument/2006/relationships/hyperlink" Target="https://twitter.com/artwisanggeni/status/703209219105824768" TargetMode="External"/><Relationship Id="rId6521" Type="http://schemas.openxmlformats.org/officeDocument/2006/relationships/hyperlink" Target="https://abs.twimg.com/sticky/default_profile_images/default_profile_4_normal.png" TargetMode="External"/><Relationship Id="rId7851" Type="http://schemas.openxmlformats.org/officeDocument/2006/relationships/hyperlink" Target="https://twitter.com/artwisanggeni" TargetMode="External"/><Relationship Id="rId7850" Type="http://schemas.openxmlformats.org/officeDocument/2006/relationships/hyperlink" Target="https://pbs.twimg.com/profile_images/2813636657/599521f69e2bc210a57323b64d8e39e6_normal.jpeg" TargetMode="External"/><Relationship Id="rId6524" Type="http://schemas.openxmlformats.org/officeDocument/2006/relationships/hyperlink" Target="https://pbs.twimg.com/profile_images/685472404039012352/b2J0JwJq_normal.jpg" TargetMode="External"/><Relationship Id="rId7856" Type="http://schemas.openxmlformats.org/officeDocument/2006/relationships/hyperlink" Target="https://twitter.com/artwisanggeni/status/703209222381506560" TargetMode="External"/><Relationship Id="rId6525" Type="http://schemas.openxmlformats.org/officeDocument/2006/relationships/hyperlink" Target="https://twitter.com/aburgool" TargetMode="External"/><Relationship Id="rId7855" Type="http://schemas.openxmlformats.org/officeDocument/2006/relationships/hyperlink" Target="https://twitter.com/artwisanggeni" TargetMode="External"/><Relationship Id="rId6522" Type="http://schemas.openxmlformats.org/officeDocument/2006/relationships/hyperlink" Target="https://twitter.com/pymudit" TargetMode="External"/><Relationship Id="rId7854" Type="http://schemas.openxmlformats.org/officeDocument/2006/relationships/hyperlink" Target="https://pbs.twimg.com/profile_images/2813636657/599521f69e2bc210a57323b64d8e39e6_normal.jpeg" TargetMode="External"/><Relationship Id="rId6523" Type="http://schemas.openxmlformats.org/officeDocument/2006/relationships/hyperlink" Target="https://twitter.com/pymudit/status/703126530193424384" TargetMode="External"/><Relationship Id="rId7853" Type="http://schemas.openxmlformats.org/officeDocument/2006/relationships/hyperlink" Target="http://dlvr.it" TargetMode="External"/><Relationship Id="rId6517" Type="http://schemas.openxmlformats.org/officeDocument/2006/relationships/hyperlink" Target="https://twitter.com/egmic/status/703126028084903936" TargetMode="External"/><Relationship Id="rId7849" Type="http://schemas.openxmlformats.org/officeDocument/2006/relationships/hyperlink" Target="http://dlvr.it" TargetMode="External"/><Relationship Id="rId6518" Type="http://schemas.openxmlformats.org/officeDocument/2006/relationships/hyperlink" Target="https://pbs.twimg.com/profile_images/646828785883475970/mondXKTV_normal.jpg" TargetMode="External"/><Relationship Id="rId7848" Type="http://schemas.openxmlformats.org/officeDocument/2006/relationships/hyperlink" Target="https://twitter.com/artwisanggeni/status/703209216564015104" TargetMode="External"/><Relationship Id="rId6515" Type="http://schemas.openxmlformats.org/officeDocument/2006/relationships/hyperlink" Target="https://pbs.twimg.com/profile_images/460456101872275456/CkMq_Dc0_normal.jpeg" TargetMode="External"/><Relationship Id="rId7847" Type="http://schemas.openxmlformats.org/officeDocument/2006/relationships/hyperlink" Target="https://twitter.com/artwisanggeni" TargetMode="External"/><Relationship Id="rId6516" Type="http://schemas.openxmlformats.org/officeDocument/2006/relationships/hyperlink" Target="https://twitter.com/egmic" TargetMode="External"/><Relationship Id="rId7846" Type="http://schemas.openxmlformats.org/officeDocument/2006/relationships/hyperlink" Target="https://pbs.twimg.com/profile_images/2813636657/599521f69e2bc210a57323b64d8e39e6_normal.jpeg" TargetMode="External"/><Relationship Id="rId6519" Type="http://schemas.openxmlformats.org/officeDocument/2006/relationships/hyperlink" Target="https://twitter.com/Pvalsfr" TargetMode="External"/><Relationship Id="rId7841" Type="http://schemas.openxmlformats.org/officeDocument/2006/relationships/hyperlink" Target="http://dlvr.it" TargetMode="External"/><Relationship Id="rId6510" Type="http://schemas.openxmlformats.org/officeDocument/2006/relationships/hyperlink" Target="https://twitter.com/steekhutzie" TargetMode="External"/><Relationship Id="rId7840" Type="http://schemas.openxmlformats.org/officeDocument/2006/relationships/hyperlink" Target="https://twitter.com/artwisanggeni/status/703209210318729217" TargetMode="External"/><Relationship Id="rId6513" Type="http://schemas.openxmlformats.org/officeDocument/2006/relationships/hyperlink" Target="https://twitter.com/n_vogel" TargetMode="External"/><Relationship Id="rId7845" Type="http://schemas.openxmlformats.org/officeDocument/2006/relationships/hyperlink" Target="http://dlvr.it" TargetMode="External"/><Relationship Id="rId6514" Type="http://schemas.openxmlformats.org/officeDocument/2006/relationships/hyperlink" Target="https://twitter.com/n_vogel/status/703125917686583296" TargetMode="External"/><Relationship Id="rId7844" Type="http://schemas.openxmlformats.org/officeDocument/2006/relationships/hyperlink" Target="https://twitter.com/artwisanggeni/status/703209213414125568" TargetMode="External"/><Relationship Id="rId6511" Type="http://schemas.openxmlformats.org/officeDocument/2006/relationships/hyperlink" Target="https://twitter.com/steekhutzie/status/703125548243881984" TargetMode="External"/><Relationship Id="rId7843" Type="http://schemas.openxmlformats.org/officeDocument/2006/relationships/hyperlink" Target="https://twitter.com/artwisanggeni" TargetMode="External"/><Relationship Id="rId6512" Type="http://schemas.openxmlformats.org/officeDocument/2006/relationships/hyperlink" Target="https://pbs.twimg.com/profile_images/559708281556320257/iqsAQPdE_normal.png" TargetMode="External"/><Relationship Id="rId7842" Type="http://schemas.openxmlformats.org/officeDocument/2006/relationships/hyperlink" Target="https://pbs.twimg.com/profile_images/2813636657/599521f69e2bc210a57323b64d8e39e6_normal.jpeg" TargetMode="External"/><Relationship Id="rId899" Type="http://schemas.openxmlformats.org/officeDocument/2006/relationships/hyperlink" Target="https://pbs.twimg.com/profile_images/2474433856/p075cerxh0arpea6ceip_normal.png" TargetMode="External"/><Relationship Id="rId898" Type="http://schemas.openxmlformats.org/officeDocument/2006/relationships/hyperlink" Target="https://twitter.com/py3k/status/702840975350218752" TargetMode="External"/><Relationship Id="rId897" Type="http://schemas.openxmlformats.org/officeDocument/2006/relationships/hyperlink" Target="https://twitter.com/py3k" TargetMode="External"/><Relationship Id="rId896" Type="http://schemas.openxmlformats.org/officeDocument/2006/relationships/hyperlink" Target="https://pbs.twimg.com/profile_images/578098320159051776/fZw6-_AW_normal.png" TargetMode="External"/><Relationship Id="rId891" Type="http://schemas.openxmlformats.org/officeDocument/2006/relationships/hyperlink" Target="https://twitter.com/mividriera" TargetMode="External"/><Relationship Id="rId890" Type="http://schemas.openxmlformats.org/officeDocument/2006/relationships/hyperlink" Target="https://pbs.twimg.com/profile_images/581037724787822593/wTfuZ2Sd_normal.png" TargetMode="External"/><Relationship Id="rId895" Type="http://schemas.openxmlformats.org/officeDocument/2006/relationships/hyperlink" Target="https://twitter.com/googletricks19/status/702840880663818240" TargetMode="External"/><Relationship Id="rId894" Type="http://schemas.openxmlformats.org/officeDocument/2006/relationships/hyperlink" Target="https://twitter.com/googletricks19" TargetMode="External"/><Relationship Id="rId893" Type="http://schemas.openxmlformats.org/officeDocument/2006/relationships/hyperlink" Target="https://pbs.twimg.com/profile_images/428348675165679616/hv3v-VrP_normal.png" TargetMode="External"/><Relationship Id="rId892" Type="http://schemas.openxmlformats.org/officeDocument/2006/relationships/hyperlink" Target="https://twitter.com/mividriera/status/702840479235203073" TargetMode="External"/><Relationship Id="rId7816" Type="http://schemas.openxmlformats.org/officeDocument/2006/relationships/hyperlink" Target="https://pbs.twimg.com/profile_images/572091631055028224/Pkx__FSB_normal.png" TargetMode="External"/><Relationship Id="rId7815" Type="http://schemas.openxmlformats.org/officeDocument/2006/relationships/hyperlink" Target="https://twitter.com/cool_python/status/703208388889616385" TargetMode="External"/><Relationship Id="rId7814" Type="http://schemas.openxmlformats.org/officeDocument/2006/relationships/hyperlink" Target="https://twitter.com/cool_python" TargetMode="External"/><Relationship Id="rId7813" Type="http://schemas.openxmlformats.org/officeDocument/2006/relationships/hyperlink" Target="https://pbs.twimg.com/profile_images/671706395159343105/Xm-m8zQo_normal.png" TargetMode="External"/><Relationship Id="rId7819" Type="http://schemas.openxmlformats.org/officeDocument/2006/relationships/hyperlink" Target="https://pbs.twimg.com/profile_images/3603678378/d31921cc439fde30d738966b1cf5232f_normal.jpeg" TargetMode="External"/><Relationship Id="rId7818" Type="http://schemas.openxmlformats.org/officeDocument/2006/relationships/hyperlink" Target="https://twitter.com/MarybethAnthon1/status/703208576580513792" TargetMode="External"/><Relationship Id="rId7817" Type="http://schemas.openxmlformats.org/officeDocument/2006/relationships/hyperlink" Target="https://twitter.com/MarybethAnthon1" TargetMode="External"/><Relationship Id="rId7812" Type="http://schemas.openxmlformats.org/officeDocument/2006/relationships/hyperlink" Target="https://twitter.com/FlavioCestari/status/703208288247267328" TargetMode="External"/><Relationship Id="rId7811" Type="http://schemas.openxmlformats.org/officeDocument/2006/relationships/hyperlink" Target="https://twitter.com/FlavioCestari" TargetMode="External"/><Relationship Id="rId7810" Type="http://schemas.openxmlformats.org/officeDocument/2006/relationships/hyperlink" Target="https://pbs.twimg.com/profile_images/3657364971/6983eed06fd54ab6ba7df87c649ecfcb_normal.jpeg" TargetMode="External"/><Relationship Id="rId7805" Type="http://schemas.openxmlformats.org/officeDocument/2006/relationships/hyperlink" Target="https://twitter.com/AyrtonPearcy" TargetMode="External"/><Relationship Id="rId7804" Type="http://schemas.openxmlformats.org/officeDocument/2006/relationships/hyperlink" Target="https://pbs.twimg.com/profile_images/533329217786626048/vLnQ_RbE_normal.jpeg" TargetMode="External"/><Relationship Id="rId7803" Type="http://schemas.openxmlformats.org/officeDocument/2006/relationships/hyperlink" Target="https://twitter.com/clauersen/status/703207768321343488" TargetMode="External"/><Relationship Id="rId7802" Type="http://schemas.openxmlformats.org/officeDocument/2006/relationships/hyperlink" Target="https://twitter.com/clauersen" TargetMode="External"/><Relationship Id="rId7809" Type="http://schemas.openxmlformats.org/officeDocument/2006/relationships/hyperlink" Target="https://twitter.com/PressleyMonk/status/703208077840015360" TargetMode="External"/><Relationship Id="rId7808" Type="http://schemas.openxmlformats.org/officeDocument/2006/relationships/hyperlink" Target="https://twitter.com/PressleyMonk" TargetMode="External"/><Relationship Id="rId7807" Type="http://schemas.openxmlformats.org/officeDocument/2006/relationships/hyperlink" Target="https://pbs.twimg.com/profile_images/3661786357/45b1e9f9f20ad575ae8eddf45e039ffd_normal.jpeg" TargetMode="External"/><Relationship Id="rId7806" Type="http://schemas.openxmlformats.org/officeDocument/2006/relationships/hyperlink" Target="https://twitter.com/AyrtonPearcy/status/703208037666922496" TargetMode="External"/><Relationship Id="rId7801" Type="http://schemas.openxmlformats.org/officeDocument/2006/relationships/hyperlink" Target="https://pbs.twimg.com/profile_images/575653847332356098/Dfr7g9pq_normal.png" TargetMode="External"/><Relationship Id="rId7800" Type="http://schemas.openxmlformats.org/officeDocument/2006/relationships/hyperlink" Target="https://twitter.com/SavandBros/status/703207681255837696" TargetMode="External"/></Relationships>
</file>

<file path=xl/worksheets/_rels/sheet2.xml.rels><?xml version="1.0" encoding="UTF-8" standalone="yes"?><Relationships xmlns="http://schemas.openxmlformats.org/package/2006/relationships"><Relationship Id="rId8309" Type="http://schemas.openxmlformats.org/officeDocument/2006/relationships/hyperlink" Target="http://r-bloggers.com" TargetMode="External"/><Relationship Id="rId8308" Type="http://schemas.openxmlformats.org/officeDocument/2006/relationships/hyperlink" Target="https://twitter.com/Rbloggers/status/703121142375018496" TargetMode="External"/><Relationship Id="rId8303" Type="http://schemas.openxmlformats.org/officeDocument/2006/relationships/hyperlink" Target="https://pbs.twimg.com/profile_images/669756692704460801/uqOCInoz_normal.jpg" TargetMode="External"/><Relationship Id="rId8302" Type="http://schemas.openxmlformats.org/officeDocument/2006/relationships/hyperlink" Target="https://twitter.com/matlabulous/status/703119582408503296" TargetMode="External"/><Relationship Id="rId8301" Type="http://schemas.openxmlformats.org/officeDocument/2006/relationships/hyperlink" Target="https://twitter.com/matlabulous" TargetMode="External"/><Relationship Id="rId8300" Type="http://schemas.openxmlformats.org/officeDocument/2006/relationships/hyperlink" Target="https://pbs.twimg.com/profile_images/604610090524680194/vlnzA1ph_normal.jpg" TargetMode="External"/><Relationship Id="rId8307" Type="http://schemas.openxmlformats.org/officeDocument/2006/relationships/hyperlink" Target="https://twitter.com/Rbloggers" TargetMode="External"/><Relationship Id="rId8306" Type="http://schemas.openxmlformats.org/officeDocument/2006/relationships/hyperlink" Target="https://pbs.twimg.com/profile_images/702211756215681026/mpxVqBJb_normal.png" TargetMode="External"/><Relationship Id="rId8305" Type="http://schemas.openxmlformats.org/officeDocument/2006/relationships/hyperlink" Target="https://twitter.com/genrmiranda/status/703120347378266113" TargetMode="External"/><Relationship Id="rId8304" Type="http://schemas.openxmlformats.org/officeDocument/2006/relationships/hyperlink" Target="https://twitter.com/genrmiranda" TargetMode="External"/><Relationship Id="rId2180" Type="http://schemas.openxmlformats.org/officeDocument/2006/relationships/hyperlink" Target="https://twitter.com/pa_marais" TargetMode="External"/><Relationship Id="rId2181" Type="http://schemas.openxmlformats.org/officeDocument/2006/relationships/hyperlink" Target="https://twitter.com/pa_marais/status/701849104012414976" TargetMode="External"/><Relationship Id="rId2182" Type="http://schemas.openxmlformats.org/officeDocument/2006/relationships/hyperlink" Target="https://pbs.twimg.com/profile_images/568067400809984000/MXrq4e8A_normal.jpeg" TargetMode="External"/><Relationship Id="rId2183" Type="http://schemas.openxmlformats.org/officeDocument/2006/relationships/hyperlink" Target="https://twitter.com/webAnalyste" TargetMode="External"/><Relationship Id="rId2184" Type="http://schemas.openxmlformats.org/officeDocument/2006/relationships/hyperlink" Target="https://twitter.com/webAnalyste/status/701849270882848768" TargetMode="External"/><Relationship Id="rId2185" Type="http://schemas.openxmlformats.org/officeDocument/2006/relationships/hyperlink" Target="https://pbs.twimg.com/profile_images/667208670560784384/TZNC6QFj_normal.png" TargetMode="External"/><Relationship Id="rId2186" Type="http://schemas.openxmlformats.org/officeDocument/2006/relationships/hyperlink" Target="https://twitter.com/AndreaCirilloAC" TargetMode="External"/><Relationship Id="rId2187" Type="http://schemas.openxmlformats.org/officeDocument/2006/relationships/hyperlink" Target="https://twitter.com/AndreaCirilloAC/status/701849605022097408" TargetMode="External"/><Relationship Id="rId2188" Type="http://schemas.openxmlformats.org/officeDocument/2006/relationships/hyperlink" Target="https://pbs.twimg.com/profile_images/640813034697588737/zLd0ZG5c_normal.jpg" TargetMode="External"/><Relationship Id="rId2189" Type="http://schemas.openxmlformats.org/officeDocument/2006/relationships/hyperlink" Target="https://twitter.com/anuj8187" TargetMode="External"/><Relationship Id="rId2170" Type="http://schemas.openxmlformats.org/officeDocument/2006/relationships/hyperlink" Target="https://twitter.com/STAT545" TargetMode="External"/><Relationship Id="rId2171" Type="http://schemas.openxmlformats.org/officeDocument/2006/relationships/hyperlink" Target="https://twitter.com/STAT545/status/701848975016497152" TargetMode="External"/><Relationship Id="rId2172" Type="http://schemas.openxmlformats.org/officeDocument/2006/relationships/hyperlink" Target="https://pbs.twimg.com/profile_images/506894311955243008/0D63lczz_normal.png" TargetMode="External"/><Relationship Id="rId2173" Type="http://schemas.openxmlformats.org/officeDocument/2006/relationships/hyperlink" Target="https://twitter.com/Rbloggers" TargetMode="External"/><Relationship Id="rId2174" Type="http://schemas.openxmlformats.org/officeDocument/2006/relationships/hyperlink" Target="https://twitter.com/Rbloggers/status/701848995472101376" TargetMode="External"/><Relationship Id="rId2175" Type="http://schemas.openxmlformats.org/officeDocument/2006/relationships/hyperlink" Target="http://r-bloggers.com" TargetMode="External"/><Relationship Id="rId2176" Type="http://schemas.openxmlformats.org/officeDocument/2006/relationships/hyperlink" Target="https://pbs.twimg.com/profile_images/502185985786916864/gkdFh-q7_normal.png" TargetMode="External"/><Relationship Id="rId2177" Type="http://schemas.openxmlformats.org/officeDocument/2006/relationships/hyperlink" Target="https://twitter.com/adamgreatkind" TargetMode="External"/><Relationship Id="rId2178" Type="http://schemas.openxmlformats.org/officeDocument/2006/relationships/hyperlink" Target="https://twitter.com/adamgreatkind/status/701849075415654400" TargetMode="External"/><Relationship Id="rId2179" Type="http://schemas.openxmlformats.org/officeDocument/2006/relationships/hyperlink" Target="https://pbs.twimg.com/profile_images/474603883986042880/RQ69FsUd_normal.jpeg" TargetMode="External"/><Relationship Id="rId2190" Type="http://schemas.openxmlformats.org/officeDocument/2006/relationships/hyperlink" Target="https://twitter.com/anuj8187/status/701849653923348480" TargetMode="External"/><Relationship Id="rId2191" Type="http://schemas.openxmlformats.org/officeDocument/2006/relationships/hyperlink" Target="https://pbs.twimg.com/profile_images/699683368871407621/adaxvDuC_normal.jpg" TargetMode="External"/><Relationship Id="rId2192" Type="http://schemas.openxmlformats.org/officeDocument/2006/relationships/hyperlink" Target="https://twitter.com/chipoglesby" TargetMode="External"/><Relationship Id="rId2193" Type="http://schemas.openxmlformats.org/officeDocument/2006/relationships/hyperlink" Target="https://twitter.com/chipoglesby/status/701850997094617088" TargetMode="External"/><Relationship Id="rId2194" Type="http://schemas.openxmlformats.org/officeDocument/2006/relationships/hyperlink" Target="https://pbs.twimg.com/profile_images/378800000426064884/59f670b596d2d01d161e1ab52292f391_normal.jpeg" TargetMode="External"/><Relationship Id="rId2195" Type="http://schemas.openxmlformats.org/officeDocument/2006/relationships/hyperlink" Target="https://twitter.com/Rbloggers" TargetMode="External"/><Relationship Id="rId2196" Type="http://schemas.openxmlformats.org/officeDocument/2006/relationships/hyperlink" Target="https://twitter.com/Rbloggers/status/701851493767352320" TargetMode="External"/><Relationship Id="rId2197" Type="http://schemas.openxmlformats.org/officeDocument/2006/relationships/hyperlink" Target="http://r-bloggers.com" TargetMode="External"/><Relationship Id="rId2198" Type="http://schemas.openxmlformats.org/officeDocument/2006/relationships/hyperlink" Target="https://pbs.twimg.com/profile_images/502185985786916864/gkdFh-q7_normal.png" TargetMode="External"/><Relationship Id="rId2199" Type="http://schemas.openxmlformats.org/officeDocument/2006/relationships/hyperlink" Target="https://twitter.com/JeanGobin" TargetMode="External"/><Relationship Id="rId7030" Type="http://schemas.openxmlformats.org/officeDocument/2006/relationships/hyperlink" Target="https://twitter.com/mattgarciablitz" TargetMode="External"/><Relationship Id="rId8361" Type="http://schemas.openxmlformats.org/officeDocument/2006/relationships/hyperlink" Target="https://pbs.twimg.com/profile_images/411845409284161536/vhIg-rTL_normal.jpeg" TargetMode="External"/><Relationship Id="rId8360" Type="http://schemas.openxmlformats.org/officeDocument/2006/relationships/hyperlink" Target="https://twitter.com/southmapr/status/703131848965115907" TargetMode="External"/><Relationship Id="rId7034" Type="http://schemas.openxmlformats.org/officeDocument/2006/relationships/hyperlink" Target="https://twitter.com/mattgarciablitz/status/702915376980611072" TargetMode="External"/><Relationship Id="rId8365" Type="http://schemas.openxmlformats.org/officeDocument/2006/relationships/hyperlink" Target="https://twitter.com/homeAIinfo" TargetMode="External"/><Relationship Id="rId7033" Type="http://schemas.openxmlformats.org/officeDocument/2006/relationships/hyperlink" Target="https://twitter.com/mattgarciablitz" TargetMode="External"/><Relationship Id="rId8364" Type="http://schemas.openxmlformats.org/officeDocument/2006/relationships/hyperlink" Target="https://pbs.twimg.com/profile_images/631084586940899328/_W1qQMW4_normal.jpg" TargetMode="External"/><Relationship Id="rId7032" Type="http://schemas.openxmlformats.org/officeDocument/2006/relationships/hyperlink" Target="https://pbs.twimg.com/profile_images/697893416487821312/fzhlecJG_normal.jpg" TargetMode="External"/><Relationship Id="rId8363" Type="http://schemas.openxmlformats.org/officeDocument/2006/relationships/hyperlink" Target="https://twitter.com/Harald_U/status/703132415410110464" TargetMode="External"/><Relationship Id="rId7031" Type="http://schemas.openxmlformats.org/officeDocument/2006/relationships/hyperlink" Target="https://twitter.com/mattgarciablitz/status/702914413670621184" TargetMode="External"/><Relationship Id="rId8362" Type="http://schemas.openxmlformats.org/officeDocument/2006/relationships/hyperlink" Target="https://twitter.com/Harald_U" TargetMode="External"/><Relationship Id="rId7038" Type="http://schemas.openxmlformats.org/officeDocument/2006/relationships/hyperlink" Target="https://pbs.twimg.com/profile_images/569897498613796864/yWJfLIa2_normal.png" TargetMode="External"/><Relationship Id="rId8369" Type="http://schemas.openxmlformats.org/officeDocument/2006/relationships/hyperlink" Target="https://twitter.com/dauwevercamer/status/703135004478406658" TargetMode="External"/><Relationship Id="rId7037" Type="http://schemas.openxmlformats.org/officeDocument/2006/relationships/hyperlink" Target="https://twitter.com/TonyLFreitas/status/702915491128594432" TargetMode="External"/><Relationship Id="rId8368" Type="http://schemas.openxmlformats.org/officeDocument/2006/relationships/hyperlink" Target="https://twitter.com/dauwevercamer" TargetMode="External"/><Relationship Id="rId7036" Type="http://schemas.openxmlformats.org/officeDocument/2006/relationships/hyperlink" Target="https://twitter.com/TonyLFreitas" TargetMode="External"/><Relationship Id="rId8367" Type="http://schemas.openxmlformats.org/officeDocument/2006/relationships/hyperlink" Target="https://pbs.twimg.com/profile_images/645650110374936580/-oQakt8x_normal.png" TargetMode="External"/><Relationship Id="rId7035" Type="http://schemas.openxmlformats.org/officeDocument/2006/relationships/hyperlink" Target="https://pbs.twimg.com/profile_images/697893416487821312/fzhlecJG_normal.jpg" TargetMode="External"/><Relationship Id="rId8366" Type="http://schemas.openxmlformats.org/officeDocument/2006/relationships/hyperlink" Target="https://twitter.com/homeAIinfo/status/703132415871492098" TargetMode="External"/><Relationship Id="rId7039" Type="http://schemas.openxmlformats.org/officeDocument/2006/relationships/hyperlink" Target="https://twitter.com/oengels" TargetMode="External"/><Relationship Id="rId8350" Type="http://schemas.openxmlformats.org/officeDocument/2006/relationships/hyperlink" Target="https://twitter.com/CRANberriesFeed" TargetMode="External"/><Relationship Id="rId7023" Type="http://schemas.openxmlformats.org/officeDocument/2006/relationships/hyperlink" Target="https://twitter.com/vijaybarve" TargetMode="External"/><Relationship Id="rId8354" Type="http://schemas.openxmlformats.org/officeDocument/2006/relationships/hyperlink" Target="https://twitter.com/CRANberriesFeed/status/703130837353508865" TargetMode="External"/><Relationship Id="rId7022" Type="http://schemas.openxmlformats.org/officeDocument/2006/relationships/hyperlink" Target="https://pbs.twimg.com/profile_images/695113131996000257/6lCD2aYC_normal.jpg" TargetMode="External"/><Relationship Id="rId8353" Type="http://schemas.openxmlformats.org/officeDocument/2006/relationships/hyperlink" Target="https://twitter.com/CRANberriesFeed" TargetMode="External"/><Relationship Id="rId7021" Type="http://schemas.openxmlformats.org/officeDocument/2006/relationships/hyperlink" Target="https://twitter.com/maxtriba/status/702912900462022656" TargetMode="External"/><Relationship Id="rId8352" Type="http://schemas.openxmlformats.org/officeDocument/2006/relationships/hyperlink" Target="https://pbs.twimg.com/profile_images/1222779560/cran1_normal.jpg" TargetMode="External"/><Relationship Id="rId7020" Type="http://schemas.openxmlformats.org/officeDocument/2006/relationships/hyperlink" Target="https://twitter.com/maxtriba" TargetMode="External"/><Relationship Id="rId8351" Type="http://schemas.openxmlformats.org/officeDocument/2006/relationships/hyperlink" Target="https://twitter.com/CRANberriesFeed/status/703130796652007424" TargetMode="External"/><Relationship Id="rId7027" Type="http://schemas.openxmlformats.org/officeDocument/2006/relationships/hyperlink" Target="https://twitter.com/MangoTheCat" TargetMode="External"/><Relationship Id="rId8358" Type="http://schemas.openxmlformats.org/officeDocument/2006/relationships/hyperlink" Target="https://pbs.twimg.com/profile_images/1222779560/cran1_normal.jpg" TargetMode="External"/><Relationship Id="rId7026" Type="http://schemas.openxmlformats.org/officeDocument/2006/relationships/hyperlink" Target="https://pbs.twimg.com/profile_images/59791919/vb_normal.JPG" TargetMode="External"/><Relationship Id="rId8357" Type="http://schemas.openxmlformats.org/officeDocument/2006/relationships/hyperlink" Target="https://twitter.com/CRANberriesFeed/status/703130840704774146" TargetMode="External"/><Relationship Id="rId7025" Type="http://schemas.openxmlformats.org/officeDocument/2006/relationships/hyperlink" Target="https://t.co/z9g9Wy3VLU" TargetMode="External"/><Relationship Id="rId8356" Type="http://schemas.openxmlformats.org/officeDocument/2006/relationships/hyperlink" Target="https://twitter.com/CRANberriesFeed" TargetMode="External"/><Relationship Id="rId7024" Type="http://schemas.openxmlformats.org/officeDocument/2006/relationships/hyperlink" Target="https://twitter.com/vijaybarve/status/702913214187700224" TargetMode="External"/><Relationship Id="rId8355" Type="http://schemas.openxmlformats.org/officeDocument/2006/relationships/hyperlink" Target="https://pbs.twimg.com/profile_images/1222779560/cran1_normal.jpg" TargetMode="External"/><Relationship Id="rId7029" Type="http://schemas.openxmlformats.org/officeDocument/2006/relationships/hyperlink" Target="https://pbs.twimg.com/profile_images/641183991077445633/V7VcBpJI_normal.png" TargetMode="External"/><Relationship Id="rId7028" Type="http://schemas.openxmlformats.org/officeDocument/2006/relationships/hyperlink" Target="https://twitter.com/MangoTheCat/status/702913423047335937" TargetMode="External"/><Relationship Id="rId8359" Type="http://schemas.openxmlformats.org/officeDocument/2006/relationships/hyperlink" Target="https://twitter.com/southmapr" TargetMode="External"/><Relationship Id="rId8390" Type="http://schemas.openxmlformats.org/officeDocument/2006/relationships/hyperlink" Target="https://twitter.com/OlegR" TargetMode="External"/><Relationship Id="rId7052" Type="http://schemas.openxmlformats.org/officeDocument/2006/relationships/hyperlink" Target="https://twitter.com/WebScraperDB/status/702919055242616832" TargetMode="External"/><Relationship Id="rId8383" Type="http://schemas.openxmlformats.org/officeDocument/2006/relationships/hyperlink" Target="https://pbs.twimg.com/profile_images/378800000571333500/fd0fb6e42b10401e0530869924ffae10_normal.jpeg" TargetMode="External"/><Relationship Id="rId7051" Type="http://schemas.openxmlformats.org/officeDocument/2006/relationships/hyperlink" Target="https://twitter.com/WebScraperDB" TargetMode="External"/><Relationship Id="rId8382" Type="http://schemas.openxmlformats.org/officeDocument/2006/relationships/hyperlink" Target="http://WordPress.com" TargetMode="External"/><Relationship Id="rId7050" Type="http://schemas.openxmlformats.org/officeDocument/2006/relationships/hyperlink" Target="https://pbs.twimg.com/profile_images/629100002393108480/Tsus6Sd6_normal.jpg" TargetMode="External"/><Relationship Id="rId8381" Type="http://schemas.openxmlformats.org/officeDocument/2006/relationships/hyperlink" Target="https://twitter.com/ScientificGems/status/703139457713590273" TargetMode="External"/><Relationship Id="rId8380" Type="http://schemas.openxmlformats.org/officeDocument/2006/relationships/hyperlink" Target="https://twitter.com/ScientificGems" TargetMode="External"/><Relationship Id="rId7056" Type="http://schemas.openxmlformats.org/officeDocument/2006/relationships/hyperlink" Target="https://pbs.twimg.com/profile_images/1222779560/cran1_normal.jpg" TargetMode="External"/><Relationship Id="rId8387" Type="http://schemas.openxmlformats.org/officeDocument/2006/relationships/hyperlink" Target="https://twitter.com/TrineBekkby" TargetMode="External"/><Relationship Id="rId7055" Type="http://schemas.openxmlformats.org/officeDocument/2006/relationships/hyperlink" Target="https://twitter.com/CRANberriesFeed/status/702919435737309184" TargetMode="External"/><Relationship Id="rId8386" Type="http://schemas.openxmlformats.org/officeDocument/2006/relationships/hyperlink" Target="https://pbs.twimg.com/profile_images/378800000401110118/70dd24b2a04e7f60fa2c136692c27784_normal.jpeg" TargetMode="External"/><Relationship Id="rId7054" Type="http://schemas.openxmlformats.org/officeDocument/2006/relationships/hyperlink" Target="https://twitter.com/CRANberriesFeed" TargetMode="External"/><Relationship Id="rId8385" Type="http://schemas.openxmlformats.org/officeDocument/2006/relationships/hyperlink" Target="https://twitter.com/AlbCarrascal/status/703139804184051713" TargetMode="External"/><Relationship Id="rId7053" Type="http://schemas.openxmlformats.org/officeDocument/2006/relationships/hyperlink" Target="https://pbs.twimg.com/profile_images/699545598450606080/s8CU8cVg_normal.png" TargetMode="External"/><Relationship Id="rId8384" Type="http://schemas.openxmlformats.org/officeDocument/2006/relationships/hyperlink" Target="https://twitter.com/AlbCarrascal" TargetMode="External"/><Relationship Id="rId7059" Type="http://schemas.openxmlformats.org/officeDocument/2006/relationships/hyperlink" Target="https://pbs.twimg.com/profile_images/1222779560/cran1_normal.jpg" TargetMode="External"/><Relationship Id="rId7058" Type="http://schemas.openxmlformats.org/officeDocument/2006/relationships/hyperlink" Target="https://twitter.com/CRANberriesFeed/status/702919491026608128" TargetMode="External"/><Relationship Id="rId8389" Type="http://schemas.openxmlformats.org/officeDocument/2006/relationships/hyperlink" Target="https://pbs.twimg.com/profile_images/552429083993198592/NJ0slBnw_normal.jpeg" TargetMode="External"/><Relationship Id="rId7057" Type="http://schemas.openxmlformats.org/officeDocument/2006/relationships/hyperlink" Target="https://twitter.com/CRANberriesFeed" TargetMode="External"/><Relationship Id="rId8388" Type="http://schemas.openxmlformats.org/officeDocument/2006/relationships/hyperlink" Target="https://twitter.com/TrineBekkby/status/703139926594826240" TargetMode="External"/><Relationship Id="rId7041" Type="http://schemas.openxmlformats.org/officeDocument/2006/relationships/hyperlink" Target="https://pbs.twimg.com/profile_images/603962005209362432/DDuIUWT9_normal.jpg" TargetMode="External"/><Relationship Id="rId8372" Type="http://schemas.openxmlformats.org/officeDocument/2006/relationships/hyperlink" Target="https://twitter.com/benjguin/status/703136710159241216" TargetMode="External"/><Relationship Id="rId7040" Type="http://schemas.openxmlformats.org/officeDocument/2006/relationships/hyperlink" Target="https://twitter.com/oengels/status/702916801978564608" TargetMode="External"/><Relationship Id="rId8371" Type="http://schemas.openxmlformats.org/officeDocument/2006/relationships/hyperlink" Target="https://twitter.com/benjguin" TargetMode="External"/><Relationship Id="rId8370" Type="http://schemas.openxmlformats.org/officeDocument/2006/relationships/hyperlink" Target="https://pbs.twimg.com/profile_images/491923236012052480/V0Lu1EV8_normal.jpeg" TargetMode="External"/><Relationship Id="rId7045" Type="http://schemas.openxmlformats.org/officeDocument/2006/relationships/hyperlink" Target="https://twitter.com/kierisi" TargetMode="External"/><Relationship Id="rId8376" Type="http://schemas.openxmlformats.org/officeDocument/2006/relationships/hyperlink" Target="https://pbs.twimg.com/profile_images/655054050832969728/3mJGHxhS_normal.jpg" TargetMode="External"/><Relationship Id="rId7044" Type="http://schemas.openxmlformats.org/officeDocument/2006/relationships/hyperlink" Target="https://pbs.twimg.com/profile_images/653355731756826624/uOtY0guW_normal.jpg" TargetMode="External"/><Relationship Id="rId8375" Type="http://schemas.openxmlformats.org/officeDocument/2006/relationships/hyperlink" Target="https://twitter.com/codepedia_info/status/703137528992247808" TargetMode="External"/><Relationship Id="rId7043" Type="http://schemas.openxmlformats.org/officeDocument/2006/relationships/hyperlink" Target="https://twitter.com/hoque_michelle/status/702917329777250304" TargetMode="External"/><Relationship Id="rId8374" Type="http://schemas.openxmlformats.org/officeDocument/2006/relationships/hyperlink" Target="https://twitter.com/codepedia_info" TargetMode="External"/><Relationship Id="rId7042" Type="http://schemas.openxmlformats.org/officeDocument/2006/relationships/hyperlink" Target="https://twitter.com/hoque_michelle" TargetMode="External"/><Relationship Id="rId8373" Type="http://schemas.openxmlformats.org/officeDocument/2006/relationships/hyperlink" Target="https://pbs.twimg.com/profile_images/636919861105573888/6vFgQ2b7_normal.jpg" TargetMode="External"/><Relationship Id="rId7049" Type="http://schemas.openxmlformats.org/officeDocument/2006/relationships/hyperlink" Target="https://twitter.com/HunterRatliff1/status/702917858624278528" TargetMode="External"/><Relationship Id="rId7048" Type="http://schemas.openxmlformats.org/officeDocument/2006/relationships/hyperlink" Target="https://twitter.com/HunterRatliff1" TargetMode="External"/><Relationship Id="rId8379" Type="http://schemas.openxmlformats.org/officeDocument/2006/relationships/hyperlink" Target="https://pbs.twimg.com/profile_images/576799609873428480/V8akQ-mi_normal.jpeg" TargetMode="External"/><Relationship Id="rId7047" Type="http://schemas.openxmlformats.org/officeDocument/2006/relationships/hyperlink" Target="https://pbs.twimg.com/profile_images/679646902145556480/cM-3XPTI_normal.jpg" TargetMode="External"/><Relationship Id="rId8378" Type="http://schemas.openxmlformats.org/officeDocument/2006/relationships/hyperlink" Target="https://twitter.com/fjalolop000/status/703137938326982657" TargetMode="External"/><Relationship Id="rId7046" Type="http://schemas.openxmlformats.org/officeDocument/2006/relationships/hyperlink" Target="https://twitter.com/kierisi/status/702917506789343232" TargetMode="External"/><Relationship Id="rId8377" Type="http://schemas.openxmlformats.org/officeDocument/2006/relationships/hyperlink" Target="https://twitter.com/fjalolop000" TargetMode="External"/><Relationship Id="rId8321" Type="http://schemas.openxmlformats.org/officeDocument/2006/relationships/hyperlink" Target="https://twitter.com/Modi2020Ali/status/703125413329920002" TargetMode="External"/><Relationship Id="rId8320" Type="http://schemas.openxmlformats.org/officeDocument/2006/relationships/hyperlink" Target="https://twitter.com/Modi2020Ali" TargetMode="External"/><Relationship Id="rId8325" Type="http://schemas.openxmlformats.org/officeDocument/2006/relationships/hyperlink" Target="https://pbs.twimg.com/profile_images/556170328229953536/CuvfXisf_normal.jpeg" TargetMode="External"/><Relationship Id="rId8324" Type="http://schemas.openxmlformats.org/officeDocument/2006/relationships/hyperlink" Target="https://twitter.com/thijschr/status/703125450378248192" TargetMode="External"/><Relationship Id="rId8323" Type="http://schemas.openxmlformats.org/officeDocument/2006/relationships/hyperlink" Target="https://twitter.com/thijschr" TargetMode="External"/><Relationship Id="rId8322" Type="http://schemas.openxmlformats.org/officeDocument/2006/relationships/hyperlink" Target="https://abs.twimg.com/sticky/default_profile_images/default_profile_3_normal.png" TargetMode="External"/><Relationship Id="rId8329" Type="http://schemas.openxmlformats.org/officeDocument/2006/relationships/hyperlink" Target="https://twitter.com/ErmiaBivatan" TargetMode="External"/><Relationship Id="rId8328" Type="http://schemas.openxmlformats.org/officeDocument/2006/relationships/hyperlink" Target="https://pbs.twimg.com/profile_images/378800000828078104/d5aca051fe022be4a561f24d2bedd736_normal.png" TargetMode="External"/><Relationship Id="rId8327" Type="http://schemas.openxmlformats.org/officeDocument/2006/relationships/hyperlink" Target="https://twitter.com/biocs/status/703125452315955200" TargetMode="External"/><Relationship Id="rId8326" Type="http://schemas.openxmlformats.org/officeDocument/2006/relationships/hyperlink" Target="https://twitter.com/biocs" TargetMode="External"/><Relationship Id="rId8319" Type="http://schemas.openxmlformats.org/officeDocument/2006/relationships/hyperlink" Target="https://pbs.twimg.com/profile_images/121126854/OpenID_normal.jpg" TargetMode="External"/><Relationship Id="rId8310" Type="http://schemas.openxmlformats.org/officeDocument/2006/relationships/hyperlink" Target="https://pbs.twimg.com/profile_images/502185985786916864/gkdFh-q7_normal.png" TargetMode="External"/><Relationship Id="rId8314" Type="http://schemas.openxmlformats.org/officeDocument/2006/relationships/hyperlink" Target="https://twitter.com/renato_umeton" TargetMode="External"/><Relationship Id="rId8313" Type="http://schemas.openxmlformats.org/officeDocument/2006/relationships/hyperlink" Target="https://pbs.twimg.com/profile_images/669283346413916161/jH8A_2hk_normal.jpg" TargetMode="External"/><Relationship Id="rId8312" Type="http://schemas.openxmlformats.org/officeDocument/2006/relationships/hyperlink" Target="https://twitter.com/monsoontrader/status/703121419031310336" TargetMode="External"/><Relationship Id="rId8311" Type="http://schemas.openxmlformats.org/officeDocument/2006/relationships/hyperlink" Target="https://twitter.com/monsoontrader" TargetMode="External"/><Relationship Id="rId8318" Type="http://schemas.openxmlformats.org/officeDocument/2006/relationships/hyperlink" Target="https://twitter.com/mathiaspicker/status/703124741578620928" TargetMode="External"/><Relationship Id="rId8317" Type="http://schemas.openxmlformats.org/officeDocument/2006/relationships/hyperlink" Target="https://twitter.com/mathiaspicker" TargetMode="External"/><Relationship Id="rId8316" Type="http://schemas.openxmlformats.org/officeDocument/2006/relationships/hyperlink" Target="https://pbs.twimg.com/profile_images/701553083537604608/nr8b38eG_normal.jpg" TargetMode="External"/><Relationship Id="rId8315" Type="http://schemas.openxmlformats.org/officeDocument/2006/relationships/hyperlink" Target="https://twitter.com/renato_umeton/status/703122423210602497" TargetMode="External"/><Relationship Id="rId7012" Type="http://schemas.openxmlformats.org/officeDocument/2006/relationships/hyperlink" Target="https://twitter.com/sellorm/status/702911010936590336" TargetMode="External"/><Relationship Id="rId8343" Type="http://schemas.openxmlformats.org/officeDocument/2006/relationships/hyperlink" Target="https://pbs.twimg.com/profile_images/609166718854807552/t81GUk-e_normal.png" TargetMode="External"/><Relationship Id="rId7011" Type="http://schemas.openxmlformats.org/officeDocument/2006/relationships/hyperlink" Target="https://twitter.com/sellorm" TargetMode="External"/><Relationship Id="rId8342" Type="http://schemas.openxmlformats.org/officeDocument/2006/relationships/hyperlink" Target="https://twitter.com/jen_munozz/status/703128668973826048" TargetMode="External"/><Relationship Id="rId7010" Type="http://schemas.openxmlformats.org/officeDocument/2006/relationships/hyperlink" Target="https://pbs.twimg.com/profile_images/677566553253142528/_HPA3OpB_normal.jpg" TargetMode="External"/><Relationship Id="rId8341" Type="http://schemas.openxmlformats.org/officeDocument/2006/relationships/hyperlink" Target="https://twitter.com/jen_munozz" TargetMode="External"/><Relationship Id="rId8340" Type="http://schemas.openxmlformats.org/officeDocument/2006/relationships/hyperlink" Target="https://abs.twimg.com/sticky/default_profile_images/default_profile_4_normal.png" TargetMode="External"/><Relationship Id="rId7016" Type="http://schemas.openxmlformats.org/officeDocument/2006/relationships/hyperlink" Target="https://pbs.twimg.com/profile_images/583289849223905280/yBOWNYLe_normal.jpg" TargetMode="External"/><Relationship Id="rId8347" Type="http://schemas.openxmlformats.org/officeDocument/2006/relationships/hyperlink" Target="https://twitter.com/ukituki" TargetMode="External"/><Relationship Id="rId7015" Type="http://schemas.openxmlformats.org/officeDocument/2006/relationships/hyperlink" Target="https://twitter.com/TeresaOM/status/702912629937803264" TargetMode="External"/><Relationship Id="rId8346" Type="http://schemas.openxmlformats.org/officeDocument/2006/relationships/hyperlink" Target="https://pbs.twimg.com/profile_images/485766134268837889/t4PLhSfT_normal.jpeg" TargetMode="External"/><Relationship Id="rId7014" Type="http://schemas.openxmlformats.org/officeDocument/2006/relationships/hyperlink" Target="https://twitter.com/TeresaOM" TargetMode="External"/><Relationship Id="rId8345" Type="http://schemas.openxmlformats.org/officeDocument/2006/relationships/hyperlink" Target="https://twitter.com/DrAndyPardoe/status/703128908925808640" TargetMode="External"/><Relationship Id="rId7013" Type="http://schemas.openxmlformats.org/officeDocument/2006/relationships/hyperlink" Target="https://pbs.twimg.com/profile_images/692468856288321538/S7BP0qfC_normal.jpg" TargetMode="External"/><Relationship Id="rId8344" Type="http://schemas.openxmlformats.org/officeDocument/2006/relationships/hyperlink" Target="https://twitter.com/DrAndyPardoe" TargetMode="External"/><Relationship Id="rId7019" Type="http://schemas.openxmlformats.org/officeDocument/2006/relationships/hyperlink" Target="https://pbs.twimg.com/profile_images/3675455101/92f0debcad920b3018e3f1a4b02ac007_normal.jpeg" TargetMode="External"/><Relationship Id="rId7018" Type="http://schemas.openxmlformats.org/officeDocument/2006/relationships/hyperlink" Target="https://twitter.com/mjbsp/status/702912841481904128" TargetMode="External"/><Relationship Id="rId8349" Type="http://schemas.openxmlformats.org/officeDocument/2006/relationships/hyperlink" Target="https://pbs.twimg.com/profile_images/1773918608/gravatar_normal.png" TargetMode="External"/><Relationship Id="rId7017" Type="http://schemas.openxmlformats.org/officeDocument/2006/relationships/hyperlink" Target="https://twitter.com/mjbsp" TargetMode="External"/><Relationship Id="rId8348" Type="http://schemas.openxmlformats.org/officeDocument/2006/relationships/hyperlink" Target="https://twitter.com/ukituki/status/703130411950444546" TargetMode="External"/><Relationship Id="rId7001" Type="http://schemas.openxmlformats.org/officeDocument/2006/relationships/hyperlink" Target="https://pbs.twimg.com/profile_images/579055802390093824/UCDUHb6S_normal.png" TargetMode="External"/><Relationship Id="rId8332" Type="http://schemas.openxmlformats.org/officeDocument/2006/relationships/hyperlink" Target="https://twitter.com/CMick14" TargetMode="External"/><Relationship Id="rId7000" Type="http://schemas.openxmlformats.org/officeDocument/2006/relationships/hyperlink" Target="https://twitter.com/All_DataScience/status/702909171709165568" TargetMode="External"/><Relationship Id="rId8331" Type="http://schemas.openxmlformats.org/officeDocument/2006/relationships/hyperlink" Target="https://pbs.twimg.com/profile_images/700219041131204608/DZKmHE4-_normal.jpg" TargetMode="External"/><Relationship Id="rId8330" Type="http://schemas.openxmlformats.org/officeDocument/2006/relationships/hyperlink" Target="https://twitter.com/ErmiaBivatan/status/703126085676900352" TargetMode="External"/><Relationship Id="rId7005" Type="http://schemas.openxmlformats.org/officeDocument/2006/relationships/hyperlink" Target="https://twitter.com/MangoTheCat" TargetMode="External"/><Relationship Id="rId8336" Type="http://schemas.openxmlformats.org/officeDocument/2006/relationships/hyperlink" Target="https://twitter.com/nnovrabota/status/703126635264913408" TargetMode="External"/><Relationship Id="rId7004" Type="http://schemas.openxmlformats.org/officeDocument/2006/relationships/hyperlink" Target="https://pbs.twimg.com/profile_images/432298122203512833/YDXfWlI__normal.png" TargetMode="External"/><Relationship Id="rId8335" Type="http://schemas.openxmlformats.org/officeDocument/2006/relationships/hyperlink" Target="https://twitter.com/nnovrabota" TargetMode="External"/><Relationship Id="rId7003" Type="http://schemas.openxmlformats.org/officeDocument/2006/relationships/hyperlink" Target="https://twitter.com/earlconf/status/702909713541943297" TargetMode="External"/><Relationship Id="rId8334" Type="http://schemas.openxmlformats.org/officeDocument/2006/relationships/hyperlink" Target="https://pbs.twimg.com/profile_images/651288166498865152/du19Jn6k_normal.jpg" TargetMode="External"/><Relationship Id="rId7002" Type="http://schemas.openxmlformats.org/officeDocument/2006/relationships/hyperlink" Target="https://twitter.com/earlconf" TargetMode="External"/><Relationship Id="rId8333" Type="http://schemas.openxmlformats.org/officeDocument/2006/relationships/hyperlink" Target="https://twitter.com/CMick14/status/703126158653550593" TargetMode="External"/><Relationship Id="rId7009" Type="http://schemas.openxmlformats.org/officeDocument/2006/relationships/hyperlink" Target="https://twitter.com/Emineomer2/status/702910941592211456" TargetMode="External"/><Relationship Id="rId7008" Type="http://schemas.openxmlformats.org/officeDocument/2006/relationships/hyperlink" Target="https://twitter.com/Emineomer2" TargetMode="External"/><Relationship Id="rId8339" Type="http://schemas.openxmlformats.org/officeDocument/2006/relationships/hyperlink" Target="https://twitter.com/Pvalsfr/status/703128010384240640" TargetMode="External"/><Relationship Id="rId7007" Type="http://schemas.openxmlformats.org/officeDocument/2006/relationships/hyperlink" Target="https://pbs.twimg.com/profile_images/641183991077445633/V7VcBpJI_normal.png" TargetMode="External"/><Relationship Id="rId8338" Type="http://schemas.openxmlformats.org/officeDocument/2006/relationships/hyperlink" Target="https://twitter.com/Pvalsfr" TargetMode="External"/><Relationship Id="rId7006" Type="http://schemas.openxmlformats.org/officeDocument/2006/relationships/hyperlink" Target="https://twitter.com/MangoTheCat/status/702910307644121088" TargetMode="External"/><Relationship Id="rId8337" Type="http://schemas.openxmlformats.org/officeDocument/2006/relationships/hyperlink" Target="https://pbs.twimg.com/profile_images/696639488517394432/UnGBsD6b_normal.png" TargetMode="External"/><Relationship Id="rId3513" Type="http://schemas.openxmlformats.org/officeDocument/2006/relationships/hyperlink" Target="https://pbs.twimg.com/profile_images/697258194142236672/s37qIvfo_normal.png" TargetMode="External"/><Relationship Id="rId4844" Type="http://schemas.openxmlformats.org/officeDocument/2006/relationships/hyperlink" Target="https://twitter.com/cloudtoad" TargetMode="External"/><Relationship Id="rId3512" Type="http://schemas.openxmlformats.org/officeDocument/2006/relationships/hyperlink" Target="https://twitter.com/WestCoastPole/status/702174693923692549" TargetMode="External"/><Relationship Id="rId4843" Type="http://schemas.openxmlformats.org/officeDocument/2006/relationships/hyperlink" Target="https://pbs.twimg.com/profile_images/557592259298729985/kpCUQWH1_normal.png" TargetMode="External"/><Relationship Id="rId3515" Type="http://schemas.openxmlformats.org/officeDocument/2006/relationships/hyperlink" Target="https://twitter.com/jatkat45/status/702174819459145728" TargetMode="External"/><Relationship Id="rId4846" Type="http://schemas.openxmlformats.org/officeDocument/2006/relationships/hyperlink" Target="https://pbs.twimg.com/profile_images/591372075182338048/JbeePn6j_normal.jpg" TargetMode="External"/><Relationship Id="rId3514" Type="http://schemas.openxmlformats.org/officeDocument/2006/relationships/hyperlink" Target="https://twitter.com/jatkat45" TargetMode="External"/><Relationship Id="rId4845" Type="http://schemas.openxmlformats.org/officeDocument/2006/relationships/hyperlink" Target="https://twitter.com/cloudtoad/status/702496903959805953" TargetMode="External"/><Relationship Id="rId3517" Type="http://schemas.openxmlformats.org/officeDocument/2006/relationships/hyperlink" Target="https://twitter.com/revodavid" TargetMode="External"/><Relationship Id="rId4848" Type="http://schemas.openxmlformats.org/officeDocument/2006/relationships/hyperlink" Target="https://twitter.com/tylerrinker/status/702496932510326785" TargetMode="External"/><Relationship Id="rId3516" Type="http://schemas.openxmlformats.org/officeDocument/2006/relationships/hyperlink" Target="https://pbs.twimg.com/profile_images/687122510672953344/ppVG2cIC_normal.jpg" TargetMode="External"/><Relationship Id="rId4847" Type="http://schemas.openxmlformats.org/officeDocument/2006/relationships/hyperlink" Target="https://twitter.com/tylerrinker" TargetMode="External"/><Relationship Id="rId3519" Type="http://schemas.openxmlformats.org/officeDocument/2006/relationships/hyperlink" Target="https://pbs.twimg.com/profile_images/580043996723974144/_Oyvwa9c_normal.jpg" TargetMode="External"/><Relationship Id="rId3518" Type="http://schemas.openxmlformats.org/officeDocument/2006/relationships/hyperlink" Target="https://twitter.com/revodavid/status/702174854598922240" TargetMode="External"/><Relationship Id="rId4849" Type="http://schemas.openxmlformats.org/officeDocument/2006/relationships/hyperlink" Target="https://pbs.twimg.com/profile_images/3409396165/3df155436a5f9201830bcc65f7a836f7_normal.jpeg" TargetMode="External"/><Relationship Id="rId4840" Type="http://schemas.openxmlformats.org/officeDocument/2006/relationships/hyperlink" Target="https://pbs.twimg.com/profile_images/777175344/David_Robinson_normal.jpg" TargetMode="External"/><Relationship Id="rId3511" Type="http://schemas.openxmlformats.org/officeDocument/2006/relationships/hyperlink" Target="https://twitter.com/WestCoastPole" TargetMode="External"/><Relationship Id="rId4842" Type="http://schemas.openxmlformats.org/officeDocument/2006/relationships/hyperlink" Target="https://twitter.com/hrbrmstr/status/702496015333629952" TargetMode="External"/><Relationship Id="rId3510" Type="http://schemas.openxmlformats.org/officeDocument/2006/relationships/hyperlink" Target="https://pbs.twimg.com/profile_images/672265924184010752/LrKCh_kA_normal.png" TargetMode="External"/><Relationship Id="rId4841" Type="http://schemas.openxmlformats.org/officeDocument/2006/relationships/hyperlink" Target="https://twitter.com/hrbrmstr" TargetMode="External"/><Relationship Id="rId3502" Type="http://schemas.openxmlformats.org/officeDocument/2006/relationships/hyperlink" Target="https://twitter.com/JMateosGarcia" TargetMode="External"/><Relationship Id="rId4833" Type="http://schemas.openxmlformats.org/officeDocument/2006/relationships/hyperlink" Target="https://twitter.com/vakulkumarmore/status/702494655796137984" TargetMode="External"/><Relationship Id="rId3501" Type="http://schemas.openxmlformats.org/officeDocument/2006/relationships/hyperlink" Target="https://pbs.twimg.com/profile_images/3726746350/fe010823d81013ba77b285d0e4922a18_normal.jpeg" TargetMode="External"/><Relationship Id="rId4832" Type="http://schemas.openxmlformats.org/officeDocument/2006/relationships/hyperlink" Target="https://twitter.com/vakulkumarmore" TargetMode="External"/><Relationship Id="rId3504" Type="http://schemas.openxmlformats.org/officeDocument/2006/relationships/hyperlink" Target="https://pbs.twimg.com/profile_images/638956113912819712/K8he5nGA_normal.jpg" TargetMode="External"/><Relationship Id="rId4835" Type="http://schemas.openxmlformats.org/officeDocument/2006/relationships/hyperlink" Target="https://twitter.com/cMadan" TargetMode="External"/><Relationship Id="rId3503" Type="http://schemas.openxmlformats.org/officeDocument/2006/relationships/hyperlink" Target="https://twitter.com/JMateosGarcia/status/702173708836851713" TargetMode="External"/><Relationship Id="rId4834" Type="http://schemas.openxmlformats.org/officeDocument/2006/relationships/hyperlink" Target="https://pbs.twimg.com/profile_images/572795858085638144/QFwbWAjp_normal.jpeg" TargetMode="External"/><Relationship Id="rId3506" Type="http://schemas.openxmlformats.org/officeDocument/2006/relationships/hyperlink" Target="https://twitter.com/se_verin/status/702173889653248000" TargetMode="External"/><Relationship Id="rId4837" Type="http://schemas.openxmlformats.org/officeDocument/2006/relationships/hyperlink" Target="https://pbs.twimg.com/profile_images/685366481169854464/eWe1LzZF_normal.png" TargetMode="External"/><Relationship Id="rId3505" Type="http://schemas.openxmlformats.org/officeDocument/2006/relationships/hyperlink" Target="https://twitter.com/se_verin" TargetMode="External"/><Relationship Id="rId4836" Type="http://schemas.openxmlformats.org/officeDocument/2006/relationships/hyperlink" Target="https://twitter.com/cMadan/status/702494715900502016" TargetMode="External"/><Relationship Id="rId3508" Type="http://schemas.openxmlformats.org/officeDocument/2006/relationships/hyperlink" Target="https://twitter.com/Sergio_CPS" TargetMode="External"/><Relationship Id="rId4839" Type="http://schemas.openxmlformats.org/officeDocument/2006/relationships/hyperlink" Target="https://twitter.com/drob/status/702495254709149696" TargetMode="External"/><Relationship Id="rId3507" Type="http://schemas.openxmlformats.org/officeDocument/2006/relationships/hyperlink" Target="https://pbs.twimg.com/profile_images/602533362666987520/AcPQUSZw_normal.jpg" TargetMode="External"/><Relationship Id="rId4838" Type="http://schemas.openxmlformats.org/officeDocument/2006/relationships/hyperlink" Target="https://twitter.com/drob" TargetMode="External"/><Relationship Id="rId3509" Type="http://schemas.openxmlformats.org/officeDocument/2006/relationships/hyperlink" Target="https://twitter.com/Sergio_CPS/status/702174058004217856" TargetMode="External"/><Relationship Id="rId3500" Type="http://schemas.openxmlformats.org/officeDocument/2006/relationships/hyperlink" Target="https://twitter.com/mj_kallen/status/702173670731489280" TargetMode="External"/><Relationship Id="rId4831" Type="http://schemas.openxmlformats.org/officeDocument/2006/relationships/hyperlink" Target="https://pbs.twimg.com/profile_images/696226577386852352/yseUYL_3_normal.jpg" TargetMode="External"/><Relationship Id="rId4830" Type="http://schemas.openxmlformats.org/officeDocument/2006/relationships/hyperlink" Target="https://twitter.com/openmylab/status/702494062406868992" TargetMode="External"/><Relationship Id="rId2203" Type="http://schemas.openxmlformats.org/officeDocument/2006/relationships/hyperlink" Target="https://twitter.com/nishantsbi/status/701854024354541569" TargetMode="External"/><Relationship Id="rId3535" Type="http://schemas.openxmlformats.org/officeDocument/2006/relationships/hyperlink" Target="https://twitter.com/monsoontrader" TargetMode="External"/><Relationship Id="rId4866" Type="http://schemas.openxmlformats.org/officeDocument/2006/relationships/hyperlink" Target="https://twitter.com/kurai_yousei/status/702500252918493184" TargetMode="External"/><Relationship Id="rId2204" Type="http://schemas.openxmlformats.org/officeDocument/2006/relationships/hyperlink" Target="https://pbs.twimg.com/profile_images/525885796109139968/FiOo7RSZ_normal.jpeg" TargetMode="External"/><Relationship Id="rId3534" Type="http://schemas.openxmlformats.org/officeDocument/2006/relationships/hyperlink" Target="https://pbs.twimg.com/profile_images/2746146658/4d05ba6e1fdfd38d3386922bf39aebcd_normal.png" TargetMode="External"/><Relationship Id="rId4865" Type="http://schemas.openxmlformats.org/officeDocument/2006/relationships/hyperlink" Target="https://twitter.com/kurai_yousei" TargetMode="External"/><Relationship Id="rId2205" Type="http://schemas.openxmlformats.org/officeDocument/2006/relationships/hyperlink" Target="https://twitter.com/TenspeedTom" TargetMode="External"/><Relationship Id="rId3537" Type="http://schemas.openxmlformats.org/officeDocument/2006/relationships/hyperlink" Target="https://pbs.twimg.com/profile_images/669283346413916161/jH8A_2hk_normal.jpg" TargetMode="External"/><Relationship Id="rId4868" Type="http://schemas.openxmlformats.org/officeDocument/2006/relationships/hyperlink" Target="https://twitter.com/mrwidmann" TargetMode="External"/><Relationship Id="rId2206" Type="http://schemas.openxmlformats.org/officeDocument/2006/relationships/hyperlink" Target="https://twitter.com/TenspeedTom/status/701855050545688576" TargetMode="External"/><Relationship Id="rId3536" Type="http://schemas.openxmlformats.org/officeDocument/2006/relationships/hyperlink" Target="https://twitter.com/monsoontrader/status/702176508232728577" TargetMode="External"/><Relationship Id="rId4867" Type="http://schemas.openxmlformats.org/officeDocument/2006/relationships/hyperlink" Target="https://pbs.twimg.com/profile_images/602746912203116544/hcBnhYS1_normal.png" TargetMode="External"/><Relationship Id="rId2207" Type="http://schemas.openxmlformats.org/officeDocument/2006/relationships/hyperlink" Target="https://pbs.twimg.com/profile_images/3517128608/a1f65059c2d06b02e5f0f61ecf303d51_normal.jpeg" TargetMode="External"/><Relationship Id="rId3539" Type="http://schemas.openxmlformats.org/officeDocument/2006/relationships/hyperlink" Target="https://twitter.com/WebScraperDB/status/702176721357901824" TargetMode="External"/><Relationship Id="rId2208" Type="http://schemas.openxmlformats.org/officeDocument/2006/relationships/hyperlink" Target="https://twitter.com/juldata" TargetMode="External"/><Relationship Id="rId3538" Type="http://schemas.openxmlformats.org/officeDocument/2006/relationships/hyperlink" Target="https://twitter.com/WebScraperDB" TargetMode="External"/><Relationship Id="rId4869" Type="http://schemas.openxmlformats.org/officeDocument/2006/relationships/hyperlink" Target="https://twitter.com/mrwidmann/status/702500380924465153" TargetMode="External"/><Relationship Id="rId2209" Type="http://schemas.openxmlformats.org/officeDocument/2006/relationships/hyperlink" Target="https://twitter.com/juldata/status/701855373070835715" TargetMode="External"/><Relationship Id="rId4860" Type="http://schemas.openxmlformats.org/officeDocument/2006/relationships/hyperlink" Target="https://twitter.com/AntoViral/status/702499509427937280" TargetMode="External"/><Relationship Id="rId3531" Type="http://schemas.openxmlformats.org/officeDocument/2006/relationships/hyperlink" Target="https://pbs.twimg.com/profile_images/529985174008639488/kEOLvxGs_normal.jpeg" TargetMode="External"/><Relationship Id="rId4862" Type="http://schemas.openxmlformats.org/officeDocument/2006/relationships/hyperlink" Target="https://twitter.com/LucasHauptmann" TargetMode="External"/><Relationship Id="rId2200" Type="http://schemas.openxmlformats.org/officeDocument/2006/relationships/hyperlink" Target="https://twitter.com/JeanGobin/status/701853795903533065" TargetMode="External"/><Relationship Id="rId3530" Type="http://schemas.openxmlformats.org/officeDocument/2006/relationships/hyperlink" Target="https://twitter.com/richierocks/status/702176136378322944" TargetMode="External"/><Relationship Id="rId4861" Type="http://schemas.openxmlformats.org/officeDocument/2006/relationships/hyperlink" Target="https://pbs.twimg.com/profile_images/378800000794889152/545ea4ed01fbb17969822e1ee9b0f3fa_normal.jpeg" TargetMode="External"/><Relationship Id="rId2201" Type="http://schemas.openxmlformats.org/officeDocument/2006/relationships/hyperlink" Target="https://pbs.twimg.com/profile_images/1617142158/119238737_normal.jpg" TargetMode="External"/><Relationship Id="rId3533" Type="http://schemas.openxmlformats.org/officeDocument/2006/relationships/hyperlink" Target="https://twitter.com/mhultstrom/status/702176165272932361" TargetMode="External"/><Relationship Id="rId4864" Type="http://schemas.openxmlformats.org/officeDocument/2006/relationships/hyperlink" Target="https://pbs.twimg.com/profile_images/655965181005029376/Z3_PzlO2_normal.jpg" TargetMode="External"/><Relationship Id="rId2202" Type="http://schemas.openxmlformats.org/officeDocument/2006/relationships/hyperlink" Target="https://twitter.com/nishantsbi" TargetMode="External"/><Relationship Id="rId3532" Type="http://schemas.openxmlformats.org/officeDocument/2006/relationships/hyperlink" Target="https://twitter.com/mhultstrom" TargetMode="External"/><Relationship Id="rId4863" Type="http://schemas.openxmlformats.org/officeDocument/2006/relationships/hyperlink" Target="https://twitter.com/LucasHauptmann/status/702500007652425729" TargetMode="External"/><Relationship Id="rId3524" Type="http://schemas.openxmlformats.org/officeDocument/2006/relationships/hyperlink" Target="https://twitter.com/marypcbuk/status/702175409778139137" TargetMode="External"/><Relationship Id="rId4855" Type="http://schemas.openxmlformats.org/officeDocument/2006/relationships/hyperlink" Target="https://pbs.twimg.com/profile_images/628062474491670529/KOOABG9v_normal.jpg" TargetMode="External"/><Relationship Id="rId3523" Type="http://schemas.openxmlformats.org/officeDocument/2006/relationships/hyperlink" Target="https://twitter.com/marypcbuk" TargetMode="External"/><Relationship Id="rId4854" Type="http://schemas.openxmlformats.org/officeDocument/2006/relationships/hyperlink" Target="https://twitter.com/sckottie/status/702498465947881472" TargetMode="External"/><Relationship Id="rId3526" Type="http://schemas.openxmlformats.org/officeDocument/2006/relationships/hyperlink" Target="https://twitter.com/ngamita" TargetMode="External"/><Relationship Id="rId4857" Type="http://schemas.openxmlformats.org/officeDocument/2006/relationships/hyperlink" Target="https://twitter.com/earlconf/status/702498721401942017" TargetMode="External"/><Relationship Id="rId3525" Type="http://schemas.openxmlformats.org/officeDocument/2006/relationships/hyperlink" Target="https://pbs.twimg.com/profile_images/704319005/mary_head_normal.jpg" TargetMode="External"/><Relationship Id="rId4856" Type="http://schemas.openxmlformats.org/officeDocument/2006/relationships/hyperlink" Target="https://twitter.com/earlconf" TargetMode="External"/><Relationship Id="rId3528" Type="http://schemas.openxmlformats.org/officeDocument/2006/relationships/hyperlink" Target="https://pbs.twimg.com/profile_images/538251729419001857/kIvht2bF_normal.jpeg" TargetMode="External"/><Relationship Id="rId4859" Type="http://schemas.openxmlformats.org/officeDocument/2006/relationships/hyperlink" Target="https://twitter.com/AntoViral" TargetMode="External"/><Relationship Id="rId3527" Type="http://schemas.openxmlformats.org/officeDocument/2006/relationships/hyperlink" Target="https://twitter.com/ngamita/status/702175667140612097" TargetMode="External"/><Relationship Id="rId4858" Type="http://schemas.openxmlformats.org/officeDocument/2006/relationships/hyperlink" Target="https://pbs.twimg.com/profile_images/432298122203512833/YDXfWlI__normal.png" TargetMode="External"/><Relationship Id="rId3529" Type="http://schemas.openxmlformats.org/officeDocument/2006/relationships/hyperlink" Target="https://twitter.com/richierocks" TargetMode="External"/><Relationship Id="rId3520" Type="http://schemas.openxmlformats.org/officeDocument/2006/relationships/hyperlink" Target="https://twitter.com/timelyportfolio" TargetMode="External"/><Relationship Id="rId4851" Type="http://schemas.openxmlformats.org/officeDocument/2006/relationships/hyperlink" Target="https://twitter.com/thisisrg1/status/702498244710957056" TargetMode="External"/><Relationship Id="rId4850" Type="http://schemas.openxmlformats.org/officeDocument/2006/relationships/hyperlink" Target="https://twitter.com/thisisrg1" TargetMode="External"/><Relationship Id="rId3522" Type="http://schemas.openxmlformats.org/officeDocument/2006/relationships/hyperlink" Target="https://pbs.twimg.com/profile_images/2198946077/image_normal.jpg" TargetMode="External"/><Relationship Id="rId4853" Type="http://schemas.openxmlformats.org/officeDocument/2006/relationships/hyperlink" Target="https://twitter.com/sckottie" TargetMode="External"/><Relationship Id="rId3521" Type="http://schemas.openxmlformats.org/officeDocument/2006/relationships/hyperlink" Target="https://twitter.com/timelyportfolio/status/702175149064380416" TargetMode="External"/><Relationship Id="rId4852" Type="http://schemas.openxmlformats.org/officeDocument/2006/relationships/hyperlink" Target="https://pbs.twimg.com/profile_images/542368256644755458/25eTPzvM_normal.jpeg" TargetMode="External"/><Relationship Id="rId4800" Type="http://schemas.openxmlformats.org/officeDocument/2006/relationships/hyperlink" Target="https://twitter.com/ErmiaBivatan/status/702484208091004929" TargetMode="External"/><Relationship Id="rId4802" Type="http://schemas.openxmlformats.org/officeDocument/2006/relationships/hyperlink" Target="https://twitter.com/sophieharries17" TargetMode="External"/><Relationship Id="rId4801" Type="http://schemas.openxmlformats.org/officeDocument/2006/relationships/hyperlink" Target="https://pbs.twimg.com/profile_images/700219041131204608/DZKmHE4-_normal.jpg" TargetMode="External"/><Relationship Id="rId4804" Type="http://schemas.openxmlformats.org/officeDocument/2006/relationships/hyperlink" Target="https://pbs.twimg.com/profile_images/542978775575957504/edw4o5WW_normal.jpeg" TargetMode="External"/><Relationship Id="rId4803" Type="http://schemas.openxmlformats.org/officeDocument/2006/relationships/hyperlink" Target="https://twitter.com/sophieharries17/status/702486664371970048" TargetMode="External"/><Relationship Id="rId4806" Type="http://schemas.openxmlformats.org/officeDocument/2006/relationships/hyperlink" Target="https://twitter.com/ChrisBeeley/status/702487070732902400" TargetMode="External"/><Relationship Id="rId4805" Type="http://schemas.openxmlformats.org/officeDocument/2006/relationships/hyperlink" Target="https://twitter.com/ChrisBeeley" TargetMode="External"/><Relationship Id="rId4808" Type="http://schemas.openxmlformats.org/officeDocument/2006/relationships/hyperlink" Target="https://twitter.com/Champ_Pairach" TargetMode="External"/><Relationship Id="rId4807" Type="http://schemas.openxmlformats.org/officeDocument/2006/relationships/hyperlink" Target="https://pbs.twimg.com/profile_images/459347899596304384/nnwc_De8_normal.jpeg" TargetMode="External"/><Relationship Id="rId4809" Type="http://schemas.openxmlformats.org/officeDocument/2006/relationships/hyperlink" Target="https://twitter.com/Champ_Pairach/status/702488670918483968" TargetMode="External"/><Relationship Id="rId7081" Type="http://schemas.openxmlformats.org/officeDocument/2006/relationships/hyperlink" Target="https://pbs.twimg.com/profile_images/509888693478248448/rvqUa5YA_normal.jpeg" TargetMode="External"/><Relationship Id="rId7080" Type="http://schemas.openxmlformats.org/officeDocument/2006/relationships/hyperlink" Target="https://twitter.com/eddelbuettel/status/702922070959587328" TargetMode="External"/><Relationship Id="rId7074" Type="http://schemas.openxmlformats.org/officeDocument/2006/relationships/hyperlink" Target="https://twitter.com/homeAIinfo/status/702920883313221632" TargetMode="External"/><Relationship Id="rId7073" Type="http://schemas.openxmlformats.org/officeDocument/2006/relationships/hyperlink" Target="https://twitter.com/homeAIinfo" TargetMode="External"/><Relationship Id="rId7072" Type="http://schemas.openxmlformats.org/officeDocument/2006/relationships/hyperlink" Target="https://pbs.twimg.com/profile_images/701553083537604608/nr8b38eG_normal.jpg" TargetMode="External"/><Relationship Id="rId7071" Type="http://schemas.openxmlformats.org/officeDocument/2006/relationships/hyperlink" Target="https://twitter.com/renato_umeton/status/702919916819718145" TargetMode="External"/><Relationship Id="rId7078" Type="http://schemas.openxmlformats.org/officeDocument/2006/relationships/hyperlink" Target="https://pbs.twimg.com/profile_images/1799602424/vgb_normal.png" TargetMode="External"/><Relationship Id="rId7077" Type="http://schemas.openxmlformats.org/officeDocument/2006/relationships/hyperlink" Target="https://twitter.com/matt_dz/status/702921789832368128" TargetMode="External"/><Relationship Id="rId7076" Type="http://schemas.openxmlformats.org/officeDocument/2006/relationships/hyperlink" Target="https://twitter.com/matt_dz" TargetMode="External"/><Relationship Id="rId7075" Type="http://schemas.openxmlformats.org/officeDocument/2006/relationships/hyperlink" Target="https://pbs.twimg.com/profile_images/645650110374936580/-oQakt8x_normal.png" TargetMode="External"/><Relationship Id="rId7079" Type="http://schemas.openxmlformats.org/officeDocument/2006/relationships/hyperlink" Target="https://twitter.com/eddelbuettel" TargetMode="External"/><Relationship Id="rId7070" Type="http://schemas.openxmlformats.org/officeDocument/2006/relationships/hyperlink" Target="https://twitter.com/renato_umeton" TargetMode="External"/><Relationship Id="rId7063" Type="http://schemas.openxmlformats.org/officeDocument/2006/relationships/hyperlink" Target="https://twitter.com/CRANberriesFeed" TargetMode="External"/><Relationship Id="rId8394" Type="http://schemas.openxmlformats.org/officeDocument/2006/relationships/hyperlink" Target="https://twitter.com/Frank_Txu/status/703141037783420930" TargetMode="External"/><Relationship Id="rId7062" Type="http://schemas.openxmlformats.org/officeDocument/2006/relationships/hyperlink" Target="https://pbs.twimg.com/profile_images/1222779560/cran1_normal.jpg" TargetMode="External"/><Relationship Id="rId8393" Type="http://schemas.openxmlformats.org/officeDocument/2006/relationships/hyperlink" Target="https://twitter.com/Frank_Txu" TargetMode="External"/><Relationship Id="rId7061" Type="http://schemas.openxmlformats.org/officeDocument/2006/relationships/hyperlink" Target="https://twitter.com/CRANberriesFeed/status/702919507657039873" TargetMode="External"/><Relationship Id="rId8392" Type="http://schemas.openxmlformats.org/officeDocument/2006/relationships/hyperlink" Target="https://pbs.twimg.com/profile_images/378800000301017700/819f65befc9c0635b63e0d7c47134947_normal.png" TargetMode="External"/><Relationship Id="rId7060" Type="http://schemas.openxmlformats.org/officeDocument/2006/relationships/hyperlink" Target="https://twitter.com/CRANberriesFeed" TargetMode="External"/><Relationship Id="rId8391" Type="http://schemas.openxmlformats.org/officeDocument/2006/relationships/hyperlink" Target="https://twitter.com/OlegR/status/703140976055836672" TargetMode="External"/><Relationship Id="rId7067" Type="http://schemas.openxmlformats.org/officeDocument/2006/relationships/hyperlink" Target="https://twitter.com/Rbloggers/status/702919894568808448" TargetMode="External"/><Relationship Id="rId8398" Type="http://schemas.openxmlformats.org/officeDocument/2006/relationships/hyperlink" Target="https://pbs.twimg.com/profile_images/2850904816/e8ee012a57d1cd22e15102cc25675a5e_normal.jpeg" TargetMode="External"/><Relationship Id="rId7066" Type="http://schemas.openxmlformats.org/officeDocument/2006/relationships/hyperlink" Target="https://twitter.com/Rbloggers" TargetMode="External"/><Relationship Id="rId8397" Type="http://schemas.openxmlformats.org/officeDocument/2006/relationships/hyperlink" Target="https://twitter.com/civanespinosa/status/703142231184572417" TargetMode="External"/><Relationship Id="rId7065" Type="http://schemas.openxmlformats.org/officeDocument/2006/relationships/hyperlink" Target="https://pbs.twimg.com/profile_images/1222779560/cran1_normal.jpg" TargetMode="External"/><Relationship Id="rId8396" Type="http://schemas.openxmlformats.org/officeDocument/2006/relationships/hyperlink" Target="https://twitter.com/civanespinosa" TargetMode="External"/><Relationship Id="rId7064" Type="http://schemas.openxmlformats.org/officeDocument/2006/relationships/hyperlink" Target="https://twitter.com/CRANberriesFeed/status/702919518314692608" TargetMode="External"/><Relationship Id="rId8395" Type="http://schemas.openxmlformats.org/officeDocument/2006/relationships/hyperlink" Target="https://pbs.twimg.com/profile_images/701756818599489536/NdzgwneQ_normal.jpg" TargetMode="External"/><Relationship Id="rId7069" Type="http://schemas.openxmlformats.org/officeDocument/2006/relationships/hyperlink" Target="https://pbs.twimg.com/profile_images/502185985786916864/gkdFh-q7_normal.png" TargetMode="External"/><Relationship Id="rId7068" Type="http://schemas.openxmlformats.org/officeDocument/2006/relationships/hyperlink" Target="http://r-bloggers.com" TargetMode="External"/><Relationship Id="rId8399" Type="http://schemas.openxmlformats.org/officeDocument/2006/relationships/hyperlink" Target="https://twitter.com/BawnMatt" TargetMode="External"/><Relationship Id="rId4822" Type="http://schemas.openxmlformats.org/officeDocument/2006/relationships/hyperlink" Target="https://abs.twimg.com/sticky/default_profile_images/default_profile_4_normal.png" TargetMode="External"/><Relationship Id="rId4821" Type="http://schemas.openxmlformats.org/officeDocument/2006/relationships/hyperlink" Target="https://twitter.com/fqz7c3/status/702493327355023360" TargetMode="External"/><Relationship Id="rId4824" Type="http://schemas.openxmlformats.org/officeDocument/2006/relationships/hyperlink" Target="https://twitter.com/devlintufts/status/702493360389545984" TargetMode="External"/><Relationship Id="rId4823" Type="http://schemas.openxmlformats.org/officeDocument/2006/relationships/hyperlink" Target="https://twitter.com/devlintufts" TargetMode="External"/><Relationship Id="rId4826" Type="http://schemas.openxmlformats.org/officeDocument/2006/relationships/hyperlink" Target="https://twitter.com/dataandme" TargetMode="External"/><Relationship Id="rId4825" Type="http://schemas.openxmlformats.org/officeDocument/2006/relationships/hyperlink" Target="https://pbs.twimg.com/profile_images/558998884471435265/WRqSmwhB_normal.jpeg" TargetMode="External"/><Relationship Id="rId4828" Type="http://schemas.openxmlformats.org/officeDocument/2006/relationships/hyperlink" Target="https://pbs.twimg.com/profile_images/598126722920361984/HdS1NWXJ_normal.png" TargetMode="External"/><Relationship Id="rId4827" Type="http://schemas.openxmlformats.org/officeDocument/2006/relationships/hyperlink" Target="https://twitter.com/dataandme/status/702493886875357185" TargetMode="External"/><Relationship Id="rId4829" Type="http://schemas.openxmlformats.org/officeDocument/2006/relationships/hyperlink" Target="https://twitter.com/openmylab" TargetMode="External"/><Relationship Id="rId7096" Type="http://schemas.openxmlformats.org/officeDocument/2006/relationships/hyperlink" Target="https://pbs.twimg.com/profile_images/701489573268828160/LlGTRKXx_normal.png" TargetMode="External"/><Relationship Id="rId7095" Type="http://schemas.openxmlformats.org/officeDocument/2006/relationships/hyperlink" Target="https://twitter.com/theosysbio/status/702924967957106689" TargetMode="External"/><Relationship Id="rId7094" Type="http://schemas.openxmlformats.org/officeDocument/2006/relationships/hyperlink" Target="https://twitter.com/theosysbio" TargetMode="External"/><Relationship Id="rId7093" Type="http://schemas.openxmlformats.org/officeDocument/2006/relationships/hyperlink" Target="https://pbs.twimg.com/profile_images/701059305890447360/mKhcncEH_normal.jpg" TargetMode="External"/><Relationship Id="rId7099" Type="http://schemas.openxmlformats.org/officeDocument/2006/relationships/hyperlink" Target="https://pbs.twimg.com/profile_images/459789900569518080/VTziYNoq_normal.jpeg" TargetMode="External"/><Relationship Id="rId7098" Type="http://schemas.openxmlformats.org/officeDocument/2006/relationships/hyperlink" Target="https://twitter.com/jcgpz/status/702925724764807168" TargetMode="External"/><Relationship Id="rId7097" Type="http://schemas.openxmlformats.org/officeDocument/2006/relationships/hyperlink" Target="https://twitter.com/jcgpz" TargetMode="External"/><Relationship Id="rId4820" Type="http://schemas.openxmlformats.org/officeDocument/2006/relationships/hyperlink" Target="https://twitter.com/fqz7c3" TargetMode="External"/><Relationship Id="rId4811" Type="http://schemas.openxmlformats.org/officeDocument/2006/relationships/hyperlink" Target="https://twitter.com/jebyrnes" TargetMode="External"/><Relationship Id="rId4810" Type="http://schemas.openxmlformats.org/officeDocument/2006/relationships/hyperlink" Target="https://pbs.twimg.com/profile_images/2870329116/86a8c8dfb6e84291f06a5890fe5912e4_normal.jpeg" TargetMode="External"/><Relationship Id="rId4813" Type="http://schemas.openxmlformats.org/officeDocument/2006/relationships/hyperlink" Target="https://pbs.twimg.com/profile_images/1278324526/Screen_shot_2011-03-18_at_11.05.13_AM_normal.png" TargetMode="External"/><Relationship Id="rId4812" Type="http://schemas.openxmlformats.org/officeDocument/2006/relationships/hyperlink" Target="https://twitter.com/jebyrnes/status/702488844629884928" TargetMode="External"/><Relationship Id="rId4815" Type="http://schemas.openxmlformats.org/officeDocument/2006/relationships/hyperlink" Target="https://twitter.com/fqz7c3/status/702492214186741760" TargetMode="External"/><Relationship Id="rId4814" Type="http://schemas.openxmlformats.org/officeDocument/2006/relationships/hyperlink" Target="https://twitter.com/fqz7c3" TargetMode="External"/><Relationship Id="rId4817" Type="http://schemas.openxmlformats.org/officeDocument/2006/relationships/hyperlink" Target="https://twitter.com/Voovarb" TargetMode="External"/><Relationship Id="rId4816" Type="http://schemas.openxmlformats.org/officeDocument/2006/relationships/hyperlink" Target="https://abs.twimg.com/sticky/default_profile_images/default_profile_4_normal.png" TargetMode="External"/><Relationship Id="rId4819" Type="http://schemas.openxmlformats.org/officeDocument/2006/relationships/hyperlink" Target="https://pbs.twimg.com/profile_images/626808502929899522/nF4A807A_normal.jpg" TargetMode="External"/><Relationship Id="rId4818" Type="http://schemas.openxmlformats.org/officeDocument/2006/relationships/hyperlink" Target="https://twitter.com/Voovarb/status/702493319788498944" TargetMode="External"/><Relationship Id="rId7092" Type="http://schemas.openxmlformats.org/officeDocument/2006/relationships/hyperlink" Target="https://twitter.com/varshraman93/status/702924210536996865" TargetMode="External"/><Relationship Id="rId7091" Type="http://schemas.openxmlformats.org/officeDocument/2006/relationships/hyperlink" Target="https://twitter.com/varshraman93" TargetMode="External"/><Relationship Id="rId7090" Type="http://schemas.openxmlformats.org/officeDocument/2006/relationships/hyperlink" Target="https://pbs.twimg.com/profile_images/378800000859434127/2hj0SxQo_normal.jpeg" TargetMode="External"/><Relationship Id="rId7085" Type="http://schemas.openxmlformats.org/officeDocument/2006/relationships/hyperlink" Target="https://twitter.com/UrbanProtag" TargetMode="External"/><Relationship Id="rId7084" Type="http://schemas.openxmlformats.org/officeDocument/2006/relationships/hyperlink" Target="https://pbs.twimg.com/profile_images/3311838112/cd20c9b2a8069d726a60ba97bfd75a61_normal.png" TargetMode="External"/><Relationship Id="rId7083" Type="http://schemas.openxmlformats.org/officeDocument/2006/relationships/hyperlink" Target="https://twitter.com/wrathematics/status/702922141625413632" TargetMode="External"/><Relationship Id="rId7082" Type="http://schemas.openxmlformats.org/officeDocument/2006/relationships/hyperlink" Target="https://twitter.com/wrathematics" TargetMode="External"/><Relationship Id="rId7089" Type="http://schemas.openxmlformats.org/officeDocument/2006/relationships/hyperlink" Target="https://twitter.com/pacoramon/status/702923624941015040" TargetMode="External"/><Relationship Id="rId7088" Type="http://schemas.openxmlformats.org/officeDocument/2006/relationships/hyperlink" Target="https://twitter.com/pacoramon" TargetMode="External"/><Relationship Id="rId7087" Type="http://schemas.openxmlformats.org/officeDocument/2006/relationships/hyperlink" Target="https://pbs.twimg.com/profile_images/647216207339327488/2WO6rjcg_normal.jpg" TargetMode="External"/><Relationship Id="rId7086" Type="http://schemas.openxmlformats.org/officeDocument/2006/relationships/hyperlink" Target="https://twitter.com/UrbanProtag/status/702922189218013184" TargetMode="External"/><Relationship Id="rId2269" Type="http://schemas.openxmlformats.org/officeDocument/2006/relationships/hyperlink" Target="https://twitter.com/HomesAtMetacoda/status/701863474071101440" TargetMode="External"/><Relationship Id="rId3591" Type="http://schemas.openxmlformats.org/officeDocument/2006/relationships/hyperlink" Target="https://pbs.twimg.com/profile_images/594801770414518272/4LKsLLI2_normal.jpg" TargetMode="External"/><Relationship Id="rId2260" Type="http://schemas.openxmlformats.org/officeDocument/2006/relationships/hyperlink" Target="https://twitter.com/Pvalsfr/status/701862507519066113" TargetMode="External"/><Relationship Id="rId3590" Type="http://schemas.openxmlformats.org/officeDocument/2006/relationships/hyperlink" Target="https://twitter.com/scripterAnon/status/702185478674640896" TargetMode="External"/><Relationship Id="rId2261" Type="http://schemas.openxmlformats.org/officeDocument/2006/relationships/hyperlink" Target="https://abs.twimg.com/sticky/default_profile_images/default_profile_4_normal.png" TargetMode="External"/><Relationship Id="rId3593" Type="http://schemas.openxmlformats.org/officeDocument/2006/relationships/hyperlink" Target="https://twitter.com/NowLivecodingtv/status/702186087263948800" TargetMode="External"/><Relationship Id="rId2262" Type="http://schemas.openxmlformats.org/officeDocument/2006/relationships/hyperlink" Target="https://twitter.com/CRANberriesFeed" TargetMode="External"/><Relationship Id="rId3592" Type="http://schemas.openxmlformats.org/officeDocument/2006/relationships/hyperlink" Target="https://twitter.com/NowLivecodingtv" TargetMode="External"/><Relationship Id="rId2263" Type="http://schemas.openxmlformats.org/officeDocument/2006/relationships/hyperlink" Target="https://twitter.com/CRANberriesFeed/status/701862510845108224" TargetMode="External"/><Relationship Id="rId3595" Type="http://schemas.openxmlformats.org/officeDocument/2006/relationships/hyperlink" Target="https://twitter.com/NowLivecodingtv" TargetMode="External"/><Relationship Id="rId2264" Type="http://schemas.openxmlformats.org/officeDocument/2006/relationships/hyperlink" Target="https://pbs.twimg.com/profile_images/1222779560/cran1_normal.jpg" TargetMode="External"/><Relationship Id="rId3594" Type="http://schemas.openxmlformats.org/officeDocument/2006/relationships/hyperlink" Target="https://pbs.twimg.com/profile_images/699984077877874688/aR2ovqId_normal.png" TargetMode="External"/><Relationship Id="rId2265" Type="http://schemas.openxmlformats.org/officeDocument/2006/relationships/hyperlink" Target="https://twitter.com/homeAIinfo" TargetMode="External"/><Relationship Id="rId3597" Type="http://schemas.openxmlformats.org/officeDocument/2006/relationships/hyperlink" Target="https://pbs.twimg.com/profile_images/699984077877874688/aR2ovqId_normal.png" TargetMode="External"/><Relationship Id="rId2266" Type="http://schemas.openxmlformats.org/officeDocument/2006/relationships/hyperlink" Target="https://twitter.com/homeAIinfo/status/701863285512085506" TargetMode="External"/><Relationship Id="rId3596" Type="http://schemas.openxmlformats.org/officeDocument/2006/relationships/hyperlink" Target="https://twitter.com/NowLivecodingtv/status/702186136874180608" TargetMode="External"/><Relationship Id="rId2267" Type="http://schemas.openxmlformats.org/officeDocument/2006/relationships/hyperlink" Target="https://pbs.twimg.com/profile_images/645650110374936580/-oQakt8x_normal.png" TargetMode="External"/><Relationship Id="rId3599" Type="http://schemas.openxmlformats.org/officeDocument/2006/relationships/hyperlink" Target="https://twitter.com/nyhackr/status/702186210916220928" TargetMode="External"/><Relationship Id="rId2268" Type="http://schemas.openxmlformats.org/officeDocument/2006/relationships/hyperlink" Target="https://twitter.com/HomesAtMetacoda" TargetMode="External"/><Relationship Id="rId3598" Type="http://schemas.openxmlformats.org/officeDocument/2006/relationships/hyperlink" Target="https://twitter.com/nyhackr" TargetMode="External"/><Relationship Id="rId2258" Type="http://schemas.openxmlformats.org/officeDocument/2006/relationships/hyperlink" Target="https://pbs.twimg.com/profile_images/1222779560/cran1_normal.jpg" TargetMode="External"/><Relationship Id="rId2259" Type="http://schemas.openxmlformats.org/officeDocument/2006/relationships/hyperlink" Target="https://twitter.com/Pvalsfr" TargetMode="External"/><Relationship Id="rId3589" Type="http://schemas.openxmlformats.org/officeDocument/2006/relationships/hyperlink" Target="https://twitter.com/scripterAnon" TargetMode="External"/><Relationship Id="rId3580" Type="http://schemas.openxmlformats.org/officeDocument/2006/relationships/hyperlink" Target="https://twitter.com/antbarros" TargetMode="External"/><Relationship Id="rId2250" Type="http://schemas.openxmlformats.org/officeDocument/2006/relationships/hyperlink" Target="https://twitter.com/MeganAHJones" TargetMode="External"/><Relationship Id="rId3582" Type="http://schemas.openxmlformats.org/officeDocument/2006/relationships/hyperlink" Target="https://pbs.twimg.com/profile_images/3212894266/18133d38ffd7c042588b27ea15b3cd16_normal.jpeg" TargetMode="External"/><Relationship Id="rId2251" Type="http://schemas.openxmlformats.org/officeDocument/2006/relationships/hyperlink" Target="https://twitter.com/MeganAHJones/status/701862393048006657" TargetMode="External"/><Relationship Id="rId3581" Type="http://schemas.openxmlformats.org/officeDocument/2006/relationships/hyperlink" Target="https://twitter.com/antbarros/status/702184337198944258" TargetMode="External"/><Relationship Id="rId2252" Type="http://schemas.openxmlformats.org/officeDocument/2006/relationships/hyperlink" Target="https://pbs.twimg.com/profile_images/655582469412945921/40vMBN12_normal.jpg" TargetMode="External"/><Relationship Id="rId3584" Type="http://schemas.openxmlformats.org/officeDocument/2006/relationships/hyperlink" Target="https://twitter.com/scripterAnon/status/702184495265538048" TargetMode="External"/><Relationship Id="rId2253" Type="http://schemas.openxmlformats.org/officeDocument/2006/relationships/hyperlink" Target="https://twitter.com/MeganAHJones" TargetMode="External"/><Relationship Id="rId3583" Type="http://schemas.openxmlformats.org/officeDocument/2006/relationships/hyperlink" Target="https://twitter.com/scripterAnon" TargetMode="External"/><Relationship Id="rId2254" Type="http://schemas.openxmlformats.org/officeDocument/2006/relationships/hyperlink" Target="https://twitter.com/MeganAHJones/status/701862422919778304" TargetMode="External"/><Relationship Id="rId3586" Type="http://schemas.openxmlformats.org/officeDocument/2006/relationships/hyperlink" Target="https://twitter.com/antbarros" TargetMode="External"/><Relationship Id="rId2255" Type="http://schemas.openxmlformats.org/officeDocument/2006/relationships/hyperlink" Target="https://pbs.twimg.com/profile_images/655582469412945921/40vMBN12_normal.jpg" TargetMode="External"/><Relationship Id="rId3585" Type="http://schemas.openxmlformats.org/officeDocument/2006/relationships/hyperlink" Target="https://pbs.twimg.com/profile_images/594801770414518272/4LKsLLI2_normal.jpg" TargetMode="External"/><Relationship Id="rId2256" Type="http://schemas.openxmlformats.org/officeDocument/2006/relationships/hyperlink" Target="https://twitter.com/CRANberriesFeed" TargetMode="External"/><Relationship Id="rId3588" Type="http://schemas.openxmlformats.org/officeDocument/2006/relationships/hyperlink" Target="https://pbs.twimg.com/profile_images/3212894266/18133d38ffd7c042588b27ea15b3cd16_normal.jpeg" TargetMode="External"/><Relationship Id="rId2257" Type="http://schemas.openxmlformats.org/officeDocument/2006/relationships/hyperlink" Target="https://twitter.com/CRANberriesFeed/status/701862500774649857" TargetMode="External"/><Relationship Id="rId3587" Type="http://schemas.openxmlformats.org/officeDocument/2006/relationships/hyperlink" Target="https://twitter.com/antbarros/status/702184568439357441" TargetMode="External"/><Relationship Id="rId2280" Type="http://schemas.openxmlformats.org/officeDocument/2006/relationships/hyperlink" Target="https://twitter.com/AndreaCirilloAC" TargetMode="External"/><Relationship Id="rId2281" Type="http://schemas.openxmlformats.org/officeDocument/2006/relationships/hyperlink" Target="https://twitter.com/AndreaCirilloAC/status/701864812259766273" TargetMode="External"/><Relationship Id="rId2282" Type="http://schemas.openxmlformats.org/officeDocument/2006/relationships/hyperlink" Target="https://pbs.twimg.com/profile_images/640813034697588737/zLd0ZG5c_normal.jpg" TargetMode="External"/><Relationship Id="rId2283" Type="http://schemas.openxmlformats.org/officeDocument/2006/relationships/hyperlink" Target="https://twitter.com/fugufisch" TargetMode="External"/><Relationship Id="rId2284" Type="http://schemas.openxmlformats.org/officeDocument/2006/relationships/hyperlink" Target="https://twitter.com/fugufisch/status/701864855737921538" TargetMode="External"/><Relationship Id="rId2285" Type="http://schemas.openxmlformats.org/officeDocument/2006/relationships/hyperlink" Target="https://pbs.twimg.com/profile_images/1154296670/Firefox_wallpaper_normal.png" TargetMode="External"/><Relationship Id="rId2286" Type="http://schemas.openxmlformats.org/officeDocument/2006/relationships/hyperlink" Target="https://twitter.com/sakalli" TargetMode="External"/><Relationship Id="rId2287" Type="http://schemas.openxmlformats.org/officeDocument/2006/relationships/hyperlink" Target="https://twitter.com/sakalli/status/701865471856005121" TargetMode="External"/><Relationship Id="rId2288" Type="http://schemas.openxmlformats.org/officeDocument/2006/relationships/hyperlink" Target="https://pbs.twimg.com/profile_images/556910410012827648/JYUkUnTd_normal.jpeg" TargetMode="External"/><Relationship Id="rId2289" Type="http://schemas.openxmlformats.org/officeDocument/2006/relationships/hyperlink" Target="https://twitter.com/stephenelane" TargetMode="External"/><Relationship Id="rId2270" Type="http://schemas.openxmlformats.org/officeDocument/2006/relationships/hyperlink" Target="https://pbs.twimg.com/profile_images/3469574231/b9d3349104dedfa4f45e25881f56e4fa_normal.jpeg" TargetMode="External"/><Relationship Id="rId2271" Type="http://schemas.openxmlformats.org/officeDocument/2006/relationships/hyperlink" Target="https://twitter.com/Pvalsfr" TargetMode="External"/><Relationship Id="rId2272" Type="http://schemas.openxmlformats.org/officeDocument/2006/relationships/hyperlink" Target="https://twitter.com/Pvalsfr/status/701863539783368704" TargetMode="External"/><Relationship Id="rId2273" Type="http://schemas.openxmlformats.org/officeDocument/2006/relationships/hyperlink" Target="https://abs.twimg.com/sticky/default_profile_images/default_profile_4_normal.png" TargetMode="External"/><Relationship Id="rId2274" Type="http://schemas.openxmlformats.org/officeDocument/2006/relationships/hyperlink" Target="https://twitter.com/bigboardsio" TargetMode="External"/><Relationship Id="rId2275" Type="http://schemas.openxmlformats.org/officeDocument/2006/relationships/hyperlink" Target="https://twitter.com/bigboardsio/status/701863732541005826" TargetMode="External"/><Relationship Id="rId2276" Type="http://schemas.openxmlformats.org/officeDocument/2006/relationships/hyperlink" Target="https://pbs.twimg.com/profile_images/489375332743409664/P4sYDY1__normal.png" TargetMode="External"/><Relationship Id="rId2277" Type="http://schemas.openxmlformats.org/officeDocument/2006/relationships/hyperlink" Target="https://twitter.com/bigboardsio" TargetMode="External"/><Relationship Id="rId2278" Type="http://schemas.openxmlformats.org/officeDocument/2006/relationships/hyperlink" Target="https://twitter.com/bigboardsio/status/701863734139035652" TargetMode="External"/><Relationship Id="rId2279" Type="http://schemas.openxmlformats.org/officeDocument/2006/relationships/hyperlink" Target="https://pbs.twimg.com/profile_images/489375332743409664/P4sYDY1__normal.png" TargetMode="External"/><Relationship Id="rId2225" Type="http://schemas.openxmlformats.org/officeDocument/2006/relationships/hyperlink" Target="https://pbs.twimg.com/profile_images/557592259298729985/kpCUQWH1_normal.png" TargetMode="External"/><Relationship Id="rId3557" Type="http://schemas.openxmlformats.org/officeDocument/2006/relationships/hyperlink" Target="https://twitter.com/sepirdata/status/702179387307900928" TargetMode="External"/><Relationship Id="rId4888" Type="http://schemas.openxmlformats.org/officeDocument/2006/relationships/hyperlink" Target="https://pbs.twimg.com/profile_images/695620608231497728/wCFZOMYh_normal.jpg" TargetMode="External"/><Relationship Id="rId2226" Type="http://schemas.openxmlformats.org/officeDocument/2006/relationships/hyperlink" Target="https://twitter.com/mgwhitfield" TargetMode="External"/><Relationship Id="rId3556" Type="http://schemas.openxmlformats.org/officeDocument/2006/relationships/hyperlink" Target="https://twitter.com/sepirdata" TargetMode="External"/><Relationship Id="rId4887" Type="http://schemas.openxmlformats.org/officeDocument/2006/relationships/hyperlink" Target="https://twitter.com/Luca_Parlamento/status/702502936354562049" TargetMode="External"/><Relationship Id="rId2227" Type="http://schemas.openxmlformats.org/officeDocument/2006/relationships/hyperlink" Target="https://twitter.com/mgwhitfield/status/701860092812075014" TargetMode="External"/><Relationship Id="rId3559" Type="http://schemas.openxmlformats.org/officeDocument/2006/relationships/hyperlink" Target="https://twitter.com/MangoPharma" TargetMode="External"/><Relationship Id="rId2228" Type="http://schemas.openxmlformats.org/officeDocument/2006/relationships/hyperlink" Target="https://pbs.twimg.com/profile_images/583286350151098368/5H4-zEen_normal.jpg" TargetMode="External"/><Relationship Id="rId3558" Type="http://schemas.openxmlformats.org/officeDocument/2006/relationships/hyperlink" Target="https://pbs.twimg.com/profile_images/560167861843267586/3xcke4Zg_normal.png" TargetMode="External"/><Relationship Id="rId4889" Type="http://schemas.openxmlformats.org/officeDocument/2006/relationships/hyperlink" Target="https://twitter.com/codepedia_info" TargetMode="External"/><Relationship Id="rId2229" Type="http://schemas.openxmlformats.org/officeDocument/2006/relationships/hyperlink" Target="https://twitter.com/PD_value" TargetMode="External"/><Relationship Id="rId4880" Type="http://schemas.openxmlformats.org/officeDocument/2006/relationships/hyperlink" Target="https://twitter.com/L0ND0N_APP" TargetMode="External"/><Relationship Id="rId3551" Type="http://schemas.openxmlformats.org/officeDocument/2006/relationships/hyperlink" Target="https://twitter.com/IamLord_Zico/status/702178958033481728" TargetMode="External"/><Relationship Id="rId4882" Type="http://schemas.openxmlformats.org/officeDocument/2006/relationships/hyperlink" Target="https://pbs.twimg.com/profile_images/675732024100061189/RUX9TEqH_normal.png" TargetMode="External"/><Relationship Id="rId2220" Type="http://schemas.openxmlformats.org/officeDocument/2006/relationships/hyperlink" Target="https://twitter.com/josvandongen" TargetMode="External"/><Relationship Id="rId3550" Type="http://schemas.openxmlformats.org/officeDocument/2006/relationships/hyperlink" Target="https://twitter.com/IamLord_Zico" TargetMode="External"/><Relationship Id="rId4881" Type="http://schemas.openxmlformats.org/officeDocument/2006/relationships/hyperlink" Target="https://twitter.com/L0ND0N_APP/status/702502326674784256" TargetMode="External"/><Relationship Id="rId2221" Type="http://schemas.openxmlformats.org/officeDocument/2006/relationships/hyperlink" Target="https://twitter.com/josvandongen/status/701857822674386946" TargetMode="External"/><Relationship Id="rId3553" Type="http://schemas.openxmlformats.org/officeDocument/2006/relationships/hyperlink" Target="https://twitter.com/robertstats" TargetMode="External"/><Relationship Id="rId4884" Type="http://schemas.openxmlformats.org/officeDocument/2006/relationships/hyperlink" Target="https://twitter.com/angebassa/status/702502753046818816" TargetMode="External"/><Relationship Id="rId2222" Type="http://schemas.openxmlformats.org/officeDocument/2006/relationships/hyperlink" Target="https://pbs.twimg.com/profile_images/673601007851585538/2ZyJjgkY_normal.jpg" TargetMode="External"/><Relationship Id="rId3552" Type="http://schemas.openxmlformats.org/officeDocument/2006/relationships/hyperlink" Target="https://pbs.twimg.com/profile_images/695428125383995393/AHgGbV7f_normal.jpg" TargetMode="External"/><Relationship Id="rId4883" Type="http://schemas.openxmlformats.org/officeDocument/2006/relationships/hyperlink" Target="https://twitter.com/angebassa" TargetMode="External"/><Relationship Id="rId2223" Type="http://schemas.openxmlformats.org/officeDocument/2006/relationships/hyperlink" Target="https://twitter.com/hrbrmstr" TargetMode="External"/><Relationship Id="rId3555" Type="http://schemas.openxmlformats.org/officeDocument/2006/relationships/hyperlink" Target="https://pbs.twimg.com/profile_images/685147968874373121/r_V2hRhj_normal.jpg" TargetMode="External"/><Relationship Id="rId4886" Type="http://schemas.openxmlformats.org/officeDocument/2006/relationships/hyperlink" Target="https://twitter.com/Luca_Parlamento" TargetMode="External"/><Relationship Id="rId2224" Type="http://schemas.openxmlformats.org/officeDocument/2006/relationships/hyperlink" Target="https://twitter.com/hrbrmstr/status/701858918465720320" TargetMode="External"/><Relationship Id="rId3554" Type="http://schemas.openxmlformats.org/officeDocument/2006/relationships/hyperlink" Target="https://twitter.com/robertstats/status/702179363601645568" TargetMode="External"/><Relationship Id="rId4885" Type="http://schemas.openxmlformats.org/officeDocument/2006/relationships/hyperlink" Target="https://pbs.twimg.com/profile_images/620728563453407233/hbKQXmLf_normal.jpg" TargetMode="External"/><Relationship Id="rId2214" Type="http://schemas.openxmlformats.org/officeDocument/2006/relationships/hyperlink" Target="https://twitter.com/bhaskar_vk" TargetMode="External"/><Relationship Id="rId3546" Type="http://schemas.openxmlformats.org/officeDocument/2006/relationships/hyperlink" Target="https://pbs.twimg.com/profile_images/1344530309/RLangTip_normal.png" TargetMode="External"/><Relationship Id="rId4877" Type="http://schemas.openxmlformats.org/officeDocument/2006/relationships/hyperlink" Target="https://twitter.com/earlconf" TargetMode="External"/><Relationship Id="rId2215" Type="http://schemas.openxmlformats.org/officeDocument/2006/relationships/hyperlink" Target="https://twitter.com/bhaskar_vk/status/701856075302182912" TargetMode="External"/><Relationship Id="rId3545" Type="http://schemas.openxmlformats.org/officeDocument/2006/relationships/hyperlink" Target="https://twitter.com/RLangTip/status/702177623380779008" TargetMode="External"/><Relationship Id="rId4876" Type="http://schemas.openxmlformats.org/officeDocument/2006/relationships/hyperlink" Target="https://pbs.twimg.com/profile_images/666345541043884033/DZXZe2HG_normal.jpg" TargetMode="External"/><Relationship Id="rId2216" Type="http://schemas.openxmlformats.org/officeDocument/2006/relationships/hyperlink" Target="https://pbs.twimg.com/profile_images/3654916643/41e86ccffc771868940fb53a41c3b712_normal.jpeg" TargetMode="External"/><Relationship Id="rId3548" Type="http://schemas.openxmlformats.org/officeDocument/2006/relationships/hyperlink" Target="https://twitter.com/Hrishi_kesh/status/702177724966637568" TargetMode="External"/><Relationship Id="rId4879" Type="http://schemas.openxmlformats.org/officeDocument/2006/relationships/hyperlink" Target="https://pbs.twimg.com/profile_images/432298122203512833/YDXfWlI__normal.png" TargetMode="External"/><Relationship Id="rId2217" Type="http://schemas.openxmlformats.org/officeDocument/2006/relationships/hyperlink" Target="https://twitter.com/BawnMatt" TargetMode="External"/><Relationship Id="rId3547" Type="http://schemas.openxmlformats.org/officeDocument/2006/relationships/hyperlink" Target="https://twitter.com/Hrishi_kesh" TargetMode="External"/><Relationship Id="rId4878" Type="http://schemas.openxmlformats.org/officeDocument/2006/relationships/hyperlink" Target="https://twitter.com/earlconf/status/702502244780904449" TargetMode="External"/><Relationship Id="rId2218" Type="http://schemas.openxmlformats.org/officeDocument/2006/relationships/hyperlink" Target="https://twitter.com/BawnMatt/status/701857799630888961" TargetMode="External"/><Relationship Id="rId2219" Type="http://schemas.openxmlformats.org/officeDocument/2006/relationships/hyperlink" Target="https://pbs.twimg.com/profile_images/462772097593245696/Cr6fAyMs_normal.jpeg" TargetMode="External"/><Relationship Id="rId3549" Type="http://schemas.openxmlformats.org/officeDocument/2006/relationships/hyperlink" Target="https://pbs.twimg.com/profile_images/584640941308256257/J8P9dJjq_normal.jpg" TargetMode="External"/><Relationship Id="rId3540" Type="http://schemas.openxmlformats.org/officeDocument/2006/relationships/hyperlink" Target="https://pbs.twimg.com/profile_images/699545598450606080/s8CU8cVg_normal.png" TargetMode="External"/><Relationship Id="rId4871" Type="http://schemas.openxmlformats.org/officeDocument/2006/relationships/hyperlink" Target="https://twitter.com/MangoTheCat" TargetMode="External"/><Relationship Id="rId4870" Type="http://schemas.openxmlformats.org/officeDocument/2006/relationships/hyperlink" Target="https://pbs.twimg.com/profile_images/690204746066595840/N3OLEoqP_normal.jpg" TargetMode="External"/><Relationship Id="rId2210" Type="http://schemas.openxmlformats.org/officeDocument/2006/relationships/hyperlink" Target="https://pbs.twimg.com/profile_images/533180128117784576/UPyZEaE-_normal.png" TargetMode="External"/><Relationship Id="rId3542" Type="http://schemas.openxmlformats.org/officeDocument/2006/relationships/hyperlink" Target="https://twitter.com/kierisi/status/702177458468966400" TargetMode="External"/><Relationship Id="rId4873" Type="http://schemas.openxmlformats.org/officeDocument/2006/relationships/hyperlink" Target="https://pbs.twimg.com/profile_images/641183991077445633/V7VcBpJI_normal.png" TargetMode="External"/><Relationship Id="rId2211" Type="http://schemas.openxmlformats.org/officeDocument/2006/relationships/hyperlink" Target="https://twitter.com/teektweets" TargetMode="External"/><Relationship Id="rId3541" Type="http://schemas.openxmlformats.org/officeDocument/2006/relationships/hyperlink" Target="https://twitter.com/kierisi" TargetMode="External"/><Relationship Id="rId4872" Type="http://schemas.openxmlformats.org/officeDocument/2006/relationships/hyperlink" Target="https://twitter.com/MangoTheCat/status/702500481847799808" TargetMode="External"/><Relationship Id="rId2212" Type="http://schemas.openxmlformats.org/officeDocument/2006/relationships/hyperlink" Target="https://twitter.com/teektweets/status/701855437302456320" TargetMode="External"/><Relationship Id="rId3544" Type="http://schemas.openxmlformats.org/officeDocument/2006/relationships/hyperlink" Target="https://twitter.com/RLangTip" TargetMode="External"/><Relationship Id="rId4875" Type="http://schemas.openxmlformats.org/officeDocument/2006/relationships/hyperlink" Target="https://twitter.com/RKWardNet/status/702500504128135168" TargetMode="External"/><Relationship Id="rId2213" Type="http://schemas.openxmlformats.org/officeDocument/2006/relationships/hyperlink" Target="https://pbs.twimg.com/profile_images/647854263670980608/whCFnEPV_normal.jpg" TargetMode="External"/><Relationship Id="rId3543" Type="http://schemas.openxmlformats.org/officeDocument/2006/relationships/hyperlink" Target="https://pbs.twimg.com/profile_images/679646902145556480/cM-3XPTI_normal.jpg" TargetMode="External"/><Relationship Id="rId4874" Type="http://schemas.openxmlformats.org/officeDocument/2006/relationships/hyperlink" Target="https://twitter.com/RKWardNet" TargetMode="External"/><Relationship Id="rId2247" Type="http://schemas.openxmlformats.org/officeDocument/2006/relationships/hyperlink" Target="https://twitter.com/ayirpelle" TargetMode="External"/><Relationship Id="rId3579" Type="http://schemas.openxmlformats.org/officeDocument/2006/relationships/hyperlink" Target="https://pbs.twimg.com/profile_images/457775762108448768/XmO2C1-E_normal.png" TargetMode="External"/><Relationship Id="rId2248" Type="http://schemas.openxmlformats.org/officeDocument/2006/relationships/hyperlink" Target="https://twitter.com/ayirpelle/status/701862037601669120" TargetMode="External"/><Relationship Id="rId3578" Type="http://schemas.openxmlformats.org/officeDocument/2006/relationships/hyperlink" Target="https://twitter.com/AnalyticsVidhya/status/702183864236691457" TargetMode="External"/><Relationship Id="rId2249" Type="http://schemas.openxmlformats.org/officeDocument/2006/relationships/hyperlink" Target="https://pbs.twimg.com/profile_images/412126192150401024/BGjaQNXk_normal.jpeg" TargetMode="External"/><Relationship Id="rId3571" Type="http://schemas.openxmlformats.org/officeDocument/2006/relationships/hyperlink" Target="https://twitter.com/psolymos" TargetMode="External"/><Relationship Id="rId2240" Type="http://schemas.openxmlformats.org/officeDocument/2006/relationships/hyperlink" Target="https://pbs.twimg.com/profile_images/643074023430057984/Oh7q-TYL_normal.jpg" TargetMode="External"/><Relationship Id="rId3570" Type="http://schemas.openxmlformats.org/officeDocument/2006/relationships/hyperlink" Target="https://pbs.twimg.com/profile_images/529985174008639488/kEOLvxGs_normal.jpeg" TargetMode="External"/><Relationship Id="rId2241" Type="http://schemas.openxmlformats.org/officeDocument/2006/relationships/hyperlink" Target="https://twitter.com/JuliaLanguage" TargetMode="External"/><Relationship Id="rId3573" Type="http://schemas.openxmlformats.org/officeDocument/2006/relationships/hyperlink" Target="https://pbs.twimg.com/profile_images/621827950296502272/EsvhO07z_normal.png" TargetMode="External"/><Relationship Id="rId2242" Type="http://schemas.openxmlformats.org/officeDocument/2006/relationships/hyperlink" Target="https://twitter.com/JuliaLanguage/status/701861865115090944" TargetMode="External"/><Relationship Id="rId3572" Type="http://schemas.openxmlformats.org/officeDocument/2006/relationships/hyperlink" Target="https://twitter.com/psolymos/status/702182774560546816" TargetMode="External"/><Relationship Id="rId2243" Type="http://schemas.openxmlformats.org/officeDocument/2006/relationships/hyperlink" Target="https://pbs.twimg.com/profile_images/3331406046/647b7cf75cb5662b96901bc521968e94_normal.png" TargetMode="External"/><Relationship Id="rId3575" Type="http://schemas.openxmlformats.org/officeDocument/2006/relationships/hyperlink" Target="https://twitter.com/tanyacash21/status/702183255416696835" TargetMode="External"/><Relationship Id="rId2244" Type="http://schemas.openxmlformats.org/officeDocument/2006/relationships/hyperlink" Target="https://twitter.com/JuliaLangsEs" TargetMode="External"/><Relationship Id="rId3574" Type="http://schemas.openxmlformats.org/officeDocument/2006/relationships/hyperlink" Target="https://twitter.com/tanyacash21" TargetMode="External"/><Relationship Id="rId2245" Type="http://schemas.openxmlformats.org/officeDocument/2006/relationships/hyperlink" Target="https://twitter.com/JuliaLangsEs/status/701861865136066560" TargetMode="External"/><Relationship Id="rId3577" Type="http://schemas.openxmlformats.org/officeDocument/2006/relationships/hyperlink" Target="https://twitter.com/AnalyticsVidhya" TargetMode="External"/><Relationship Id="rId2246" Type="http://schemas.openxmlformats.org/officeDocument/2006/relationships/hyperlink" Target="https://pbs.twimg.com/profile_images/613456073979092992/1Bd3LSz1_normal.png" TargetMode="External"/><Relationship Id="rId3576" Type="http://schemas.openxmlformats.org/officeDocument/2006/relationships/hyperlink" Target="https://pbs.twimg.com/profile_images/549774835258101761/h8VaD2VQ_normal.png" TargetMode="External"/><Relationship Id="rId2236" Type="http://schemas.openxmlformats.org/officeDocument/2006/relationships/hyperlink" Target="https://twitter.com/TheRedZoneCIO/status/701861658885541888" TargetMode="External"/><Relationship Id="rId3568" Type="http://schemas.openxmlformats.org/officeDocument/2006/relationships/hyperlink" Target="https://twitter.com/richierocks" TargetMode="External"/><Relationship Id="rId4899" Type="http://schemas.openxmlformats.org/officeDocument/2006/relationships/hyperlink" Target="https://twitter.com/ttso/status/702503374550384640" TargetMode="External"/><Relationship Id="rId2237" Type="http://schemas.openxmlformats.org/officeDocument/2006/relationships/hyperlink" Target="https://pbs.twimg.com/profile_images/581432198454222848/IARQZ5DD_normal.jpg" TargetMode="External"/><Relationship Id="rId3567" Type="http://schemas.openxmlformats.org/officeDocument/2006/relationships/hyperlink" Target="https://pbs.twimg.com/profile_images/378800000774774259/d7d4e2bd0448f2c3ae4e8acd28f25927_normal.png" TargetMode="External"/><Relationship Id="rId4898" Type="http://schemas.openxmlformats.org/officeDocument/2006/relationships/hyperlink" Target="https://twitter.com/ttso" TargetMode="External"/><Relationship Id="rId2238" Type="http://schemas.openxmlformats.org/officeDocument/2006/relationships/hyperlink" Target="https://twitter.com/ismael_vc" TargetMode="External"/><Relationship Id="rId2239" Type="http://schemas.openxmlformats.org/officeDocument/2006/relationships/hyperlink" Target="https://twitter.com/ismael_vc/status/701861865098313728" TargetMode="External"/><Relationship Id="rId3569" Type="http://schemas.openxmlformats.org/officeDocument/2006/relationships/hyperlink" Target="https://twitter.com/richierocks/status/702182721192337408" TargetMode="External"/><Relationship Id="rId3560" Type="http://schemas.openxmlformats.org/officeDocument/2006/relationships/hyperlink" Target="https://twitter.com/MangoPharma/status/702180965959999489" TargetMode="External"/><Relationship Id="rId4891" Type="http://schemas.openxmlformats.org/officeDocument/2006/relationships/hyperlink" Target="https://pbs.twimg.com/profile_images/655054050832969728/3mJGHxhS_normal.jpg" TargetMode="External"/><Relationship Id="rId4890" Type="http://schemas.openxmlformats.org/officeDocument/2006/relationships/hyperlink" Target="https://twitter.com/codepedia_info/status/702503174729560064" TargetMode="External"/><Relationship Id="rId2230" Type="http://schemas.openxmlformats.org/officeDocument/2006/relationships/hyperlink" Target="https://twitter.com/PD_value/status/701860425659510784" TargetMode="External"/><Relationship Id="rId3562" Type="http://schemas.openxmlformats.org/officeDocument/2006/relationships/hyperlink" Target="https://twitter.com/MangoPharma" TargetMode="External"/><Relationship Id="rId4893" Type="http://schemas.openxmlformats.org/officeDocument/2006/relationships/hyperlink" Target="https://twitter.com/BenBondLamberty/status/702503204777562112" TargetMode="External"/><Relationship Id="rId2231" Type="http://schemas.openxmlformats.org/officeDocument/2006/relationships/hyperlink" Target="https://pbs.twimg.com/profile_images/494978993955696640/pdaFKe7-_normal.png" TargetMode="External"/><Relationship Id="rId3561" Type="http://schemas.openxmlformats.org/officeDocument/2006/relationships/hyperlink" Target="https://pbs.twimg.com/profile_images/702168871437017090/GncGcQIU_normal.png" TargetMode="External"/><Relationship Id="rId4892" Type="http://schemas.openxmlformats.org/officeDocument/2006/relationships/hyperlink" Target="https://twitter.com/BenBondLamberty" TargetMode="External"/><Relationship Id="rId2232" Type="http://schemas.openxmlformats.org/officeDocument/2006/relationships/hyperlink" Target="https://twitter.com/revodavid" TargetMode="External"/><Relationship Id="rId3564" Type="http://schemas.openxmlformats.org/officeDocument/2006/relationships/hyperlink" Target="https://pbs.twimg.com/profile_images/702168871437017090/GncGcQIU_normal.png" TargetMode="External"/><Relationship Id="rId4895" Type="http://schemas.openxmlformats.org/officeDocument/2006/relationships/hyperlink" Target="https://twitter.com/rystanman" TargetMode="External"/><Relationship Id="rId2233" Type="http://schemas.openxmlformats.org/officeDocument/2006/relationships/hyperlink" Target="https://twitter.com/revodavid/status/701860957920702464" TargetMode="External"/><Relationship Id="rId3563" Type="http://schemas.openxmlformats.org/officeDocument/2006/relationships/hyperlink" Target="https://twitter.com/MangoPharma/status/702181250585518080" TargetMode="External"/><Relationship Id="rId4894" Type="http://schemas.openxmlformats.org/officeDocument/2006/relationships/hyperlink" Target="https://pbs.twimg.com/profile_images/378800000379904772/a5a32945f329f35a345b28adfa8fe081_normal.png" TargetMode="External"/><Relationship Id="rId2234" Type="http://schemas.openxmlformats.org/officeDocument/2006/relationships/hyperlink" Target="https://pbs.twimg.com/profile_images/580043996723974144/_Oyvwa9c_normal.jpg" TargetMode="External"/><Relationship Id="rId3566" Type="http://schemas.openxmlformats.org/officeDocument/2006/relationships/hyperlink" Target="https://twitter.com/DataSciNews/status/702182224947445760" TargetMode="External"/><Relationship Id="rId4897" Type="http://schemas.openxmlformats.org/officeDocument/2006/relationships/hyperlink" Target="https://pbs.twimg.com/profile_images/378800000824665536/86006ae3686418680b215ebad3fe7bf1_normal.jpeg" TargetMode="External"/><Relationship Id="rId2235" Type="http://schemas.openxmlformats.org/officeDocument/2006/relationships/hyperlink" Target="https://twitter.com/TheRedZoneCIO" TargetMode="External"/><Relationship Id="rId3565" Type="http://schemas.openxmlformats.org/officeDocument/2006/relationships/hyperlink" Target="https://twitter.com/DataSciNews" TargetMode="External"/><Relationship Id="rId4896" Type="http://schemas.openxmlformats.org/officeDocument/2006/relationships/hyperlink" Target="https://twitter.com/rystanman/status/702503265196511232" TargetMode="External"/><Relationship Id="rId8409" Type="http://schemas.openxmlformats.org/officeDocument/2006/relationships/hyperlink" Target="https://twitter.com/SomayehTaheri/status/703144095057707008" TargetMode="External"/><Relationship Id="rId8408" Type="http://schemas.openxmlformats.org/officeDocument/2006/relationships/hyperlink" Target="https://twitter.com/SomayehTaheri" TargetMode="External"/><Relationship Id="rId8407" Type="http://schemas.openxmlformats.org/officeDocument/2006/relationships/hyperlink" Target="https://pbs.twimg.com/profile_images/378800000021254026/60b009042977445b1f207b576958e2f6_normal.jpeg" TargetMode="External"/><Relationship Id="rId8402" Type="http://schemas.openxmlformats.org/officeDocument/2006/relationships/hyperlink" Target="https://twitter.com/ukgav" TargetMode="External"/><Relationship Id="rId8401" Type="http://schemas.openxmlformats.org/officeDocument/2006/relationships/hyperlink" Target="https://pbs.twimg.com/profile_images/462772097593245696/Cr6fAyMs_normal.jpeg" TargetMode="External"/><Relationship Id="rId8400" Type="http://schemas.openxmlformats.org/officeDocument/2006/relationships/hyperlink" Target="https://twitter.com/BawnMatt/status/703143336207470592" TargetMode="External"/><Relationship Id="rId8406" Type="http://schemas.openxmlformats.org/officeDocument/2006/relationships/hyperlink" Target="https://twitter.com/SomayehTaheri/status/703144053550940160" TargetMode="External"/><Relationship Id="rId8405" Type="http://schemas.openxmlformats.org/officeDocument/2006/relationships/hyperlink" Target="https://twitter.com/SomayehTaheri" TargetMode="External"/><Relationship Id="rId8404" Type="http://schemas.openxmlformats.org/officeDocument/2006/relationships/hyperlink" Target="https://pbs.twimg.com/profile_images/562725943912202240/abtXJzYi_normal.jpeg" TargetMode="External"/><Relationship Id="rId8403" Type="http://schemas.openxmlformats.org/officeDocument/2006/relationships/hyperlink" Target="https://twitter.com/ukgav/status/703143490243330049" TargetMode="External"/><Relationship Id="rId8429" Type="http://schemas.openxmlformats.org/officeDocument/2006/relationships/hyperlink" Target="https://twitter.com/RLangTip" TargetMode="External"/><Relationship Id="rId8420" Type="http://schemas.openxmlformats.org/officeDocument/2006/relationships/hyperlink" Target="https://twitter.com/CmRoycostilla" TargetMode="External"/><Relationship Id="rId8424" Type="http://schemas.openxmlformats.org/officeDocument/2006/relationships/hyperlink" Target="https://twitter.com/jlnlanger/status/703147448458293249" TargetMode="External"/><Relationship Id="rId8423" Type="http://schemas.openxmlformats.org/officeDocument/2006/relationships/hyperlink" Target="https://twitter.com/jlnlanger" TargetMode="External"/><Relationship Id="rId8422" Type="http://schemas.openxmlformats.org/officeDocument/2006/relationships/hyperlink" Target="https://pbs.twimg.com/profile_images/674172690849120256/_s6p8Xra_normal.jpg" TargetMode="External"/><Relationship Id="rId8421" Type="http://schemas.openxmlformats.org/officeDocument/2006/relationships/hyperlink" Target="https://twitter.com/CmRoycostilla/status/703146873721221123" TargetMode="External"/><Relationship Id="rId8428" Type="http://schemas.openxmlformats.org/officeDocument/2006/relationships/hyperlink" Target="https://pbs.twimg.com/profile_images/2829186606/ce9ed7cc870e9b7b810a8a63e6f9453e_normal.jpeg" TargetMode="External"/><Relationship Id="rId8427" Type="http://schemas.openxmlformats.org/officeDocument/2006/relationships/hyperlink" Target="https://twitter.com/brendanbabb/status/703148099791794177" TargetMode="External"/><Relationship Id="rId8426" Type="http://schemas.openxmlformats.org/officeDocument/2006/relationships/hyperlink" Target="https://twitter.com/brendanbabb" TargetMode="External"/><Relationship Id="rId8425" Type="http://schemas.openxmlformats.org/officeDocument/2006/relationships/hyperlink" Target="https://pbs.twimg.com/profile_images/692745486583730177/1WcQGOCf_normal.png" TargetMode="External"/><Relationship Id="rId8419" Type="http://schemas.openxmlformats.org/officeDocument/2006/relationships/hyperlink" Target="https://pbs.twimg.com/profile_images/432298122203512833/YDXfWlI__normal.png" TargetMode="External"/><Relationship Id="rId8418" Type="http://schemas.openxmlformats.org/officeDocument/2006/relationships/hyperlink" Target="https://twitter.com/earlconf/status/703145553509519360" TargetMode="External"/><Relationship Id="rId8413" Type="http://schemas.openxmlformats.org/officeDocument/2006/relationships/hyperlink" Target="https://pbs.twimg.com/profile_images/699546578596536320/kqAMFIWY_normal.jpg" TargetMode="External"/><Relationship Id="rId8412" Type="http://schemas.openxmlformats.org/officeDocument/2006/relationships/hyperlink" Target="https://twitter.com/humorkritik/status/703144670101045248" TargetMode="External"/><Relationship Id="rId8411" Type="http://schemas.openxmlformats.org/officeDocument/2006/relationships/hyperlink" Target="https://twitter.com/humorkritik" TargetMode="External"/><Relationship Id="rId8410" Type="http://schemas.openxmlformats.org/officeDocument/2006/relationships/hyperlink" Target="https://pbs.twimg.com/profile_images/378800000021254026/60b009042977445b1f207b576958e2f6_normal.jpeg" TargetMode="External"/><Relationship Id="rId8417" Type="http://schemas.openxmlformats.org/officeDocument/2006/relationships/hyperlink" Target="https://twitter.com/earlconf" TargetMode="External"/><Relationship Id="rId8416" Type="http://schemas.openxmlformats.org/officeDocument/2006/relationships/hyperlink" Target="https://pbs.twimg.com/profile_images/641183991077445633/V7VcBpJI_normal.png" TargetMode="External"/><Relationship Id="rId8415" Type="http://schemas.openxmlformats.org/officeDocument/2006/relationships/hyperlink" Target="https://twitter.com/MangoTheCat/status/703145289364844544" TargetMode="External"/><Relationship Id="rId8414" Type="http://schemas.openxmlformats.org/officeDocument/2006/relationships/hyperlink" Target="https://twitter.com/MangoTheCat" TargetMode="External"/><Relationship Id="rId2290" Type="http://schemas.openxmlformats.org/officeDocument/2006/relationships/hyperlink" Target="https://twitter.com/stephenelane/status/701866844320243713" TargetMode="External"/><Relationship Id="rId2291" Type="http://schemas.openxmlformats.org/officeDocument/2006/relationships/hyperlink" Target="https://pbs.twimg.com/profile_images/78075273/Face_normal.jpg" TargetMode="External"/><Relationship Id="rId2292" Type="http://schemas.openxmlformats.org/officeDocument/2006/relationships/hyperlink" Target="https://twitter.com/DataFinest" TargetMode="External"/><Relationship Id="rId2293" Type="http://schemas.openxmlformats.org/officeDocument/2006/relationships/hyperlink" Target="https://twitter.com/DataFinest/status/701868680783728641" TargetMode="External"/><Relationship Id="rId2294" Type="http://schemas.openxmlformats.org/officeDocument/2006/relationships/hyperlink" Target="https://pbs.twimg.com/profile_images/675225906173124609/xPlpeuKw_normal.png" TargetMode="External"/><Relationship Id="rId2295" Type="http://schemas.openxmlformats.org/officeDocument/2006/relationships/hyperlink" Target="https://twitter.com/wajdi_bs" TargetMode="External"/><Relationship Id="rId2296" Type="http://schemas.openxmlformats.org/officeDocument/2006/relationships/hyperlink" Target="https://twitter.com/wajdi_bs/status/701868875470741504" TargetMode="External"/><Relationship Id="rId2297" Type="http://schemas.openxmlformats.org/officeDocument/2006/relationships/hyperlink" Target="https://pbs.twimg.com/profile_images/3742200604/de0109d29b1870d3e5d443811957193b_normal.jpeg" TargetMode="External"/><Relationship Id="rId2298" Type="http://schemas.openxmlformats.org/officeDocument/2006/relationships/hyperlink" Target="https://twitter.com/JFBonnefon" TargetMode="External"/><Relationship Id="rId2299" Type="http://schemas.openxmlformats.org/officeDocument/2006/relationships/hyperlink" Target="https://twitter.com/JFBonnefon/status/701869135177850880" TargetMode="External"/><Relationship Id="rId7151" Type="http://schemas.openxmlformats.org/officeDocument/2006/relationships/hyperlink" Target="https://twitter.com/victoria_holt" TargetMode="External"/><Relationship Id="rId8482" Type="http://schemas.openxmlformats.org/officeDocument/2006/relationships/hyperlink" Target="https://pbs.twimg.com/profile_images/3569283223/41a2322b7c35fdf5a01ca6a5c915fc8d_normal.jpeg" TargetMode="External"/><Relationship Id="rId7150" Type="http://schemas.openxmlformats.org/officeDocument/2006/relationships/hyperlink" Target="https://pbs.twimg.com/profile_images/585868440440700928/i6zV-hSn_normal.png" TargetMode="External"/><Relationship Id="rId8481" Type="http://schemas.openxmlformats.org/officeDocument/2006/relationships/hyperlink" Target="https://twitter.com/LessCrime/status/703157254728515584" TargetMode="External"/><Relationship Id="rId8480" Type="http://schemas.openxmlformats.org/officeDocument/2006/relationships/hyperlink" Target="https://twitter.com/LessCrime" TargetMode="External"/><Relationship Id="rId7155" Type="http://schemas.openxmlformats.org/officeDocument/2006/relationships/hyperlink" Target="https://twitter.com/USGS_R/status/702933612346212352" TargetMode="External"/><Relationship Id="rId8486" Type="http://schemas.openxmlformats.org/officeDocument/2006/relationships/hyperlink" Target="https://twitter.com/jcgpz" TargetMode="External"/><Relationship Id="rId7154" Type="http://schemas.openxmlformats.org/officeDocument/2006/relationships/hyperlink" Target="https://twitter.com/USGS_R" TargetMode="External"/><Relationship Id="rId8485" Type="http://schemas.openxmlformats.org/officeDocument/2006/relationships/hyperlink" Target="https://pbs.twimg.com/profile_images/3569283223/41a2322b7c35fdf5a01ca6a5c915fc8d_normal.jpeg" TargetMode="External"/><Relationship Id="rId7153" Type="http://schemas.openxmlformats.org/officeDocument/2006/relationships/hyperlink" Target="https://pbs.twimg.com/profile_images/378800000494075666/75e9fdafd1363f99707df358ad30405a_normal.jpeg" TargetMode="External"/><Relationship Id="rId8484" Type="http://schemas.openxmlformats.org/officeDocument/2006/relationships/hyperlink" Target="https://twitter.com/LessCrime/status/703157566612729856" TargetMode="External"/><Relationship Id="rId7152" Type="http://schemas.openxmlformats.org/officeDocument/2006/relationships/hyperlink" Target="https://twitter.com/victoria_holt/status/702933377700253696" TargetMode="External"/><Relationship Id="rId8483" Type="http://schemas.openxmlformats.org/officeDocument/2006/relationships/hyperlink" Target="https://twitter.com/LessCrime" TargetMode="External"/><Relationship Id="rId7159" Type="http://schemas.openxmlformats.org/officeDocument/2006/relationships/hyperlink" Target="https://pbs.twimg.com/profile_images/484403897843204097/A2dUnx80_normal.jpeg" TargetMode="External"/><Relationship Id="rId7158" Type="http://schemas.openxmlformats.org/officeDocument/2006/relationships/hyperlink" Target="https://twitter.com/Violet1700/status/702934229781446657" TargetMode="External"/><Relationship Id="rId8489" Type="http://schemas.openxmlformats.org/officeDocument/2006/relationships/hyperlink" Target="https://twitter.com/dr_rtpa" TargetMode="External"/><Relationship Id="rId7157" Type="http://schemas.openxmlformats.org/officeDocument/2006/relationships/hyperlink" Target="https://twitter.com/Violet1700" TargetMode="External"/><Relationship Id="rId8488" Type="http://schemas.openxmlformats.org/officeDocument/2006/relationships/hyperlink" Target="https://pbs.twimg.com/profile_images/459789900569518080/VTziYNoq_normal.jpeg" TargetMode="External"/><Relationship Id="rId7156" Type="http://schemas.openxmlformats.org/officeDocument/2006/relationships/hyperlink" Target="https://pbs.twimg.com/profile_images/631488083863584769/gDqhLdAL_normal.png" TargetMode="External"/><Relationship Id="rId8487" Type="http://schemas.openxmlformats.org/officeDocument/2006/relationships/hyperlink" Target="https://twitter.com/jcgpz/status/703157758892244992" TargetMode="External"/><Relationship Id="rId7140" Type="http://schemas.openxmlformats.org/officeDocument/2006/relationships/hyperlink" Target="https://twitter.com/datiobdEng/status/702931967927590912" TargetMode="External"/><Relationship Id="rId8471" Type="http://schemas.openxmlformats.org/officeDocument/2006/relationships/hyperlink" Target="https://twitter.com/earlconf" TargetMode="External"/><Relationship Id="rId8470" Type="http://schemas.openxmlformats.org/officeDocument/2006/relationships/hyperlink" Target="https://pbs.twimg.com/profile_images/587882929642045440/FDm4sg5C_normal.jpg" TargetMode="External"/><Relationship Id="rId7144" Type="http://schemas.openxmlformats.org/officeDocument/2006/relationships/hyperlink" Target="https://pbs.twimg.com/profile_images/686965105473396736/B9V5UtGS_normal.jpg" TargetMode="External"/><Relationship Id="rId8475" Type="http://schemas.openxmlformats.org/officeDocument/2006/relationships/hyperlink" Target="https://twitter.com/AntoViral/status/703155515367370752" TargetMode="External"/><Relationship Id="rId7143" Type="http://schemas.openxmlformats.org/officeDocument/2006/relationships/hyperlink" Target="https://twitter.com/sentiwire/status/702931972947996672" TargetMode="External"/><Relationship Id="rId8474" Type="http://schemas.openxmlformats.org/officeDocument/2006/relationships/hyperlink" Target="https://twitter.com/AntoViral" TargetMode="External"/><Relationship Id="rId7142" Type="http://schemas.openxmlformats.org/officeDocument/2006/relationships/hyperlink" Target="https://twitter.com/sentiwire" TargetMode="External"/><Relationship Id="rId8473" Type="http://schemas.openxmlformats.org/officeDocument/2006/relationships/hyperlink" Target="https://pbs.twimg.com/profile_images/432298122203512833/YDXfWlI__normal.png" TargetMode="External"/><Relationship Id="rId7141" Type="http://schemas.openxmlformats.org/officeDocument/2006/relationships/hyperlink" Target="https://pbs.twimg.com/profile_images/652130886721372160/mFFnmhJl_normal.png" TargetMode="External"/><Relationship Id="rId8472" Type="http://schemas.openxmlformats.org/officeDocument/2006/relationships/hyperlink" Target="https://twitter.com/earlconf/status/703155046309953536" TargetMode="External"/><Relationship Id="rId7148" Type="http://schemas.openxmlformats.org/officeDocument/2006/relationships/hyperlink" Target="https://twitter.com/pdxrlang" TargetMode="External"/><Relationship Id="rId8479" Type="http://schemas.openxmlformats.org/officeDocument/2006/relationships/hyperlink" Target="https://pbs.twimg.com/profile_images/378800000527890098/935921d739ef62805ccc24d2b17326a9_normal.jpeg" TargetMode="External"/><Relationship Id="rId7147" Type="http://schemas.openxmlformats.org/officeDocument/2006/relationships/hyperlink" Target="https://pbs.twimg.com/profile_images/628062474491670529/KOOABG9v_normal.jpg" TargetMode="External"/><Relationship Id="rId8478" Type="http://schemas.openxmlformats.org/officeDocument/2006/relationships/hyperlink" Target="https://twitter.com/Sal_Keith/status/703156732525043714" TargetMode="External"/><Relationship Id="rId7146" Type="http://schemas.openxmlformats.org/officeDocument/2006/relationships/hyperlink" Target="https://twitter.com/sckottie/status/702932749628276736" TargetMode="External"/><Relationship Id="rId8477" Type="http://schemas.openxmlformats.org/officeDocument/2006/relationships/hyperlink" Target="https://twitter.com/Sal_Keith" TargetMode="External"/><Relationship Id="rId7145" Type="http://schemas.openxmlformats.org/officeDocument/2006/relationships/hyperlink" Target="https://twitter.com/sckottie" TargetMode="External"/><Relationship Id="rId8476" Type="http://schemas.openxmlformats.org/officeDocument/2006/relationships/hyperlink" Target="https://pbs.twimg.com/profile_images/378800000794889152/545ea4ed01fbb17969822e1ee9b0f3fa_normal.jpeg" TargetMode="External"/><Relationship Id="rId7149" Type="http://schemas.openxmlformats.org/officeDocument/2006/relationships/hyperlink" Target="https://twitter.com/pdxrlang/status/702932749644988416" TargetMode="External"/><Relationship Id="rId4901" Type="http://schemas.openxmlformats.org/officeDocument/2006/relationships/hyperlink" Target="https://twitter.com/Luca_Parlamento" TargetMode="External"/><Relationship Id="rId4900" Type="http://schemas.openxmlformats.org/officeDocument/2006/relationships/hyperlink" Target="https://pbs.twimg.com/profile_images/1486059918/photo_normal.jpg" TargetMode="External"/><Relationship Id="rId4903" Type="http://schemas.openxmlformats.org/officeDocument/2006/relationships/hyperlink" Target="https://pbs.twimg.com/profile_images/695620608231497728/wCFZOMYh_normal.jpg" TargetMode="External"/><Relationship Id="rId4902" Type="http://schemas.openxmlformats.org/officeDocument/2006/relationships/hyperlink" Target="https://twitter.com/Luca_Parlamento/status/702503525503279105" TargetMode="External"/><Relationship Id="rId4905" Type="http://schemas.openxmlformats.org/officeDocument/2006/relationships/hyperlink" Target="https://twitter.com/iLoveLondontag/status/702503625780817920" TargetMode="External"/><Relationship Id="rId4904" Type="http://schemas.openxmlformats.org/officeDocument/2006/relationships/hyperlink" Target="https://twitter.com/iLoveLondontag" TargetMode="External"/><Relationship Id="rId4907" Type="http://schemas.openxmlformats.org/officeDocument/2006/relationships/hyperlink" Target="https://twitter.com/Luca_Parlamento" TargetMode="External"/><Relationship Id="rId4906" Type="http://schemas.openxmlformats.org/officeDocument/2006/relationships/hyperlink" Target="https://pbs.twimg.com/profile_images/665104766431809536/KfXeDmF__normal.jpg" TargetMode="External"/><Relationship Id="rId4909" Type="http://schemas.openxmlformats.org/officeDocument/2006/relationships/hyperlink" Target="https://pbs.twimg.com/profile_images/695620608231497728/wCFZOMYh_normal.jpg" TargetMode="External"/><Relationship Id="rId4908" Type="http://schemas.openxmlformats.org/officeDocument/2006/relationships/hyperlink" Target="https://twitter.com/Luca_Parlamento/status/702504066367094784" TargetMode="External"/><Relationship Id="rId7180" Type="http://schemas.openxmlformats.org/officeDocument/2006/relationships/hyperlink" Target="https://pbs.twimg.com/profile_images/580043996723974144/_Oyvwa9c_normal.jpg" TargetMode="External"/><Relationship Id="rId7173" Type="http://schemas.openxmlformats.org/officeDocument/2006/relationships/hyperlink" Target="https://twitter.com/heliopparis/status/702936018383671296" TargetMode="External"/><Relationship Id="rId7172" Type="http://schemas.openxmlformats.org/officeDocument/2006/relationships/hyperlink" Target="https://twitter.com/heliopparis" TargetMode="External"/><Relationship Id="rId7171" Type="http://schemas.openxmlformats.org/officeDocument/2006/relationships/hyperlink" Target="https://pbs.twimg.com/profile_images/701901513392717824/lUzJ39G2_normal.png" TargetMode="External"/><Relationship Id="rId7170" Type="http://schemas.openxmlformats.org/officeDocument/2006/relationships/hyperlink" Target="https://twitter.com/tomhouslay/status/702935135860170752" TargetMode="External"/><Relationship Id="rId7177" Type="http://schemas.openxmlformats.org/officeDocument/2006/relationships/hyperlink" Target="https://pbs.twimg.com/profile_images/515576920340045824/mBefJfrj_normal.jpeg" TargetMode="External"/><Relationship Id="rId7176" Type="http://schemas.openxmlformats.org/officeDocument/2006/relationships/hyperlink" Target="https://twitter.com/hafenstats/status/702936182074683392" TargetMode="External"/><Relationship Id="rId7175" Type="http://schemas.openxmlformats.org/officeDocument/2006/relationships/hyperlink" Target="https://twitter.com/hafenstats" TargetMode="External"/><Relationship Id="rId7174" Type="http://schemas.openxmlformats.org/officeDocument/2006/relationships/hyperlink" Target="https://pbs.twimg.com/profile_images/686950138347130880/xXI7qRuM_normal.png" TargetMode="External"/><Relationship Id="rId7179" Type="http://schemas.openxmlformats.org/officeDocument/2006/relationships/hyperlink" Target="https://twitter.com/revodavid/status/702936830723887105" TargetMode="External"/><Relationship Id="rId7178" Type="http://schemas.openxmlformats.org/officeDocument/2006/relationships/hyperlink" Target="https://twitter.com/revodavid" TargetMode="External"/><Relationship Id="rId7162" Type="http://schemas.openxmlformats.org/officeDocument/2006/relationships/hyperlink" Target="https://pbs.twimg.com/profile_images/562349585545170944/FADS_UgG_normal.jpeg" TargetMode="External"/><Relationship Id="rId8493" Type="http://schemas.openxmlformats.org/officeDocument/2006/relationships/hyperlink" Target="https://twitter.com/RCSI_Irl/status/703160110789439488" TargetMode="External"/><Relationship Id="rId7161" Type="http://schemas.openxmlformats.org/officeDocument/2006/relationships/hyperlink" Target="https://twitter.com/jhollist/status/702934411432632320" TargetMode="External"/><Relationship Id="rId8492" Type="http://schemas.openxmlformats.org/officeDocument/2006/relationships/hyperlink" Target="https://twitter.com/RCSI_Irl" TargetMode="External"/><Relationship Id="rId7160" Type="http://schemas.openxmlformats.org/officeDocument/2006/relationships/hyperlink" Target="https://twitter.com/jhollist" TargetMode="External"/><Relationship Id="rId8491" Type="http://schemas.openxmlformats.org/officeDocument/2006/relationships/hyperlink" Target="https://pbs.twimg.com/profile_images/498562709513056256/ZOW61Vjv_normal.jpeg" TargetMode="External"/><Relationship Id="rId8490" Type="http://schemas.openxmlformats.org/officeDocument/2006/relationships/hyperlink" Target="https://twitter.com/dr_rtpa/status/703158937470636032" TargetMode="External"/><Relationship Id="rId7166" Type="http://schemas.openxmlformats.org/officeDocument/2006/relationships/hyperlink" Target="https://twitter.com/sckottie" TargetMode="External"/><Relationship Id="rId8497" Type="http://schemas.openxmlformats.org/officeDocument/2006/relationships/hyperlink" Target="https://pbs.twimg.com/profile_images/631755709315575808/zhlx1f8R_normal.jpg" TargetMode="External"/><Relationship Id="rId7165" Type="http://schemas.openxmlformats.org/officeDocument/2006/relationships/hyperlink" Target="https://pbs.twimg.com/profile_images/702933587654483968/ANpPjSFg_normal.jpg" TargetMode="External"/><Relationship Id="rId8496" Type="http://schemas.openxmlformats.org/officeDocument/2006/relationships/hyperlink" Target="https://twitter.com/jillykid/status/703160257862770688" TargetMode="External"/><Relationship Id="rId7164" Type="http://schemas.openxmlformats.org/officeDocument/2006/relationships/hyperlink" Target="https://twitter.com/drpsmyth/status/702934898298978304" TargetMode="External"/><Relationship Id="rId8495" Type="http://schemas.openxmlformats.org/officeDocument/2006/relationships/hyperlink" Target="https://twitter.com/jillykid" TargetMode="External"/><Relationship Id="rId7163" Type="http://schemas.openxmlformats.org/officeDocument/2006/relationships/hyperlink" Target="https://twitter.com/drpsmyth" TargetMode="External"/><Relationship Id="rId8494" Type="http://schemas.openxmlformats.org/officeDocument/2006/relationships/hyperlink" Target="https://pbs.twimg.com/profile_images/699983752269795329/qQsapC67_normal.jpg" TargetMode="External"/><Relationship Id="rId7169" Type="http://schemas.openxmlformats.org/officeDocument/2006/relationships/hyperlink" Target="https://twitter.com/tomhouslay" TargetMode="External"/><Relationship Id="rId7168" Type="http://schemas.openxmlformats.org/officeDocument/2006/relationships/hyperlink" Target="https://pbs.twimg.com/profile_images/628062474491670529/KOOABG9v_normal.jpg" TargetMode="External"/><Relationship Id="rId8499" Type="http://schemas.openxmlformats.org/officeDocument/2006/relationships/hyperlink" Target="https://twitter.com/LessCrime/status/703160875113254913" TargetMode="External"/><Relationship Id="rId7167" Type="http://schemas.openxmlformats.org/officeDocument/2006/relationships/hyperlink" Target="https://twitter.com/sckottie/status/702935105203900416" TargetMode="External"/><Relationship Id="rId8498" Type="http://schemas.openxmlformats.org/officeDocument/2006/relationships/hyperlink" Target="https://twitter.com/LessCrime" TargetMode="External"/><Relationship Id="rId7111" Type="http://schemas.openxmlformats.org/officeDocument/2006/relationships/hyperlink" Target="https://pbs.twimg.com/profile_images/603517008777445376/474uLV55_normal.png" TargetMode="External"/><Relationship Id="rId8442" Type="http://schemas.openxmlformats.org/officeDocument/2006/relationships/hyperlink" Target="https://twitter.com/Pvalsfr/status/703150275415007232" TargetMode="External"/><Relationship Id="rId7110" Type="http://schemas.openxmlformats.org/officeDocument/2006/relationships/hyperlink" Target="https://twitter.com/BerlinRUG/status/702926431299440641" TargetMode="External"/><Relationship Id="rId8441" Type="http://schemas.openxmlformats.org/officeDocument/2006/relationships/hyperlink" Target="https://twitter.com/Pvalsfr" TargetMode="External"/><Relationship Id="rId8440" Type="http://schemas.openxmlformats.org/officeDocument/2006/relationships/hyperlink" Target="https://pbs.twimg.com/profile_images/509352548549935105/vUQcEAtE_normal.jpeg" TargetMode="External"/><Relationship Id="rId7115" Type="http://schemas.openxmlformats.org/officeDocument/2006/relationships/hyperlink" Target="https://twitter.com/christinebaugh" TargetMode="External"/><Relationship Id="rId8446" Type="http://schemas.openxmlformats.org/officeDocument/2006/relationships/hyperlink" Target="https://pbs.twimg.com/profile_images/671906683891810304/9aPCDSao_normal.jpg" TargetMode="External"/><Relationship Id="rId7114" Type="http://schemas.openxmlformats.org/officeDocument/2006/relationships/hyperlink" Target="https://pbs.twimg.com/profile_images/568502264382251008/J4U2pTMq_normal.jpeg" TargetMode="External"/><Relationship Id="rId8445" Type="http://schemas.openxmlformats.org/officeDocument/2006/relationships/hyperlink" Target="https://twitter.com/bramasolo/status/703150325767675905" TargetMode="External"/><Relationship Id="rId7113" Type="http://schemas.openxmlformats.org/officeDocument/2006/relationships/hyperlink" Target="https://twitter.com/WDustinAlbert/status/702928048161734657" TargetMode="External"/><Relationship Id="rId8444" Type="http://schemas.openxmlformats.org/officeDocument/2006/relationships/hyperlink" Target="https://twitter.com/bramasolo" TargetMode="External"/><Relationship Id="rId7112" Type="http://schemas.openxmlformats.org/officeDocument/2006/relationships/hyperlink" Target="https://twitter.com/WDustinAlbert" TargetMode="External"/><Relationship Id="rId8443" Type="http://schemas.openxmlformats.org/officeDocument/2006/relationships/hyperlink" Target="https://abs.twimg.com/sticky/default_profile_images/default_profile_4_normal.png" TargetMode="External"/><Relationship Id="rId7119" Type="http://schemas.openxmlformats.org/officeDocument/2006/relationships/hyperlink" Target="https://twitter.com/kudzaka/status/702928939434516480" TargetMode="External"/><Relationship Id="rId7118" Type="http://schemas.openxmlformats.org/officeDocument/2006/relationships/hyperlink" Target="https://twitter.com/kudzaka" TargetMode="External"/><Relationship Id="rId8449" Type="http://schemas.openxmlformats.org/officeDocument/2006/relationships/hyperlink" Target="https://abs.twimg.com/sticky/default_profile_images/default_profile_6_normal.png" TargetMode="External"/><Relationship Id="rId7117" Type="http://schemas.openxmlformats.org/officeDocument/2006/relationships/hyperlink" Target="https://pbs.twimg.com/profile_images/378800000737270243/0aeebe178b99fc9c4fc3c2269e8fba25_normal.jpeg" TargetMode="External"/><Relationship Id="rId8448" Type="http://schemas.openxmlformats.org/officeDocument/2006/relationships/hyperlink" Target="https://twitter.com/GoldsteinDM/status/703150434634985477" TargetMode="External"/><Relationship Id="rId7116" Type="http://schemas.openxmlformats.org/officeDocument/2006/relationships/hyperlink" Target="https://twitter.com/christinebaugh/status/702928515772112896" TargetMode="External"/><Relationship Id="rId8447" Type="http://schemas.openxmlformats.org/officeDocument/2006/relationships/hyperlink" Target="https://twitter.com/GoldsteinDM" TargetMode="External"/><Relationship Id="rId7109" Type="http://schemas.openxmlformats.org/officeDocument/2006/relationships/hyperlink" Target="https://twitter.com/BerlinRUG" TargetMode="External"/><Relationship Id="rId7100" Type="http://schemas.openxmlformats.org/officeDocument/2006/relationships/hyperlink" Target="https://twitter.com/eFe_Gil" TargetMode="External"/><Relationship Id="rId8431" Type="http://schemas.openxmlformats.org/officeDocument/2006/relationships/hyperlink" Target="https://pbs.twimg.com/profile_images/1344530309/RLangTip_normal.png" TargetMode="External"/><Relationship Id="rId8430" Type="http://schemas.openxmlformats.org/officeDocument/2006/relationships/hyperlink" Target="https://twitter.com/RLangTip/status/703148820243218432" TargetMode="External"/><Relationship Id="rId7104" Type="http://schemas.openxmlformats.org/officeDocument/2006/relationships/hyperlink" Target="https://twitter.com/BerlinRUG/status/702926059092746241" TargetMode="External"/><Relationship Id="rId8435" Type="http://schemas.openxmlformats.org/officeDocument/2006/relationships/hyperlink" Target="https://twitter.com/LluisR_Tgn" TargetMode="External"/><Relationship Id="rId7103" Type="http://schemas.openxmlformats.org/officeDocument/2006/relationships/hyperlink" Target="https://twitter.com/BerlinRUG" TargetMode="External"/><Relationship Id="rId8434" Type="http://schemas.openxmlformats.org/officeDocument/2006/relationships/hyperlink" Target="https://pbs.twimg.com/profile_images/1135754268/chl2bgv2_normal.png" TargetMode="External"/><Relationship Id="rId7102" Type="http://schemas.openxmlformats.org/officeDocument/2006/relationships/hyperlink" Target="https://pbs.twimg.com/profile_images/674700358166388736/pWBofWfu_normal.jpg" TargetMode="External"/><Relationship Id="rId8433" Type="http://schemas.openxmlformats.org/officeDocument/2006/relationships/hyperlink" Target="https://twitter.com/chlalanne/status/703149006273122304" TargetMode="External"/><Relationship Id="rId7101" Type="http://schemas.openxmlformats.org/officeDocument/2006/relationships/hyperlink" Target="https://twitter.com/eFe_Gil/status/702925864686764032" TargetMode="External"/><Relationship Id="rId8432" Type="http://schemas.openxmlformats.org/officeDocument/2006/relationships/hyperlink" Target="https://twitter.com/chlalanne" TargetMode="External"/><Relationship Id="rId7108" Type="http://schemas.openxmlformats.org/officeDocument/2006/relationships/hyperlink" Target="https://pbs.twimg.com/profile_images/3515263408/4dcca0278120c97c765cd0a80806d091_normal.jpeg" TargetMode="External"/><Relationship Id="rId8439" Type="http://schemas.openxmlformats.org/officeDocument/2006/relationships/hyperlink" Target="https://twitter.com/dutchlight360/status/703150039783206912" TargetMode="External"/><Relationship Id="rId7107" Type="http://schemas.openxmlformats.org/officeDocument/2006/relationships/hyperlink" Target="https://twitter.com/desertnaut/status/702926355772645379" TargetMode="External"/><Relationship Id="rId8438" Type="http://schemas.openxmlformats.org/officeDocument/2006/relationships/hyperlink" Target="https://twitter.com/dutchlight360" TargetMode="External"/><Relationship Id="rId7106" Type="http://schemas.openxmlformats.org/officeDocument/2006/relationships/hyperlink" Target="https://twitter.com/desertnaut" TargetMode="External"/><Relationship Id="rId8437" Type="http://schemas.openxmlformats.org/officeDocument/2006/relationships/hyperlink" Target="https://pbs.twimg.com/profile_images/3622768817/d14f64b90edbf5b5ba44b1fb312ff805_normal.jpeg" TargetMode="External"/><Relationship Id="rId7105" Type="http://schemas.openxmlformats.org/officeDocument/2006/relationships/hyperlink" Target="https://pbs.twimg.com/profile_images/603517008777445376/474uLV55_normal.png" TargetMode="External"/><Relationship Id="rId8436" Type="http://schemas.openxmlformats.org/officeDocument/2006/relationships/hyperlink" Target="https://twitter.com/LluisR_Tgn/status/703149044265144320" TargetMode="External"/><Relationship Id="rId8460" Type="http://schemas.openxmlformats.org/officeDocument/2006/relationships/hyperlink" Target="https://twitter.com/kenwilliams9000/status/703153388813324288" TargetMode="External"/><Relationship Id="rId7133" Type="http://schemas.openxmlformats.org/officeDocument/2006/relationships/hyperlink" Target="https://twitter.com/ceng_l" TargetMode="External"/><Relationship Id="rId8464" Type="http://schemas.openxmlformats.org/officeDocument/2006/relationships/hyperlink" Target="https://pbs.twimg.com/profile_images/432984233930285056/Lt1EY5ga_normal.jpeg" TargetMode="External"/><Relationship Id="rId7132" Type="http://schemas.openxmlformats.org/officeDocument/2006/relationships/hyperlink" Target="https://pbs.twimg.com/profile_images/675159429629759490/U_ciM4bZ_normal.jpg" TargetMode="External"/><Relationship Id="rId8463" Type="http://schemas.openxmlformats.org/officeDocument/2006/relationships/hyperlink" Target="https://twitter.com/cutflat/status/703153413240987648" TargetMode="External"/><Relationship Id="rId7131" Type="http://schemas.openxmlformats.org/officeDocument/2006/relationships/hyperlink" Target="https://twitter.com/Hana_Anber/status/702930173780430850" TargetMode="External"/><Relationship Id="rId8462" Type="http://schemas.openxmlformats.org/officeDocument/2006/relationships/hyperlink" Target="https://twitter.com/cutflat" TargetMode="External"/><Relationship Id="rId7130" Type="http://schemas.openxmlformats.org/officeDocument/2006/relationships/hyperlink" Target="https://twitter.com/Hana_Anber" TargetMode="External"/><Relationship Id="rId8461" Type="http://schemas.openxmlformats.org/officeDocument/2006/relationships/hyperlink" Target="https://pbs.twimg.com/profile_images/596633642115399680/2C0N2yl1_normal.jpg" TargetMode="External"/><Relationship Id="rId7137" Type="http://schemas.openxmlformats.org/officeDocument/2006/relationships/hyperlink" Target="https://twitter.com/JennyBryan/status/702930359361507328" TargetMode="External"/><Relationship Id="rId8468" Type="http://schemas.openxmlformats.org/officeDocument/2006/relationships/hyperlink" Target="https://twitter.com/AkashTandon" TargetMode="External"/><Relationship Id="rId7136" Type="http://schemas.openxmlformats.org/officeDocument/2006/relationships/hyperlink" Target="https://twitter.com/JennyBryan" TargetMode="External"/><Relationship Id="rId8467" Type="http://schemas.openxmlformats.org/officeDocument/2006/relationships/hyperlink" Target="https://pbs.twimg.com/profile_images/639583486517473280/W7-TM9HG_normal.jpg" TargetMode="External"/><Relationship Id="rId7135" Type="http://schemas.openxmlformats.org/officeDocument/2006/relationships/hyperlink" Target="https://pbs.twimg.com/profile_images/716121440/me_normal.jpg" TargetMode="External"/><Relationship Id="rId8466" Type="http://schemas.openxmlformats.org/officeDocument/2006/relationships/hyperlink" Target="https://twitter.com/aradnix/status/703153445004443648" TargetMode="External"/><Relationship Id="rId7134" Type="http://schemas.openxmlformats.org/officeDocument/2006/relationships/hyperlink" Target="https://twitter.com/ceng_l/status/702930319150702592" TargetMode="External"/><Relationship Id="rId8465" Type="http://schemas.openxmlformats.org/officeDocument/2006/relationships/hyperlink" Target="https://twitter.com/aradnix" TargetMode="External"/><Relationship Id="rId7139" Type="http://schemas.openxmlformats.org/officeDocument/2006/relationships/hyperlink" Target="https://twitter.com/datiobdEng" TargetMode="External"/><Relationship Id="rId7138" Type="http://schemas.openxmlformats.org/officeDocument/2006/relationships/hyperlink" Target="https://pbs.twimg.com/profile_images/660978605606875137/s3YrJetD_normal.jpg" TargetMode="External"/><Relationship Id="rId8469" Type="http://schemas.openxmlformats.org/officeDocument/2006/relationships/hyperlink" Target="https://twitter.com/AkashTandon/status/703154341939535873" TargetMode="External"/><Relationship Id="rId7122" Type="http://schemas.openxmlformats.org/officeDocument/2006/relationships/hyperlink" Target="https://twitter.com/knutson_brain/status/702929111228911617" TargetMode="External"/><Relationship Id="rId8453" Type="http://schemas.openxmlformats.org/officeDocument/2006/relationships/hyperlink" Target="https://twitter.com/fjalolop000" TargetMode="External"/><Relationship Id="rId7121" Type="http://schemas.openxmlformats.org/officeDocument/2006/relationships/hyperlink" Target="https://twitter.com/knutson_brain" TargetMode="External"/><Relationship Id="rId8452" Type="http://schemas.openxmlformats.org/officeDocument/2006/relationships/hyperlink" Target="https://pbs.twimg.com/profile_images/576799609873428480/V8akQ-mi_normal.jpeg" TargetMode="External"/><Relationship Id="rId7120" Type="http://schemas.openxmlformats.org/officeDocument/2006/relationships/hyperlink" Target="https://abs.twimg.com/sticky/default_profile_images/default_profile_1_normal.png" TargetMode="External"/><Relationship Id="rId8451" Type="http://schemas.openxmlformats.org/officeDocument/2006/relationships/hyperlink" Target="https://twitter.com/fjalolop000/status/703150863506780160" TargetMode="External"/><Relationship Id="rId8450" Type="http://schemas.openxmlformats.org/officeDocument/2006/relationships/hyperlink" Target="https://twitter.com/fjalolop000" TargetMode="External"/><Relationship Id="rId7126" Type="http://schemas.openxmlformats.org/officeDocument/2006/relationships/hyperlink" Target="https://pbs.twimg.com/profile_images/623923923441348612/HxO7gaZZ_normal.png" TargetMode="External"/><Relationship Id="rId8457" Type="http://schemas.openxmlformats.org/officeDocument/2006/relationships/hyperlink" Target="https://twitter.com/coolbutuseless/status/703151762702622720" TargetMode="External"/><Relationship Id="rId7125" Type="http://schemas.openxmlformats.org/officeDocument/2006/relationships/hyperlink" Target="https://twitter.com/odsc/status/702929254527307776" TargetMode="External"/><Relationship Id="rId8456" Type="http://schemas.openxmlformats.org/officeDocument/2006/relationships/hyperlink" Target="https://twitter.com/coolbutuseless" TargetMode="External"/><Relationship Id="rId7124" Type="http://schemas.openxmlformats.org/officeDocument/2006/relationships/hyperlink" Target="https://twitter.com/odsc" TargetMode="External"/><Relationship Id="rId8455" Type="http://schemas.openxmlformats.org/officeDocument/2006/relationships/hyperlink" Target="https://pbs.twimg.com/profile_images/576799609873428480/V8akQ-mi_normal.jpeg" TargetMode="External"/><Relationship Id="rId7123" Type="http://schemas.openxmlformats.org/officeDocument/2006/relationships/hyperlink" Target="https://pbs.twimg.com/profile_images/524045495207862272/mv0MzMg5_normal.jpeg" TargetMode="External"/><Relationship Id="rId8454" Type="http://schemas.openxmlformats.org/officeDocument/2006/relationships/hyperlink" Target="https://twitter.com/fjalolop000/status/703151091509125120" TargetMode="External"/><Relationship Id="rId7129" Type="http://schemas.openxmlformats.org/officeDocument/2006/relationships/hyperlink" Target="https://pbs.twimg.com/profile_images/702933587654483968/ANpPjSFg_normal.jpg" TargetMode="External"/><Relationship Id="rId7128" Type="http://schemas.openxmlformats.org/officeDocument/2006/relationships/hyperlink" Target="https://twitter.com/drpsmyth/status/702929263092178944" TargetMode="External"/><Relationship Id="rId8459" Type="http://schemas.openxmlformats.org/officeDocument/2006/relationships/hyperlink" Target="https://twitter.com/kenwilliams9000" TargetMode="External"/><Relationship Id="rId7127" Type="http://schemas.openxmlformats.org/officeDocument/2006/relationships/hyperlink" Target="https://twitter.com/drpsmyth" TargetMode="External"/><Relationship Id="rId8458" Type="http://schemas.openxmlformats.org/officeDocument/2006/relationships/hyperlink" Target="https://pbs.twimg.com/profile_images/1858980277/icon2_normal.png" TargetMode="External"/><Relationship Id="rId2302" Type="http://schemas.openxmlformats.org/officeDocument/2006/relationships/hyperlink" Target="https://twitter.com/JaimePinillaDo/status/701869549554106369" TargetMode="External"/><Relationship Id="rId3634" Type="http://schemas.openxmlformats.org/officeDocument/2006/relationships/hyperlink" Target="https://twitter.com/detectarte" TargetMode="External"/><Relationship Id="rId4965" Type="http://schemas.openxmlformats.org/officeDocument/2006/relationships/hyperlink" Target="https://twitter.com/convexpolytop/status/702515112096219136" TargetMode="External"/><Relationship Id="rId2303" Type="http://schemas.openxmlformats.org/officeDocument/2006/relationships/hyperlink" Target="https://pbs.twimg.com/profile_images/614813130326196224/oljRbqcH_normal.jpg" TargetMode="External"/><Relationship Id="rId3633" Type="http://schemas.openxmlformats.org/officeDocument/2006/relationships/hyperlink" Target="https://pbs.twimg.com/profile_images/674965971765870592/2tyTjwMT_normal.jpg" TargetMode="External"/><Relationship Id="rId4964" Type="http://schemas.openxmlformats.org/officeDocument/2006/relationships/hyperlink" Target="https://twitter.com/convexpolytop" TargetMode="External"/><Relationship Id="rId2304" Type="http://schemas.openxmlformats.org/officeDocument/2006/relationships/hyperlink" Target="https://twitter.com/alex_filazzola" TargetMode="External"/><Relationship Id="rId3636" Type="http://schemas.openxmlformats.org/officeDocument/2006/relationships/hyperlink" Target="https://pbs.twimg.com/profile_images/1663515697/Nuevo-DA_normal.jpg" TargetMode="External"/><Relationship Id="rId4967" Type="http://schemas.openxmlformats.org/officeDocument/2006/relationships/hyperlink" Target="https://twitter.com/windfall_j" TargetMode="External"/><Relationship Id="rId2305" Type="http://schemas.openxmlformats.org/officeDocument/2006/relationships/hyperlink" Target="https://twitter.com/alex_filazzola/status/701869626599337984" TargetMode="External"/><Relationship Id="rId3635" Type="http://schemas.openxmlformats.org/officeDocument/2006/relationships/hyperlink" Target="https://twitter.com/detectarte/status/702195481204625408" TargetMode="External"/><Relationship Id="rId4966" Type="http://schemas.openxmlformats.org/officeDocument/2006/relationships/hyperlink" Target="https://pbs.twimg.com/profile_images/700469402118918144/M4tnVeQq_normal.jpg" TargetMode="External"/><Relationship Id="rId2306" Type="http://schemas.openxmlformats.org/officeDocument/2006/relationships/hyperlink" Target="https://pbs.twimg.com/profile_images/583743302886785024/--qJwzOK_normal.jpg" TargetMode="External"/><Relationship Id="rId3638" Type="http://schemas.openxmlformats.org/officeDocument/2006/relationships/hyperlink" Target="https://twitter.com/marknca/status/702195802106683392" TargetMode="External"/><Relationship Id="rId4969" Type="http://schemas.openxmlformats.org/officeDocument/2006/relationships/hyperlink" Target="https://pbs.twimg.com/profile_images/467927777132302336/VwUxJUlm_normal.png" TargetMode="External"/><Relationship Id="rId2307" Type="http://schemas.openxmlformats.org/officeDocument/2006/relationships/hyperlink" Target="https://twitter.com/darinself" TargetMode="External"/><Relationship Id="rId3637" Type="http://schemas.openxmlformats.org/officeDocument/2006/relationships/hyperlink" Target="https://twitter.com/marknca" TargetMode="External"/><Relationship Id="rId4968" Type="http://schemas.openxmlformats.org/officeDocument/2006/relationships/hyperlink" Target="https://twitter.com/windfall_j/status/702515398097264640" TargetMode="External"/><Relationship Id="rId2308" Type="http://schemas.openxmlformats.org/officeDocument/2006/relationships/hyperlink" Target="https://twitter.com/darinself/status/701871006424629249" TargetMode="External"/><Relationship Id="rId2309" Type="http://schemas.openxmlformats.org/officeDocument/2006/relationships/hyperlink" Target="https://pbs.twimg.com/profile_images/701932214477578240/n5qec4i3_normal.jpg" TargetMode="External"/><Relationship Id="rId3639" Type="http://schemas.openxmlformats.org/officeDocument/2006/relationships/hyperlink" Target="https://pbs.twimg.com/profile_images/579998526039420928/6r__HOOO_normal.jpg" TargetMode="External"/><Relationship Id="rId3630" Type="http://schemas.openxmlformats.org/officeDocument/2006/relationships/hyperlink" Target="https://pbs.twimg.com/profile_images/3654916643/41e86ccffc771868940fb53a41c3b712_normal.jpeg" TargetMode="External"/><Relationship Id="rId4961" Type="http://schemas.openxmlformats.org/officeDocument/2006/relationships/hyperlink" Target="https://twitter.com/0ttlngr" TargetMode="External"/><Relationship Id="rId4960" Type="http://schemas.openxmlformats.org/officeDocument/2006/relationships/hyperlink" Target="https://pbs.twimg.com/profile_images/672824252362440704/f3cGlBUj_normal.jpg" TargetMode="External"/><Relationship Id="rId2300" Type="http://schemas.openxmlformats.org/officeDocument/2006/relationships/hyperlink" Target="https://pbs.twimg.com/profile_images/424906789725818880/I4q471Rq_normal.jpeg" TargetMode="External"/><Relationship Id="rId3632" Type="http://schemas.openxmlformats.org/officeDocument/2006/relationships/hyperlink" Target="https://twitter.com/fawda123/status/702195210621685761" TargetMode="External"/><Relationship Id="rId4963" Type="http://schemas.openxmlformats.org/officeDocument/2006/relationships/hyperlink" Target="https://pbs.twimg.com/profile_images/697103122162962434/vXqoolw3_normal.png" TargetMode="External"/><Relationship Id="rId2301" Type="http://schemas.openxmlformats.org/officeDocument/2006/relationships/hyperlink" Target="https://twitter.com/JaimePinillaDo" TargetMode="External"/><Relationship Id="rId3631" Type="http://schemas.openxmlformats.org/officeDocument/2006/relationships/hyperlink" Target="https://twitter.com/fawda123" TargetMode="External"/><Relationship Id="rId4962" Type="http://schemas.openxmlformats.org/officeDocument/2006/relationships/hyperlink" Target="https://twitter.com/0ttlngr/status/702514902091632640" TargetMode="External"/><Relationship Id="rId3623" Type="http://schemas.openxmlformats.org/officeDocument/2006/relationships/hyperlink" Target="https://twitter.com/jlsalmeron/status/702189088389070852" TargetMode="External"/><Relationship Id="rId4954" Type="http://schemas.openxmlformats.org/officeDocument/2006/relationships/hyperlink" Target="https://pbs.twimg.com/profile_images/412249095110008832/J_K4--iQ_normal.png" TargetMode="External"/><Relationship Id="rId3622" Type="http://schemas.openxmlformats.org/officeDocument/2006/relationships/hyperlink" Target="https://twitter.com/jlsalmeron" TargetMode="External"/><Relationship Id="rId4953" Type="http://schemas.openxmlformats.org/officeDocument/2006/relationships/hyperlink" Target="https://twitter.com/DataAndDataViz/status/702511729901768704" TargetMode="External"/><Relationship Id="rId3625" Type="http://schemas.openxmlformats.org/officeDocument/2006/relationships/hyperlink" Target="https://twitter.com/gunesh_y" TargetMode="External"/><Relationship Id="rId4956" Type="http://schemas.openxmlformats.org/officeDocument/2006/relationships/hyperlink" Target="https://twitter.com/earlconf/status/702512561896337408" TargetMode="External"/><Relationship Id="rId3624" Type="http://schemas.openxmlformats.org/officeDocument/2006/relationships/hyperlink" Target="https://pbs.twimg.com/profile_images/692461725870903297/g6XlJv2O_normal.jpg" TargetMode="External"/><Relationship Id="rId4955" Type="http://schemas.openxmlformats.org/officeDocument/2006/relationships/hyperlink" Target="https://twitter.com/earlconf" TargetMode="External"/><Relationship Id="rId3627" Type="http://schemas.openxmlformats.org/officeDocument/2006/relationships/hyperlink" Target="https://pbs.twimg.com/profile_images/665585864454643712/_LGhhyvq_normal.jpg" TargetMode="External"/><Relationship Id="rId4958" Type="http://schemas.openxmlformats.org/officeDocument/2006/relationships/hyperlink" Target="https://twitter.com/SeascapeScience" TargetMode="External"/><Relationship Id="rId3626" Type="http://schemas.openxmlformats.org/officeDocument/2006/relationships/hyperlink" Target="https://twitter.com/gunesh_y/status/702189578656985088" TargetMode="External"/><Relationship Id="rId4957" Type="http://schemas.openxmlformats.org/officeDocument/2006/relationships/hyperlink" Target="https://pbs.twimg.com/profile_images/432298122203512833/YDXfWlI__normal.png" TargetMode="External"/><Relationship Id="rId3629" Type="http://schemas.openxmlformats.org/officeDocument/2006/relationships/hyperlink" Target="https://twitter.com/bhaskar_vk/status/702192715216375809" TargetMode="External"/><Relationship Id="rId3628" Type="http://schemas.openxmlformats.org/officeDocument/2006/relationships/hyperlink" Target="https://twitter.com/bhaskar_vk" TargetMode="External"/><Relationship Id="rId4959" Type="http://schemas.openxmlformats.org/officeDocument/2006/relationships/hyperlink" Target="https://twitter.com/SeascapeScience/status/702514137482526720" TargetMode="External"/><Relationship Id="rId4950" Type="http://schemas.openxmlformats.org/officeDocument/2006/relationships/hyperlink" Target="https://twitter.com/_Zanion/status/702510496264531968" TargetMode="External"/><Relationship Id="rId3621" Type="http://schemas.openxmlformats.org/officeDocument/2006/relationships/hyperlink" Target="https://pbs.twimg.com/profile_images/489375332743409664/P4sYDY1__normal.png" TargetMode="External"/><Relationship Id="rId4952" Type="http://schemas.openxmlformats.org/officeDocument/2006/relationships/hyperlink" Target="https://twitter.com/DataAndDataViz" TargetMode="External"/><Relationship Id="rId3620" Type="http://schemas.openxmlformats.org/officeDocument/2006/relationships/hyperlink" Target="https://twitter.com/bigboardsio/status/702189035494756352" TargetMode="External"/><Relationship Id="rId4951" Type="http://schemas.openxmlformats.org/officeDocument/2006/relationships/hyperlink" Target="https://pbs.twimg.com/profile_images/3567294631/38208b446c59ae5f4febdec37cef382d_normal.jpeg" TargetMode="External"/><Relationship Id="rId2324" Type="http://schemas.openxmlformats.org/officeDocument/2006/relationships/hyperlink" Target="https://pbs.twimg.com/profile_images/674699205034790912/E6QAAkks_normal.png" TargetMode="External"/><Relationship Id="rId3656" Type="http://schemas.openxmlformats.org/officeDocument/2006/relationships/hyperlink" Target="https://twitter.com/stesummi/status/702200149674762240" TargetMode="External"/><Relationship Id="rId4987" Type="http://schemas.openxmlformats.org/officeDocument/2006/relationships/hyperlink" Target="https://pbs.twimg.com/profile_images/687122510672953344/ppVG2cIC_normal.jpg" TargetMode="External"/><Relationship Id="rId2325" Type="http://schemas.openxmlformats.org/officeDocument/2006/relationships/hyperlink" Target="https://twitter.com/CjMrcamiel" TargetMode="External"/><Relationship Id="rId3655" Type="http://schemas.openxmlformats.org/officeDocument/2006/relationships/hyperlink" Target="https://twitter.com/stesummi" TargetMode="External"/><Relationship Id="rId4986" Type="http://schemas.openxmlformats.org/officeDocument/2006/relationships/hyperlink" Target="https://twitter.com/jatkat45/status/702518711874416640" TargetMode="External"/><Relationship Id="rId2326" Type="http://schemas.openxmlformats.org/officeDocument/2006/relationships/hyperlink" Target="https://twitter.com/CjMrcamiel/status/701876112125620224" TargetMode="External"/><Relationship Id="rId3658" Type="http://schemas.openxmlformats.org/officeDocument/2006/relationships/hyperlink" Target="https://twitter.com/southmapr" TargetMode="External"/><Relationship Id="rId4989" Type="http://schemas.openxmlformats.org/officeDocument/2006/relationships/hyperlink" Target="https://twitter.com/imfene/status/702518783001432064" TargetMode="External"/><Relationship Id="rId2327" Type="http://schemas.openxmlformats.org/officeDocument/2006/relationships/hyperlink" Target="https://pbs.twimg.com/profile_images/378800000254021542/887553be439db2d83c346af322b2e8ec_normal.jpeg" TargetMode="External"/><Relationship Id="rId3657" Type="http://schemas.openxmlformats.org/officeDocument/2006/relationships/hyperlink" Target="https://pbs.twimg.com/profile_images/671378779021832192/gmy9FPMl_normal.jpg" TargetMode="External"/><Relationship Id="rId4988" Type="http://schemas.openxmlformats.org/officeDocument/2006/relationships/hyperlink" Target="https://twitter.com/imfene" TargetMode="External"/><Relationship Id="rId2328" Type="http://schemas.openxmlformats.org/officeDocument/2006/relationships/hyperlink" Target="https://twitter.com/DataWookie" TargetMode="External"/><Relationship Id="rId2329" Type="http://schemas.openxmlformats.org/officeDocument/2006/relationships/hyperlink" Target="https://twitter.com/DataWookie/status/701876338215399424" TargetMode="External"/><Relationship Id="rId3659" Type="http://schemas.openxmlformats.org/officeDocument/2006/relationships/hyperlink" Target="https://twitter.com/southmapr/status/702200826916433920" TargetMode="External"/><Relationship Id="rId3650" Type="http://schemas.openxmlformats.org/officeDocument/2006/relationships/hyperlink" Target="https://twitter.com/behaviordots/status/702199554767073280" TargetMode="External"/><Relationship Id="rId4981" Type="http://schemas.openxmlformats.org/officeDocument/2006/relationships/hyperlink" Target="https://pbs.twimg.com/profile_images/2198946077/image_normal.jpg" TargetMode="External"/><Relationship Id="rId4980" Type="http://schemas.openxmlformats.org/officeDocument/2006/relationships/hyperlink" Target="https://twitter.com/timelyportfolio/status/702518658636128256" TargetMode="External"/><Relationship Id="rId2320" Type="http://schemas.openxmlformats.org/officeDocument/2006/relationships/hyperlink" Target="https://twitter.com/dt_science/status/701875810081308673" TargetMode="External"/><Relationship Id="rId3652" Type="http://schemas.openxmlformats.org/officeDocument/2006/relationships/hyperlink" Target="https://twitter.com/ArturoErdely" TargetMode="External"/><Relationship Id="rId4983" Type="http://schemas.openxmlformats.org/officeDocument/2006/relationships/hyperlink" Target="https://twitter.com/kyle_e_walker/status/702518703649218560" TargetMode="External"/><Relationship Id="rId2321" Type="http://schemas.openxmlformats.org/officeDocument/2006/relationships/hyperlink" Target="https://pbs.twimg.com/profile_images/378800000520913369/fe22b02ae069d9b82bcc99b97cb1315b_normal.jpeg" TargetMode="External"/><Relationship Id="rId3651" Type="http://schemas.openxmlformats.org/officeDocument/2006/relationships/hyperlink" Target="https://pbs.twimg.com/profile_images/672135815087149056/Cyx6X1gZ_normal.jpg" TargetMode="External"/><Relationship Id="rId4982" Type="http://schemas.openxmlformats.org/officeDocument/2006/relationships/hyperlink" Target="https://twitter.com/kyle_e_walker" TargetMode="External"/><Relationship Id="rId2322" Type="http://schemas.openxmlformats.org/officeDocument/2006/relationships/hyperlink" Target="https://twitter.com/GeistGegenwart" TargetMode="External"/><Relationship Id="rId3654" Type="http://schemas.openxmlformats.org/officeDocument/2006/relationships/hyperlink" Target="https://pbs.twimg.com/profile_images/3199598780/253af0e6b8fa63bf5b969ccc9a3486e7_normal.jpeg" TargetMode="External"/><Relationship Id="rId4985" Type="http://schemas.openxmlformats.org/officeDocument/2006/relationships/hyperlink" Target="https://twitter.com/jatkat45" TargetMode="External"/><Relationship Id="rId2323" Type="http://schemas.openxmlformats.org/officeDocument/2006/relationships/hyperlink" Target="https://twitter.com/GeistGegenwart/status/701875983067045888" TargetMode="External"/><Relationship Id="rId3653" Type="http://schemas.openxmlformats.org/officeDocument/2006/relationships/hyperlink" Target="https://twitter.com/ArturoErdely/status/702199804365910017" TargetMode="External"/><Relationship Id="rId4984" Type="http://schemas.openxmlformats.org/officeDocument/2006/relationships/hyperlink" Target="https://pbs.twimg.com/profile_images/535539844479332354/CA9doTjY_normal.jpeg" TargetMode="External"/><Relationship Id="rId2313" Type="http://schemas.openxmlformats.org/officeDocument/2006/relationships/hyperlink" Target="https://twitter.com/tangming2005" TargetMode="External"/><Relationship Id="rId3645" Type="http://schemas.openxmlformats.org/officeDocument/2006/relationships/hyperlink" Target="https://pbs.twimg.com/profile_images/1580520395/Nyan_cat_250px_frame_normal.png" TargetMode="External"/><Relationship Id="rId4976" Type="http://schemas.openxmlformats.org/officeDocument/2006/relationships/hyperlink" Target="https://twitter.com/jamesaeddy" TargetMode="External"/><Relationship Id="rId2314" Type="http://schemas.openxmlformats.org/officeDocument/2006/relationships/hyperlink" Target="https://twitter.com/tangming2005/status/701874189519589377" TargetMode="External"/><Relationship Id="rId3644" Type="http://schemas.openxmlformats.org/officeDocument/2006/relationships/hyperlink" Target="https://twitter.com/fabio_zottele/status/702197651610144769" TargetMode="External"/><Relationship Id="rId4975" Type="http://schemas.openxmlformats.org/officeDocument/2006/relationships/hyperlink" Target="https://pbs.twimg.com/profile_images/3397855890/db44e00e37d2e58fc2409400349106f3_normal.jpeg" TargetMode="External"/><Relationship Id="rId2315" Type="http://schemas.openxmlformats.org/officeDocument/2006/relationships/hyperlink" Target="https://pbs.twimg.com/profile_images/442060405225967617/jOtd1ueH_normal.jpeg" TargetMode="External"/><Relationship Id="rId3647" Type="http://schemas.openxmlformats.org/officeDocument/2006/relationships/hyperlink" Target="https://twitter.com/tripartio/status/702197937523130368" TargetMode="External"/><Relationship Id="rId4978" Type="http://schemas.openxmlformats.org/officeDocument/2006/relationships/hyperlink" Target="https://pbs.twimg.com/profile_images/437829207167467520/_C2rvXH9_normal.jpeg" TargetMode="External"/><Relationship Id="rId2316" Type="http://schemas.openxmlformats.org/officeDocument/2006/relationships/hyperlink" Target="https://twitter.com/Corinne_Mgr" TargetMode="External"/><Relationship Id="rId3646" Type="http://schemas.openxmlformats.org/officeDocument/2006/relationships/hyperlink" Target="https://twitter.com/tripartio" TargetMode="External"/><Relationship Id="rId4977" Type="http://schemas.openxmlformats.org/officeDocument/2006/relationships/hyperlink" Target="https://twitter.com/jamesaeddy/status/702518413386616832" TargetMode="External"/><Relationship Id="rId2317" Type="http://schemas.openxmlformats.org/officeDocument/2006/relationships/hyperlink" Target="https://twitter.com/Corinne_Mgr/status/701874338748829698" TargetMode="External"/><Relationship Id="rId3649" Type="http://schemas.openxmlformats.org/officeDocument/2006/relationships/hyperlink" Target="https://twitter.com/behaviordots" TargetMode="External"/><Relationship Id="rId2318" Type="http://schemas.openxmlformats.org/officeDocument/2006/relationships/hyperlink" Target="https://pbs.twimg.com/profile_images/1650324725/photo_normal.jpg" TargetMode="External"/><Relationship Id="rId3648" Type="http://schemas.openxmlformats.org/officeDocument/2006/relationships/hyperlink" Target="https://pbs.twimg.com/profile_images/529482878543867904/H-UGY1d0_normal.png" TargetMode="External"/><Relationship Id="rId4979" Type="http://schemas.openxmlformats.org/officeDocument/2006/relationships/hyperlink" Target="https://twitter.com/timelyportfolio" TargetMode="External"/><Relationship Id="rId2319" Type="http://schemas.openxmlformats.org/officeDocument/2006/relationships/hyperlink" Target="https://twitter.com/dt_science" TargetMode="External"/><Relationship Id="rId4970" Type="http://schemas.openxmlformats.org/officeDocument/2006/relationships/hyperlink" Target="https://twitter.com/miishke" TargetMode="External"/><Relationship Id="rId3641" Type="http://schemas.openxmlformats.org/officeDocument/2006/relationships/hyperlink" Target="https://twitter.com/hrbrmstr/status/702195893936766976" TargetMode="External"/><Relationship Id="rId4972" Type="http://schemas.openxmlformats.org/officeDocument/2006/relationships/hyperlink" Target="https://pbs.twimg.com/profile_images/691290586062655488/YRSxlcWm_normal.png" TargetMode="External"/><Relationship Id="rId2310" Type="http://schemas.openxmlformats.org/officeDocument/2006/relationships/hyperlink" Target="https://twitter.com/emmaspiro" TargetMode="External"/><Relationship Id="rId3640" Type="http://schemas.openxmlformats.org/officeDocument/2006/relationships/hyperlink" Target="https://twitter.com/hrbrmstr" TargetMode="External"/><Relationship Id="rId4971" Type="http://schemas.openxmlformats.org/officeDocument/2006/relationships/hyperlink" Target="https://twitter.com/miishke/status/702518076382830592" TargetMode="External"/><Relationship Id="rId2311" Type="http://schemas.openxmlformats.org/officeDocument/2006/relationships/hyperlink" Target="https://twitter.com/emmaspiro/status/701873099533201408" TargetMode="External"/><Relationship Id="rId3643" Type="http://schemas.openxmlformats.org/officeDocument/2006/relationships/hyperlink" Target="https://twitter.com/fabio_zottele" TargetMode="External"/><Relationship Id="rId4974" Type="http://schemas.openxmlformats.org/officeDocument/2006/relationships/hyperlink" Target="https://twitter.com/taylerwithanE/status/702518342066839553" TargetMode="External"/><Relationship Id="rId2312" Type="http://schemas.openxmlformats.org/officeDocument/2006/relationships/hyperlink" Target="https://pbs.twimg.com/profile_images/525366265309720576/8kYn2EfB_normal.jpeg" TargetMode="External"/><Relationship Id="rId3642" Type="http://schemas.openxmlformats.org/officeDocument/2006/relationships/hyperlink" Target="https://pbs.twimg.com/profile_images/557592259298729985/kpCUQWH1_normal.png" TargetMode="External"/><Relationship Id="rId4973" Type="http://schemas.openxmlformats.org/officeDocument/2006/relationships/hyperlink" Target="https://twitter.com/taylerwithanE" TargetMode="External"/><Relationship Id="rId4921" Type="http://schemas.openxmlformats.org/officeDocument/2006/relationships/hyperlink" Target="https://pbs.twimg.com/profile_images/536482954516520960/4dqsb-SO_normal.jpeg" TargetMode="External"/><Relationship Id="rId4920" Type="http://schemas.openxmlformats.org/officeDocument/2006/relationships/hyperlink" Target="https://twitter.com/mhiggins2000/status/702505294774063104" TargetMode="External"/><Relationship Id="rId4923" Type="http://schemas.openxmlformats.org/officeDocument/2006/relationships/hyperlink" Target="https://twitter.com/JudgeLord/status/702506443765710848" TargetMode="External"/><Relationship Id="rId4922" Type="http://schemas.openxmlformats.org/officeDocument/2006/relationships/hyperlink" Target="https://twitter.com/JudgeLord" TargetMode="External"/><Relationship Id="rId4925" Type="http://schemas.openxmlformats.org/officeDocument/2006/relationships/hyperlink" Target="https://twitter.com/geobrando" TargetMode="External"/><Relationship Id="rId4924" Type="http://schemas.openxmlformats.org/officeDocument/2006/relationships/hyperlink" Target="https://pbs.twimg.com/profile_images/484739060984840192/jRC1zDjd_normal.png" TargetMode="External"/><Relationship Id="rId4927" Type="http://schemas.openxmlformats.org/officeDocument/2006/relationships/hyperlink" Target="https://pbs.twimg.com/profile_images/442533991489744896/MPBqZZ3q_normal.jpeg" TargetMode="External"/><Relationship Id="rId4926" Type="http://schemas.openxmlformats.org/officeDocument/2006/relationships/hyperlink" Target="https://twitter.com/geobrando/status/702506597017374721" TargetMode="External"/><Relationship Id="rId4929" Type="http://schemas.openxmlformats.org/officeDocument/2006/relationships/hyperlink" Target="https://twitter.com/ma_salmon/status/702507498994008066" TargetMode="External"/><Relationship Id="rId4928" Type="http://schemas.openxmlformats.org/officeDocument/2006/relationships/hyperlink" Target="https://twitter.com/ma_salmon" TargetMode="External"/><Relationship Id="rId7195" Type="http://schemas.openxmlformats.org/officeDocument/2006/relationships/hyperlink" Target="https://pbs.twimg.com/profile_images/561301462399979521/20njf5kj_normal.jpeg" TargetMode="External"/><Relationship Id="rId7194" Type="http://schemas.openxmlformats.org/officeDocument/2006/relationships/hyperlink" Target="https://twitter.com/thanhtungmilan/status/702939492844335104" TargetMode="External"/><Relationship Id="rId7193" Type="http://schemas.openxmlformats.org/officeDocument/2006/relationships/hyperlink" Target="https://twitter.com/thanhtungmilan" TargetMode="External"/><Relationship Id="rId7192" Type="http://schemas.openxmlformats.org/officeDocument/2006/relationships/hyperlink" Target="https://pbs.twimg.com/profile_images/412126192150401024/BGjaQNXk_normal.jpeg" TargetMode="External"/><Relationship Id="rId7199" Type="http://schemas.openxmlformats.org/officeDocument/2006/relationships/hyperlink" Target="https://twitter.com/MikeDeCrescenzo" TargetMode="External"/><Relationship Id="rId7198" Type="http://schemas.openxmlformats.org/officeDocument/2006/relationships/hyperlink" Target="https://pbs.twimg.com/profile_images/507235241430228992/QInVM6F__normal.png" TargetMode="External"/><Relationship Id="rId7197" Type="http://schemas.openxmlformats.org/officeDocument/2006/relationships/hyperlink" Target="https://twitter.com/mf_viz/status/702939966364479488" TargetMode="External"/><Relationship Id="rId7196" Type="http://schemas.openxmlformats.org/officeDocument/2006/relationships/hyperlink" Target="https://twitter.com/mf_viz" TargetMode="External"/><Relationship Id="rId4910" Type="http://schemas.openxmlformats.org/officeDocument/2006/relationships/hyperlink" Target="https://twitter.com/sharon000" TargetMode="External"/><Relationship Id="rId4912" Type="http://schemas.openxmlformats.org/officeDocument/2006/relationships/hyperlink" Target="https://pbs.twimg.com/profile_images/1174545663/SharonMachlis_sm2_normal.jpg" TargetMode="External"/><Relationship Id="rId4911" Type="http://schemas.openxmlformats.org/officeDocument/2006/relationships/hyperlink" Target="https://twitter.com/sharon000/status/702504247863156736" TargetMode="External"/><Relationship Id="rId4914" Type="http://schemas.openxmlformats.org/officeDocument/2006/relationships/hyperlink" Target="https://twitter.com/LM_HATII/status/702504434413268993" TargetMode="External"/><Relationship Id="rId4913" Type="http://schemas.openxmlformats.org/officeDocument/2006/relationships/hyperlink" Target="https://twitter.com/LM_HATII" TargetMode="External"/><Relationship Id="rId4916" Type="http://schemas.openxmlformats.org/officeDocument/2006/relationships/hyperlink" Target="https://twitter.com/justmarkham" TargetMode="External"/><Relationship Id="rId4915" Type="http://schemas.openxmlformats.org/officeDocument/2006/relationships/hyperlink" Target="https://pbs.twimg.com/profile_images/1469062988/16floor_white_normal.jpg" TargetMode="External"/><Relationship Id="rId4918" Type="http://schemas.openxmlformats.org/officeDocument/2006/relationships/hyperlink" Target="https://pbs.twimg.com/profile_images/443121981215350784/3D-2SL-R_normal.jpeg" TargetMode="External"/><Relationship Id="rId4917" Type="http://schemas.openxmlformats.org/officeDocument/2006/relationships/hyperlink" Target="https://twitter.com/justmarkham/status/702504719135186944" TargetMode="External"/><Relationship Id="rId4919" Type="http://schemas.openxmlformats.org/officeDocument/2006/relationships/hyperlink" Target="https://twitter.com/mhiggins2000" TargetMode="External"/><Relationship Id="rId7191" Type="http://schemas.openxmlformats.org/officeDocument/2006/relationships/hyperlink" Target="https://twitter.com/ayirpelle/status/702938063069024256" TargetMode="External"/><Relationship Id="rId7190" Type="http://schemas.openxmlformats.org/officeDocument/2006/relationships/hyperlink" Target="https://twitter.com/ayirpelle" TargetMode="External"/><Relationship Id="rId7184" Type="http://schemas.openxmlformats.org/officeDocument/2006/relationships/hyperlink" Target="https://twitter.com/dutchlight360" TargetMode="External"/><Relationship Id="rId7183" Type="http://schemas.openxmlformats.org/officeDocument/2006/relationships/hyperlink" Target="https://pbs.twimg.com/profile_images/630277871538278400/gEjxWtPD_normal.jpg" TargetMode="External"/><Relationship Id="rId7182" Type="http://schemas.openxmlformats.org/officeDocument/2006/relationships/hyperlink" Target="https://twitter.com/datascienceplus/status/702937517310476288" TargetMode="External"/><Relationship Id="rId7181" Type="http://schemas.openxmlformats.org/officeDocument/2006/relationships/hyperlink" Target="https://twitter.com/datascienceplus" TargetMode="External"/><Relationship Id="rId7188" Type="http://schemas.openxmlformats.org/officeDocument/2006/relationships/hyperlink" Target="https://twitter.com/JesusIxrael/status/702937991237349376" TargetMode="External"/><Relationship Id="rId7187" Type="http://schemas.openxmlformats.org/officeDocument/2006/relationships/hyperlink" Target="https://twitter.com/JesusIxrael" TargetMode="External"/><Relationship Id="rId7186" Type="http://schemas.openxmlformats.org/officeDocument/2006/relationships/hyperlink" Target="https://pbs.twimg.com/profile_images/509352548549935105/vUQcEAtE_normal.jpeg" TargetMode="External"/><Relationship Id="rId7185" Type="http://schemas.openxmlformats.org/officeDocument/2006/relationships/hyperlink" Target="https://twitter.com/dutchlight360/status/702937544376373248" TargetMode="External"/><Relationship Id="rId7189" Type="http://schemas.openxmlformats.org/officeDocument/2006/relationships/hyperlink" Target="https://pbs.twimg.com/profile_images/426732200155824128/ssM7XYA4_normal.jpeg" TargetMode="External"/><Relationship Id="rId3612" Type="http://schemas.openxmlformats.org/officeDocument/2006/relationships/hyperlink" Target="https://pbs.twimg.com/profile_images/582945739141058560/m1lDOgFc_normal.png" TargetMode="External"/><Relationship Id="rId4943" Type="http://schemas.openxmlformats.org/officeDocument/2006/relationships/hyperlink" Target="https://twitter.com/hadleywickham" TargetMode="External"/><Relationship Id="rId3611" Type="http://schemas.openxmlformats.org/officeDocument/2006/relationships/hyperlink" Target="https://twitter.com/artemklevtsov/status/702187777450975232" TargetMode="External"/><Relationship Id="rId4942" Type="http://schemas.openxmlformats.org/officeDocument/2006/relationships/hyperlink" Target="https://pbs.twimg.com/profile_images/677589103710306304/m56O6Wgf_normal.jpg" TargetMode="External"/><Relationship Id="rId3614" Type="http://schemas.openxmlformats.org/officeDocument/2006/relationships/hyperlink" Target="https://twitter.com/jletteboer/status/702187820891373568" TargetMode="External"/><Relationship Id="rId4945" Type="http://schemas.openxmlformats.org/officeDocument/2006/relationships/hyperlink" Target="https://pbs.twimg.com/profile_images/677589103710306304/m56O6Wgf_normal.jpg" TargetMode="External"/><Relationship Id="rId3613" Type="http://schemas.openxmlformats.org/officeDocument/2006/relationships/hyperlink" Target="https://twitter.com/jletteboer" TargetMode="External"/><Relationship Id="rId4944" Type="http://schemas.openxmlformats.org/officeDocument/2006/relationships/hyperlink" Target="https://twitter.com/hadleywickham/status/702509739414933504" TargetMode="External"/><Relationship Id="rId3616" Type="http://schemas.openxmlformats.org/officeDocument/2006/relationships/hyperlink" Target="https://twitter.com/data_made_easy" TargetMode="External"/><Relationship Id="rId4947" Type="http://schemas.openxmlformats.org/officeDocument/2006/relationships/hyperlink" Target="https://twitter.com/jrauser/status/702510449045041154" TargetMode="External"/><Relationship Id="rId3615" Type="http://schemas.openxmlformats.org/officeDocument/2006/relationships/hyperlink" Target="https://pbs.twimg.com/profile_images/524199331365015552/O94t9yIe_normal.jpeg" TargetMode="External"/><Relationship Id="rId4946" Type="http://schemas.openxmlformats.org/officeDocument/2006/relationships/hyperlink" Target="https://twitter.com/jrauser" TargetMode="External"/><Relationship Id="rId3618" Type="http://schemas.openxmlformats.org/officeDocument/2006/relationships/hyperlink" Target="https://pbs.twimg.com/profile_images/696588454948270081/2oDpW0OI_normal.png" TargetMode="External"/><Relationship Id="rId4949" Type="http://schemas.openxmlformats.org/officeDocument/2006/relationships/hyperlink" Target="https://twitter.com/_Zanion" TargetMode="External"/><Relationship Id="rId3617" Type="http://schemas.openxmlformats.org/officeDocument/2006/relationships/hyperlink" Target="https://twitter.com/data_made_easy/status/702188584699203584" TargetMode="External"/><Relationship Id="rId4948" Type="http://schemas.openxmlformats.org/officeDocument/2006/relationships/hyperlink" Target="https://pbs.twimg.com/profile_images/1288636675/me_paris_normal.jpg" TargetMode="External"/><Relationship Id="rId3619" Type="http://schemas.openxmlformats.org/officeDocument/2006/relationships/hyperlink" Target="https://twitter.com/bigboardsio" TargetMode="External"/><Relationship Id="rId3610" Type="http://schemas.openxmlformats.org/officeDocument/2006/relationships/hyperlink" Target="https://twitter.com/artemklevtsov" TargetMode="External"/><Relationship Id="rId4941" Type="http://schemas.openxmlformats.org/officeDocument/2006/relationships/hyperlink" Target="https://twitter.com/hadleywickham/status/702508875077939201" TargetMode="External"/><Relationship Id="rId4940" Type="http://schemas.openxmlformats.org/officeDocument/2006/relationships/hyperlink" Target="https://twitter.com/hadleywickham" TargetMode="External"/><Relationship Id="rId3601" Type="http://schemas.openxmlformats.org/officeDocument/2006/relationships/hyperlink" Target="https://twitter.com/khakieconomist" TargetMode="External"/><Relationship Id="rId4932" Type="http://schemas.openxmlformats.org/officeDocument/2006/relationships/hyperlink" Target="https://twitter.com/dunabit/status/702507645588996096" TargetMode="External"/><Relationship Id="rId3600" Type="http://schemas.openxmlformats.org/officeDocument/2006/relationships/hyperlink" Target="https://pbs.twimg.com/profile_images/1125070699/nyc_stats_normal.jpeg" TargetMode="External"/><Relationship Id="rId4931" Type="http://schemas.openxmlformats.org/officeDocument/2006/relationships/hyperlink" Target="https://twitter.com/dunabit" TargetMode="External"/><Relationship Id="rId3603" Type="http://schemas.openxmlformats.org/officeDocument/2006/relationships/hyperlink" Target="https://pbs.twimg.com/profile_images/573218609599660032/xM4mXHOr_normal.jpeg" TargetMode="External"/><Relationship Id="rId4934" Type="http://schemas.openxmlformats.org/officeDocument/2006/relationships/hyperlink" Target="https://twitter.com/gscheithauer" TargetMode="External"/><Relationship Id="rId3602" Type="http://schemas.openxmlformats.org/officeDocument/2006/relationships/hyperlink" Target="https://twitter.com/khakieconomist/status/702186322577006596" TargetMode="External"/><Relationship Id="rId4933" Type="http://schemas.openxmlformats.org/officeDocument/2006/relationships/hyperlink" Target="https://pbs.twimg.com/profile_images/291083699/swimavatar_normal.jpg" TargetMode="External"/><Relationship Id="rId3605" Type="http://schemas.openxmlformats.org/officeDocument/2006/relationships/hyperlink" Target="https://twitter.com/NowLivecodingtv/status/702186354608885760" TargetMode="External"/><Relationship Id="rId4936" Type="http://schemas.openxmlformats.org/officeDocument/2006/relationships/hyperlink" Target="https://pbs.twimg.com/profile_images/1378810252/opitz-consulting_scheithauer-gregor_20110401_6186_quadratisch_normal.jpg" TargetMode="External"/><Relationship Id="rId3604" Type="http://schemas.openxmlformats.org/officeDocument/2006/relationships/hyperlink" Target="https://twitter.com/NowLivecodingtv" TargetMode="External"/><Relationship Id="rId4935" Type="http://schemas.openxmlformats.org/officeDocument/2006/relationships/hyperlink" Target="https://twitter.com/gscheithauer/status/702507858185818113" TargetMode="External"/><Relationship Id="rId3607" Type="http://schemas.openxmlformats.org/officeDocument/2006/relationships/hyperlink" Target="https://twitter.com/Jemus42" TargetMode="External"/><Relationship Id="rId4938" Type="http://schemas.openxmlformats.org/officeDocument/2006/relationships/hyperlink" Target="https://twitter.com/sentiwire/status/702507862447116288" TargetMode="External"/><Relationship Id="rId3606" Type="http://schemas.openxmlformats.org/officeDocument/2006/relationships/hyperlink" Target="https://pbs.twimg.com/profile_images/699984077877874688/aR2ovqId_normal.png" TargetMode="External"/><Relationship Id="rId4937" Type="http://schemas.openxmlformats.org/officeDocument/2006/relationships/hyperlink" Target="https://twitter.com/sentiwire" TargetMode="External"/><Relationship Id="rId3609" Type="http://schemas.openxmlformats.org/officeDocument/2006/relationships/hyperlink" Target="https://pbs.twimg.com/profile_images/2442155420/13fr1e3on4dzb9fn7i48_normal.jpeg" TargetMode="External"/><Relationship Id="rId3608" Type="http://schemas.openxmlformats.org/officeDocument/2006/relationships/hyperlink" Target="https://twitter.com/Jemus42/status/702186926892310528" TargetMode="External"/><Relationship Id="rId4939" Type="http://schemas.openxmlformats.org/officeDocument/2006/relationships/hyperlink" Target="https://pbs.twimg.com/profile_images/686965105473396736/B9V5UtGS_normal.jpg" TargetMode="External"/><Relationship Id="rId4930" Type="http://schemas.openxmlformats.org/officeDocument/2006/relationships/hyperlink" Target="https://pbs.twimg.com/profile_images/630648570228666368/azCx-w8Z_normal.jpg" TargetMode="External"/><Relationship Id="rId1059" Type="http://schemas.openxmlformats.org/officeDocument/2006/relationships/hyperlink" Target="https://pbs.twimg.com/profile_images/940277327/calvin-and-hobbes1_normal.jpg" TargetMode="External"/><Relationship Id="rId2380" Type="http://schemas.openxmlformats.org/officeDocument/2006/relationships/hyperlink" Target="https://twitter.com/NumFOCUS/status/701889091500011524" TargetMode="External"/><Relationship Id="rId1050" Type="http://schemas.openxmlformats.org/officeDocument/2006/relationships/hyperlink" Target="https://pbs.twimg.com/profile_images/378800000059126288/17d4fa184bbd13c1e64465a3cc234efc_normal.jpeg" TargetMode="External"/><Relationship Id="rId2381" Type="http://schemas.openxmlformats.org/officeDocument/2006/relationships/hyperlink" Target="https://pbs.twimg.com/profile_images/702558144958869504/AIKaOGn__normal.png" TargetMode="External"/><Relationship Id="rId1051" Type="http://schemas.openxmlformats.org/officeDocument/2006/relationships/hyperlink" Target="https://twitter.com/KirkDBorne" TargetMode="External"/><Relationship Id="rId2382" Type="http://schemas.openxmlformats.org/officeDocument/2006/relationships/hyperlink" Target="https://twitter.com/betanalpha" TargetMode="External"/><Relationship Id="rId1052" Type="http://schemas.openxmlformats.org/officeDocument/2006/relationships/hyperlink" Target="https://twitter.com/KirkDBorne/status/701626663424106496" TargetMode="External"/><Relationship Id="rId2383" Type="http://schemas.openxmlformats.org/officeDocument/2006/relationships/hyperlink" Target="https://twitter.com/betanalpha/status/701890022442713089" TargetMode="External"/><Relationship Id="rId1053" Type="http://schemas.openxmlformats.org/officeDocument/2006/relationships/hyperlink" Target="https://pbs.twimg.com/profile_images/680246148762828801/flXTNSKT_normal.jpg" TargetMode="External"/><Relationship Id="rId2384" Type="http://schemas.openxmlformats.org/officeDocument/2006/relationships/hyperlink" Target="https://pbs.twimg.com/profile_images/670388855204392960/WKuSTIq1_normal.jpg" TargetMode="External"/><Relationship Id="rId1054" Type="http://schemas.openxmlformats.org/officeDocument/2006/relationships/hyperlink" Target="https://twitter.com/HopefulGeek" TargetMode="External"/><Relationship Id="rId2385" Type="http://schemas.openxmlformats.org/officeDocument/2006/relationships/hyperlink" Target="https://twitter.com/mcmc_stan" TargetMode="External"/><Relationship Id="rId1055" Type="http://schemas.openxmlformats.org/officeDocument/2006/relationships/hyperlink" Target="https://twitter.com/HopefulGeek/status/701627656052158464" TargetMode="External"/><Relationship Id="rId2386" Type="http://schemas.openxmlformats.org/officeDocument/2006/relationships/hyperlink" Target="https://twitter.com/mcmc_stan/status/701890132123787269" TargetMode="External"/><Relationship Id="rId1056" Type="http://schemas.openxmlformats.org/officeDocument/2006/relationships/hyperlink" Target="https://pbs.twimg.com/profile_images/695137208118804480/8xneexGX_normal.png" TargetMode="External"/><Relationship Id="rId2387" Type="http://schemas.openxmlformats.org/officeDocument/2006/relationships/hyperlink" Target="https://pbs.twimg.com/profile_images/624211847126781952/xhy-Awix_normal.png" TargetMode="External"/><Relationship Id="rId1057" Type="http://schemas.openxmlformats.org/officeDocument/2006/relationships/hyperlink" Target="https://twitter.com/harrysuntech" TargetMode="External"/><Relationship Id="rId2388" Type="http://schemas.openxmlformats.org/officeDocument/2006/relationships/hyperlink" Target="https://twitter.com/CRANberriesFeed" TargetMode="External"/><Relationship Id="rId1058" Type="http://schemas.openxmlformats.org/officeDocument/2006/relationships/hyperlink" Target="https://twitter.com/harrysuntech/status/701628324917936128" TargetMode="External"/><Relationship Id="rId2389" Type="http://schemas.openxmlformats.org/officeDocument/2006/relationships/hyperlink" Target="https://twitter.com/CRANberriesFeed/status/701892634298740737" TargetMode="External"/><Relationship Id="rId1048" Type="http://schemas.openxmlformats.org/officeDocument/2006/relationships/hyperlink" Target="https://twitter.com/LovedeepSG" TargetMode="External"/><Relationship Id="rId2379" Type="http://schemas.openxmlformats.org/officeDocument/2006/relationships/hyperlink" Target="https://twitter.com/NumFOCUS" TargetMode="External"/><Relationship Id="rId1049" Type="http://schemas.openxmlformats.org/officeDocument/2006/relationships/hyperlink" Target="https://twitter.com/LovedeepSG/status/701626356941979648" TargetMode="External"/><Relationship Id="rId2370" Type="http://schemas.openxmlformats.org/officeDocument/2006/relationships/hyperlink" Target="https://twitter.com/research_innova" TargetMode="External"/><Relationship Id="rId1040" Type="http://schemas.openxmlformats.org/officeDocument/2006/relationships/hyperlink" Target="https://twitter.com/nickprock/status/701625487555166208" TargetMode="External"/><Relationship Id="rId2371" Type="http://schemas.openxmlformats.org/officeDocument/2006/relationships/hyperlink" Target="https://twitter.com/research_innova/status/701888265226428419" TargetMode="External"/><Relationship Id="rId1041" Type="http://schemas.openxmlformats.org/officeDocument/2006/relationships/hyperlink" Target="https://pbs.twimg.com/profile_images/702769171512356864/SpA-fhsV_normal.jpg" TargetMode="External"/><Relationship Id="rId2372" Type="http://schemas.openxmlformats.org/officeDocument/2006/relationships/hyperlink" Target="https://pbs.twimg.com/profile_images/612671526849146880/oaSXeNPe_normal.jpg" TargetMode="External"/><Relationship Id="rId1042" Type="http://schemas.openxmlformats.org/officeDocument/2006/relationships/hyperlink" Target="https://twitter.com/ProfRedOwl" TargetMode="External"/><Relationship Id="rId2373" Type="http://schemas.openxmlformats.org/officeDocument/2006/relationships/hyperlink" Target="https://twitter.com/AndriyGazin" TargetMode="External"/><Relationship Id="rId1043" Type="http://schemas.openxmlformats.org/officeDocument/2006/relationships/hyperlink" Target="https://twitter.com/ProfRedOwl/status/701626258665422848" TargetMode="External"/><Relationship Id="rId2374" Type="http://schemas.openxmlformats.org/officeDocument/2006/relationships/hyperlink" Target="https://twitter.com/AndriyGazin/status/701888333337731072" TargetMode="External"/><Relationship Id="rId1044" Type="http://schemas.openxmlformats.org/officeDocument/2006/relationships/hyperlink" Target="https://pbs.twimg.com/profile_images/2936510755/42fe7970ccba08ab320a202d8b0c5ee0_normal.png" TargetMode="External"/><Relationship Id="rId2375" Type="http://schemas.openxmlformats.org/officeDocument/2006/relationships/hyperlink" Target="https://pbs.twimg.com/profile_images/441319326830714881/SATzSmLV_normal.jpeg" TargetMode="External"/><Relationship Id="rId1045" Type="http://schemas.openxmlformats.org/officeDocument/2006/relationships/hyperlink" Target="https://twitter.com/LovedeepSG" TargetMode="External"/><Relationship Id="rId2376" Type="http://schemas.openxmlformats.org/officeDocument/2006/relationships/hyperlink" Target="https://twitter.com/adamson" TargetMode="External"/><Relationship Id="rId1046" Type="http://schemas.openxmlformats.org/officeDocument/2006/relationships/hyperlink" Target="https://twitter.com/LovedeepSG/status/701626337115508736" TargetMode="External"/><Relationship Id="rId2377" Type="http://schemas.openxmlformats.org/officeDocument/2006/relationships/hyperlink" Target="https://twitter.com/adamson/status/701888762809344000" TargetMode="External"/><Relationship Id="rId1047" Type="http://schemas.openxmlformats.org/officeDocument/2006/relationships/hyperlink" Target="https://pbs.twimg.com/profile_images/378800000059126288/17d4fa184bbd13c1e64465a3cc234efc_normal.jpeg" TargetMode="External"/><Relationship Id="rId2378" Type="http://schemas.openxmlformats.org/officeDocument/2006/relationships/hyperlink" Target="https://pbs.twimg.com/profile_images/544790599589568512/26tIRo8H_normal.jpeg" TargetMode="External"/><Relationship Id="rId1070" Type="http://schemas.openxmlformats.org/officeDocument/2006/relationships/hyperlink" Target="https://twitter.com/japalaciosg/status/701629639823900673" TargetMode="External"/><Relationship Id="rId1071" Type="http://schemas.openxmlformats.org/officeDocument/2006/relationships/hyperlink" Target="https://pbs.twimg.com/profile_images/596724230449930240/Fg3wVDMe_normal.jpg" TargetMode="External"/><Relationship Id="rId1072" Type="http://schemas.openxmlformats.org/officeDocument/2006/relationships/hyperlink" Target="https://twitter.com/PalooneyLee" TargetMode="External"/><Relationship Id="rId1073" Type="http://schemas.openxmlformats.org/officeDocument/2006/relationships/hyperlink" Target="https://twitter.com/PalooneyLee/status/701629935601868801" TargetMode="External"/><Relationship Id="rId1074" Type="http://schemas.openxmlformats.org/officeDocument/2006/relationships/hyperlink" Target="https://pbs.twimg.com/profile_images/461360289447817216/0SVIXol4_normal.jpeg" TargetMode="External"/><Relationship Id="rId1075" Type="http://schemas.openxmlformats.org/officeDocument/2006/relationships/hyperlink" Target="https://twitter.com/rukku" TargetMode="External"/><Relationship Id="rId1076" Type="http://schemas.openxmlformats.org/officeDocument/2006/relationships/hyperlink" Target="https://twitter.com/rukku/status/701630099880148994" TargetMode="External"/><Relationship Id="rId1077" Type="http://schemas.openxmlformats.org/officeDocument/2006/relationships/hyperlink" Target="https://pbs.twimg.com/profile_images/499819031860236288/8x8YDtmI_normal.jpeg" TargetMode="External"/><Relationship Id="rId1078" Type="http://schemas.openxmlformats.org/officeDocument/2006/relationships/hyperlink" Target="https://twitter.com/5h15h" TargetMode="External"/><Relationship Id="rId1079" Type="http://schemas.openxmlformats.org/officeDocument/2006/relationships/hyperlink" Target="https://twitter.com/5h15h/status/701630212455292928" TargetMode="External"/><Relationship Id="rId2390" Type="http://schemas.openxmlformats.org/officeDocument/2006/relationships/hyperlink" Target="https://pbs.twimg.com/profile_images/1222779560/cran1_normal.jpg" TargetMode="External"/><Relationship Id="rId1060" Type="http://schemas.openxmlformats.org/officeDocument/2006/relationships/hyperlink" Target="https://twitter.com/MudraMukherjee" TargetMode="External"/><Relationship Id="rId2391" Type="http://schemas.openxmlformats.org/officeDocument/2006/relationships/hyperlink" Target="https://twitter.com/CRANberriesFeed" TargetMode="External"/><Relationship Id="rId1061" Type="http://schemas.openxmlformats.org/officeDocument/2006/relationships/hyperlink" Target="https://twitter.com/MudraMukherjee/status/701628484972650496" TargetMode="External"/><Relationship Id="rId2392" Type="http://schemas.openxmlformats.org/officeDocument/2006/relationships/hyperlink" Target="https://twitter.com/CRANberriesFeed/status/701892691706179589" TargetMode="External"/><Relationship Id="rId1062" Type="http://schemas.openxmlformats.org/officeDocument/2006/relationships/hyperlink" Target="https://pbs.twimg.com/profile_images/703272650286587904/n8D2NINN_normal.jpg" TargetMode="External"/><Relationship Id="rId2393" Type="http://schemas.openxmlformats.org/officeDocument/2006/relationships/hyperlink" Target="https://pbs.twimg.com/profile_images/1222779560/cran1_normal.jpg" TargetMode="External"/><Relationship Id="rId1063" Type="http://schemas.openxmlformats.org/officeDocument/2006/relationships/hyperlink" Target="https://twitter.com/malishoaib" TargetMode="External"/><Relationship Id="rId2394" Type="http://schemas.openxmlformats.org/officeDocument/2006/relationships/hyperlink" Target="https://twitter.com/CRANberriesFeed" TargetMode="External"/><Relationship Id="rId1064" Type="http://schemas.openxmlformats.org/officeDocument/2006/relationships/hyperlink" Target="https://twitter.com/malishoaib/status/701628636647047168" TargetMode="External"/><Relationship Id="rId2395" Type="http://schemas.openxmlformats.org/officeDocument/2006/relationships/hyperlink" Target="https://twitter.com/CRANberriesFeed/status/701892709850738688" TargetMode="External"/><Relationship Id="rId1065" Type="http://schemas.openxmlformats.org/officeDocument/2006/relationships/hyperlink" Target="https://pbs.twimg.com/profile_images/487736862778204160/LehfYfpd_normal.jpeg" TargetMode="External"/><Relationship Id="rId2396" Type="http://schemas.openxmlformats.org/officeDocument/2006/relationships/hyperlink" Target="https://pbs.twimg.com/profile_images/1222779560/cran1_normal.jpg" TargetMode="External"/><Relationship Id="rId1066" Type="http://schemas.openxmlformats.org/officeDocument/2006/relationships/hyperlink" Target="https://twitter.com/ekendriss" TargetMode="External"/><Relationship Id="rId2397" Type="http://schemas.openxmlformats.org/officeDocument/2006/relationships/hyperlink" Target="https://twitter.com/USGS_R" TargetMode="External"/><Relationship Id="rId1067" Type="http://schemas.openxmlformats.org/officeDocument/2006/relationships/hyperlink" Target="https://twitter.com/ekendriss/status/701628847981260800" TargetMode="External"/><Relationship Id="rId2398" Type="http://schemas.openxmlformats.org/officeDocument/2006/relationships/hyperlink" Target="https://twitter.com/USGS_R/status/701893502326566912" TargetMode="External"/><Relationship Id="rId1068" Type="http://schemas.openxmlformats.org/officeDocument/2006/relationships/hyperlink" Target="https://pbs.twimg.com/profile_images/2886052222/56e11933fcfa9800544647837f67e062_normal.png" TargetMode="External"/><Relationship Id="rId2399" Type="http://schemas.openxmlformats.org/officeDocument/2006/relationships/hyperlink" Target="https://pbs.twimg.com/profile_images/631488083863584769/gDqhLdAL_normal.png" TargetMode="External"/><Relationship Id="rId1069" Type="http://schemas.openxmlformats.org/officeDocument/2006/relationships/hyperlink" Target="https://twitter.com/japalaciosg" TargetMode="External"/><Relationship Id="rId1015" Type="http://schemas.openxmlformats.org/officeDocument/2006/relationships/hyperlink" Target="https://pbs.twimg.com/profile_images/672265924184010752/LrKCh_kA_normal.png" TargetMode="External"/><Relationship Id="rId2346" Type="http://schemas.openxmlformats.org/officeDocument/2006/relationships/hyperlink" Target="https://twitter.com/BigDataTweetBot" TargetMode="External"/><Relationship Id="rId3678" Type="http://schemas.openxmlformats.org/officeDocument/2006/relationships/hyperlink" Target="https://twitter.com/HaakonGjerlw" TargetMode="External"/><Relationship Id="rId1016" Type="http://schemas.openxmlformats.org/officeDocument/2006/relationships/hyperlink" Target="https://twitter.com/Sergio_CPS" TargetMode="External"/><Relationship Id="rId2347" Type="http://schemas.openxmlformats.org/officeDocument/2006/relationships/hyperlink" Target="https://twitter.com/BigDataTweetBot/status/701881832627830785" TargetMode="External"/><Relationship Id="rId3677" Type="http://schemas.openxmlformats.org/officeDocument/2006/relationships/hyperlink" Target="https://pbs.twimg.com/profile_images/526695509356838912/eSvsHAD7_normal.jpeg" TargetMode="External"/><Relationship Id="rId1017" Type="http://schemas.openxmlformats.org/officeDocument/2006/relationships/hyperlink" Target="https://twitter.com/Sergio_CPS/status/701619353314312192" TargetMode="External"/><Relationship Id="rId2348" Type="http://schemas.openxmlformats.org/officeDocument/2006/relationships/hyperlink" Target="https://pbs.twimg.com/profile_images/616793252524650496/bQbxJqmz_normal.jpg" TargetMode="External"/><Relationship Id="rId1018" Type="http://schemas.openxmlformats.org/officeDocument/2006/relationships/hyperlink" Target="https://pbs.twimg.com/profile_images/672265924184010752/LrKCh_kA_normal.png" TargetMode="External"/><Relationship Id="rId2349" Type="http://schemas.openxmlformats.org/officeDocument/2006/relationships/hyperlink" Target="https://twitter.com/nekrum" TargetMode="External"/><Relationship Id="rId3679" Type="http://schemas.openxmlformats.org/officeDocument/2006/relationships/hyperlink" Target="https://twitter.com/HaakonGjerlw/status/702203545341325312" TargetMode="External"/><Relationship Id="rId1019" Type="http://schemas.openxmlformats.org/officeDocument/2006/relationships/hyperlink" Target="https://twitter.com/jmsl" TargetMode="External"/><Relationship Id="rId3670" Type="http://schemas.openxmlformats.org/officeDocument/2006/relationships/hyperlink" Target="https://pbs.twimg.com/profile_images/502185985786916864/gkdFh-q7_normal.png" TargetMode="External"/><Relationship Id="rId2340" Type="http://schemas.openxmlformats.org/officeDocument/2006/relationships/hyperlink" Target="https://twitter.com/nekrum" TargetMode="External"/><Relationship Id="rId3672" Type="http://schemas.openxmlformats.org/officeDocument/2006/relationships/hyperlink" Target="https://twitter.com/Rbloggers/status/702201355180478464" TargetMode="External"/><Relationship Id="rId1010" Type="http://schemas.openxmlformats.org/officeDocument/2006/relationships/hyperlink" Target="https://twitter.com/jatkat45" TargetMode="External"/><Relationship Id="rId2341" Type="http://schemas.openxmlformats.org/officeDocument/2006/relationships/hyperlink" Target="https://twitter.com/nekrum/status/701878902281515008" TargetMode="External"/><Relationship Id="rId3671" Type="http://schemas.openxmlformats.org/officeDocument/2006/relationships/hyperlink" Target="https://twitter.com/Rbloggers" TargetMode="External"/><Relationship Id="rId1011" Type="http://schemas.openxmlformats.org/officeDocument/2006/relationships/hyperlink" Target="https://twitter.com/jatkat45/status/701619181754707968" TargetMode="External"/><Relationship Id="rId2342" Type="http://schemas.openxmlformats.org/officeDocument/2006/relationships/hyperlink" Target="https://pbs.twimg.com/profile_images/119769350/logo-azul-blanco_normal.png" TargetMode="External"/><Relationship Id="rId3674" Type="http://schemas.openxmlformats.org/officeDocument/2006/relationships/hyperlink" Target="https://pbs.twimg.com/profile_images/502185985786916864/gkdFh-q7_normal.png" TargetMode="External"/><Relationship Id="rId1012" Type="http://schemas.openxmlformats.org/officeDocument/2006/relationships/hyperlink" Target="https://pbs.twimg.com/profile_images/687122510672953344/ppVG2cIC_normal.jpg" TargetMode="External"/><Relationship Id="rId2343" Type="http://schemas.openxmlformats.org/officeDocument/2006/relationships/hyperlink" Target="https://twitter.com/cheriesheriff" TargetMode="External"/><Relationship Id="rId3673" Type="http://schemas.openxmlformats.org/officeDocument/2006/relationships/hyperlink" Target="http://r-bloggers.com" TargetMode="External"/><Relationship Id="rId1013" Type="http://schemas.openxmlformats.org/officeDocument/2006/relationships/hyperlink" Target="https://twitter.com/Sergio_CPS" TargetMode="External"/><Relationship Id="rId2344" Type="http://schemas.openxmlformats.org/officeDocument/2006/relationships/hyperlink" Target="https://twitter.com/cheriesheriff/status/701879103754874881" TargetMode="External"/><Relationship Id="rId3676" Type="http://schemas.openxmlformats.org/officeDocument/2006/relationships/hyperlink" Target="https://twitter.com/Sheffield_R_/status/702202098054729729" TargetMode="External"/><Relationship Id="rId1014" Type="http://schemas.openxmlformats.org/officeDocument/2006/relationships/hyperlink" Target="https://twitter.com/Sergio_CPS/status/701619246829273088" TargetMode="External"/><Relationship Id="rId2345" Type="http://schemas.openxmlformats.org/officeDocument/2006/relationships/hyperlink" Target="https://pbs.twimg.com/profile_images/1584998732/mini_cherie_normal.jpg" TargetMode="External"/><Relationship Id="rId3675" Type="http://schemas.openxmlformats.org/officeDocument/2006/relationships/hyperlink" Target="https://twitter.com/Sheffield_R_" TargetMode="External"/><Relationship Id="rId1004" Type="http://schemas.openxmlformats.org/officeDocument/2006/relationships/hyperlink" Target="https://twitter.com/jenstirrup" TargetMode="External"/><Relationship Id="rId2335" Type="http://schemas.openxmlformats.org/officeDocument/2006/relationships/hyperlink" Target="https://twitter.com/nekrum/status/701877331636330496" TargetMode="External"/><Relationship Id="rId3667" Type="http://schemas.openxmlformats.org/officeDocument/2006/relationships/hyperlink" Target="https://twitter.com/Rbloggers" TargetMode="External"/><Relationship Id="rId4998" Type="http://schemas.openxmlformats.org/officeDocument/2006/relationships/hyperlink" Target="https://twitter.com/kyle_e_walker/status/702519435517493248" TargetMode="External"/><Relationship Id="rId1005" Type="http://schemas.openxmlformats.org/officeDocument/2006/relationships/hyperlink" Target="https://twitter.com/jenstirrup/status/701619165568741376" TargetMode="External"/><Relationship Id="rId2336" Type="http://schemas.openxmlformats.org/officeDocument/2006/relationships/hyperlink" Target="https://pbs.twimg.com/profile_images/119769350/logo-azul-blanco_normal.png" TargetMode="External"/><Relationship Id="rId3666" Type="http://schemas.openxmlformats.org/officeDocument/2006/relationships/hyperlink" Target="https://pbs.twimg.com/profile_images/601296651504984064/nle2JrvB_normal.jpg" TargetMode="External"/><Relationship Id="rId4997" Type="http://schemas.openxmlformats.org/officeDocument/2006/relationships/hyperlink" Target="https://twitter.com/kyle_e_walker" TargetMode="External"/><Relationship Id="rId1006" Type="http://schemas.openxmlformats.org/officeDocument/2006/relationships/hyperlink" Target="https://pbs.twimg.com/profile_images/696103690369949696/EpU6buAs_normal.jpg" TargetMode="External"/><Relationship Id="rId2337" Type="http://schemas.openxmlformats.org/officeDocument/2006/relationships/hyperlink" Target="https://twitter.com/Joseph_Santoro" TargetMode="External"/><Relationship Id="rId3669" Type="http://schemas.openxmlformats.org/officeDocument/2006/relationships/hyperlink" Target="http://r-bloggers.com" TargetMode="External"/><Relationship Id="rId1007" Type="http://schemas.openxmlformats.org/officeDocument/2006/relationships/hyperlink" Target="https://twitter.com/jatkat45" TargetMode="External"/><Relationship Id="rId2338" Type="http://schemas.openxmlformats.org/officeDocument/2006/relationships/hyperlink" Target="https://twitter.com/Joseph_Santoro/status/701878016545312768" TargetMode="External"/><Relationship Id="rId3668" Type="http://schemas.openxmlformats.org/officeDocument/2006/relationships/hyperlink" Target="https://twitter.com/Rbloggers/status/702201329867837440" TargetMode="External"/><Relationship Id="rId4999" Type="http://schemas.openxmlformats.org/officeDocument/2006/relationships/hyperlink" Target="https://pbs.twimg.com/profile_images/535539844479332354/CA9doTjY_normal.jpeg" TargetMode="External"/><Relationship Id="rId1008" Type="http://schemas.openxmlformats.org/officeDocument/2006/relationships/hyperlink" Target="https://twitter.com/jatkat45/status/701619167330496514" TargetMode="External"/><Relationship Id="rId2339" Type="http://schemas.openxmlformats.org/officeDocument/2006/relationships/hyperlink" Target="https://pbs.twimg.com/profile_images/683044513665912832/AfyOCz4e_normal.jpg" TargetMode="External"/><Relationship Id="rId1009" Type="http://schemas.openxmlformats.org/officeDocument/2006/relationships/hyperlink" Target="https://pbs.twimg.com/profile_images/687122510672953344/ppVG2cIC_normal.jpg" TargetMode="External"/><Relationship Id="rId4990" Type="http://schemas.openxmlformats.org/officeDocument/2006/relationships/hyperlink" Target="https://pbs.twimg.com/profile_images/527485548974178306/0ukbjjKx_normal.jpeg" TargetMode="External"/><Relationship Id="rId3661" Type="http://schemas.openxmlformats.org/officeDocument/2006/relationships/hyperlink" Target="https://twitter.com/research_innova" TargetMode="External"/><Relationship Id="rId4992" Type="http://schemas.openxmlformats.org/officeDocument/2006/relationships/hyperlink" Target="https://twitter.com/dolugen/status/702518882611761152" TargetMode="External"/><Relationship Id="rId2330" Type="http://schemas.openxmlformats.org/officeDocument/2006/relationships/hyperlink" Target="https://pbs.twimg.com/profile_images/612471608725213184/eXKo2Kmo_normal.jpg" TargetMode="External"/><Relationship Id="rId3660" Type="http://schemas.openxmlformats.org/officeDocument/2006/relationships/hyperlink" Target="https://pbs.twimg.com/profile_images/411845409284161536/vhIg-rTL_normal.jpeg" TargetMode="External"/><Relationship Id="rId4991" Type="http://schemas.openxmlformats.org/officeDocument/2006/relationships/hyperlink" Target="https://twitter.com/dolugen" TargetMode="External"/><Relationship Id="rId1000" Type="http://schemas.openxmlformats.org/officeDocument/2006/relationships/hyperlink" Target="https://pbs.twimg.com/profile_images/687122510672953344/ppVG2cIC_normal.jpg" TargetMode="External"/><Relationship Id="rId2331" Type="http://schemas.openxmlformats.org/officeDocument/2006/relationships/hyperlink" Target="https://twitter.com/tomkXY" TargetMode="External"/><Relationship Id="rId3663" Type="http://schemas.openxmlformats.org/officeDocument/2006/relationships/hyperlink" Target="https://pbs.twimg.com/profile_images/612671526849146880/oaSXeNPe_normal.jpg" TargetMode="External"/><Relationship Id="rId4994" Type="http://schemas.openxmlformats.org/officeDocument/2006/relationships/hyperlink" Target="https://twitter.com/LovedeepSG" TargetMode="External"/><Relationship Id="rId1001" Type="http://schemas.openxmlformats.org/officeDocument/2006/relationships/hyperlink" Target="https://twitter.com/PastelBio" TargetMode="External"/><Relationship Id="rId2332" Type="http://schemas.openxmlformats.org/officeDocument/2006/relationships/hyperlink" Target="https://twitter.com/tomkXY/status/701877303819653120" TargetMode="External"/><Relationship Id="rId3662" Type="http://schemas.openxmlformats.org/officeDocument/2006/relationships/hyperlink" Target="https://twitter.com/research_innova/status/702201017555935232" TargetMode="External"/><Relationship Id="rId4993" Type="http://schemas.openxmlformats.org/officeDocument/2006/relationships/hyperlink" Target="https://pbs.twimg.com/profile_images/494341984/dolugen-128_normal.jpg" TargetMode="External"/><Relationship Id="rId1002" Type="http://schemas.openxmlformats.org/officeDocument/2006/relationships/hyperlink" Target="https://twitter.com/PastelBio/status/701619158958612481" TargetMode="External"/><Relationship Id="rId2333" Type="http://schemas.openxmlformats.org/officeDocument/2006/relationships/hyperlink" Target="https://pbs.twimg.com/profile_images/567672223029141505/zYpSqhay_normal.jpeg" TargetMode="External"/><Relationship Id="rId3665" Type="http://schemas.openxmlformats.org/officeDocument/2006/relationships/hyperlink" Target="https://twitter.com/guidoromeo/status/702201130839908356" TargetMode="External"/><Relationship Id="rId4996" Type="http://schemas.openxmlformats.org/officeDocument/2006/relationships/hyperlink" Target="https://pbs.twimg.com/profile_images/378800000059126288/17d4fa184bbd13c1e64465a3cc234efc_normal.jpeg" TargetMode="External"/><Relationship Id="rId1003" Type="http://schemas.openxmlformats.org/officeDocument/2006/relationships/hyperlink" Target="https://pbs.twimg.com/profile_images/1506315367/3D_up_down_normal.png" TargetMode="External"/><Relationship Id="rId2334" Type="http://schemas.openxmlformats.org/officeDocument/2006/relationships/hyperlink" Target="https://twitter.com/nekrum" TargetMode="External"/><Relationship Id="rId3664" Type="http://schemas.openxmlformats.org/officeDocument/2006/relationships/hyperlink" Target="https://twitter.com/guidoromeo" TargetMode="External"/><Relationship Id="rId4995" Type="http://schemas.openxmlformats.org/officeDocument/2006/relationships/hyperlink" Target="https://twitter.com/LovedeepSG/status/702518946700746752" TargetMode="External"/><Relationship Id="rId1037" Type="http://schemas.openxmlformats.org/officeDocument/2006/relationships/hyperlink" Target="https://twitter.com/atthinks/status/701624879477424129" TargetMode="External"/><Relationship Id="rId2368" Type="http://schemas.openxmlformats.org/officeDocument/2006/relationships/hyperlink" Target="https://twitter.com/joshjfink/status/701887521928642565" TargetMode="External"/><Relationship Id="rId1038" Type="http://schemas.openxmlformats.org/officeDocument/2006/relationships/hyperlink" Target="https://pbs.twimg.com/profile_images/2138752377/TwittPic_normal.jpg" TargetMode="External"/><Relationship Id="rId2369" Type="http://schemas.openxmlformats.org/officeDocument/2006/relationships/hyperlink" Target="https://pbs.twimg.com/profile_images/692071858448011264/IWaYjbkb_normal.png" TargetMode="External"/><Relationship Id="rId3699" Type="http://schemas.openxmlformats.org/officeDocument/2006/relationships/hyperlink" Target="https://twitter.com/tomhouslay" TargetMode="External"/><Relationship Id="rId1039" Type="http://schemas.openxmlformats.org/officeDocument/2006/relationships/hyperlink" Target="https://twitter.com/nickprock" TargetMode="External"/><Relationship Id="rId3690" Type="http://schemas.openxmlformats.org/officeDocument/2006/relationships/hyperlink" Target="https://twitter.com/adolfoalvarez" TargetMode="External"/><Relationship Id="rId2360" Type="http://schemas.openxmlformats.org/officeDocument/2006/relationships/hyperlink" Target="https://pbs.twimg.com/profile_images/2198946077/image_normal.jpg" TargetMode="External"/><Relationship Id="rId3692" Type="http://schemas.openxmlformats.org/officeDocument/2006/relationships/hyperlink" Target="https://pbs.twimg.com/profile_images/594252638172098560/192mtWOt_normal.jpg" TargetMode="External"/><Relationship Id="rId1030" Type="http://schemas.openxmlformats.org/officeDocument/2006/relationships/hyperlink" Target="https://twitter.com/vijaybarve/status/701623248543490049" TargetMode="External"/><Relationship Id="rId2361" Type="http://schemas.openxmlformats.org/officeDocument/2006/relationships/hyperlink" Target="https://twitter.com/ayeimanol" TargetMode="External"/><Relationship Id="rId3691" Type="http://schemas.openxmlformats.org/officeDocument/2006/relationships/hyperlink" Target="https://twitter.com/adolfoalvarez/status/702207997645299712" TargetMode="External"/><Relationship Id="rId1031" Type="http://schemas.openxmlformats.org/officeDocument/2006/relationships/hyperlink" Target="https://t.co/z9g9Wy3VLU" TargetMode="External"/><Relationship Id="rId2362" Type="http://schemas.openxmlformats.org/officeDocument/2006/relationships/hyperlink" Target="https://twitter.com/ayeimanol/status/701886114873929728" TargetMode="External"/><Relationship Id="rId3694" Type="http://schemas.openxmlformats.org/officeDocument/2006/relationships/hyperlink" Target="https://twitter.com/singhpankaj99/status/702208798228762624" TargetMode="External"/><Relationship Id="rId1032" Type="http://schemas.openxmlformats.org/officeDocument/2006/relationships/hyperlink" Target="https://pbs.twimg.com/profile_images/59791919/vb_normal.JPG" TargetMode="External"/><Relationship Id="rId2363" Type="http://schemas.openxmlformats.org/officeDocument/2006/relationships/hyperlink" Target="https://pbs.twimg.com/profile_images/1201879368/2009-10-10_13.08.46__1__normal.jpg" TargetMode="External"/><Relationship Id="rId3693" Type="http://schemas.openxmlformats.org/officeDocument/2006/relationships/hyperlink" Target="https://twitter.com/singhpankaj99" TargetMode="External"/><Relationship Id="rId1033" Type="http://schemas.openxmlformats.org/officeDocument/2006/relationships/hyperlink" Target="https://twitter.com/atthinks" TargetMode="External"/><Relationship Id="rId2364" Type="http://schemas.openxmlformats.org/officeDocument/2006/relationships/hyperlink" Target="https://twitter.com/jbryer" TargetMode="External"/><Relationship Id="rId3696" Type="http://schemas.openxmlformats.org/officeDocument/2006/relationships/hyperlink" Target="https://twitter.com/pssGuy" TargetMode="External"/><Relationship Id="rId1034" Type="http://schemas.openxmlformats.org/officeDocument/2006/relationships/hyperlink" Target="https://twitter.com/atthinks/status/701624859705540608" TargetMode="External"/><Relationship Id="rId2365" Type="http://schemas.openxmlformats.org/officeDocument/2006/relationships/hyperlink" Target="https://twitter.com/jbryer/status/701887503213711360" TargetMode="External"/><Relationship Id="rId3695" Type="http://schemas.openxmlformats.org/officeDocument/2006/relationships/hyperlink" Target="https://pbs.twimg.com/profile_images/662899414848024576/2lQzWsxN_normal.jpg" TargetMode="External"/><Relationship Id="rId1035" Type="http://schemas.openxmlformats.org/officeDocument/2006/relationships/hyperlink" Target="https://pbs.twimg.com/profile_images/2138752377/TwittPic_normal.jpg" TargetMode="External"/><Relationship Id="rId2366" Type="http://schemas.openxmlformats.org/officeDocument/2006/relationships/hyperlink" Target="https://pbs.twimg.com/profile_images/413098705378488321/pc7DXom7_normal.jpeg" TargetMode="External"/><Relationship Id="rId3698" Type="http://schemas.openxmlformats.org/officeDocument/2006/relationships/hyperlink" Target="https://pbs.twimg.com/profile_images/1138368380/P1010066small_normal.jpg" TargetMode="External"/><Relationship Id="rId1036" Type="http://schemas.openxmlformats.org/officeDocument/2006/relationships/hyperlink" Target="https://twitter.com/atthinks" TargetMode="External"/><Relationship Id="rId2367" Type="http://schemas.openxmlformats.org/officeDocument/2006/relationships/hyperlink" Target="https://twitter.com/joshjfink" TargetMode="External"/><Relationship Id="rId3697" Type="http://schemas.openxmlformats.org/officeDocument/2006/relationships/hyperlink" Target="https://twitter.com/pssGuy/status/702209530914934784" TargetMode="External"/><Relationship Id="rId1026" Type="http://schemas.openxmlformats.org/officeDocument/2006/relationships/hyperlink" Target="https://twitter.com/jmsl" TargetMode="External"/><Relationship Id="rId2357" Type="http://schemas.openxmlformats.org/officeDocument/2006/relationships/hyperlink" Target="https://pbs.twimg.com/profile_images/2264127901/bxv1u4gi6zr9u2q5ls8s_normal.jpeg" TargetMode="External"/><Relationship Id="rId3689" Type="http://schemas.openxmlformats.org/officeDocument/2006/relationships/hyperlink" Target="https://pbs.twimg.com/profile_images/1619728458/mod_normal.jpg" TargetMode="External"/><Relationship Id="rId1027" Type="http://schemas.openxmlformats.org/officeDocument/2006/relationships/hyperlink" Target="https://twitter.com/jmsl/status/701621353045168128" TargetMode="External"/><Relationship Id="rId2358" Type="http://schemas.openxmlformats.org/officeDocument/2006/relationships/hyperlink" Target="https://twitter.com/timelyportfolio" TargetMode="External"/><Relationship Id="rId3688" Type="http://schemas.openxmlformats.org/officeDocument/2006/relationships/hyperlink" Target="https://twitter.com/DarioHer0074/status/702206933126815748" TargetMode="External"/><Relationship Id="rId1028" Type="http://schemas.openxmlformats.org/officeDocument/2006/relationships/hyperlink" Target="https://pbs.twimg.com/profile_images/295048221/Photo_2_normal.jpg" TargetMode="External"/><Relationship Id="rId2359" Type="http://schemas.openxmlformats.org/officeDocument/2006/relationships/hyperlink" Target="https://twitter.com/timelyportfolio/status/701883563449438210" TargetMode="External"/><Relationship Id="rId1029" Type="http://schemas.openxmlformats.org/officeDocument/2006/relationships/hyperlink" Target="https://twitter.com/vijaybarve" TargetMode="External"/><Relationship Id="rId3681" Type="http://schemas.openxmlformats.org/officeDocument/2006/relationships/hyperlink" Target="https://twitter.com/timelyportfolio" TargetMode="External"/><Relationship Id="rId2350" Type="http://schemas.openxmlformats.org/officeDocument/2006/relationships/hyperlink" Target="https://twitter.com/nekrum/status/701881959778127872" TargetMode="External"/><Relationship Id="rId3680" Type="http://schemas.openxmlformats.org/officeDocument/2006/relationships/hyperlink" Target="https://pbs.twimg.com/profile_images/461862616835436545/xAfri6oa_normal.jpeg" TargetMode="External"/><Relationship Id="rId1020" Type="http://schemas.openxmlformats.org/officeDocument/2006/relationships/hyperlink" Target="https://twitter.com/jmsl/status/701620516247965697" TargetMode="External"/><Relationship Id="rId2351" Type="http://schemas.openxmlformats.org/officeDocument/2006/relationships/hyperlink" Target="https://pbs.twimg.com/profile_images/119769350/logo-azul-blanco_normal.png" TargetMode="External"/><Relationship Id="rId3683" Type="http://schemas.openxmlformats.org/officeDocument/2006/relationships/hyperlink" Target="https://pbs.twimg.com/profile_images/2198946077/image_normal.jpg" TargetMode="External"/><Relationship Id="rId1021" Type="http://schemas.openxmlformats.org/officeDocument/2006/relationships/hyperlink" Target="https://pbs.twimg.com/profile_images/295048221/Photo_2_normal.jpg" TargetMode="External"/><Relationship Id="rId2352" Type="http://schemas.openxmlformats.org/officeDocument/2006/relationships/hyperlink" Target="https://twitter.com/hayashiyus" TargetMode="External"/><Relationship Id="rId3682" Type="http://schemas.openxmlformats.org/officeDocument/2006/relationships/hyperlink" Target="https://twitter.com/timelyportfolio/status/702205714169724929" TargetMode="External"/><Relationship Id="rId1022" Type="http://schemas.openxmlformats.org/officeDocument/2006/relationships/hyperlink" Target="https://twitter.com/jletteboer" TargetMode="External"/><Relationship Id="rId2353" Type="http://schemas.openxmlformats.org/officeDocument/2006/relationships/hyperlink" Target="https://twitter.com/hayashiyus/status/701882886752833536" TargetMode="External"/><Relationship Id="rId3685" Type="http://schemas.openxmlformats.org/officeDocument/2006/relationships/hyperlink" Target="https://twitter.com/pommedeterre33/status/702206099353686016" TargetMode="External"/><Relationship Id="rId1023" Type="http://schemas.openxmlformats.org/officeDocument/2006/relationships/hyperlink" Target="https://twitter.com/jletteboer/status/701620968171692032" TargetMode="External"/><Relationship Id="rId2354" Type="http://schemas.openxmlformats.org/officeDocument/2006/relationships/hyperlink" Target="https://pbs.twimg.com/profile_images/676416536123281410/yyFgZusl_normal.jpg" TargetMode="External"/><Relationship Id="rId3684" Type="http://schemas.openxmlformats.org/officeDocument/2006/relationships/hyperlink" Target="https://twitter.com/pommedeterre33" TargetMode="External"/><Relationship Id="rId1024" Type="http://schemas.openxmlformats.org/officeDocument/2006/relationships/hyperlink" Target="http://Paper.li" TargetMode="External"/><Relationship Id="rId2355" Type="http://schemas.openxmlformats.org/officeDocument/2006/relationships/hyperlink" Target="https://twitter.com/smithjd" TargetMode="External"/><Relationship Id="rId3687" Type="http://schemas.openxmlformats.org/officeDocument/2006/relationships/hyperlink" Target="https://twitter.com/DarioHer0074" TargetMode="External"/><Relationship Id="rId1025" Type="http://schemas.openxmlformats.org/officeDocument/2006/relationships/hyperlink" Target="https://pbs.twimg.com/profile_images/524199331365015552/O94t9yIe_normal.jpeg" TargetMode="External"/><Relationship Id="rId2356" Type="http://schemas.openxmlformats.org/officeDocument/2006/relationships/hyperlink" Target="https://twitter.com/smithjd/status/701883073994969088" TargetMode="External"/><Relationship Id="rId3686" Type="http://schemas.openxmlformats.org/officeDocument/2006/relationships/hyperlink" Target="https://pbs.twimg.com/profile_images/378800000579324326/77fad234674d1f22af356706ab2b50de_normal.jpeg" TargetMode="External"/><Relationship Id="rId8529" Type="http://schemas.openxmlformats.org/officeDocument/2006/relationships/hyperlink" Target="https://twitter.com/davevicary/status/703165049708216320" TargetMode="External"/><Relationship Id="rId8528" Type="http://schemas.openxmlformats.org/officeDocument/2006/relationships/hyperlink" Target="https://twitter.com/davevicary" TargetMode="External"/><Relationship Id="rId8523" Type="http://schemas.openxmlformats.org/officeDocument/2006/relationships/hyperlink" Target="https://twitter.com/MangoTheCat/status/703164008380047360" TargetMode="External"/><Relationship Id="rId8522" Type="http://schemas.openxmlformats.org/officeDocument/2006/relationships/hyperlink" Target="https://twitter.com/MangoTheCat" TargetMode="External"/><Relationship Id="rId8521" Type="http://schemas.openxmlformats.org/officeDocument/2006/relationships/hyperlink" Target="https://pbs.twimg.com/profile_images/998577429/FC19800101_015120_normal.jpg" TargetMode="External"/><Relationship Id="rId8520" Type="http://schemas.openxmlformats.org/officeDocument/2006/relationships/hyperlink" Target="https://twitter.com/swainjo/status/703163783489818624" TargetMode="External"/><Relationship Id="rId8527" Type="http://schemas.openxmlformats.org/officeDocument/2006/relationships/hyperlink" Target="https://pbs.twimg.com/profile_images/432298122203512833/YDXfWlI__normal.png" TargetMode="External"/><Relationship Id="rId8526" Type="http://schemas.openxmlformats.org/officeDocument/2006/relationships/hyperlink" Target="https://twitter.com/earlconf/status/703164135446417408" TargetMode="External"/><Relationship Id="rId8525" Type="http://schemas.openxmlformats.org/officeDocument/2006/relationships/hyperlink" Target="https://twitter.com/earlconf" TargetMode="External"/><Relationship Id="rId8524" Type="http://schemas.openxmlformats.org/officeDocument/2006/relationships/hyperlink" Target="https://pbs.twimg.com/profile_images/641183991077445633/V7VcBpJI_normal.png" TargetMode="External"/><Relationship Id="rId8519" Type="http://schemas.openxmlformats.org/officeDocument/2006/relationships/hyperlink" Target="https://twitter.com/swainjo" TargetMode="External"/><Relationship Id="rId8518" Type="http://schemas.openxmlformats.org/officeDocument/2006/relationships/hyperlink" Target="https://pbs.twimg.com/profile_images/3164607407/aa840e47521937f5c06afd97bdd32ab4_normal.jpeg" TargetMode="External"/><Relationship Id="rId8517" Type="http://schemas.openxmlformats.org/officeDocument/2006/relationships/hyperlink" Target="https://twitter.com/hofser/status/703163602971144193" TargetMode="External"/><Relationship Id="rId8512" Type="http://schemas.openxmlformats.org/officeDocument/2006/relationships/hyperlink" Target="https://pbs.twimg.com/profile_images/1214071998/Mikael_normal.jpg" TargetMode="External"/><Relationship Id="rId8511" Type="http://schemas.openxmlformats.org/officeDocument/2006/relationships/hyperlink" Target="https://twitter.com/mikaelhuss/status/703161610370592768" TargetMode="External"/><Relationship Id="rId8510" Type="http://schemas.openxmlformats.org/officeDocument/2006/relationships/hyperlink" Target="https://twitter.com/mikaelhuss" TargetMode="External"/><Relationship Id="rId8516" Type="http://schemas.openxmlformats.org/officeDocument/2006/relationships/hyperlink" Target="https://twitter.com/hofser" TargetMode="External"/><Relationship Id="rId8515" Type="http://schemas.openxmlformats.org/officeDocument/2006/relationships/hyperlink" Target="https://pbs.twimg.com/profile_images/558355266513543168/eUVU5wPx_normal.png" TargetMode="External"/><Relationship Id="rId8514" Type="http://schemas.openxmlformats.org/officeDocument/2006/relationships/hyperlink" Target="https://twitter.com/GGJSuisse/status/703163518330081280" TargetMode="External"/><Relationship Id="rId8513" Type="http://schemas.openxmlformats.org/officeDocument/2006/relationships/hyperlink" Target="https://twitter.com/GGJSuisse" TargetMode="External"/><Relationship Id="rId7219" Type="http://schemas.openxmlformats.org/officeDocument/2006/relationships/hyperlink" Target="https://pbs.twimg.com/profile_images/669184621532332035/lR39q_kZ_normal.png" TargetMode="External"/><Relationship Id="rId7210" Type="http://schemas.openxmlformats.org/officeDocument/2006/relationships/hyperlink" Target="https://pbs.twimg.com/profile_images/628062474491670529/KOOABG9v_normal.jpg" TargetMode="External"/><Relationship Id="rId8541" Type="http://schemas.openxmlformats.org/officeDocument/2006/relationships/hyperlink" Target="https://twitter.com/coolbutuseless/status/703169505355169793" TargetMode="External"/><Relationship Id="rId8540" Type="http://schemas.openxmlformats.org/officeDocument/2006/relationships/hyperlink" Target="https://twitter.com/coolbutuseless" TargetMode="External"/><Relationship Id="rId7214" Type="http://schemas.openxmlformats.org/officeDocument/2006/relationships/hyperlink" Target="https://twitter.com/thanhtungmilan" TargetMode="External"/><Relationship Id="rId8545" Type="http://schemas.openxmlformats.org/officeDocument/2006/relationships/hyperlink" Target="https://pbs.twimg.com/profile_images/546384306948427776/yNlUE0kB_normal.jpeg" TargetMode="External"/><Relationship Id="rId7213" Type="http://schemas.openxmlformats.org/officeDocument/2006/relationships/hyperlink" Target="https://pbs.twimg.com/profile_images/1198161733/analitycbridge_normal.png" TargetMode="External"/><Relationship Id="rId8544" Type="http://schemas.openxmlformats.org/officeDocument/2006/relationships/hyperlink" Target="https://twitter.com/davidetwittin/status/703169673299267584" TargetMode="External"/><Relationship Id="rId7212" Type="http://schemas.openxmlformats.org/officeDocument/2006/relationships/hyperlink" Target="https://twitter.com/analyticbridge/status/702940647737561089" TargetMode="External"/><Relationship Id="rId8543" Type="http://schemas.openxmlformats.org/officeDocument/2006/relationships/hyperlink" Target="https://twitter.com/davidetwittin" TargetMode="External"/><Relationship Id="rId7211" Type="http://schemas.openxmlformats.org/officeDocument/2006/relationships/hyperlink" Target="https://twitter.com/analyticbridge" TargetMode="External"/><Relationship Id="rId8542" Type="http://schemas.openxmlformats.org/officeDocument/2006/relationships/hyperlink" Target="https://pbs.twimg.com/profile_images/1858980277/icon2_normal.png" TargetMode="External"/><Relationship Id="rId7218" Type="http://schemas.openxmlformats.org/officeDocument/2006/relationships/hyperlink" Target="https://twitter.com/stopifnot/status/702941128937619456" TargetMode="External"/><Relationship Id="rId8549" Type="http://schemas.openxmlformats.org/officeDocument/2006/relationships/hyperlink" Target="https://twitter.com/MangoTheCat" TargetMode="External"/><Relationship Id="rId7217" Type="http://schemas.openxmlformats.org/officeDocument/2006/relationships/hyperlink" Target="https://twitter.com/stopifnot" TargetMode="External"/><Relationship Id="rId8548" Type="http://schemas.openxmlformats.org/officeDocument/2006/relationships/hyperlink" Target="https://pbs.twimg.com/profile_images/689480986560561152/dXVb8ybD_normal.jpg" TargetMode="External"/><Relationship Id="rId7216" Type="http://schemas.openxmlformats.org/officeDocument/2006/relationships/hyperlink" Target="https://pbs.twimg.com/profile_images/561301462399979521/20njf5kj_normal.jpeg" TargetMode="External"/><Relationship Id="rId8547" Type="http://schemas.openxmlformats.org/officeDocument/2006/relationships/hyperlink" Target="https://twitter.com/STATCowboy/status/703171240048001026" TargetMode="External"/><Relationship Id="rId7215" Type="http://schemas.openxmlformats.org/officeDocument/2006/relationships/hyperlink" Target="https://twitter.com/thanhtungmilan/status/702940880060035072" TargetMode="External"/><Relationship Id="rId8546" Type="http://schemas.openxmlformats.org/officeDocument/2006/relationships/hyperlink" Target="https://twitter.com/STATCowboy" TargetMode="External"/><Relationship Id="rId7209" Type="http://schemas.openxmlformats.org/officeDocument/2006/relationships/hyperlink" Target="https://twitter.com/sckottie/status/702940241347227648" TargetMode="External"/><Relationship Id="rId7208" Type="http://schemas.openxmlformats.org/officeDocument/2006/relationships/hyperlink" Target="https://twitter.com/sckottie" TargetMode="External"/><Relationship Id="rId8539" Type="http://schemas.openxmlformats.org/officeDocument/2006/relationships/hyperlink" Target="https://pbs.twimg.com/profile_images/544229028/1445949_normal.jpg" TargetMode="External"/><Relationship Id="rId8530" Type="http://schemas.openxmlformats.org/officeDocument/2006/relationships/hyperlink" Target="https://pbs.twimg.com/profile_images/695338874994753538/7aDlCQgM_normal.jpg" TargetMode="External"/><Relationship Id="rId7203" Type="http://schemas.openxmlformats.org/officeDocument/2006/relationships/hyperlink" Target="https://twitter.com/sckottie/status/702940191174987776" TargetMode="External"/><Relationship Id="rId8534" Type="http://schemas.openxmlformats.org/officeDocument/2006/relationships/hyperlink" Target="https://twitter.com/LessCrime" TargetMode="External"/><Relationship Id="rId7202" Type="http://schemas.openxmlformats.org/officeDocument/2006/relationships/hyperlink" Target="https://twitter.com/sckottie" TargetMode="External"/><Relationship Id="rId8533" Type="http://schemas.openxmlformats.org/officeDocument/2006/relationships/hyperlink" Target="https://pbs.twimg.com/profile_images/658948908740190208/YyttFCWg_normal.jpg" TargetMode="External"/><Relationship Id="rId7201" Type="http://schemas.openxmlformats.org/officeDocument/2006/relationships/hyperlink" Target="https://pbs.twimg.com/profile_images/701151636735922176/0A6Cy82p_normal.png" TargetMode="External"/><Relationship Id="rId8532" Type="http://schemas.openxmlformats.org/officeDocument/2006/relationships/hyperlink" Target="https://twitter.com/routineactivity/status/703165374473175040" TargetMode="External"/><Relationship Id="rId7200" Type="http://schemas.openxmlformats.org/officeDocument/2006/relationships/hyperlink" Target="https://twitter.com/MikeDeCrescenzo/status/702940113085583364" TargetMode="External"/><Relationship Id="rId8531" Type="http://schemas.openxmlformats.org/officeDocument/2006/relationships/hyperlink" Target="https://twitter.com/routineactivity" TargetMode="External"/><Relationship Id="rId7207" Type="http://schemas.openxmlformats.org/officeDocument/2006/relationships/hyperlink" Target="https://pbs.twimg.com/profile_images/585868440440700928/i6zV-hSn_normal.png" TargetMode="External"/><Relationship Id="rId8538" Type="http://schemas.openxmlformats.org/officeDocument/2006/relationships/hyperlink" Target="https://twitter.com/mottarafael/status/703168875710427136" TargetMode="External"/><Relationship Id="rId7206" Type="http://schemas.openxmlformats.org/officeDocument/2006/relationships/hyperlink" Target="https://twitter.com/pdxrlang/status/702940191195934721" TargetMode="External"/><Relationship Id="rId8537" Type="http://schemas.openxmlformats.org/officeDocument/2006/relationships/hyperlink" Target="https://twitter.com/mottarafael" TargetMode="External"/><Relationship Id="rId7205" Type="http://schemas.openxmlformats.org/officeDocument/2006/relationships/hyperlink" Target="https://twitter.com/pdxrlang" TargetMode="External"/><Relationship Id="rId8536" Type="http://schemas.openxmlformats.org/officeDocument/2006/relationships/hyperlink" Target="https://pbs.twimg.com/profile_images/3569283223/41a2322b7c35fdf5a01ca6a5c915fc8d_normal.jpeg" TargetMode="External"/><Relationship Id="rId7204" Type="http://schemas.openxmlformats.org/officeDocument/2006/relationships/hyperlink" Target="https://pbs.twimg.com/profile_images/628062474491670529/KOOABG9v_normal.jpg" TargetMode="External"/><Relationship Id="rId8535" Type="http://schemas.openxmlformats.org/officeDocument/2006/relationships/hyperlink" Target="https://twitter.com/LessCrime/status/703165422502154241" TargetMode="External"/><Relationship Id="rId1090" Type="http://schemas.openxmlformats.org/officeDocument/2006/relationships/hyperlink" Target="https://pbs.twimg.com/profile_images/3115226631/64c23b8cf4ee80371301e909c46288ea_normal.jpeg" TargetMode="External"/><Relationship Id="rId1091" Type="http://schemas.openxmlformats.org/officeDocument/2006/relationships/hyperlink" Target="https://twitter.com/darokun" TargetMode="External"/><Relationship Id="rId1092" Type="http://schemas.openxmlformats.org/officeDocument/2006/relationships/hyperlink" Target="https://twitter.com/darokun/status/701634427508674560" TargetMode="External"/><Relationship Id="rId1093" Type="http://schemas.openxmlformats.org/officeDocument/2006/relationships/hyperlink" Target="https://pbs.twimg.com/profile_images/682132143691165696/F728CHog_normal.jpg" TargetMode="External"/><Relationship Id="rId1094" Type="http://schemas.openxmlformats.org/officeDocument/2006/relationships/hyperlink" Target="https://twitter.com/rajcs4" TargetMode="External"/><Relationship Id="rId1095" Type="http://schemas.openxmlformats.org/officeDocument/2006/relationships/hyperlink" Target="https://twitter.com/rajcs4/status/701634955256979456" TargetMode="External"/><Relationship Id="rId1096" Type="http://schemas.openxmlformats.org/officeDocument/2006/relationships/hyperlink" Target="https://pbs.twimg.com/profile_images/678720880579493889/XRnMhsHs_normal.jpg" TargetMode="External"/><Relationship Id="rId1097" Type="http://schemas.openxmlformats.org/officeDocument/2006/relationships/hyperlink" Target="https://twitter.com/CallbackWomen" TargetMode="External"/><Relationship Id="rId1098" Type="http://schemas.openxmlformats.org/officeDocument/2006/relationships/hyperlink" Target="https://twitter.com/CallbackWomen/status/701636157415694336" TargetMode="External"/><Relationship Id="rId1099" Type="http://schemas.openxmlformats.org/officeDocument/2006/relationships/hyperlink" Target="https://pbs.twimg.com/profile_images/3254631162/f4c7099f74e42998e7f5cf3664e0a071_normal.png" TargetMode="External"/><Relationship Id="rId1080" Type="http://schemas.openxmlformats.org/officeDocument/2006/relationships/hyperlink" Target="https://pbs.twimg.com/profile_images/455719345360883712/BQyuMRln_normal.jpeg" TargetMode="External"/><Relationship Id="rId1081" Type="http://schemas.openxmlformats.org/officeDocument/2006/relationships/hyperlink" Target="https://twitter.com/Rbloggers" TargetMode="External"/><Relationship Id="rId1082" Type="http://schemas.openxmlformats.org/officeDocument/2006/relationships/hyperlink" Target="https://twitter.com/Rbloggers/status/701632536498188289" TargetMode="External"/><Relationship Id="rId1083" Type="http://schemas.openxmlformats.org/officeDocument/2006/relationships/hyperlink" Target="http://r-bloggers.com" TargetMode="External"/><Relationship Id="rId1084" Type="http://schemas.openxmlformats.org/officeDocument/2006/relationships/hyperlink" Target="https://pbs.twimg.com/profile_images/502185985786916864/gkdFh-q7_normal.png" TargetMode="External"/><Relationship Id="rId1085" Type="http://schemas.openxmlformats.org/officeDocument/2006/relationships/hyperlink" Target="https://twitter.com/rc_serban" TargetMode="External"/><Relationship Id="rId1086" Type="http://schemas.openxmlformats.org/officeDocument/2006/relationships/hyperlink" Target="https://twitter.com/rc_serban/status/701633315435110400" TargetMode="External"/><Relationship Id="rId1087" Type="http://schemas.openxmlformats.org/officeDocument/2006/relationships/hyperlink" Target="https://pbs.twimg.com/profile_images/378800000761311535/4a74c8294e22c5c826ac6fc2c19f25ad_normal.jpeg" TargetMode="External"/><Relationship Id="rId1088" Type="http://schemas.openxmlformats.org/officeDocument/2006/relationships/hyperlink" Target="https://twitter.com/alicetoll" TargetMode="External"/><Relationship Id="rId1089" Type="http://schemas.openxmlformats.org/officeDocument/2006/relationships/hyperlink" Target="https://twitter.com/alicetoll/status/701633856408051712" TargetMode="External"/><Relationship Id="rId8509" Type="http://schemas.openxmlformats.org/officeDocument/2006/relationships/hyperlink" Target="https://pbs.twimg.com/profile_images/696065224101728256/rWXmSpUS_normal.jpg" TargetMode="External"/><Relationship Id="rId8508" Type="http://schemas.openxmlformats.org/officeDocument/2006/relationships/hyperlink" Target="https://twitter.com/rmn0001/status/703161375518912512" TargetMode="External"/><Relationship Id="rId8507" Type="http://schemas.openxmlformats.org/officeDocument/2006/relationships/hyperlink" Target="https://twitter.com/rmn0001" TargetMode="External"/><Relationship Id="rId8506" Type="http://schemas.openxmlformats.org/officeDocument/2006/relationships/hyperlink" Target="https://pbs.twimg.com/profile_images/1858980277/icon2_normal.png" TargetMode="External"/><Relationship Id="rId8501" Type="http://schemas.openxmlformats.org/officeDocument/2006/relationships/hyperlink" Target="https://twitter.com/CRANberriesFeed" TargetMode="External"/><Relationship Id="rId8500" Type="http://schemas.openxmlformats.org/officeDocument/2006/relationships/hyperlink" Target="https://pbs.twimg.com/profile_images/3569283223/41a2322b7c35fdf5a01ca6a5c915fc8d_normal.jpeg" TargetMode="External"/><Relationship Id="rId8505" Type="http://schemas.openxmlformats.org/officeDocument/2006/relationships/hyperlink" Target="https://twitter.com/coolbutuseless/status/703161028754874368" TargetMode="External"/><Relationship Id="rId8504" Type="http://schemas.openxmlformats.org/officeDocument/2006/relationships/hyperlink" Target="https://twitter.com/coolbutuseless" TargetMode="External"/><Relationship Id="rId8503" Type="http://schemas.openxmlformats.org/officeDocument/2006/relationships/hyperlink" Target="https://pbs.twimg.com/profile_images/1222779560/cran1_normal.jpg" TargetMode="External"/><Relationship Id="rId8502" Type="http://schemas.openxmlformats.org/officeDocument/2006/relationships/hyperlink" Target="https://twitter.com/CRANberriesFeed/status/703161012749340672" TargetMode="External"/><Relationship Id="rId7272" Type="http://schemas.openxmlformats.org/officeDocument/2006/relationships/hyperlink" Target="https://pbs.twimg.com/profile_images/515576920340045824/mBefJfrj_normal.jpeg" TargetMode="External"/><Relationship Id="rId7271" Type="http://schemas.openxmlformats.org/officeDocument/2006/relationships/hyperlink" Target="https://twitter.com/hafenstats/status/702944910102560768" TargetMode="External"/><Relationship Id="rId7270" Type="http://schemas.openxmlformats.org/officeDocument/2006/relationships/hyperlink" Target="https://twitter.com/hafenstats" TargetMode="External"/><Relationship Id="rId7276" Type="http://schemas.openxmlformats.org/officeDocument/2006/relationships/hyperlink" Target="https://twitter.com/Pvalsfr" TargetMode="External"/><Relationship Id="rId7275" Type="http://schemas.openxmlformats.org/officeDocument/2006/relationships/hyperlink" Target="https://pbs.twimg.com/profile_images/614813960756334592/QQDPXmB7_normal.png" TargetMode="External"/><Relationship Id="rId7274" Type="http://schemas.openxmlformats.org/officeDocument/2006/relationships/hyperlink" Target="https://twitter.com/McGowanAlistair/status/702945008333225984" TargetMode="External"/><Relationship Id="rId7273" Type="http://schemas.openxmlformats.org/officeDocument/2006/relationships/hyperlink" Target="https://twitter.com/McGowanAlistair" TargetMode="External"/><Relationship Id="rId7279" Type="http://schemas.openxmlformats.org/officeDocument/2006/relationships/hyperlink" Target="https://twitter.com/stopifnot" TargetMode="External"/><Relationship Id="rId7278" Type="http://schemas.openxmlformats.org/officeDocument/2006/relationships/hyperlink" Target="https://abs.twimg.com/sticky/default_profile_images/default_profile_4_normal.png" TargetMode="External"/><Relationship Id="rId7277" Type="http://schemas.openxmlformats.org/officeDocument/2006/relationships/hyperlink" Target="https://twitter.com/Pvalsfr/status/702945388911796224" TargetMode="External"/><Relationship Id="rId7261" Type="http://schemas.openxmlformats.org/officeDocument/2006/relationships/hyperlink" Target="https://twitter.com/stopifnot" TargetMode="External"/><Relationship Id="rId8592" Type="http://schemas.openxmlformats.org/officeDocument/2006/relationships/hyperlink" Target="https://twitter.com/bioinpharmatics/status/703186375550509056" TargetMode="External"/><Relationship Id="rId7260" Type="http://schemas.openxmlformats.org/officeDocument/2006/relationships/hyperlink" Target="https://pbs.twimg.com/profile_images/487327195174801408/Z57984kh_normal.jpeg" TargetMode="External"/><Relationship Id="rId8591" Type="http://schemas.openxmlformats.org/officeDocument/2006/relationships/hyperlink" Target="https://twitter.com/bioinpharmatics" TargetMode="External"/><Relationship Id="rId8590" Type="http://schemas.openxmlformats.org/officeDocument/2006/relationships/hyperlink" Target="https://abs.twimg.com/sticky/default_profile_images/default_profile_1_normal.png" TargetMode="External"/><Relationship Id="rId7265" Type="http://schemas.openxmlformats.org/officeDocument/2006/relationships/hyperlink" Target="https://twitter.com/renato_umeton/status/702943734078558208" TargetMode="External"/><Relationship Id="rId8596" Type="http://schemas.openxmlformats.org/officeDocument/2006/relationships/hyperlink" Target="https://pbs.twimg.com/profile_images/486057633850220547/pb5fG2GC_normal.png" TargetMode="External"/><Relationship Id="rId7264" Type="http://schemas.openxmlformats.org/officeDocument/2006/relationships/hyperlink" Target="https://twitter.com/renato_umeton" TargetMode="External"/><Relationship Id="rId8595" Type="http://schemas.openxmlformats.org/officeDocument/2006/relationships/hyperlink" Target="https://twitter.com/yrlaNor/status/703187749457637377" TargetMode="External"/><Relationship Id="rId7263" Type="http://schemas.openxmlformats.org/officeDocument/2006/relationships/hyperlink" Target="https://pbs.twimg.com/profile_images/669184621532332035/lR39q_kZ_normal.png" TargetMode="External"/><Relationship Id="rId8594" Type="http://schemas.openxmlformats.org/officeDocument/2006/relationships/hyperlink" Target="https://twitter.com/yrlaNor" TargetMode="External"/><Relationship Id="rId7262" Type="http://schemas.openxmlformats.org/officeDocument/2006/relationships/hyperlink" Target="https://twitter.com/stopifnot/status/702943441806880768" TargetMode="External"/><Relationship Id="rId8593" Type="http://schemas.openxmlformats.org/officeDocument/2006/relationships/hyperlink" Target="https://pbs.twimg.com/profile_images/552577033797390336/9qtj1Oci_normal.jpeg" TargetMode="External"/><Relationship Id="rId7269" Type="http://schemas.openxmlformats.org/officeDocument/2006/relationships/hyperlink" Target="https://pbs.twimg.com/profile_images/603517008777445376/474uLV55_normal.png" TargetMode="External"/><Relationship Id="rId7268" Type="http://schemas.openxmlformats.org/officeDocument/2006/relationships/hyperlink" Target="https://twitter.com/BerlinRUG/status/702943942283759616" TargetMode="External"/><Relationship Id="rId8599" Type="http://schemas.openxmlformats.org/officeDocument/2006/relationships/hyperlink" Target="https://pbs.twimg.com/profile_images/378800000379904772/a5a32945f329f35a345b28adfa8fe081_normal.png" TargetMode="External"/><Relationship Id="rId7267" Type="http://schemas.openxmlformats.org/officeDocument/2006/relationships/hyperlink" Target="https://twitter.com/BerlinRUG" TargetMode="External"/><Relationship Id="rId8598" Type="http://schemas.openxmlformats.org/officeDocument/2006/relationships/hyperlink" Target="https://twitter.com/BenBondLamberty/status/703187893502791681" TargetMode="External"/><Relationship Id="rId7266" Type="http://schemas.openxmlformats.org/officeDocument/2006/relationships/hyperlink" Target="https://pbs.twimg.com/profile_images/701553083537604608/nr8b38eG_normal.jpg" TargetMode="External"/><Relationship Id="rId8597" Type="http://schemas.openxmlformats.org/officeDocument/2006/relationships/hyperlink" Target="https://twitter.com/BenBondLamberty" TargetMode="External"/><Relationship Id="rId7294" Type="http://schemas.openxmlformats.org/officeDocument/2006/relationships/hyperlink" Target="https://twitter.com/lucasoft_co_uk" TargetMode="External"/><Relationship Id="rId7293" Type="http://schemas.openxmlformats.org/officeDocument/2006/relationships/hyperlink" Target="https://pbs.twimg.com/profile_images/641373484715675648/V2ccwNEc_normal.jpg" TargetMode="External"/><Relationship Id="rId7292" Type="http://schemas.openxmlformats.org/officeDocument/2006/relationships/hyperlink" Target="https://twitter.com/useR_Stanford/status/702946244012826625" TargetMode="External"/><Relationship Id="rId7291" Type="http://schemas.openxmlformats.org/officeDocument/2006/relationships/hyperlink" Target="https://twitter.com/useR_Stanford" TargetMode="External"/><Relationship Id="rId7298" Type="http://schemas.openxmlformats.org/officeDocument/2006/relationships/hyperlink" Target="https://twitter.com/BroVic/status/702946331317411840" TargetMode="External"/><Relationship Id="rId7297" Type="http://schemas.openxmlformats.org/officeDocument/2006/relationships/hyperlink" Target="https://twitter.com/BroVic" TargetMode="External"/><Relationship Id="rId7296" Type="http://schemas.openxmlformats.org/officeDocument/2006/relationships/hyperlink" Target="https://pbs.twimg.com/profile_images/546760740959305728/KLYPZoQU_normal.png" TargetMode="External"/><Relationship Id="rId7295" Type="http://schemas.openxmlformats.org/officeDocument/2006/relationships/hyperlink" Target="https://twitter.com/lucasoft_co_uk/status/702946283028418561" TargetMode="External"/><Relationship Id="rId7299" Type="http://schemas.openxmlformats.org/officeDocument/2006/relationships/hyperlink" Target="https://pbs.twimg.com/profile_images/639528574362472448/PgHltNjE_normal.jpg" TargetMode="External"/><Relationship Id="rId7290" Type="http://schemas.openxmlformats.org/officeDocument/2006/relationships/hyperlink" Target="https://pbs.twimg.com/profile_images/344513261578555150/52c924d881ef3a12a9f2812526cd0b49_normal.png" TargetMode="External"/><Relationship Id="rId7283" Type="http://schemas.openxmlformats.org/officeDocument/2006/relationships/hyperlink" Target="https://twitter.com/artemklevtsov/status/702945647322910721" TargetMode="External"/><Relationship Id="rId7282" Type="http://schemas.openxmlformats.org/officeDocument/2006/relationships/hyperlink" Target="https://twitter.com/artemklevtsov" TargetMode="External"/><Relationship Id="rId7281" Type="http://schemas.openxmlformats.org/officeDocument/2006/relationships/hyperlink" Target="https://pbs.twimg.com/profile_images/669184621532332035/lR39q_kZ_normal.png" TargetMode="External"/><Relationship Id="rId7280" Type="http://schemas.openxmlformats.org/officeDocument/2006/relationships/hyperlink" Target="https://twitter.com/stopifnot/status/702945624237465600" TargetMode="External"/><Relationship Id="rId7287" Type="http://schemas.openxmlformats.org/officeDocument/2006/relationships/hyperlink" Target="https://pbs.twimg.com/profile_images/639528574362472448/PgHltNjE_normal.jpg" TargetMode="External"/><Relationship Id="rId7286" Type="http://schemas.openxmlformats.org/officeDocument/2006/relationships/hyperlink" Target="https://twitter.com/BroVic/status/702945908720345088" TargetMode="External"/><Relationship Id="rId7285" Type="http://schemas.openxmlformats.org/officeDocument/2006/relationships/hyperlink" Target="https://twitter.com/BroVic" TargetMode="External"/><Relationship Id="rId7284" Type="http://schemas.openxmlformats.org/officeDocument/2006/relationships/hyperlink" Target="https://pbs.twimg.com/profile_images/582945739141058560/m1lDOgFc_normal.png" TargetMode="External"/><Relationship Id="rId7289" Type="http://schemas.openxmlformats.org/officeDocument/2006/relationships/hyperlink" Target="https://twitter.com/kozo2/status/702946102505566208" TargetMode="External"/><Relationship Id="rId7288" Type="http://schemas.openxmlformats.org/officeDocument/2006/relationships/hyperlink" Target="https://twitter.com/kozo2" TargetMode="External"/><Relationship Id="rId7232" Type="http://schemas.openxmlformats.org/officeDocument/2006/relationships/hyperlink" Target="http://r-bloggers.com" TargetMode="External"/><Relationship Id="rId8563" Type="http://schemas.openxmlformats.org/officeDocument/2006/relationships/hyperlink" Target="https://pbs.twimg.com/profile_images/668051820091166721/uP7X3fI5_normal.jpg" TargetMode="External"/><Relationship Id="rId7231" Type="http://schemas.openxmlformats.org/officeDocument/2006/relationships/hyperlink" Target="https://twitter.com/Rbloggers/status/702942470544322560" TargetMode="External"/><Relationship Id="rId8562" Type="http://schemas.openxmlformats.org/officeDocument/2006/relationships/hyperlink" Target="https://twitter.com/Zk433/status/703177900070055936" TargetMode="External"/><Relationship Id="rId7230" Type="http://schemas.openxmlformats.org/officeDocument/2006/relationships/hyperlink" Target="https://twitter.com/Rbloggers" TargetMode="External"/><Relationship Id="rId8561" Type="http://schemas.openxmlformats.org/officeDocument/2006/relationships/hyperlink" Target="https://twitter.com/Zk433" TargetMode="External"/><Relationship Id="rId8560" Type="http://schemas.openxmlformats.org/officeDocument/2006/relationships/hyperlink" Target="https://pbs.twimg.com/profile_images/630723569522184192/xOWSOI36_normal.jpg" TargetMode="External"/><Relationship Id="rId7236" Type="http://schemas.openxmlformats.org/officeDocument/2006/relationships/hyperlink" Target="https://pbs.twimg.com/profile_images/686205504910176256/s3GUi2AC_normal.jpg" TargetMode="External"/><Relationship Id="rId8567" Type="http://schemas.openxmlformats.org/officeDocument/2006/relationships/hyperlink" Target="https://twitter.com/TeebzR" TargetMode="External"/><Relationship Id="rId7235" Type="http://schemas.openxmlformats.org/officeDocument/2006/relationships/hyperlink" Target="https://twitter.com/Nujcharee/status/702942482296913920" TargetMode="External"/><Relationship Id="rId8566" Type="http://schemas.openxmlformats.org/officeDocument/2006/relationships/hyperlink" Target="https://pbs.twimg.com/profile_images/518633000917934081/wo03fJNe_normal.jpeg" TargetMode="External"/><Relationship Id="rId7234" Type="http://schemas.openxmlformats.org/officeDocument/2006/relationships/hyperlink" Target="https://twitter.com/Nujcharee" TargetMode="External"/><Relationship Id="rId8565" Type="http://schemas.openxmlformats.org/officeDocument/2006/relationships/hyperlink" Target="https://twitter.com/Jamieallencook/status/703178102466224128" TargetMode="External"/><Relationship Id="rId7233" Type="http://schemas.openxmlformats.org/officeDocument/2006/relationships/hyperlink" Target="https://pbs.twimg.com/profile_images/502185985786916864/gkdFh-q7_normal.png" TargetMode="External"/><Relationship Id="rId8564" Type="http://schemas.openxmlformats.org/officeDocument/2006/relationships/hyperlink" Target="https://twitter.com/Jamieallencook" TargetMode="External"/><Relationship Id="rId7239" Type="http://schemas.openxmlformats.org/officeDocument/2006/relationships/hyperlink" Target="https://pbs.twimg.com/profile_images/675225906173124609/xPlpeuKw_normal.png" TargetMode="External"/><Relationship Id="rId7238" Type="http://schemas.openxmlformats.org/officeDocument/2006/relationships/hyperlink" Target="https://twitter.com/DataFinest/status/702942493403389953" TargetMode="External"/><Relationship Id="rId8569" Type="http://schemas.openxmlformats.org/officeDocument/2006/relationships/hyperlink" Target="https://pbs.twimg.com/profile_images/703178918316998656/ap49QMQf_normal.jpg" TargetMode="External"/><Relationship Id="rId7237" Type="http://schemas.openxmlformats.org/officeDocument/2006/relationships/hyperlink" Target="https://twitter.com/DataFinest" TargetMode="External"/><Relationship Id="rId8568" Type="http://schemas.openxmlformats.org/officeDocument/2006/relationships/hyperlink" Target="https://twitter.com/TeebzR/status/703178685554163714" TargetMode="External"/><Relationship Id="rId7221" Type="http://schemas.openxmlformats.org/officeDocument/2006/relationships/hyperlink" Target="https://twitter.com/InvestmentRP/status/702941328393572353" TargetMode="External"/><Relationship Id="rId8552" Type="http://schemas.openxmlformats.org/officeDocument/2006/relationships/hyperlink" Target="https://twitter.com/earlconf" TargetMode="External"/><Relationship Id="rId7220" Type="http://schemas.openxmlformats.org/officeDocument/2006/relationships/hyperlink" Target="https://twitter.com/InvestmentRP" TargetMode="External"/><Relationship Id="rId8551" Type="http://schemas.openxmlformats.org/officeDocument/2006/relationships/hyperlink" Target="https://pbs.twimg.com/profile_images/641183991077445633/V7VcBpJI_normal.png" TargetMode="External"/><Relationship Id="rId8550" Type="http://schemas.openxmlformats.org/officeDocument/2006/relationships/hyperlink" Target="https://twitter.com/MangoTheCat/status/703172406806876160" TargetMode="External"/><Relationship Id="rId7225" Type="http://schemas.openxmlformats.org/officeDocument/2006/relationships/hyperlink" Target="https://pbs.twimg.com/profile_images/57541014/j_normal.jpg" TargetMode="External"/><Relationship Id="rId8556" Type="http://schemas.openxmlformats.org/officeDocument/2006/relationships/hyperlink" Target="https://twitter.com/MangoTheCat/status/703175838208958464" TargetMode="External"/><Relationship Id="rId7224" Type="http://schemas.openxmlformats.org/officeDocument/2006/relationships/hyperlink" Target="https://twitter.com/jeremyfreese/status/702941621457801216" TargetMode="External"/><Relationship Id="rId8555" Type="http://schemas.openxmlformats.org/officeDocument/2006/relationships/hyperlink" Target="https://twitter.com/MangoTheCat" TargetMode="External"/><Relationship Id="rId7223" Type="http://schemas.openxmlformats.org/officeDocument/2006/relationships/hyperlink" Target="https://twitter.com/jeremyfreese" TargetMode="External"/><Relationship Id="rId8554" Type="http://schemas.openxmlformats.org/officeDocument/2006/relationships/hyperlink" Target="https://pbs.twimg.com/profile_images/432298122203512833/YDXfWlI__normal.png" TargetMode="External"/><Relationship Id="rId7222" Type="http://schemas.openxmlformats.org/officeDocument/2006/relationships/hyperlink" Target="https://pbs.twimg.com/profile_images/3334969480/a2c818157cf8cad81db52da77d3c2aaa_normal.jpeg" TargetMode="External"/><Relationship Id="rId8553" Type="http://schemas.openxmlformats.org/officeDocument/2006/relationships/hyperlink" Target="https://twitter.com/earlconf/status/703175379314307072" TargetMode="External"/><Relationship Id="rId7229" Type="http://schemas.openxmlformats.org/officeDocument/2006/relationships/hyperlink" Target="https://pbs.twimg.com/profile_images/696056897560915969/XpPGOuAf_normal.png" TargetMode="External"/><Relationship Id="rId7228" Type="http://schemas.openxmlformats.org/officeDocument/2006/relationships/hyperlink" Target="https://twitter.com/RProgramming/status/702941975037644800" TargetMode="External"/><Relationship Id="rId8559" Type="http://schemas.openxmlformats.org/officeDocument/2006/relationships/hyperlink" Target="https://twitter.com/velvetbaldmime/status/703176995631468544" TargetMode="External"/><Relationship Id="rId7227" Type="http://schemas.openxmlformats.org/officeDocument/2006/relationships/hyperlink" Target="http://RProgramming.net" TargetMode="External"/><Relationship Id="rId8558" Type="http://schemas.openxmlformats.org/officeDocument/2006/relationships/hyperlink" Target="https://twitter.com/velvetbaldmime" TargetMode="External"/><Relationship Id="rId7226" Type="http://schemas.openxmlformats.org/officeDocument/2006/relationships/hyperlink" Target="https://twitter.com/RProgramming" TargetMode="External"/><Relationship Id="rId8557" Type="http://schemas.openxmlformats.org/officeDocument/2006/relationships/hyperlink" Target="https://pbs.twimg.com/profile_images/641183991077445633/V7VcBpJI_normal.png" TargetMode="External"/><Relationship Id="rId7250" Type="http://schemas.openxmlformats.org/officeDocument/2006/relationships/hyperlink" Target="https://twitter.com/BerlinRUG/status/702943036700024832" TargetMode="External"/><Relationship Id="rId8581" Type="http://schemas.openxmlformats.org/officeDocument/2006/relationships/hyperlink" Target="https://pbs.twimg.com/profile_images/654285355198357505/pLAhaH6v_normal.jpg" TargetMode="External"/><Relationship Id="rId8580" Type="http://schemas.openxmlformats.org/officeDocument/2006/relationships/hyperlink" Target="https://twitter.com/el_abstemio/status/703184727922978816" TargetMode="External"/><Relationship Id="rId7254" Type="http://schemas.openxmlformats.org/officeDocument/2006/relationships/hyperlink" Target="https://pbs.twimg.com/profile_images/675225906173124609/xPlpeuKw_normal.png" TargetMode="External"/><Relationship Id="rId8585" Type="http://schemas.openxmlformats.org/officeDocument/2006/relationships/hyperlink" Target="https://twitter.com/noticiasSobreR" TargetMode="External"/><Relationship Id="rId7253" Type="http://schemas.openxmlformats.org/officeDocument/2006/relationships/hyperlink" Target="https://twitter.com/DataFinest/status/702943094413660160" TargetMode="External"/><Relationship Id="rId8584" Type="http://schemas.openxmlformats.org/officeDocument/2006/relationships/hyperlink" Target="https://pbs.twimg.com/profile_images/632430083739791361/avYMpX74_normal.jpg" TargetMode="External"/><Relationship Id="rId7252" Type="http://schemas.openxmlformats.org/officeDocument/2006/relationships/hyperlink" Target="https://twitter.com/DataFinest" TargetMode="External"/><Relationship Id="rId8583" Type="http://schemas.openxmlformats.org/officeDocument/2006/relationships/hyperlink" Target="https://twitter.com/sqL_handLe/status/703185377339674624" TargetMode="External"/><Relationship Id="rId7251" Type="http://schemas.openxmlformats.org/officeDocument/2006/relationships/hyperlink" Target="https://pbs.twimg.com/profile_images/603517008777445376/474uLV55_normal.png" TargetMode="External"/><Relationship Id="rId8582" Type="http://schemas.openxmlformats.org/officeDocument/2006/relationships/hyperlink" Target="https://twitter.com/sqL_handLe" TargetMode="External"/><Relationship Id="rId7258" Type="http://schemas.openxmlformats.org/officeDocument/2006/relationships/hyperlink" Target="https://twitter.com/doratsab" TargetMode="External"/><Relationship Id="rId8589" Type="http://schemas.openxmlformats.org/officeDocument/2006/relationships/hyperlink" Target="https://twitter.com/vishnebo/status/703186238321389568" TargetMode="External"/><Relationship Id="rId7257" Type="http://schemas.openxmlformats.org/officeDocument/2006/relationships/hyperlink" Target="https://pbs.twimg.com/profile_images/459147858722029569/kRvq34C5_normal.jpeg" TargetMode="External"/><Relationship Id="rId8588" Type="http://schemas.openxmlformats.org/officeDocument/2006/relationships/hyperlink" Target="https://twitter.com/vishnebo" TargetMode="External"/><Relationship Id="rId7256" Type="http://schemas.openxmlformats.org/officeDocument/2006/relationships/hyperlink" Target="https://twitter.com/_djli/status/702943181361410048" TargetMode="External"/><Relationship Id="rId8587" Type="http://schemas.openxmlformats.org/officeDocument/2006/relationships/hyperlink" Target="https://abs.twimg.com/sticky/default_profile_images/default_profile_3_normal.png" TargetMode="External"/><Relationship Id="rId7255" Type="http://schemas.openxmlformats.org/officeDocument/2006/relationships/hyperlink" Target="https://twitter.com/_djli" TargetMode="External"/><Relationship Id="rId8586" Type="http://schemas.openxmlformats.org/officeDocument/2006/relationships/hyperlink" Target="https://twitter.com/noticiasSobreR/status/703186103365292033" TargetMode="External"/><Relationship Id="rId7259" Type="http://schemas.openxmlformats.org/officeDocument/2006/relationships/hyperlink" Target="https://twitter.com/doratsab/status/702943302220390401" TargetMode="External"/><Relationship Id="rId8570" Type="http://schemas.openxmlformats.org/officeDocument/2006/relationships/hyperlink" Target="https://twitter.com/BestCourses_" TargetMode="External"/><Relationship Id="rId7243" Type="http://schemas.openxmlformats.org/officeDocument/2006/relationships/hyperlink" Target="https://twitter.com/emilyharajuku" TargetMode="External"/><Relationship Id="rId8574" Type="http://schemas.openxmlformats.org/officeDocument/2006/relationships/hyperlink" Target="https://twitter.com/EnedinaTT/status/703182915782336514" TargetMode="External"/><Relationship Id="rId7242" Type="http://schemas.openxmlformats.org/officeDocument/2006/relationships/hyperlink" Target="https://pbs.twimg.com/profile_images/672265924184010752/LrKCh_kA_normal.png" TargetMode="External"/><Relationship Id="rId8573" Type="http://schemas.openxmlformats.org/officeDocument/2006/relationships/hyperlink" Target="https://twitter.com/EnedinaTT" TargetMode="External"/><Relationship Id="rId7241" Type="http://schemas.openxmlformats.org/officeDocument/2006/relationships/hyperlink" Target="https://twitter.com/Sergio_CPS/status/702942642682896384" TargetMode="External"/><Relationship Id="rId8572" Type="http://schemas.openxmlformats.org/officeDocument/2006/relationships/hyperlink" Target="https://pbs.twimg.com/profile_images/655401968802861056/yuPEMhy3_normal.jpg" TargetMode="External"/><Relationship Id="rId7240" Type="http://schemas.openxmlformats.org/officeDocument/2006/relationships/hyperlink" Target="https://twitter.com/Sergio_CPS" TargetMode="External"/><Relationship Id="rId8571" Type="http://schemas.openxmlformats.org/officeDocument/2006/relationships/hyperlink" Target="https://twitter.com/BestCourses_/status/703180826641461248" TargetMode="External"/><Relationship Id="rId7247" Type="http://schemas.openxmlformats.org/officeDocument/2006/relationships/hyperlink" Target="https://twitter.com/CarolAWillson8/status/702942844047249409" TargetMode="External"/><Relationship Id="rId8578" Type="http://schemas.openxmlformats.org/officeDocument/2006/relationships/hyperlink" Target="https://pbs.twimg.com/profile_images/1195013164/Picture_23_normal.png" TargetMode="External"/><Relationship Id="rId7246" Type="http://schemas.openxmlformats.org/officeDocument/2006/relationships/hyperlink" Target="https://twitter.com/CarolAWillson8" TargetMode="External"/><Relationship Id="rId8577" Type="http://schemas.openxmlformats.org/officeDocument/2006/relationships/hyperlink" Target="https://twitter.com/psychemedia/status/703183957253165056" TargetMode="External"/><Relationship Id="rId7245" Type="http://schemas.openxmlformats.org/officeDocument/2006/relationships/hyperlink" Target="https://pbs.twimg.com/profile_images/1706563569/grace_jones_normal.jpeg" TargetMode="External"/><Relationship Id="rId8576" Type="http://schemas.openxmlformats.org/officeDocument/2006/relationships/hyperlink" Target="https://twitter.com/psychemedia" TargetMode="External"/><Relationship Id="rId7244" Type="http://schemas.openxmlformats.org/officeDocument/2006/relationships/hyperlink" Target="https://twitter.com/emilyharajuku/status/702942843090894853" TargetMode="External"/><Relationship Id="rId8575" Type="http://schemas.openxmlformats.org/officeDocument/2006/relationships/hyperlink" Target="https://abs.twimg.com/sticky/default_profile_images/default_profile_5_normal.png" TargetMode="External"/><Relationship Id="rId7249" Type="http://schemas.openxmlformats.org/officeDocument/2006/relationships/hyperlink" Target="https://twitter.com/BerlinRUG" TargetMode="External"/><Relationship Id="rId7248" Type="http://schemas.openxmlformats.org/officeDocument/2006/relationships/hyperlink" Target="https://pbs.twimg.com/profile_images/701133774915051521/C1pXE5el_normal.jpg" TargetMode="External"/><Relationship Id="rId8579" Type="http://schemas.openxmlformats.org/officeDocument/2006/relationships/hyperlink" Target="https://twitter.com/el_abstemio" TargetMode="External"/><Relationship Id="rId2423" Type="http://schemas.openxmlformats.org/officeDocument/2006/relationships/hyperlink" Target="https://pbs.twimg.com/profile_images/526695509356838912/eSvsHAD7_normal.jpeg" TargetMode="External"/><Relationship Id="rId3755" Type="http://schemas.openxmlformats.org/officeDocument/2006/relationships/hyperlink" Target="https://pbs.twimg.com/profile_images/692468856288321538/S7BP0qfC_normal.jpg" TargetMode="External"/><Relationship Id="rId2424" Type="http://schemas.openxmlformats.org/officeDocument/2006/relationships/hyperlink" Target="https://twitter.com/Sheffield_R_" TargetMode="External"/><Relationship Id="rId3754" Type="http://schemas.openxmlformats.org/officeDocument/2006/relationships/hyperlink" Target="https://twitter.com/sellorm/status/702221337583075332" TargetMode="External"/><Relationship Id="rId2425" Type="http://schemas.openxmlformats.org/officeDocument/2006/relationships/hyperlink" Target="https://twitter.com/Sheffield_R_/status/701895646123573248" TargetMode="External"/><Relationship Id="rId3757" Type="http://schemas.openxmlformats.org/officeDocument/2006/relationships/hyperlink" Target="https://twitter.com/MangoTheCat/status/702221460828459008" TargetMode="External"/><Relationship Id="rId2426" Type="http://schemas.openxmlformats.org/officeDocument/2006/relationships/hyperlink" Target="https://pbs.twimg.com/profile_images/526695509356838912/eSvsHAD7_normal.jpeg" TargetMode="External"/><Relationship Id="rId3756" Type="http://schemas.openxmlformats.org/officeDocument/2006/relationships/hyperlink" Target="https://twitter.com/MangoTheCat" TargetMode="External"/><Relationship Id="rId2427" Type="http://schemas.openxmlformats.org/officeDocument/2006/relationships/hyperlink" Target="https://twitter.com/andyteucher" TargetMode="External"/><Relationship Id="rId3759" Type="http://schemas.openxmlformats.org/officeDocument/2006/relationships/hyperlink" Target="https://twitter.com/zkajdan" TargetMode="External"/><Relationship Id="rId2428" Type="http://schemas.openxmlformats.org/officeDocument/2006/relationships/hyperlink" Target="https://twitter.com/andyteucher/status/701895892824031232" TargetMode="External"/><Relationship Id="rId3758" Type="http://schemas.openxmlformats.org/officeDocument/2006/relationships/hyperlink" Target="https://pbs.twimg.com/profile_images/641183991077445633/V7VcBpJI_normal.png" TargetMode="External"/><Relationship Id="rId2429" Type="http://schemas.openxmlformats.org/officeDocument/2006/relationships/hyperlink" Target="https://pbs.twimg.com/profile_images/509021766979579904/lAjlpu7x_normal.jpeg" TargetMode="External"/><Relationship Id="rId3751" Type="http://schemas.openxmlformats.org/officeDocument/2006/relationships/hyperlink" Target="https://twitter.com/CurryCunningham/status/702218114906218496" TargetMode="External"/><Relationship Id="rId2420" Type="http://schemas.openxmlformats.org/officeDocument/2006/relationships/hyperlink" Target="https://pbs.twimg.com/profile_images/2150342436/Picture_1_normal.jpg" TargetMode="External"/><Relationship Id="rId3750" Type="http://schemas.openxmlformats.org/officeDocument/2006/relationships/hyperlink" Target="https://twitter.com/CurryCunningham" TargetMode="External"/><Relationship Id="rId2421" Type="http://schemas.openxmlformats.org/officeDocument/2006/relationships/hyperlink" Target="https://twitter.com/Sheffield_R_" TargetMode="External"/><Relationship Id="rId3753" Type="http://schemas.openxmlformats.org/officeDocument/2006/relationships/hyperlink" Target="https://twitter.com/sellorm" TargetMode="External"/><Relationship Id="rId2422" Type="http://schemas.openxmlformats.org/officeDocument/2006/relationships/hyperlink" Target="https://twitter.com/Sheffield_R_/status/701895576921759744" TargetMode="External"/><Relationship Id="rId3752" Type="http://schemas.openxmlformats.org/officeDocument/2006/relationships/hyperlink" Target="https://pbs.twimg.com/profile_images/482067305434578945/AxAYTLPW_normal.jpeg" TargetMode="External"/><Relationship Id="rId2412" Type="http://schemas.openxmlformats.org/officeDocument/2006/relationships/hyperlink" Target="https://twitter.com/hrbrmstr" TargetMode="External"/><Relationship Id="rId3744" Type="http://schemas.openxmlformats.org/officeDocument/2006/relationships/hyperlink" Target="https://twitter.com/journocode" TargetMode="External"/><Relationship Id="rId2413" Type="http://schemas.openxmlformats.org/officeDocument/2006/relationships/hyperlink" Target="https://twitter.com/hrbrmstr/status/701895058342211588" TargetMode="External"/><Relationship Id="rId3743" Type="http://schemas.openxmlformats.org/officeDocument/2006/relationships/hyperlink" Target="https://pbs.twimg.com/profile_images/678987422475018240/zOKqetJt_normal.jpg" TargetMode="External"/><Relationship Id="rId2414" Type="http://schemas.openxmlformats.org/officeDocument/2006/relationships/hyperlink" Target="https://pbs.twimg.com/profile_images/557592259298729985/kpCUQWH1_normal.png" TargetMode="External"/><Relationship Id="rId3746" Type="http://schemas.openxmlformats.org/officeDocument/2006/relationships/hyperlink" Target="https://pbs.twimg.com/profile_images/663285524162048000/leUzJIIa_normal.png" TargetMode="External"/><Relationship Id="rId2415" Type="http://schemas.openxmlformats.org/officeDocument/2006/relationships/hyperlink" Target="https://twitter.com/AdamsAndreaJ" TargetMode="External"/><Relationship Id="rId3745" Type="http://schemas.openxmlformats.org/officeDocument/2006/relationships/hyperlink" Target="https://twitter.com/journocode/status/702215653869101056" TargetMode="External"/><Relationship Id="rId2416" Type="http://schemas.openxmlformats.org/officeDocument/2006/relationships/hyperlink" Target="https://twitter.com/AdamsAndreaJ/status/701895447279902722" TargetMode="External"/><Relationship Id="rId3748" Type="http://schemas.openxmlformats.org/officeDocument/2006/relationships/hyperlink" Target="https://twitter.com/RadCashew/status/702217520032444416" TargetMode="External"/><Relationship Id="rId2417" Type="http://schemas.openxmlformats.org/officeDocument/2006/relationships/hyperlink" Target="https://pbs.twimg.com/profile_images/536016928226041856/mUa2OcpT_normal.jpeg" TargetMode="External"/><Relationship Id="rId3747" Type="http://schemas.openxmlformats.org/officeDocument/2006/relationships/hyperlink" Target="https://twitter.com/RadCashew" TargetMode="External"/><Relationship Id="rId2418" Type="http://schemas.openxmlformats.org/officeDocument/2006/relationships/hyperlink" Target="https://twitter.com/rmflight" TargetMode="External"/><Relationship Id="rId2419" Type="http://schemas.openxmlformats.org/officeDocument/2006/relationships/hyperlink" Target="https://twitter.com/rmflight/status/701895552502525953" TargetMode="External"/><Relationship Id="rId3749" Type="http://schemas.openxmlformats.org/officeDocument/2006/relationships/hyperlink" Target="https://pbs.twimg.com/profile_images/680782491737829376/7T1R6MR6_normal.jpg" TargetMode="External"/><Relationship Id="rId3740" Type="http://schemas.openxmlformats.org/officeDocument/2006/relationships/hyperlink" Target="https://pbs.twimg.com/profile_images/645650110374936580/-oQakt8x_normal.png" TargetMode="External"/><Relationship Id="rId2410" Type="http://schemas.openxmlformats.org/officeDocument/2006/relationships/hyperlink" Target="https://twitter.com/BhatiaAankur/status/701895015610634241" TargetMode="External"/><Relationship Id="rId3742" Type="http://schemas.openxmlformats.org/officeDocument/2006/relationships/hyperlink" Target="https://twitter.com/DataMinerX/status/702215084127293440" TargetMode="External"/><Relationship Id="rId2411" Type="http://schemas.openxmlformats.org/officeDocument/2006/relationships/hyperlink" Target="https://pbs.twimg.com/profile_images/529495564753596416/UdP2PtbT_normal.jpeg" TargetMode="External"/><Relationship Id="rId3741" Type="http://schemas.openxmlformats.org/officeDocument/2006/relationships/hyperlink" Target="https://twitter.com/DataMinerX" TargetMode="External"/><Relationship Id="rId1114" Type="http://schemas.openxmlformats.org/officeDocument/2006/relationships/hyperlink" Target="https://abs.twimg.com/sticky/default_profile_images/default_profile_0_normal.png" TargetMode="External"/><Relationship Id="rId2445" Type="http://schemas.openxmlformats.org/officeDocument/2006/relationships/hyperlink" Target="https://twitter.com/DataScienceHbt" TargetMode="External"/><Relationship Id="rId3777" Type="http://schemas.openxmlformats.org/officeDocument/2006/relationships/hyperlink" Target="https://twitter.com/thosjleeper" TargetMode="External"/><Relationship Id="rId1115" Type="http://schemas.openxmlformats.org/officeDocument/2006/relationships/hyperlink" Target="https://twitter.com/renato_umeton" TargetMode="External"/><Relationship Id="rId2446" Type="http://schemas.openxmlformats.org/officeDocument/2006/relationships/hyperlink" Target="https://twitter.com/DataScienceHbt/status/701903682678312960" TargetMode="External"/><Relationship Id="rId3776" Type="http://schemas.openxmlformats.org/officeDocument/2006/relationships/hyperlink" Target="https://pbs.twimg.com/profile_images/2936510755/42fe7970ccba08ab320a202d8b0c5ee0_normal.png" TargetMode="External"/><Relationship Id="rId1116" Type="http://schemas.openxmlformats.org/officeDocument/2006/relationships/hyperlink" Target="https://twitter.com/renato_umeton/status/701642340931395584" TargetMode="External"/><Relationship Id="rId2447" Type="http://schemas.openxmlformats.org/officeDocument/2006/relationships/hyperlink" Target="https://pbs.twimg.com/profile_images/572994620646268929/TLufZSI1_normal.jpeg" TargetMode="External"/><Relationship Id="rId3779" Type="http://schemas.openxmlformats.org/officeDocument/2006/relationships/hyperlink" Target="https://pbs.twimg.com/profile_images/702599433402322947/Rda4kptZ_normal.jpg" TargetMode="External"/><Relationship Id="rId1117" Type="http://schemas.openxmlformats.org/officeDocument/2006/relationships/hyperlink" Target="https://pbs.twimg.com/profile_images/701553083537604608/nr8b38eG_normal.jpg" TargetMode="External"/><Relationship Id="rId2448" Type="http://schemas.openxmlformats.org/officeDocument/2006/relationships/hyperlink" Target="https://twitter.com/AnalyticsVidhya" TargetMode="External"/><Relationship Id="rId3778" Type="http://schemas.openxmlformats.org/officeDocument/2006/relationships/hyperlink" Target="https://twitter.com/thosjleeper/status/702227181376765957" TargetMode="External"/><Relationship Id="rId1118" Type="http://schemas.openxmlformats.org/officeDocument/2006/relationships/hyperlink" Target="https://twitter.com/DrAndyPardoe" TargetMode="External"/><Relationship Id="rId2449" Type="http://schemas.openxmlformats.org/officeDocument/2006/relationships/hyperlink" Target="https://twitter.com/AnalyticsVidhya/status/701904464987480065" TargetMode="External"/><Relationship Id="rId1119" Type="http://schemas.openxmlformats.org/officeDocument/2006/relationships/hyperlink" Target="https://twitter.com/DrAndyPardoe/status/701642468815671296" TargetMode="External"/><Relationship Id="rId3771" Type="http://schemas.openxmlformats.org/officeDocument/2006/relationships/hyperlink" Target="https://twitter.com/CRANberriesFeed" TargetMode="External"/><Relationship Id="rId2440" Type="http://schemas.openxmlformats.org/officeDocument/2006/relationships/hyperlink" Target="https://twitter.com/akudus/status/701898811061379072" TargetMode="External"/><Relationship Id="rId3770" Type="http://schemas.openxmlformats.org/officeDocument/2006/relationships/hyperlink" Target="https://pbs.twimg.com/profile_images/1222779560/cran1_normal.jpg" TargetMode="External"/><Relationship Id="rId1110" Type="http://schemas.openxmlformats.org/officeDocument/2006/relationships/hyperlink" Target="https://twitter.com/zsozdemir/status/701640685141757953" TargetMode="External"/><Relationship Id="rId2441" Type="http://schemas.openxmlformats.org/officeDocument/2006/relationships/hyperlink" Target="https://pbs.twimg.com/profile_images/689130957475950592/DxFg5Xl4_normal.jpg" TargetMode="External"/><Relationship Id="rId3773" Type="http://schemas.openxmlformats.org/officeDocument/2006/relationships/hyperlink" Target="https://pbs.twimg.com/profile_images/1222779560/cran1_normal.jpg" TargetMode="External"/><Relationship Id="rId1111" Type="http://schemas.openxmlformats.org/officeDocument/2006/relationships/hyperlink" Target="https://pbs.twimg.com/profile_images/687380813172862976/xo2Yxv8Z_normal.jpg" TargetMode="External"/><Relationship Id="rId2442" Type="http://schemas.openxmlformats.org/officeDocument/2006/relationships/hyperlink" Target="https://twitter.com/Hana_Anber" TargetMode="External"/><Relationship Id="rId3772" Type="http://schemas.openxmlformats.org/officeDocument/2006/relationships/hyperlink" Target="https://twitter.com/CRANberriesFeed/status/702224847628271616" TargetMode="External"/><Relationship Id="rId1112" Type="http://schemas.openxmlformats.org/officeDocument/2006/relationships/hyperlink" Target="https://twitter.com/btcplanet" TargetMode="External"/><Relationship Id="rId2443" Type="http://schemas.openxmlformats.org/officeDocument/2006/relationships/hyperlink" Target="https://twitter.com/Hana_Anber/status/701899780977459200" TargetMode="External"/><Relationship Id="rId3775" Type="http://schemas.openxmlformats.org/officeDocument/2006/relationships/hyperlink" Target="https://twitter.com/ProfRedOwl/status/702226606287355905" TargetMode="External"/><Relationship Id="rId1113" Type="http://schemas.openxmlformats.org/officeDocument/2006/relationships/hyperlink" Target="https://twitter.com/btcplanet/status/701642078904684546" TargetMode="External"/><Relationship Id="rId2444" Type="http://schemas.openxmlformats.org/officeDocument/2006/relationships/hyperlink" Target="https://pbs.twimg.com/profile_images/675159429629759490/U_ciM4bZ_normal.jpg" TargetMode="External"/><Relationship Id="rId3774" Type="http://schemas.openxmlformats.org/officeDocument/2006/relationships/hyperlink" Target="https://twitter.com/ProfRedOwl" TargetMode="External"/><Relationship Id="rId1103" Type="http://schemas.openxmlformats.org/officeDocument/2006/relationships/hyperlink" Target="https://twitter.com/ncreen_same" TargetMode="External"/><Relationship Id="rId2434" Type="http://schemas.openxmlformats.org/officeDocument/2006/relationships/hyperlink" Target="https://twitter.com/AnalyticsVidhya/status/701896861767094272" TargetMode="External"/><Relationship Id="rId3766" Type="http://schemas.openxmlformats.org/officeDocument/2006/relationships/hyperlink" Target="https://twitter.com/anjuls/status/702222992185516032" TargetMode="External"/><Relationship Id="rId1104" Type="http://schemas.openxmlformats.org/officeDocument/2006/relationships/hyperlink" Target="https://twitter.com/ncreen_same/status/701638335551254529" TargetMode="External"/><Relationship Id="rId2435" Type="http://schemas.openxmlformats.org/officeDocument/2006/relationships/hyperlink" Target="https://pbs.twimg.com/profile_images/457775762108448768/XmO2C1-E_normal.png" TargetMode="External"/><Relationship Id="rId3765" Type="http://schemas.openxmlformats.org/officeDocument/2006/relationships/hyperlink" Target="https://twitter.com/anjuls" TargetMode="External"/><Relationship Id="rId1105" Type="http://schemas.openxmlformats.org/officeDocument/2006/relationships/hyperlink" Target="https://pbs.twimg.com/profile_images/629148289045147652/uJ9G9R13_normal.jpg" TargetMode="External"/><Relationship Id="rId2436" Type="http://schemas.openxmlformats.org/officeDocument/2006/relationships/hyperlink" Target="https://twitter.com/Mairos_B" TargetMode="External"/><Relationship Id="rId3768" Type="http://schemas.openxmlformats.org/officeDocument/2006/relationships/hyperlink" Target="https://twitter.com/CRANberriesFeed" TargetMode="External"/><Relationship Id="rId1106" Type="http://schemas.openxmlformats.org/officeDocument/2006/relationships/hyperlink" Target="https://twitter.com/ThakurVinay" TargetMode="External"/><Relationship Id="rId2437" Type="http://schemas.openxmlformats.org/officeDocument/2006/relationships/hyperlink" Target="https://twitter.com/Mairos_B/status/701898157026885632" TargetMode="External"/><Relationship Id="rId3767" Type="http://schemas.openxmlformats.org/officeDocument/2006/relationships/hyperlink" Target="https://pbs.twimg.com/profile_images/701008204516315136/__XCKR8P_normal.jpg" TargetMode="External"/><Relationship Id="rId1107" Type="http://schemas.openxmlformats.org/officeDocument/2006/relationships/hyperlink" Target="https://twitter.com/ThakurVinay/status/701638507333181440" TargetMode="External"/><Relationship Id="rId2438" Type="http://schemas.openxmlformats.org/officeDocument/2006/relationships/hyperlink" Target="https://pbs.twimg.com/profile_images/674745269339189252/a3K1eGSs_normal.jpg" TargetMode="External"/><Relationship Id="rId1108" Type="http://schemas.openxmlformats.org/officeDocument/2006/relationships/hyperlink" Target="https://abs.twimg.com/sticky/default_profile_images/default_profile_4_normal.png" TargetMode="External"/><Relationship Id="rId2439" Type="http://schemas.openxmlformats.org/officeDocument/2006/relationships/hyperlink" Target="https://twitter.com/akudus" TargetMode="External"/><Relationship Id="rId3769" Type="http://schemas.openxmlformats.org/officeDocument/2006/relationships/hyperlink" Target="https://twitter.com/CRANberriesFeed/status/702224843790544897" TargetMode="External"/><Relationship Id="rId1109" Type="http://schemas.openxmlformats.org/officeDocument/2006/relationships/hyperlink" Target="https://twitter.com/zsozdemir" TargetMode="External"/><Relationship Id="rId3760" Type="http://schemas.openxmlformats.org/officeDocument/2006/relationships/hyperlink" Target="https://twitter.com/zkajdan/status/702221799052935168" TargetMode="External"/><Relationship Id="rId2430" Type="http://schemas.openxmlformats.org/officeDocument/2006/relationships/hyperlink" Target="https://twitter.com/tomhouslay" TargetMode="External"/><Relationship Id="rId3762" Type="http://schemas.openxmlformats.org/officeDocument/2006/relationships/hyperlink" Target="https://twitter.com/AriLamstein" TargetMode="External"/><Relationship Id="rId1100" Type="http://schemas.openxmlformats.org/officeDocument/2006/relationships/hyperlink" Target="https://twitter.com/JunMa_MJ" TargetMode="External"/><Relationship Id="rId2431" Type="http://schemas.openxmlformats.org/officeDocument/2006/relationships/hyperlink" Target="https://twitter.com/tomhouslay/status/701896426016677888" TargetMode="External"/><Relationship Id="rId3761" Type="http://schemas.openxmlformats.org/officeDocument/2006/relationships/hyperlink" Target="https://pbs.twimg.com/profile_images/508508222097874944/qHz1j7mr_normal.jpeg" TargetMode="External"/><Relationship Id="rId1101" Type="http://schemas.openxmlformats.org/officeDocument/2006/relationships/hyperlink" Target="https://twitter.com/JunMa_MJ/status/701638232442667008" TargetMode="External"/><Relationship Id="rId2432" Type="http://schemas.openxmlformats.org/officeDocument/2006/relationships/hyperlink" Target="https://pbs.twimg.com/profile_images/701901513392717824/lUzJ39G2_normal.png" TargetMode="External"/><Relationship Id="rId3764" Type="http://schemas.openxmlformats.org/officeDocument/2006/relationships/hyperlink" Target="https://pbs.twimg.com/profile_images/424265489666162688/OSt8nLEe_normal.jpeg" TargetMode="External"/><Relationship Id="rId1102" Type="http://schemas.openxmlformats.org/officeDocument/2006/relationships/hyperlink" Target="https://pbs.twimg.com/profile_images/3101002747/a4cb74aa5e937658685288c9bda02203_normal.jpeg" TargetMode="External"/><Relationship Id="rId2433" Type="http://schemas.openxmlformats.org/officeDocument/2006/relationships/hyperlink" Target="https://twitter.com/AnalyticsVidhya" TargetMode="External"/><Relationship Id="rId3763" Type="http://schemas.openxmlformats.org/officeDocument/2006/relationships/hyperlink" Target="https://twitter.com/AriLamstein/status/702222339665215490" TargetMode="External"/><Relationship Id="rId3711" Type="http://schemas.openxmlformats.org/officeDocument/2006/relationships/hyperlink" Target="https://twitter.com/mic0331" TargetMode="External"/><Relationship Id="rId3710" Type="http://schemas.openxmlformats.org/officeDocument/2006/relationships/hyperlink" Target="https://pbs.twimg.com/profile_images/670315479517413376/Kkf5JA8s_normal.png" TargetMode="External"/><Relationship Id="rId3713" Type="http://schemas.openxmlformats.org/officeDocument/2006/relationships/hyperlink" Target="https://pbs.twimg.com/profile_images/534251938829721602/27AgDWet_normal.jpeg" TargetMode="External"/><Relationship Id="rId3712" Type="http://schemas.openxmlformats.org/officeDocument/2006/relationships/hyperlink" Target="https://twitter.com/mic0331/status/702210611061641216" TargetMode="External"/><Relationship Id="rId3715" Type="http://schemas.openxmlformats.org/officeDocument/2006/relationships/hyperlink" Target="https://twitter.com/salvag63/status/702211966014767110" TargetMode="External"/><Relationship Id="rId3714" Type="http://schemas.openxmlformats.org/officeDocument/2006/relationships/hyperlink" Target="https://twitter.com/salvag63" TargetMode="External"/><Relationship Id="rId3717" Type="http://schemas.openxmlformats.org/officeDocument/2006/relationships/hyperlink" Target="https://twitter.com/salvag63" TargetMode="External"/><Relationship Id="rId3716" Type="http://schemas.openxmlformats.org/officeDocument/2006/relationships/hyperlink" Target="https://pbs.twimg.com/profile_images/234609034/Press4_normal.jpg" TargetMode="External"/><Relationship Id="rId3719" Type="http://schemas.openxmlformats.org/officeDocument/2006/relationships/hyperlink" Target="https://pbs.twimg.com/profile_images/234609034/Press4_normal.jpg" TargetMode="External"/><Relationship Id="rId3718" Type="http://schemas.openxmlformats.org/officeDocument/2006/relationships/hyperlink" Target="https://twitter.com/salvag63/status/702212502692749312" TargetMode="External"/><Relationship Id="rId3700" Type="http://schemas.openxmlformats.org/officeDocument/2006/relationships/hyperlink" Target="https://twitter.com/tomhouslay/status/702209625454731265" TargetMode="External"/><Relationship Id="rId3702" Type="http://schemas.openxmlformats.org/officeDocument/2006/relationships/hyperlink" Target="https://twitter.com/timelyportfolio" TargetMode="External"/><Relationship Id="rId3701" Type="http://schemas.openxmlformats.org/officeDocument/2006/relationships/hyperlink" Target="https://pbs.twimg.com/profile_images/701901513392717824/lUzJ39G2_normal.png" TargetMode="External"/><Relationship Id="rId3704" Type="http://schemas.openxmlformats.org/officeDocument/2006/relationships/hyperlink" Target="https://pbs.twimg.com/profile_images/2198946077/image_normal.jpg" TargetMode="External"/><Relationship Id="rId3703" Type="http://schemas.openxmlformats.org/officeDocument/2006/relationships/hyperlink" Target="https://twitter.com/timelyportfolio/status/702209727304962050" TargetMode="External"/><Relationship Id="rId3706" Type="http://schemas.openxmlformats.org/officeDocument/2006/relationships/hyperlink" Target="https://twitter.com/Hana_Anber/status/702209965554061312" TargetMode="External"/><Relationship Id="rId3705" Type="http://schemas.openxmlformats.org/officeDocument/2006/relationships/hyperlink" Target="https://twitter.com/Hana_Anber" TargetMode="External"/><Relationship Id="rId3708" Type="http://schemas.openxmlformats.org/officeDocument/2006/relationships/hyperlink" Target="https://twitter.com/skilloak" TargetMode="External"/><Relationship Id="rId3707" Type="http://schemas.openxmlformats.org/officeDocument/2006/relationships/hyperlink" Target="https://pbs.twimg.com/profile_images/675159429629759490/U_ciM4bZ_normal.jpg" TargetMode="External"/><Relationship Id="rId3709" Type="http://schemas.openxmlformats.org/officeDocument/2006/relationships/hyperlink" Target="https://twitter.com/skilloak/status/702210102376333313" TargetMode="External"/><Relationship Id="rId2401" Type="http://schemas.openxmlformats.org/officeDocument/2006/relationships/hyperlink" Target="https://twitter.com/billdoesphysics/status/701893538368196608" TargetMode="External"/><Relationship Id="rId3733" Type="http://schemas.openxmlformats.org/officeDocument/2006/relationships/hyperlink" Target="https://twitter.com/BigDataTweetBot/status/702214022993678336" TargetMode="External"/><Relationship Id="rId2402" Type="http://schemas.openxmlformats.org/officeDocument/2006/relationships/hyperlink" Target="https://pbs.twimg.com/profile_images/1820871682/image_normal.jpg" TargetMode="External"/><Relationship Id="rId3732" Type="http://schemas.openxmlformats.org/officeDocument/2006/relationships/hyperlink" Target="https://twitter.com/BigDataTweetBot" TargetMode="External"/><Relationship Id="rId2403" Type="http://schemas.openxmlformats.org/officeDocument/2006/relationships/hyperlink" Target="https://twitter.com/tomkXY" TargetMode="External"/><Relationship Id="rId3735" Type="http://schemas.openxmlformats.org/officeDocument/2006/relationships/hyperlink" Target="https://twitter.com/BigDataTweetBot" TargetMode="External"/><Relationship Id="rId2404" Type="http://schemas.openxmlformats.org/officeDocument/2006/relationships/hyperlink" Target="https://twitter.com/tomkXY/status/701893791377035264" TargetMode="External"/><Relationship Id="rId3734" Type="http://schemas.openxmlformats.org/officeDocument/2006/relationships/hyperlink" Target="https://pbs.twimg.com/profile_images/616793252524650496/bQbxJqmz_normal.jpg" TargetMode="External"/><Relationship Id="rId2405" Type="http://schemas.openxmlformats.org/officeDocument/2006/relationships/hyperlink" Target="https://pbs.twimg.com/profile_images/567672223029141505/zYpSqhay_normal.jpeg" TargetMode="External"/><Relationship Id="rId3737" Type="http://schemas.openxmlformats.org/officeDocument/2006/relationships/hyperlink" Target="https://pbs.twimg.com/profile_images/616793252524650496/bQbxJqmz_normal.jpg" TargetMode="External"/><Relationship Id="rId2406" Type="http://schemas.openxmlformats.org/officeDocument/2006/relationships/hyperlink" Target="https://twitter.com/bartonpoulson" TargetMode="External"/><Relationship Id="rId3736" Type="http://schemas.openxmlformats.org/officeDocument/2006/relationships/hyperlink" Target="https://twitter.com/BigDataTweetBot/status/702214079398723585" TargetMode="External"/><Relationship Id="rId2407" Type="http://schemas.openxmlformats.org/officeDocument/2006/relationships/hyperlink" Target="https://twitter.com/bartonpoulson/status/701894111851388929" TargetMode="External"/><Relationship Id="rId3739" Type="http://schemas.openxmlformats.org/officeDocument/2006/relationships/hyperlink" Target="https://twitter.com/homeAIinfo/status/702214953604923393" TargetMode="External"/><Relationship Id="rId2408" Type="http://schemas.openxmlformats.org/officeDocument/2006/relationships/hyperlink" Target="https://pbs.twimg.com/profile_images/695090864083701760/T-xRoICU_normal.jpg" TargetMode="External"/><Relationship Id="rId3738" Type="http://schemas.openxmlformats.org/officeDocument/2006/relationships/hyperlink" Target="https://twitter.com/homeAIinfo" TargetMode="External"/><Relationship Id="rId2409" Type="http://schemas.openxmlformats.org/officeDocument/2006/relationships/hyperlink" Target="https://twitter.com/BhatiaAankur" TargetMode="External"/><Relationship Id="rId3731" Type="http://schemas.openxmlformats.org/officeDocument/2006/relationships/hyperlink" Target="https://pbs.twimg.com/profile_images/545309149953667072/f3IMwCEc_normal.jpeg" TargetMode="External"/><Relationship Id="rId2400" Type="http://schemas.openxmlformats.org/officeDocument/2006/relationships/hyperlink" Target="https://twitter.com/billdoesphysics" TargetMode="External"/><Relationship Id="rId3730" Type="http://schemas.openxmlformats.org/officeDocument/2006/relationships/hyperlink" Target="https://twitter.com/ThugMetrics/status/702213869159247872" TargetMode="External"/><Relationship Id="rId3722" Type="http://schemas.openxmlformats.org/officeDocument/2006/relationships/hyperlink" Target="https://pbs.twimg.com/profile_images/2170121407/2R_normal.jpg" TargetMode="External"/><Relationship Id="rId3721" Type="http://schemas.openxmlformats.org/officeDocument/2006/relationships/hyperlink" Target="https://twitter.com/JoeAbusamra/status/702213694533447680" TargetMode="External"/><Relationship Id="rId3724" Type="http://schemas.openxmlformats.org/officeDocument/2006/relationships/hyperlink" Target="https://twitter.com/DrQz/status/702213741127954433" TargetMode="External"/><Relationship Id="rId3723" Type="http://schemas.openxmlformats.org/officeDocument/2006/relationships/hyperlink" Target="https://twitter.com/DrQz" TargetMode="External"/><Relationship Id="rId3726" Type="http://schemas.openxmlformats.org/officeDocument/2006/relationships/hyperlink" Target="https://twitter.com/dataproblems" TargetMode="External"/><Relationship Id="rId3725" Type="http://schemas.openxmlformats.org/officeDocument/2006/relationships/hyperlink" Target="https://pbs.twimg.com/profile_images/1348042873/njgThumb_normal.png" TargetMode="External"/><Relationship Id="rId3728" Type="http://schemas.openxmlformats.org/officeDocument/2006/relationships/hyperlink" Target="https://pbs.twimg.com/profile_images/589281797348798465/_SuW60Pm_normal.jpg" TargetMode="External"/><Relationship Id="rId3727" Type="http://schemas.openxmlformats.org/officeDocument/2006/relationships/hyperlink" Target="https://twitter.com/dataproblems/status/702213848380485632" TargetMode="External"/><Relationship Id="rId3729" Type="http://schemas.openxmlformats.org/officeDocument/2006/relationships/hyperlink" Target="https://twitter.com/ThugMetrics" TargetMode="External"/><Relationship Id="rId3720" Type="http://schemas.openxmlformats.org/officeDocument/2006/relationships/hyperlink" Target="https://twitter.com/JoeAbusamra" TargetMode="External"/><Relationship Id="rId1170" Type="http://schemas.openxmlformats.org/officeDocument/2006/relationships/hyperlink" Target="https://twitter.com/DataFinest/status/701664115736051712" TargetMode="External"/><Relationship Id="rId1171" Type="http://schemas.openxmlformats.org/officeDocument/2006/relationships/hyperlink" Target="https://pbs.twimg.com/profile_images/675225906173124609/xPlpeuKw_normal.png" TargetMode="External"/><Relationship Id="rId1172" Type="http://schemas.openxmlformats.org/officeDocument/2006/relationships/hyperlink" Target="https://twitter.com/DataAndDataViz" TargetMode="External"/><Relationship Id="rId1173" Type="http://schemas.openxmlformats.org/officeDocument/2006/relationships/hyperlink" Target="https://twitter.com/DataAndDataViz/status/701664478807642112" TargetMode="External"/><Relationship Id="rId1174" Type="http://schemas.openxmlformats.org/officeDocument/2006/relationships/hyperlink" Target="https://pbs.twimg.com/profile_images/412249095110008832/J_K4--iQ_normal.png" TargetMode="External"/><Relationship Id="rId1175" Type="http://schemas.openxmlformats.org/officeDocument/2006/relationships/hyperlink" Target="https://twitter.com/mishra1_PK" TargetMode="External"/><Relationship Id="rId1176" Type="http://schemas.openxmlformats.org/officeDocument/2006/relationships/hyperlink" Target="https://twitter.com/mishra1_PK/status/701664535975825408" TargetMode="External"/><Relationship Id="rId1177" Type="http://schemas.openxmlformats.org/officeDocument/2006/relationships/hyperlink" Target="https://pbs.twimg.com/profile_images/663979354486018048/1NZ2hiBE_normal.jpg" TargetMode="External"/><Relationship Id="rId1178" Type="http://schemas.openxmlformats.org/officeDocument/2006/relationships/hyperlink" Target="https://twitter.com/DataFinest" TargetMode="External"/><Relationship Id="rId1179" Type="http://schemas.openxmlformats.org/officeDocument/2006/relationships/hyperlink" Target="https://twitter.com/DataFinest/status/701665097144528896" TargetMode="External"/><Relationship Id="rId1169" Type="http://schemas.openxmlformats.org/officeDocument/2006/relationships/hyperlink" Target="https://twitter.com/DataFinest" TargetMode="External"/><Relationship Id="rId2490" Type="http://schemas.openxmlformats.org/officeDocument/2006/relationships/hyperlink" Target="https://twitter.com/Rbloggers" TargetMode="External"/><Relationship Id="rId1160" Type="http://schemas.openxmlformats.org/officeDocument/2006/relationships/hyperlink" Target="https://twitter.com/DailyRpackage" TargetMode="External"/><Relationship Id="rId2491" Type="http://schemas.openxmlformats.org/officeDocument/2006/relationships/hyperlink" Target="https://twitter.com/Rbloggers/status/701911942424719360" TargetMode="External"/><Relationship Id="rId1161" Type="http://schemas.openxmlformats.org/officeDocument/2006/relationships/hyperlink" Target="https://twitter.com/DailyRpackage/status/701655163128274944" TargetMode="External"/><Relationship Id="rId2492" Type="http://schemas.openxmlformats.org/officeDocument/2006/relationships/hyperlink" Target="http://r-bloggers.com" TargetMode="External"/><Relationship Id="rId1162" Type="http://schemas.openxmlformats.org/officeDocument/2006/relationships/hyperlink" Target="https://pbs.twimg.com/profile_images/3438004205/66da7270714af4309d185b958c4bb8be_normal.jpeg" TargetMode="External"/><Relationship Id="rId2493" Type="http://schemas.openxmlformats.org/officeDocument/2006/relationships/hyperlink" Target="https://pbs.twimg.com/profile_images/502185985786916864/gkdFh-q7_normal.png" TargetMode="External"/><Relationship Id="rId1163" Type="http://schemas.openxmlformats.org/officeDocument/2006/relationships/hyperlink" Target="https://twitter.com/frank_neff" TargetMode="External"/><Relationship Id="rId2494" Type="http://schemas.openxmlformats.org/officeDocument/2006/relationships/hyperlink" Target="https://twitter.com/Rbloggers" TargetMode="External"/><Relationship Id="rId1164" Type="http://schemas.openxmlformats.org/officeDocument/2006/relationships/hyperlink" Target="https://twitter.com/frank_neff/status/701662455919992832" TargetMode="External"/><Relationship Id="rId2495" Type="http://schemas.openxmlformats.org/officeDocument/2006/relationships/hyperlink" Target="https://twitter.com/Rbloggers/status/701911950171570176" TargetMode="External"/><Relationship Id="rId1165" Type="http://schemas.openxmlformats.org/officeDocument/2006/relationships/hyperlink" Target="https://pbs.twimg.com/profile_images/701067603792556033/HB_Ag4RM_normal.jpg" TargetMode="External"/><Relationship Id="rId2496" Type="http://schemas.openxmlformats.org/officeDocument/2006/relationships/hyperlink" Target="http://r-bloggers.com" TargetMode="External"/><Relationship Id="rId1166" Type="http://schemas.openxmlformats.org/officeDocument/2006/relationships/hyperlink" Target="https://twitter.com/kudzaka" TargetMode="External"/><Relationship Id="rId2497" Type="http://schemas.openxmlformats.org/officeDocument/2006/relationships/hyperlink" Target="https://pbs.twimg.com/profile_images/502185985786916864/gkdFh-q7_normal.png" TargetMode="External"/><Relationship Id="rId1167" Type="http://schemas.openxmlformats.org/officeDocument/2006/relationships/hyperlink" Target="https://twitter.com/kudzaka/status/701662945361715200" TargetMode="External"/><Relationship Id="rId2498" Type="http://schemas.openxmlformats.org/officeDocument/2006/relationships/hyperlink" Target="https://twitter.com/ThomasSpeidel" TargetMode="External"/><Relationship Id="rId1168" Type="http://schemas.openxmlformats.org/officeDocument/2006/relationships/hyperlink" Target="https://abs.twimg.com/sticky/default_profile_images/default_profile_1_normal.png" TargetMode="External"/><Relationship Id="rId2499" Type="http://schemas.openxmlformats.org/officeDocument/2006/relationships/hyperlink" Target="https://twitter.com/ThomasSpeidel/status/701913336758161409" TargetMode="External"/><Relationship Id="rId1190" Type="http://schemas.openxmlformats.org/officeDocument/2006/relationships/hyperlink" Target="https://twitter.com/zaticwu" TargetMode="External"/><Relationship Id="rId1191" Type="http://schemas.openxmlformats.org/officeDocument/2006/relationships/hyperlink" Target="https://twitter.com/zaticwu/status/701668430303236096" TargetMode="External"/><Relationship Id="rId1192" Type="http://schemas.openxmlformats.org/officeDocument/2006/relationships/hyperlink" Target="https://pbs.twimg.com/profile_images/509100899063439361/1xdR38oG_normal.jpeg" TargetMode="External"/><Relationship Id="rId1193" Type="http://schemas.openxmlformats.org/officeDocument/2006/relationships/hyperlink" Target="https://twitter.com/ppgardne" TargetMode="External"/><Relationship Id="rId1194" Type="http://schemas.openxmlformats.org/officeDocument/2006/relationships/hyperlink" Target="https://twitter.com/ppgardne/status/701672396470620160" TargetMode="External"/><Relationship Id="rId1195" Type="http://schemas.openxmlformats.org/officeDocument/2006/relationships/hyperlink" Target="https://pbs.twimg.com/profile_images/3580274843/32f29a42444d2807eaa7112781881157_normal.jpeg" TargetMode="External"/><Relationship Id="rId1196" Type="http://schemas.openxmlformats.org/officeDocument/2006/relationships/hyperlink" Target="https://twitter.com/adamson" TargetMode="External"/><Relationship Id="rId1197" Type="http://schemas.openxmlformats.org/officeDocument/2006/relationships/hyperlink" Target="https://twitter.com/adamson/status/701673442760732672" TargetMode="External"/><Relationship Id="rId1198" Type="http://schemas.openxmlformats.org/officeDocument/2006/relationships/hyperlink" Target="https://pbs.twimg.com/profile_images/544790599589568512/26tIRo8H_normal.jpeg" TargetMode="External"/><Relationship Id="rId1199" Type="http://schemas.openxmlformats.org/officeDocument/2006/relationships/hyperlink" Target="https://twitter.com/Edgargdpg" TargetMode="External"/><Relationship Id="rId1180" Type="http://schemas.openxmlformats.org/officeDocument/2006/relationships/hyperlink" Target="https://pbs.twimg.com/profile_images/675225906173124609/xPlpeuKw_normal.png" TargetMode="External"/><Relationship Id="rId1181" Type="http://schemas.openxmlformats.org/officeDocument/2006/relationships/hyperlink" Target="https://twitter.com/mishra1_PK" TargetMode="External"/><Relationship Id="rId1182" Type="http://schemas.openxmlformats.org/officeDocument/2006/relationships/hyperlink" Target="https://twitter.com/mishra1_PK/status/701665705033228288" TargetMode="External"/><Relationship Id="rId1183" Type="http://schemas.openxmlformats.org/officeDocument/2006/relationships/hyperlink" Target="https://pbs.twimg.com/profile_images/663979354486018048/1NZ2hiBE_normal.jpg" TargetMode="External"/><Relationship Id="rId1184" Type="http://schemas.openxmlformats.org/officeDocument/2006/relationships/hyperlink" Target="https://twitter.com/mishra1_PK" TargetMode="External"/><Relationship Id="rId1185" Type="http://schemas.openxmlformats.org/officeDocument/2006/relationships/hyperlink" Target="https://twitter.com/mishra1_PK/status/701665757688561664" TargetMode="External"/><Relationship Id="rId1186" Type="http://schemas.openxmlformats.org/officeDocument/2006/relationships/hyperlink" Target="https://pbs.twimg.com/profile_images/663979354486018048/1NZ2hiBE_normal.jpg" TargetMode="External"/><Relationship Id="rId1187" Type="http://schemas.openxmlformats.org/officeDocument/2006/relationships/hyperlink" Target="https://twitter.com/JohnBellettiere" TargetMode="External"/><Relationship Id="rId1188" Type="http://schemas.openxmlformats.org/officeDocument/2006/relationships/hyperlink" Target="https://twitter.com/JohnBellettiere/status/701667993311252480" TargetMode="External"/><Relationship Id="rId1189" Type="http://schemas.openxmlformats.org/officeDocument/2006/relationships/hyperlink" Target="https://pbs.twimg.com/profile_images/651688120375578624/grDDL7wB_normal.jpg" TargetMode="External"/><Relationship Id="rId1136" Type="http://schemas.openxmlformats.org/officeDocument/2006/relationships/hyperlink" Target="https://twitter.com/patternproject" TargetMode="External"/><Relationship Id="rId2467" Type="http://schemas.openxmlformats.org/officeDocument/2006/relationships/hyperlink" Target="https://twitter.com/tjmahr/status/701907779863187456" TargetMode="External"/><Relationship Id="rId3799" Type="http://schemas.openxmlformats.org/officeDocument/2006/relationships/hyperlink" Target="https://twitter.com/WebScraperDB/status/702233183908139012" TargetMode="External"/><Relationship Id="rId1137" Type="http://schemas.openxmlformats.org/officeDocument/2006/relationships/hyperlink" Target="https://twitter.com/patternproject/status/701650764536659973" TargetMode="External"/><Relationship Id="rId2468" Type="http://schemas.openxmlformats.org/officeDocument/2006/relationships/hyperlink" Target="https://pbs.twimg.com/profile_images/703243921011417091/jicOr_09_normal.jpg" TargetMode="External"/><Relationship Id="rId3798" Type="http://schemas.openxmlformats.org/officeDocument/2006/relationships/hyperlink" Target="https://twitter.com/WebScraperDB" TargetMode="External"/><Relationship Id="rId1138" Type="http://schemas.openxmlformats.org/officeDocument/2006/relationships/hyperlink" Target="https://abs.twimg.com/sticky/default_profile_images/default_profile_0_normal.png" TargetMode="External"/><Relationship Id="rId2469" Type="http://schemas.openxmlformats.org/officeDocument/2006/relationships/hyperlink" Target="https://twitter.com/richardburcher" TargetMode="External"/><Relationship Id="rId1139" Type="http://schemas.openxmlformats.org/officeDocument/2006/relationships/hyperlink" Target="https://twitter.com/HighVizAbility" TargetMode="External"/><Relationship Id="rId3791" Type="http://schemas.openxmlformats.org/officeDocument/2006/relationships/hyperlink" Target="https://pbs.twimg.com/profile_images/378800000254021542/887553be439db2d83c346af322b2e8ec_normal.jpeg" TargetMode="External"/><Relationship Id="rId2460" Type="http://schemas.openxmlformats.org/officeDocument/2006/relationships/hyperlink" Target="https://twitter.com/bartonpoulson" TargetMode="External"/><Relationship Id="rId3790" Type="http://schemas.openxmlformats.org/officeDocument/2006/relationships/hyperlink" Target="https://twitter.com/CjMrcamiel/status/702228841490550784" TargetMode="External"/><Relationship Id="rId1130" Type="http://schemas.openxmlformats.org/officeDocument/2006/relationships/hyperlink" Target="https://twitter.com/theRcast" TargetMode="External"/><Relationship Id="rId2461" Type="http://schemas.openxmlformats.org/officeDocument/2006/relationships/hyperlink" Target="https://twitter.com/bartonpoulson/status/701906571316559873" TargetMode="External"/><Relationship Id="rId3793" Type="http://schemas.openxmlformats.org/officeDocument/2006/relationships/hyperlink" Target="https://twitter.com/millerdl/status/702231544065343489" TargetMode="External"/><Relationship Id="rId1131" Type="http://schemas.openxmlformats.org/officeDocument/2006/relationships/hyperlink" Target="https://twitter.com/theRcast/status/701650172913123328" TargetMode="External"/><Relationship Id="rId2462" Type="http://schemas.openxmlformats.org/officeDocument/2006/relationships/hyperlink" Target="https://pbs.twimg.com/profile_images/695090864083701760/T-xRoICU_normal.jpg" TargetMode="External"/><Relationship Id="rId3792" Type="http://schemas.openxmlformats.org/officeDocument/2006/relationships/hyperlink" Target="https://twitter.com/millerdl" TargetMode="External"/><Relationship Id="rId1132" Type="http://schemas.openxmlformats.org/officeDocument/2006/relationships/hyperlink" Target="https://pbs.twimg.com/profile_images/1823651406/rss2_image_normal.png" TargetMode="External"/><Relationship Id="rId2463" Type="http://schemas.openxmlformats.org/officeDocument/2006/relationships/hyperlink" Target="https://twitter.com/sentiwire" TargetMode="External"/><Relationship Id="rId3795" Type="http://schemas.openxmlformats.org/officeDocument/2006/relationships/hyperlink" Target="https://twitter.com/bearloga" TargetMode="External"/><Relationship Id="rId1133" Type="http://schemas.openxmlformats.org/officeDocument/2006/relationships/hyperlink" Target="https://twitter.com/hadleywickham" TargetMode="External"/><Relationship Id="rId2464" Type="http://schemas.openxmlformats.org/officeDocument/2006/relationships/hyperlink" Target="https://twitter.com/sentiwire/status/701906574554505217" TargetMode="External"/><Relationship Id="rId3794" Type="http://schemas.openxmlformats.org/officeDocument/2006/relationships/hyperlink" Target="https://pbs.twimg.com/profile_images/683731282497552384/a0zG5d-P_normal.jpg" TargetMode="External"/><Relationship Id="rId1134" Type="http://schemas.openxmlformats.org/officeDocument/2006/relationships/hyperlink" Target="https://twitter.com/hadleywickham/status/701650564363325440" TargetMode="External"/><Relationship Id="rId2465" Type="http://schemas.openxmlformats.org/officeDocument/2006/relationships/hyperlink" Target="https://pbs.twimg.com/profile_images/686965105473396736/B9V5UtGS_normal.jpg" TargetMode="External"/><Relationship Id="rId3797" Type="http://schemas.openxmlformats.org/officeDocument/2006/relationships/hyperlink" Target="https://pbs.twimg.com/profile_images/694390037748645888/pqPROnZB_normal.jpg" TargetMode="External"/><Relationship Id="rId1135" Type="http://schemas.openxmlformats.org/officeDocument/2006/relationships/hyperlink" Target="https://pbs.twimg.com/profile_images/677589103710306304/m56O6Wgf_normal.jpg" TargetMode="External"/><Relationship Id="rId2466" Type="http://schemas.openxmlformats.org/officeDocument/2006/relationships/hyperlink" Target="https://twitter.com/tjmahr" TargetMode="External"/><Relationship Id="rId3796" Type="http://schemas.openxmlformats.org/officeDocument/2006/relationships/hyperlink" Target="https://twitter.com/bearloga/status/702231698730168320" TargetMode="External"/><Relationship Id="rId1125" Type="http://schemas.openxmlformats.org/officeDocument/2006/relationships/hyperlink" Target="https://twitter.com/DataFinest/status/701649837310287872" TargetMode="External"/><Relationship Id="rId2456" Type="http://schemas.openxmlformats.org/officeDocument/2006/relationships/hyperlink" Target="https://pbs.twimg.com/profile_images/662342111799304192/Xtv8MZ-P_normal.jpg" TargetMode="External"/><Relationship Id="rId3788" Type="http://schemas.openxmlformats.org/officeDocument/2006/relationships/hyperlink" Target="https://pbs.twimg.com/profile_images/378800000711929469/c6f40d0623b31334f4f55e218c96df23_normal.jpeg" TargetMode="External"/><Relationship Id="rId1126" Type="http://schemas.openxmlformats.org/officeDocument/2006/relationships/hyperlink" Target="https://pbs.twimg.com/profile_images/675225906173124609/xPlpeuKw_normal.png" TargetMode="External"/><Relationship Id="rId2457" Type="http://schemas.openxmlformats.org/officeDocument/2006/relationships/hyperlink" Target="https://twitter.com/gjhansen" TargetMode="External"/><Relationship Id="rId3787" Type="http://schemas.openxmlformats.org/officeDocument/2006/relationships/hyperlink" Target="https://twitter.com/mdsumner/status/702228167205859328" TargetMode="External"/><Relationship Id="rId1127" Type="http://schemas.openxmlformats.org/officeDocument/2006/relationships/hyperlink" Target="https://twitter.com/RaphCouturier" TargetMode="External"/><Relationship Id="rId2458" Type="http://schemas.openxmlformats.org/officeDocument/2006/relationships/hyperlink" Target="https://twitter.com/gjhansen/status/701906570700050432" TargetMode="External"/><Relationship Id="rId1128" Type="http://schemas.openxmlformats.org/officeDocument/2006/relationships/hyperlink" Target="https://twitter.com/RaphCouturier/status/701649931015168001" TargetMode="External"/><Relationship Id="rId2459" Type="http://schemas.openxmlformats.org/officeDocument/2006/relationships/hyperlink" Target="https://pbs.twimg.com/profile_images/651726629773774848/NgCokL7a_normal.jpg" TargetMode="External"/><Relationship Id="rId3789" Type="http://schemas.openxmlformats.org/officeDocument/2006/relationships/hyperlink" Target="https://twitter.com/CjMrcamiel" TargetMode="External"/><Relationship Id="rId1129" Type="http://schemas.openxmlformats.org/officeDocument/2006/relationships/hyperlink" Target="https://pbs.twimg.com/profile_images/431462437087227905/XeHYkN71_normal.jpeg" TargetMode="External"/><Relationship Id="rId3780" Type="http://schemas.openxmlformats.org/officeDocument/2006/relationships/hyperlink" Target="https://twitter.com/jbryer" TargetMode="External"/><Relationship Id="rId2450" Type="http://schemas.openxmlformats.org/officeDocument/2006/relationships/hyperlink" Target="https://pbs.twimg.com/profile_images/457775762108448768/XmO2C1-E_normal.png" TargetMode="External"/><Relationship Id="rId3782" Type="http://schemas.openxmlformats.org/officeDocument/2006/relationships/hyperlink" Target="https://pbs.twimg.com/profile_images/413098705378488321/pc7DXom7_normal.jpeg" TargetMode="External"/><Relationship Id="rId1120" Type="http://schemas.openxmlformats.org/officeDocument/2006/relationships/hyperlink" Target="https://pbs.twimg.com/profile_images/485766134268837889/t4PLhSfT_normal.jpeg" TargetMode="External"/><Relationship Id="rId2451" Type="http://schemas.openxmlformats.org/officeDocument/2006/relationships/hyperlink" Target="https://twitter.com/dataiku" TargetMode="External"/><Relationship Id="rId3781" Type="http://schemas.openxmlformats.org/officeDocument/2006/relationships/hyperlink" Target="https://twitter.com/jbryer/status/702227692498907137" TargetMode="External"/><Relationship Id="rId1121" Type="http://schemas.openxmlformats.org/officeDocument/2006/relationships/hyperlink" Target="https://twitter.com/josecarrascore" TargetMode="External"/><Relationship Id="rId2452" Type="http://schemas.openxmlformats.org/officeDocument/2006/relationships/hyperlink" Target="https://twitter.com/dataiku/status/701905354901348352" TargetMode="External"/><Relationship Id="rId3784" Type="http://schemas.openxmlformats.org/officeDocument/2006/relationships/hyperlink" Target="https://twitter.com/jbryer/status/702227715701788672" TargetMode="External"/><Relationship Id="rId1122" Type="http://schemas.openxmlformats.org/officeDocument/2006/relationships/hyperlink" Target="https://twitter.com/josecarrascore/status/701644221992849410" TargetMode="External"/><Relationship Id="rId2453" Type="http://schemas.openxmlformats.org/officeDocument/2006/relationships/hyperlink" Target="https://pbs.twimg.com/profile_images/703266586933764097/Xy8eks2C_normal.jpg" TargetMode="External"/><Relationship Id="rId3783" Type="http://schemas.openxmlformats.org/officeDocument/2006/relationships/hyperlink" Target="https://twitter.com/jbryer" TargetMode="External"/><Relationship Id="rId1123" Type="http://schemas.openxmlformats.org/officeDocument/2006/relationships/hyperlink" Target="https://pbs.twimg.com/profile_images/700374224330956800/FS-GYWMF_normal.png" TargetMode="External"/><Relationship Id="rId2454" Type="http://schemas.openxmlformats.org/officeDocument/2006/relationships/hyperlink" Target="https://twitter.com/sfrechette" TargetMode="External"/><Relationship Id="rId3786" Type="http://schemas.openxmlformats.org/officeDocument/2006/relationships/hyperlink" Target="https://twitter.com/mdsumner" TargetMode="External"/><Relationship Id="rId1124" Type="http://schemas.openxmlformats.org/officeDocument/2006/relationships/hyperlink" Target="https://twitter.com/DataFinest" TargetMode="External"/><Relationship Id="rId2455" Type="http://schemas.openxmlformats.org/officeDocument/2006/relationships/hyperlink" Target="https://twitter.com/sfrechette/status/701906569613676545" TargetMode="External"/><Relationship Id="rId3785" Type="http://schemas.openxmlformats.org/officeDocument/2006/relationships/hyperlink" Target="https://pbs.twimg.com/profile_images/413098705378488321/pc7DXom7_normal.jpeg" TargetMode="External"/><Relationship Id="rId1158" Type="http://schemas.openxmlformats.org/officeDocument/2006/relationships/hyperlink" Target="https://twitter.com/CDB_77/status/701654674328395776" TargetMode="External"/><Relationship Id="rId2489" Type="http://schemas.openxmlformats.org/officeDocument/2006/relationships/hyperlink" Target="https://pbs.twimg.com/profile_images/3056044654/58c333df91e8ff04a4d4ca5f773eeb43_normal.jpeg" TargetMode="External"/><Relationship Id="rId1159" Type="http://schemas.openxmlformats.org/officeDocument/2006/relationships/hyperlink" Target="https://pbs.twimg.com/profile_images/1398589645/5f213863_normal.jpg" TargetMode="External"/><Relationship Id="rId2480" Type="http://schemas.openxmlformats.org/officeDocument/2006/relationships/hyperlink" Target="https://pbs.twimg.com/profile_images/2928517227/19a21be5aacc105fda1a34cfc7696888_normal.png" TargetMode="External"/><Relationship Id="rId1150" Type="http://schemas.openxmlformats.org/officeDocument/2006/relationships/hyperlink" Target="https://abs.twimg.com/sticky/default_profile_images/default_profile_0_normal.png" TargetMode="External"/><Relationship Id="rId2481" Type="http://schemas.openxmlformats.org/officeDocument/2006/relationships/hyperlink" Target="https://twitter.com/eoinbrazil" TargetMode="External"/><Relationship Id="rId1151" Type="http://schemas.openxmlformats.org/officeDocument/2006/relationships/hyperlink" Target="https://twitter.com/DataFinest" TargetMode="External"/><Relationship Id="rId2482" Type="http://schemas.openxmlformats.org/officeDocument/2006/relationships/hyperlink" Target="https://twitter.com/eoinbrazil/status/701911118676172800" TargetMode="External"/><Relationship Id="rId1152" Type="http://schemas.openxmlformats.org/officeDocument/2006/relationships/hyperlink" Target="https://twitter.com/DataFinest/status/701653990858223616" TargetMode="External"/><Relationship Id="rId2483" Type="http://schemas.openxmlformats.org/officeDocument/2006/relationships/hyperlink" Target="https://pbs.twimg.com/profile_images/3056044654/58c333df91e8ff04a4d4ca5f773eeb43_normal.jpeg" TargetMode="External"/><Relationship Id="rId1153" Type="http://schemas.openxmlformats.org/officeDocument/2006/relationships/hyperlink" Target="https://pbs.twimg.com/profile_images/675225906173124609/xPlpeuKw_normal.png" TargetMode="External"/><Relationship Id="rId2484" Type="http://schemas.openxmlformats.org/officeDocument/2006/relationships/hyperlink" Target="https://twitter.com/eoinbrazil" TargetMode="External"/><Relationship Id="rId1154" Type="http://schemas.openxmlformats.org/officeDocument/2006/relationships/hyperlink" Target="https://twitter.com/ksomemo" TargetMode="External"/><Relationship Id="rId2485" Type="http://schemas.openxmlformats.org/officeDocument/2006/relationships/hyperlink" Target="https://twitter.com/eoinbrazil/status/701911727290642433" TargetMode="External"/><Relationship Id="rId1155" Type="http://schemas.openxmlformats.org/officeDocument/2006/relationships/hyperlink" Target="https://twitter.com/ksomemo/status/701654220794015744" TargetMode="External"/><Relationship Id="rId2486" Type="http://schemas.openxmlformats.org/officeDocument/2006/relationships/hyperlink" Target="https://pbs.twimg.com/profile_images/3056044654/58c333df91e8ff04a4d4ca5f773eeb43_normal.jpeg" TargetMode="External"/><Relationship Id="rId1156" Type="http://schemas.openxmlformats.org/officeDocument/2006/relationships/hyperlink" Target="https://pbs.twimg.com/profile_images/701330438833381376/7J3980zQ_normal.png" TargetMode="External"/><Relationship Id="rId2487" Type="http://schemas.openxmlformats.org/officeDocument/2006/relationships/hyperlink" Target="https://twitter.com/eoinbrazil" TargetMode="External"/><Relationship Id="rId1157" Type="http://schemas.openxmlformats.org/officeDocument/2006/relationships/hyperlink" Target="https://twitter.com/CDB_77" TargetMode="External"/><Relationship Id="rId2488" Type="http://schemas.openxmlformats.org/officeDocument/2006/relationships/hyperlink" Target="https://twitter.com/eoinbrazil/status/701911837089071105" TargetMode="External"/><Relationship Id="rId1147" Type="http://schemas.openxmlformats.org/officeDocument/2006/relationships/hyperlink" Target="https://pbs.twimg.com/profile_images/670510919936425984/1-RYnkrv_normal.jpg" TargetMode="External"/><Relationship Id="rId2478" Type="http://schemas.openxmlformats.org/officeDocument/2006/relationships/hyperlink" Target="https://twitter.com/PyData" TargetMode="External"/><Relationship Id="rId1148" Type="http://schemas.openxmlformats.org/officeDocument/2006/relationships/hyperlink" Target="https://twitter.com/patternproject" TargetMode="External"/><Relationship Id="rId2479" Type="http://schemas.openxmlformats.org/officeDocument/2006/relationships/hyperlink" Target="https://twitter.com/PyData/status/701910582237134848" TargetMode="External"/><Relationship Id="rId1149" Type="http://schemas.openxmlformats.org/officeDocument/2006/relationships/hyperlink" Target="https://twitter.com/patternproject/status/701653808267587584" TargetMode="External"/><Relationship Id="rId2470" Type="http://schemas.openxmlformats.org/officeDocument/2006/relationships/hyperlink" Target="https://twitter.com/richardburcher/status/701908540466663424" TargetMode="External"/><Relationship Id="rId1140" Type="http://schemas.openxmlformats.org/officeDocument/2006/relationships/hyperlink" Target="https://twitter.com/HighVizAbility/status/701651034104586241" TargetMode="External"/><Relationship Id="rId2471" Type="http://schemas.openxmlformats.org/officeDocument/2006/relationships/hyperlink" Target="https://pbs.twimg.com/profile_images/378800000271628439/82d043c20adb7d8da91f704d2ecd63e9_normal.jpeg" TargetMode="External"/><Relationship Id="rId1141" Type="http://schemas.openxmlformats.org/officeDocument/2006/relationships/hyperlink" Target="https://pbs.twimg.com/profile_images/447904439190319104/K5h54qm5_normal.jpeg" TargetMode="External"/><Relationship Id="rId2472" Type="http://schemas.openxmlformats.org/officeDocument/2006/relationships/hyperlink" Target="https://twitter.com/sjackman" TargetMode="External"/><Relationship Id="rId1142" Type="http://schemas.openxmlformats.org/officeDocument/2006/relationships/hyperlink" Target="https://twitter.com/iamteksbrain" TargetMode="External"/><Relationship Id="rId2473" Type="http://schemas.openxmlformats.org/officeDocument/2006/relationships/hyperlink" Target="https://twitter.com/sjackman/status/701909588375793665" TargetMode="External"/><Relationship Id="rId1143" Type="http://schemas.openxmlformats.org/officeDocument/2006/relationships/hyperlink" Target="https://twitter.com/iamteksbrain/status/701651088798257153" TargetMode="External"/><Relationship Id="rId2474" Type="http://schemas.openxmlformats.org/officeDocument/2006/relationships/hyperlink" Target="https://pbs.twimg.com/profile_images/1477813716/sdj-headshot-square_normal.jpg" TargetMode="External"/><Relationship Id="rId1144" Type="http://schemas.openxmlformats.org/officeDocument/2006/relationships/hyperlink" Target="https://pbs.twimg.com/profile_images/698255690494820353/YE_sfzm7_normal.jpg" TargetMode="External"/><Relationship Id="rId2475" Type="http://schemas.openxmlformats.org/officeDocument/2006/relationships/hyperlink" Target="https://twitter.com/mathvsoldage" TargetMode="External"/><Relationship Id="rId1145" Type="http://schemas.openxmlformats.org/officeDocument/2006/relationships/hyperlink" Target="https://twitter.com/S_Foroutan" TargetMode="External"/><Relationship Id="rId2476" Type="http://schemas.openxmlformats.org/officeDocument/2006/relationships/hyperlink" Target="https://twitter.com/mathvsoldage/status/701909902906695680" TargetMode="External"/><Relationship Id="rId1146" Type="http://schemas.openxmlformats.org/officeDocument/2006/relationships/hyperlink" Target="https://twitter.com/S_Foroutan/status/701652800908824576" TargetMode="External"/><Relationship Id="rId2477" Type="http://schemas.openxmlformats.org/officeDocument/2006/relationships/hyperlink" Target="https://pbs.twimg.com/profile_images/631677773652688897/QS0sfAM4_normal.jpg" TargetMode="External"/><Relationship Id="rId7319" Type="http://schemas.openxmlformats.org/officeDocument/2006/relationships/hyperlink" Target="https://twitter.com/DataWookie/status/702948298902999040" TargetMode="External"/><Relationship Id="rId7318" Type="http://schemas.openxmlformats.org/officeDocument/2006/relationships/hyperlink" Target="https://twitter.com/DataWookie" TargetMode="External"/><Relationship Id="rId8649" Type="http://schemas.openxmlformats.org/officeDocument/2006/relationships/hyperlink" Target="https://twitter.com/DataWookie/status/703204867783811074" TargetMode="External"/><Relationship Id="rId8640" Type="http://schemas.openxmlformats.org/officeDocument/2006/relationships/hyperlink" Target="https://twitter.com/BroVic/status/703199996540272641" TargetMode="External"/><Relationship Id="rId7313" Type="http://schemas.openxmlformats.org/officeDocument/2006/relationships/hyperlink" Target="https://twitter.com/b_smoke/status/702948013921046528" TargetMode="External"/><Relationship Id="rId8644" Type="http://schemas.openxmlformats.org/officeDocument/2006/relationships/hyperlink" Target="https://pbs.twimg.com/profile_images/119769350/logo-azul-blanco_normal.png" TargetMode="External"/><Relationship Id="rId7312" Type="http://schemas.openxmlformats.org/officeDocument/2006/relationships/hyperlink" Target="https://twitter.com/b_smoke" TargetMode="External"/><Relationship Id="rId8643" Type="http://schemas.openxmlformats.org/officeDocument/2006/relationships/hyperlink" Target="https://twitter.com/nekrum/status/703200151754526720" TargetMode="External"/><Relationship Id="rId7311" Type="http://schemas.openxmlformats.org/officeDocument/2006/relationships/hyperlink" Target="https://pbs.twimg.com/profile_images/696400192275218432/wk4-ecks_normal.jpg" TargetMode="External"/><Relationship Id="rId8642" Type="http://schemas.openxmlformats.org/officeDocument/2006/relationships/hyperlink" Target="https://twitter.com/nekrum" TargetMode="External"/><Relationship Id="rId7310" Type="http://schemas.openxmlformats.org/officeDocument/2006/relationships/hyperlink" Target="https://twitter.com/abckbguy/status/702947036736262144" TargetMode="External"/><Relationship Id="rId8641" Type="http://schemas.openxmlformats.org/officeDocument/2006/relationships/hyperlink" Target="https://pbs.twimg.com/profile_images/639528574362472448/PgHltNjE_normal.jpg" TargetMode="External"/><Relationship Id="rId7317" Type="http://schemas.openxmlformats.org/officeDocument/2006/relationships/hyperlink" Target="https://pbs.twimg.com/profile_images/1993565463/note_normal.jpg" TargetMode="External"/><Relationship Id="rId8648" Type="http://schemas.openxmlformats.org/officeDocument/2006/relationships/hyperlink" Target="https://twitter.com/DataWookie" TargetMode="External"/><Relationship Id="rId7316" Type="http://schemas.openxmlformats.org/officeDocument/2006/relationships/hyperlink" Target="https://twitter.com/Bioconductor/status/702948154434580480" TargetMode="External"/><Relationship Id="rId8647" Type="http://schemas.openxmlformats.org/officeDocument/2006/relationships/hyperlink" Target="https://pbs.twimg.com/profile_images/1340092350/38_normal.jpg" TargetMode="External"/><Relationship Id="rId7315" Type="http://schemas.openxmlformats.org/officeDocument/2006/relationships/hyperlink" Target="https://twitter.com/Bioconductor" TargetMode="External"/><Relationship Id="rId8646" Type="http://schemas.openxmlformats.org/officeDocument/2006/relationships/hyperlink" Target="https://twitter.com/jmsallan/status/703200971288018944" TargetMode="External"/><Relationship Id="rId7314" Type="http://schemas.openxmlformats.org/officeDocument/2006/relationships/hyperlink" Target="https://pbs.twimg.com/profile_images/1289491245/oops_normal.jpg" TargetMode="External"/><Relationship Id="rId8645" Type="http://schemas.openxmlformats.org/officeDocument/2006/relationships/hyperlink" Target="https://twitter.com/jmsallan" TargetMode="External"/><Relationship Id="rId7309" Type="http://schemas.openxmlformats.org/officeDocument/2006/relationships/hyperlink" Target="https://twitter.com/abckbguy" TargetMode="External"/><Relationship Id="rId7308" Type="http://schemas.openxmlformats.org/officeDocument/2006/relationships/hyperlink" Target="https://abs.twimg.com/sticky/default_profile_images/default_profile_4_normal.png" TargetMode="External"/><Relationship Id="rId8639" Type="http://schemas.openxmlformats.org/officeDocument/2006/relationships/hyperlink" Target="https://twitter.com/BroVic" TargetMode="External"/><Relationship Id="rId7307" Type="http://schemas.openxmlformats.org/officeDocument/2006/relationships/hyperlink" Target="https://twitter.com/Pvalsfr/status/702946701842255872" TargetMode="External"/><Relationship Id="rId8638" Type="http://schemas.openxmlformats.org/officeDocument/2006/relationships/hyperlink" Target="https://pbs.twimg.com/profile_images/699545598450606080/s8CU8cVg_normal.png" TargetMode="External"/><Relationship Id="rId7302" Type="http://schemas.openxmlformats.org/officeDocument/2006/relationships/hyperlink" Target="https://pbs.twimg.com/profile_images/2311675967/yzhiz5niu8t497rap344_normal.jpeg" TargetMode="External"/><Relationship Id="rId8633" Type="http://schemas.openxmlformats.org/officeDocument/2006/relationships/hyperlink" Target="https://twitter.com/JacobLevenson" TargetMode="External"/><Relationship Id="rId7301" Type="http://schemas.openxmlformats.org/officeDocument/2006/relationships/hyperlink" Target="https://twitter.com/v_vashishta/status/702946396177960960" TargetMode="External"/><Relationship Id="rId8632" Type="http://schemas.openxmlformats.org/officeDocument/2006/relationships/hyperlink" Target="https://pbs.twimg.com/profile_images/119769350/logo-azul-blanco_normal.png" TargetMode="External"/><Relationship Id="rId7300" Type="http://schemas.openxmlformats.org/officeDocument/2006/relationships/hyperlink" Target="https://twitter.com/v_vashishta" TargetMode="External"/><Relationship Id="rId8631" Type="http://schemas.openxmlformats.org/officeDocument/2006/relationships/hyperlink" Target="https://twitter.com/nekrum/status/703199572110110720" TargetMode="External"/><Relationship Id="rId8630" Type="http://schemas.openxmlformats.org/officeDocument/2006/relationships/hyperlink" Target="https://twitter.com/nekrum" TargetMode="External"/><Relationship Id="rId7306" Type="http://schemas.openxmlformats.org/officeDocument/2006/relationships/hyperlink" Target="https://twitter.com/Pvalsfr" TargetMode="External"/><Relationship Id="rId8637" Type="http://schemas.openxmlformats.org/officeDocument/2006/relationships/hyperlink" Target="https://twitter.com/WebScraperDB/status/703199913652461568" TargetMode="External"/><Relationship Id="rId7305" Type="http://schemas.openxmlformats.org/officeDocument/2006/relationships/hyperlink" Target="https://pbs.twimg.com/profile_images/677589103710306304/m56O6Wgf_normal.jpg" TargetMode="External"/><Relationship Id="rId8636" Type="http://schemas.openxmlformats.org/officeDocument/2006/relationships/hyperlink" Target="https://twitter.com/WebScraperDB" TargetMode="External"/><Relationship Id="rId7304" Type="http://schemas.openxmlformats.org/officeDocument/2006/relationships/hyperlink" Target="https://twitter.com/hadleywickham/status/702946694699184128" TargetMode="External"/><Relationship Id="rId8635" Type="http://schemas.openxmlformats.org/officeDocument/2006/relationships/hyperlink" Target="https://pbs.twimg.com/profile_images/2713559227/130a43577c4f7b8a05d33d643eacbece_normal.jpeg" TargetMode="External"/><Relationship Id="rId7303" Type="http://schemas.openxmlformats.org/officeDocument/2006/relationships/hyperlink" Target="https://twitter.com/hadleywickham" TargetMode="External"/><Relationship Id="rId8634" Type="http://schemas.openxmlformats.org/officeDocument/2006/relationships/hyperlink" Target="https://twitter.com/JacobLevenson/status/703199866617524224" TargetMode="External"/><Relationship Id="rId6009" Type="http://schemas.openxmlformats.org/officeDocument/2006/relationships/hyperlink" Target="https://pbs.twimg.com/profile_images/457775762108448768/XmO2C1-E_normal.png" TargetMode="External"/><Relationship Id="rId7331" Type="http://schemas.openxmlformats.org/officeDocument/2006/relationships/hyperlink" Target="https://twitter.com/CRANberriesFeed/status/702949583870140417" TargetMode="External"/><Relationship Id="rId8662" Type="http://schemas.openxmlformats.org/officeDocument/2006/relationships/hyperlink" Target="https://pbs.twimg.com/profile_images/689855563933597696/BQtoDRs3_normal.png" TargetMode="External"/><Relationship Id="rId6000" Type="http://schemas.openxmlformats.org/officeDocument/2006/relationships/hyperlink" Target="https://pbs.twimg.com/profile_images/701868333377961984/HsCOMTSx_normal.jpg" TargetMode="External"/><Relationship Id="rId7330" Type="http://schemas.openxmlformats.org/officeDocument/2006/relationships/hyperlink" Target="https://twitter.com/CRANberriesFeed" TargetMode="External"/><Relationship Id="rId8661" Type="http://schemas.openxmlformats.org/officeDocument/2006/relationships/hyperlink" Target="https://twitter.com/CajamarDataLab/status/703208718784040960" TargetMode="External"/><Relationship Id="rId8660" Type="http://schemas.openxmlformats.org/officeDocument/2006/relationships/hyperlink" Target="https://twitter.com/CajamarDataLab" TargetMode="External"/><Relationship Id="rId6003" Type="http://schemas.openxmlformats.org/officeDocument/2006/relationships/hyperlink" Target="https://pbs.twimg.com/profile_images/629729383750602752/vgCVgRW-_normal.png" TargetMode="External"/><Relationship Id="rId7335" Type="http://schemas.openxmlformats.org/officeDocument/2006/relationships/hyperlink" Target="https://pbs.twimg.com/profile_images/1222779560/cran1_normal.jpg" TargetMode="External"/><Relationship Id="rId8666" Type="http://schemas.openxmlformats.org/officeDocument/2006/relationships/hyperlink" Target="https://twitter.com/tonyojeda3" TargetMode="External"/><Relationship Id="rId6004" Type="http://schemas.openxmlformats.org/officeDocument/2006/relationships/hyperlink" Target="https://twitter.com/WebScraperDB" TargetMode="External"/><Relationship Id="rId7334" Type="http://schemas.openxmlformats.org/officeDocument/2006/relationships/hyperlink" Target="https://twitter.com/CRANberriesFeed/status/702949597128335361" TargetMode="External"/><Relationship Id="rId8665" Type="http://schemas.openxmlformats.org/officeDocument/2006/relationships/hyperlink" Target="https://pbs.twimg.com/profile_images/535539844479332354/CA9doTjY_normal.jpeg" TargetMode="External"/><Relationship Id="rId6001" Type="http://schemas.openxmlformats.org/officeDocument/2006/relationships/hyperlink" Target="https://twitter.com/fishR_ogle" TargetMode="External"/><Relationship Id="rId7333" Type="http://schemas.openxmlformats.org/officeDocument/2006/relationships/hyperlink" Target="https://twitter.com/CRANberriesFeed" TargetMode="External"/><Relationship Id="rId8664" Type="http://schemas.openxmlformats.org/officeDocument/2006/relationships/hyperlink" Target="https://twitter.com/kyle_e_walker/status/703209956707700738" TargetMode="External"/><Relationship Id="rId6002" Type="http://schemas.openxmlformats.org/officeDocument/2006/relationships/hyperlink" Target="https://twitter.com/fishR_ogle/status/702649550385909761" TargetMode="External"/><Relationship Id="rId7332" Type="http://schemas.openxmlformats.org/officeDocument/2006/relationships/hyperlink" Target="https://pbs.twimg.com/profile_images/1222779560/cran1_normal.jpg" TargetMode="External"/><Relationship Id="rId8663" Type="http://schemas.openxmlformats.org/officeDocument/2006/relationships/hyperlink" Target="https://twitter.com/kyle_e_walker" TargetMode="External"/><Relationship Id="rId6007" Type="http://schemas.openxmlformats.org/officeDocument/2006/relationships/hyperlink" Target="https://twitter.com/AnalyticsVidhya" TargetMode="External"/><Relationship Id="rId7339" Type="http://schemas.openxmlformats.org/officeDocument/2006/relationships/hyperlink" Target="https://twitter.com/techpearce2" TargetMode="External"/><Relationship Id="rId6008" Type="http://schemas.openxmlformats.org/officeDocument/2006/relationships/hyperlink" Target="https://twitter.com/AnalyticsVidhya/status/702651768824586240" TargetMode="External"/><Relationship Id="rId7338" Type="http://schemas.openxmlformats.org/officeDocument/2006/relationships/hyperlink" Target="https://pbs.twimg.com/profile_images/2150342436/Picture_1_normal.jpg" TargetMode="External"/><Relationship Id="rId8669" Type="http://schemas.openxmlformats.org/officeDocument/2006/relationships/hyperlink" Target="https://twitter.com/itknowingness" TargetMode="External"/><Relationship Id="rId6005" Type="http://schemas.openxmlformats.org/officeDocument/2006/relationships/hyperlink" Target="https://twitter.com/WebScraperDB/status/702650195222405120" TargetMode="External"/><Relationship Id="rId7337" Type="http://schemas.openxmlformats.org/officeDocument/2006/relationships/hyperlink" Target="https://twitter.com/rmflight/status/702950388580945924" TargetMode="External"/><Relationship Id="rId8668" Type="http://schemas.openxmlformats.org/officeDocument/2006/relationships/hyperlink" Target="https://pbs.twimg.com/profile_images/1211123351/Tony-Ojeda2_normal.JPG" TargetMode="External"/><Relationship Id="rId6006" Type="http://schemas.openxmlformats.org/officeDocument/2006/relationships/hyperlink" Target="https://pbs.twimg.com/profile_images/699545598450606080/s8CU8cVg_normal.png" TargetMode="External"/><Relationship Id="rId7336" Type="http://schemas.openxmlformats.org/officeDocument/2006/relationships/hyperlink" Target="https://twitter.com/rmflight" TargetMode="External"/><Relationship Id="rId8667" Type="http://schemas.openxmlformats.org/officeDocument/2006/relationships/hyperlink" Target="https://twitter.com/tonyojeda3/status/703210446187315200" TargetMode="External"/><Relationship Id="rId7329" Type="http://schemas.openxmlformats.org/officeDocument/2006/relationships/hyperlink" Target="https://abs.twimg.com/sticky/default_profile_images/default_profile_0_normal.png" TargetMode="External"/><Relationship Id="rId7320" Type="http://schemas.openxmlformats.org/officeDocument/2006/relationships/hyperlink" Target="https://pbs.twimg.com/profile_images/612471608725213184/eXKo2Kmo_normal.jpg" TargetMode="External"/><Relationship Id="rId8651" Type="http://schemas.openxmlformats.org/officeDocument/2006/relationships/hyperlink" Target="https://twitter.com/DataWookie" TargetMode="External"/><Relationship Id="rId8650" Type="http://schemas.openxmlformats.org/officeDocument/2006/relationships/hyperlink" Target="https://pbs.twimg.com/profile_images/612471608725213184/eXKo2Kmo_normal.jpg" TargetMode="External"/><Relationship Id="rId7324" Type="http://schemas.openxmlformats.org/officeDocument/2006/relationships/hyperlink" Target="https://twitter.com/DataWookie" TargetMode="External"/><Relationship Id="rId8655" Type="http://schemas.openxmlformats.org/officeDocument/2006/relationships/hyperlink" Target="https://twitter.com/BenBondLamberty/status/703207294725709824" TargetMode="External"/><Relationship Id="rId7323" Type="http://schemas.openxmlformats.org/officeDocument/2006/relationships/hyperlink" Target="https://pbs.twimg.com/profile_images/568795658375557120/on4iBzsD_normal.jpeg" TargetMode="External"/><Relationship Id="rId8654" Type="http://schemas.openxmlformats.org/officeDocument/2006/relationships/hyperlink" Target="https://twitter.com/BenBondLamberty" TargetMode="External"/><Relationship Id="rId7322" Type="http://schemas.openxmlformats.org/officeDocument/2006/relationships/hyperlink" Target="https://twitter.com/pwang/status/702948496320569344" TargetMode="External"/><Relationship Id="rId8653" Type="http://schemas.openxmlformats.org/officeDocument/2006/relationships/hyperlink" Target="https://pbs.twimg.com/profile_images/612471608725213184/eXKo2Kmo_normal.jpg" TargetMode="External"/><Relationship Id="rId7321" Type="http://schemas.openxmlformats.org/officeDocument/2006/relationships/hyperlink" Target="https://twitter.com/pwang" TargetMode="External"/><Relationship Id="rId8652" Type="http://schemas.openxmlformats.org/officeDocument/2006/relationships/hyperlink" Target="https://twitter.com/DataWookie/status/703205043508359168" TargetMode="External"/><Relationship Id="rId7328" Type="http://schemas.openxmlformats.org/officeDocument/2006/relationships/hyperlink" Target="https://twitter.com/SoroorHediyeh/status/702949053986770944" TargetMode="External"/><Relationship Id="rId8659" Type="http://schemas.openxmlformats.org/officeDocument/2006/relationships/hyperlink" Target="https://pbs.twimg.com/profile_images/617640384232034304/3ng8tFdy_normal.jpg" TargetMode="External"/><Relationship Id="rId7327" Type="http://schemas.openxmlformats.org/officeDocument/2006/relationships/hyperlink" Target="https://twitter.com/SoroorHediyeh" TargetMode="External"/><Relationship Id="rId8658" Type="http://schemas.openxmlformats.org/officeDocument/2006/relationships/hyperlink" Target="https://twitter.com/geschichtenpost/status/703208123490660352" TargetMode="External"/><Relationship Id="rId7326" Type="http://schemas.openxmlformats.org/officeDocument/2006/relationships/hyperlink" Target="https://pbs.twimg.com/profile_images/612471608725213184/eXKo2Kmo_normal.jpg" TargetMode="External"/><Relationship Id="rId8657" Type="http://schemas.openxmlformats.org/officeDocument/2006/relationships/hyperlink" Target="https://twitter.com/geschichtenpost" TargetMode="External"/><Relationship Id="rId7325" Type="http://schemas.openxmlformats.org/officeDocument/2006/relationships/hyperlink" Target="https://twitter.com/DataWookie/status/702948551995699201" TargetMode="External"/><Relationship Id="rId8656" Type="http://schemas.openxmlformats.org/officeDocument/2006/relationships/hyperlink" Target="https://pbs.twimg.com/profile_images/378800000379904772/a5a32945f329f35a345b28adfa8fe081_normal.png" TargetMode="External"/><Relationship Id="rId8608" Type="http://schemas.openxmlformats.org/officeDocument/2006/relationships/hyperlink" Target="https://pbs.twimg.com/profile_images/1746090001/Logo_bullet_normal.jpg" TargetMode="External"/><Relationship Id="rId8607" Type="http://schemas.openxmlformats.org/officeDocument/2006/relationships/hyperlink" Target="https://twitter.com/datennutzen/status/703193941043232768" TargetMode="External"/><Relationship Id="rId8606" Type="http://schemas.openxmlformats.org/officeDocument/2006/relationships/hyperlink" Target="https://twitter.com/datennutzen" TargetMode="External"/><Relationship Id="rId8605" Type="http://schemas.openxmlformats.org/officeDocument/2006/relationships/hyperlink" Target="https://pbs.twimg.com/profile_images/572806905865588736/XZQuxWid_normal.jpeg" TargetMode="External"/><Relationship Id="rId8609" Type="http://schemas.openxmlformats.org/officeDocument/2006/relationships/hyperlink" Target="https://twitter.com/yamano357" TargetMode="External"/><Relationship Id="rId8600" Type="http://schemas.openxmlformats.org/officeDocument/2006/relationships/hyperlink" Target="https://twitter.com/RKWardNet" TargetMode="External"/><Relationship Id="rId8604" Type="http://schemas.openxmlformats.org/officeDocument/2006/relationships/hyperlink" Target="https://twitter.com/harrydcc/status/703191622905823232" TargetMode="External"/><Relationship Id="rId8603" Type="http://schemas.openxmlformats.org/officeDocument/2006/relationships/hyperlink" Target="https://twitter.com/harrydcc" TargetMode="External"/><Relationship Id="rId8602" Type="http://schemas.openxmlformats.org/officeDocument/2006/relationships/hyperlink" Target="https://pbs.twimg.com/profile_images/666345541043884033/DZXZe2HG_normal.jpg" TargetMode="External"/><Relationship Id="rId8601" Type="http://schemas.openxmlformats.org/officeDocument/2006/relationships/hyperlink" Target="https://twitter.com/RKWardNet/status/703188035349839873" TargetMode="External"/><Relationship Id="rId8629" Type="http://schemas.openxmlformats.org/officeDocument/2006/relationships/hyperlink" Target="https://pbs.twimg.com/profile_images/612471608725213184/eXKo2Kmo_normal.jpg" TargetMode="External"/><Relationship Id="rId8628" Type="http://schemas.openxmlformats.org/officeDocument/2006/relationships/hyperlink" Target="https://twitter.com/DataWookie/status/703199470800900098" TargetMode="External"/><Relationship Id="rId8627" Type="http://schemas.openxmlformats.org/officeDocument/2006/relationships/hyperlink" Target="https://twitter.com/DataWookie" TargetMode="External"/><Relationship Id="rId8622" Type="http://schemas.openxmlformats.org/officeDocument/2006/relationships/hyperlink" Target="https://twitter.com/codepedia_info/status/703197932129009664" TargetMode="External"/><Relationship Id="rId8621" Type="http://schemas.openxmlformats.org/officeDocument/2006/relationships/hyperlink" Target="https://twitter.com/codepedia_info" TargetMode="External"/><Relationship Id="rId8620" Type="http://schemas.openxmlformats.org/officeDocument/2006/relationships/hyperlink" Target="https://pbs.twimg.com/profile_images/630326577876893696/qpGVG6BD_normal.jpg" TargetMode="External"/><Relationship Id="rId8626" Type="http://schemas.openxmlformats.org/officeDocument/2006/relationships/hyperlink" Target="https://pbs.twimg.com/profile_images/612471608725213184/eXKo2Kmo_normal.jpg" TargetMode="External"/><Relationship Id="rId8625" Type="http://schemas.openxmlformats.org/officeDocument/2006/relationships/hyperlink" Target="https://twitter.com/DataWookie/status/703199217724952576" TargetMode="External"/><Relationship Id="rId8624" Type="http://schemas.openxmlformats.org/officeDocument/2006/relationships/hyperlink" Target="https://twitter.com/DataWookie" TargetMode="External"/><Relationship Id="rId8623" Type="http://schemas.openxmlformats.org/officeDocument/2006/relationships/hyperlink" Target="https://pbs.twimg.com/profile_images/655054050832969728/3mJGHxhS_normal.jpg" TargetMode="External"/><Relationship Id="rId8619" Type="http://schemas.openxmlformats.org/officeDocument/2006/relationships/hyperlink" Target="https://twitter.com/pawwakill/status/703197490238124032" TargetMode="External"/><Relationship Id="rId8618" Type="http://schemas.openxmlformats.org/officeDocument/2006/relationships/hyperlink" Target="https://twitter.com/pawwakill" TargetMode="External"/><Relationship Id="rId8617" Type="http://schemas.openxmlformats.org/officeDocument/2006/relationships/hyperlink" Target="https://pbs.twimg.com/profile_images/1798373705/image_normal.jpg" TargetMode="External"/><Relationship Id="rId8616" Type="http://schemas.openxmlformats.org/officeDocument/2006/relationships/hyperlink" Target="https://twitter.com/HueramoEli/status/703197046732238848" TargetMode="External"/><Relationship Id="rId8611" Type="http://schemas.openxmlformats.org/officeDocument/2006/relationships/hyperlink" Target="https://pbs.twimg.com/profile_images/603763620393025536/KBmiiFXC_normal.png" TargetMode="External"/><Relationship Id="rId8610" Type="http://schemas.openxmlformats.org/officeDocument/2006/relationships/hyperlink" Target="https://twitter.com/yamano357/status/703194389712019456" TargetMode="External"/><Relationship Id="rId8615" Type="http://schemas.openxmlformats.org/officeDocument/2006/relationships/hyperlink" Target="https://twitter.com/HueramoEli" TargetMode="External"/><Relationship Id="rId8614" Type="http://schemas.openxmlformats.org/officeDocument/2006/relationships/hyperlink" Target="https://pbs.twimg.com/profile_images/654123046991597568/MV6j0afr_normal.jpg" TargetMode="External"/><Relationship Id="rId8613" Type="http://schemas.openxmlformats.org/officeDocument/2006/relationships/hyperlink" Target="https://twitter.com/dwdii/status/703196843396734976" TargetMode="External"/><Relationship Id="rId8612" Type="http://schemas.openxmlformats.org/officeDocument/2006/relationships/hyperlink" Target="https://twitter.com/dwdii" TargetMode="External"/><Relationship Id="rId6061" Type="http://schemas.openxmlformats.org/officeDocument/2006/relationships/hyperlink" Target="https://twitter.com/kevlbass1024" TargetMode="External"/><Relationship Id="rId7393" Type="http://schemas.openxmlformats.org/officeDocument/2006/relationships/hyperlink" Target="https://twitter.com/davesteps" TargetMode="External"/><Relationship Id="rId6062" Type="http://schemas.openxmlformats.org/officeDocument/2006/relationships/hyperlink" Target="https://twitter.com/kevlbass1024/status/702661394781573120" TargetMode="External"/><Relationship Id="rId7392" Type="http://schemas.openxmlformats.org/officeDocument/2006/relationships/hyperlink" Target="https://pbs.twimg.com/profile_images/630277871538278400/gEjxWtPD_normal.jpg" TargetMode="External"/><Relationship Id="rId7391" Type="http://schemas.openxmlformats.org/officeDocument/2006/relationships/hyperlink" Target="https://twitter.com/datascienceplus/status/702959007405875201" TargetMode="External"/><Relationship Id="rId6060" Type="http://schemas.openxmlformats.org/officeDocument/2006/relationships/hyperlink" Target="https://pbs.twimg.com/profile_images/2356376575/go5yeu2tyxp4q4o96rap_normal.jpeg" TargetMode="External"/><Relationship Id="rId7390" Type="http://schemas.openxmlformats.org/officeDocument/2006/relationships/hyperlink" Target="https://twitter.com/datascienceplus" TargetMode="External"/><Relationship Id="rId6065" Type="http://schemas.openxmlformats.org/officeDocument/2006/relationships/hyperlink" Target="https://twitter.com/SuaJorge/status/702661799003496448" TargetMode="External"/><Relationship Id="rId7397" Type="http://schemas.openxmlformats.org/officeDocument/2006/relationships/hyperlink" Target="https://twitter.com/LearnRinaDay/status/702961021976252416" TargetMode="External"/><Relationship Id="rId6066" Type="http://schemas.openxmlformats.org/officeDocument/2006/relationships/hyperlink" Target="https://pbs.twimg.com/profile_images/3579478848/d21d05d0b1a1a517e269f11746f6016a_normal.jpeg" TargetMode="External"/><Relationship Id="rId7396" Type="http://schemas.openxmlformats.org/officeDocument/2006/relationships/hyperlink" Target="https://twitter.com/LearnRinaDay" TargetMode="External"/><Relationship Id="rId6063" Type="http://schemas.openxmlformats.org/officeDocument/2006/relationships/hyperlink" Target="https://pbs.twimg.com/profile_images/682757887261818880/Q5--Prn6_normal.jpg" TargetMode="External"/><Relationship Id="rId7395" Type="http://schemas.openxmlformats.org/officeDocument/2006/relationships/hyperlink" Target="https://pbs.twimg.com/profile_images/701077657480466433/80hvuZyy_normal.jpg" TargetMode="External"/><Relationship Id="rId6064" Type="http://schemas.openxmlformats.org/officeDocument/2006/relationships/hyperlink" Target="https://twitter.com/SuaJorge" TargetMode="External"/><Relationship Id="rId7394" Type="http://schemas.openxmlformats.org/officeDocument/2006/relationships/hyperlink" Target="https://twitter.com/davesteps/status/702960414724898816" TargetMode="External"/><Relationship Id="rId6069" Type="http://schemas.openxmlformats.org/officeDocument/2006/relationships/hyperlink" Target="https://pbs.twimg.com/profile_images/1125070699/nyc_stats_normal.jpeg" TargetMode="External"/><Relationship Id="rId6067" Type="http://schemas.openxmlformats.org/officeDocument/2006/relationships/hyperlink" Target="https://twitter.com/nyhackr" TargetMode="External"/><Relationship Id="rId7399" Type="http://schemas.openxmlformats.org/officeDocument/2006/relationships/hyperlink" Target="https://twitter.com/BigDataTweetBot" TargetMode="External"/><Relationship Id="rId6068" Type="http://schemas.openxmlformats.org/officeDocument/2006/relationships/hyperlink" Target="https://twitter.com/nyhackr/status/702662191208636417" TargetMode="External"/><Relationship Id="rId7398" Type="http://schemas.openxmlformats.org/officeDocument/2006/relationships/hyperlink" Target="https://pbs.twimg.com/profile_images/470532873338884096/f96FFA2w_normal.png" TargetMode="External"/><Relationship Id="rId6050" Type="http://schemas.openxmlformats.org/officeDocument/2006/relationships/hyperlink" Target="https://twitter.com/sentiwire/status/702656269270659072" TargetMode="External"/><Relationship Id="rId7382" Type="http://schemas.openxmlformats.org/officeDocument/2006/relationships/hyperlink" Target="https://twitter.com/TheAtavism/status/702958550310473728" TargetMode="External"/><Relationship Id="rId6051" Type="http://schemas.openxmlformats.org/officeDocument/2006/relationships/hyperlink" Target="https://pbs.twimg.com/profile_images/686965105473396736/B9V5UtGS_normal.jpg" TargetMode="External"/><Relationship Id="rId7381" Type="http://schemas.openxmlformats.org/officeDocument/2006/relationships/hyperlink" Target="https://twitter.com/TheAtavism" TargetMode="External"/><Relationship Id="rId7380" Type="http://schemas.openxmlformats.org/officeDocument/2006/relationships/hyperlink" Target="https://pbs.twimg.com/profile_images/646034538691461121/EtcgHvoh_normal.jpg" TargetMode="External"/><Relationship Id="rId6054" Type="http://schemas.openxmlformats.org/officeDocument/2006/relationships/hyperlink" Target="https://pbs.twimg.com/profile_images/457775762108448768/XmO2C1-E_normal.png" TargetMode="External"/><Relationship Id="rId7386" Type="http://schemas.openxmlformats.org/officeDocument/2006/relationships/hyperlink" Target="https://pbs.twimg.com/profile_images/507463011033157632/Vyleaik7_normal.jpeg" TargetMode="External"/><Relationship Id="rId6055" Type="http://schemas.openxmlformats.org/officeDocument/2006/relationships/hyperlink" Target="https://twitter.com/MaryELennon" TargetMode="External"/><Relationship Id="rId7385" Type="http://schemas.openxmlformats.org/officeDocument/2006/relationships/hyperlink" Target="https://twitter.com/chbergma/status/702958655931617281" TargetMode="External"/><Relationship Id="rId6052" Type="http://schemas.openxmlformats.org/officeDocument/2006/relationships/hyperlink" Target="https://twitter.com/AnalyticsVidhya" TargetMode="External"/><Relationship Id="rId7384" Type="http://schemas.openxmlformats.org/officeDocument/2006/relationships/hyperlink" Target="https://twitter.com/chbergma" TargetMode="External"/><Relationship Id="rId6053" Type="http://schemas.openxmlformats.org/officeDocument/2006/relationships/hyperlink" Target="https://twitter.com/AnalyticsVidhya/status/702659495542038529" TargetMode="External"/><Relationship Id="rId7383" Type="http://schemas.openxmlformats.org/officeDocument/2006/relationships/hyperlink" Target="https://pbs.twimg.com/profile_images/420367726549270529/3nq_72NF_normal.jpeg" TargetMode="External"/><Relationship Id="rId6058" Type="http://schemas.openxmlformats.org/officeDocument/2006/relationships/hyperlink" Target="https://twitter.com/3bdalla__" TargetMode="External"/><Relationship Id="rId6059" Type="http://schemas.openxmlformats.org/officeDocument/2006/relationships/hyperlink" Target="https://twitter.com/3bdalla__/status/702659969905102849" TargetMode="External"/><Relationship Id="rId7389" Type="http://schemas.openxmlformats.org/officeDocument/2006/relationships/hyperlink" Target="https://pbs.twimg.com/profile_images/695285811789611008/1wbjZVH9_normal.jpg" TargetMode="External"/><Relationship Id="rId6056" Type="http://schemas.openxmlformats.org/officeDocument/2006/relationships/hyperlink" Target="https://twitter.com/MaryELennon/status/702659655734984704" TargetMode="External"/><Relationship Id="rId7388" Type="http://schemas.openxmlformats.org/officeDocument/2006/relationships/hyperlink" Target="https://twitter.com/kcranstn/status/702958658284560384" TargetMode="External"/><Relationship Id="rId6057" Type="http://schemas.openxmlformats.org/officeDocument/2006/relationships/hyperlink" Target="https://pbs.twimg.com/profile_images/586220640492990464/IKyhaMLb_normal.jpg" TargetMode="External"/><Relationship Id="rId7387" Type="http://schemas.openxmlformats.org/officeDocument/2006/relationships/hyperlink" Target="https://twitter.com/kcranstn" TargetMode="External"/><Relationship Id="rId3810" Type="http://schemas.openxmlformats.org/officeDocument/2006/relationships/hyperlink" Target="https://twitter.com/JungeAlexander" TargetMode="External"/><Relationship Id="rId3812" Type="http://schemas.openxmlformats.org/officeDocument/2006/relationships/hyperlink" Target="https://pbs.twimg.com/profile_images/378800000716663656/46271cfb50a243156014c15294d97ac3_normal.jpeg" TargetMode="External"/><Relationship Id="rId3811" Type="http://schemas.openxmlformats.org/officeDocument/2006/relationships/hyperlink" Target="https://twitter.com/JungeAlexander/status/702236190569795589" TargetMode="External"/><Relationship Id="rId3814" Type="http://schemas.openxmlformats.org/officeDocument/2006/relationships/hyperlink" Target="https://twitter.com/v_vashishta/status/702236586335801344" TargetMode="External"/><Relationship Id="rId3813" Type="http://schemas.openxmlformats.org/officeDocument/2006/relationships/hyperlink" Target="https://twitter.com/v_vashishta" TargetMode="External"/><Relationship Id="rId3816" Type="http://schemas.openxmlformats.org/officeDocument/2006/relationships/hyperlink" Target="https://twitter.com/bruce_swihart" TargetMode="External"/><Relationship Id="rId3815" Type="http://schemas.openxmlformats.org/officeDocument/2006/relationships/hyperlink" Target="https://pbs.twimg.com/profile_images/2311675967/yzhiz5niu8t497rap344_normal.jpeg" TargetMode="External"/><Relationship Id="rId3818" Type="http://schemas.openxmlformats.org/officeDocument/2006/relationships/hyperlink" Target="https://pbs.twimg.com/profile_images/571135675643092992/CGML23Za_normal.jpeg" TargetMode="External"/><Relationship Id="rId3817" Type="http://schemas.openxmlformats.org/officeDocument/2006/relationships/hyperlink" Target="https://twitter.com/bruce_swihart/status/702236652819890176" TargetMode="External"/><Relationship Id="rId3819" Type="http://schemas.openxmlformats.org/officeDocument/2006/relationships/hyperlink" Target="https://twitter.com/eleafeit" TargetMode="External"/><Relationship Id="rId6090" Type="http://schemas.openxmlformats.org/officeDocument/2006/relationships/hyperlink" Target="https://pbs.twimg.com/profile_images/603841641254760448/h8G2brJw_normal.jpg" TargetMode="External"/><Relationship Id="rId6091" Type="http://schemas.openxmlformats.org/officeDocument/2006/relationships/hyperlink" Target="https://twitter.com/homeAIinfo" TargetMode="External"/><Relationship Id="rId6083" Type="http://schemas.openxmlformats.org/officeDocument/2006/relationships/hyperlink" Target="https://twitter.com/deividfsf/status/702665526657548289" TargetMode="External"/><Relationship Id="rId6084" Type="http://schemas.openxmlformats.org/officeDocument/2006/relationships/hyperlink" Target="https://pbs.twimg.com/profile_images/701968916009107456/VNboPcRU_normal.png" TargetMode="External"/><Relationship Id="rId6081" Type="http://schemas.openxmlformats.org/officeDocument/2006/relationships/hyperlink" Target="https://pbs.twimg.com/profile_images/683731282497552384/a0zG5d-P_normal.jpg" TargetMode="External"/><Relationship Id="rId6082" Type="http://schemas.openxmlformats.org/officeDocument/2006/relationships/hyperlink" Target="https://twitter.com/deividfsf" TargetMode="External"/><Relationship Id="rId6087" Type="http://schemas.openxmlformats.org/officeDocument/2006/relationships/hyperlink" Target="https://pbs.twimg.com/profile_images/1850154280/rweber_normal.jpg" TargetMode="External"/><Relationship Id="rId6088" Type="http://schemas.openxmlformats.org/officeDocument/2006/relationships/hyperlink" Target="https://twitter.com/aksingh1985" TargetMode="External"/><Relationship Id="rId6085" Type="http://schemas.openxmlformats.org/officeDocument/2006/relationships/hyperlink" Target="https://twitter.com/Richard_Weber" TargetMode="External"/><Relationship Id="rId6086" Type="http://schemas.openxmlformats.org/officeDocument/2006/relationships/hyperlink" Target="https://twitter.com/Richard_Weber/status/702667978572210176" TargetMode="External"/><Relationship Id="rId6089" Type="http://schemas.openxmlformats.org/officeDocument/2006/relationships/hyperlink" Target="https://twitter.com/aksingh1985/status/702668398329630721" TargetMode="External"/><Relationship Id="rId3801" Type="http://schemas.openxmlformats.org/officeDocument/2006/relationships/hyperlink" Target="https://twitter.com/revodavid" TargetMode="External"/><Relationship Id="rId3800" Type="http://schemas.openxmlformats.org/officeDocument/2006/relationships/hyperlink" Target="https://pbs.twimg.com/profile_images/699545598450606080/s8CU8cVg_normal.png" TargetMode="External"/><Relationship Id="rId3803" Type="http://schemas.openxmlformats.org/officeDocument/2006/relationships/hyperlink" Target="https://pbs.twimg.com/profile_images/580043996723974144/_Oyvwa9c_normal.jpg" TargetMode="External"/><Relationship Id="rId3802" Type="http://schemas.openxmlformats.org/officeDocument/2006/relationships/hyperlink" Target="https://twitter.com/revodavid/status/702233430369636352" TargetMode="External"/><Relationship Id="rId3805" Type="http://schemas.openxmlformats.org/officeDocument/2006/relationships/hyperlink" Target="https://twitter.com/pdalgd/status/702234276138508289" TargetMode="External"/><Relationship Id="rId3804" Type="http://schemas.openxmlformats.org/officeDocument/2006/relationships/hyperlink" Target="https://twitter.com/pdalgd" TargetMode="External"/><Relationship Id="rId3807" Type="http://schemas.openxmlformats.org/officeDocument/2006/relationships/hyperlink" Target="https://twitter.com/hrbrmstr" TargetMode="External"/><Relationship Id="rId3806" Type="http://schemas.openxmlformats.org/officeDocument/2006/relationships/hyperlink" Target="https://pbs.twimg.com/profile_images/697868587130843136/9uZ8n-eM_normal.png" TargetMode="External"/><Relationship Id="rId3809" Type="http://schemas.openxmlformats.org/officeDocument/2006/relationships/hyperlink" Target="https://pbs.twimg.com/profile_images/557592259298729985/kpCUQWH1_normal.png" TargetMode="External"/><Relationship Id="rId3808" Type="http://schemas.openxmlformats.org/officeDocument/2006/relationships/hyperlink" Target="https://twitter.com/hrbrmstr/status/702234473325273090" TargetMode="External"/><Relationship Id="rId6080" Type="http://schemas.openxmlformats.org/officeDocument/2006/relationships/hyperlink" Target="https://twitter.com/millerdl/status/702664593152348160" TargetMode="External"/><Relationship Id="rId6072" Type="http://schemas.openxmlformats.org/officeDocument/2006/relationships/hyperlink" Target="https://pbs.twimg.com/profile_images/624399902261403648/-I8q7-JD_normal.jpg" TargetMode="External"/><Relationship Id="rId6073" Type="http://schemas.openxmlformats.org/officeDocument/2006/relationships/hyperlink" Target="https://twitter.com/rleisti" TargetMode="External"/><Relationship Id="rId6070" Type="http://schemas.openxmlformats.org/officeDocument/2006/relationships/hyperlink" Target="https://twitter.com/bluecology" TargetMode="External"/><Relationship Id="rId6071" Type="http://schemas.openxmlformats.org/officeDocument/2006/relationships/hyperlink" Target="https://twitter.com/bluecology/status/702662301401239553" TargetMode="External"/><Relationship Id="rId6076" Type="http://schemas.openxmlformats.org/officeDocument/2006/relationships/hyperlink" Target="https://twitter.com/Barkerjas" TargetMode="External"/><Relationship Id="rId6077" Type="http://schemas.openxmlformats.org/officeDocument/2006/relationships/hyperlink" Target="https://twitter.com/Barkerjas/status/702663945966919680" TargetMode="External"/><Relationship Id="rId6074" Type="http://schemas.openxmlformats.org/officeDocument/2006/relationships/hyperlink" Target="https://twitter.com/rleisti/status/702663093927571457" TargetMode="External"/><Relationship Id="rId6075" Type="http://schemas.openxmlformats.org/officeDocument/2006/relationships/hyperlink" Target="https://pbs.twimg.com/profile_images/1176881695/n554040867_1892_normal.jpg" TargetMode="External"/><Relationship Id="rId6078" Type="http://schemas.openxmlformats.org/officeDocument/2006/relationships/hyperlink" Target="https://pbs.twimg.com/profile_images/643803597218541568/3og7H0Xq_normal.jpg" TargetMode="External"/><Relationship Id="rId6079" Type="http://schemas.openxmlformats.org/officeDocument/2006/relationships/hyperlink" Target="https://twitter.com/millerdl" TargetMode="External"/><Relationship Id="rId8680" Type="http://schemas.openxmlformats.org/officeDocument/2006/relationships/hyperlink" Target="https://pbs.twimg.com/profile_images/593378341270515713/-wuK53e__normal.jpg" TargetMode="External"/><Relationship Id="rId6021" Type="http://schemas.openxmlformats.org/officeDocument/2006/relationships/hyperlink" Target="https://pbs.twimg.com/profile_images/677482738631499776/Co67DiMj_normal.jpg" TargetMode="External"/><Relationship Id="rId7353" Type="http://schemas.openxmlformats.org/officeDocument/2006/relationships/hyperlink" Target="https://pbs.twimg.com/profile_images/485766134268837889/t4PLhSfT_normal.jpeg" TargetMode="External"/><Relationship Id="rId8684" Type="http://schemas.openxmlformats.org/officeDocument/2006/relationships/hyperlink" Target="https://twitter.com/bruce_swihart" TargetMode="External"/><Relationship Id="rId6022" Type="http://schemas.openxmlformats.org/officeDocument/2006/relationships/hyperlink" Target="https://twitter.com/YeiCascia" TargetMode="External"/><Relationship Id="rId7352" Type="http://schemas.openxmlformats.org/officeDocument/2006/relationships/hyperlink" Target="https://twitter.com/DrAndyPardoe/status/702953969832882176" TargetMode="External"/><Relationship Id="rId8683" Type="http://schemas.openxmlformats.org/officeDocument/2006/relationships/hyperlink" Target="https://pbs.twimg.com/profile_images/1176432323/Product_normal.png" TargetMode="External"/><Relationship Id="rId7351" Type="http://schemas.openxmlformats.org/officeDocument/2006/relationships/hyperlink" Target="https://twitter.com/DrAndyPardoe" TargetMode="External"/><Relationship Id="rId8682" Type="http://schemas.openxmlformats.org/officeDocument/2006/relationships/hyperlink" Target="https://twitter.com/DataSciFact/status/703214243168976897" TargetMode="External"/><Relationship Id="rId6020" Type="http://schemas.openxmlformats.org/officeDocument/2006/relationships/hyperlink" Target="https://twitter.com/YeiCascia/status/702653884389572608" TargetMode="External"/><Relationship Id="rId7350" Type="http://schemas.openxmlformats.org/officeDocument/2006/relationships/hyperlink" Target="https://pbs.twimg.com/profile_images/573919346117861376/NGSVIgr__normal.png" TargetMode="External"/><Relationship Id="rId8681" Type="http://schemas.openxmlformats.org/officeDocument/2006/relationships/hyperlink" Target="https://twitter.com/DataSciFact" TargetMode="External"/><Relationship Id="rId6025" Type="http://schemas.openxmlformats.org/officeDocument/2006/relationships/hyperlink" Target="https://twitter.com/YeiCascia" TargetMode="External"/><Relationship Id="rId7357" Type="http://schemas.openxmlformats.org/officeDocument/2006/relationships/hyperlink" Target="https://twitter.com/i_rockhopper" TargetMode="External"/><Relationship Id="rId8688" Type="http://schemas.openxmlformats.org/officeDocument/2006/relationships/hyperlink" Target="https://twitter.com/tuxErrante/status/703215013100650496" TargetMode="External"/><Relationship Id="rId6026" Type="http://schemas.openxmlformats.org/officeDocument/2006/relationships/hyperlink" Target="https://twitter.com/YeiCascia/status/702654088199196672" TargetMode="External"/><Relationship Id="rId7356" Type="http://schemas.openxmlformats.org/officeDocument/2006/relationships/hyperlink" Target="https://pbs.twimg.com/profile_images/703243921011417091/jicOr_09_normal.jpg" TargetMode="External"/><Relationship Id="rId8687" Type="http://schemas.openxmlformats.org/officeDocument/2006/relationships/hyperlink" Target="https://twitter.com/tuxErrante" TargetMode="External"/><Relationship Id="rId6023" Type="http://schemas.openxmlformats.org/officeDocument/2006/relationships/hyperlink" Target="https://twitter.com/YeiCascia/status/702653914718543872" TargetMode="External"/><Relationship Id="rId7355" Type="http://schemas.openxmlformats.org/officeDocument/2006/relationships/hyperlink" Target="https://twitter.com/tjmahr/status/702954687243427842" TargetMode="External"/><Relationship Id="rId8686" Type="http://schemas.openxmlformats.org/officeDocument/2006/relationships/hyperlink" Target="https://pbs.twimg.com/profile_images/571135675643092992/CGML23Za_normal.jpeg" TargetMode="External"/><Relationship Id="rId6024" Type="http://schemas.openxmlformats.org/officeDocument/2006/relationships/hyperlink" Target="https://pbs.twimg.com/profile_images/677482738631499776/Co67DiMj_normal.jpg" TargetMode="External"/><Relationship Id="rId7354" Type="http://schemas.openxmlformats.org/officeDocument/2006/relationships/hyperlink" Target="https://twitter.com/tjmahr" TargetMode="External"/><Relationship Id="rId8685" Type="http://schemas.openxmlformats.org/officeDocument/2006/relationships/hyperlink" Target="https://twitter.com/bruce_swihart/status/703215007320903681" TargetMode="External"/><Relationship Id="rId6029" Type="http://schemas.openxmlformats.org/officeDocument/2006/relationships/hyperlink" Target="https://twitter.com/juliasilge/status/702654089612566528" TargetMode="External"/><Relationship Id="rId6027" Type="http://schemas.openxmlformats.org/officeDocument/2006/relationships/hyperlink" Target="https://pbs.twimg.com/profile_images/677482738631499776/Co67DiMj_normal.jpg" TargetMode="External"/><Relationship Id="rId7359" Type="http://schemas.openxmlformats.org/officeDocument/2006/relationships/hyperlink" Target="https://pbs.twimg.com/profile_images/621780049520267264/R3GvI0eI_normal.jpg" TargetMode="External"/><Relationship Id="rId6028" Type="http://schemas.openxmlformats.org/officeDocument/2006/relationships/hyperlink" Target="https://twitter.com/juliasilge" TargetMode="External"/><Relationship Id="rId7358" Type="http://schemas.openxmlformats.org/officeDocument/2006/relationships/hyperlink" Target="https://twitter.com/i_rockhopper/status/702955065385029633" TargetMode="External"/><Relationship Id="rId8689" Type="http://schemas.openxmlformats.org/officeDocument/2006/relationships/hyperlink" Target="https://pbs.twimg.com/profile_images/459245075726209024/QfpKQnYp_normal.jpeg" TargetMode="External"/><Relationship Id="rId6010" Type="http://schemas.openxmlformats.org/officeDocument/2006/relationships/hyperlink" Target="https://twitter.com/ajwnewkirk" TargetMode="External"/><Relationship Id="rId7342" Type="http://schemas.openxmlformats.org/officeDocument/2006/relationships/hyperlink" Target="https://twitter.com/jcgpz" TargetMode="External"/><Relationship Id="rId8673" Type="http://schemas.openxmlformats.org/officeDocument/2006/relationships/hyperlink" Target="https://twitter.com/ma_salmon/status/703213084165300225" TargetMode="External"/><Relationship Id="rId6011" Type="http://schemas.openxmlformats.org/officeDocument/2006/relationships/hyperlink" Target="https://twitter.com/ajwnewkirk/status/702652816972779520" TargetMode="External"/><Relationship Id="rId7341" Type="http://schemas.openxmlformats.org/officeDocument/2006/relationships/hyperlink" Target="https://pbs.twimg.com/profile_images/648912420275154944/Ab4szUPV_normal.jpg" TargetMode="External"/><Relationship Id="rId8672" Type="http://schemas.openxmlformats.org/officeDocument/2006/relationships/hyperlink" Target="https://twitter.com/ma_salmon" TargetMode="External"/><Relationship Id="rId7340" Type="http://schemas.openxmlformats.org/officeDocument/2006/relationships/hyperlink" Target="https://twitter.com/techpearce2/status/702950511696289792" TargetMode="External"/><Relationship Id="rId8671" Type="http://schemas.openxmlformats.org/officeDocument/2006/relationships/hyperlink" Target="https://pbs.twimg.com/profile_images/1164716874/favicon-triada-azul_normal.png" TargetMode="External"/><Relationship Id="rId8670" Type="http://schemas.openxmlformats.org/officeDocument/2006/relationships/hyperlink" Target="https://twitter.com/itknowingness/status/703210448720695296" TargetMode="External"/><Relationship Id="rId6014" Type="http://schemas.openxmlformats.org/officeDocument/2006/relationships/hyperlink" Target="https://twitter.com/ARTbio_IBPS/status/702653107986108416" TargetMode="External"/><Relationship Id="rId7346" Type="http://schemas.openxmlformats.org/officeDocument/2006/relationships/hyperlink" Target="https://twitter.com/hrbrmstr/status/702951960719323137" TargetMode="External"/><Relationship Id="rId8677" Type="http://schemas.openxmlformats.org/officeDocument/2006/relationships/hyperlink" Target="https://pbs.twimg.com/profile_images/624292977/twitterProfilePhoto_normal.jpg" TargetMode="External"/><Relationship Id="rId6015" Type="http://schemas.openxmlformats.org/officeDocument/2006/relationships/hyperlink" Target="https://pbs.twimg.com/profile_images/624213374545592320/Jd0fTL6e_normal.jpg" TargetMode="External"/><Relationship Id="rId7345" Type="http://schemas.openxmlformats.org/officeDocument/2006/relationships/hyperlink" Target="https://twitter.com/hrbrmstr" TargetMode="External"/><Relationship Id="rId8676" Type="http://schemas.openxmlformats.org/officeDocument/2006/relationships/hyperlink" Target="https://twitter.com/BobOHara/status/703213632360992768" TargetMode="External"/><Relationship Id="rId6012" Type="http://schemas.openxmlformats.org/officeDocument/2006/relationships/hyperlink" Target="https://pbs.twimg.com/profile_images/639961543958892544/kDdXqWqM_normal.jpg" TargetMode="External"/><Relationship Id="rId7344" Type="http://schemas.openxmlformats.org/officeDocument/2006/relationships/hyperlink" Target="https://pbs.twimg.com/profile_images/459789900569518080/VTziYNoq_normal.jpeg" TargetMode="External"/><Relationship Id="rId8675" Type="http://schemas.openxmlformats.org/officeDocument/2006/relationships/hyperlink" Target="https://twitter.com/BobOHara" TargetMode="External"/><Relationship Id="rId6013" Type="http://schemas.openxmlformats.org/officeDocument/2006/relationships/hyperlink" Target="https://twitter.com/ARTbio_IBPS" TargetMode="External"/><Relationship Id="rId7343" Type="http://schemas.openxmlformats.org/officeDocument/2006/relationships/hyperlink" Target="https://twitter.com/jcgpz/status/702950616868458497" TargetMode="External"/><Relationship Id="rId8674" Type="http://schemas.openxmlformats.org/officeDocument/2006/relationships/hyperlink" Target="https://pbs.twimg.com/profile_images/630648570228666368/azCx-w8Z_normal.jpg" TargetMode="External"/><Relationship Id="rId6018" Type="http://schemas.openxmlformats.org/officeDocument/2006/relationships/hyperlink" Target="https://pbs.twimg.com/profile_images/677482738631499776/Co67DiMj_normal.jpg" TargetMode="External"/><Relationship Id="rId6019" Type="http://schemas.openxmlformats.org/officeDocument/2006/relationships/hyperlink" Target="https://twitter.com/YeiCascia" TargetMode="External"/><Relationship Id="rId7349" Type="http://schemas.openxmlformats.org/officeDocument/2006/relationships/hyperlink" Target="https://twitter.com/zevross/status/702953378322653184" TargetMode="External"/><Relationship Id="rId6016" Type="http://schemas.openxmlformats.org/officeDocument/2006/relationships/hyperlink" Target="https://twitter.com/YeiCascia" TargetMode="External"/><Relationship Id="rId7348" Type="http://schemas.openxmlformats.org/officeDocument/2006/relationships/hyperlink" Target="https://twitter.com/zevross" TargetMode="External"/><Relationship Id="rId8679" Type="http://schemas.openxmlformats.org/officeDocument/2006/relationships/hyperlink" Target="https://twitter.com/Tweets4Vegans/status/703213637691940864" TargetMode="External"/><Relationship Id="rId6017" Type="http://schemas.openxmlformats.org/officeDocument/2006/relationships/hyperlink" Target="https://twitter.com/YeiCascia/status/702653634044157952" TargetMode="External"/><Relationship Id="rId7347" Type="http://schemas.openxmlformats.org/officeDocument/2006/relationships/hyperlink" Target="https://pbs.twimg.com/profile_images/557592259298729985/kpCUQWH1_normal.png" TargetMode="External"/><Relationship Id="rId8678" Type="http://schemas.openxmlformats.org/officeDocument/2006/relationships/hyperlink" Target="https://twitter.com/Tweets4Vegans" TargetMode="External"/><Relationship Id="rId7371" Type="http://schemas.openxmlformats.org/officeDocument/2006/relationships/hyperlink" Target="https://pbs.twimg.com/profile_images/551002016953036800/FsQNJ2yh_normal.jpeg" TargetMode="External"/><Relationship Id="rId6040" Type="http://schemas.openxmlformats.org/officeDocument/2006/relationships/hyperlink" Target="https://twitter.com/YeiCascia" TargetMode="External"/><Relationship Id="rId7370" Type="http://schemas.openxmlformats.org/officeDocument/2006/relationships/hyperlink" Target="https://twitter.com/visnut/status/702956421374017538" TargetMode="External"/><Relationship Id="rId6043" Type="http://schemas.openxmlformats.org/officeDocument/2006/relationships/hyperlink" Target="https://twitter.com/sudarshan_v1" TargetMode="External"/><Relationship Id="rId7375" Type="http://schemas.openxmlformats.org/officeDocument/2006/relationships/hyperlink" Target="https://twitter.com/alexhanna" TargetMode="External"/><Relationship Id="rId6044" Type="http://schemas.openxmlformats.org/officeDocument/2006/relationships/hyperlink" Target="https://twitter.com/sudarshan_v1/status/702655260683214848" TargetMode="External"/><Relationship Id="rId7374" Type="http://schemas.openxmlformats.org/officeDocument/2006/relationships/hyperlink" Target="https://pbs.twimg.com/profile_images/3237872431/07ecae166f2898fc9da007a5de720cb3_normal.jpeg" TargetMode="External"/><Relationship Id="rId6041" Type="http://schemas.openxmlformats.org/officeDocument/2006/relationships/hyperlink" Target="https://twitter.com/YeiCascia/status/702654502432804865" TargetMode="External"/><Relationship Id="rId7373" Type="http://schemas.openxmlformats.org/officeDocument/2006/relationships/hyperlink" Target="https://twitter.com/tslumley/status/702956459143761920" TargetMode="External"/><Relationship Id="rId6042" Type="http://schemas.openxmlformats.org/officeDocument/2006/relationships/hyperlink" Target="https://pbs.twimg.com/profile_images/677482738631499776/Co67DiMj_normal.jpg" TargetMode="External"/><Relationship Id="rId7372" Type="http://schemas.openxmlformats.org/officeDocument/2006/relationships/hyperlink" Target="https://twitter.com/tslumley" TargetMode="External"/><Relationship Id="rId6047" Type="http://schemas.openxmlformats.org/officeDocument/2006/relationships/hyperlink" Target="https://twitter.com/ecoscope_ubc/status/702656262840844288" TargetMode="External"/><Relationship Id="rId7379" Type="http://schemas.openxmlformats.org/officeDocument/2006/relationships/hyperlink" Target="https://twitter.com/ChCariou/status/702957068827926528" TargetMode="External"/><Relationship Id="rId6048" Type="http://schemas.openxmlformats.org/officeDocument/2006/relationships/hyperlink" Target="https://pbs.twimg.com/profile_images/678328868986482688/aoS_RwYT_normal.jpg" TargetMode="External"/><Relationship Id="rId7378" Type="http://schemas.openxmlformats.org/officeDocument/2006/relationships/hyperlink" Target="https://twitter.com/ChCariou" TargetMode="External"/><Relationship Id="rId6045" Type="http://schemas.openxmlformats.org/officeDocument/2006/relationships/hyperlink" Target="https://pbs.twimg.com/profile_images/2997906188/b2b41b7d1a6fd1ffa2d562af27f0993b_normal.jpeg" TargetMode="External"/><Relationship Id="rId7377" Type="http://schemas.openxmlformats.org/officeDocument/2006/relationships/hyperlink" Target="https://pbs.twimg.com/profile_images/692468806585835520/YmAZRU-B_normal.jpg" TargetMode="External"/><Relationship Id="rId6046" Type="http://schemas.openxmlformats.org/officeDocument/2006/relationships/hyperlink" Target="https://twitter.com/ecoscope_ubc" TargetMode="External"/><Relationship Id="rId7376" Type="http://schemas.openxmlformats.org/officeDocument/2006/relationships/hyperlink" Target="https://twitter.com/alexhanna/status/702956667722334208" TargetMode="External"/><Relationship Id="rId6049" Type="http://schemas.openxmlformats.org/officeDocument/2006/relationships/hyperlink" Target="https://twitter.com/sentiwire" TargetMode="External"/><Relationship Id="rId7360" Type="http://schemas.openxmlformats.org/officeDocument/2006/relationships/hyperlink" Target="https://twitter.com/RockyTayeh" TargetMode="External"/><Relationship Id="rId8691" Type="http://schemas.openxmlformats.org/officeDocument/2006/relationships/hyperlink" Target="https://twitter.com/zopazoza/status/703215123779878913" TargetMode="External"/><Relationship Id="rId8690" Type="http://schemas.openxmlformats.org/officeDocument/2006/relationships/hyperlink" Target="https://twitter.com/zopazoza" TargetMode="External"/><Relationship Id="rId6032" Type="http://schemas.openxmlformats.org/officeDocument/2006/relationships/hyperlink" Target="https://twitter.com/YeiCascia/status/702654306755944449" TargetMode="External"/><Relationship Id="rId7364" Type="http://schemas.openxmlformats.org/officeDocument/2006/relationships/hyperlink" Target="https://twitter.com/chieftanbonobo/status/702955791926566913" TargetMode="External"/><Relationship Id="rId8695" Type="http://schemas.openxmlformats.org/officeDocument/2006/relationships/hyperlink" Target="https://pbs.twimg.com/profile_images/567098605828206592/WL7eL4va_normal.jpeg" TargetMode="External"/><Relationship Id="rId6033" Type="http://schemas.openxmlformats.org/officeDocument/2006/relationships/hyperlink" Target="https://pbs.twimg.com/profile_images/677482738631499776/Co67DiMj_normal.jpg" TargetMode="External"/><Relationship Id="rId7363" Type="http://schemas.openxmlformats.org/officeDocument/2006/relationships/hyperlink" Target="https://twitter.com/chieftanbonobo" TargetMode="External"/><Relationship Id="rId8694" Type="http://schemas.openxmlformats.org/officeDocument/2006/relationships/hyperlink" Target="https://twitter.com/__gcd/status/703215194013462528" TargetMode="External"/><Relationship Id="rId6030" Type="http://schemas.openxmlformats.org/officeDocument/2006/relationships/hyperlink" Target="https://pbs.twimg.com/profile_images/645691413779255296/SSa_IRvc_normal.jpg" TargetMode="External"/><Relationship Id="rId7362" Type="http://schemas.openxmlformats.org/officeDocument/2006/relationships/hyperlink" Target="https://pbs.twimg.com/profile_images/599478153778700288/ogMCMlWV_normal.jpg" TargetMode="External"/><Relationship Id="rId8693" Type="http://schemas.openxmlformats.org/officeDocument/2006/relationships/hyperlink" Target="https://twitter.com/__gcd" TargetMode="External"/><Relationship Id="rId6031" Type="http://schemas.openxmlformats.org/officeDocument/2006/relationships/hyperlink" Target="https://twitter.com/YeiCascia" TargetMode="External"/><Relationship Id="rId7361" Type="http://schemas.openxmlformats.org/officeDocument/2006/relationships/hyperlink" Target="https://twitter.com/RockyTayeh/status/702955659214639108" TargetMode="External"/><Relationship Id="rId8692" Type="http://schemas.openxmlformats.org/officeDocument/2006/relationships/hyperlink" Target="https://pbs.twimg.com/profile_images/699099691435208704/Lz3rUmjZ_normal.jpg" TargetMode="External"/><Relationship Id="rId6036" Type="http://schemas.openxmlformats.org/officeDocument/2006/relationships/hyperlink" Target="https://pbs.twimg.com/profile_images/677482738631499776/Co67DiMj_normal.jpg" TargetMode="External"/><Relationship Id="rId7368" Type="http://schemas.openxmlformats.org/officeDocument/2006/relationships/hyperlink" Target="https://pbs.twimg.com/profile_images/669184621532332035/lR39q_kZ_normal.png" TargetMode="External"/><Relationship Id="rId8699" Type="http://schemas.openxmlformats.org/officeDocument/2006/relationships/hyperlink" Target="https://twitter.com/chaquator" TargetMode="External"/><Relationship Id="rId6037" Type="http://schemas.openxmlformats.org/officeDocument/2006/relationships/hyperlink" Target="https://twitter.com/YeiCascia" TargetMode="External"/><Relationship Id="rId7367" Type="http://schemas.openxmlformats.org/officeDocument/2006/relationships/hyperlink" Target="https://twitter.com/stopifnot/status/702956086886854657" TargetMode="External"/><Relationship Id="rId8698" Type="http://schemas.openxmlformats.org/officeDocument/2006/relationships/hyperlink" Target="https://pbs.twimg.com/profile_images/630378501011566592/QEx7wI8C_normal.jpg" TargetMode="External"/><Relationship Id="rId6034" Type="http://schemas.openxmlformats.org/officeDocument/2006/relationships/hyperlink" Target="https://twitter.com/YeiCascia" TargetMode="External"/><Relationship Id="rId7366" Type="http://schemas.openxmlformats.org/officeDocument/2006/relationships/hyperlink" Target="https://twitter.com/stopifnot" TargetMode="External"/><Relationship Id="rId8697" Type="http://schemas.openxmlformats.org/officeDocument/2006/relationships/hyperlink" Target="https://twitter.com/danbarua/status/703215284962914304" TargetMode="External"/><Relationship Id="rId6035" Type="http://schemas.openxmlformats.org/officeDocument/2006/relationships/hyperlink" Target="https://twitter.com/YeiCascia/status/702654329728196608" TargetMode="External"/><Relationship Id="rId7365" Type="http://schemas.openxmlformats.org/officeDocument/2006/relationships/hyperlink" Target="https://pbs.twimg.com/profile_images/1298887255/GRABYOURGOGGLES2_normal.png" TargetMode="External"/><Relationship Id="rId8696" Type="http://schemas.openxmlformats.org/officeDocument/2006/relationships/hyperlink" Target="https://twitter.com/danbarua" TargetMode="External"/><Relationship Id="rId6038" Type="http://schemas.openxmlformats.org/officeDocument/2006/relationships/hyperlink" Target="https://twitter.com/YeiCascia/status/702654368307400704" TargetMode="External"/><Relationship Id="rId6039" Type="http://schemas.openxmlformats.org/officeDocument/2006/relationships/hyperlink" Target="https://pbs.twimg.com/profile_images/677482738631499776/Co67DiMj_normal.jpg" TargetMode="External"/><Relationship Id="rId7369" Type="http://schemas.openxmlformats.org/officeDocument/2006/relationships/hyperlink" Target="https://twitter.com/visnut" TargetMode="External"/><Relationship Id="rId1213" Type="http://schemas.openxmlformats.org/officeDocument/2006/relationships/hyperlink" Target="https://twitter.com/CVNezar" TargetMode="External"/><Relationship Id="rId2544" Type="http://schemas.openxmlformats.org/officeDocument/2006/relationships/hyperlink" Target="https://twitter.com/MattDowle" TargetMode="External"/><Relationship Id="rId3876" Type="http://schemas.openxmlformats.org/officeDocument/2006/relationships/hyperlink" Target="https://twitter.com/naynerz" TargetMode="External"/><Relationship Id="rId1214" Type="http://schemas.openxmlformats.org/officeDocument/2006/relationships/hyperlink" Target="https://twitter.com/CVNezar/status/701679800444919808" TargetMode="External"/><Relationship Id="rId2545" Type="http://schemas.openxmlformats.org/officeDocument/2006/relationships/hyperlink" Target="https://twitter.com/MattDowle/status/701921910750248964" TargetMode="External"/><Relationship Id="rId3875" Type="http://schemas.openxmlformats.org/officeDocument/2006/relationships/hyperlink" Target="https://pbs.twimg.com/profile_images/598126722920361984/HdS1NWXJ_normal.png" TargetMode="External"/><Relationship Id="rId1215" Type="http://schemas.openxmlformats.org/officeDocument/2006/relationships/hyperlink" Target="https://pbs.twimg.com/profile_images/695991694706286593/5HLY3cBi_normal.png" TargetMode="External"/><Relationship Id="rId2546" Type="http://schemas.openxmlformats.org/officeDocument/2006/relationships/hyperlink" Target="https://pbs.twimg.com/profile_images/466298987297767424/1ueQr4I5_normal.jpeg" TargetMode="External"/><Relationship Id="rId3878" Type="http://schemas.openxmlformats.org/officeDocument/2006/relationships/hyperlink" Target="https://pbs.twimg.com/profile_images/696052442555781121/9-1ROpdl_normal.jpg" TargetMode="External"/><Relationship Id="rId1216" Type="http://schemas.openxmlformats.org/officeDocument/2006/relationships/hyperlink" Target="https://twitter.com/beskotw" TargetMode="External"/><Relationship Id="rId2547" Type="http://schemas.openxmlformats.org/officeDocument/2006/relationships/hyperlink" Target="https://twitter.com/NumFOCUS" TargetMode="External"/><Relationship Id="rId3877" Type="http://schemas.openxmlformats.org/officeDocument/2006/relationships/hyperlink" Target="https://twitter.com/naynerz/status/702256307483443200" TargetMode="External"/><Relationship Id="rId1217" Type="http://schemas.openxmlformats.org/officeDocument/2006/relationships/hyperlink" Target="https://twitter.com/beskotw/status/701680588760215552" TargetMode="External"/><Relationship Id="rId2548" Type="http://schemas.openxmlformats.org/officeDocument/2006/relationships/hyperlink" Target="https://twitter.com/NumFOCUS/status/701921958548656129" TargetMode="External"/><Relationship Id="rId1218" Type="http://schemas.openxmlformats.org/officeDocument/2006/relationships/hyperlink" Target="https://pbs.twimg.com/profile_images/702881398563012609/D8jCqklC_normal.png" TargetMode="External"/><Relationship Id="rId2549" Type="http://schemas.openxmlformats.org/officeDocument/2006/relationships/hyperlink" Target="https://pbs.twimg.com/profile_images/702558144958869504/AIKaOGn__normal.png" TargetMode="External"/><Relationship Id="rId3879" Type="http://schemas.openxmlformats.org/officeDocument/2006/relationships/hyperlink" Target="https://twitter.com/timelyportfolio" TargetMode="External"/><Relationship Id="rId1219" Type="http://schemas.openxmlformats.org/officeDocument/2006/relationships/hyperlink" Target="https://twitter.com/CRANberriesFeed" TargetMode="External"/><Relationship Id="rId3870" Type="http://schemas.openxmlformats.org/officeDocument/2006/relationships/hyperlink" Target="https://twitter.com/skilloak" TargetMode="External"/><Relationship Id="rId2540" Type="http://schemas.openxmlformats.org/officeDocument/2006/relationships/hyperlink" Target="https://pbs.twimg.com/profile_images/509100899063439361/1xdR38oG_normal.jpeg" TargetMode="External"/><Relationship Id="rId3872" Type="http://schemas.openxmlformats.org/officeDocument/2006/relationships/hyperlink" Target="https://pbs.twimg.com/profile_images/670315479517413376/Kkf5JA8s_normal.png" TargetMode="External"/><Relationship Id="rId1210" Type="http://schemas.openxmlformats.org/officeDocument/2006/relationships/hyperlink" Target="https://twitter.com/CVNezar" TargetMode="External"/><Relationship Id="rId2541" Type="http://schemas.openxmlformats.org/officeDocument/2006/relationships/hyperlink" Target="https://twitter.com/klunkySQL" TargetMode="External"/><Relationship Id="rId3871" Type="http://schemas.openxmlformats.org/officeDocument/2006/relationships/hyperlink" Target="https://twitter.com/skilloak/status/702255399076909056" TargetMode="External"/><Relationship Id="rId1211" Type="http://schemas.openxmlformats.org/officeDocument/2006/relationships/hyperlink" Target="https://twitter.com/CVNezar/status/701679252148723713" TargetMode="External"/><Relationship Id="rId2542" Type="http://schemas.openxmlformats.org/officeDocument/2006/relationships/hyperlink" Target="https://twitter.com/klunkySQL/status/701921327737925636" TargetMode="External"/><Relationship Id="rId3874" Type="http://schemas.openxmlformats.org/officeDocument/2006/relationships/hyperlink" Target="https://twitter.com/dataandme/status/702255897033252864" TargetMode="External"/><Relationship Id="rId1212" Type="http://schemas.openxmlformats.org/officeDocument/2006/relationships/hyperlink" Target="https://pbs.twimg.com/profile_images/695991694706286593/5HLY3cBi_normal.png" TargetMode="External"/><Relationship Id="rId2543" Type="http://schemas.openxmlformats.org/officeDocument/2006/relationships/hyperlink" Target="https://pbs.twimg.com/profile_images/378800000400158691/edbe12abee25147a4fa5f37eced8f9cb_normal.png" TargetMode="External"/><Relationship Id="rId3873" Type="http://schemas.openxmlformats.org/officeDocument/2006/relationships/hyperlink" Target="https://twitter.com/dataandme" TargetMode="External"/><Relationship Id="rId1202" Type="http://schemas.openxmlformats.org/officeDocument/2006/relationships/hyperlink" Target="https://twitter.com/Rbloggers" TargetMode="External"/><Relationship Id="rId2533" Type="http://schemas.openxmlformats.org/officeDocument/2006/relationships/hyperlink" Target="https://pbs.twimg.com/profile_images/559743059789762561/0E4ssdxo_normal.jpeg" TargetMode="External"/><Relationship Id="rId3865" Type="http://schemas.openxmlformats.org/officeDocument/2006/relationships/hyperlink" Target="https://twitter.com/CRANberriesFeed/status/702255095690485761" TargetMode="External"/><Relationship Id="rId1203" Type="http://schemas.openxmlformats.org/officeDocument/2006/relationships/hyperlink" Target="https://twitter.com/Rbloggers/status/701678065546502144" TargetMode="External"/><Relationship Id="rId2534" Type="http://schemas.openxmlformats.org/officeDocument/2006/relationships/hyperlink" Target="https://twitter.com/InfographicsIts" TargetMode="External"/><Relationship Id="rId3864" Type="http://schemas.openxmlformats.org/officeDocument/2006/relationships/hyperlink" Target="https://twitter.com/CRANberriesFeed" TargetMode="External"/><Relationship Id="rId1204" Type="http://schemas.openxmlformats.org/officeDocument/2006/relationships/hyperlink" Target="http://r-bloggers.com" TargetMode="External"/><Relationship Id="rId2535" Type="http://schemas.openxmlformats.org/officeDocument/2006/relationships/hyperlink" Target="http://ItsInfographics.Com" TargetMode="External"/><Relationship Id="rId3867" Type="http://schemas.openxmlformats.org/officeDocument/2006/relationships/hyperlink" Target="https://twitter.com/CRANberriesFeed" TargetMode="External"/><Relationship Id="rId1205" Type="http://schemas.openxmlformats.org/officeDocument/2006/relationships/hyperlink" Target="https://pbs.twimg.com/profile_images/502185985786916864/gkdFh-q7_normal.png" TargetMode="External"/><Relationship Id="rId2536" Type="http://schemas.openxmlformats.org/officeDocument/2006/relationships/hyperlink" Target="https://twitter.com/InfographicsIts/status/701919429622423554" TargetMode="External"/><Relationship Id="rId3866" Type="http://schemas.openxmlformats.org/officeDocument/2006/relationships/hyperlink" Target="https://pbs.twimg.com/profile_images/1222779560/cran1_normal.jpg" TargetMode="External"/><Relationship Id="rId1206" Type="http://schemas.openxmlformats.org/officeDocument/2006/relationships/hyperlink" Target="https://twitter.com/Rbloggers" TargetMode="External"/><Relationship Id="rId2537" Type="http://schemas.openxmlformats.org/officeDocument/2006/relationships/hyperlink" Target="https://pbs.twimg.com/profile_images/588517027007967232/ZUdGXUex_normal.jpg" TargetMode="External"/><Relationship Id="rId3869" Type="http://schemas.openxmlformats.org/officeDocument/2006/relationships/hyperlink" Target="https://pbs.twimg.com/profile_images/1222779560/cran1_normal.jpg" TargetMode="External"/><Relationship Id="rId1207" Type="http://schemas.openxmlformats.org/officeDocument/2006/relationships/hyperlink" Target="https://twitter.com/Rbloggers/status/701679133571420160" TargetMode="External"/><Relationship Id="rId2538" Type="http://schemas.openxmlformats.org/officeDocument/2006/relationships/hyperlink" Target="https://twitter.com/zaticwu" TargetMode="External"/><Relationship Id="rId3868" Type="http://schemas.openxmlformats.org/officeDocument/2006/relationships/hyperlink" Target="https://twitter.com/CRANberriesFeed/status/702255112023121922" TargetMode="External"/><Relationship Id="rId1208" Type="http://schemas.openxmlformats.org/officeDocument/2006/relationships/hyperlink" Target="http://r-bloggers.com" TargetMode="External"/><Relationship Id="rId2539" Type="http://schemas.openxmlformats.org/officeDocument/2006/relationships/hyperlink" Target="https://twitter.com/zaticwu/status/701919804400148481" TargetMode="External"/><Relationship Id="rId1209" Type="http://schemas.openxmlformats.org/officeDocument/2006/relationships/hyperlink" Target="https://pbs.twimg.com/profile_images/502185985786916864/gkdFh-q7_normal.png" TargetMode="External"/><Relationship Id="rId3861" Type="http://schemas.openxmlformats.org/officeDocument/2006/relationships/hyperlink" Target="https://twitter.com/CRANberriesFeed" TargetMode="External"/><Relationship Id="rId2530" Type="http://schemas.openxmlformats.org/officeDocument/2006/relationships/hyperlink" Target="https://pbs.twimg.com/profile_images/1798900601/Twit_profil_normal.jpg" TargetMode="External"/><Relationship Id="rId3860" Type="http://schemas.openxmlformats.org/officeDocument/2006/relationships/hyperlink" Target="https://pbs.twimg.com/profile_images/1222779560/cran1_normal.jpg" TargetMode="External"/><Relationship Id="rId1200" Type="http://schemas.openxmlformats.org/officeDocument/2006/relationships/hyperlink" Target="https://twitter.com/Edgargdpg/status/701676598374887424" TargetMode="External"/><Relationship Id="rId2531" Type="http://schemas.openxmlformats.org/officeDocument/2006/relationships/hyperlink" Target="https://twitter.com/_SevillaR" TargetMode="External"/><Relationship Id="rId3863" Type="http://schemas.openxmlformats.org/officeDocument/2006/relationships/hyperlink" Target="https://pbs.twimg.com/profile_images/1222779560/cran1_normal.jpg" TargetMode="External"/><Relationship Id="rId1201" Type="http://schemas.openxmlformats.org/officeDocument/2006/relationships/hyperlink" Target="https://pbs.twimg.com/profile_images/640896669840736256/4GdurBH1_normal.jpg" TargetMode="External"/><Relationship Id="rId2532" Type="http://schemas.openxmlformats.org/officeDocument/2006/relationships/hyperlink" Target="https://twitter.com/_SevillaR/status/701919266929516544" TargetMode="External"/><Relationship Id="rId3862" Type="http://schemas.openxmlformats.org/officeDocument/2006/relationships/hyperlink" Target="https://twitter.com/CRANberriesFeed/status/702255066078650368" TargetMode="External"/><Relationship Id="rId1235" Type="http://schemas.openxmlformats.org/officeDocument/2006/relationships/hyperlink" Target="https://twitter.com/Pvalsfr/status/701688101765255168" TargetMode="External"/><Relationship Id="rId2566" Type="http://schemas.openxmlformats.org/officeDocument/2006/relationships/hyperlink" Target="https://twitter.com/mhiggins2000/status/701927083216343040" TargetMode="External"/><Relationship Id="rId3898" Type="http://schemas.openxmlformats.org/officeDocument/2006/relationships/hyperlink" Target="https://twitter.com/DataToValue/status/702264671097724928" TargetMode="External"/><Relationship Id="rId1236" Type="http://schemas.openxmlformats.org/officeDocument/2006/relationships/hyperlink" Target="https://abs.twimg.com/sticky/default_profile_images/default_profile_4_normal.png" TargetMode="External"/><Relationship Id="rId2567" Type="http://schemas.openxmlformats.org/officeDocument/2006/relationships/hyperlink" Target="https://pbs.twimg.com/profile_images/536482954516520960/4dqsb-SO_normal.jpeg" TargetMode="External"/><Relationship Id="rId3897" Type="http://schemas.openxmlformats.org/officeDocument/2006/relationships/hyperlink" Target="https://twitter.com/DataToValue" TargetMode="External"/><Relationship Id="rId1237" Type="http://schemas.openxmlformats.org/officeDocument/2006/relationships/hyperlink" Target="https://twitter.com/Hilary_Wynne" TargetMode="External"/><Relationship Id="rId2568" Type="http://schemas.openxmlformats.org/officeDocument/2006/relationships/hyperlink" Target="https://twitter.com/sckottie" TargetMode="External"/><Relationship Id="rId1238" Type="http://schemas.openxmlformats.org/officeDocument/2006/relationships/hyperlink" Target="https://twitter.com/Hilary_Wynne/status/701688270795776000" TargetMode="External"/><Relationship Id="rId2569" Type="http://schemas.openxmlformats.org/officeDocument/2006/relationships/hyperlink" Target="https://twitter.com/sckottie/status/701927456119238656" TargetMode="External"/><Relationship Id="rId3899" Type="http://schemas.openxmlformats.org/officeDocument/2006/relationships/hyperlink" Target="https://pbs.twimg.com/profile_images/562555701734547456/mIBOZbQA_normal.jpeg" TargetMode="External"/><Relationship Id="rId1239" Type="http://schemas.openxmlformats.org/officeDocument/2006/relationships/hyperlink" Target="https://pbs.twimg.com/profile_images/639210838121951232/yYhBlX0B_normal.jpg" TargetMode="External"/><Relationship Id="rId3890" Type="http://schemas.openxmlformats.org/officeDocument/2006/relationships/hyperlink" Target="https://pbs.twimg.com/profile_images/617306322212683776/jxPNc_2X_normal.jpg" TargetMode="External"/><Relationship Id="rId2560" Type="http://schemas.openxmlformats.org/officeDocument/2006/relationships/hyperlink" Target="https://twitter.com/robbibt/status/701926955810054144" TargetMode="External"/><Relationship Id="rId3892" Type="http://schemas.openxmlformats.org/officeDocument/2006/relationships/hyperlink" Target="https://twitter.com/datennutzen/status/702261424110837760" TargetMode="External"/><Relationship Id="rId1230" Type="http://schemas.openxmlformats.org/officeDocument/2006/relationships/hyperlink" Target="https://abs.twimg.com/sticky/default_profile_images/default_profile_4_normal.png" TargetMode="External"/><Relationship Id="rId2561" Type="http://schemas.openxmlformats.org/officeDocument/2006/relationships/hyperlink" Target="https://pbs.twimg.com/profile_images/699768371772919808/n6HhER0Y_normal.jpg" TargetMode="External"/><Relationship Id="rId3891" Type="http://schemas.openxmlformats.org/officeDocument/2006/relationships/hyperlink" Target="https://twitter.com/datennutzen" TargetMode="External"/><Relationship Id="rId1231" Type="http://schemas.openxmlformats.org/officeDocument/2006/relationships/hyperlink" Target="https://twitter.com/big_data_flow" TargetMode="External"/><Relationship Id="rId2562" Type="http://schemas.openxmlformats.org/officeDocument/2006/relationships/hyperlink" Target="https://twitter.com/NumFOCUS" TargetMode="External"/><Relationship Id="rId3894" Type="http://schemas.openxmlformats.org/officeDocument/2006/relationships/hyperlink" Target="https://twitter.com/LovedeepSG" TargetMode="External"/><Relationship Id="rId1232" Type="http://schemas.openxmlformats.org/officeDocument/2006/relationships/hyperlink" Target="https://twitter.com/big_data_flow/status/701687615565774850" TargetMode="External"/><Relationship Id="rId2563" Type="http://schemas.openxmlformats.org/officeDocument/2006/relationships/hyperlink" Target="https://twitter.com/NumFOCUS/status/701927045769650178" TargetMode="External"/><Relationship Id="rId3893" Type="http://schemas.openxmlformats.org/officeDocument/2006/relationships/hyperlink" Target="https://pbs.twimg.com/profile_images/1746090001/Logo_bullet_normal.jpg" TargetMode="External"/><Relationship Id="rId1233" Type="http://schemas.openxmlformats.org/officeDocument/2006/relationships/hyperlink" Target="https://pbs.twimg.com/profile_images/681034665923317761/G4LHHc1n_normal.jpg" TargetMode="External"/><Relationship Id="rId2564" Type="http://schemas.openxmlformats.org/officeDocument/2006/relationships/hyperlink" Target="https://pbs.twimg.com/profile_images/702558144958869504/AIKaOGn__normal.png" TargetMode="External"/><Relationship Id="rId3896" Type="http://schemas.openxmlformats.org/officeDocument/2006/relationships/hyperlink" Target="https://pbs.twimg.com/profile_images/378800000059126288/17d4fa184bbd13c1e64465a3cc234efc_normal.jpeg" TargetMode="External"/><Relationship Id="rId1234" Type="http://schemas.openxmlformats.org/officeDocument/2006/relationships/hyperlink" Target="https://twitter.com/Pvalsfr" TargetMode="External"/><Relationship Id="rId2565" Type="http://schemas.openxmlformats.org/officeDocument/2006/relationships/hyperlink" Target="https://twitter.com/mhiggins2000" TargetMode="External"/><Relationship Id="rId3895" Type="http://schemas.openxmlformats.org/officeDocument/2006/relationships/hyperlink" Target="https://twitter.com/LovedeepSG/status/702262270097666048" TargetMode="External"/><Relationship Id="rId1224" Type="http://schemas.openxmlformats.org/officeDocument/2006/relationships/hyperlink" Target="https://pbs.twimg.com/profile_images/1222779560/cran1_normal.jpg" TargetMode="External"/><Relationship Id="rId2555" Type="http://schemas.openxmlformats.org/officeDocument/2006/relationships/hyperlink" Target="https://pbs.twimg.com/profile_images/657779791215505408/Ajpi7ENQ_normal.jpg" TargetMode="External"/><Relationship Id="rId3887" Type="http://schemas.openxmlformats.org/officeDocument/2006/relationships/hyperlink" Target="https://pbs.twimg.com/profile_images/539543849756925954/acMMGQ14_normal.png" TargetMode="External"/><Relationship Id="rId1225" Type="http://schemas.openxmlformats.org/officeDocument/2006/relationships/hyperlink" Target="https://twitter.com/BoSchwartz" TargetMode="External"/><Relationship Id="rId2556" Type="http://schemas.openxmlformats.org/officeDocument/2006/relationships/hyperlink" Target="https://twitter.com/homeAIinfo" TargetMode="External"/><Relationship Id="rId3886" Type="http://schemas.openxmlformats.org/officeDocument/2006/relationships/hyperlink" Target="https://twitter.com/DoubleDensity/status/702258226226663425" TargetMode="External"/><Relationship Id="rId1226" Type="http://schemas.openxmlformats.org/officeDocument/2006/relationships/hyperlink" Target="https://twitter.com/BoSchwartz/status/701683561833885696" TargetMode="External"/><Relationship Id="rId2557" Type="http://schemas.openxmlformats.org/officeDocument/2006/relationships/hyperlink" Target="https://twitter.com/homeAIinfo/status/701926741728690176" TargetMode="External"/><Relationship Id="rId3889" Type="http://schemas.openxmlformats.org/officeDocument/2006/relationships/hyperlink" Target="https://twitter.com/pmuruaandrade/status/702260804830232578" TargetMode="External"/><Relationship Id="rId1227" Type="http://schemas.openxmlformats.org/officeDocument/2006/relationships/hyperlink" Target="https://pbs.twimg.com/profile_images/423758206267977729/AuOW_qcq_normal.jpeg" TargetMode="External"/><Relationship Id="rId2558" Type="http://schemas.openxmlformats.org/officeDocument/2006/relationships/hyperlink" Target="https://pbs.twimg.com/profile_images/645650110374936580/-oQakt8x_normal.png" TargetMode="External"/><Relationship Id="rId3888" Type="http://schemas.openxmlformats.org/officeDocument/2006/relationships/hyperlink" Target="https://twitter.com/pmuruaandrade" TargetMode="External"/><Relationship Id="rId1228" Type="http://schemas.openxmlformats.org/officeDocument/2006/relationships/hyperlink" Target="https://twitter.com/Pvalsfr" TargetMode="External"/><Relationship Id="rId2559" Type="http://schemas.openxmlformats.org/officeDocument/2006/relationships/hyperlink" Target="https://twitter.com/robbibt" TargetMode="External"/><Relationship Id="rId1229" Type="http://schemas.openxmlformats.org/officeDocument/2006/relationships/hyperlink" Target="https://twitter.com/Pvalsfr/status/701687560024805376" TargetMode="External"/><Relationship Id="rId3881" Type="http://schemas.openxmlformats.org/officeDocument/2006/relationships/hyperlink" Target="https://pbs.twimg.com/profile_images/2198946077/image_normal.jpg" TargetMode="External"/><Relationship Id="rId2550" Type="http://schemas.openxmlformats.org/officeDocument/2006/relationships/hyperlink" Target="https://twitter.com/tangming2005" TargetMode="External"/><Relationship Id="rId3880" Type="http://schemas.openxmlformats.org/officeDocument/2006/relationships/hyperlink" Target="https://twitter.com/timelyportfolio/status/702258045154254848" TargetMode="External"/><Relationship Id="rId1220" Type="http://schemas.openxmlformats.org/officeDocument/2006/relationships/hyperlink" Target="https://twitter.com/CRANberriesFeed/status/701681257613283328" TargetMode="External"/><Relationship Id="rId2551" Type="http://schemas.openxmlformats.org/officeDocument/2006/relationships/hyperlink" Target="https://twitter.com/tangming2005/status/701923085885186048" TargetMode="External"/><Relationship Id="rId3883" Type="http://schemas.openxmlformats.org/officeDocument/2006/relationships/hyperlink" Target="https://twitter.com/rob_choudhury/status/702258047897325568" TargetMode="External"/><Relationship Id="rId1221" Type="http://schemas.openxmlformats.org/officeDocument/2006/relationships/hyperlink" Target="https://pbs.twimg.com/profile_images/1222779560/cran1_normal.jpg" TargetMode="External"/><Relationship Id="rId2552" Type="http://schemas.openxmlformats.org/officeDocument/2006/relationships/hyperlink" Target="https://pbs.twimg.com/profile_images/442060405225967617/jOtd1ueH_normal.jpeg" TargetMode="External"/><Relationship Id="rId3882" Type="http://schemas.openxmlformats.org/officeDocument/2006/relationships/hyperlink" Target="https://twitter.com/rob_choudhury" TargetMode="External"/><Relationship Id="rId1222" Type="http://schemas.openxmlformats.org/officeDocument/2006/relationships/hyperlink" Target="https://twitter.com/CRANberriesFeed" TargetMode="External"/><Relationship Id="rId2553" Type="http://schemas.openxmlformats.org/officeDocument/2006/relationships/hyperlink" Target="https://twitter.com/DDEdwards_" TargetMode="External"/><Relationship Id="rId3885" Type="http://schemas.openxmlformats.org/officeDocument/2006/relationships/hyperlink" Target="https://twitter.com/DoubleDensity" TargetMode="External"/><Relationship Id="rId1223" Type="http://schemas.openxmlformats.org/officeDocument/2006/relationships/hyperlink" Target="https://twitter.com/CRANberriesFeed/status/701681283685031936" TargetMode="External"/><Relationship Id="rId2554" Type="http://schemas.openxmlformats.org/officeDocument/2006/relationships/hyperlink" Target="https://twitter.com/DDEdwards_/status/701926179243167748" TargetMode="External"/><Relationship Id="rId3884" Type="http://schemas.openxmlformats.org/officeDocument/2006/relationships/hyperlink" Target="https://pbs.twimg.com/profile_images/564943566011502592/aYh8DTdF_normal.jpeg" TargetMode="External"/><Relationship Id="rId2500" Type="http://schemas.openxmlformats.org/officeDocument/2006/relationships/hyperlink" Target="https://pbs.twimg.com/profile_images/477536523017928705/hra32-U5_normal.png" TargetMode="External"/><Relationship Id="rId3832" Type="http://schemas.openxmlformats.org/officeDocument/2006/relationships/hyperlink" Target="https://twitter.com/skilloak/status/702240287582584832" TargetMode="External"/><Relationship Id="rId2501" Type="http://schemas.openxmlformats.org/officeDocument/2006/relationships/hyperlink" Target="https://twitter.com/jon_framp" TargetMode="External"/><Relationship Id="rId3831" Type="http://schemas.openxmlformats.org/officeDocument/2006/relationships/hyperlink" Target="https://twitter.com/skilloak" TargetMode="External"/><Relationship Id="rId2502" Type="http://schemas.openxmlformats.org/officeDocument/2006/relationships/hyperlink" Target="https://twitter.com/jon_framp/status/701914081389735936" TargetMode="External"/><Relationship Id="rId3834" Type="http://schemas.openxmlformats.org/officeDocument/2006/relationships/hyperlink" Target="https://twitter.com/noe_delasancha" TargetMode="External"/><Relationship Id="rId2503" Type="http://schemas.openxmlformats.org/officeDocument/2006/relationships/hyperlink" Target="https://pbs.twimg.com/profile_images/640659801395953664/eHaEu0aT_normal.jpg" TargetMode="External"/><Relationship Id="rId3833" Type="http://schemas.openxmlformats.org/officeDocument/2006/relationships/hyperlink" Target="https://pbs.twimg.com/profile_images/670315479517413376/Kkf5JA8s_normal.png" TargetMode="External"/><Relationship Id="rId2504" Type="http://schemas.openxmlformats.org/officeDocument/2006/relationships/hyperlink" Target="https://twitter.com/imsanaw" TargetMode="External"/><Relationship Id="rId3836" Type="http://schemas.openxmlformats.org/officeDocument/2006/relationships/hyperlink" Target="https://pbs.twimg.com/profile_images/609891890062880769/wkHNkjsp_normal.jpg" TargetMode="External"/><Relationship Id="rId2505" Type="http://schemas.openxmlformats.org/officeDocument/2006/relationships/hyperlink" Target="https://twitter.com/imsanaw/status/701914374626103296" TargetMode="External"/><Relationship Id="rId3835" Type="http://schemas.openxmlformats.org/officeDocument/2006/relationships/hyperlink" Target="https://twitter.com/noe_delasancha/status/702242785601179648" TargetMode="External"/><Relationship Id="rId2506" Type="http://schemas.openxmlformats.org/officeDocument/2006/relationships/hyperlink" Target="https://pbs.twimg.com/profile_images/698582684931649537/xpFm__y9_normal.jpg" TargetMode="External"/><Relationship Id="rId3838" Type="http://schemas.openxmlformats.org/officeDocument/2006/relationships/hyperlink" Target="https://twitter.com/DataFinest/status/702243317120110593" TargetMode="External"/><Relationship Id="rId2507" Type="http://schemas.openxmlformats.org/officeDocument/2006/relationships/hyperlink" Target="https://twitter.com/frod_san" TargetMode="External"/><Relationship Id="rId3837" Type="http://schemas.openxmlformats.org/officeDocument/2006/relationships/hyperlink" Target="https://twitter.com/DataFinest" TargetMode="External"/><Relationship Id="rId2508" Type="http://schemas.openxmlformats.org/officeDocument/2006/relationships/hyperlink" Target="https://twitter.com/frod_san/status/701915708859531267" TargetMode="External"/><Relationship Id="rId2509" Type="http://schemas.openxmlformats.org/officeDocument/2006/relationships/hyperlink" Target="https://pbs.twimg.com/profile_images/2726771918/8eff91c8cabe7eb6736f0ca05c2d3ee4_normal.jpeg" TargetMode="External"/><Relationship Id="rId3839" Type="http://schemas.openxmlformats.org/officeDocument/2006/relationships/hyperlink" Target="https://pbs.twimg.com/profile_images/675225906173124609/xPlpeuKw_normal.png" TargetMode="External"/><Relationship Id="rId3830" Type="http://schemas.openxmlformats.org/officeDocument/2006/relationships/hyperlink" Target="https://pbs.twimg.com/profile_images/603687252263206912/8EwUo0wo_normal.jpg" TargetMode="External"/><Relationship Id="rId3821" Type="http://schemas.openxmlformats.org/officeDocument/2006/relationships/hyperlink" Target="https://pbs.twimg.com/profile_images/619893009077800960/BrkB-Apy_normal.jpg" TargetMode="External"/><Relationship Id="rId3820" Type="http://schemas.openxmlformats.org/officeDocument/2006/relationships/hyperlink" Target="https://twitter.com/eleafeit/status/702236976863428609" TargetMode="External"/><Relationship Id="rId3823" Type="http://schemas.openxmlformats.org/officeDocument/2006/relationships/hyperlink" Target="https://twitter.com/DataAndDataViz/status/702238779726290944" TargetMode="External"/><Relationship Id="rId3822" Type="http://schemas.openxmlformats.org/officeDocument/2006/relationships/hyperlink" Target="https://twitter.com/DataAndDataViz" TargetMode="External"/><Relationship Id="rId3825" Type="http://schemas.openxmlformats.org/officeDocument/2006/relationships/hyperlink" Target="https://twitter.com/Salt_and_Stats" TargetMode="External"/><Relationship Id="rId3824" Type="http://schemas.openxmlformats.org/officeDocument/2006/relationships/hyperlink" Target="https://pbs.twimg.com/profile_images/412249095110008832/J_K4--iQ_normal.png" TargetMode="External"/><Relationship Id="rId3827" Type="http://schemas.openxmlformats.org/officeDocument/2006/relationships/hyperlink" Target="https://pbs.twimg.com/profile_images/688776623617916928/xynwBUJy_normal.jpg" TargetMode="External"/><Relationship Id="rId3826" Type="http://schemas.openxmlformats.org/officeDocument/2006/relationships/hyperlink" Target="https://twitter.com/Salt_and_Stats/status/702239436956835840" TargetMode="External"/><Relationship Id="rId3829" Type="http://schemas.openxmlformats.org/officeDocument/2006/relationships/hyperlink" Target="https://twitter.com/Higgins_Daniell/status/702239902117797888" TargetMode="External"/><Relationship Id="rId3828" Type="http://schemas.openxmlformats.org/officeDocument/2006/relationships/hyperlink" Target="https://twitter.com/Higgins_Daniell" TargetMode="External"/><Relationship Id="rId6094" Type="http://schemas.openxmlformats.org/officeDocument/2006/relationships/hyperlink" Target="https://twitter.com/franjofernandez" TargetMode="External"/><Relationship Id="rId6095" Type="http://schemas.openxmlformats.org/officeDocument/2006/relationships/hyperlink" Target="https://twitter.com/franjofernandez/status/702675103600009217" TargetMode="External"/><Relationship Id="rId6092" Type="http://schemas.openxmlformats.org/officeDocument/2006/relationships/hyperlink" Target="https://twitter.com/homeAIinfo/status/702673167362478081" TargetMode="External"/><Relationship Id="rId6093" Type="http://schemas.openxmlformats.org/officeDocument/2006/relationships/hyperlink" Target="https://pbs.twimg.com/profile_images/645650110374936580/-oQakt8x_normal.png" TargetMode="External"/><Relationship Id="rId6098" Type="http://schemas.openxmlformats.org/officeDocument/2006/relationships/hyperlink" Target="https://twitter.com/BestCoursesEver/status/702675170339790848" TargetMode="External"/><Relationship Id="rId6099" Type="http://schemas.openxmlformats.org/officeDocument/2006/relationships/hyperlink" Target="https://pbs.twimg.com/profile_images/667834531123208192/UStoYX_o_normal.jpg" TargetMode="External"/><Relationship Id="rId6096" Type="http://schemas.openxmlformats.org/officeDocument/2006/relationships/hyperlink" Target="https://pbs.twimg.com/profile_images/1145384343/9dd123e8-3d2e-4482-9973-ca5176c8f735_normal.png" TargetMode="External"/><Relationship Id="rId6097" Type="http://schemas.openxmlformats.org/officeDocument/2006/relationships/hyperlink" Target="https://twitter.com/BestCoursesEver" TargetMode="External"/><Relationship Id="rId2522" Type="http://schemas.openxmlformats.org/officeDocument/2006/relationships/hyperlink" Target="https://twitter.com/kevin_ushey" TargetMode="External"/><Relationship Id="rId3854" Type="http://schemas.openxmlformats.org/officeDocument/2006/relationships/hyperlink" Target="https://pbs.twimg.com/profile_images/1554910841/tux_and_chicken_normal.jpg" TargetMode="External"/><Relationship Id="rId2523" Type="http://schemas.openxmlformats.org/officeDocument/2006/relationships/hyperlink" Target="https://twitter.com/kevin_ushey/status/701918165119307776" TargetMode="External"/><Relationship Id="rId3853" Type="http://schemas.openxmlformats.org/officeDocument/2006/relationships/hyperlink" Target="https://twitter.com/sidquan/status/702253733837582336" TargetMode="External"/><Relationship Id="rId2524" Type="http://schemas.openxmlformats.org/officeDocument/2006/relationships/hyperlink" Target="https://pbs.twimg.com/profile_images/480453401298223104/Ce3-EVYP_normal.jpeg" TargetMode="External"/><Relationship Id="rId3856" Type="http://schemas.openxmlformats.org/officeDocument/2006/relationships/hyperlink" Target="https://twitter.com/wabarree/status/702254606106099712" TargetMode="External"/><Relationship Id="rId2525" Type="http://schemas.openxmlformats.org/officeDocument/2006/relationships/hyperlink" Target="https://twitter.com/kevlbass1024" TargetMode="External"/><Relationship Id="rId3855" Type="http://schemas.openxmlformats.org/officeDocument/2006/relationships/hyperlink" Target="https://twitter.com/wabarree" TargetMode="External"/><Relationship Id="rId2526" Type="http://schemas.openxmlformats.org/officeDocument/2006/relationships/hyperlink" Target="https://twitter.com/kevlbass1024/status/701918762228961281" TargetMode="External"/><Relationship Id="rId3858" Type="http://schemas.openxmlformats.org/officeDocument/2006/relationships/hyperlink" Target="https://twitter.com/CRANberriesFeed" TargetMode="External"/><Relationship Id="rId2527" Type="http://schemas.openxmlformats.org/officeDocument/2006/relationships/hyperlink" Target="https://pbs.twimg.com/profile_images/682757887261818880/Q5--Prn6_normal.jpg" TargetMode="External"/><Relationship Id="rId3857" Type="http://schemas.openxmlformats.org/officeDocument/2006/relationships/hyperlink" Target="https://pbs.twimg.com/profile_images/3724489199/887c2d7f33bf14fc44e3ff5ba4b5bdcd_normal.jpeg" TargetMode="External"/><Relationship Id="rId2528" Type="http://schemas.openxmlformats.org/officeDocument/2006/relationships/hyperlink" Target="https://twitter.com/tthus" TargetMode="External"/><Relationship Id="rId2529" Type="http://schemas.openxmlformats.org/officeDocument/2006/relationships/hyperlink" Target="https://twitter.com/tthus/status/701919020715536385" TargetMode="External"/><Relationship Id="rId3859" Type="http://schemas.openxmlformats.org/officeDocument/2006/relationships/hyperlink" Target="https://twitter.com/CRANberriesFeed/status/702255010382483456" TargetMode="External"/><Relationship Id="rId3850" Type="http://schemas.openxmlformats.org/officeDocument/2006/relationships/hyperlink" Target="https://twitter.com/TiffanyTimbers/status/702253369683943425" TargetMode="External"/><Relationship Id="rId2520" Type="http://schemas.openxmlformats.org/officeDocument/2006/relationships/hyperlink" Target="https://twitter.com/cpsievert/status/701917625853476864" TargetMode="External"/><Relationship Id="rId3852" Type="http://schemas.openxmlformats.org/officeDocument/2006/relationships/hyperlink" Target="https://twitter.com/sidquan" TargetMode="External"/><Relationship Id="rId2521" Type="http://schemas.openxmlformats.org/officeDocument/2006/relationships/hyperlink" Target="https://pbs.twimg.com/profile_images/697646968969912320/CD5cPNPT_normal.jpg" TargetMode="External"/><Relationship Id="rId3851" Type="http://schemas.openxmlformats.org/officeDocument/2006/relationships/hyperlink" Target="https://pbs.twimg.com/profile_images/555037927210614786/h0Xxb-Vr_normal.jpeg" TargetMode="External"/><Relationship Id="rId2511" Type="http://schemas.openxmlformats.org/officeDocument/2006/relationships/hyperlink" Target="https://twitter.com/AntoViral/status/701915786814869504" TargetMode="External"/><Relationship Id="rId3843" Type="http://schemas.openxmlformats.org/officeDocument/2006/relationships/hyperlink" Target="https://twitter.com/mtn_ash" TargetMode="External"/><Relationship Id="rId2512" Type="http://schemas.openxmlformats.org/officeDocument/2006/relationships/hyperlink" Target="https://pbs.twimg.com/profile_images/378800000794889152/545ea4ed01fbb17969822e1ee9b0f3fa_normal.jpeg" TargetMode="External"/><Relationship Id="rId3842" Type="http://schemas.openxmlformats.org/officeDocument/2006/relationships/hyperlink" Target="https://pbs.twimg.com/profile_images/695667728963735553/Afz2sro2_normal.jpg" TargetMode="External"/><Relationship Id="rId2513" Type="http://schemas.openxmlformats.org/officeDocument/2006/relationships/hyperlink" Target="https://twitter.com/LovedeepSG" TargetMode="External"/><Relationship Id="rId3845" Type="http://schemas.openxmlformats.org/officeDocument/2006/relationships/hyperlink" Target="https://pbs.twimg.com/profile_images/683871788288196608/_S0g39DL_normal.jpg" TargetMode="External"/><Relationship Id="rId2514" Type="http://schemas.openxmlformats.org/officeDocument/2006/relationships/hyperlink" Target="https://twitter.com/LovedeepSG/status/701917182934913025" TargetMode="External"/><Relationship Id="rId3844" Type="http://schemas.openxmlformats.org/officeDocument/2006/relationships/hyperlink" Target="https://twitter.com/mtn_ash/status/702249984255614976" TargetMode="External"/><Relationship Id="rId2515" Type="http://schemas.openxmlformats.org/officeDocument/2006/relationships/hyperlink" Target="https://pbs.twimg.com/profile_images/378800000059126288/17d4fa184bbd13c1e64465a3cc234efc_normal.jpeg" TargetMode="External"/><Relationship Id="rId3847" Type="http://schemas.openxmlformats.org/officeDocument/2006/relationships/hyperlink" Target="https://twitter.com/noamross/status/702252976530919425" TargetMode="External"/><Relationship Id="rId2516" Type="http://schemas.openxmlformats.org/officeDocument/2006/relationships/hyperlink" Target="https://twitter.com/UTVilla" TargetMode="External"/><Relationship Id="rId3846" Type="http://schemas.openxmlformats.org/officeDocument/2006/relationships/hyperlink" Target="https://twitter.com/noamross" TargetMode="External"/><Relationship Id="rId2517" Type="http://schemas.openxmlformats.org/officeDocument/2006/relationships/hyperlink" Target="https://twitter.com/UTVilla/status/701917477920493573" TargetMode="External"/><Relationship Id="rId3849" Type="http://schemas.openxmlformats.org/officeDocument/2006/relationships/hyperlink" Target="https://twitter.com/TiffanyTimbers" TargetMode="External"/><Relationship Id="rId2518" Type="http://schemas.openxmlformats.org/officeDocument/2006/relationships/hyperlink" Target="https://pbs.twimg.com/profile_images/668955815521484804/AhqlNCRm_normal.jpg" TargetMode="External"/><Relationship Id="rId3848" Type="http://schemas.openxmlformats.org/officeDocument/2006/relationships/hyperlink" Target="https://pbs.twimg.com/profile_images/557246848625172481/n7rj_Ee4_normal.png" TargetMode="External"/><Relationship Id="rId2519" Type="http://schemas.openxmlformats.org/officeDocument/2006/relationships/hyperlink" Target="https://twitter.com/cpsievert" TargetMode="External"/><Relationship Id="rId3841" Type="http://schemas.openxmlformats.org/officeDocument/2006/relationships/hyperlink" Target="https://twitter.com/Gaming_Dude/status/702246299442266116" TargetMode="External"/><Relationship Id="rId2510" Type="http://schemas.openxmlformats.org/officeDocument/2006/relationships/hyperlink" Target="https://twitter.com/AntoViral" TargetMode="External"/><Relationship Id="rId3840" Type="http://schemas.openxmlformats.org/officeDocument/2006/relationships/hyperlink" Target="https://twitter.com/Gaming_Dude" TargetMode="External"/><Relationship Id="rId1290" Type="http://schemas.openxmlformats.org/officeDocument/2006/relationships/hyperlink" Target="https://twitter.com/MarcosMatabuena/status/701700483614961664" TargetMode="External"/><Relationship Id="rId1291" Type="http://schemas.openxmlformats.org/officeDocument/2006/relationships/hyperlink" Target="https://pbs.twimg.com/profile_images/378800000197513149/67cd42127a284a220161c1295a57b65f_normal.jpeg" TargetMode="External"/><Relationship Id="rId1292" Type="http://schemas.openxmlformats.org/officeDocument/2006/relationships/hyperlink" Target="https://twitter.com/MarcosMatabuena" TargetMode="External"/><Relationship Id="rId1293" Type="http://schemas.openxmlformats.org/officeDocument/2006/relationships/hyperlink" Target="https://twitter.com/MarcosMatabuena/status/701700497498107904" TargetMode="External"/><Relationship Id="rId1294" Type="http://schemas.openxmlformats.org/officeDocument/2006/relationships/hyperlink" Target="https://pbs.twimg.com/profile_images/378800000197513149/67cd42127a284a220161c1295a57b65f_normal.jpeg" TargetMode="External"/><Relationship Id="rId1295" Type="http://schemas.openxmlformats.org/officeDocument/2006/relationships/hyperlink" Target="https://twitter.com/MarcosMatabuena" TargetMode="External"/><Relationship Id="rId1296" Type="http://schemas.openxmlformats.org/officeDocument/2006/relationships/hyperlink" Target="https://twitter.com/MarcosMatabuena/status/701700526359052288" TargetMode="External"/><Relationship Id="rId1297" Type="http://schemas.openxmlformats.org/officeDocument/2006/relationships/hyperlink" Target="https://pbs.twimg.com/profile_images/378800000197513149/67cd42127a284a220161c1295a57b65f_normal.jpeg" TargetMode="External"/><Relationship Id="rId1298" Type="http://schemas.openxmlformats.org/officeDocument/2006/relationships/hyperlink" Target="https://twitter.com/MangoTheCat" TargetMode="External"/><Relationship Id="rId1299" Type="http://schemas.openxmlformats.org/officeDocument/2006/relationships/hyperlink" Target="https://twitter.com/MangoTheCat/status/701700963489284097" TargetMode="External"/><Relationship Id="rId1280" Type="http://schemas.openxmlformats.org/officeDocument/2006/relationships/hyperlink" Target="https://twitter.com/DaniRabaiotti" TargetMode="External"/><Relationship Id="rId1281" Type="http://schemas.openxmlformats.org/officeDocument/2006/relationships/hyperlink" Target="https://twitter.com/DaniRabaiotti/status/701698416930377728" TargetMode="External"/><Relationship Id="rId1282" Type="http://schemas.openxmlformats.org/officeDocument/2006/relationships/hyperlink" Target="https://pbs.twimg.com/profile_images/603534966597787648/WGUDFwmR_normal.jpg" TargetMode="External"/><Relationship Id="rId1283" Type="http://schemas.openxmlformats.org/officeDocument/2006/relationships/hyperlink" Target="https://twitter.com/QuartzBio" TargetMode="External"/><Relationship Id="rId1284" Type="http://schemas.openxmlformats.org/officeDocument/2006/relationships/hyperlink" Target="https://twitter.com/QuartzBio/status/701699496762327040" TargetMode="External"/><Relationship Id="rId1285" Type="http://schemas.openxmlformats.org/officeDocument/2006/relationships/hyperlink" Target="https://pbs.twimg.com/profile_images/569887063034458112/mYuZTMAg_normal.png" TargetMode="External"/><Relationship Id="rId1286" Type="http://schemas.openxmlformats.org/officeDocument/2006/relationships/hyperlink" Target="https://twitter.com/i_aldasoro" TargetMode="External"/><Relationship Id="rId1287" Type="http://schemas.openxmlformats.org/officeDocument/2006/relationships/hyperlink" Target="https://twitter.com/i_aldasoro/status/701700286126157824" TargetMode="External"/><Relationship Id="rId1288" Type="http://schemas.openxmlformats.org/officeDocument/2006/relationships/hyperlink" Target="https://pbs.twimg.com/profile_images/565226844476014592/E2fHpe_e_normal.jpeg" TargetMode="External"/><Relationship Id="rId1289" Type="http://schemas.openxmlformats.org/officeDocument/2006/relationships/hyperlink" Target="https://twitter.com/MarcosMatabuena" TargetMode="External"/><Relationship Id="rId8707" Type="http://schemas.openxmlformats.org/officeDocument/2006/relationships/hyperlink" Target="https://pbs.twimg.com/profile_images/652770622192287745/tHCGcol4_normal.jpg" TargetMode="External"/><Relationship Id="rId8706" Type="http://schemas.openxmlformats.org/officeDocument/2006/relationships/hyperlink" Target="https://twitter.com/vsatayamas/status/703215898862026753" TargetMode="External"/><Relationship Id="rId8705" Type="http://schemas.openxmlformats.org/officeDocument/2006/relationships/hyperlink" Target="https://twitter.com/vsatayamas" TargetMode="External"/><Relationship Id="rId8704" Type="http://schemas.openxmlformats.org/officeDocument/2006/relationships/hyperlink" Target="https://pbs.twimg.com/profile_images/573559088098902017/xB0RuMmX_normal.jpeg" TargetMode="External"/><Relationship Id="rId8709" Type="http://schemas.openxmlformats.org/officeDocument/2006/relationships/hyperlink" Target="https://twitter.com/ArturoErdely/status/703216705716092928" TargetMode="External"/><Relationship Id="rId8708" Type="http://schemas.openxmlformats.org/officeDocument/2006/relationships/hyperlink" Target="https://twitter.com/ArturoErdely" TargetMode="External"/><Relationship Id="rId8703" Type="http://schemas.openxmlformats.org/officeDocument/2006/relationships/hyperlink" Target="https://twitter.com/Naren_Legha/status/703215865349574657" TargetMode="External"/><Relationship Id="rId8702" Type="http://schemas.openxmlformats.org/officeDocument/2006/relationships/hyperlink" Target="https://twitter.com/Naren_Legha" TargetMode="External"/><Relationship Id="rId8701" Type="http://schemas.openxmlformats.org/officeDocument/2006/relationships/hyperlink" Target="https://pbs.twimg.com/profile_images/681200732347879424/HN6plj63_normal.png" TargetMode="External"/><Relationship Id="rId8700" Type="http://schemas.openxmlformats.org/officeDocument/2006/relationships/hyperlink" Target="https://twitter.com/chaquator/status/703215756498960385" TargetMode="External"/><Relationship Id="rId1257" Type="http://schemas.openxmlformats.org/officeDocument/2006/relationships/hyperlink" Target="https://twitter.com/CmRoycostilla/status/701694918402551809" TargetMode="External"/><Relationship Id="rId2588" Type="http://schemas.openxmlformats.org/officeDocument/2006/relationships/hyperlink" Target="https://pbs.twimg.com/profile_images/535539844479332354/CA9doTjY_normal.jpeg" TargetMode="External"/><Relationship Id="rId1258" Type="http://schemas.openxmlformats.org/officeDocument/2006/relationships/hyperlink" Target="https://pbs.twimg.com/profile_images/674172690849120256/_s6p8Xra_normal.jpg" TargetMode="External"/><Relationship Id="rId2589" Type="http://schemas.openxmlformats.org/officeDocument/2006/relationships/hyperlink" Target="https://twitter.com/ismael_vc" TargetMode="External"/><Relationship Id="rId1259" Type="http://schemas.openxmlformats.org/officeDocument/2006/relationships/hyperlink" Target="https://twitter.com/CmRoycostilla" TargetMode="External"/><Relationship Id="rId2580" Type="http://schemas.openxmlformats.org/officeDocument/2006/relationships/hyperlink" Target="https://twitter.com/rafmarcondes" TargetMode="External"/><Relationship Id="rId1250" Type="http://schemas.openxmlformats.org/officeDocument/2006/relationships/hyperlink" Target="https://twitter.com/lpszBar" TargetMode="External"/><Relationship Id="rId2581" Type="http://schemas.openxmlformats.org/officeDocument/2006/relationships/hyperlink" Target="https://twitter.com/rafmarcondes/status/701932417943101440" TargetMode="External"/><Relationship Id="rId1251" Type="http://schemas.openxmlformats.org/officeDocument/2006/relationships/hyperlink" Target="https://twitter.com/lpszBar/status/701693241486397440" TargetMode="External"/><Relationship Id="rId2582" Type="http://schemas.openxmlformats.org/officeDocument/2006/relationships/hyperlink" Target="https://pbs.twimg.com/profile_images/609791515410477056/agcTkECv_normal.jpg" TargetMode="External"/><Relationship Id="rId1252" Type="http://schemas.openxmlformats.org/officeDocument/2006/relationships/hyperlink" Target="https://pbs.twimg.com/profile_images/670502966420443136/_nV0_x7d_normal.jpg" TargetMode="External"/><Relationship Id="rId2583" Type="http://schemas.openxmlformats.org/officeDocument/2006/relationships/hyperlink" Target="https://twitter.com/mariacdangelo" TargetMode="External"/><Relationship Id="rId1253" Type="http://schemas.openxmlformats.org/officeDocument/2006/relationships/hyperlink" Target="https://twitter.com/MangoTheCat" TargetMode="External"/><Relationship Id="rId2584" Type="http://schemas.openxmlformats.org/officeDocument/2006/relationships/hyperlink" Target="https://twitter.com/mariacdangelo/status/701934650462248964" TargetMode="External"/><Relationship Id="rId1254" Type="http://schemas.openxmlformats.org/officeDocument/2006/relationships/hyperlink" Target="https://twitter.com/MangoTheCat/status/701693917096337408" TargetMode="External"/><Relationship Id="rId2585" Type="http://schemas.openxmlformats.org/officeDocument/2006/relationships/hyperlink" Target="https://pbs.twimg.com/profile_images/697575915430268928/XyVBRxw4_normal.jpg" TargetMode="External"/><Relationship Id="rId1255" Type="http://schemas.openxmlformats.org/officeDocument/2006/relationships/hyperlink" Target="https://pbs.twimg.com/profile_images/641183991077445633/V7VcBpJI_normal.png" TargetMode="External"/><Relationship Id="rId2586" Type="http://schemas.openxmlformats.org/officeDocument/2006/relationships/hyperlink" Target="https://twitter.com/kyle_e_walker" TargetMode="External"/><Relationship Id="rId1256" Type="http://schemas.openxmlformats.org/officeDocument/2006/relationships/hyperlink" Target="https://twitter.com/CmRoycostilla" TargetMode="External"/><Relationship Id="rId2587" Type="http://schemas.openxmlformats.org/officeDocument/2006/relationships/hyperlink" Target="https://twitter.com/kyle_e_walker/status/701934737036746753" TargetMode="External"/><Relationship Id="rId1246" Type="http://schemas.openxmlformats.org/officeDocument/2006/relationships/hyperlink" Target="https://pbs.twimg.com/profile_images/503460551637233664/oFBLnEWw_normal.jpeg" TargetMode="External"/><Relationship Id="rId2577" Type="http://schemas.openxmlformats.org/officeDocument/2006/relationships/hyperlink" Target="https://twitter.com/bluelight_mike" TargetMode="External"/><Relationship Id="rId1247" Type="http://schemas.openxmlformats.org/officeDocument/2006/relationships/hyperlink" Target="https://twitter.com/CapeRUser" TargetMode="External"/><Relationship Id="rId2578" Type="http://schemas.openxmlformats.org/officeDocument/2006/relationships/hyperlink" Target="https://twitter.com/bluelight_mike/status/701928790562222080" TargetMode="External"/><Relationship Id="rId1248" Type="http://schemas.openxmlformats.org/officeDocument/2006/relationships/hyperlink" Target="https://twitter.com/CapeRUser/status/701690969297707009" TargetMode="External"/><Relationship Id="rId2579" Type="http://schemas.openxmlformats.org/officeDocument/2006/relationships/hyperlink" Target="https://pbs.twimg.com/profile_images/3011474931/1f93819592dc7b55ce796583fb4510db_normal.jpeg" TargetMode="External"/><Relationship Id="rId1249" Type="http://schemas.openxmlformats.org/officeDocument/2006/relationships/hyperlink" Target="https://pbs.twimg.com/profile_images/542639398081138689/XxKn1Cmu_normal.png" TargetMode="External"/><Relationship Id="rId2570" Type="http://schemas.openxmlformats.org/officeDocument/2006/relationships/hyperlink" Target="https://pbs.twimg.com/profile_images/628062474491670529/KOOABG9v_normal.jpg" TargetMode="External"/><Relationship Id="rId1240" Type="http://schemas.openxmlformats.org/officeDocument/2006/relationships/hyperlink" Target="https://twitter.com/dasaptaerwin" TargetMode="External"/><Relationship Id="rId2571" Type="http://schemas.openxmlformats.org/officeDocument/2006/relationships/hyperlink" Target="https://twitter.com/ucfagls" TargetMode="External"/><Relationship Id="rId1241" Type="http://schemas.openxmlformats.org/officeDocument/2006/relationships/hyperlink" Target="https://twitter.com/dasaptaerwin/status/701690050837291008" TargetMode="External"/><Relationship Id="rId2572" Type="http://schemas.openxmlformats.org/officeDocument/2006/relationships/hyperlink" Target="https://twitter.com/ucfagls/status/701928176625123329" TargetMode="External"/><Relationship Id="rId1242" Type="http://schemas.openxmlformats.org/officeDocument/2006/relationships/hyperlink" Target="http://orcid.org/0000-0002-1526-0863" TargetMode="External"/><Relationship Id="rId2573" Type="http://schemas.openxmlformats.org/officeDocument/2006/relationships/hyperlink" Target="https://pbs.twimg.com/profile_images/564871970454401024/omH5A6W0_normal.png" TargetMode="External"/><Relationship Id="rId1243" Type="http://schemas.openxmlformats.org/officeDocument/2006/relationships/hyperlink" Target="https://pbs.twimg.com/profile_images/695959239957688320/MJ4p8POC_normal.jpg" TargetMode="External"/><Relationship Id="rId2574" Type="http://schemas.openxmlformats.org/officeDocument/2006/relationships/hyperlink" Target="https://twitter.com/aindap" TargetMode="External"/><Relationship Id="rId1244" Type="http://schemas.openxmlformats.org/officeDocument/2006/relationships/hyperlink" Target="https://twitter.com/TAT_ITB" TargetMode="External"/><Relationship Id="rId2575" Type="http://schemas.openxmlformats.org/officeDocument/2006/relationships/hyperlink" Target="https://twitter.com/aindap/status/701928323442585600" TargetMode="External"/><Relationship Id="rId1245" Type="http://schemas.openxmlformats.org/officeDocument/2006/relationships/hyperlink" Target="https://twitter.com/TAT_ITB/status/701690645493084161" TargetMode="External"/><Relationship Id="rId2576" Type="http://schemas.openxmlformats.org/officeDocument/2006/relationships/hyperlink" Target="https://pbs.twimg.com/profile_images/64626261/tiger_normal.jpeg" TargetMode="External"/><Relationship Id="rId1279" Type="http://schemas.openxmlformats.org/officeDocument/2006/relationships/hyperlink" Target="https://pbs.twimg.com/profile_images/696226577386852352/yseUYL_3_normal.jpg" TargetMode="External"/><Relationship Id="rId1270" Type="http://schemas.openxmlformats.org/officeDocument/2006/relationships/hyperlink" Target="https://pbs.twimg.com/profile_images/686570859587190784/ceX6tp6o_normal.jpg" TargetMode="External"/><Relationship Id="rId1271" Type="http://schemas.openxmlformats.org/officeDocument/2006/relationships/hyperlink" Target="https://twitter.com/yodacomplex" TargetMode="External"/><Relationship Id="rId1272" Type="http://schemas.openxmlformats.org/officeDocument/2006/relationships/hyperlink" Target="https://twitter.com/yodacomplex/status/701697289207816192" TargetMode="External"/><Relationship Id="rId1273" Type="http://schemas.openxmlformats.org/officeDocument/2006/relationships/hyperlink" Target="https://pbs.twimg.com/profile_images/666986454225154048/UR-LOD3R_normal.jpg" TargetMode="External"/><Relationship Id="rId1274" Type="http://schemas.openxmlformats.org/officeDocument/2006/relationships/hyperlink" Target="https://twitter.com/neilcharles_uk" TargetMode="External"/><Relationship Id="rId1275" Type="http://schemas.openxmlformats.org/officeDocument/2006/relationships/hyperlink" Target="https://twitter.com/neilcharles_uk/status/701697538097881089" TargetMode="External"/><Relationship Id="rId1276" Type="http://schemas.openxmlformats.org/officeDocument/2006/relationships/hyperlink" Target="https://pbs.twimg.com/profile_images/1598054225/sunset_normal.jpg" TargetMode="External"/><Relationship Id="rId1277" Type="http://schemas.openxmlformats.org/officeDocument/2006/relationships/hyperlink" Target="https://twitter.com/openmylab" TargetMode="External"/><Relationship Id="rId1278" Type="http://schemas.openxmlformats.org/officeDocument/2006/relationships/hyperlink" Target="https://twitter.com/openmylab/status/701698378845958144" TargetMode="External"/><Relationship Id="rId1268" Type="http://schemas.openxmlformats.org/officeDocument/2006/relationships/hyperlink" Target="https://twitter.com/ittookten" TargetMode="External"/><Relationship Id="rId2599" Type="http://schemas.openxmlformats.org/officeDocument/2006/relationships/hyperlink" Target="https://twitter.com/DataWookie/status/701936546232946688" TargetMode="External"/><Relationship Id="rId1269" Type="http://schemas.openxmlformats.org/officeDocument/2006/relationships/hyperlink" Target="https://twitter.com/ittookten/status/701697098358591488" TargetMode="External"/><Relationship Id="rId2590" Type="http://schemas.openxmlformats.org/officeDocument/2006/relationships/hyperlink" Target="https://twitter.com/ismael_vc/status/701935542301134848" TargetMode="External"/><Relationship Id="rId1260" Type="http://schemas.openxmlformats.org/officeDocument/2006/relationships/hyperlink" Target="https://twitter.com/CmRoycostilla/status/701694935146168320" TargetMode="External"/><Relationship Id="rId2591" Type="http://schemas.openxmlformats.org/officeDocument/2006/relationships/hyperlink" Target="https://pbs.twimg.com/profile_images/643074023430057984/Oh7q-TYL_normal.jpg" TargetMode="External"/><Relationship Id="rId1261" Type="http://schemas.openxmlformats.org/officeDocument/2006/relationships/hyperlink" Target="https://pbs.twimg.com/profile_images/674172690849120256/_s6p8Xra_normal.jpg" TargetMode="External"/><Relationship Id="rId2592" Type="http://schemas.openxmlformats.org/officeDocument/2006/relationships/hyperlink" Target="https://twitter.com/JuliaLangsEs" TargetMode="External"/><Relationship Id="rId1262" Type="http://schemas.openxmlformats.org/officeDocument/2006/relationships/hyperlink" Target="https://twitter.com/openmylab" TargetMode="External"/><Relationship Id="rId2593" Type="http://schemas.openxmlformats.org/officeDocument/2006/relationships/hyperlink" Target="https://twitter.com/JuliaLangsEs/status/701935542330523649" TargetMode="External"/><Relationship Id="rId1263" Type="http://schemas.openxmlformats.org/officeDocument/2006/relationships/hyperlink" Target="https://twitter.com/openmylab/status/701695776024432640" TargetMode="External"/><Relationship Id="rId2594" Type="http://schemas.openxmlformats.org/officeDocument/2006/relationships/hyperlink" Target="https://pbs.twimg.com/profile_images/613456073979092992/1Bd3LSz1_normal.png" TargetMode="External"/><Relationship Id="rId1264" Type="http://schemas.openxmlformats.org/officeDocument/2006/relationships/hyperlink" Target="https://pbs.twimg.com/profile_images/696226577386852352/yseUYL_3_normal.jpg" TargetMode="External"/><Relationship Id="rId2595" Type="http://schemas.openxmlformats.org/officeDocument/2006/relationships/hyperlink" Target="https://twitter.com/JuliaLanguage" TargetMode="External"/><Relationship Id="rId1265" Type="http://schemas.openxmlformats.org/officeDocument/2006/relationships/hyperlink" Target="https://twitter.com/MangoTheCat" TargetMode="External"/><Relationship Id="rId2596" Type="http://schemas.openxmlformats.org/officeDocument/2006/relationships/hyperlink" Target="https://twitter.com/JuliaLanguage/status/701935542364086272" TargetMode="External"/><Relationship Id="rId1266" Type="http://schemas.openxmlformats.org/officeDocument/2006/relationships/hyperlink" Target="https://twitter.com/MangoTheCat/status/701696181965975552" TargetMode="External"/><Relationship Id="rId2597" Type="http://schemas.openxmlformats.org/officeDocument/2006/relationships/hyperlink" Target="https://pbs.twimg.com/profile_images/3331406046/647b7cf75cb5662b96901bc521968e94_normal.png" TargetMode="External"/><Relationship Id="rId1267" Type="http://schemas.openxmlformats.org/officeDocument/2006/relationships/hyperlink" Target="https://pbs.twimg.com/profile_images/641183991077445633/V7VcBpJI_normal.png" TargetMode="External"/><Relationship Id="rId2598" Type="http://schemas.openxmlformats.org/officeDocument/2006/relationships/hyperlink" Target="https://twitter.com/DataWookie" TargetMode="External"/><Relationship Id="rId3070" Type="http://schemas.openxmlformats.org/officeDocument/2006/relationships/hyperlink" Target="https://twitter.com/AdiePrestone/status/702084115932258304" TargetMode="External"/><Relationship Id="rId3072" Type="http://schemas.openxmlformats.org/officeDocument/2006/relationships/hyperlink" Target="https://twitter.com/BraisLY" TargetMode="External"/><Relationship Id="rId3071" Type="http://schemas.openxmlformats.org/officeDocument/2006/relationships/hyperlink" Target="https://pbs.twimg.com/profile_images/685318018793127936/9LH8YuIT_normal.jpg" TargetMode="External"/><Relationship Id="rId3074" Type="http://schemas.openxmlformats.org/officeDocument/2006/relationships/hyperlink" Target="https://pbs.twimg.com/profile_images/652426862669529089/RTQDvAkw_normal.jpg" TargetMode="External"/><Relationship Id="rId3073" Type="http://schemas.openxmlformats.org/officeDocument/2006/relationships/hyperlink" Target="https://twitter.com/BraisLY/status/702084469235306496" TargetMode="External"/><Relationship Id="rId3076" Type="http://schemas.openxmlformats.org/officeDocument/2006/relationships/hyperlink" Target="https://twitter.com/teouchanalytics/status/702084646293483522" TargetMode="External"/><Relationship Id="rId3075" Type="http://schemas.openxmlformats.org/officeDocument/2006/relationships/hyperlink" Target="https://twitter.com/teouchanalytics" TargetMode="External"/><Relationship Id="rId3078" Type="http://schemas.openxmlformats.org/officeDocument/2006/relationships/hyperlink" Target="https://pbs.twimg.com/profile_images/686710663998091264/YxkX3uYh_normal.png" TargetMode="External"/><Relationship Id="rId3077" Type="http://schemas.openxmlformats.org/officeDocument/2006/relationships/hyperlink" Target="http://WordPress.com" TargetMode="External"/><Relationship Id="rId3079" Type="http://schemas.openxmlformats.org/officeDocument/2006/relationships/hyperlink" Target="https://twitter.com/MatterOfStats" TargetMode="External"/><Relationship Id="rId4390" Type="http://schemas.openxmlformats.org/officeDocument/2006/relationships/hyperlink" Target="https://pbs.twimg.com/profile_images/552210985927184384/tMweZxK4_normal.jpeg" TargetMode="External"/><Relationship Id="rId3061" Type="http://schemas.openxmlformats.org/officeDocument/2006/relationships/hyperlink" Target="https://twitter.com/earlconf/status/702080715974844416" TargetMode="External"/><Relationship Id="rId4392" Type="http://schemas.openxmlformats.org/officeDocument/2006/relationships/hyperlink" Target="https://twitter.com/TrevorABranch/status/702372010953936896" TargetMode="External"/><Relationship Id="rId3060" Type="http://schemas.openxmlformats.org/officeDocument/2006/relationships/hyperlink" Target="https://twitter.com/earlconf" TargetMode="External"/><Relationship Id="rId4391" Type="http://schemas.openxmlformats.org/officeDocument/2006/relationships/hyperlink" Target="https://twitter.com/TrevorABranch" TargetMode="External"/><Relationship Id="rId3063" Type="http://schemas.openxmlformats.org/officeDocument/2006/relationships/hyperlink" Target="https://twitter.com/kamromero" TargetMode="External"/><Relationship Id="rId4394" Type="http://schemas.openxmlformats.org/officeDocument/2006/relationships/hyperlink" Target="https://twitter.com/BawnMatt" TargetMode="External"/><Relationship Id="rId3062" Type="http://schemas.openxmlformats.org/officeDocument/2006/relationships/hyperlink" Target="https://pbs.twimg.com/profile_images/432298122203512833/YDXfWlI__normal.png" TargetMode="External"/><Relationship Id="rId4393" Type="http://schemas.openxmlformats.org/officeDocument/2006/relationships/hyperlink" Target="https://pbs.twimg.com/profile_images/492544507590631424/2kbSxpKS_normal.png" TargetMode="External"/><Relationship Id="rId3065" Type="http://schemas.openxmlformats.org/officeDocument/2006/relationships/hyperlink" Target="https://pbs.twimg.com/profile_images/460840518440599552/Vdfjg8tJ_normal.png" TargetMode="External"/><Relationship Id="rId4396" Type="http://schemas.openxmlformats.org/officeDocument/2006/relationships/hyperlink" Target="https://pbs.twimg.com/profile_images/462772097593245696/Cr6fAyMs_normal.jpeg" TargetMode="External"/><Relationship Id="rId3064" Type="http://schemas.openxmlformats.org/officeDocument/2006/relationships/hyperlink" Target="https://twitter.com/kamromero/status/702080872049147904" TargetMode="External"/><Relationship Id="rId4395" Type="http://schemas.openxmlformats.org/officeDocument/2006/relationships/hyperlink" Target="https://twitter.com/BawnMatt/status/702372305750630400" TargetMode="External"/><Relationship Id="rId3067" Type="http://schemas.openxmlformats.org/officeDocument/2006/relationships/hyperlink" Target="https://twitter.com/ccwang002/status/702082990294175744" TargetMode="External"/><Relationship Id="rId4398" Type="http://schemas.openxmlformats.org/officeDocument/2006/relationships/hyperlink" Target="https://twitter.com/BawnMatt/status/702372429226778627" TargetMode="External"/><Relationship Id="rId3066" Type="http://schemas.openxmlformats.org/officeDocument/2006/relationships/hyperlink" Target="https://twitter.com/ccwang002" TargetMode="External"/><Relationship Id="rId4397" Type="http://schemas.openxmlformats.org/officeDocument/2006/relationships/hyperlink" Target="https://twitter.com/BawnMatt" TargetMode="External"/><Relationship Id="rId3069" Type="http://schemas.openxmlformats.org/officeDocument/2006/relationships/hyperlink" Target="https://twitter.com/AdiePrestone" TargetMode="External"/><Relationship Id="rId3068" Type="http://schemas.openxmlformats.org/officeDocument/2006/relationships/hyperlink" Target="https://pbs.twimg.com/profile_images/679184573712896000/kZOMDlxp_normal.jpg" TargetMode="External"/><Relationship Id="rId4399" Type="http://schemas.openxmlformats.org/officeDocument/2006/relationships/hyperlink" Target="https://pbs.twimg.com/profile_images/462772097593245696/Cr6fAyMs_normal.jpeg" TargetMode="External"/><Relationship Id="rId3090" Type="http://schemas.openxmlformats.org/officeDocument/2006/relationships/hyperlink" Target="https://pbs.twimg.com/profile_images/674225403163209728/cWJpgB_r_normal.jpg" TargetMode="External"/><Relationship Id="rId3092" Type="http://schemas.openxmlformats.org/officeDocument/2006/relationships/hyperlink" Target="https://twitter.com/dselvan0v/status/702087885424615424" TargetMode="External"/><Relationship Id="rId3091" Type="http://schemas.openxmlformats.org/officeDocument/2006/relationships/hyperlink" Target="https://twitter.com/dselvan0v" TargetMode="External"/><Relationship Id="rId3094" Type="http://schemas.openxmlformats.org/officeDocument/2006/relationships/hyperlink" Target="https://twitter.com/eugeneteo" TargetMode="External"/><Relationship Id="rId3093" Type="http://schemas.openxmlformats.org/officeDocument/2006/relationships/hyperlink" Target="https://pbs.twimg.com/profile_images/688966800286023681/8IHrkVU3_normal.jpg" TargetMode="External"/><Relationship Id="rId3096" Type="http://schemas.openxmlformats.org/officeDocument/2006/relationships/hyperlink" Target="https://pbs.twimg.com/profile_images/647405477337296898/jFBnGT7w_normal.png" TargetMode="External"/><Relationship Id="rId3095" Type="http://schemas.openxmlformats.org/officeDocument/2006/relationships/hyperlink" Target="https://twitter.com/eugeneteo/status/702088977168224261" TargetMode="External"/><Relationship Id="rId3098" Type="http://schemas.openxmlformats.org/officeDocument/2006/relationships/hyperlink" Target="https://twitter.com/DataAndDataViz/status/702089195024740352" TargetMode="External"/><Relationship Id="rId3097" Type="http://schemas.openxmlformats.org/officeDocument/2006/relationships/hyperlink" Target="https://twitter.com/DataAndDataViz" TargetMode="External"/><Relationship Id="rId3099" Type="http://schemas.openxmlformats.org/officeDocument/2006/relationships/hyperlink" Target="https://pbs.twimg.com/profile_images/412249095110008832/J_K4--iQ_normal.png" TargetMode="External"/><Relationship Id="rId3081" Type="http://schemas.openxmlformats.org/officeDocument/2006/relationships/hyperlink" Target="https://pbs.twimg.com/profile_images/696166373001527296/99seDXAu_normal.png" TargetMode="External"/><Relationship Id="rId3080" Type="http://schemas.openxmlformats.org/officeDocument/2006/relationships/hyperlink" Target="https://twitter.com/MatterOfStats/status/702084950137315328" TargetMode="External"/><Relationship Id="rId3083" Type="http://schemas.openxmlformats.org/officeDocument/2006/relationships/hyperlink" Target="https://twitter.com/derm_mcm/status/702086173783695360" TargetMode="External"/><Relationship Id="rId3082" Type="http://schemas.openxmlformats.org/officeDocument/2006/relationships/hyperlink" Target="https://twitter.com/derm_mcm" TargetMode="External"/><Relationship Id="rId3085" Type="http://schemas.openxmlformats.org/officeDocument/2006/relationships/hyperlink" Target="https://twitter.com/v_agan" TargetMode="External"/><Relationship Id="rId3084" Type="http://schemas.openxmlformats.org/officeDocument/2006/relationships/hyperlink" Target="https://pbs.twimg.com/profile_images/631024137344040960/UIDjg8zB_normal.jpg" TargetMode="External"/><Relationship Id="rId3087" Type="http://schemas.openxmlformats.org/officeDocument/2006/relationships/hyperlink" Target="https://pbs.twimg.com/profile_images/696336893907177472/xD5DSobD_normal.jpg" TargetMode="External"/><Relationship Id="rId3086" Type="http://schemas.openxmlformats.org/officeDocument/2006/relationships/hyperlink" Target="https://twitter.com/v_agan/status/702086300648738817" TargetMode="External"/><Relationship Id="rId3089" Type="http://schemas.openxmlformats.org/officeDocument/2006/relationships/hyperlink" Target="https://twitter.com/adTominem/status/702087675092852736" TargetMode="External"/><Relationship Id="rId3088" Type="http://schemas.openxmlformats.org/officeDocument/2006/relationships/hyperlink" Target="https://twitter.com/adTominem" TargetMode="External"/><Relationship Id="rId3039" Type="http://schemas.openxmlformats.org/officeDocument/2006/relationships/hyperlink" Target="https://twitter.com/reshamas" TargetMode="External"/><Relationship Id="rId5691" Type="http://schemas.openxmlformats.org/officeDocument/2006/relationships/hyperlink" Target="https://pbs.twimg.com/profile_images/526695509356838912/eSvsHAD7_normal.jpeg" TargetMode="External"/><Relationship Id="rId5692" Type="http://schemas.openxmlformats.org/officeDocument/2006/relationships/hyperlink" Target="https://twitter.com/Pvalsfr" TargetMode="External"/><Relationship Id="rId3030" Type="http://schemas.openxmlformats.org/officeDocument/2006/relationships/hyperlink" Target="https://twitter.com/CRANberriesFeed" TargetMode="External"/><Relationship Id="rId4361" Type="http://schemas.openxmlformats.org/officeDocument/2006/relationships/hyperlink" Target="https://twitter.com/monsoontrader" TargetMode="External"/><Relationship Id="rId4360" Type="http://schemas.openxmlformats.org/officeDocument/2006/relationships/hyperlink" Target="https://pbs.twimg.com/profile_images/496140186871672832/BQsbGNwS_normal.jpeg" TargetMode="External"/><Relationship Id="rId5690" Type="http://schemas.openxmlformats.org/officeDocument/2006/relationships/hyperlink" Target="https://twitter.com/Sheffield_R_/status/702606513857232896" TargetMode="External"/><Relationship Id="rId3032" Type="http://schemas.openxmlformats.org/officeDocument/2006/relationships/hyperlink" Target="https://pbs.twimg.com/profile_images/1222779560/cran1_normal.jpg" TargetMode="External"/><Relationship Id="rId4363" Type="http://schemas.openxmlformats.org/officeDocument/2006/relationships/hyperlink" Target="https://pbs.twimg.com/profile_images/669283346413916161/jH8A_2hk_normal.jpg" TargetMode="External"/><Relationship Id="rId5695" Type="http://schemas.openxmlformats.org/officeDocument/2006/relationships/hyperlink" Target="https://twitter.com/Pvalsfr" TargetMode="External"/><Relationship Id="rId3031" Type="http://schemas.openxmlformats.org/officeDocument/2006/relationships/hyperlink" Target="https://twitter.com/CRANberriesFeed/status/702073880953929729" TargetMode="External"/><Relationship Id="rId4362" Type="http://schemas.openxmlformats.org/officeDocument/2006/relationships/hyperlink" Target="https://twitter.com/monsoontrader/status/702352342339993600" TargetMode="External"/><Relationship Id="rId5696" Type="http://schemas.openxmlformats.org/officeDocument/2006/relationships/hyperlink" Target="https://twitter.com/Pvalsfr/status/702606924991369216" TargetMode="External"/><Relationship Id="rId3034" Type="http://schemas.openxmlformats.org/officeDocument/2006/relationships/hyperlink" Target="https://twitter.com/valuencedata/status/702074598595162112" TargetMode="External"/><Relationship Id="rId4365" Type="http://schemas.openxmlformats.org/officeDocument/2006/relationships/hyperlink" Target="https://twitter.com/hungryhoser/status/702356344939094016" TargetMode="External"/><Relationship Id="rId5693" Type="http://schemas.openxmlformats.org/officeDocument/2006/relationships/hyperlink" Target="https://twitter.com/Pvalsfr/status/702606906469257216" TargetMode="External"/><Relationship Id="rId3033" Type="http://schemas.openxmlformats.org/officeDocument/2006/relationships/hyperlink" Target="https://twitter.com/valuencedata" TargetMode="External"/><Relationship Id="rId4364" Type="http://schemas.openxmlformats.org/officeDocument/2006/relationships/hyperlink" Target="https://twitter.com/hungryhoser" TargetMode="External"/><Relationship Id="rId5694" Type="http://schemas.openxmlformats.org/officeDocument/2006/relationships/hyperlink" Target="https://abs.twimg.com/sticky/default_profile_images/default_profile_4_normal.png" TargetMode="External"/><Relationship Id="rId3036" Type="http://schemas.openxmlformats.org/officeDocument/2006/relationships/hyperlink" Target="https://twitter.com/sinhrks" TargetMode="External"/><Relationship Id="rId4367" Type="http://schemas.openxmlformats.org/officeDocument/2006/relationships/hyperlink" Target="https://twitter.com/JBerdahl" TargetMode="External"/><Relationship Id="rId5699" Type="http://schemas.openxmlformats.org/officeDocument/2006/relationships/hyperlink" Target="https://twitter.com/Pvalsfr/status/702607375895756801" TargetMode="External"/><Relationship Id="rId3035" Type="http://schemas.openxmlformats.org/officeDocument/2006/relationships/hyperlink" Target="https://pbs.twimg.com/profile_images/702083248428462082/0Mq5se3W_normal.png" TargetMode="External"/><Relationship Id="rId4366" Type="http://schemas.openxmlformats.org/officeDocument/2006/relationships/hyperlink" Target="https://pbs.twimg.com/profile_images/584154026469654529/oAWN3Sd__normal.jpg" TargetMode="External"/><Relationship Id="rId3038" Type="http://schemas.openxmlformats.org/officeDocument/2006/relationships/hyperlink" Target="https://pbs.twimg.com/profile_images/523300286975057920/Vy-Z9DPz_normal.jpeg" TargetMode="External"/><Relationship Id="rId4369" Type="http://schemas.openxmlformats.org/officeDocument/2006/relationships/hyperlink" Target="https://pbs.twimg.com/profile_images/545452455794708480/GHpnpC-F_normal.jpeg" TargetMode="External"/><Relationship Id="rId5697" Type="http://schemas.openxmlformats.org/officeDocument/2006/relationships/hyperlink" Target="https://abs.twimg.com/sticky/default_profile_images/default_profile_4_normal.png" TargetMode="External"/><Relationship Id="rId3037" Type="http://schemas.openxmlformats.org/officeDocument/2006/relationships/hyperlink" Target="https://twitter.com/sinhrks/status/702075085780168705" TargetMode="External"/><Relationship Id="rId4368" Type="http://schemas.openxmlformats.org/officeDocument/2006/relationships/hyperlink" Target="https://twitter.com/JBerdahl/status/702358293424033794" TargetMode="External"/><Relationship Id="rId5698" Type="http://schemas.openxmlformats.org/officeDocument/2006/relationships/hyperlink" Target="https://twitter.com/Pvalsfr" TargetMode="External"/><Relationship Id="rId3029" Type="http://schemas.openxmlformats.org/officeDocument/2006/relationships/hyperlink" Target="https://pbs.twimg.com/profile_images/668389812722900992/9wzAOLHg_normal.jpg" TargetMode="External"/><Relationship Id="rId3028" Type="http://schemas.openxmlformats.org/officeDocument/2006/relationships/hyperlink" Target="https://twitter.com/c_iantosca/status/702073653991776256" TargetMode="External"/><Relationship Id="rId4359" Type="http://schemas.openxmlformats.org/officeDocument/2006/relationships/hyperlink" Target="https://twitter.com/tahirenesgedik/status/702352331929681921" TargetMode="External"/><Relationship Id="rId5680" Type="http://schemas.openxmlformats.org/officeDocument/2006/relationships/hyperlink" Target="https://twitter.com/renato_umeton" TargetMode="External"/><Relationship Id="rId5681" Type="http://schemas.openxmlformats.org/officeDocument/2006/relationships/hyperlink" Target="https://twitter.com/renato_umeton/status/702605142307303424" TargetMode="External"/><Relationship Id="rId4350" Type="http://schemas.openxmlformats.org/officeDocument/2006/relationships/hyperlink" Target="https://twitter.com/artemklevtsov/status/702350977064636416" TargetMode="External"/><Relationship Id="rId3021" Type="http://schemas.openxmlformats.org/officeDocument/2006/relationships/hyperlink" Target="https://twitter.com/homeAIinfo" TargetMode="External"/><Relationship Id="rId4352" Type="http://schemas.openxmlformats.org/officeDocument/2006/relationships/hyperlink" Target="https://twitter.com/AndrewBaidu" TargetMode="External"/><Relationship Id="rId5684" Type="http://schemas.openxmlformats.org/officeDocument/2006/relationships/hyperlink" Target="https://twitter.com/AlmeriaRUsers/status/702605817145647104" TargetMode="External"/><Relationship Id="rId3020" Type="http://schemas.openxmlformats.org/officeDocument/2006/relationships/hyperlink" Target="https://pbs.twimg.com/profile_images/432298122203512833/YDXfWlI__normal.png" TargetMode="External"/><Relationship Id="rId4351" Type="http://schemas.openxmlformats.org/officeDocument/2006/relationships/hyperlink" Target="https://pbs.twimg.com/profile_images/582945739141058560/m1lDOgFc_normal.png" TargetMode="External"/><Relationship Id="rId5685" Type="http://schemas.openxmlformats.org/officeDocument/2006/relationships/hyperlink" Target="https://pbs.twimg.com/profile_images/690561216863997952/-sBridLF_normal.jpg" TargetMode="External"/><Relationship Id="rId3023" Type="http://schemas.openxmlformats.org/officeDocument/2006/relationships/hyperlink" Target="https://pbs.twimg.com/profile_images/645650110374936580/-oQakt8x_normal.png" TargetMode="External"/><Relationship Id="rId4354" Type="http://schemas.openxmlformats.org/officeDocument/2006/relationships/hyperlink" Target="https://pbs.twimg.com/profile_images/632743976785735682/CfTy63Eb_normal.jpg" TargetMode="External"/><Relationship Id="rId5682" Type="http://schemas.openxmlformats.org/officeDocument/2006/relationships/hyperlink" Target="https://pbs.twimg.com/profile_images/701553083537604608/nr8b38eG_normal.jpg" TargetMode="External"/><Relationship Id="rId3022" Type="http://schemas.openxmlformats.org/officeDocument/2006/relationships/hyperlink" Target="https://twitter.com/homeAIinfo/status/702073185487998976" TargetMode="External"/><Relationship Id="rId4353" Type="http://schemas.openxmlformats.org/officeDocument/2006/relationships/hyperlink" Target="https://twitter.com/AndrewBaidu/status/702351756416720897" TargetMode="External"/><Relationship Id="rId5683" Type="http://schemas.openxmlformats.org/officeDocument/2006/relationships/hyperlink" Target="https://twitter.com/AlmeriaRUsers" TargetMode="External"/><Relationship Id="rId3025" Type="http://schemas.openxmlformats.org/officeDocument/2006/relationships/hyperlink" Target="https://twitter.com/DataAnalyticss/status/702073501277097984" TargetMode="External"/><Relationship Id="rId4356" Type="http://schemas.openxmlformats.org/officeDocument/2006/relationships/hyperlink" Target="https://twitter.com/mdshw5/status/702351919595917312" TargetMode="External"/><Relationship Id="rId5688" Type="http://schemas.openxmlformats.org/officeDocument/2006/relationships/hyperlink" Target="https://abs.twimg.com/sticky/default_profile_images/default_profile_4_normal.png" TargetMode="External"/><Relationship Id="rId3024" Type="http://schemas.openxmlformats.org/officeDocument/2006/relationships/hyperlink" Target="https://twitter.com/DataAnalyticss" TargetMode="External"/><Relationship Id="rId4355" Type="http://schemas.openxmlformats.org/officeDocument/2006/relationships/hyperlink" Target="https://twitter.com/mdshw5" TargetMode="External"/><Relationship Id="rId5689" Type="http://schemas.openxmlformats.org/officeDocument/2006/relationships/hyperlink" Target="https://twitter.com/Sheffield_R_" TargetMode="External"/><Relationship Id="rId3027" Type="http://schemas.openxmlformats.org/officeDocument/2006/relationships/hyperlink" Target="https://twitter.com/c_iantosca" TargetMode="External"/><Relationship Id="rId4358" Type="http://schemas.openxmlformats.org/officeDocument/2006/relationships/hyperlink" Target="https://twitter.com/tahirenesgedik" TargetMode="External"/><Relationship Id="rId5686" Type="http://schemas.openxmlformats.org/officeDocument/2006/relationships/hyperlink" Target="https://twitter.com/Pvalsfr" TargetMode="External"/><Relationship Id="rId3026" Type="http://schemas.openxmlformats.org/officeDocument/2006/relationships/hyperlink" Target="https://pbs.twimg.com/profile_images/532798437897412608/flHdPUCx_normal.png" TargetMode="External"/><Relationship Id="rId4357" Type="http://schemas.openxmlformats.org/officeDocument/2006/relationships/hyperlink" Target="https://pbs.twimg.com/profile_images/473860930099351552/UX-vhJK8_normal.jpeg" TargetMode="External"/><Relationship Id="rId5687" Type="http://schemas.openxmlformats.org/officeDocument/2006/relationships/hyperlink" Target="https://twitter.com/Pvalsfr/status/702606388602793984" TargetMode="External"/><Relationship Id="rId3050" Type="http://schemas.openxmlformats.org/officeDocument/2006/relationships/hyperlink" Target="https://pbs.twimg.com/profile_images/685178010962505728/m0D-Pvwg_normal.jpg" TargetMode="External"/><Relationship Id="rId4381" Type="http://schemas.openxmlformats.org/officeDocument/2006/relationships/hyperlink" Target="https://pbs.twimg.com/profile_images/701882919833370624/pmVsHkXo_normal.jpg" TargetMode="External"/><Relationship Id="rId4380" Type="http://schemas.openxmlformats.org/officeDocument/2006/relationships/hyperlink" Target="https://twitter.com/CL_Booth/status/702362521014038529" TargetMode="External"/><Relationship Id="rId3052" Type="http://schemas.openxmlformats.org/officeDocument/2006/relationships/hyperlink" Target="https://twitter.com/MangoTheCat/status/702079707295064064" TargetMode="External"/><Relationship Id="rId4383" Type="http://schemas.openxmlformats.org/officeDocument/2006/relationships/hyperlink" Target="https://twitter.com/saemg/status/702368074679373824" TargetMode="External"/><Relationship Id="rId3051" Type="http://schemas.openxmlformats.org/officeDocument/2006/relationships/hyperlink" Target="https://twitter.com/MangoTheCat" TargetMode="External"/><Relationship Id="rId4382" Type="http://schemas.openxmlformats.org/officeDocument/2006/relationships/hyperlink" Target="https://twitter.com/saemg" TargetMode="External"/><Relationship Id="rId3054" Type="http://schemas.openxmlformats.org/officeDocument/2006/relationships/hyperlink" Target="https://twitter.com/MangoTheCat" TargetMode="External"/><Relationship Id="rId4385" Type="http://schemas.openxmlformats.org/officeDocument/2006/relationships/hyperlink" Target="https://twitter.com/floatingatoll" TargetMode="External"/><Relationship Id="rId3053" Type="http://schemas.openxmlformats.org/officeDocument/2006/relationships/hyperlink" Target="https://pbs.twimg.com/profile_images/641183991077445633/V7VcBpJI_normal.png" TargetMode="External"/><Relationship Id="rId4384" Type="http://schemas.openxmlformats.org/officeDocument/2006/relationships/hyperlink" Target="https://pbs.twimg.com/profile_images/3329311334/ca5e1745fbfa23f7be098dff95a7fab7_normal.jpeg" TargetMode="External"/><Relationship Id="rId3056" Type="http://schemas.openxmlformats.org/officeDocument/2006/relationships/hyperlink" Target="https://pbs.twimg.com/profile_images/641183991077445633/V7VcBpJI_normal.png" TargetMode="External"/><Relationship Id="rId4387" Type="http://schemas.openxmlformats.org/officeDocument/2006/relationships/hyperlink" Target="https://pbs.twimg.com/profile_images/552210985927184384/tMweZxK4_normal.jpeg" TargetMode="External"/><Relationship Id="rId3055" Type="http://schemas.openxmlformats.org/officeDocument/2006/relationships/hyperlink" Target="https://twitter.com/MangoTheCat/status/702079711254450176" TargetMode="External"/><Relationship Id="rId4386" Type="http://schemas.openxmlformats.org/officeDocument/2006/relationships/hyperlink" Target="https://twitter.com/floatingatoll/status/702370997698220033" TargetMode="External"/><Relationship Id="rId3058" Type="http://schemas.openxmlformats.org/officeDocument/2006/relationships/hyperlink" Target="https://twitter.com/csgillespie/status/702080542636949504" TargetMode="External"/><Relationship Id="rId4389" Type="http://schemas.openxmlformats.org/officeDocument/2006/relationships/hyperlink" Target="https://twitter.com/floatingatoll/status/702370999384338432" TargetMode="External"/><Relationship Id="rId3057" Type="http://schemas.openxmlformats.org/officeDocument/2006/relationships/hyperlink" Target="https://twitter.com/csgillespie" TargetMode="External"/><Relationship Id="rId4388" Type="http://schemas.openxmlformats.org/officeDocument/2006/relationships/hyperlink" Target="https://twitter.com/floatingatoll" TargetMode="External"/><Relationship Id="rId3059" Type="http://schemas.openxmlformats.org/officeDocument/2006/relationships/hyperlink" Target="https://pbs.twimg.com/profile_images/642263873/P8070026a_normal.JPG" TargetMode="External"/><Relationship Id="rId4370" Type="http://schemas.openxmlformats.org/officeDocument/2006/relationships/hyperlink" Target="https://twitter.com/ekonometrinedir" TargetMode="External"/><Relationship Id="rId3041" Type="http://schemas.openxmlformats.org/officeDocument/2006/relationships/hyperlink" Target="https://pbs.twimg.com/profile_images/456589118030356480/rErfk6-5_normal.jpeg" TargetMode="External"/><Relationship Id="rId4372" Type="http://schemas.openxmlformats.org/officeDocument/2006/relationships/hyperlink" Target="https://pbs.twimg.com/profile_images/584116464392671232/6hJxtC1s_normal.jpg" TargetMode="External"/><Relationship Id="rId3040" Type="http://schemas.openxmlformats.org/officeDocument/2006/relationships/hyperlink" Target="https://twitter.com/reshamas/status/702075090972844032" TargetMode="External"/><Relationship Id="rId4371" Type="http://schemas.openxmlformats.org/officeDocument/2006/relationships/hyperlink" Target="https://twitter.com/ekonometrinedir/status/702360277258469376" TargetMode="External"/><Relationship Id="rId3043" Type="http://schemas.openxmlformats.org/officeDocument/2006/relationships/hyperlink" Target="https://twitter.com/PhilChiberre/status/702076601710858240" TargetMode="External"/><Relationship Id="rId4374" Type="http://schemas.openxmlformats.org/officeDocument/2006/relationships/hyperlink" Target="https://twitter.com/scottistical/status/702361471766937600" TargetMode="External"/><Relationship Id="rId3042" Type="http://schemas.openxmlformats.org/officeDocument/2006/relationships/hyperlink" Target="https://twitter.com/PhilChiberre" TargetMode="External"/><Relationship Id="rId4373" Type="http://schemas.openxmlformats.org/officeDocument/2006/relationships/hyperlink" Target="https://twitter.com/scottistical" TargetMode="External"/><Relationship Id="rId3045" Type="http://schemas.openxmlformats.org/officeDocument/2006/relationships/hyperlink" Target="https://twitter.com/MangoTheCat" TargetMode="External"/><Relationship Id="rId4376" Type="http://schemas.openxmlformats.org/officeDocument/2006/relationships/hyperlink" Target="https://twitter.com/artemklevtsov" TargetMode="External"/><Relationship Id="rId3044" Type="http://schemas.openxmlformats.org/officeDocument/2006/relationships/hyperlink" Target="https://pbs.twimg.com/profile_images/689139212646486020/acLdrZsP_normal.jpg" TargetMode="External"/><Relationship Id="rId4375" Type="http://schemas.openxmlformats.org/officeDocument/2006/relationships/hyperlink" Target="https://pbs.twimg.com/profile_images/693816313328771072/4GTF6Ck5_normal.jpg" TargetMode="External"/><Relationship Id="rId3047" Type="http://schemas.openxmlformats.org/officeDocument/2006/relationships/hyperlink" Target="https://pbs.twimg.com/profile_images/641183991077445633/V7VcBpJI_normal.png" TargetMode="External"/><Relationship Id="rId4378" Type="http://schemas.openxmlformats.org/officeDocument/2006/relationships/hyperlink" Target="https://pbs.twimg.com/profile_images/582945739141058560/m1lDOgFc_normal.png" TargetMode="External"/><Relationship Id="rId3046" Type="http://schemas.openxmlformats.org/officeDocument/2006/relationships/hyperlink" Target="https://twitter.com/MangoTheCat/status/702077441095827456" TargetMode="External"/><Relationship Id="rId4377" Type="http://schemas.openxmlformats.org/officeDocument/2006/relationships/hyperlink" Target="https://twitter.com/artemklevtsov/status/702362276268003328" TargetMode="External"/><Relationship Id="rId3049" Type="http://schemas.openxmlformats.org/officeDocument/2006/relationships/hyperlink" Target="https://twitter.com/thomasp85/status/702077548277186560" TargetMode="External"/><Relationship Id="rId3048" Type="http://schemas.openxmlformats.org/officeDocument/2006/relationships/hyperlink" Target="https://twitter.com/thomasp85" TargetMode="External"/><Relationship Id="rId4379" Type="http://schemas.openxmlformats.org/officeDocument/2006/relationships/hyperlink" Target="https://twitter.com/CL_Booth" TargetMode="External"/><Relationship Id="rId9210" Type="http://schemas.openxmlformats.org/officeDocument/2006/relationships/hyperlink" Target="https://pbs.twimg.com/profile_images/676095885575634944/NXl4o2HU_normal.png" TargetMode="External"/><Relationship Id="rId9211" Type="http://schemas.openxmlformats.org/officeDocument/2006/relationships/hyperlink" Target="https://twitter.com/LeahAWasser" TargetMode="External"/><Relationship Id="rId9212" Type="http://schemas.openxmlformats.org/officeDocument/2006/relationships/hyperlink" Target="https://twitter.com/LeahAWasser/status/703272836924776448" TargetMode="External"/><Relationship Id="rId9217" Type="http://schemas.openxmlformats.org/officeDocument/2006/relationships/hyperlink" Target="https://twitter.com/BigDataTweetBot" TargetMode="External"/><Relationship Id="rId9218" Type="http://schemas.openxmlformats.org/officeDocument/2006/relationships/hyperlink" Target="https://twitter.com/BigDataTweetBot/status/703273643166580737" TargetMode="External"/><Relationship Id="rId9219" Type="http://schemas.openxmlformats.org/officeDocument/2006/relationships/hyperlink" Target="https://pbs.twimg.com/profile_images/616793252524650496/bQbxJqmz_normal.jpg" TargetMode="External"/><Relationship Id="rId9213" Type="http://schemas.openxmlformats.org/officeDocument/2006/relationships/hyperlink" Target="https://pbs.twimg.com/profile_images/633416207165689856/-nZq_x05_normal.jpg" TargetMode="External"/><Relationship Id="rId9214" Type="http://schemas.openxmlformats.org/officeDocument/2006/relationships/hyperlink" Target="https://twitter.com/tonyojeda3" TargetMode="External"/><Relationship Id="rId9215" Type="http://schemas.openxmlformats.org/officeDocument/2006/relationships/hyperlink" Target="https://twitter.com/tonyojeda3/status/703272936485076998" TargetMode="External"/><Relationship Id="rId9216" Type="http://schemas.openxmlformats.org/officeDocument/2006/relationships/hyperlink" Target="https://pbs.twimg.com/profile_images/1211123351/Tony-Ojeda2_normal.JPG" TargetMode="External"/><Relationship Id="rId9200" Type="http://schemas.openxmlformats.org/officeDocument/2006/relationships/hyperlink" Target="https://twitter.com/overleaf/status/703268956837191680" TargetMode="External"/><Relationship Id="rId9201" Type="http://schemas.openxmlformats.org/officeDocument/2006/relationships/hyperlink" Target="https://pbs.twimg.com/profile_images/551035690234834945/JhdUiOPP_normal.png" TargetMode="External"/><Relationship Id="rId9206" Type="http://schemas.openxmlformats.org/officeDocument/2006/relationships/hyperlink" Target="https://twitter.com/tripartio/status/703270683661438976" TargetMode="External"/><Relationship Id="rId9207" Type="http://schemas.openxmlformats.org/officeDocument/2006/relationships/hyperlink" Target="https://pbs.twimg.com/profile_images/529482878543867904/H-UGY1d0_normal.png" TargetMode="External"/><Relationship Id="rId9208" Type="http://schemas.openxmlformats.org/officeDocument/2006/relationships/hyperlink" Target="https://twitter.com/DistrictDataLab" TargetMode="External"/><Relationship Id="rId9209" Type="http://schemas.openxmlformats.org/officeDocument/2006/relationships/hyperlink" Target="https://twitter.com/DistrictDataLab/status/703272108126834688" TargetMode="External"/><Relationship Id="rId9202" Type="http://schemas.openxmlformats.org/officeDocument/2006/relationships/hyperlink" Target="https://twitter.com/USGS_R" TargetMode="External"/><Relationship Id="rId9203" Type="http://schemas.openxmlformats.org/officeDocument/2006/relationships/hyperlink" Target="https://twitter.com/USGS_R/status/703269680069386244" TargetMode="External"/><Relationship Id="rId9204" Type="http://schemas.openxmlformats.org/officeDocument/2006/relationships/hyperlink" Target="https://pbs.twimg.com/profile_images/631488083863584769/gDqhLdAL_normal.png" TargetMode="External"/><Relationship Id="rId9205" Type="http://schemas.openxmlformats.org/officeDocument/2006/relationships/hyperlink" Target="https://twitter.com/tripartio" TargetMode="External"/><Relationship Id="rId9231" Type="http://schemas.openxmlformats.org/officeDocument/2006/relationships/hyperlink" Target="https://pbs.twimg.com/profile_images/378800000856110283/ca1b515aeb1dca4c69dff0fb385dae78_normal.jpeg" TargetMode="External"/><Relationship Id="rId9232" Type="http://schemas.openxmlformats.org/officeDocument/2006/relationships/hyperlink" Target="https://twitter.com/DrAeolus" TargetMode="External"/><Relationship Id="rId9233" Type="http://schemas.openxmlformats.org/officeDocument/2006/relationships/hyperlink" Target="https://twitter.com/DrAeolus/status/703274260987572224" TargetMode="External"/><Relationship Id="rId9234" Type="http://schemas.openxmlformats.org/officeDocument/2006/relationships/hyperlink" Target="https://pbs.twimg.com/profile_images/646332742960050176/nasDowSt_normal.jpg" TargetMode="External"/><Relationship Id="rId9230" Type="http://schemas.openxmlformats.org/officeDocument/2006/relationships/hyperlink" Target="https://twitter.com/UrbanDemog/status/703274124685221888" TargetMode="External"/><Relationship Id="rId9239" Type="http://schemas.openxmlformats.org/officeDocument/2006/relationships/hyperlink" Target="https://twitter.com/jletteboer/status/703274854804488192" TargetMode="External"/><Relationship Id="rId9235" Type="http://schemas.openxmlformats.org/officeDocument/2006/relationships/hyperlink" Target="https://twitter.com/jjstache" TargetMode="External"/><Relationship Id="rId9236" Type="http://schemas.openxmlformats.org/officeDocument/2006/relationships/hyperlink" Target="https://twitter.com/jjstache/status/703274547177508865" TargetMode="External"/><Relationship Id="rId9237" Type="http://schemas.openxmlformats.org/officeDocument/2006/relationships/hyperlink" Target="https://pbs.twimg.com/profile_images/574402802732003329/6xGdxR4M_normal.jpeg" TargetMode="External"/><Relationship Id="rId9238" Type="http://schemas.openxmlformats.org/officeDocument/2006/relationships/hyperlink" Target="https://twitter.com/jletteboer" TargetMode="External"/><Relationship Id="rId9220" Type="http://schemas.openxmlformats.org/officeDocument/2006/relationships/hyperlink" Target="https://twitter.com/BigDataTweetBot" TargetMode="External"/><Relationship Id="rId9221" Type="http://schemas.openxmlformats.org/officeDocument/2006/relationships/hyperlink" Target="https://twitter.com/BigDataTweetBot/status/703273756387647488" TargetMode="External"/><Relationship Id="rId9222" Type="http://schemas.openxmlformats.org/officeDocument/2006/relationships/hyperlink" Target="https://pbs.twimg.com/profile_images/616793252524650496/bQbxJqmz_normal.jpg" TargetMode="External"/><Relationship Id="rId9223" Type="http://schemas.openxmlformats.org/officeDocument/2006/relationships/hyperlink" Target="https://twitter.com/revodavid" TargetMode="External"/><Relationship Id="rId9228" Type="http://schemas.openxmlformats.org/officeDocument/2006/relationships/hyperlink" Target="https://pbs.twimg.com/profile_images/2003536800/JNR_forOfficial_use_normal.jpg" TargetMode="External"/><Relationship Id="rId9229" Type="http://schemas.openxmlformats.org/officeDocument/2006/relationships/hyperlink" Target="https://twitter.com/UrbanDemog" TargetMode="External"/><Relationship Id="rId9224" Type="http://schemas.openxmlformats.org/officeDocument/2006/relationships/hyperlink" Target="https://twitter.com/revodavid/status/703273900285829120" TargetMode="External"/><Relationship Id="rId9225" Type="http://schemas.openxmlformats.org/officeDocument/2006/relationships/hyperlink" Target="https://pbs.twimg.com/profile_images/580043996723974144/_Oyvwa9c_normal.jpg" TargetMode="External"/><Relationship Id="rId9226" Type="http://schemas.openxmlformats.org/officeDocument/2006/relationships/hyperlink" Target="https://twitter.com/GorwayGlobal" TargetMode="External"/><Relationship Id="rId9227" Type="http://schemas.openxmlformats.org/officeDocument/2006/relationships/hyperlink" Target="https://twitter.com/GorwayGlobal/status/703274018045095936" TargetMode="External"/><Relationship Id="rId9297" Type="http://schemas.openxmlformats.org/officeDocument/2006/relationships/hyperlink" Target="https://pbs.twimg.com/profile_images/1539577065/197340_5976182754_669917754_107348_1471_n_normal.jpg" TargetMode="External"/><Relationship Id="rId9298" Type="http://schemas.openxmlformats.org/officeDocument/2006/relationships/hyperlink" Target="https://twitter.com/moneywithwings" TargetMode="External"/><Relationship Id="rId9299" Type="http://schemas.openxmlformats.org/officeDocument/2006/relationships/hyperlink" Target="https://twitter.com/moneywithwings/status/703280920854401025" TargetMode="External"/><Relationship Id="rId9293" Type="http://schemas.openxmlformats.org/officeDocument/2006/relationships/hyperlink" Target="https://twitter.com/bhaskar_vk/status/703280304191053824" TargetMode="External"/><Relationship Id="rId9294" Type="http://schemas.openxmlformats.org/officeDocument/2006/relationships/hyperlink" Target="https://pbs.twimg.com/profile_images/3654916643/41e86ccffc771868940fb53a41c3b712_normal.jpeg" TargetMode="External"/><Relationship Id="rId9295" Type="http://schemas.openxmlformats.org/officeDocument/2006/relationships/hyperlink" Target="https://twitter.com/tomtom_m" TargetMode="External"/><Relationship Id="rId9296" Type="http://schemas.openxmlformats.org/officeDocument/2006/relationships/hyperlink" Target="https://twitter.com/tomtom_m/status/703280871827234816" TargetMode="External"/><Relationship Id="rId9290" Type="http://schemas.openxmlformats.org/officeDocument/2006/relationships/hyperlink" Target="https://twitter.com/LoopGM/status/703279509479542785" TargetMode="External"/><Relationship Id="rId9291" Type="http://schemas.openxmlformats.org/officeDocument/2006/relationships/hyperlink" Target="https://pbs.twimg.com/profile_images/557757725342326784/Nvoty5Cl_normal.png" TargetMode="External"/><Relationship Id="rId9292" Type="http://schemas.openxmlformats.org/officeDocument/2006/relationships/hyperlink" Target="https://twitter.com/bhaskar_vk" TargetMode="External"/><Relationship Id="rId9286" Type="http://schemas.openxmlformats.org/officeDocument/2006/relationships/hyperlink" Target="https://twitter.com/sckottie" TargetMode="External"/><Relationship Id="rId9287" Type="http://schemas.openxmlformats.org/officeDocument/2006/relationships/hyperlink" Target="https://twitter.com/sckottie/status/703277664870600704" TargetMode="External"/><Relationship Id="rId9288" Type="http://schemas.openxmlformats.org/officeDocument/2006/relationships/hyperlink" Target="https://pbs.twimg.com/profile_images/628062474491670529/KOOABG9v_normal.jpg" TargetMode="External"/><Relationship Id="rId9289" Type="http://schemas.openxmlformats.org/officeDocument/2006/relationships/hyperlink" Target="https://twitter.com/LoopGM" TargetMode="External"/><Relationship Id="rId9282" Type="http://schemas.openxmlformats.org/officeDocument/2006/relationships/hyperlink" Target="https://pbs.twimg.com/profile_images/663979354486018048/1NZ2hiBE_normal.jpg" TargetMode="External"/><Relationship Id="rId9283" Type="http://schemas.openxmlformats.org/officeDocument/2006/relationships/hyperlink" Target="https://twitter.com/Datablabla" TargetMode="External"/><Relationship Id="rId9284" Type="http://schemas.openxmlformats.org/officeDocument/2006/relationships/hyperlink" Target="https://twitter.com/Datablabla/status/703277541063311360" TargetMode="External"/><Relationship Id="rId9285" Type="http://schemas.openxmlformats.org/officeDocument/2006/relationships/hyperlink" Target="https://pbs.twimg.com/profile_images/602274133083365376/dc0LC6zM_normal.png" TargetMode="External"/><Relationship Id="rId5714" Type="http://schemas.openxmlformats.org/officeDocument/2006/relationships/hyperlink" Target="https://twitter.com/homeAIinfo/status/702608398567743488" TargetMode="External"/><Relationship Id="rId5715" Type="http://schemas.openxmlformats.org/officeDocument/2006/relationships/hyperlink" Target="https://pbs.twimg.com/profile_images/645650110374936580/-oQakt8x_normal.png" TargetMode="External"/><Relationship Id="rId5712" Type="http://schemas.openxmlformats.org/officeDocument/2006/relationships/hyperlink" Target="https://pbs.twimg.com/profile_images/700379606008905728/nB8LK_HN_normal.jpg" TargetMode="External"/><Relationship Id="rId5713" Type="http://schemas.openxmlformats.org/officeDocument/2006/relationships/hyperlink" Target="https://twitter.com/homeAIinfo" TargetMode="External"/><Relationship Id="rId5718" Type="http://schemas.openxmlformats.org/officeDocument/2006/relationships/hyperlink" Target="https://pbs.twimg.com/profile_images/3341331124/b4ce06fa39afa24317907359dea50e7b_normal.jpeg" TargetMode="External"/><Relationship Id="rId5719" Type="http://schemas.openxmlformats.org/officeDocument/2006/relationships/hyperlink" Target="https://twitter.com/LovedeepSG" TargetMode="External"/><Relationship Id="rId5716" Type="http://schemas.openxmlformats.org/officeDocument/2006/relationships/hyperlink" Target="https://twitter.com/rortizdu" TargetMode="External"/><Relationship Id="rId5717" Type="http://schemas.openxmlformats.org/officeDocument/2006/relationships/hyperlink" Target="https://twitter.com/rortizdu/status/702608553853460480" TargetMode="External"/><Relationship Id="rId5710" Type="http://schemas.openxmlformats.org/officeDocument/2006/relationships/hyperlink" Target="https://twitter.com/daniel_storage" TargetMode="External"/><Relationship Id="rId5711" Type="http://schemas.openxmlformats.org/officeDocument/2006/relationships/hyperlink" Target="https://twitter.com/daniel_storage/status/702608219127083012" TargetMode="External"/><Relationship Id="rId5703" Type="http://schemas.openxmlformats.org/officeDocument/2006/relationships/hyperlink" Target="https://abs.twimg.com/sticky/default_profile_images/default_profile_4_normal.png" TargetMode="External"/><Relationship Id="rId5704" Type="http://schemas.openxmlformats.org/officeDocument/2006/relationships/hyperlink" Target="https://twitter.com/Pvalsfr" TargetMode="External"/><Relationship Id="rId5701" Type="http://schemas.openxmlformats.org/officeDocument/2006/relationships/hyperlink" Target="https://twitter.com/Pvalsfr" TargetMode="External"/><Relationship Id="rId5702" Type="http://schemas.openxmlformats.org/officeDocument/2006/relationships/hyperlink" Target="https://twitter.com/Pvalsfr/status/702607385056120832" TargetMode="External"/><Relationship Id="rId5707" Type="http://schemas.openxmlformats.org/officeDocument/2006/relationships/hyperlink" Target="https://twitter.com/ShermanDistin" TargetMode="External"/><Relationship Id="rId5708" Type="http://schemas.openxmlformats.org/officeDocument/2006/relationships/hyperlink" Target="https://twitter.com/ShermanDistin/status/702607881787600896" TargetMode="External"/><Relationship Id="rId5705" Type="http://schemas.openxmlformats.org/officeDocument/2006/relationships/hyperlink" Target="https://twitter.com/Pvalsfr/status/702607426948886528" TargetMode="External"/><Relationship Id="rId5706" Type="http://schemas.openxmlformats.org/officeDocument/2006/relationships/hyperlink" Target="https://abs.twimg.com/sticky/default_profile_images/default_profile_4_normal.png" TargetMode="External"/><Relationship Id="rId5709" Type="http://schemas.openxmlformats.org/officeDocument/2006/relationships/hyperlink" Target="https://pbs.twimg.com/profile_images/613144271382781956/5kJGyePe_normal.png" TargetMode="External"/><Relationship Id="rId5700" Type="http://schemas.openxmlformats.org/officeDocument/2006/relationships/hyperlink" Target="https://abs.twimg.com/sticky/default_profile_images/default_profile_4_normal.png" TargetMode="External"/><Relationship Id="rId9253" Type="http://schemas.openxmlformats.org/officeDocument/2006/relationships/hyperlink" Target="https://twitter.com/kyle_e_walker" TargetMode="External"/><Relationship Id="rId9254" Type="http://schemas.openxmlformats.org/officeDocument/2006/relationships/hyperlink" Target="https://twitter.com/kyle_e_walker/status/703275524647313408" TargetMode="External"/><Relationship Id="rId9255" Type="http://schemas.openxmlformats.org/officeDocument/2006/relationships/hyperlink" Target="https://pbs.twimg.com/profile_images/535539844479332354/CA9doTjY_normal.jpeg" TargetMode="External"/><Relationship Id="rId9256" Type="http://schemas.openxmlformats.org/officeDocument/2006/relationships/hyperlink" Target="https://twitter.com/HauserDonna" TargetMode="External"/><Relationship Id="rId9250" Type="http://schemas.openxmlformats.org/officeDocument/2006/relationships/hyperlink" Target="https://twitter.com/pedrogois" TargetMode="External"/><Relationship Id="rId9251" Type="http://schemas.openxmlformats.org/officeDocument/2006/relationships/hyperlink" Target="https://twitter.com/pedrogois/status/703275443709943808" TargetMode="External"/><Relationship Id="rId9252" Type="http://schemas.openxmlformats.org/officeDocument/2006/relationships/hyperlink" Target="https://pbs.twimg.com/profile_images/378800000110168292/8f97b0887ee7856a2bec52caa3c23695_normal.jpeg" TargetMode="External"/><Relationship Id="rId9257" Type="http://schemas.openxmlformats.org/officeDocument/2006/relationships/hyperlink" Target="https://twitter.com/HauserDonna/status/703275700065701888" TargetMode="External"/><Relationship Id="rId9258" Type="http://schemas.openxmlformats.org/officeDocument/2006/relationships/hyperlink" Target="https://pbs.twimg.com/profile_images/378800000642447206/0c0db6bc87da60b59cc4d959c7daa3cb_normal.jpeg" TargetMode="External"/><Relationship Id="rId9259" Type="http://schemas.openxmlformats.org/officeDocument/2006/relationships/hyperlink" Target="https://twitter.com/dancklam" TargetMode="External"/><Relationship Id="rId9242" Type="http://schemas.openxmlformats.org/officeDocument/2006/relationships/hyperlink" Target="https://twitter.com/plablo09/status/703274970583953408" TargetMode="External"/><Relationship Id="rId9243" Type="http://schemas.openxmlformats.org/officeDocument/2006/relationships/hyperlink" Target="https://pbs.twimg.com/profile_images/450297907715907584/DOiGpz7o_normal.jpeg" TargetMode="External"/><Relationship Id="rId9244" Type="http://schemas.openxmlformats.org/officeDocument/2006/relationships/hyperlink" Target="https://twitter.com/christian_hudon" TargetMode="External"/><Relationship Id="rId9245" Type="http://schemas.openxmlformats.org/officeDocument/2006/relationships/hyperlink" Target="https://twitter.com/christian_hudon/status/703275076460929025" TargetMode="External"/><Relationship Id="rId9240" Type="http://schemas.openxmlformats.org/officeDocument/2006/relationships/hyperlink" Target="https://pbs.twimg.com/profile_images/524199331365015552/O94t9yIe_normal.jpeg" TargetMode="External"/><Relationship Id="rId9241" Type="http://schemas.openxmlformats.org/officeDocument/2006/relationships/hyperlink" Target="https://twitter.com/plablo09" TargetMode="External"/><Relationship Id="rId9246" Type="http://schemas.openxmlformats.org/officeDocument/2006/relationships/hyperlink" Target="https://pbs.twimg.com/profile_images/1434049096/12635_183542861919_584521919_3397362_8334230_n_normal.jpg" TargetMode="External"/><Relationship Id="rId9247" Type="http://schemas.openxmlformats.org/officeDocument/2006/relationships/hyperlink" Target="https://twitter.com/pensarinfog" TargetMode="External"/><Relationship Id="rId9248" Type="http://schemas.openxmlformats.org/officeDocument/2006/relationships/hyperlink" Target="https://twitter.com/pensarinfog/status/703275233063669762" TargetMode="External"/><Relationship Id="rId9249" Type="http://schemas.openxmlformats.org/officeDocument/2006/relationships/hyperlink" Target="https://pbs.twimg.com/profile_images/665208833787232257/ze5nMIal_normal.png" TargetMode="External"/><Relationship Id="rId9280" Type="http://schemas.openxmlformats.org/officeDocument/2006/relationships/hyperlink" Target="https://twitter.com/mishra1_PK" TargetMode="External"/><Relationship Id="rId9281" Type="http://schemas.openxmlformats.org/officeDocument/2006/relationships/hyperlink" Target="https://twitter.com/mishra1_PK/status/703277429586944001" TargetMode="External"/><Relationship Id="rId9275" Type="http://schemas.openxmlformats.org/officeDocument/2006/relationships/hyperlink" Target="https://twitter.com/nils_gehlenborg/status/703277184673251329" TargetMode="External"/><Relationship Id="rId9276" Type="http://schemas.openxmlformats.org/officeDocument/2006/relationships/hyperlink" Target="https://pbs.twimg.com/profile_images/464529285085003776/vfS9KY7D_normal.png" TargetMode="External"/><Relationship Id="rId9277" Type="http://schemas.openxmlformats.org/officeDocument/2006/relationships/hyperlink" Target="https://twitter.com/Libardopez" TargetMode="External"/><Relationship Id="rId9278" Type="http://schemas.openxmlformats.org/officeDocument/2006/relationships/hyperlink" Target="https://twitter.com/Libardopez/status/703277361102512130" TargetMode="External"/><Relationship Id="rId9271" Type="http://schemas.openxmlformats.org/officeDocument/2006/relationships/hyperlink" Target="https://twitter.com/sfrechette" TargetMode="External"/><Relationship Id="rId9272" Type="http://schemas.openxmlformats.org/officeDocument/2006/relationships/hyperlink" Target="https://twitter.com/sfrechette/status/703276944826241024" TargetMode="External"/><Relationship Id="rId9273" Type="http://schemas.openxmlformats.org/officeDocument/2006/relationships/hyperlink" Target="https://pbs.twimg.com/profile_images/662342111799304192/Xtv8MZ-P_normal.jpg" TargetMode="External"/><Relationship Id="rId9274" Type="http://schemas.openxmlformats.org/officeDocument/2006/relationships/hyperlink" Target="https://twitter.com/nils_gehlenborg" TargetMode="External"/><Relationship Id="rId9279" Type="http://schemas.openxmlformats.org/officeDocument/2006/relationships/hyperlink" Target="https://pbs.twimg.com/profile_images/3350285193/ce39db4d30863e74cf9033c743a6e5b8_normal.jpeg" TargetMode="External"/><Relationship Id="rId9270" Type="http://schemas.openxmlformats.org/officeDocument/2006/relationships/hyperlink" Target="https://pbs.twimg.com/profile_images/494183080949579776/ErmJ49WR_normal.jpeg" TargetMode="External"/><Relationship Id="rId9264" Type="http://schemas.openxmlformats.org/officeDocument/2006/relationships/hyperlink" Target="https://pbs.twimg.com/profile_images/586952830503759872/wqAJlxDf_normal.jpg" TargetMode="External"/><Relationship Id="rId9265" Type="http://schemas.openxmlformats.org/officeDocument/2006/relationships/hyperlink" Target="https://twitter.com/biconnections" TargetMode="External"/><Relationship Id="rId9266" Type="http://schemas.openxmlformats.org/officeDocument/2006/relationships/hyperlink" Target="https://twitter.com/biconnections/status/703276396005695488" TargetMode="External"/><Relationship Id="rId9267" Type="http://schemas.openxmlformats.org/officeDocument/2006/relationships/hyperlink" Target="https://pbs.twimg.com/profile_images/1866862979/50519_388209157862059_947380685_n_normal.jpg" TargetMode="External"/><Relationship Id="rId9260" Type="http://schemas.openxmlformats.org/officeDocument/2006/relationships/hyperlink" Target="https://twitter.com/dancklam/status/703275802985680896" TargetMode="External"/><Relationship Id="rId9261" Type="http://schemas.openxmlformats.org/officeDocument/2006/relationships/hyperlink" Target="https://pbs.twimg.com/profile_images/2957965454/038936db79a234eb61ed7e0951fa0c21_normal.jpeg" TargetMode="External"/><Relationship Id="rId9262" Type="http://schemas.openxmlformats.org/officeDocument/2006/relationships/hyperlink" Target="https://twitter.com/IanCroos" TargetMode="External"/><Relationship Id="rId9263" Type="http://schemas.openxmlformats.org/officeDocument/2006/relationships/hyperlink" Target="https://twitter.com/IanCroos/status/703275954764955648" TargetMode="External"/><Relationship Id="rId9268" Type="http://schemas.openxmlformats.org/officeDocument/2006/relationships/hyperlink" Target="https://twitter.com/westbrobby" TargetMode="External"/><Relationship Id="rId9269" Type="http://schemas.openxmlformats.org/officeDocument/2006/relationships/hyperlink" Target="https://twitter.com/westbrobby/status/703276444332507136" TargetMode="External"/><Relationship Id="rId3117" Type="http://schemas.openxmlformats.org/officeDocument/2006/relationships/hyperlink" Target="https://pbs.twimg.com/profile_images/497242309197836288/pGbQLqiE_normal.jpeg" TargetMode="External"/><Relationship Id="rId4448" Type="http://schemas.openxmlformats.org/officeDocument/2006/relationships/hyperlink" Target="https://pbs.twimg.com/profile_images/674901281459277824/fRgBleU9_normal.jpg" TargetMode="External"/><Relationship Id="rId3116" Type="http://schemas.openxmlformats.org/officeDocument/2006/relationships/hyperlink" Target="https://twitter.com/SiliconSkyGuy/status/702093766476189696" TargetMode="External"/><Relationship Id="rId4447" Type="http://schemas.openxmlformats.org/officeDocument/2006/relationships/hyperlink" Target="https://twitter.com/jcanistrum/status/702397992360415233" TargetMode="External"/><Relationship Id="rId3119" Type="http://schemas.openxmlformats.org/officeDocument/2006/relationships/hyperlink" Target="https://twitter.com/Cataranea/status/702094568867688448" TargetMode="External"/><Relationship Id="rId5778" Type="http://schemas.openxmlformats.org/officeDocument/2006/relationships/hyperlink" Target="https://twitter.com/jrdnmdhl/status/702617900134354946" TargetMode="External"/><Relationship Id="rId3118" Type="http://schemas.openxmlformats.org/officeDocument/2006/relationships/hyperlink" Target="https://twitter.com/Cataranea" TargetMode="External"/><Relationship Id="rId4449" Type="http://schemas.openxmlformats.org/officeDocument/2006/relationships/hyperlink" Target="https://twitter.com/ardalby" TargetMode="External"/><Relationship Id="rId5779" Type="http://schemas.openxmlformats.org/officeDocument/2006/relationships/hyperlink" Target="https://pbs.twimg.com/profile_images/686829356220608512/Xvuztyrm_normal.jpg" TargetMode="External"/><Relationship Id="rId4440" Type="http://schemas.openxmlformats.org/officeDocument/2006/relationships/hyperlink" Target="https://twitter.com/Rbloggers/status/702397585328381952" TargetMode="External"/><Relationship Id="rId5772" Type="http://schemas.openxmlformats.org/officeDocument/2006/relationships/hyperlink" Target="https://twitter.com/HunterRatliff1/status/702617765320990720" TargetMode="External"/><Relationship Id="rId5773" Type="http://schemas.openxmlformats.org/officeDocument/2006/relationships/hyperlink" Target="https://pbs.twimg.com/profile_images/629100002393108480/Tsus6Sd6_normal.jpg" TargetMode="External"/><Relationship Id="rId3111" Type="http://schemas.openxmlformats.org/officeDocument/2006/relationships/hyperlink" Target="https://pbs.twimg.com/profile_images/700777694133411843/8lkjV4ts_normal.jpg" TargetMode="External"/><Relationship Id="rId4442" Type="http://schemas.openxmlformats.org/officeDocument/2006/relationships/hyperlink" Target="https://pbs.twimg.com/profile_images/502185985786916864/gkdFh-q7_normal.png" TargetMode="External"/><Relationship Id="rId5770" Type="http://schemas.openxmlformats.org/officeDocument/2006/relationships/hyperlink" Target="https://pbs.twimg.com/profile_images/489375332743409664/P4sYDY1__normal.png" TargetMode="External"/><Relationship Id="rId3110" Type="http://schemas.openxmlformats.org/officeDocument/2006/relationships/hyperlink" Target="https://twitter.com/dnltsk/status/702092269826998272" TargetMode="External"/><Relationship Id="rId4441" Type="http://schemas.openxmlformats.org/officeDocument/2006/relationships/hyperlink" Target="http://r-bloggers.com" TargetMode="External"/><Relationship Id="rId5771" Type="http://schemas.openxmlformats.org/officeDocument/2006/relationships/hyperlink" Target="https://twitter.com/HunterRatliff1" TargetMode="External"/><Relationship Id="rId3113" Type="http://schemas.openxmlformats.org/officeDocument/2006/relationships/hyperlink" Target="https://twitter.com/thosjleeper/status/702093594707025920" TargetMode="External"/><Relationship Id="rId4444" Type="http://schemas.openxmlformats.org/officeDocument/2006/relationships/hyperlink" Target="https://twitter.com/BigDataTweetBot/status/702397725271314433" TargetMode="External"/><Relationship Id="rId5776" Type="http://schemas.openxmlformats.org/officeDocument/2006/relationships/hyperlink" Target="https://pbs.twimg.com/profile_images/683470753/n837165014_5513_normal.jpg" TargetMode="External"/><Relationship Id="rId3112" Type="http://schemas.openxmlformats.org/officeDocument/2006/relationships/hyperlink" Target="https://twitter.com/thosjleeper" TargetMode="External"/><Relationship Id="rId4443" Type="http://schemas.openxmlformats.org/officeDocument/2006/relationships/hyperlink" Target="https://twitter.com/BigDataTweetBot" TargetMode="External"/><Relationship Id="rId5777" Type="http://schemas.openxmlformats.org/officeDocument/2006/relationships/hyperlink" Target="https://twitter.com/jrdnmdhl" TargetMode="External"/><Relationship Id="rId3115" Type="http://schemas.openxmlformats.org/officeDocument/2006/relationships/hyperlink" Target="https://twitter.com/SiliconSkyGuy" TargetMode="External"/><Relationship Id="rId4446" Type="http://schemas.openxmlformats.org/officeDocument/2006/relationships/hyperlink" Target="https://twitter.com/jcanistrum" TargetMode="External"/><Relationship Id="rId5774" Type="http://schemas.openxmlformats.org/officeDocument/2006/relationships/hyperlink" Target="https://twitter.com/lihyin" TargetMode="External"/><Relationship Id="rId3114" Type="http://schemas.openxmlformats.org/officeDocument/2006/relationships/hyperlink" Target="https://pbs.twimg.com/profile_images/702599433402322947/Rda4kptZ_normal.jpg" TargetMode="External"/><Relationship Id="rId4445" Type="http://schemas.openxmlformats.org/officeDocument/2006/relationships/hyperlink" Target="https://pbs.twimg.com/profile_images/616793252524650496/bQbxJqmz_normal.jpg" TargetMode="External"/><Relationship Id="rId5775" Type="http://schemas.openxmlformats.org/officeDocument/2006/relationships/hyperlink" Target="https://twitter.com/lihyin/status/702617789941460992" TargetMode="External"/><Relationship Id="rId3106" Type="http://schemas.openxmlformats.org/officeDocument/2006/relationships/hyperlink" Target="https://twitter.com/robjhyndman" TargetMode="External"/><Relationship Id="rId4437" Type="http://schemas.openxmlformats.org/officeDocument/2006/relationships/hyperlink" Target="https://twitter.com/BroVic/status/702396666922532865" TargetMode="External"/><Relationship Id="rId5769" Type="http://schemas.openxmlformats.org/officeDocument/2006/relationships/hyperlink" Target="https://twitter.com/bigboardsio/status/702617098808369153" TargetMode="External"/><Relationship Id="rId3105" Type="http://schemas.openxmlformats.org/officeDocument/2006/relationships/hyperlink" Target="https://pbs.twimg.com/profile_images/378800000792919742/a39467a01cacc46d709040ac37419692_normal.jpeg" TargetMode="External"/><Relationship Id="rId4436" Type="http://schemas.openxmlformats.org/officeDocument/2006/relationships/hyperlink" Target="https://twitter.com/BroVic" TargetMode="External"/><Relationship Id="rId3108" Type="http://schemas.openxmlformats.org/officeDocument/2006/relationships/hyperlink" Target="https://pbs.twimg.com/profile_images/378800000005926099/75ae8b24f9a0ee243434b23df2ce5ef4_normal.png" TargetMode="External"/><Relationship Id="rId4439" Type="http://schemas.openxmlformats.org/officeDocument/2006/relationships/hyperlink" Target="https://twitter.com/Rbloggers" TargetMode="External"/><Relationship Id="rId5767" Type="http://schemas.openxmlformats.org/officeDocument/2006/relationships/hyperlink" Target="https://abs.twimg.com/sticky/default_profile_images/default_profile_4_normal.png" TargetMode="External"/><Relationship Id="rId3107" Type="http://schemas.openxmlformats.org/officeDocument/2006/relationships/hyperlink" Target="https://twitter.com/robjhyndman/status/702091545537740800" TargetMode="External"/><Relationship Id="rId4438" Type="http://schemas.openxmlformats.org/officeDocument/2006/relationships/hyperlink" Target="https://pbs.twimg.com/profile_images/639528574362472448/PgHltNjE_normal.jpg" TargetMode="External"/><Relationship Id="rId5768" Type="http://schemas.openxmlformats.org/officeDocument/2006/relationships/hyperlink" Target="https://twitter.com/bigboardsio" TargetMode="External"/><Relationship Id="rId3109" Type="http://schemas.openxmlformats.org/officeDocument/2006/relationships/hyperlink" Target="https://twitter.com/dnltsk" TargetMode="External"/><Relationship Id="rId5761" Type="http://schemas.openxmlformats.org/officeDocument/2006/relationships/hyperlink" Target="https://pbs.twimg.com/profile_images/470626645083037696/FicOo9YX_normal.jpeg" TargetMode="External"/><Relationship Id="rId5762" Type="http://schemas.openxmlformats.org/officeDocument/2006/relationships/hyperlink" Target="https://twitter.com/segalop" TargetMode="External"/><Relationship Id="rId3100" Type="http://schemas.openxmlformats.org/officeDocument/2006/relationships/hyperlink" Target="https://twitter.com/aworsleynz" TargetMode="External"/><Relationship Id="rId4431" Type="http://schemas.openxmlformats.org/officeDocument/2006/relationships/hyperlink" Target="https://twitter.com/HoloMarkeD/status/702394841947369472" TargetMode="External"/><Relationship Id="rId4430" Type="http://schemas.openxmlformats.org/officeDocument/2006/relationships/hyperlink" Target="https://twitter.com/HoloMarkeD" TargetMode="External"/><Relationship Id="rId5760" Type="http://schemas.openxmlformats.org/officeDocument/2006/relationships/hyperlink" Target="https://twitter.com/segalop/status/702615061660082177" TargetMode="External"/><Relationship Id="rId3102" Type="http://schemas.openxmlformats.org/officeDocument/2006/relationships/hyperlink" Target="https://pbs.twimg.com/profile_images/639707867553992704/IjwZt_UB_normal.jpg" TargetMode="External"/><Relationship Id="rId4433" Type="http://schemas.openxmlformats.org/officeDocument/2006/relationships/hyperlink" Target="https://twitter.com/irenekoren" TargetMode="External"/><Relationship Id="rId5765" Type="http://schemas.openxmlformats.org/officeDocument/2006/relationships/hyperlink" Target="https://twitter.com/Pvalsfr" TargetMode="External"/><Relationship Id="rId3101" Type="http://schemas.openxmlformats.org/officeDocument/2006/relationships/hyperlink" Target="https://twitter.com/aworsleynz/status/702089813420171264" TargetMode="External"/><Relationship Id="rId4432" Type="http://schemas.openxmlformats.org/officeDocument/2006/relationships/hyperlink" Target="https://pbs.twimg.com/profile_images/477837951309979649/_Cc9fYWM_normal.jpeg" TargetMode="External"/><Relationship Id="rId5766" Type="http://schemas.openxmlformats.org/officeDocument/2006/relationships/hyperlink" Target="https://twitter.com/Pvalsfr/status/702616628836618240" TargetMode="External"/><Relationship Id="rId3104" Type="http://schemas.openxmlformats.org/officeDocument/2006/relationships/hyperlink" Target="https://twitter.com/oscarperpinan/status/702090869877436416" TargetMode="External"/><Relationship Id="rId4435" Type="http://schemas.openxmlformats.org/officeDocument/2006/relationships/hyperlink" Target="https://pbs.twimg.com/profile_images/1459620361/Foto_20_normal.jpg" TargetMode="External"/><Relationship Id="rId5763" Type="http://schemas.openxmlformats.org/officeDocument/2006/relationships/hyperlink" Target="https://twitter.com/segalop/status/702616539703463936" TargetMode="External"/><Relationship Id="rId3103" Type="http://schemas.openxmlformats.org/officeDocument/2006/relationships/hyperlink" Target="https://twitter.com/oscarperpinan" TargetMode="External"/><Relationship Id="rId4434" Type="http://schemas.openxmlformats.org/officeDocument/2006/relationships/hyperlink" Target="https://twitter.com/irenekoren/status/702395583278018563" TargetMode="External"/><Relationship Id="rId5764" Type="http://schemas.openxmlformats.org/officeDocument/2006/relationships/hyperlink" Target="https://pbs.twimg.com/profile_images/470626645083037696/FicOo9YX_normal.jpeg" TargetMode="External"/><Relationship Id="rId3139" Type="http://schemas.openxmlformats.org/officeDocument/2006/relationships/hyperlink" Target="https://twitter.com/noticiasSobreR" TargetMode="External"/><Relationship Id="rId3138" Type="http://schemas.openxmlformats.org/officeDocument/2006/relationships/hyperlink" Target="https://pbs.twimg.com/profile_images/426277834261155840/zr95Y_v2_normal.jpeg" TargetMode="External"/><Relationship Id="rId4469" Type="http://schemas.openxmlformats.org/officeDocument/2006/relationships/hyperlink" Target="https://pbs.twimg.com/profile_images/3581955735/2d95c4f0dae664ff324885d5761a277d_normal.jpeg" TargetMode="External"/><Relationship Id="rId5790" Type="http://schemas.openxmlformats.org/officeDocument/2006/relationships/hyperlink" Target="https://twitter.com/danmaclean/status/702619130873180161" TargetMode="External"/><Relationship Id="rId5791" Type="http://schemas.openxmlformats.org/officeDocument/2006/relationships/hyperlink" Target="https://pbs.twimg.com/profile_images/577840273356554241/qiVBgjfh_normal.jpeg" TargetMode="External"/><Relationship Id="rId4460" Type="http://schemas.openxmlformats.org/officeDocument/2006/relationships/hyperlink" Target="https://pbs.twimg.com/profile_images/3371521249/f14e5be07fcc77cc833d5592b457cd61_normal.jpeg" TargetMode="External"/><Relationship Id="rId3131" Type="http://schemas.openxmlformats.org/officeDocument/2006/relationships/hyperlink" Target="https://twitter.com/Soccermetric/status/702096066368430080" TargetMode="External"/><Relationship Id="rId4462" Type="http://schemas.openxmlformats.org/officeDocument/2006/relationships/hyperlink" Target="https://twitter.com/PLOSBiology/status/702401778634063873" TargetMode="External"/><Relationship Id="rId5794" Type="http://schemas.openxmlformats.org/officeDocument/2006/relationships/hyperlink" Target="https://pbs.twimg.com/profile_images/378800000156144685/0952d52c6be1b79459909c5cafbb5421_normal.jpeg" TargetMode="External"/><Relationship Id="rId3130" Type="http://schemas.openxmlformats.org/officeDocument/2006/relationships/hyperlink" Target="https://twitter.com/Soccermetric" TargetMode="External"/><Relationship Id="rId4461" Type="http://schemas.openxmlformats.org/officeDocument/2006/relationships/hyperlink" Target="https://twitter.com/PLOSBiology" TargetMode="External"/><Relationship Id="rId5795" Type="http://schemas.openxmlformats.org/officeDocument/2006/relationships/hyperlink" Target="https://twitter.com/segalop" TargetMode="External"/><Relationship Id="rId3133" Type="http://schemas.openxmlformats.org/officeDocument/2006/relationships/hyperlink" Target="https://twitter.com/MariaTerolCla" TargetMode="External"/><Relationship Id="rId4464" Type="http://schemas.openxmlformats.org/officeDocument/2006/relationships/hyperlink" Target="https://twitter.com/bkkkk" TargetMode="External"/><Relationship Id="rId5792" Type="http://schemas.openxmlformats.org/officeDocument/2006/relationships/hyperlink" Target="https://twitter.com/le_feufollet" TargetMode="External"/><Relationship Id="rId3132" Type="http://schemas.openxmlformats.org/officeDocument/2006/relationships/hyperlink" Target="https://pbs.twimg.com/profile_images/510235992091918337/SYHHeJnz_normal.jpeg" TargetMode="External"/><Relationship Id="rId4463" Type="http://schemas.openxmlformats.org/officeDocument/2006/relationships/hyperlink" Target="https://pbs.twimg.com/profile_images/2432741784/7kk4r2cpabm7u2lqf17y_normal.jpeg" TargetMode="External"/><Relationship Id="rId5793" Type="http://schemas.openxmlformats.org/officeDocument/2006/relationships/hyperlink" Target="https://twitter.com/le_feufollet/status/702619451464650753" TargetMode="External"/><Relationship Id="rId3135" Type="http://schemas.openxmlformats.org/officeDocument/2006/relationships/hyperlink" Target="https://pbs.twimg.com/profile_images/675703633074397184/KgWRHRVD_normal.jpg" TargetMode="External"/><Relationship Id="rId4466" Type="http://schemas.openxmlformats.org/officeDocument/2006/relationships/hyperlink" Target="https://pbs.twimg.com/profile_images/646081371094564864/5rN00Xrr_normal.jpg" TargetMode="External"/><Relationship Id="rId5798" Type="http://schemas.openxmlformats.org/officeDocument/2006/relationships/hyperlink" Target="https://twitter.com/JamieLarsH" TargetMode="External"/><Relationship Id="rId3134" Type="http://schemas.openxmlformats.org/officeDocument/2006/relationships/hyperlink" Target="https://twitter.com/MariaTerolCla/status/702096070894080001" TargetMode="External"/><Relationship Id="rId4465" Type="http://schemas.openxmlformats.org/officeDocument/2006/relationships/hyperlink" Target="https://twitter.com/bkkkk/status/702402943316836356" TargetMode="External"/><Relationship Id="rId5799" Type="http://schemas.openxmlformats.org/officeDocument/2006/relationships/hyperlink" Target="https://twitter.com/JamieLarsH/status/702619762119970816" TargetMode="External"/><Relationship Id="rId3137" Type="http://schemas.openxmlformats.org/officeDocument/2006/relationships/hyperlink" Target="https://twitter.com/thw_ch/status/702097257022275584" TargetMode="External"/><Relationship Id="rId4468" Type="http://schemas.openxmlformats.org/officeDocument/2006/relationships/hyperlink" Target="https://twitter.com/DrewCronin/status/702405349198921729" TargetMode="External"/><Relationship Id="rId5796" Type="http://schemas.openxmlformats.org/officeDocument/2006/relationships/hyperlink" Target="https://twitter.com/segalop/status/702619636270026754" TargetMode="External"/><Relationship Id="rId3136" Type="http://schemas.openxmlformats.org/officeDocument/2006/relationships/hyperlink" Target="https://twitter.com/thw_ch" TargetMode="External"/><Relationship Id="rId4467" Type="http://schemas.openxmlformats.org/officeDocument/2006/relationships/hyperlink" Target="https://twitter.com/DrewCronin" TargetMode="External"/><Relationship Id="rId5797" Type="http://schemas.openxmlformats.org/officeDocument/2006/relationships/hyperlink" Target="https://pbs.twimg.com/profile_images/470626645083037696/FicOo9YX_normal.jpeg" TargetMode="External"/><Relationship Id="rId3128" Type="http://schemas.openxmlformats.org/officeDocument/2006/relationships/hyperlink" Target="https://twitter.com/zhouzihao97/status/702095985502089218" TargetMode="External"/><Relationship Id="rId4459" Type="http://schemas.openxmlformats.org/officeDocument/2006/relationships/hyperlink" Target="https://twitter.com/schmidtdav/status/702400807896031232" TargetMode="External"/><Relationship Id="rId3127" Type="http://schemas.openxmlformats.org/officeDocument/2006/relationships/hyperlink" Target="https://twitter.com/zhouzihao97" TargetMode="External"/><Relationship Id="rId4458" Type="http://schemas.openxmlformats.org/officeDocument/2006/relationships/hyperlink" Target="https://twitter.com/schmidtdav" TargetMode="External"/><Relationship Id="rId5789" Type="http://schemas.openxmlformats.org/officeDocument/2006/relationships/hyperlink" Target="https://twitter.com/danmaclean" TargetMode="External"/><Relationship Id="rId3129" Type="http://schemas.openxmlformats.org/officeDocument/2006/relationships/hyperlink" Target="https://pbs.twimg.com/profile_images/701357305971879936/MECRjBDY_normal.jpg" TargetMode="External"/><Relationship Id="rId5780" Type="http://schemas.openxmlformats.org/officeDocument/2006/relationships/hyperlink" Target="https://twitter.com/BioMickWatson" TargetMode="External"/><Relationship Id="rId3120" Type="http://schemas.openxmlformats.org/officeDocument/2006/relationships/hyperlink" Target="https://pbs.twimg.com/profile_images/701396411796033536/gge6-6QG_normal.jpg" TargetMode="External"/><Relationship Id="rId4451" Type="http://schemas.openxmlformats.org/officeDocument/2006/relationships/hyperlink" Target="https://pbs.twimg.com/profile_images/378800000785900654/db137f2573665b3091ad03b5937a7302_normal.png" TargetMode="External"/><Relationship Id="rId5783" Type="http://schemas.openxmlformats.org/officeDocument/2006/relationships/hyperlink" Target="https://twitter.com/dataandme" TargetMode="External"/><Relationship Id="rId4450" Type="http://schemas.openxmlformats.org/officeDocument/2006/relationships/hyperlink" Target="https://twitter.com/ardalby/status/702398754532499456" TargetMode="External"/><Relationship Id="rId5784" Type="http://schemas.openxmlformats.org/officeDocument/2006/relationships/hyperlink" Target="https://twitter.com/dataandme/status/702618273523830784" TargetMode="External"/><Relationship Id="rId3122" Type="http://schemas.openxmlformats.org/officeDocument/2006/relationships/hyperlink" Target="https://twitter.com/VMuraliKRaju/status/702095514209157121" TargetMode="External"/><Relationship Id="rId4453" Type="http://schemas.openxmlformats.org/officeDocument/2006/relationships/hyperlink" Target="https://twitter.com/renato_umeton/status/702399048075091968" TargetMode="External"/><Relationship Id="rId5781" Type="http://schemas.openxmlformats.org/officeDocument/2006/relationships/hyperlink" Target="https://twitter.com/BioMickWatson/status/702618097421836288" TargetMode="External"/><Relationship Id="rId3121" Type="http://schemas.openxmlformats.org/officeDocument/2006/relationships/hyperlink" Target="https://twitter.com/VMuraliKRaju" TargetMode="External"/><Relationship Id="rId4452" Type="http://schemas.openxmlformats.org/officeDocument/2006/relationships/hyperlink" Target="https://twitter.com/renato_umeton" TargetMode="External"/><Relationship Id="rId5782" Type="http://schemas.openxmlformats.org/officeDocument/2006/relationships/hyperlink" Target="https://pbs.twimg.com/profile_images/686361651730223104/sxB0jUTq_normal.jpg" TargetMode="External"/><Relationship Id="rId3124" Type="http://schemas.openxmlformats.org/officeDocument/2006/relationships/hyperlink" Target="https://twitter.com/yutannihilation" TargetMode="External"/><Relationship Id="rId4455" Type="http://schemas.openxmlformats.org/officeDocument/2006/relationships/hyperlink" Target="https://twitter.com/kylehamilton" TargetMode="External"/><Relationship Id="rId5787" Type="http://schemas.openxmlformats.org/officeDocument/2006/relationships/hyperlink" Target="https://twitter.com/sjackman/status/702618651111718912" TargetMode="External"/><Relationship Id="rId3123" Type="http://schemas.openxmlformats.org/officeDocument/2006/relationships/hyperlink" Target="https://abs.twimg.com/sticky/default_profile_images/default_profile_2_normal.png" TargetMode="External"/><Relationship Id="rId4454" Type="http://schemas.openxmlformats.org/officeDocument/2006/relationships/hyperlink" Target="https://pbs.twimg.com/profile_images/701553083537604608/nr8b38eG_normal.jpg" TargetMode="External"/><Relationship Id="rId5788" Type="http://schemas.openxmlformats.org/officeDocument/2006/relationships/hyperlink" Target="https://pbs.twimg.com/profile_images/1477813716/sdj-headshot-square_normal.jpg" TargetMode="External"/><Relationship Id="rId3126" Type="http://schemas.openxmlformats.org/officeDocument/2006/relationships/hyperlink" Target="https://pbs.twimg.com/profile_images/692351230991929344/HMNNQlNZ_normal.png" TargetMode="External"/><Relationship Id="rId4457" Type="http://schemas.openxmlformats.org/officeDocument/2006/relationships/hyperlink" Target="https://pbs.twimg.com/profile_images/456968381338357760/0L5lghyl_normal.jpeg" TargetMode="External"/><Relationship Id="rId5785" Type="http://schemas.openxmlformats.org/officeDocument/2006/relationships/hyperlink" Target="https://pbs.twimg.com/profile_images/598126722920361984/HdS1NWXJ_normal.png" TargetMode="External"/><Relationship Id="rId3125" Type="http://schemas.openxmlformats.org/officeDocument/2006/relationships/hyperlink" Target="https://twitter.com/yutannihilation/status/702095620593422336" TargetMode="External"/><Relationship Id="rId4456" Type="http://schemas.openxmlformats.org/officeDocument/2006/relationships/hyperlink" Target="https://twitter.com/kylehamilton/status/702399382063333377" TargetMode="External"/><Relationship Id="rId5786" Type="http://schemas.openxmlformats.org/officeDocument/2006/relationships/hyperlink" Target="https://twitter.com/sjackman" TargetMode="External"/><Relationship Id="rId4404" Type="http://schemas.openxmlformats.org/officeDocument/2006/relationships/hyperlink" Target="https://twitter.com/UBCGlynnis/status/702378165818228737" TargetMode="External"/><Relationship Id="rId5736" Type="http://schemas.openxmlformats.org/officeDocument/2006/relationships/hyperlink" Target="https://pbs.twimg.com/profile_images/378800000382563900/3ef97031f8de17c7a8a3272660e9ebeb_normal.jpeg" TargetMode="External"/><Relationship Id="rId4403" Type="http://schemas.openxmlformats.org/officeDocument/2006/relationships/hyperlink" Target="https://twitter.com/UBCGlynnis" TargetMode="External"/><Relationship Id="rId5737" Type="http://schemas.openxmlformats.org/officeDocument/2006/relationships/hyperlink" Target="https://twitter.com/Rbloggers" TargetMode="External"/><Relationship Id="rId4406" Type="http://schemas.openxmlformats.org/officeDocument/2006/relationships/hyperlink" Target="https://twitter.com/patternproject" TargetMode="External"/><Relationship Id="rId5734" Type="http://schemas.openxmlformats.org/officeDocument/2006/relationships/hyperlink" Target="https://twitter.com/jesus_leal" TargetMode="External"/><Relationship Id="rId4405" Type="http://schemas.openxmlformats.org/officeDocument/2006/relationships/hyperlink" Target="https://pbs.twimg.com/profile_images/685968895572742144/fBw39iiU_normal.jpg" TargetMode="External"/><Relationship Id="rId5735" Type="http://schemas.openxmlformats.org/officeDocument/2006/relationships/hyperlink" Target="https://twitter.com/jesus_leal/status/702611509445316609" TargetMode="External"/><Relationship Id="rId4408" Type="http://schemas.openxmlformats.org/officeDocument/2006/relationships/hyperlink" Target="https://abs.twimg.com/sticky/default_profile_images/default_profile_0_normal.png" TargetMode="External"/><Relationship Id="rId4407" Type="http://schemas.openxmlformats.org/officeDocument/2006/relationships/hyperlink" Target="https://twitter.com/patternproject/status/702379385488351235" TargetMode="External"/><Relationship Id="rId5738" Type="http://schemas.openxmlformats.org/officeDocument/2006/relationships/hyperlink" Target="https://twitter.com/Rbloggers/status/702611548104060928" TargetMode="External"/><Relationship Id="rId4409" Type="http://schemas.openxmlformats.org/officeDocument/2006/relationships/hyperlink" Target="https://twitter.com/patternproject" TargetMode="External"/><Relationship Id="rId5739" Type="http://schemas.openxmlformats.org/officeDocument/2006/relationships/hyperlink" Target="http://r-bloggers.com" TargetMode="External"/><Relationship Id="rId4400" Type="http://schemas.openxmlformats.org/officeDocument/2006/relationships/hyperlink" Target="https://twitter.com/ucfagls" TargetMode="External"/><Relationship Id="rId5732" Type="http://schemas.openxmlformats.org/officeDocument/2006/relationships/hyperlink" Target="https://twitter.com/DataScienceMA/status/702610240857047041" TargetMode="External"/><Relationship Id="rId5733" Type="http://schemas.openxmlformats.org/officeDocument/2006/relationships/hyperlink" Target="https://pbs.twimg.com/profile_images/680413727695499268/gF7xtWDZ_normal.png" TargetMode="External"/><Relationship Id="rId4402" Type="http://schemas.openxmlformats.org/officeDocument/2006/relationships/hyperlink" Target="https://pbs.twimg.com/profile_images/564871970454401024/omH5A6W0_normal.png" TargetMode="External"/><Relationship Id="rId5730" Type="http://schemas.openxmlformats.org/officeDocument/2006/relationships/hyperlink" Target="https://pbs.twimg.com/profile_images/3553053117/984554eeaf69e22dde9037f3e0fc2bd4_normal.jpeg" TargetMode="External"/><Relationship Id="rId4401" Type="http://schemas.openxmlformats.org/officeDocument/2006/relationships/hyperlink" Target="https://twitter.com/ucfagls/status/702373660452122625" TargetMode="External"/><Relationship Id="rId5731" Type="http://schemas.openxmlformats.org/officeDocument/2006/relationships/hyperlink" Target="https://twitter.com/DataScienceMA" TargetMode="External"/><Relationship Id="rId5725" Type="http://schemas.openxmlformats.org/officeDocument/2006/relationships/hyperlink" Target="https://twitter.com/ONeillMB1" TargetMode="External"/><Relationship Id="rId5726" Type="http://schemas.openxmlformats.org/officeDocument/2006/relationships/hyperlink" Target="https://twitter.com/ONeillMB1/status/702609414373543936" TargetMode="External"/><Relationship Id="rId5723" Type="http://schemas.openxmlformats.org/officeDocument/2006/relationships/hyperlink" Target="https://twitter.com/Harding_Derek/status/702609325089386496" TargetMode="External"/><Relationship Id="rId5724" Type="http://schemas.openxmlformats.org/officeDocument/2006/relationships/hyperlink" Target="https://pbs.twimg.com/profile_images/638941071062528000/2wsOPmQH_normal.jpg" TargetMode="External"/><Relationship Id="rId5729" Type="http://schemas.openxmlformats.org/officeDocument/2006/relationships/hyperlink" Target="https://twitter.com/komakusaryama/status/702610231948218368" TargetMode="External"/><Relationship Id="rId5727" Type="http://schemas.openxmlformats.org/officeDocument/2006/relationships/hyperlink" Target="https://pbs.twimg.com/profile_images/668552427667193856/VKYWr9Mo_normal.jpg" TargetMode="External"/><Relationship Id="rId5728" Type="http://schemas.openxmlformats.org/officeDocument/2006/relationships/hyperlink" Target="https://twitter.com/komakusaryama" TargetMode="External"/><Relationship Id="rId5721" Type="http://schemas.openxmlformats.org/officeDocument/2006/relationships/hyperlink" Target="https://pbs.twimg.com/profile_images/378800000059126288/17d4fa184bbd13c1e64465a3cc234efc_normal.jpeg" TargetMode="External"/><Relationship Id="rId5722" Type="http://schemas.openxmlformats.org/officeDocument/2006/relationships/hyperlink" Target="https://twitter.com/Harding_Derek" TargetMode="External"/><Relationship Id="rId5720" Type="http://schemas.openxmlformats.org/officeDocument/2006/relationships/hyperlink" Target="https://twitter.com/LovedeepSG/status/702609190066397184" TargetMode="External"/><Relationship Id="rId4426" Type="http://schemas.openxmlformats.org/officeDocument/2006/relationships/hyperlink" Target="https://pbs.twimg.com/profile_images/2845473813/da9485b48e25ac7c3de3547581a4f285_normal.jpeg" TargetMode="External"/><Relationship Id="rId5758" Type="http://schemas.openxmlformats.org/officeDocument/2006/relationships/hyperlink" Target="https://pbs.twimg.com/profile_images/656893794302849024/VksKEbZm_normal.jpg" TargetMode="External"/><Relationship Id="rId4425" Type="http://schemas.openxmlformats.org/officeDocument/2006/relationships/hyperlink" Target="https://twitter.com/aleeix4/status/702384265292546048" TargetMode="External"/><Relationship Id="rId5759" Type="http://schemas.openxmlformats.org/officeDocument/2006/relationships/hyperlink" Target="https://twitter.com/segalop" TargetMode="External"/><Relationship Id="rId4428" Type="http://schemas.openxmlformats.org/officeDocument/2006/relationships/hyperlink" Target="https://twitter.com/aleeix4/status/702384871088455681" TargetMode="External"/><Relationship Id="rId5756" Type="http://schemas.openxmlformats.org/officeDocument/2006/relationships/hyperlink" Target="https://twitter.com/cbahlai" TargetMode="External"/><Relationship Id="rId4427" Type="http://schemas.openxmlformats.org/officeDocument/2006/relationships/hyperlink" Target="https://twitter.com/aleeix4" TargetMode="External"/><Relationship Id="rId5757" Type="http://schemas.openxmlformats.org/officeDocument/2006/relationships/hyperlink" Target="https://twitter.com/cbahlai/status/702614596004270081" TargetMode="External"/><Relationship Id="rId4429" Type="http://schemas.openxmlformats.org/officeDocument/2006/relationships/hyperlink" Target="https://pbs.twimg.com/profile_images/2845473813/da9485b48e25ac7c3de3547581a4f285_normal.jpeg" TargetMode="External"/><Relationship Id="rId5750" Type="http://schemas.openxmlformats.org/officeDocument/2006/relationships/hyperlink" Target="https://twitter.com/renato_umeton" TargetMode="External"/><Relationship Id="rId5751" Type="http://schemas.openxmlformats.org/officeDocument/2006/relationships/hyperlink" Target="https://twitter.com/renato_umeton/status/702612397165572097" TargetMode="External"/><Relationship Id="rId4420" Type="http://schemas.openxmlformats.org/officeDocument/2006/relationships/hyperlink" Target="https://pbs.twimg.com/profile_images/606600025527959552/DR1k8GAH_normal.jpg" TargetMode="External"/><Relationship Id="rId4422" Type="http://schemas.openxmlformats.org/officeDocument/2006/relationships/hyperlink" Target="https://twitter.com/ellis2013nz/status/702380545272094720" TargetMode="External"/><Relationship Id="rId5754" Type="http://schemas.openxmlformats.org/officeDocument/2006/relationships/hyperlink" Target="https://twitter.com/LoveStats/status/702613997460140032" TargetMode="External"/><Relationship Id="rId4421" Type="http://schemas.openxmlformats.org/officeDocument/2006/relationships/hyperlink" Target="https://twitter.com/ellis2013nz" TargetMode="External"/><Relationship Id="rId5755" Type="http://schemas.openxmlformats.org/officeDocument/2006/relationships/hyperlink" Target="https://pbs.twimg.com/profile_images/558715936320933888/H8yYFJIV_normal.png" TargetMode="External"/><Relationship Id="rId4424" Type="http://schemas.openxmlformats.org/officeDocument/2006/relationships/hyperlink" Target="https://twitter.com/aleeix4" TargetMode="External"/><Relationship Id="rId5752" Type="http://schemas.openxmlformats.org/officeDocument/2006/relationships/hyperlink" Target="https://pbs.twimg.com/profile_images/701553083537604608/nr8b38eG_normal.jpg" TargetMode="External"/><Relationship Id="rId4423" Type="http://schemas.openxmlformats.org/officeDocument/2006/relationships/hyperlink" Target="https://pbs.twimg.com/profile_images/618224596798476288/n9IN8hcm_normal.jpg" TargetMode="External"/><Relationship Id="rId5753" Type="http://schemas.openxmlformats.org/officeDocument/2006/relationships/hyperlink" Target="https://twitter.com/LoveStats" TargetMode="External"/><Relationship Id="rId4415" Type="http://schemas.openxmlformats.org/officeDocument/2006/relationships/hyperlink" Target="https://twitter.com/DailyRpackage" TargetMode="External"/><Relationship Id="rId5747" Type="http://schemas.openxmlformats.org/officeDocument/2006/relationships/hyperlink" Target="https://twitter.com/CjMrcamiel" TargetMode="External"/><Relationship Id="rId4414" Type="http://schemas.openxmlformats.org/officeDocument/2006/relationships/hyperlink" Target="https://abs.twimg.com/sticky/default_profile_images/default_profile_0_normal.png" TargetMode="External"/><Relationship Id="rId5748" Type="http://schemas.openxmlformats.org/officeDocument/2006/relationships/hyperlink" Target="https://twitter.com/CjMrcamiel/status/702612267943133184" TargetMode="External"/><Relationship Id="rId4417" Type="http://schemas.openxmlformats.org/officeDocument/2006/relationships/hyperlink" Target="https://pbs.twimg.com/profile_images/3438004205/66da7270714af4309d185b958c4bb8be_normal.jpeg" TargetMode="External"/><Relationship Id="rId5745" Type="http://schemas.openxmlformats.org/officeDocument/2006/relationships/hyperlink" Target="https://twitter.com/MBarakso/status/702612233528975360" TargetMode="External"/><Relationship Id="rId4416" Type="http://schemas.openxmlformats.org/officeDocument/2006/relationships/hyperlink" Target="https://twitter.com/DailyRpackage/status/702379940847755267" TargetMode="External"/><Relationship Id="rId5746" Type="http://schemas.openxmlformats.org/officeDocument/2006/relationships/hyperlink" Target="https://pbs.twimg.com/profile_images/692802823277248512/62Y-LTYq_normal.jpg" TargetMode="External"/><Relationship Id="rId4419" Type="http://schemas.openxmlformats.org/officeDocument/2006/relationships/hyperlink" Target="https://twitter.com/joelgombin/status/702380004739567617" TargetMode="External"/><Relationship Id="rId4418" Type="http://schemas.openxmlformats.org/officeDocument/2006/relationships/hyperlink" Target="https://twitter.com/joelgombin" TargetMode="External"/><Relationship Id="rId5749" Type="http://schemas.openxmlformats.org/officeDocument/2006/relationships/hyperlink" Target="https://pbs.twimg.com/profile_images/378800000254021542/887553be439db2d83c346af322b2e8ec_normal.jpeg" TargetMode="External"/><Relationship Id="rId5740" Type="http://schemas.openxmlformats.org/officeDocument/2006/relationships/hyperlink" Target="https://pbs.twimg.com/profile_images/502185985786916864/gkdFh-q7_normal.png" TargetMode="External"/><Relationship Id="rId4411" Type="http://schemas.openxmlformats.org/officeDocument/2006/relationships/hyperlink" Target="https://abs.twimg.com/sticky/default_profile_images/default_profile_0_normal.png" TargetMode="External"/><Relationship Id="rId5743" Type="http://schemas.openxmlformats.org/officeDocument/2006/relationships/hyperlink" Target="https://pbs.twimg.com/profile_images/599338657166692352/7NAECLwE_normal.jpg" TargetMode="External"/><Relationship Id="rId4410" Type="http://schemas.openxmlformats.org/officeDocument/2006/relationships/hyperlink" Target="https://twitter.com/patternproject/status/702379435287298048" TargetMode="External"/><Relationship Id="rId5744" Type="http://schemas.openxmlformats.org/officeDocument/2006/relationships/hyperlink" Target="https://twitter.com/MBarakso" TargetMode="External"/><Relationship Id="rId4413" Type="http://schemas.openxmlformats.org/officeDocument/2006/relationships/hyperlink" Target="https://twitter.com/patternproject/status/702379527490682880" TargetMode="External"/><Relationship Id="rId5741" Type="http://schemas.openxmlformats.org/officeDocument/2006/relationships/hyperlink" Target="https://twitter.com/emayfarris" TargetMode="External"/><Relationship Id="rId4412" Type="http://schemas.openxmlformats.org/officeDocument/2006/relationships/hyperlink" Target="https://twitter.com/patternproject" TargetMode="External"/><Relationship Id="rId5742" Type="http://schemas.openxmlformats.org/officeDocument/2006/relationships/hyperlink" Target="https://twitter.com/emayfarris/status/702611596137267201" TargetMode="External"/><Relationship Id="rId3191" Type="http://schemas.openxmlformats.org/officeDocument/2006/relationships/hyperlink" Target="https://twitter.com/agroinformatik/status/702109098771406849" TargetMode="External"/><Relationship Id="rId3190" Type="http://schemas.openxmlformats.org/officeDocument/2006/relationships/hyperlink" Target="https://twitter.com/agroinformatik" TargetMode="External"/><Relationship Id="rId3193" Type="http://schemas.openxmlformats.org/officeDocument/2006/relationships/hyperlink" Target="https://twitter.com/RKSpinks" TargetMode="External"/><Relationship Id="rId3192" Type="http://schemas.openxmlformats.org/officeDocument/2006/relationships/hyperlink" Target="https://pbs.twimg.com/profile_images/692912850948505601/Yg24W0zv_normal.jpg" TargetMode="External"/><Relationship Id="rId3195" Type="http://schemas.openxmlformats.org/officeDocument/2006/relationships/hyperlink" Target="https://pbs.twimg.com/profile_images/699228285016748032/XaFZ1evy_normal.jpg" TargetMode="External"/><Relationship Id="rId3194" Type="http://schemas.openxmlformats.org/officeDocument/2006/relationships/hyperlink" Target="https://twitter.com/RKSpinks/status/702109333803282433" TargetMode="External"/><Relationship Id="rId3197" Type="http://schemas.openxmlformats.org/officeDocument/2006/relationships/hyperlink" Target="https://twitter.com/disgamechanger/status/702110120906518528" TargetMode="External"/><Relationship Id="rId3196" Type="http://schemas.openxmlformats.org/officeDocument/2006/relationships/hyperlink" Target="https://twitter.com/disgamechanger" TargetMode="External"/><Relationship Id="rId3199" Type="http://schemas.openxmlformats.org/officeDocument/2006/relationships/hyperlink" Target="https://twitter.com/lisachwinter" TargetMode="External"/><Relationship Id="rId3198" Type="http://schemas.openxmlformats.org/officeDocument/2006/relationships/hyperlink" Target="https://pbs.twimg.com/profile_images/689565227529166848/jBTlxGIG_normal.jpg" TargetMode="External"/><Relationship Id="rId3180" Type="http://schemas.openxmlformats.org/officeDocument/2006/relationships/hyperlink" Target="https://pbs.twimg.com/profile_images/550280885480603648/jye_0y8s_normal.png" TargetMode="External"/><Relationship Id="rId3182" Type="http://schemas.openxmlformats.org/officeDocument/2006/relationships/hyperlink" Target="https://twitter.com/hrbrmstr/status/702107432663851009" TargetMode="External"/><Relationship Id="rId3181" Type="http://schemas.openxmlformats.org/officeDocument/2006/relationships/hyperlink" Target="https://twitter.com/hrbrmstr" TargetMode="External"/><Relationship Id="rId3184" Type="http://schemas.openxmlformats.org/officeDocument/2006/relationships/hyperlink" Target="https://twitter.com/ameanmbot" TargetMode="External"/><Relationship Id="rId3183" Type="http://schemas.openxmlformats.org/officeDocument/2006/relationships/hyperlink" Target="https://pbs.twimg.com/profile_images/557592259298729985/kpCUQWH1_normal.png" TargetMode="External"/><Relationship Id="rId3186" Type="http://schemas.openxmlformats.org/officeDocument/2006/relationships/hyperlink" Target="https://pbs.twimg.com/profile_images/481334978161029120/iu3zZFEk_normal.png" TargetMode="External"/><Relationship Id="rId3185" Type="http://schemas.openxmlformats.org/officeDocument/2006/relationships/hyperlink" Target="https://twitter.com/ameanmbot/status/702107438653317121" TargetMode="External"/><Relationship Id="rId3188" Type="http://schemas.openxmlformats.org/officeDocument/2006/relationships/hyperlink" Target="https://twitter.com/mrcroissant/status/702107905517101058" TargetMode="External"/><Relationship Id="rId3187" Type="http://schemas.openxmlformats.org/officeDocument/2006/relationships/hyperlink" Target="https://twitter.com/mrcroissant" TargetMode="External"/><Relationship Id="rId3189" Type="http://schemas.openxmlformats.org/officeDocument/2006/relationships/hyperlink" Target="https://pbs.twimg.com/profile_images/702172330286518272/ibH7PYcm_normal.jpg" TargetMode="External"/><Relationship Id="rId4480" Type="http://schemas.openxmlformats.org/officeDocument/2006/relationships/hyperlink" Target="https://twitter.com/aworsleynz/status/702406400979378179" TargetMode="External"/><Relationship Id="rId3151" Type="http://schemas.openxmlformats.org/officeDocument/2006/relationships/hyperlink" Target="https://twitter.com/cartesianfaith" TargetMode="External"/><Relationship Id="rId4482" Type="http://schemas.openxmlformats.org/officeDocument/2006/relationships/hyperlink" Target="https://twitter.com/dataprix" TargetMode="External"/><Relationship Id="rId3150" Type="http://schemas.openxmlformats.org/officeDocument/2006/relationships/hyperlink" Target="https://pbs.twimg.com/profile_images/652130886721372160/mFFnmhJl_normal.png" TargetMode="External"/><Relationship Id="rId4481" Type="http://schemas.openxmlformats.org/officeDocument/2006/relationships/hyperlink" Target="https://pbs.twimg.com/profile_images/639707867553992704/IjwZt_UB_normal.jpg" TargetMode="External"/><Relationship Id="rId3153" Type="http://schemas.openxmlformats.org/officeDocument/2006/relationships/hyperlink" Target="https://pbs.twimg.com/profile_images/439165679602647040/f6VDw3GJ_normal.jpeg" TargetMode="External"/><Relationship Id="rId4484" Type="http://schemas.openxmlformats.org/officeDocument/2006/relationships/hyperlink" Target="https://pbs.twimg.com/profile_images/701068875/isotipo_dataprix_screen_96_normal.jpg" TargetMode="External"/><Relationship Id="rId3152" Type="http://schemas.openxmlformats.org/officeDocument/2006/relationships/hyperlink" Target="https://twitter.com/cartesianfaith/status/702102028445732864" TargetMode="External"/><Relationship Id="rId4483" Type="http://schemas.openxmlformats.org/officeDocument/2006/relationships/hyperlink" Target="https://twitter.com/dataprix/status/702407433734529024" TargetMode="External"/><Relationship Id="rId3155" Type="http://schemas.openxmlformats.org/officeDocument/2006/relationships/hyperlink" Target="https://twitter.com/atiretoo/status/702102180325490689" TargetMode="External"/><Relationship Id="rId4486" Type="http://schemas.openxmlformats.org/officeDocument/2006/relationships/hyperlink" Target="https://twitter.com/ahmedfouadfarg1/status/702407459554594816" TargetMode="External"/><Relationship Id="rId3154" Type="http://schemas.openxmlformats.org/officeDocument/2006/relationships/hyperlink" Target="https://twitter.com/atiretoo" TargetMode="External"/><Relationship Id="rId4485" Type="http://schemas.openxmlformats.org/officeDocument/2006/relationships/hyperlink" Target="https://twitter.com/ahmedfouadfarg1" TargetMode="External"/><Relationship Id="rId3157" Type="http://schemas.openxmlformats.org/officeDocument/2006/relationships/hyperlink" Target="https://twitter.com/cartocalypse" TargetMode="External"/><Relationship Id="rId4488" Type="http://schemas.openxmlformats.org/officeDocument/2006/relationships/hyperlink" Target="https://twitter.com/gd047" TargetMode="External"/><Relationship Id="rId3156" Type="http://schemas.openxmlformats.org/officeDocument/2006/relationships/hyperlink" Target="https://pbs.twimg.com/profile_images/591269568506531840/Xk6GaBN0_normal.jpg" TargetMode="External"/><Relationship Id="rId4487" Type="http://schemas.openxmlformats.org/officeDocument/2006/relationships/hyperlink" Target="https://pbs.twimg.com/profile_images/412199926840324097/lonwxdri_normal.jpeg" TargetMode="External"/><Relationship Id="rId3159" Type="http://schemas.openxmlformats.org/officeDocument/2006/relationships/hyperlink" Target="https://pbs.twimg.com/profile_images/664916161461624833/98OgXjT2_normal.jpg" TargetMode="External"/><Relationship Id="rId3158" Type="http://schemas.openxmlformats.org/officeDocument/2006/relationships/hyperlink" Target="https://twitter.com/cartocalypse/status/702102436606046208" TargetMode="External"/><Relationship Id="rId4489" Type="http://schemas.openxmlformats.org/officeDocument/2006/relationships/hyperlink" Target="https://twitter.com/gd047/status/702407673464152065" TargetMode="External"/><Relationship Id="rId3149" Type="http://schemas.openxmlformats.org/officeDocument/2006/relationships/hyperlink" Target="https://twitter.com/datiobdEng/status/702101426709917697" TargetMode="External"/><Relationship Id="rId3140" Type="http://schemas.openxmlformats.org/officeDocument/2006/relationships/hyperlink" Target="https://twitter.com/noticiasSobreR/status/702097812192944128" TargetMode="External"/><Relationship Id="rId4471" Type="http://schemas.openxmlformats.org/officeDocument/2006/relationships/hyperlink" Target="https://twitter.com/hughparsonage/status/702405384955363328" TargetMode="External"/><Relationship Id="rId4470" Type="http://schemas.openxmlformats.org/officeDocument/2006/relationships/hyperlink" Target="https://twitter.com/hughparsonage" TargetMode="External"/><Relationship Id="rId3142" Type="http://schemas.openxmlformats.org/officeDocument/2006/relationships/hyperlink" Target="https://twitter.com/ChengSoonOng" TargetMode="External"/><Relationship Id="rId4473" Type="http://schemas.openxmlformats.org/officeDocument/2006/relationships/hyperlink" Target="https://twitter.com/MColebrook" TargetMode="External"/><Relationship Id="rId3141" Type="http://schemas.openxmlformats.org/officeDocument/2006/relationships/hyperlink" Target="https://abs.twimg.com/sticky/default_profile_images/default_profile_3_normal.png" TargetMode="External"/><Relationship Id="rId4472" Type="http://schemas.openxmlformats.org/officeDocument/2006/relationships/hyperlink" Target="https://pbs.twimg.com/profile_images/378800000404942836/cd246e16e3343001c43f3fbf3d620d41_normal.png" TargetMode="External"/><Relationship Id="rId3144" Type="http://schemas.openxmlformats.org/officeDocument/2006/relationships/hyperlink" Target="https://pbs.twimg.com/profile_images/378800000668979300/5be06c7465b26cbbf883cff34ecc78bd_normal.png" TargetMode="External"/><Relationship Id="rId4475" Type="http://schemas.openxmlformats.org/officeDocument/2006/relationships/hyperlink" Target="https://pbs.twimg.com/profile_images/673842342349156352/bbNaONv5_normal.jpg" TargetMode="External"/><Relationship Id="rId3143" Type="http://schemas.openxmlformats.org/officeDocument/2006/relationships/hyperlink" Target="https://twitter.com/ChengSoonOng/status/702099568050180096" TargetMode="External"/><Relationship Id="rId4474" Type="http://schemas.openxmlformats.org/officeDocument/2006/relationships/hyperlink" Target="https://twitter.com/MColebrook/status/702405603948371969" TargetMode="External"/><Relationship Id="rId3146" Type="http://schemas.openxmlformats.org/officeDocument/2006/relationships/hyperlink" Target="https://twitter.com/techilatech/status/702099880295186433" TargetMode="External"/><Relationship Id="rId4477" Type="http://schemas.openxmlformats.org/officeDocument/2006/relationships/hyperlink" Target="https://twitter.com/datasciencefan/status/702406388979355648" TargetMode="External"/><Relationship Id="rId3145" Type="http://schemas.openxmlformats.org/officeDocument/2006/relationships/hyperlink" Target="https://twitter.com/techilatech" TargetMode="External"/><Relationship Id="rId4476" Type="http://schemas.openxmlformats.org/officeDocument/2006/relationships/hyperlink" Target="https://twitter.com/datasciencefan" TargetMode="External"/><Relationship Id="rId3148" Type="http://schemas.openxmlformats.org/officeDocument/2006/relationships/hyperlink" Target="https://twitter.com/datiobdEng" TargetMode="External"/><Relationship Id="rId4479" Type="http://schemas.openxmlformats.org/officeDocument/2006/relationships/hyperlink" Target="https://twitter.com/aworsleynz" TargetMode="External"/><Relationship Id="rId3147" Type="http://schemas.openxmlformats.org/officeDocument/2006/relationships/hyperlink" Target="https://pbs.twimg.com/profile_images/1228007814/techila_symbol_normal.jpg" TargetMode="External"/><Relationship Id="rId4478" Type="http://schemas.openxmlformats.org/officeDocument/2006/relationships/hyperlink" Target="https://pbs.twimg.com/profile_images/680007215424618496/jKN3QBWT_normal.png" TargetMode="External"/><Relationship Id="rId3171" Type="http://schemas.openxmlformats.org/officeDocument/2006/relationships/hyperlink" Target="https://pbs.twimg.com/profile_images/601032786233991169/9qzqHUlS_normal.png" TargetMode="External"/><Relationship Id="rId3170" Type="http://schemas.openxmlformats.org/officeDocument/2006/relationships/hyperlink" Target="https://twitter.com/TeppoTammisto/status/702104056316219392" TargetMode="External"/><Relationship Id="rId3173" Type="http://schemas.openxmlformats.org/officeDocument/2006/relationships/hyperlink" Target="https://twitter.com/hrbrmstr/status/702104665949925377" TargetMode="External"/><Relationship Id="rId3172" Type="http://schemas.openxmlformats.org/officeDocument/2006/relationships/hyperlink" Target="https://twitter.com/hrbrmstr" TargetMode="External"/><Relationship Id="rId3175" Type="http://schemas.openxmlformats.org/officeDocument/2006/relationships/hyperlink" Target="https://twitter.com/leach_jim" TargetMode="External"/><Relationship Id="rId3174" Type="http://schemas.openxmlformats.org/officeDocument/2006/relationships/hyperlink" Target="https://pbs.twimg.com/profile_images/557592259298729985/kpCUQWH1_normal.png" TargetMode="External"/><Relationship Id="rId3177" Type="http://schemas.openxmlformats.org/officeDocument/2006/relationships/hyperlink" Target="https://pbs.twimg.com/profile_images/606390830874697729/NeUj44E2_normal.jpg" TargetMode="External"/><Relationship Id="rId3176" Type="http://schemas.openxmlformats.org/officeDocument/2006/relationships/hyperlink" Target="https://twitter.com/leach_jim/status/702106273047834624" TargetMode="External"/><Relationship Id="rId3179" Type="http://schemas.openxmlformats.org/officeDocument/2006/relationships/hyperlink" Target="https://twitter.com/ShinyappsRecent/status/702106887559360512" TargetMode="External"/><Relationship Id="rId3178" Type="http://schemas.openxmlformats.org/officeDocument/2006/relationships/hyperlink" Target="https://twitter.com/ShinyappsRecent" TargetMode="External"/><Relationship Id="rId3160" Type="http://schemas.openxmlformats.org/officeDocument/2006/relationships/hyperlink" Target="https://twitter.com/HanleyOpik" TargetMode="External"/><Relationship Id="rId4491" Type="http://schemas.openxmlformats.org/officeDocument/2006/relationships/hyperlink" Target="https://twitter.com/BigDataTweetBot" TargetMode="External"/><Relationship Id="rId4490" Type="http://schemas.openxmlformats.org/officeDocument/2006/relationships/hyperlink" Target="https://pbs.twimg.com/profile_images/485839550162272259/IA4bC8wX_normal.jpeg" TargetMode="External"/><Relationship Id="rId3162" Type="http://schemas.openxmlformats.org/officeDocument/2006/relationships/hyperlink" Target="https://pbs.twimg.com/profile_images/703216020220149760/fch6l3NM_normal.jpg" TargetMode="External"/><Relationship Id="rId4493" Type="http://schemas.openxmlformats.org/officeDocument/2006/relationships/hyperlink" Target="https://pbs.twimg.com/profile_images/616793252524650496/bQbxJqmz_normal.jpg" TargetMode="External"/><Relationship Id="rId3161" Type="http://schemas.openxmlformats.org/officeDocument/2006/relationships/hyperlink" Target="https://twitter.com/HanleyOpik/status/702102558450577410" TargetMode="External"/><Relationship Id="rId4492" Type="http://schemas.openxmlformats.org/officeDocument/2006/relationships/hyperlink" Target="https://twitter.com/BigDataTweetBot/status/702407736575844352" TargetMode="External"/><Relationship Id="rId3164" Type="http://schemas.openxmlformats.org/officeDocument/2006/relationships/hyperlink" Target="https://twitter.com/WildSheffield/status/702102558530281472" TargetMode="External"/><Relationship Id="rId4495" Type="http://schemas.openxmlformats.org/officeDocument/2006/relationships/hyperlink" Target="https://twitter.com/BigDataTweetBot/status/702407810743734273" TargetMode="External"/><Relationship Id="rId3163" Type="http://schemas.openxmlformats.org/officeDocument/2006/relationships/hyperlink" Target="https://twitter.com/WildSheffield" TargetMode="External"/><Relationship Id="rId4494" Type="http://schemas.openxmlformats.org/officeDocument/2006/relationships/hyperlink" Target="https://twitter.com/BigDataTweetBot" TargetMode="External"/><Relationship Id="rId3166" Type="http://schemas.openxmlformats.org/officeDocument/2006/relationships/hyperlink" Target="https://twitter.com/CRANberriesFeed" TargetMode="External"/><Relationship Id="rId4497" Type="http://schemas.openxmlformats.org/officeDocument/2006/relationships/hyperlink" Target="https://twitter.com/AmpiHD" TargetMode="External"/><Relationship Id="rId3165" Type="http://schemas.openxmlformats.org/officeDocument/2006/relationships/hyperlink" Target="https://pbs.twimg.com/profile_images/1252225731/SWT_RotherhamTwitter_normal.jpg" TargetMode="External"/><Relationship Id="rId4496" Type="http://schemas.openxmlformats.org/officeDocument/2006/relationships/hyperlink" Target="https://pbs.twimg.com/profile_images/616793252524650496/bQbxJqmz_normal.jpg" TargetMode="External"/><Relationship Id="rId3168" Type="http://schemas.openxmlformats.org/officeDocument/2006/relationships/hyperlink" Target="https://pbs.twimg.com/profile_images/1222779560/cran1_normal.jpg" TargetMode="External"/><Relationship Id="rId4499" Type="http://schemas.openxmlformats.org/officeDocument/2006/relationships/hyperlink" Target="https://pbs.twimg.com/profile_images/680081134869430272/NIdO8gxL_normal.jpg" TargetMode="External"/><Relationship Id="rId3167" Type="http://schemas.openxmlformats.org/officeDocument/2006/relationships/hyperlink" Target="https://twitter.com/CRANberriesFeed/status/702104023692926976" TargetMode="External"/><Relationship Id="rId4498" Type="http://schemas.openxmlformats.org/officeDocument/2006/relationships/hyperlink" Target="https://twitter.com/AmpiHD/status/702407987571326977" TargetMode="External"/><Relationship Id="rId3169" Type="http://schemas.openxmlformats.org/officeDocument/2006/relationships/hyperlink" Target="https://twitter.com/TeppoTammisto" TargetMode="External"/><Relationship Id="rId8002" Type="http://schemas.openxmlformats.org/officeDocument/2006/relationships/hyperlink" Target="https://twitter.com/pa_marais" TargetMode="External"/><Relationship Id="rId8001" Type="http://schemas.openxmlformats.org/officeDocument/2006/relationships/hyperlink" Target="https://pbs.twimg.com/profile_images/662342111799304192/Xtv8MZ-P_normal.jpg" TargetMode="External"/><Relationship Id="rId8000" Type="http://schemas.openxmlformats.org/officeDocument/2006/relationships/hyperlink" Target="https://twitter.com/sfrechette/status/703051634700591104" TargetMode="External"/><Relationship Id="rId8006" Type="http://schemas.openxmlformats.org/officeDocument/2006/relationships/hyperlink" Target="https://twitter.com/IQuantNY/status/703053090577096704" TargetMode="External"/><Relationship Id="rId8005" Type="http://schemas.openxmlformats.org/officeDocument/2006/relationships/hyperlink" Target="https://twitter.com/IQuantNY" TargetMode="External"/><Relationship Id="rId8004" Type="http://schemas.openxmlformats.org/officeDocument/2006/relationships/hyperlink" Target="https://pbs.twimg.com/profile_images/568067400809984000/MXrq4e8A_normal.jpeg" TargetMode="External"/><Relationship Id="rId8003" Type="http://schemas.openxmlformats.org/officeDocument/2006/relationships/hyperlink" Target="https://twitter.com/pa_marais/status/703052165632364545" TargetMode="External"/><Relationship Id="rId8009" Type="http://schemas.openxmlformats.org/officeDocument/2006/relationships/hyperlink" Target="https://twitter.com/SilviculturaFCF/status/703053355363360768" TargetMode="External"/><Relationship Id="rId8008" Type="http://schemas.openxmlformats.org/officeDocument/2006/relationships/hyperlink" Target="https://twitter.com/SilviculturaFCF" TargetMode="External"/><Relationship Id="rId8007" Type="http://schemas.openxmlformats.org/officeDocument/2006/relationships/hyperlink" Target="https://pbs.twimg.com/profile_images/557000965329412096/16jjVGRp_normal.jpeg" TargetMode="External"/><Relationship Id="rId8020" Type="http://schemas.openxmlformats.org/officeDocument/2006/relationships/hyperlink" Target="https://twitter.com/demorenoc" TargetMode="External"/><Relationship Id="rId8024" Type="http://schemas.openxmlformats.org/officeDocument/2006/relationships/hyperlink" Target="https://twitter.com/dizzy_my_future/status/703057083415965696" TargetMode="External"/><Relationship Id="rId8023" Type="http://schemas.openxmlformats.org/officeDocument/2006/relationships/hyperlink" Target="https://twitter.com/dizzy_my_future" TargetMode="External"/><Relationship Id="rId8022" Type="http://schemas.openxmlformats.org/officeDocument/2006/relationships/hyperlink" Target="https://pbs.twimg.com/profile_images/657039260571291648/B8j09d92_normal.jpg" TargetMode="External"/><Relationship Id="rId8021" Type="http://schemas.openxmlformats.org/officeDocument/2006/relationships/hyperlink" Target="https://twitter.com/demorenoc/status/703055485528903680" TargetMode="External"/><Relationship Id="rId8028" Type="http://schemas.openxmlformats.org/officeDocument/2006/relationships/hyperlink" Target="https://pbs.twimg.com/profile_images/557592259298729985/kpCUQWH1_normal.png" TargetMode="External"/><Relationship Id="rId8027" Type="http://schemas.openxmlformats.org/officeDocument/2006/relationships/hyperlink" Target="https://twitter.com/hrbrmstr/status/703057156241793025" TargetMode="External"/><Relationship Id="rId8026" Type="http://schemas.openxmlformats.org/officeDocument/2006/relationships/hyperlink" Target="https://twitter.com/hrbrmstr" TargetMode="External"/><Relationship Id="rId8025" Type="http://schemas.openxmlformats.org/officeDocument/2006/relationships/hyperlink" Target="https://pbs.twimg.com/profile_images/660312089571954688/11kgpAde_normal.png" TargetMode="External"/><Relationship Id="rId8029" Type="http://schemas.openxmlformats.org/officeDocument/2006/relationships/hyperlink" Target="https://twitter.com/siero5335" TargetMode="External"/><Relationship Id="rId8013" Type="http://schemas.openxmlformats.org/officeDocument/2006/relationships/hyperlink" Target="https://pbs.twimg.com/profile_images/378800000192749885/bb9e8bb441c1b8e987bc13c1fc598880_normal.png" TargetMode="External"/><Relationship Id="rId8012" Type="http://schemas.openxmlformats.org/officeDocument/2006/relationships/hyperlink" Target="https://twitter.com/BarterisEvil/status/703053383347798017" TargetMode="External"/><Relationship Id="rId8011" Type="http://schemas.openxmlformats.org/officeDocument/2006/relationships/hyperlink" Target="https://twitter.com/BarterisEvil" TargetMode="External"/><Relationship Id="rId8010" Type="http://schemas.openxmlformats.org/officeDocument/2006/relationships/hyperlink" Target="https://pbs.twimg.com/profile_images/1601661707/000_normal.png" TargetMode="External"/><Relationship Id="rId8017" Type="http://schemas.openxmlformats.org/officeDocument/2006/relationships/hyperlink" Target="https://twitter.com/apreshill" TargetMode="External"/><Relationship Id="rId8016" Type="http://schemas.openxmlformats.org/officeDocument/2006/relationships/hyperlink" Target="https://pbs.twimg.com/profile_images/598126722920361984/HdS1NWXJ_normal.png" TargetMode="External"/><Relationship Id="rId8015" Type="http://schemas.openxmlformats.org/officeDocument/2006/relationships/hyperlink" Target="https://twitter.com/dataandme/status/703054149911506944" TargetMode="External"/><Relationship Id="rId8014" Type="http://schemas.openxmlformats.org/officeDocument/2006/relationships/hyperlink" Target="https://twitter.com/dataandme" TargetMode="External"/><Relationship Id="rId8019" Type="http://schemas.openxmlformats.org/officeDocument/2006/relationships/hyperlink" Target="https://pbs.twimg.com/profile_images/592435442835820544/S63GD5Rd_normal.jpg" TargetMode="External"/><Relationship Id="rId8018" Type="http://schemas.openxmlformats.org/officeDocument/2006/relationships/hyperlink" Target="https://twitter.com/apreshill/status/703054414810996737" TargetMode="External"/><Relationship Id="rId9310" Type="http://schemas.openxmlformats.org/officeDocument/2006/relationships/drawing" Target="../drawings/worksheetdrawing2.xml"/><Relationship Id="rId9309" Type="http://schemas.openxmlformats.org/officeDocument/2006/relationships/hyperlink" Target="https://pbs.twimg.com/profile_images/1222779560/cran1_normal.jpg" TargetMode="External"/><Relationship Id="rId9300" Type="http://schemas.openxmlformats.org/officeDocument/2006/relationships/hyperlink" Target="https://pbs.twimg.com/profile_images/669136937538732032/-n5yMz0L_normal.jpg" TargetMode="External"/><Relationship Id="rId9305" Type="http://schemas.openxmlformats.org/officeDocument/2006/relationships/hyperlink" Target="https://twitter.com/asifsalam/status/703281537178062849" TargetMode="External"/><Relationship Id="rId9306" Type="http://schemas.openxmlformats.org/officeDocument/2006/relationships/hyperlink" Target="https://pbs.twimg.com/profile_images/1865524401/image_normal.jpg" TargetMode="External"/><Relationship Id="rId9307" Type="http://schemas.openxmlformats.org/officeDocument/2006/relationships/hyperlink" Target="https://twitter.com/CRANberriesFeed" TargetMode="External"/><Relationship Id="rId9308" Type="http://schemas.openxmlformats.org/officeDocument/2006/relationships/hyperlink" Target="https://twitter.com/CRANberriesFeed/status/703281843567779843" TargetMode="External"/><Relationship Id="rId9301" Type="http://schemas.openxmlformats.org/officeDocument/2006/relationships/hyperlink" Target="https://twitter.com/mishra1_PK" TargetMode="External"/><Relationship Id="rId9302" Type="http://schemas.openxmlformats.org/officeDocument/2006/relationships/hyperlink" Target="https://twitter.com/mishra1_PK/status/703281002982944768" TargetMode="External"/><Relationship Id="rId9303" Type="http://schemas.openxmlformats.org/officeDocument/2006/relationships/hyperlink" Target="https://pbs.twimg.com/profile_images/663979354486018048/1NZ2hiBE_normal.jpg" TargetMode="External"/><Relationship Id="rId9304" Type="http://schemas.openxmlformats.org/officeDocument/2006/relationships/hyperlink" Target="https://twitter.com/asifsalam" TargetMode="External"/><Relationship Id="rId5813" Type="http://schemas.openxmlformats.org/officeDocument/2006/relationships/hyperlink" Target="https://twitter.com/StatsbyLopez" TargetMode="External"/><Relationship Id="rId5814" Type="http://schemas.openxmlformats.org/officeDocument/2006/relationships/hyperlink" Target="https://twitter.com/StatsbyLopez/status/702621172391804929" TargetMode="External"/><Relationship Id="rId5811" Type="http://schemas.openxmlformats.org/officeDocument/2006/relationships/hyperlink" Target="https://twitter.com/segalop/status/702620667448000512" TargetMode="External"/><Relationship Id="rId5812" Type="http://schemas.openxmlformats.org/officeDocument/2006/relationships/hyperlink" Target="https://pbs.twimg.com/profile_images/470626645083037696/FicOo9YX_normal.jpeg" TargetMode="External"/><Relationship Id="rId5817" Type="http://schemas.openxmlformats.org/officeDocument/2006/relationships/hyperlink" Target="https://twitter.com/mluebbecke/status/702621176011616256" TargetMode="External"/><Relationship Id="rId5818" Type="http://schemas.openxmlformats.org/officeDocument/2006/relationships/hyperlink" Target="https://pbs.twimg.com/profile_images/648632901307867136/wbuESpIn_normal.jpg" TargetMode="External"/><Relationship Id="rId5815" Type="http://schemas.openxmlformats.org/officeDocument/2006/relationships/hyperlink" Target="https://pbs.twimg.com/profile_images/3565865204/5f0c13bd6309acbde3016cd6d641179e_normal.jpeg" TargetMode="External"/><Relationship Id="rId5816" Type="http://schemas.openxmlformats.org/officeDocument/2006/relationships/hyperlink" Target="https://twitter.com/mluebbecke" TargetMode="External"/><Relationship Id="rId5819" Type="http://schemas.openxmlformats.org/officeDocument/2006/relationships/hyperlink" Target="https://twitter.com/DownIsTheNewUp_" TargetMode="External"/><Relationship Id="rId8093" Type="http://schemas.openxmlformats.org/officeDocument/2006/relationships/hyperlink" Target="https://twitter.com/chemfemme" TargetMode="External"/><Relationship Id="rId8092" Type="http://schemas.openxmlformats.org/officeDocument/2006/relationships/hyperlink" Target="https://pbs.twimg.com/profile_images/524199331365015552/O94t9yIe_normal.jpeg" TargetMode="External"/><Relationship Id="rId8091" Type="http://schemas.openxmlformats.org/officeDocument/2006/relationships/hyperlink" Target="http://Paper.li" TargetMode="External"/><Relationship Id="rId8090" Type="http://schemas.openxmlformats.org/officeDocument/2006/relationships/hyperlink" Target="https://twitter.com/jletteboer/status/703070549250076672" TargetMode="External"/><Relationship Id="rId8086" Type="http://schemas.openxmlformats.org/officeDocument/2006/relationships/hyperlink" Target="https://twitter.com/NowLivecodingtv" TargetMode="External"/><Relationship Id="rId8085" Type="http://schemas.openxmlformats.org/officeDocument/2006/relationships/hyperlink" Target="https://pbs.twimg.com/profile_images/454592263092310016/VOug2BBW_normal.jpeg" TargetMode="External"/><Relationship Id="rId8084" Type="http://schemas.openxmlformats.org/officeDocument/2006/relationships/hyperlink" Target="https://twitter.com/Josephine0xdata/status/703069559973142528" TargetMode="External"/><Relationship Id="rId8083" Type="http://schemas.openxmlformats.org/officeDocument/2006/relationships/hyperlink" Target="https://twitter.com/Josephine0xdata" TargetMode="External"/><Relationship Id="rId8089" Type="http://schemas.openxmlformats.org/officeDocument/2006/relationships/hyperlink" Target="https://twitter.com/jletteboer" TargetMode="External"/><Relationship Id="rId8088" Type="http://schemas.openxmlformats.org/officeDocument/2006/relationships/hyperlink" Target="https://pbs.twimg.com/profile_images/699984077877874688/aR2ovqId_normal.png" TargetMode="External"/><Relationship Id="rId8087" Type="http://schemas.openxmlformats.org/officeDocument/2006/relationships/hyperlink" Target="https://twitter.com/NowLivecodingtv/status/703070133099634690" TargetMode="External"/><Relationship Id="rId5810" Type="http://schemas.openxmlformats.org/officeDocument/2006/relationships/hyperlink" Target="https://twitter.com/segalop" TargetMode="External"/><Relationship Id="rId5802" Type="http://schemas.openxmlformats.org/officeDocument/2006/relationships/hyperlink" Target="https://twitter.com/fjalolop000/status/702620422584532993" TargetMode="External"/><Relationship Id="rId5803" Type="http://schemas.openxmlformats.org/officeDocument/2006/relationships/hyperlink" Target="https://pbs.twimg.com/profile_images/576799609873428480/V8akQ-mi_normal.jpeg" TargetMode="External"/><Relationship Id="rId5800" Type="http://schemas.openxmlformats.org/officeDocument/2006/relationships/hyperlink" Target="https://pbs.twimg.com/profile_images/564500461340749824/CkspJzJj_normal.jpeg" TargetMode="External"/><Relationship Id="rId5801" Type="http://schemas.openxmlformats.org/officeDocument/2006/relationships/hyperlink" Target="https://twitter.com/fjalolop000" TargetMode="External"/><Relationship Id="rId5806" Type="http://schemas.openxmlformats.org/officeDocument/2006/relationships/hyperlink" Target="https://pbs.twimg.com/profile_images/1649546185/photo_small_normal.jpg" TargetMode="External"/><Relationship Id="rId5807" Type="http://schemas.openxmlformats.org/officeDocument/2006/relationships/hyperlink" Target="https://twitter.com/Herr_T_Punkt" TargetMode="External"/><Relationship Id="rId5804" Type="http://schemas.openxmlformats.org/officeDocument/2006/relationships/hyperlink" Target="https://twitter.com/jpeelle" TargetMode="External"/><Relationship Id="rId5805" Type="http://schemas.openxmlformats.org/officeDocument/2006/relationships/hyperlink" Target="https://twitter.com/jpeelle/status/702620431119831042" TargetMode="External"/><Relationship Id="rId5808" Type="http://schemas.openxmlformats.org/officeDocument/2006/relationships/hyperlink" Target="https://twitter.com/Herr_T_Punkt/status/702620543871279104" TargetMode="External"/><Relationship Id="rId5809" Type="http://schemas.openxmlformats.org/officeDocument/2006/relationships/hyperlink" Target="https://pbs.twimg.com/profile_images/494577347996041216/86N3E1P6_normal.jpeg" TargetMode="External"/><Relationship Id="rId8082" Type="http://schemas.openxmlformats.org/officeDocument/2006/relationships/hyperlink" Target="https://pbs.twimg.com/profile_images/1489074699/banksy_park_normal.jpg" TargetMode="External"/><Relationship Id="rId8081" Type="http://schemas.openxmlformats.org/officeDocument/2006/relationships/hyperlink" Target="https://twitter.com/newurbangrit/status/703068028347543552" TargetMode="External"/><Relationship Id="rId8080" Type="http://schemas.openxmlformats.org/officeDocument/2006/relationships/hyperlink" Target="https://twitter.com/newurbangrit" TargetMode="External"/><Relationship Id="rId8075" Type="http://schemas.openxmlformats.org/officeDocument/2006/relationships/hyperlink" Target="https://twitter.com/sfrechette/status/703066964676190208" TargetMode="External"/><Relationship Id="rId8074" Type="http://schemas.openxmlformats.org/officeDocument/2006/relationships/hyperlink" Target="https://twitter.com/sfrechette" TargetMode="External"/><Relationship Id="rId8073" Type="http://schemas.openxmlformats.org/officeDocument/2006/relationships/hyperlink" Target="https://pbs.twimg.com/profile_images/699669430737989633/p9GnDotP_normal.jpg" TargetMode="External"/><Relationship Id="rId8072" Type="http://schemas.openxmlformats.org/officeDocument/2006/relationships/hyperlink" Target="https://twitter.com/botchagalupe/status/703065516806639616" TargetMode="External"/><Relationship Id="rId8079" Type="http://schemas.openxmlformats.org/officeDocument/2006/relationships/hyperlink" Target="https://abs.twimg.com/sticky/default_profile_images/default_profile_2_normal.png" TargetMode="External"/><Relationship Id="rId8078" Type="http://schemas.openxmlformats.org/officeDocument/2006/relationships/hyperlink" Target="https://twitter.com/afiqcjohari/status/703067588255809536" TargetMode="External"/><Relationship Id="rId8077" Type="http://schemas.openxmlformats.org/officeDocument/2006/relationships/hyperlink" Target="https://twitter.com/afiqcjohari" TargetMode="External"/><Relationship Id="rId8076" Type="http://schemas.openxmlformats.org/officeDocument/2006/relationships/hyperlink" Target="https://pbs.twimg.com/profile_images/662342111799304192/Xtv8MZ-P_normal.jpg" TargetMode="External"/><Relationship Id="rId4503" Type="http://schemas.openxmlformats.org/officeDocument/2006/relationships/hyperlink" Target="https://twitter.com/matthew1471" TargetMode="External"/><Relationship Id="rId5835" Type="http://schemas.openxmlformats.org/officeDocument/2006/relationships/hyperlink" Target="https://twitter.com/aartfranken" TargetMode="External"/><Relationship Id="rId4502" Type="http://schemas.openxmlformats.org/officeDocument/2006/relationships/hyperlink" Target="https://pbs.twimg.com/profile_images/692301101576646656/f5-Ezs5n_normal.jpg" TargetMode="External"/><Relationship Id="rId5836" Type="http://schemas.openxmlformats.org/officeDocument/2006/relationships/hyperlink" Target="https://twitter.com/aartfranken/status/702622574128328705" TargetMode="External"/><Relationship Id="rId4505" Type="http://schemas.openxmlformats.org/officeDocument/2006/relationships/hyperlink" Target="https://pbs.twimg.com/profile_images/614932353916497920/4YkebT7z_normal.jpg" TargetMode="External"/><Relationship Id="rId5833" Type="http://schemas.openxmlformats.org/officeDocument/2006/relationships/hyperlink" Target="http://orcid.org/0000-0002-1526-0863" TargetMode="External"/><Relationship Id="rId4504" Type="http://schemas.openxmlformats.org/officeDocument/2006/relationships/hyperlink" Target="https://twitter.com/matthew1471/status/702414938590027777" TargetMode="External"/><Relationship Id="rId5834" Type="http://schemas.openxmlformats.org/officeDocument/2006/relationships/hyperlink" Target="https://pbs.twimg.com/profile_images/695959239957688320/MJ4p8POC_normal.jpg" TargetMode="External"/><Relationship Id="rId4507" Type="http://schemas.openxmlformats.org/officeDocument/2006/relationships/hyperlink" Target="https://twitter.com/m_a_upson/status/702416464805031938" TargetMode="External"/><Relationship Id="rId5839" Type="http://schemas.openxmlformats.org/officeDocument/2006/relationships/hyperlink" Target="https://twitter.com/IQuantNY/status/702622997786599429" TargetMode="External"/><Relationship Id="rId4506" Type="http://schemas.openxmlformats.org/officeDocument/2006/relationships/hyperlink" Target="https://twitter.com/m_a_upson" TargetMode="External"/><Relationship Id="rId4509" Type="http://schemas.openxmlformats.org/officeDocument/2006/relationships/hyperlink" Target="https://twitter.com/HofrichterJh" TargetMode="External"/><Relationship Id="rId5837" Type="http://schemas.openxmlformats.org/officeDocument/2006/relationships/hyperlink" Target="https://pbs.twimg.com/profile_images/640891009627516928/qYOcdcJn_normal.png" TargetMode="External"/><Relationship Id="rId4508" Type="http://schemas.openxmlformats.org/officeDocument/2006/relationships/hyperlink" Target="https://pbs.twimg.com/profile_images/678706667589095424/bSg7yEQM_normal.jpg" TargetMode="External"/><Relationship Id="rId5838" Type="http://schemas.openxmlformats.org/officeDocument/2006/relationships/hyperlink" Target="https://twitter.com/IQuantNY" TargetMode="External"/><Relationship Id="rId5831" Type="http://schemas.openxmlformats.org/officeDocument/2006/relationships/hyperlink" Target="https://twitter.com/dasaptaerwin" TargetMode="External"/><Relationship Id="rId5832" Type="http://schemas.openxmlformats.org/officeDocument/2006/relationships/hyperlink" Target="https://twitter.com/dasaptaerwin/status/702622078558715908" TargetMode="External"/><Relationship Id="rId4501" Type="http://schemas.openxmlformats.org/officeDocument/2006/relationships/hyperlink" Target="https://twitter.com/ecoinf_aeet/status/702410951237226497" TargetMode="External"/><Relationship Id="rId4500" Type="http://schemas.openxmlformats.org/officeDocument/2006/relationships/hyperlink" Target="https://twitter.com/ecoinf_aeet" TargetMode="External"/><Relationship Id="rId5830" Type="http://schemas.openxmlformats.org/officeDocument/2006/relationships/hyperlink" Target="https://pbs.twimg.com/profile_images/1454378226/fd-head_normal.jpg" TargetMode="External"/><Relationship Id="rId5824" Type="http://schemas.openxmlformats.org/officeDocument/2006/relationships/hyperlink" Target="https://pbs.twimg.com/profile_images/601623719031615488/QCrg1lW8_normal.jpg" TargetMode="External"/><Relationship Id="rId5825" Type="http://schemas.openxmlformats.org/officeDocument/2006/relationships/hyperlink" Target="https://twitter.com/AnalyticsVidhya" TargetMode="External"/><Relationship Id="rId5822" Type="http://schemas.openxmlformats.org/officeDocument/2006/relationships/hyperlink" Target="https://twitter.com/ParkvilleGeek" TargetMode="External"/><Relationship Id="rId5823" Type="http://schemas.openxmlformats.org/officeDocument/2006/relationships/hyperlink" Target="https://twitter.com/ParkvilleGeek/status/702621413102870528" TargetMode="External"/><Relationship Id="rId5828" Type="http://schemas.openxmlformats.org/officeDocument/2006/relationships/hyperlink" Target="https://twitter.com/FantasyDouche" TargetMode="External"/><Relationship Id="rId5829" Type="http://schemas.openxmlformats.org/officeDocument/2006/relationships/hyperlink" Target="https://twitter.com/FantasyDouche/status/702621683534802944" TargetMode="External"/><Relationship Id="rId5826" Type="http://schemas.openxmlformats.org/officeDocument/2006/relationships/hyperlink" Target="https://twitter.com/AnalyticsVidhya/status/702621612206649344" TargetMode="External"/><Relationship Id="rId5827" Type="http://schemas.openxmlformats.org/officeDocument/2006/relationships/hyperlink" Target="https://pbs.twimg.com/profile_images/457775762108448768/XmO2C1-E_normal.png" TargetMode="External"/><Relationship Id="rId8097" Type="http://schemas.openxmlformats.org/officeDocument/2006/relationships/hyperlink" Target="https://twitter.com/jermdemo/status/703073015291125760" TargetMode="External"/><Relationship Id="rId8096" Type="http://schemas.openxmlformats.org/officeDocument/2006/relationships/hyperlink" Target="https://twitter.com/jermdemo" TargetMode="External"/><Relationship Id="rId8095" Type="http://schemas.openxmlformats.org/officeDocument/2006/relationships/hyperlink" Target="https://pbs.twimg.com/profile_images/484927690521055233/fO77ma5Q_normal.png" TargetMode="External"/><Relationship Id="rId8094" Type="http://schemas.openxmlformats.org/officeDocument/2006/relationships/hyperlink" Target="https://twitter.com/chemfemme/status/703072210164912128" TargetMode="External"/><Relationship Id="rId8099" Type="http://schemas.openxmlformats.org/officeDocument/2006/relationships/hyperlink" Target="https://twitter.com/ArnoCandel" TargetMode="External"/><Relationship Id="rId8098" Type="http://schemas.openxmlformats.org/officeDocument/2006/relationships/hyperlink" Target="https://pbs.twimg.com/profile_images/2651814724/e7bfdcb6e77ede49eb1c9057f96202be_normal.jpeg" TargetMode="External"/><Relationship Id="rId5820" Type="http://schemas.openxmlformats.org/officeDocument/2006/relationships/hyperlink" Target="https://twitter.com/DownIsTheNewUp_/status/702621288989261824" TargetMode="External"/><Relationship Id="rId5821" Type="http://schemas.openxmlformats.org/officeDocument/2006/relationships/hyperlink" Target="https://pbs.twimg.com/profile_images/699091394032377856/_0QqmfZr_normal.jpg" TargetMode="External"/><Relationship Id="rId8042" Type="http://schemas.openxmlformats.org/officeDocument/2006/relationships/hyperlink" Target="https://twitter.com/mjrichardson_to/status/703059544344272896" TargetMode="External"/><Relationship Id="rId8041" Type="http://schemas.openxmlformats.org/officeDocument/2006/relationships/hyperlink" Target="https://twitter.com/mjrichardson_to" TargetMode="External"/><Relationship Id="rId8040" Type="http://schemas.openxmlformats.org/officeDocument/2006/relationships/hyperlink" Target="https://pbs.twimg.com/profile_images/640000101226688512/cDxhWsGg_normal.jpg" TargetMode="External"/><Relationship Id="rId8046" Type="http://schemas.openxmlformats.org/officeDocument/2006/relationships/hyperlink" Target="https://pbs.twimg.com/profile_images/2994103934/8bb3014ebb7d081ef01f73f93f270e3e_normal.jpeg" TargetMode="External"/><Relationship Id="rId8045" Type="http://schemas.openxmlformats.org/officeDocument/2006/relationships/hyperlink" Target="https://twitter.com/uniquebala/status/703060941059919872" TargetMode="External"/><Relationship Id="rId8044" Type="http://schemas.openxmlformats.org/officeDocument/2006/relationships/hyperlink" Target="https://twitter.com/uniquebala" TargetMode="External"/><Relationship Id="rId8043" Type="http://schemas.openxmlformats.org/officeDocument/2006/relationships/hyperlink" Target="https://pbs.twimg.com/profile_images/640000101226688512/cDxhWsGg_normal.jpg" TargetMode="External"/><Relationship Id="rId8049" Type="http://schemas.openxmlformats.org/officeDocument/2006/relationships/hyperlink" Target="https://pbs.twimg.com/profile_images/529482878543867904/H-UGY1d0_normal.png" TargetMode="External"/><Relationship Id="rId8048" Type="http://schemas.openxmlformats.org/officeDocument/2006/relationships/hyperlink" Target="https://twitter.com/tripartio/status/703060945199886336" TargetMode="External"/><Relationship Id="rId8047" Type="http://schemas.openxmlformats.org/officeDocument/2006/relationships/hyperlink" Target="https://twitter.com/tripartio" TargetMode="External"/><Relationship Id="rId8031" Type="http://schemas.openxmlformats.org/officeDocument/2006/relationships/hyperlink" Target="https://pbs.twimg.com/profile_images/579619799015141376/CWTNRAVl_normal.jpg" TargetMode="External"/><Relationship Id="rId8030" Type="http://schemas.openxmlformats.org/officeDocument/2006/relationships/hyperlink" Target="https://twitter.com/siero5335/status/703057241591549954" TargetMode="External"/><Relationship Id="rId8035" Type="http://schemas.openxmlformats.org/officeDocument/2006/relationships/hyperlink" Target="https://twitter.com/BobbyCaudill" TargetMode="External"/><Relationship Id="rId8034" Type="http://schemas.openxmlformats.org/officeDocument/2006/relationships/hyperlink" Target="https://pbs.twimg.com/profile_images/672577148771819521/S4ISrtKY_normal.jpg" TargetMode="External"/><Relationship Id="rId8033" Type="http://schemas.openxmlformats.org/officeDocument/2006/relationships/hyperlink" Target="https://twitter.com/venkatvedam/status/703057786452709376" TargetMode="External"/><Relationship Id="rId8032" Type="http://schemas.openxmlformats.org/officeDocument/2006/relationships/hyperlink" Target="https://twitter.com/venkatvedam" TargetMode="External"/><Relationship Id="rId8039" Type="http://schemas.openxmlformats.org/officeDocument/2006/relationships/hyperlink" Target="https://twitter.com/mjrichardson_to/status/703059351934803968" TargetMode="External"/><Relationship Id="rId8038" Type="http://schemas.openxmlformats.org/officeDocument/2006/relationships/hyperlink" Target="https://twitter.com/mjrichardson_to" TargetMode="External"/><Relationship Id="rId8037" Type="http://schemas.openxmlformats.org/officeDocument/2006/relationships/hyperlink" Target="https://pbs.twimg.com/profile_images/492138314040754177/6m0tO60d_normal.png" TargetMode="External"/><Relationship Id="rId8036" Type="http://schemas.openxmlformats.org/officeDocument/2006/relationships/hyperlink" Target="https://twitter.com/BobbyCaudill/status/703058590869950464" TargetMode="External"/><Relationship Id="rId8071" Type="http://schemas.openxmlformats.org/officeDocument/2006/relationships/hyperlink" Target="https://twitter.com/botchagalupe" TargetMode="External"/><Relationship Id="rId8070" Type="http://schemas.openxmlformats.org/officeDocument/2006/relationships/hyperlink" Target="https://pbs.twimg.com/profile_images/682757887261818880/Q5--Prn6_normal.jpg" TargetMode="External"/><Relationship Id="rId8064" Type="http://schemas.openxmlformats.org/officeDocument/2006/relationships/hyperlink" Target="https://pbs.twimg.com/profile_images/463121219244421120/iZtw_Rji_normal.jpeg" TargetMode="External"/><Relationship Id="rId8063" Type="http://schemas.openxmlformats.org/officeDocument/2006/relationships/hyperlink" Target="https://twitter.com/CoreySparks1/status/703063528718995456" TargetMode="External"/><Relationship Id="rId8062" Type="http://schemas.openxmlformats.org/officeDocument/2006/relationships/hyperlink" Target="https://twitter.com/CoreySparks1" TargetMode="External"/><Relationship Id="rId8061" Type="http://schemas.openxmlformats.org/officeDocument/2006/relationships/hyperlink" Target="https://pbs.twimg.com/profile_images/616339690245861376/lfMUz7Fp_normal.jpg" TargetMode="External"/><Relationship Id="rId8068" Type="http://schemas.openxmlformats.org/officeDocument/2006/relationships/hyperlink" Target="https://twitter.com/kevlbass1024" TargetMode="External"/><Relationship Id="rId8067" Type="http://schemas.openxmlformats.org/officeDocument/2006/relationships/hyperlink" Target="https://pbs.twimg.com/profile_images/463121219244421120/iZtw_Rji_normal.jpeg" TargetMode="External"/><Relationship Id="rId8066" Type="http://schemas.openxmlformats.org/officeDocument/2006/relationships/hyperlink" Target="https://twitter.com/CoreySparks1/status/703063618430963712" TargetMode="External"/><Relationship Id="rId8065" Type="http://schemas.openxmlformats.org/officeDocument/2006/relationships/hyperlink" Target="https://twitter.com/CoreySparks1" TargetMode="External"/><Relationship Id="rId8069" Type="http://schemas.openxmlformats.org/officeDocument/2006/relationships/hyperlink" Target="https://twitter.com/kevlbass1024/status/703063990713372672" TargetMode="External"/><Relationship Id="rId8060" Type="http://schemas.openxmlformats.org/officeDocument/2006/relationships/hyperlink" Target="https://twitter.com/spleonard1/status/703063448444280832" TargetMode="External"/><Relationship Id="rId8053" Type="http://schemas.openxmlformats.org/officeDocument/2006/relationships/hyperlink" Target="https://twitter.com/kevlbass1024" TargetMode="External"/><Relationship Id="rId8052" Type="http://schemas.openxmlformats.org/officeDocument/2006/relationships/hyperlink" Target="https://pbs.twimg.com/profile_images/682757887261818880/Q5--Prn6_normal.jpg" TargetMode="External"/><Relationship Id="rId8051" Type="http://schemas.openxmlformats.org/officeDocument/2006/relationships/hyperlink" Target="https://twitter.com/kevlbass1024/status/703061923068297217" TargetMode="External"/><Relationship Id="rId8050" Type="http://schemas.openxmlformats.org/officeDocument/2006/relationships/hyperlink" Target="https://twitter.com/kevlbass1024" TargetMode="External"/><Relationship Id="rId8057" Type="http://schemas.openxmlformats.org/officeDocument/2006/relationships/hyperlink" Target="https://twitter.com/CoreySparks1/status/703063390776745984" TargetMode="External"/><Relationship Id="rId8056" Type="http://schemas.openxmlformats.org/officeDocument/2006/relationships/hyperlink" Target="https://twitter.com/CoreySparks1" TargetMode="External"/><Relationship Id="rId8055" Type="http://schemas.openxmlformats.org/officeDocument/2006/relationships/hyperlink" Target="https://pbs.twimg.com/profile_images/682757887261818880/Q5--Prn6_normal.jpg" TargetMode="External"/><Relationship Id="rId8054" Type="http://schemas.openxmlformats.org/officeDocument/2006/relationships/hyperlink" Target="https://twitter.com/kevlbass1024/status/703062583608217601" TargetMode="External"/><Relationship Id="rId8059" Type="http://schemas.openxmlformats.org/officeDocument/2006/relationships/hyperlink" Target="https://twitter.com/spleonard1" TargetMode="External"/><Relationship Id="rId8058" Type="http://schemas.openxmlformats.org/officeDocument/2006/relationships/hyperlink" Target="https://pbs.twimg.com/profile_images/463121219244421120/iZtw_Rji_normal.jpeg" TargetMode="External"/><Relationship Id="rId3238" Type="http://schemas.openxmlformats.org/officeDocument/2006/relationships/hyperlink" Target="https://twitter.com/Rick_Scavetta" TargetMode="External"/><Relationship Id="rId4569" Type="http://schemas.openxmlformats.org/officeDocument/2006/relationships/hyperlink" Target="https://pbs.twimg.com/profile_images/432298122203512833/YDXfWlI__normal.png" TargetMode="External"/><Relationship Id="rId3237" Type="http://schemas.openxmlformats.org/officeDocument/2006/relationships/hyperlink" Target="https://pbs.twimg.com/profile_images/700219041131204608/DZKmHE4-_normal.jpg" TargetMode="External"/><Relationship Id="rId4568" Type="http://schemas.openxmlformats.org/officeDocument/2006/relationships/hyperlink" Target="https://twitter.com/earlconf/status/702435557805301760" TargetMode="External"/><Relationship Id="rId5899" Type="http://schemas.openxmlformats.org/officeDocument/2006/relationships/hyperlink" Target="https://twitter.com/sentiwire/status/702630126144491521" TargetMode="External"/><Relationship Id="rId3239" Type="http://schemas.openxmlformats.org/officeDocument/2006/relationships/hyperlink" Target="https://twitter.com/Rick_Scavetta/status/702118325032243200" TargetMode="External"/><Relationship Id="rId5890" Type="http://schemas.openxmlformats.org/officeDocument/2006/relationships/hyperlink" Target="https://twitter.com/steeljawpanda/status/702628231170682880" TargetMode="External"/><Relationship Id="rId3230" Type="http://schemas.openxmlformats.org/officeDocument/2006/relationships/hyperlink" Target="https://twitter.com/antropoteuthis/status/702116722166382592" TargetMode="External"/><Relationship Id="rId4561" Type="http://schemas.openxmlformats.org/officeDocument/2006/relationships/hyperlink" Target="https://twitter.com/pavanmirla" TargetMode="External"/><Relationship Id="rId5893" Type="http://schemas.openxmlformats.org/officeDocument/2006/relationships/hyperlink" Target="https://twitter.com/MarsRafique/status/702629736632090624" TargetMode="External"/><Relationship Id="rId4560" Type="http://schemas.openxmlformats.org/officeDocument/2006/relationships/hyperlink" Target="https://pbs.twimg.com/profile_images/675225906173124609/xPlpeuKw_normal.png" TargetMode="External"/><Relationship Id="rId5894" Type="http://schemas.openxmlformats.org/officeDocument/2006/relationships/hyperlink" Target="https://pbs.twimg.com/profile_images/652283639653343233/k1KtM8h8_normal.jpg" TargetMode="External"/><Relationship Id="rId3232" Type="http://schemas.openxmlformats.org/officeDocument/2006/relationships/hyperlink" Target="https://twitter.com/DasHammett" TargetMode="External"/><Relationship Id="rId4563" Type="http://schemas.openxmlformats.org/officeDocument/2006/relationships/hyperlink" Target="https://pbs.twimg.com/profile_images/605813621944254465/OEGpUIAn_normal.png" TargetMode="External"/><Relationship Id="rId5891" Type="http://schemas.openxmlformats.org/officeDocument/2006/relationships/hyperlink" Target="https://pbs.twimg.com/profile_images/378800000855920045/2e74a6f56d99d7681fd5ea635628dbb2_normal.jpeg" TargetMode="External"/><Relationship Id="rId3231" Type="http://schemas.openxmlformats.org/officeDocument/2006/relationships/hyperlink" Target="https://pbs.twimg.com/profile_images/493842875990286336/N08zveXO_normal.jpeg" TargetMode="External"/><Relationship Id="rId4562" Type="http://schemas.openxmlformats.org/officeDocument/2006/relationships/hyperlink" Target="https://twitter.com/pavanmirla/status/702433958802419712" TargetMode="External"/><Relationship Id="rId5892" Type="http://schemas.openxmlformats.org/officeDocument/2006/relationships/hyperlink" Target="https://twitter.com/MarsRafique" TargetMode="External"/><Relationship Id="rId3234" Type="http://schemas.openxmlformats.org/officeDocument/2006/relationships/hyperlink" Target="https://pbs.twimg.com/profile_images/2096852982/Cel_normal.jpg" TargetMode="External"/><Relationship Id="rId4565" Type="http://schemas.openxmlformats.org/officeDocument/2006/relationships/hyperlink" Target="https://twitter.com/SteffLocke/status/702434662694703105" TargetMode="External"/><Relationship Id="rId5897" Type="http://schemas.openxmlformats.org/officeDocument/2006/relationships/hyperlink" Target="https://pbs.twimg.com/profile_images/703235203922272256/eZEm66_z_normal.jpg" TargetMode="External"/><Relationship Id="rId3233" Type="http://schemas.openxmlformats.org/officeDocument/2006/relationships/hyperlink" Target="https://twitter.com/DasHammett/status/702117242562027520" TargetMode="External"/><Relationship Id="rId4564" Type="http://schemas.openxmlformats.org/officeDocument/2006/relationships/hyperlink" Target="https://twitter.com/SteffLocke" TargetMode="External"/><Relationship Id="rId5898" Type="http://schemas.openxmlformats.org/officeDocument/2006/relationships/hyperlink" Target="https://twitter.com/sentiwire" TargetMode="External"/><Relationship Id="rId3236" Type="http://schemas.openxmlformats.org/officeDocument/2006/relationships/hyperlink" Target="https://twitter.com/ErmiaBivatan/status/702117710281445376" TargetMode="External"/><Relationship Id="rId4567" Type="http://schemas.openxmlformats.org/officeDocument/2006/relationships/hyperlink" Target="https://twitter.com/earlconf" TargetMode="External"/><Relationship Id="rId5895" Type="http://schemas.openxmlformats.org/officeDocument/2006/relationships/hyperlink" Target="https://twitter.com/DataRobot" TargetMode="External"/><Relationship Id="rId3235" Type="http://schemas.openxmlformats.org/officeDocument/2006/relationships/hyperlink" Target="https://twitter.com/ErmiaBivatan" TargetMode="External"/><Relationship Id="rId4566" Type="http://schemas.openxmlformats.org/officeDocument/2006/relationships/hyperlink" Target="https://pbs.twimg.com/profile_images/549872383104790528/GzfOw30g_normal.jpeg" TargetMode="External"/><Relationship Id="rId5896" Type="http://schemas.openxmlformats.org/officeDocument/2006/relationships/hyperlink" Target="https://twitter.com/DataRobot/status/702630122780753920" TargetMode="External"/><Relationship Id="rId3227" Type="http://schemas.openxmlformats.org/officeDocument/2006/relationships/hyperlink" Target="https://twitter.com/dselvan0v/status/702113998855081984" TargetMode="External"/><Relationship Id="rId4558" Type="http://schemas.openxmlformats.org/officeDocument/2006/relationships/hyperlink" Target="https://twitter.com/DataFinest" TargetMode="External"/><Relationship Id="rId3226" Type="http://schemas.openxmlformats.org/officeDocument/2006/relationships/hyperlink" Target="https://twitter.com/dselvan0v" TargetMode="External"/><Relationship Id="rId4557" Type="http://schemas.openxmlformats.org/officeDocument/2006/relationships/hyperlink" Target="https://pbs.twimg.com/profile_images/701553083537604608/nr8b38eG_normal.jpg" TargetMode="External"/><Relationship Id="rId3229" Type="http://schemas.openxmlformats.org/officeDocument/2006/relationships/hyperlink" Target="https://twitter.com/antropoteuthis" TargetMode="External"/><Relationship Id="rId5888" Type="http://schemas.openxmlformats.org/officeDocument/2006/relationships/hyperlink" Target="https://pbs.twimg.com/profile_images/424265489666162688/OSt8nLEe_normal.jpeg" TargetMode="External"/><Relationship Id="rId3228" Type="http://schemas.openxmlformats.org/officeDocument/2006/relationships/hyperlink" Target="https://pbs.twimg.com/profile_images/688966800286023681/8IHrkVU3_normal.jpg" TargetMode="External"/><Relationship Id="rId4559" Type="http://schemas.openxmlformats.org/officeDocument/2006/relationships/hyperlink" Target="https://twitter.com/DataFinest/status/702432656051609601" TargetMode="External"/><Relationship Id="rId5889" Type="http://schemas.openxmlformats.org/officeDocument/2006/relationships/hyperlink" Target="https://twitter.com/steeljawpanda" TargetMode="External"/><Relationship Id="rId4550" Type="http://schemas.openxmlformats.org/officeDocument/2006/relationships/hyperlink" Target="https://twitter.com/Parada1985/status/702428181001859073" TargetMode="External"/><Relationship Id="rId5882" Type="http://schemas.openxmlformats.org/officeDocument/2006/relationships/hyperlink" Target="https://pbs.twimg.com/profile_images/1706909550/mk_normal.jpg" TargetMode="External"/><Relationship Id="rId5883" Type="http://schemas.openxmlformats.org/officeDocument/2006/relationships/hyperlink" Target="https://twitter.com/0ttlngr" TargetMode="External"/><Relationship Id="rId3221" Type="http://schemas.openxmlformats.org/officeDocument/2006/relationships/hyperlink" Target="https://twitter.com/valuencedata/status/702112644803780609" TargetMode="External"/><Relationship Id="rId4552" Type="http://schemas.openxmlformats.org/officeDocument/2006/relationships/hyperlink" Target="https://twitter.com/taneem" TargetMode="External"/><Relationship Id="rId5880" Type="http://schemas.openxmlformats.org/officeDocument/2006/relationships/hyperlink" Target="https://twitter.com/MKrzywinski" TargetMode="External"/><Relationship Id="rId3220" Type="http://schemas.openxmlformats.org/officeDocument/2006/relationships/hyperlink" Target="https://twitter.com/valuencedata" TargetMode="External"/><Relationship Id="rId4551" Type="http://schemas.openxmlformats.org/officeDocument/2006/relationships/hyperlink" Target="https://pbs.twimg.com/profile_images/653648502619287552/ovdemRX__normal.jpg" TargetMode="External"/><Relationship Id="rId5881" Type="http://schemas.openxmlformats.org/officeDocument/2006/relationships/hyperlink" Target="https://twitter.com/MKrzywinski/status/702627011672432640" TargetMode="External"/><Relationship Id="rId3223" Type="http://schemas.openxmlformats.org/officeDocument/2006/relationships/hyperlink" Target="https://twitter.com/iDATA_co" TargetMode="External"/><Relationship Id="rId4554" Type="http://schemas.openxmlformats.org/officeDocument/2006/relationships/hyperlink" Target="https://pbs.twimg.com/profile_images/659223106448322560/ybPJ6_eo_normal.png" TargetMode="External"/><Relationship Id="rId5886" Type="http://schemas.openxmlformats.org/officeDocument/2006/relationships/hyperlink" Target="https://twitter.com/AriLamstein" TargetMode="External"/><Relationship Id="rId3222" Type="http://schemas.openxmlformats.org/officeDocument/2006/relationships/hyperlink" Target="https://pbs.twimg.com/profile_images/702083248428462082/0Mq5se3W_normal.png" TargetMode="External"/><Relationship Id="rId4553" Type="http://schemas.openxmlformats.org/officeDocument/2006/relationships/hyperlink" Target="https://twitter.com/taneem/status/702428310366724096" TargetMode="External"/><Relationship Id="rId5887" Type="http://schemas.openxmlformats.org/officeDocument/2006/relationships/hyperlink" Target="https://twitter.com/AriLamstein/status/702628075599585281" TargetMode="External"/><Relationship Id="rId3225" Type="http://schemas.openxmlformats.org/officeDocument/2006/relationships/hyperlink" Target="https://pbs.twimg.com/profile_images/585060919606124545/Vzcp01bf_normal.png" TargetMode="External"/><Relationship Id="rId4556" Type="http://schemas.openxmlformats.org/officeDocument/2006/relationships/hyperlink" Target="https://twitter.com/renato_umeton/status/702428427857559554" TargetMode="External"/><Relationship Id="rId5884" Type="http://schemas.openxmlformats.org/officeDocument/2006/relationships/hyperlink" Target="https://twitter.com/0ttlngr/status/702627744987914240" TargetMode="External"/><Relationship Id="rId3224" Type="http://schemas.openxmlformats.org/officeDocument/2006/relationships/hyperlink" Target="https://twitter.com/iDATA_co/status/702112941991137280" TargetMode="External"/><Relationship Id="rId4555" Type="http://schemas.openxmlformats.org/officeDocument/2006/relationships/hyperlink" Target="https://twitter.com/renato_umeton" TargetMode="External"/><Relationship Id="rId5885" Type="http://schemas.openxmlformats.org/officeDocument/2006/relationships/hyperlink" Target="https://pbs.twimg.com/profile_images/697103122162962434/vXqoolw3_normal.png" TargetMode="External"/><Relationship Id="rId3259" Type="http://schemas.openxmlformats.org/officeDocument/2006/relationships/hyperlink" Target="https://pbs.twimg.com/profile_images/502185985786916864/gkdFh-q7_normal.png" TargetMode="External"/><Relationship Id="rId3250" Type="http://schemas.openxmlformats.org/officeDocument/2006/relationships/hyperlink" Target="https://twitter.com/ccjjclark" TargetMode="External"/><Relationship Id="rId4581" Type="http://schemas.openxmlformats.org/officeDocument/2006/relationships/hyperlink" Target="https://pbs.twimg.com/profile_images/1222779560/cran1_normal.jpg" TargetMode="External"/><Relationship Id="rId4580" Type="http://schemas.openxmlformats.org/officeDocument/2006/relationships/hyperlink" Target="https://twitter.com/CRANberriesFeed/status/702436265828945921" TargetMode="External"/><Relationship Id="rId3252" Type="http://schemas.openxmlformats.org/officeDocument/2006/relationships/hyperlink" Target="https://pbs.twimg.com/profile_images/378800000842317652/b625c801db33264309e63bad69d87a2f_normal.jpeg" TargetMode="External"/><Relationship Id="rId4583" Type="http://schemas.openxmlformats.org/officeDocument/2006/relationships/hyperlink" Target="https://twitter.com/CRANberriesFeed/status/702436279758295042" TargetMode="External"/><Relationship Id="rId3251" Type="http://schemas.openxmlformats.org/officeDocument/2006/relationships/hyperlink" Target="https://twitter.com/ccjjclark/status/702122313626492928" TargetMode="External"/><Relationship Id="rId4582" Type="http://schemas.openxmlformats.org/officeDocument/2006/relationships/hyperlink" Target="https://twitter.com/CRANberriesFeed" TargetMode="External"/><Relationship Id="rId3254" Type="http://schemas.openxmlformats.org/officeDocument/2006/relationships/hyperlink" Target="https://twitter.com/ErmiaBivatan/status/702128639006089217" TargetMode="External"/><Relationship Id="rId4585" Type="http://schemas.openxmlformats.org/officeDocument/2006/relationships/hyperlink" Target="https://twitter.com/CRANberriesFeed" TargetMode="External"/><Relationship Id="rId3253" Type="http://schemas.openxmlformats.org/officeDocument/2006/relationships/hyperlink" Target="https://twitter.com/ErmiaBivatan" TargetMode="External"/><Relationship Id="rId4584" Type="http://schemas.openxmlformats.org/officeDocument/2006/relationships/hyperlink" Target="https://pbs.twimg.com/profile_images/1222779560/cran1_normal.jpg" TargetMode="External"/><Relationship Id="rId3256" Type="http://schemas.openxmlformats.org/officeDocument/2006/relationships/hyperlink" Target="https://twitter.com/Rbloggers" TargetMode="External"/><Relationship Id="rId4587" Type="http://schemas.openxmlformats.org/officeDocument/2006/relationships/hyperlink" Target="https://pbs.twimg.com/profile_images/1222779560/cran1_normal.jpg" TargetMode="External"/><Relationship Id="rId3255" Type="http://schemas.openxmlformats.org/officeDocument/2006/relationships/hyperlink" Target="https://pbs.twimg.com/profile_images/700219041131204608/DZKmHE4-_normal.jpg" TargetMode="External"/><Relationship Id="rId4586" Type="http://schemas.openxmlformats.org/officeDocument/2006/relationships/hyperlink" Target="https://twitter.com/CRANberriesFeed/status/702436298108362752" TargetMode="External"/><Relationship Id="rId3258" Type="http://schemas.openxmlformats.org/officeDocument/2006/relationships/hyperlink" Target="http://r-bloggers.com" TargetMode="External"/><Relationship Id="rId4589" Type="http://schemas.openxmlformats.org/officeDocument/2006/relationships/hyperlink" Target="https://twitter.com/IanSudbery/status/702436433978630145" TargetMode="External"/><Relationship Id="rId3257" Type="http://schemas.openxmlformats.org/officeDocument/2006/relationships/hyperlink" Target="https://twitter.com/Rbloggers/status/702129590076993536" TargetMode="External"/><Relationship Id="rId4588" Type="http://schemas.openxmlformats.org/officeDocument/2006/relationships/hyperlink" Target="https://twitter.com/IanSudbery" TargetMode="External"/><Relationship Id="rId3249" Type="http://schemas.openxmlformats.org/officeDocument/2006/relationships/hyperlink" Target="https://pbs.twimg.com/profile_images/694150163527516161/7wlmd1v0_normal.jpg" TargetMode="External"/><Relationship Id="rId3248" Type="http://schemas.openxmlformats.org/officeDocument/2006/relationships/hyperlink" Target="https://twitter.com/AGAuffret/status/702120731824537603" TargetMode="External"/><Relationship Id="rId4579" Type="http://schemas.openxmlformats.org/officeDocument/2006/relationships/hyperlink" Target="https://twitter.com/CRANberriesFeed" TargetMode="External"/><Relationship Id="rId4570" Type="http://schemas.openxmlformats.org/officeDocument/2006/relationships/hyperlink" Target="https://twitter.com/KNL_MIRC" TargetMode="External"/><Relationship Id="rId3241" Type="http://schemas.openxmlformats.org/officeDocument/2006/relationships/hyperlink" Target="https://twitter.com/DL_Ally" TargetMode="External"/><Relationship Id="rId4572" Type="http://schemas.openxmlformats.org/officeDocument/2006/relationships/hyperlink" Target="https://pbs.twimg.com/profile_images/476301448670498817/uF--bJAu_normal.png" TargetMode="External"/><Relationship Id="rId3240" Type="http://schemas.openxmlformats.org/officeDocument/2006/relationships/hyperlink" Target="https://pbs.twimg.com/profile_images/450618602828615680/5MpH6PqW_normal.jpeg" TargetMode="External"/><Relationship Id="rId4571" Type="http://schemas.openxmlformats.org/officeDocument/2006/relationships/hyperlink" Target="https://twitter.com/KNL_MIRC/status/702435702068420608" TargetMode="External"/><Relationship Id="rId3243" Type="http://schemas.openxmlformats.org/officeDocument/2006/relationships/hyperlink" Target="https://pbs.twimg.com/profile_images/632086828342874112/5PpXODRR_normal.jpg" TargetMode="External"/><Relationship Id="rId4574" Type="http://schemas.openxmlformats.org/officeDocument/2006/relationships/hyperlink" Target="https://twitter.com/MangoMattGlover/status/702435785623138306" TargetMode="External"/><Relationship Id="rId3242" Type="http://schemas.openxmlformats.org/officeDocument/2006/relationships/hyperlink" Target="https://twitter.com/DL_Ally/status/702119028307972096" TargetMode="External"/><Relationship Id="rId4573" Type="http://schemas.openxmlformats.org/officeDocument/2006/relationships/hyperlink" Target="https://twitter.com/MangoMattGlover" TargetMode="External"/><Relationship Id="rId3245" Type="http://schemas.openxmlformats.org/officeDocument/2006/relationships/hyperlink" Target="https://twitter.com/skilloak/status/702120488869302273" TargetMode="External"/><Relationship Id="rId4576" Type="http://schemas.openxmlformats.org/officeDocument/2006/relationships/hyperlink" Target="https://twitter.com/CRANberriesFeed" TargetMode="External"/><Relationship Id="rId3244" Type="http://schemas.openxmlformats.org/officeDocument/2006/relationships/hyperlink" Target="https://twitter.com/skilloak" TargetMode="External"/><Relationship Id="rId4575" Type="http://schemas.openxmlformats.org/officeDocument/2006/relationships/hyperlink" Target="https://pbs.twimg.com/profile_images/658671552783896576/qahSiVSy_normal.jpg" TargetMode="External"/><Relationship Id="rId3247" Type="http://schemas.openxmlformats.org/officeDocument/2006/relationships/hyperlink" Target="https://twitter.com/AGAuffret" TargetMode="External"/><Relationship Id="rId4578" Type="http://schemas.openxmlformats.org/officeDocument/2006/relationships/hyperlink" Target="https://pbs.twimg.com/profile_images/1222779560/cran1_normal.jpg" TargetMode="External"/><Relationship Id="rId3246" Type="http://schemas.openxmlformats.org/officeDocument/2006/relationships/hyperlink" Target="https://pbs.twimg.com/profile_images/670315479517413376/Kkf5JA8s_normal.png" TargetMode="External"/><Relationship Id="rId4577" Type="http://schemas.openxmlformats.org/officeDocument/2006/relationships/hyperlink" Target="https://twitter.com/CRANberriesFeed/status/702436247239790592" TargetMode="External"/><Relationship Id="rId4525" Type="http://schemas.openxmlformats.org/officeDocument/2006/relationships/hyperlink" Target="https://twitter.com/BIcortex/status/702425058925518848" TargetMode="External"/><Relationship Id="rId5857" Type="http://schemas.openxmlformats.org/officeDocument/2006/relationships/hyperlink" Target="https://twitter.com/mickey_graham/status/702624181448478721" TargetMode="External"/><Relationship Id="rId4524" Type="http://schemas.openxmlformats.org/officeDocument/2006/relationships/hyperlink" Target="https://twitter.com/BIcortex" TargetMode="External"/><Relationship Id="rId5858" Type="http://schemas.openxmlformats.org/officeDocument/2006/relationships/hyperlink" Target="https://pbs.twimg.com/profile_images/574977005273272320/3FYbgJH1_normal.jpeg" TargetMode="External"/><Relationship Id="rId4527" Type="http://schemas.openxmlformats.org/officeDocument/2006/relationships/hyperlink" Target="https://twitter.com/dougashton" TargetMode="External"/><Relationship Id="rId5855" Type="http://schemas.openxmlformats.org/officeDocument/2006/relationships/hyperlink" Target="https://pbs.twimg.com/profile_images/344513261578151878/c55583ddc53197527f82fd937e5a5c68_normal.png" TargetMode="External"/><Relationship Id="rId4526" Type="http://schemas.openxmlformats.org/officeDocument/2006/relationships/hyperlink" Target="https://pbs.twimg.com/profile_images/519015936997597185/3GNoeHMF_normal.jpeg" TargetMode="External"/><Relationship Id="rId5856" Type="http://schemas.openxmlformats.org/officeDocument/2006/relationships/hyperlink" Target="https://twitter.com/mickey_graham" TargetMode="External"/><Relationship Id="rId4529" Type="http://schemas.openxmlformats.org/officeDocument/2006/relationships/hyperlink" Target="https://pbs.twimg.com/profile_images/652081177344540672/AudgFCJl_normal.jpg" TargetMode="External"/><Relationship Id="rId4528" Type="http://schemas.openxmlformats.org/officeDocument/2006/relationships/hyperlink" Target="https://twitter.com/dougashton/status/702425537596227585" TargetMode="External"/><Relationship Id="rId5859" Type="http://schemas.openxmlformats.org/officeDocument/2006/relationships/hyperlink" Target="https://twitter.com/wxybox211" TargetMode="External"/><Relationship Id="rId5850" Type="http://schemas.openxmlformats.org/officeDocument/2006/relationships/hyperlink" Target="https://twitter.com/EduardSzoecs" TargetMode="External"/><Relationship Id="rId4521" Type="http://schemas.openxmlformats.org/officeDocument/2006/relationships/hyperlink" Target="https://twitter.com/MangoPharma" TargetMode="External"/><Relationship Id="rId5853" Type="http://schemas.openxmlformats.org/officeDocument/2006/relationships/hyperlink" Target="https://twitter.com/Work_Bench" TargetMode="External"/><Relationship Id="rId4520" Type="http://schemas.openxmlformats.org/officeDocument/2006/relationships/hyperlink" Target="https://pbs.twimg.com/profile_images/630648570228666368/azCx-w8Z_normal.jpg" TargetMode="External"/><Relationship Id="rId5854" Type="http://schemas.openxmlformats.org/officeDocument/2006/relationships/hyperlink" Target="https://twitter.com/Work_Bench/status/702624061743112192" TargetMode="External"/><Relationship Id="rId4523" Type="http://schemas.openxmlformats.org/officeDocument/2006/relationships/hyperlink" Target="https://pbs.twimg.com/profile_images/702168871437017090/GncGcQIU_normal.png" TargetMode="External"/><Relationship Id="rId5851" Type="http://schemas.openxmlformats.org/officeDocument/2006/relationships/hyperlink" Target="https://twitter.com/EduardSzoecs/status/702623872441585664" TargetMode="External"/><Relationship Id="rId4522" Type="http://schemas.openxmlformats.org/officeDocument/2006/relationships/hyperlink" Target="https://twitter.com/MangoPharma/status/702424480828760064" TargetMode="External"/><Relationship Id="rId5852" Type="http://schemas.openxmlformats.org/officeDocument/2006/relationships/hyperlink" Target="https://pbs.twimg.com/profile_images/623431520901025792/-JsTBXyb_normal.jpg" TargetMode="External"/><Relationship Id="rId4514" Type="http://schemas.openxmlformats.org/officeDocument/2006/relationships/hyperlink" Target="https://pbs.twimg.com/profile_images/1671800604/image_normal.jpg" TargetMode="External"/><Relationship Id="rId5846" Type="http://schemas.openxmlformats.org/officeDocument/2006/relationships/hyperlink" Target="https://pbs.twimg.com/profile_images/470626645083037696/FicOo9YX_normal.jpeg" TargetMode="External"/><Relationship Id="rId4513" Type="http://schemas.openxmlformats.org/officeDocument/2006/relationships/hyperlink" Target="https://twitter.com/UzmanB/status/702422087424720897" TargetMode="External"/><Relationship Id="rId5847" Type="http://schemas.openxmlformats.org/officeDocument/2006/relationships/hyperlink" Target="https://twitter.com/nyhackr" TargetMode="External"/><Relationship Id="rId4516" Type="http://schemas.openxmlformats.org/officeDocument/2006/relationships/hyperlink" Target="https://twitter.com/philmassicotte/status/702422764901310464" TargetMode="External"/><Relationship Id="rId5844" Type="http://schemas.openxmlformats.org/officeDocument/2006/relationships/hyperlink" Target="https://twitter.com/segalop" TargetMode="External"/><Relationship Id="rId4515" Type="http://schemas.openxmlformats.org/officeDocument/2006/relationships/hyperlink" Target="https://twitter.com/philmassicotte" TargetMode="External"/><Relationship Id="rId5845" Type="http://schemas.openxmlformats.org/officeDocument/2006/relationships/hyperlink" Target="https://twitter.com/segalop/status/702623639313715200" TargetMode="External"/><Relationship Id="rId4518" Type="http://schemas.openxmlformats.org/officeDocument/2006/relationships/hyperlink" Target="https://twitter.com/ma_salmon" TargetMode="External"/><Relationship Id="rId4517" Type="http://schemas.openxmlformats.org/officeDocument/2006/relationships/hyperlink" Target="https://pbs.twimg.com/profile_images/668108852899004416/kzigJv7d_normal.jpg" TargetMode="External"/><Relationship Id="rId5848" Type="http://schemas.openxmlformats.org/officeDocument/2006/relationships/hyperlink" Target="https://twitter.com/nyhackr/status/702623850295595008" TargetMode="External"/><Relationship Id="rId4519" Type="http://schemas.openxmlformats.org/officeDocument/2006/relationships/hyperlink" Target="https://twitter.com/ma_salmon/status/702423126890700800" TargetMode="External"/><Relationship Id="rId5849" Type="http://schemas.openxmlformats.org/officeDocument/2006/relationships/hyperlink" Target="https://pbs.twimg.com/profile_images/1125070699/nyc_stats_normal.jpeg" TargetMode="External"/><Relationship Id="rId4510" Type="http://schemas.openxmlformats.org/officeDocument/2006/relationships/hyperlink" Target="https://twitter.com/HofrichterJh/status/702421691268472832" TargetMode="External"/><Relationship Id="rId5842" Type="http://schemas.openxmlformats.org/officeDocument/2006/relationships/hyperlink" Target="https://twitter.com/calli993/status/702623521931923458" TargetMode="External"/><Relationship Id="rId5843" Type="http://schemas.openxmlformats.org/officeDocument/2006/relationships/hyperlink" Target="https://pbs.twimg.com/profile_images/1698849697/9911-225_normal.JPG" TargetMode="External"/><Relationship Id="rId4512" Type="http://schemas.openxmlformats.org/officeDocument/2006/relationships/hyperlink" Target="https://twitter.com/UzmanB" TargetMode="External"/><Relationship Id="rId5840" Type="http://schemas.openxmlformats.org/officeDocument/2006/relationships/hyperlink" Target="https://pbs.twimg.com/profile_images/557000965329412096/16jjVGRp_normal.jpeg" TargetMode="External"/><Relationship Id="rId4511" Type="http://schemas.openxmlformats.org/officeDocument/2006/relationships/hyperlink" Target="https://pbs.twimg.com/profile_images/478467960848130048/yz2pCObD_normal.jpeg" TargetMode="External"/><Relationship Id="rId5841" Type="http://schemas.openxmlformats.org/officeDocument/2006/relationships/hyperlink" Target="https://twitter.com/calli993" TargetMode="External"/><Relationship Id="rId3216" Type="http://schemas.openxmlformats.org/officeDocument/2006/relationships/hyperlink" Target="https://pbs.twimg.com/profile_images/589597791942410240/jnRsaQq4_normal.jpg" TargetMode="External"/><Relationship Id="rId4547" Type="http://schemas.openxmlformats.org/officeDocument/2006/relationships/hyperlink" Target="https://twitter.com/Jaime__Sampaio/status/702428031349035009" TargetMode="External"/><Relationship Id="rId5879" Type="http://schemas.openxmlformats.org/officeDocument/2006/relationships/hyperlink" Target="https://pbs.twimg.com/profile_images/424265489666162688/OSt8nLEe_normal.jpeg" TargetMode="External"/><Relationship Id="rId3215" Type="http://schemas.openxmlformats.org/officeDocument/2006/relationships/hyperlink" Target="https://twitter.com/premroshan/status/702112098898173953" TargetMode="External"/><Relationship Id="rId4546" Type="http://schemas.openxmlformats.org/officeDocument/2006/relationships/hyperlink" Target="https://twitter.com/Jaime__Sampaio" TargetMode="External"/><Relationship Id="rId3218" Type="http://schemas.openxmlformats.org/officeDocument/2006/relationships/hyperlink" Target="https://twitter.com/jamesfeigenbaum/status/702112400271679489" TargetMode="External"/><Relationship Id="rId4549" Type="http://schemas.openxmlformats.org/officeDocument/2006/relationships/hyperlink" Target="https://twitter.com/Parada1985" TargetMode="External"/><Relationship Id="rId5877" Type="http://schemas.openxmlformats.org/officeDocument/2006/relationships/hyperlink" Target="https://twitter.com/AriLamstein" TargetMode="External"/><Relationship Id="rId3217" Type="http://schemas.openxmlformats.org/officeDocument/2006/relationships/hyperlink" Target="https://twitter.com/jamesfeigenbaum" TargetMode="External"/><Relationship Id="rId4548" Type="http://schemas.openxmlformats.org/officeDocument/2006/relationships/hyperlink" Target="https://pbs.twimg.com/profile_images/593341808060538881/MQnRKZLg_normal.jpg" TargetMode="External"/><Relationship Id="rId5878" Type="http://schemas.openxmlformats.org/officeDocument/2006/relationships/hyperlink" Target="https://twitter.com/AriLamstein/status/702626815219634176" TargetMode="External"/><Relationship Id="rId3219" Type="http://schemas.openxmlformats.org/officeDocument/2006/relationships/hyperlink" Target="https://pbs.twimg.com/profile_images/550406422463127552/B2Vw3E36_normal.jpeg" TargetMode="External"/><Relationship Id="rId5871" Type="http://schemas.openxmlformats.org/officeDocument/2006/relationships/hyperlink" Target="https://twitter.com/kyle_e_walker" TargetMode="External"/><Relationship Id="rId5872" Type="http://schemas.openxmlformats.org/officeDocument/2006/relationships/hyperlink" Target="https://twitter.com/kyle_e_walker/status/702624755069775872" TargetMode="External"/><Relationship Id="rId3210" Type="http://schemas.openxmlformats.org/officeDocument/2006/relationships/hyperlink" Target="https://pbs.twimg.com/profile_images/532798437897412608/flHdPUCx_normal.png" TargetMode="External"/><Relationship Id="rId4541" Type="http://schemas.openxmlformats.org/officeDocument/2006/relationships/hyperlink" Target="https://pbs.twimg.com/profile_images/3731357502/be77a63fb12491ba5457fc968af100b6_normal.jpeg" TargetMode="External"/><Relationship Id="rId4540" Type="http://schemas.openxmlformats.org/officeDocument/2006/relationships/hyperlink" Target="https://twitter.com/SergeySosnovsky/status/702427667212181504" TargetMode="External"/><Relationship Id="rId5870" Type="http://schemas.openxmlformats.org/officeDocument/2006/relationships/hyperlink" Target="https://pbs.twimg.com/profile_images/682937004049305600/pohdL7mw_normal.jpg" TargetMode="External"/><Relationship Id="rId3212" Type="http://schemas.openxmlformats.org/officeDocument/2006/relationships/hyperlink" Target="https://twitter.com/StarOryon/status/702112010515906561" TargetMode="External"/><Relationship Id="rId4543" Type="http://schemas.openxmlformats.org/officeDocument/2006/relationships/hyperlink" Target="https://twitter.com/Rbloggers/status/702427813345943552" TargetMode="External"/><Relationship Id="rId5875" Type="http://schemas.openxmlformats.org/officeDocument/2006/relationships/hyperlink" Target="https://twitter.com/mathiaspicker/status/702625452989550593" TargetMode="External"/><Relationship Id="rId3211" Type="http://schemas.openxmlformats.org/officeDocument/2006/relationships/hyperlink" Target="https://twitter.com/StarOryon" TargetMode="External"/><Relationship Id="rId4542" Type="http://schemas.openxmlformats.org/officeDocument/2006/relationships/hyperlink" Target="https://twitter.com/Rbloggers" TargetMode="External"/><Relationship Id="rId5876" Type="http://schemas.openxmlformats.org/officeDocument/2006/relationships/hyperlink" Target="https://pbs.twimg.com/profile_images/121126854/OpenID_normal.jpg" TargetMode="External"/><Relationship Id="rId3214" Type="http://schemas.openxmlformats.org/officeDocument/2006/relationships/hyperlink" Target="https://twitter.com/premroshan" TargetMode="External"/><Relationship Id="rId4545" Type="http://schemas.openxmlformats.org/officeDocument/2006/relationships/hyperlink" Target="https://pbs.twimg.com/profile_images/502185985786916864/gkdFh-q7_normal.png" TargetMode="External"/><Relationship Id="rId5873" Type="http://schemas.openxmlformats.org/officeDocument/2006/relationships/hyperlink" Target="https://pbs.twimg.com/profile_images/535539844479332354/CA9doTjY_normal.jpeg" TargetMode="External"/><Relationship Id="rId3213" Type="http://schemas.openxmlformats.org/officeDocument/2006/relationships/hyperlink" Target="https://pbs.twimg.com/profile_images/344513261579243176/796f16b5f84872e8381b80237daed46c_normal.png" TargetMode="External"/><Relationship Id="rId4544" Type="http://schemas.openxmlformats.org/officeDocument/2006/relationships/hyperlink" Target="http://r-bloggers.com" TargetMode="External"/><Relationship Id="rId5874" Type="http://schemas.openxmlformats.org/officeDocument/2006/relationships/hyperlink" Target="https://twitter.com/mathiaspicker" TargetMode="External"/><Relationship Id="rId3205" Type="http://schemas.openxmlformats.org/officeDocument/2006/relationships/hyperlink" Target="https://twitter.com/MerelACE" TargetMode="External"/><Relationship Id="rId4536" Type="http://schemas.openxmlformats.org/officeDocument/2006/relationships/hyperlink" Target="https://twitter.com/EntheogenicRS" TargetMode="External"/><Relationship Id="rId5868" Type="http://schemas.openxmlformats.org/officeDocument/2006/relationships/hyperlink" Target="https://twitter.com/JJHall20" TargetMode="External"/><Relationship Id="rId3204" Type="http://schemas.openxmlformats.org/officeDocument/2006/relationships/hyperlink" Target="https://pbs.twimg.com/profile_images/1164716874/favicon-triada-azul_normal.png" TargetMode="External"/><Relationship Id="rId4535" Type="http://schemas.openxmlformats.org/officeDocument/2006/relationships/hyperlink" Target="https://pbs.twimg.com/profile_images/519054421427093506/vqKpRxEj_normal.jpeg" TargetMode="External"/><Relationship Id="rId5869" Type="http://schemas.openxmlformats.org/officeDocument/2006/relationships/hyperlink" Target="https://twitter.com/JJHall20/status/702624731460182016" TargetMode="External"/><Relationship Id="rId3207" Type="http://schemas.openxmlformats.org/officeDocument/2006/relationships/hyperlink" Target="https://pbs.twimg.com/profile_images/488003301674209280/BPfolzRX_normal.jpeg" TargetMode="External"/><Relationship Id="rId4538" Type="http://schemas.openxmlformats.org/officeDocument/2006/relationships/hyperlink" Target="https://pbs.twimg.com/profile_images/702110526273409025/bJuQSH7u_normal.jpg" TargetMode="External"/><Relationship Id="rId5866" Type="http://schemas.openxmlformats.org/officeDocument/2006/relationships/hyperlink" Target="https://twitter.com/graemehein/status/702624510579646464" TargetMode="External"/><Relationship Id="rId3206" Type="http://schemas.openxmlformats.org/officeDocument/2006/relationships/hyperlink" Target="https://twitter.com/MerelACE/status/702111296007835648" TargetMode="External"/><Relationship Id="rId4537" Type="http://schemas.openxmlformats.org/officeDocument/2006/relationships/hyperlink" Target="https://twitter.com/EntheogenicRS/status/702426988812881920" TargetMode="External"/><Relationship Id="rId5867" Type="http://schemas.openxmlformats.org/officeDocument/2006/relationships/hyperlink" Target="https://pbs.twimg.com/profile_images/552173650137198592/r-gaEEc-_normal.jpeg" TargetMode="External"/><Relationship Id="rId3209" Type="http://schemas.openxmlformats.org/officeDocument/2006/relationships/hyperlink" Target="https://twitter.com/DataAnalyticss/status/702111404258684928" TargetMode="External"/><Relationship Id="rId3208" Type="http://schemas.openxmlformats.org/officeDocument/2006/relationships/hyperlink" Target="https://twitter.com/DataAnalyticss" TargetMode="External"/><Relationship Id="rId4539" Type="http://schemas.openxmlformats.org/officeDocument/2006/relationships/hyperlink" Target="https://twitter.com/SergeySosnovsky" TargetMode="External"/><Relationship Id="rId5860" Type="http://schemas.openxmlformats.org/officeDocument/2006/relationships/hyperlink" Target="https://twitter.com/wxybox211/status/702624256186847232" TargetMode="External"/><Relationship Id="rId5861" Type="http://schemas.openxmlformats.org/officeDocument/2006/relationships/hyperlink" Target="https://pbs.twimg.com/profile_images/702600815912087553/ATZE5x1l_normal.jpg" TargetMode="External"/><Relationship Id="rId4530" Type="http://schemas.openxmlformats.org/officeDocument/2006/relationships/hyperlink" Target="https://twitter.com/_SevillaR" TargetMode="External"/><Relationship Id="rId3201" Type="http://schemas.openxmlformats.org/officeDocument/2006/relationships/hyperlink" Target="https://pbs.twimg.com/profile_images/696465249910833152/MYxc_jkD_normal.jpg" TargetMode="External"/><Relationship Id="rId4532" Type="http://schemas.openxmlformats.org/officeDocument/2006/relationships/hyperlink" Target="https://pbs.twimg.com/profile_images/559743059789762561/0E4ssdxo_normal.jpeg" TargetMode="External"/><Relationship Id="rId5864" Type="http://schemas.openxmlformats.org/officeDocument/2006/relationships/hyperlink" Target="https://pbs.twimg.com/profile_images/3154151095/3788d5de7a75dafb33d17c6108456cbc_normal.jpeg" TargetMode="External"/><Relationship Id="rId3200" Type="http://schemas.openxmlformats.org/officeDocument/2006/relationships/hyperlink" Target="https://twitter.com/lisachwinter/status/702111155926470656" TargetMode="External"/><Relationship Id="rId4531" Type="http://schemas.openxmlformats.org/officeDocument/2006/relationships/hyperlink" Target="https://twitter.com/_SevillaR/status/702426355619725313" TargetMode="External"/><Relationship Id="rId5865" Type="http://schemas.openxmlformats.org/officeDocument/2006/relationships/hyperlink" Target="https://twitter.com/graemehein" TargetMode="External"/><Relationship Id="rId3203" Type="http://schemas.openxmlformats.org/officeDocument/2006/relationships/hyperlink" Target="https://twitter.com/itknowingness/status/702111158950563840" TargetMode="External"/><Relationship Id="rId4534" Type="http://schemas.openxmlformats.org/officeDocument/2006/relationships/hyperlink" Target="https://twitter.com/RuiMarcelino4/status/702426966494941184" TargetMode="External"/><Relationship Id="rId5862" Type="http://schemas.openxmlformats.org/officeDocument/2006/relationships/hyperlink" Target="https://twitter.com/IanDworkin" TargetMode="External"/><Relationship Id="rId3202" Type="http://schemas.openxmlformats.org/officeDocument/2006/relationships/hyperlink" Target="https://twitter.com/itknowingness" TargetMode="External"/><Relationship Id="rId4533" Type="http://schemas.openxmlformats.org/officeDocument/2006/relationships/hyperlink" Target="https://twitter.com/RuiMarcelino4" TargetMode="External"/><Relationship Id="rId5863" Type="http://schemas.openxmlformats.org/officeDocument/2006/relationships/hyperlink" Target="https://twitter.com/IanDworkin/status/702624387070107649" TargetMode="External"/><Relationship Id="rId190" Type="http://schemas.openxmlformats.org/officeDocument/2006/relationships/hyperlink" Target="https://twitter.com/Pepper_Lir/status/701406329672507393" TargetMode="External"/><Relationship Id="rId194" Type="http://schemas.openxmlformats.org/officeDocument/2006/relationships/hyperlink" Target="https://pbs.twimg.com/profile_images/623923923441348612/HxO7gaZZ_normal.png" TargetMode="External"/><Relationship Id="rId193" Type="http://schemas.openxmlformats.org/officeDocument/2006/relationships/hyperlink" Target="https://twitter.com/odsc/status/701408674338750464" TargetMode="External"/><Relationship Id="rId192" Type="http://schemas.openxmlformats.org/officeDocument/2006/relationships/hyperlink" Target="https://twitter.com/odsc" TargetMode="External"/><Relationship Id="rId191" Type="http://schemas.openxmlformats.org/officeDocument/2006/relationships/hyperlink" Target="https://pbs.twimg.com/profile_images/701461907195174912/DdihP-AT_normal.jpg" TargetMode="External"/><Relationship Id="rId187" Type="http://schemas.openxmlformats.org/officeDocument/2006/relationships/hyperlink" Target="https://twitter.com/BoSchwartz/status/701401062922653698" TargetMode="External"/><Relationship Id="rId186" Type="http://schemas.openxmlformats.org/officeDocument/2006/relationships/hyperlink" Target="https://twitter.com/BoSchwartz" TargetMode="External"/><Relationship Id="rId185" Type="http://schemas.openxmlformats.org/officeDocument/2006/relationships/hyperlink" Target="https://pbs.twimg.com/profile_images/457775762108448768/XmO2C1-E_normal.png" TargetMode="External"/><Relationship Id="rId184" Type="http://schemas.openxmlformats.org/officeDocument/2006/relationships/hyperlink" Target="https://twitter.com/AnalyticsVidhya/status/701398667148849153" TargetMode="External"/><Relationship Id="rId189" Type="http://schemas.openxmlformats.org/officeDocument/2006/relationships/hyperlink" Target="https://twitter.com/Pepper_Lir" TargetMode="External"/><Relationship Id="rId188" Type="http://schemas.openxmlformats.org/officeDocument/2006/relationships/hyperlink" Target="https://pbs.twimg.com/profile_images/423758206267977729/AuOW_qcq_normal.jpeg" TargetMode="External"/><Relationship Id="rId183" Type="http://schemas.openxmlformats.org/officeDocument/2006/relationships/hyperlink" Target="https://twitter.com/AnalyticsVidhya" TargetMode="External"/><Relationship Id="rId182" Type="http://schemas.openxmlformats.org/officeDocument/2006/relationships/hyperlink" Target="https://pbs.twimg.com/profile_images/297743194/My_headshot_normal.png" TargetMode="External"/><Relationship Id="rId181" Type="http://schemas.openxmlformats.org/officeDocument/2006/relationships/hyperlink" Target="https://twitter.com/carlcarrie/status/701397396216012800" TargetMode="External"/><Relationship Id="rId180" Type="http://schemas.openxmlformats.org/officeDocument/2006/relationships/hyperlink" Target="https://twitter.com/carlcarrie" TargetMode="External"/><Relationship Id="rId176" Type="http://schemas.openxmlformats.org/officeDocument/2006/relationships/hyperlink" Target="https://pbs.twimg.com/profile_images/672029237029793792/_qKmCzM8_normal.png" TargetMode="External"/><Relationship Id="rId175" Type="http://schemas.openxmlformats.org/officeDocument/2006/relationships/hyperlink" Target="https://twitter.com/sig_stats/status/701383386166910977" TargetMode="External"/><Relationship Id="rId174" Type="http://schemas.openxmlformats.org/officeDocument/2006/relationships/hyperlink" Target="https://twitter.com/sig_stats" TargetMode="External"/><Relationship Id="rId173" Type="http://schemas.openxmlformats.org/officeDocument/2006/relationships/hyperlink" Target="https://pbs.twimg.com/profile_images/596014258783064064/JFF2zo3__normal.png" TargetMode="External"/><Relationship Id="rId179" Type="http://schemas.openxmlformats.org/officeDocument/2006/relationships/hyperlink" Target="https://pbs.twimg.com/profile_images/697888747480858628/0FmUyEs-_normal.jpg" TargetMode="External"/><Relationship Id="rId178" Type="http://schemas.openxmlformats.org/officeDocument/2006/relationships/hyperlink" Target="https://twitter.com/naujoksfrederik/status/701385871703015424" TargetMode="External"/><Relationship Id="rId177" Type="http://schemas.openxmlformats.org/officeDocument/2006/relationships/hyperlink" Target="https://twitter.com/naujoksfrederik" TargetMode="External"/><Relationship Id="rId198" Type="http://schemas.openxmlformats.org/officeDocument/2006/relationships/hyperlink" Target="https://twitter.com/bramasolo" TargetMode="External"/><Relationship Id="rId197" Type="http://schemas.openxmlformats.org/officeDocument/2006/relationships/hyperlink" Target="https://pbs.twimg.com/profile_images/671906683891810304/9aPCDSao_normal.jpg" TargetMode="External"/><Relationship Id="rId196" Type="http://schemas.openxmlformats.org/officeDocument/2006/relationships/hyperlink" Target="https://twitter.com/bramasolo/status/701410479005040641" TargetMode="External"/><Relationship Id="rId195" Type="http://schemas.openxmlformats.org/officeDocument/2006/relationships/hyperlink" Target="https://twitter.com/bramasolo" TargetMode="External"/><Relationship Id="rId199" Type="http://schemas.openxmlformats.org/officeDocument/2006/relationships/hyperlink" Target="https://twitter.com/bramasolo/status/701412159536771072" TargetMode="External"/><Relationship Id="rId150" Type="http://schemas.openxmlformats.org/officeDocument/2006/relationships/hyperlink" Target="https://twitter.com/drs_ch" TargetMode="External"/><Relationship Id="rId149" Type="http://schemas.openxmlformats.org/officeDocument/2006/relationships/hyperlink" Target="https://pbs.twimg.com/profile_images/1486059918/photo_normal.jpg" TargetMode="External"/><Relationship Id="rId148" Type="http://schemas.openxmlformats.org/officeDocument/2006/relationships/hyperlink" Target="https://twitter.com/ttso/status/701352462201053186" TargetMode="External"/><Relationship Id="rId3270" Type="http://schemas.openxmlformats.org/officeDocument/2006/relationships/hyperlink" Target="https://twitter.com/jbtibbits/status/702133704160718848" TargetMode="External"/><Relationship Id="rId3272" Type="http://schemas.openxmlformats.org/officeDocument/2006/relationships/hyperlink" Target="https://twitter.com/air_manitra" TargetMode="External"/><Relationship Id="rId3271" Type="http://schemas.openxmlformats.org/officeDocument/2006/relationships/hyperlink" Target="https://pbs.twimg.com/profile_images/613822541191188480/yRvMLDr-_normal.jpg" TargetMode="External"/><Relationship Id="rId143" Type="http://schemas.openxmlformats.org/officeDocument/2006/relationships/hyperlink" Target="https://pbs.twimg.com/profile_images/1486059918/photo_normal.jpg" TargetMode="External"/><Relationship Id="rId3274" Type="http://schemas.openxmlformats.org/officeDocument/2006/relationships/hyperlink" Target="https://pbs.twimg.com/profile_images/558315087761387520/3j-29Rhf_normal.jpeg" TargetMode="External"/><Relationship Id="rId142" Type="http://schemas.openxmlformats.org/officeDocument/2006/relationships/hyperlink" Target="https://twitter.com/ttso/status/701351818543104000" TargetMode="External"/><Relationship Id="rId3273" Type="http://schemas.openxmlformats.org/officeDocument/2006/relationships/hyperlink" Target="https://twitter.com/air_manitra/status/702134190607831042" TargetMode="External"/><Relationship Id="rId141" Type="http://schemas.openxmlformats.org/officeDocument/2006/relationships/hyperlink" Target="https://twitter.com/ttso" TargetMode="External"/><Relationship Id="rId3276" Type="http://schemas.openxmlformats.org/officeDocument/2006/relationships/hyperlink" Target="https://twitter.com/CRANberriesFeed/status/702134295641645056" TargetMode="External"/><Relationship Id="rId140" Type="http://schemas.openxmlformats.org/officeDocument/2006/relationships/hyperlink" Target="https://pbs.twimg.com/profile_images/648656800103829504/tZ2qhIMO_normal.png" TargetMode="External"/><Relationship Id="rId3275" Type="http://schemas.openxmlformats.org/officeDocument/2006/relationships/hyperlink" Target="https://twitter.com/CRANberriesFeed" TargetMode="External"/><Relationship Id="rId147" Type="http://schemas.openxmlformats.org/officeDocument/2006/relationships/hyperlink" Target="https://twitter.com/ttso" TargetMode="External"/><Relationship Id="rId3278" Type="http://schemas.openxmlformats.org/officeDocument/2006/relationships/hyperlink" Target="https://twitter.com/CRANberriesFeed" TargetMode="External"/><Relationship Id="rId146" Type="http://schemas.openxmlformats.org/officeDocument/2006/relationships/hyperlink" Target="https://pbs.twimg.com/profile_images/378800000716706016/fbe6bfebfc50a984d21bb14621555e14_normal.jpeg" TargetMode="External"/><Relationship Id="rId3277" Type="http://schemas.openxmlformats.org/officeDocument/2006/relationships/hyperlink" Target="https://pbs.twimg.com/profile_images/1222779560/cran1_normal.jpg" TargetMode="External"/><Relationship Id="rId145" Type="http://schemas.openxmlformats.org/officeDocument/2006/relationships/hyperlink" Target="https://twitter.com/SonjaEisenbeiss/status/701352225935900672" TargetMode="External"/><Relationship Id="rId144" Type="http://schemas.openxmlformats.org/officeDocument/2006/relationships/hyperlink" Target="https://twitter.com/SonjaEisenbeiss" TargetMode="External"/><Relationship Id="rId3279" Type="http://schemas.openxmlformats.org/officeDocument/2006/relationships/hyperlink" Target="https://twitter.com/CRANberriesFeed/status/702134311559028736" TargetMode="External"/><Relationship Id="rId139" Type="http://schemas.openxmlformats.org/officeDocument/2006/relationships/hyperlink" Target="https://twitter.com/rommelnc/status/701349665569169408" TargetMode="External"/><Relationship Id="rId138" Type="http://schemas.openxmlformats.org/officeDocument/2006/relationships/hyperlink" Target="https://twitter.com/rommelnc" TargetMode="External"/><Relationship Id="rId137" Type="http://schemas.openxmlformats.org/officeDocument/2006/relationships/hyperlink" Target="https://pbs.twimg.com/profile_images/699148850829905920/G-7CEPSg_normal.jpg" TargetMode="External"/><Relationship Id="rId4590" Type="http://schemas.openxmlformats.org/officeDocument/2006/relationships/hyperlink" Target="https://pbs.twimg.com/profile_images/936501549/OneLight_mini_normal.jpg" TargetMode="External"/><Relationship Id="rId3261" Type="http://schemas.openxmlformats.org/officeDocument/2006/relationships/hyperlink" Target="https://twitter.com/Emaasit/status/702130278240645120" TargetMode="External"/><Relationship Id="rId4592" Type="http://schemas.openxmlformats.org/officeDocument/2006/relationships/hyperlink" Target="https://twitter.com/mianromu/status/702438492102660100" TargetMode="External"/><Relationship Id="rId3260" Type="http://schemas.openxmlformats.org/officeDocument/2006/relationships/hyperlink" Target="https://twitter.com/Emaasit" TargetMode="External"/><Relationship Id="rId4591" Type="http://schemas.openxmlformats.org/officeDocument/2006/relationships/hyperlink" Target="https://twitter.com/mianromu" TargetMode="External"/><Relationship Id="rId132" Type="http://schemas.openxmlformats.org/officeDocument/2006/relationships/hyperlink" Target="https://twitter.com/haroldv29" TargetMode="External"/><Relationship Id="rId3263" Type="http://schemas.openxmlformats.org/officeDocument/2006/relationships/hyperlink" Target="https://twitter.com/AdiePrestone" TargetMode="External"/><Relationship Id="rId4594" Type="http://schemas.openxmlformats.org/officeDocument/2006/relationships/hyperlink" Target="https://twitter.com/MangoTheCat" TargetMode="External"/><Relationship Id="rId131" Type="http://schemas.openxmlformats.org/officeDocument/2006/relationships/hyperlink" Target="https://pbs.twimg.com/profile_images/641183991077445633/V7VcBpJI_normal.png" TargetMode="External"/><Relationship Id="rId3262" Type="http://schemas.openxmlformats.org/officeDocument/2006/relationships/hyperlink" Target="https://pbs.twimg.com/profile_images/567588045927354370/NN8xp_M5_normal.jpeg" TargetMode="External"/><Relationship Id="rId4593" Type="http://schemas.openxmlformats.org/officeDocument/2006/relationships/hyperlink" Target="https://pbs.twimg.com/profile_images/378800000207698056/90681b52392bc9c5378ed272853d8659_normal.jpeg" TargetMode="External"/><Relationship Id="rId130" Type="http://schemas.openxmlformats.org/officeDocument/2006/relationships/hyperlink" Target="https://twitter.com/MangoTheCat/status/701343356857679872" TargetMode="External"/><Relationship Id="rId3265" Type="http://schemas.openxmlformats.org/officeDocument/2006/relationships/hyperlink" Target="https://pbs.twimg.com/profile_images/685318018793127936/9LH8YuIT_normal.jpg" TargetMode="External"/><Relationship Id="rId4596" Type="http://schemas.openxmlformats.org/officeDocument/2006/relationships/hyperlink" Target="https://pbs.twimg.com/profile_images/641183991077445633/V7VcBpJI_normal.png" TargetMode="External"/><Relationship Id="rId3264" Type="http://schemas.openxmlformats.org/officeDocument/2006/relationships/hyperlink" Target="https://twitter.com/AdiePrestone/status/702130551889727489" TargetMode="External"/><Relationship Id="rId4595" Type="http://schemas.openxmlformats.org/officeDocument/2006/relationships/hyperlink" Target="https://twitter.com/MangoTheCat/status/702438823754637312" TargetMode="External"/><Relationship Id="rId136" Type="http://schemas.openxmlformats.org/officeDocument/2006/relationships/hyperlink" Target="https://twitter.com/Victpir/status/701348270451326976" TargetMode="External"/><Relationship Id="rId3267" Type="http://schemas.openxmlformats.org/officeDocument/2006/relationships/hyperlink" Target="https://twitter.com/timelyportfolio/status/702132872703041537" TargetMode="External"/><Relationship Id="rId4598" Type="http://schemas.openxmlformats.org/officeDocument/2006/relationships/hyperlink" Target="https://twitter.com/Open_AQ/status/702439413020758016" TargetMode="External"/><Relationship Id="rId135" Type="http://schemas.openxmlformats.org/officeDocument/2006/relationships/hyperlink" Target="https://twitter.com/Victpir" TargetMode="External"/><Relationship Id="rId3266" Type="http://schemas.openxmlformats.org/officeDocument/2006/relationships/hyperlink" Target="https://twitter.com/timelyportfolio" TargetMode="External"/><Relationship Id="rId4597" Type="http://schemas.openxmlformats.org/officeDocument/2006/relationships/hyperlink" Target="https://twitter.com/Open_AQ" TargetMode="External"/><Relationship Id="rId134" Type="http://schemas.openxmlformats.org/officeDocument/2006/relationships/hyperlink" Target="https://pbs.twimg.com/profile_images/692411409867612160/lLDRJ5DU_normal.jpg" TargetMode="External"/><Relationship Id="rId3269" Type="http://schemas.openxmlformats.org/officeDocument/2006/relationships/hyperlink" Target="https://twitter.com/jbtibbits" TargetMode="External"/><Relationship Id="rId133" Type="http://schemas.openxmlformats.org/officeDocument/2006/relationships/hyperlink" Target="https://twitter.com/haroldv29/status/701345672449097728" TargetMode="External"/><Relationship Id="rId3268" Type="http://schemas.openxmlformats.org/officeDocument/2006/relationships/hyperlink" Target="https://pbs.twimg.com/profile_images/2198946077/image_normal.jpg" TargetMode="External"/><Relationship Id="rId4599" Type="http://schemas.openxmlformats.org/officeDocument/2006/relationships/hyperlink" Target="https://pbs.twimg.com/profile_images/633796993387593728/Pr7Ex5Mz_normal.jpg" TargetMode="External"/><Relationship Id="rId172" Type="http://schemas.openxmlformats.org/officeDocument/2006/relationships/hyperlink" Target="https://twitter.com/YleAPI/status/701378744775274496" TargetMode="External"/><Relationship Id="rId171" Type="http://schemas.openxmlformats.org/officeDocument/2006/relationships/hyperlink" Target="https://twitter.com/YleAPI" TargetMode="External"/><Relationship Id="rId170" Type="http://schemas.openxmlformats.org/officeDocument/2006/relationships/hyperlink" Target="https://pbs.twimg.com/profile_images/3587933843/b6e7fdace3be152afb087ed5e896a2e0_normal.jpeg" TargetMode="External"/><Relationship Id="rId3290" Type="http://schemas.openxmlformats.org/officeDocument/2006/relationships/hyperlink" Target="https://twitter.com/rexplorations" TargetMode="External"/><Relationship Id="rId3292" Type="http://schemas.openxmlformats.org/officeDocument/2006/relationships/hyperlink" Target="https://pbs.twimg.com/profile_images/631889051113537538/EwYW6Va-_normal.png" TargetMode="External"/><Relationship Id="rId3291" Type="http://schemas.openxmlformats.org/officeDocument/2006/relationships/hyperlink" Target="https://twitter.com/rexplorations/status/702135398303043584" TargetMode="External"/><Relationship Id="rId3294" Type="http://schemas.openxmlformats.org/officeDocument/2006/relationships/hyperlink" Target="https://twitter.com/BobMuenchen/status/702135611831009281" TargetMode="External"/><Relationship Id="rId3293" Type="http://schemas.openxmlformats.org/officeDocument/2006/relationships/hyperlink" Target="https://twitter.com/BobMuenchen" TargetMode="External"/><Relationship Id="rId165" Type="http://schemas.openxmlformats.org/officeDocument/2006/relationships/hyperlink" Target="https://twitter.com/BestCourses_" TargetMode="External"/><Relationship Id="rId3296" Type="http://schemas.openxmlformats.org/officeDocument/2006/relationships/hyperlink" Target="https://twitter.com/esargent184" TargetMode="External"/><Relationship Id="rId164" Type="http://schemas.openxmlformats.org/officeDocument/2006/relationships/hyperlink" Target="https://pbs.twimg.com/profile_images/687630441893900288/RvOaRxIg_normal.jpg" TargetMode="External"/><Relationship Id="rId3295" Type="http://schemas.openxmlformats.org/officeDocument/2006/relationships/hyperlink" Target="https://pbs.twimg.com/profile_images/702486909457666048/E_UGbnO7_normal.jpg" TargetMode="External"/><Relationship Id="rId163" Type="http://schemas.openxmlformats.org/officeDocument/2006/relationships/hyperlink" Target="https://twitter.com/AGiesenNRW/status/701368154287640576" TargetMode="External"/><Relationship Id="rId3298" Type="http://schemas.openxmlformats.org/officeDocument/2006/relationships/hyperlink" Target="https://pbs.twimg.com/profile_images/468075906582724608/P4SkeQWy_normal.jpeg" TargetMode="External"/><Relationship Id="rId162" Type="http://schemas.openxmlformats.org/officeDocument/2006/relationships/hyperlink" Target="https://twitter.com/AGiesenNRW" TargetMode="External"/><Relationship Id="rId3297" Type="http://schemas.openxmlformats.org/officeDocument/2006/relationships/hyperlink" Target="https://twitter.com/esargent184/status/702136879739699200" TargetMode="External"/><Relationship Id="rId169" Type="http://schemas.openxmlformats.org/officeDocument/2006/relationships/hyperlink" Target="https://twitter.com/Juan_A_Lleo/status/701372916898865152" TargetMode="External"/><Relationship Id="rId168" Type="http://schemas.openxmlformats.org/officeDocument/2006/relationships/hyperlink" Target="https://twitter.com/Juan_A_Lleo" TargetMode="External"/><Relationship Id="rId3299" Type="http://schemas.openxmlformats.org/officeDocument/2006/relationships/hyperlink" Target="https://twitter.com/adamson" TargetMode="External"/><Relationship Id="rId167" Type="http://schemas.openxmlformats.org/officeDocument/2006/relationships/hyperlink" Target="https://pbs.twimg.com/profile_images/655401968802861056/yuPEMhy3_normal.jpg" TargetMode="External"/><Relationship Id="rId166" Type="http://schemas.openxmlformats.org/officeDocument/2006/relationships/hyperlink" Target="https://twitter.com/BestCourses_/status/701368832619892736" TargetMode="External"/><Relationship Id="rId161" Type="http://schemas.openxmlformats.org/officeDocument/2006/relationships/hyperlink" Target="https://pbs.twimg.com/profile_images/412249095110008832/J_K4--iQ_normal.png" TargetMode="External"/><Relationship Id="rId160" Type="http://schemas.openxmlformats.org/officeDocument/2006/relationships/hyperlink" Target="https://twitter.com/DataAndDataViz/status/701365402740379648" TargetMode="External"/><Relationship Id="rId159" Type="http://schemas.openxmlformats.org/officeDocument/2006/relationships/hyperlink" Target="https://twitter.com/DataAndDataViz" TargetMode="External"/><Relationship Id="rId3281" Type="http://schemas.openxmlformats.org/officeDocument/2006/relationships/hyperlink" Target="https://twitter.com/Aineuig" TargetMode="External"/><Relationship Id="rId3280" Type="http://schemas.openxmlformats.org/officeDocument/2006/relationships/hyperlink" Target="https://pbs.twimg.com/profile_images/1222779560/cran1_normal.jpg" TargetMode="External"/><Relationship Id="rId3283" Type="http://schemas.openxmlformats.org/officeDocument/2006/relationships/hyperlink" Target="https://pbs.twimg.com/profile_images/193373289/Aine_normal.jpg" TargetMode="External"/><Relationship Id="rId3282" Type="http://schemas.openxmlformats.org/officeDocument/2006/relationships/hyperlink" Target="https://twitter.com/Aineuig/status/702134680015994880" TargetMode="External"/><Relationship Id="rId154" Type="http://schemas.openxmlformats.org/officeDocument/2006/relationships/hyperlink" Target="https://twitter.com/nnfuzzy/status/701360534369738752" TargetMode="External"/><Relationship Id="rId3285" Type="http://schemas.openxmlformats.org/officeDocument/2006/relationships/hyperlink" Target="https://twitter.com/alisonappling/status/702135395375448065" TargetMode="External"/><Relationship Id="rId153" Type="http://schemas.openxmlformats.org/officeDocument/2006/relationships/hyperlink" Target="https://twitter.com/nnfuzzy" TargetMode="External"/><Relationship Id="rId3284" Type="http://schemas.openxmlformats.org/officeDocument/2006/relationships/hyperlink" Target="https://twitter.com/alisonappling" TargetMode="External"/><Relationship Id="rId152" Type="http://schemas.openxmlformats.org/officeDocument/2006/relationships/hyperlink" Target="https://pbs.twimg.com/profile_images/378800000091528805/cd3811861746d3dca7e0241d3660b7bc_normal.jpeg" TargetMode="External"/><Relationship Id="rId3287" Type="http://schemas.openxmlformats.org/officeDocument/2006/relationships/hyperlink" Target="https://twitter.com/techrsr" TargetMode="External"/><Relationship Id="rId151" Type="http://schemas.openxmlformats.org/officeDocument/2006/relationships/hyperlink" Target="https://twitter.com/drs_ch/status/701359497739116544" TargetMode="External"/><Relationship Id="rId3286" Type="http://schemas.openxmlformats.org/officeDocument/2006/relationships/hyperlink" Target="https://abs.twimg.com/sticky/default_profile_images/default_profile_1_normal.png" TargetMode="External"/><Relationship Id="rId158" Type="http://schemas.openxmlformats.org/officeDocument/2006/relationships/hyperlink" Target="https://pbs.twimg.com/profile_images/378800000770774371/c8edc88c5ae8f79dad546de7735ad2a7_normal.jpeg" TargetMode="External"/><Relationship Id="rId3289" Type="http://schemas.openxmlformats.org/officeDocument/2006/relationships/hyperlink" Target="https://pbs.twimg.com/profile_images/3338571698/df89e01d4258687f9ca99c62b8840427_normal.jpeg" TargetMode="External"/><Relationship Id="rId157" Type="http://schemas.openxmlformats.org/officeDocument/2006/relationships/hyperlink" Target="https://twitter.com/markheckmann/status/701365316165746689" TargetMode="External"/><Relationship Id="rId3288" Type="http://schemas.openxmlformats.org/officeDocument/2006/relationships/hyperlink" Target="https://twitter.com/techrsr/status/702135398240092162" TargetMode="External"/><Relationship Id="rId156" Type="http://schemas.openxmlformats.org/officeDocument/2006/relationships/hyperlink" Target="https://twitter.com/markheckmann" TargetMode="External"/><Relationship Id="rId155" Type="http://schemas.openxmlformats.org/officeDocument/2006/relationships/hyperlink" Target="https://pbs.twimg.com/profile_images/2605540262/vld0ipxfdopz8ijtqisd_normal.jpeg" TargetMode="External"/><Relationship Id="rId8123" Type="http://schemas.openxmlformats.org/officeDocument/2006/relationships/hyperlink" Target="https://twitter.com/ShinyappsRecent" TargetMode="External"/><Relationship Id="rId8122" Type="http://schemas.openxmlformats.org/officeDocument/2006/relationships/hyperlink" Target="https://pbs.twimg.com/profile_images/523179289638731776/dJyIiYSR_normal.png" TargetMode="External"/><Relationship Id="rId8121" Type="http://schemas.openxmlformats.org/officeDocument/2006/relationships/hyperlink" Target="https://twitter.com/fcolmenero/status/703085725219164161" TargetMode="External"/><Relationship Id="rId8120" Type="http://schemas.openxmlformats.org/officeDocument/2006/relationships/hyperlink" Target="https://twitter.com/fcolmenero" TargetMode="External"/><Relationship Id="rId8127" Type="http://schemas.openxmlformats.org/officeDocument/2006/relationships/hyperlink" Target="https://twitter.com/pacehrb/status/703089425882812416" TargetMode="External"/><Relationship Id="rId8126" Type="http://schemas.openxmlformats.org/officeDocument/2006/relationships/hyperlink" Target="https://twitter.com/pacehrb" TargetMode="External"/><Relationship Id="rId8125" Type="http://schemas.openxmlformats.org/officeDocument/2006/relationships/hyperlink" Target="https://pbs.twimg.com/profile_images/550280885480603648/jye_0y8s_normal.png" TargetMode="External"/><Relationship Id="rId8124" Type="http://schemas.openxmlformats.org/officeDocument/2006/relationships/hyperlink" Target="https://twitter.com/ShinyappsRecent/status/703088354548539393" TargetMode="External"/><Relationship Id="rId8129" Type="http://schemas.openxmlformats.org/officeDocument/2006/relationships/hyperlink" Target="https://twitter.com/AliakseiSysa" TargetMode="External"/><Relationship Id="rId8128" Type="http://schemas.openxmlformats.org/officeDocument/2006/relationships/hyperlink" Target="https://pbs.twimg.com/profile_images/1144625930/hanmant_normal.jpg" TargetMode="External"/><Relationship Id="rId8112" Type="http://schemas.openxmlformats.org/officeDocument/2006/relationships/hyperlink" Target="https://twitter.com/ross_gayler/status/703082156315152384" TargetMode="External"/><Relationship Id="rId8111" Type="http://schemas.openxmlformats.org/officeDocument/2006/relationships/hyperlink" Target="https://twitter.com/ross_gayler" TargetMode="External"/><Relationship Id="rId8110" Type="http://schemas.openxmlformats.org/officeDocument/2006/relationships/hyperlink" Target="https://pbs.twimg.com/profile_images/2757783587/2c7f6a4b26cba42269450226535dc187_normal.jpeg" TargetMode="External"/><Relationship Id="rId8116" Type="http://schemas.openxmlformats.org/officeDocument/2006/relationships/hyperlink" Target="https://pbs.twimg.com/profile_images/680246148762828801/flXTNSKT_normal.jpg" TargetMode="External"/><Relationship Id="rId8115" Type="http://schemas.openxmlformats.org/officeDocument/2006/relationships/hyperlink" Target="https://twitter.com/KirkDBorne/status/703084188661059584" TargetMode="External"/><Relationship Id="rId8114" Type="http://schemas.openxmlformats.org/officeDocument/2006/relationships/hyperlink" Target="https://twitter.com/KirkDBorne" TargetMode="External"/><Relationship Id="rId8113" Type="http://schemas.openxmlformats.org/officeDocument/2006/relationships/hyperlink" Target="https://pbs.twimg.com/profile_images/521256001865932800/DOAz0B_w_normal.jpeg" TargetMode="External"/><Relationship Id="rId8119" Type="http://schemas.openxmlformats.org/officeDocument/2006/relationships/hyperlink" Target="https://pbs.twimg.com/profile_images/701553083537604608/nr8b38eG_normal.jpg" TargetMode="External"/><Relationship Id="rId8118" Type="http://schemas.openxmlformats.org/officeDocument/2006/relationships/hyperlink" Target="https://twitter.com/renato_umeton/status/703085484331954177" TargetMode="External"/><Relationship Id="rId8117" Type="http://schemas.openxmlformats.org/officeDocument/2006/relationships/hyperlink" Target="https://twitter.com/renato_umeton" TargetMode="External"/><Relationship Id="rId8141" Type="http://schemas.openxmlformats.org/officeDocument/2006/relationships/hyperlink" Target="https://twitter.com/DiegoKuonen" TargetMode="External"/><Relationship Id="rId8140" Type="http://schemas.openxmlformats.org/officeDocument/2006/relationships/hyperlink" Target="https://pbs.twimg.com/profile_images/468815585837461504/dF8HXAu0_normal.jpeg" TargetMode="External"/><Relationship Id="rId8145" Type="http://schemas.openxmlformats.org/officeDocument/2006/relationships/hyperlink" Target="https://twitter.com/paulpeton/status/703099247839674369" TargetMode="External"/><Relationship Id="rId8144" Type="http://schemas.openxmlformats.org/officeDocument/2006/relationships/hyperlink" Target="https://twitter.com/paulpeton" TargetMode="External"/><Relationship Id="rId8143" Type="http://schemas.openxmlformats.org/officeDocument/2006/relationships/hyperlink" Target="https://pbs.twimg.com/profile_images/378800000789286118/6513547e4bfa244b269a74c72f739807_normal.jpeg" TargetMode="External"/><Relationship Id="rId8142" Type="http://schemas.openxmlformats.org/officeDocument/2006/relationships/hyperlink" Target="https://twitter.com/DiegoKuonen/status/703098353194676225" TargetMode="External"/><Relationship Id="rId8149" Type="http://schemas.openxmlformats.org/officeDocument/2006/relationships/hyperlink" Target="https://pbs.twimg.com/profile_images/700219041131204608/DZKmHE4-_normal.jpg" TargetMode="External"/><Relationship Id="rId8148" Type="http://schemas.openxmlformats.org/officeDocument/2006/relationships/hyperlink" Target="https://twitter.com/ErmiaBivatan/status/703099543512977413" TargetMode="External"/><Relationship Id="rId8147" Type="http://schemas.openxmlformats.org/officeDocument/2006/relationships/hyperlink" Target="https://twitter.com/ErmiaBivatan" TargetMode="External"/><Relationship Id="rId8146" Type="http://schemas.openxmlformats.org/officeDocument/2006/relationships/hyperlink" Target="https://pbs.twimg.com/profile_images/2804660822/49b0136cb3e64480fd5a80a2b41da086_normal.jpeg" TargetMode="External"/><Relationship Id="rId8130" Type="http://schemas.openxmlformats.org/officeDocument/2006/relationships/hyperlink" Target="https://twitter.com/AliakseiSysa/status/703090960041771009" TargetMode="External"/><Relationship Id="rId8134" Type="http://schemas.openxmlformats.org/officeDocument/2006/relationships/hyperlink" Target="https://abs.twimg.com/sticky/default_profile_images/default_profile_5_normal.png" TargetMode="External"/><Relationship Id="rId8133" Type="http://schemas.openxmlformats.org/officeDocument/2006/relationships/hyperlink" Target="https://twitter.com/TheWAnswer/status/703093986114686977" TargetMode="External"/><Relationship Id="rId8132" Type="http://schemas.openxmlformats.org/officeDocument/2006/relationships/hyperlink" Target="https://twitter.com/TheWAnswer" TargetMode="External"/><Relationship Id="rId8131" Type="http://schemas.openxmlformats.org/officeDocument/2006/relationships/hyperlink" Target="https://pbs.twimg.com/profile_images/440367782215966722/ftaIcHPm_normal.jpeg" TargetMode="External"/><Relationship Id="rId8138" Type="http://schemas.openxmlformats.org/officeDocument/2006/relationships/hyperlink" Target="https://twitter.com/raynamharris" TargetMode="External"/><Relationship Id="rId8137" Type="http://schemas.openxmlformats.org/officeDocument/2006/relationships/hyperlink" Target="https://pbs.twimg.com/profile_images/678795694589669376/nM6wYCKq_normal.jpg" TargetMode="External"/><Relationship Id="rId8136" Type="http://schemas.openxmlformats.org/officeDocument/2006/relationships/hyperlink" Target="https://twitter.com/ArnoCandel/status/703096518404759554" TargetMode="External"/><Relationship Id="rId8135" Type="http://schemas.openxmlformats.org/officeDocument/2006/relationships/hyperlink" Target="https://twitter.com/ArnoCandel" TargetMode="External"/><Relationship Id="rId8139" Type="http://schemas.openxmlformats.org/officeDocument/2006/relationships/hyperlink" Target="https://twitter.com/raynamharris/status/703096843756900354" TargetMode="External"/><Relationship Id="rId8101" Type="http://schemas.openxmlformats.org/officeDocument/2006/relationships/hyperlink" Target="https://pbs.twimg.com/profile_images/678795694589669376/nM6wYCKq_normal.jpg" TargetMode="External"/><Relationship Id="rId8100" Type="http://schemas.openxmlformats.org/officeDocument/2006/relationships/hyperlink" Target="https://twitter.com/ArnoCandel/status/703073669346492416" TargetMode="External"/><Relationship Id="rId8105" Type="http://schemas.openxmlformats.org/officeDocument/2006/relationships/hyperlink" Target="https://twitter.com/MattDowle" TargetMode="External"/><Relationship Id="rId8104" Type="http://schemas.openxmlformats.org/officeDocument/2006/relationships/hyperlink" Target="https://pbs.twimg.com/profile_images/607928859950874624/ggJL3LFt_normal.jpg" TargetMode="External"/><Relationship Id="rId8103" Type="http://schemas.openxmlformats.org/officeDocument/2006/relationships/hyperlink" Target="https://twitter.com/InnovationCoSB/status/703075040540102656" TargetMode="External"/><Relationship Id="rId8102" Type="http://schemas.openxmlformats.org/officeDocument/2006/relationships/hyperlink" Target="https://twitter.com/InnovationCoSB" TargetMode="External"/><Relationship Id="rId8109" Type="http://schemas.openxmlformats.org/officeDocument/2006/relationships/hyperlink" Target="https://twitter.com/housecat442/status/703079288002588672" TargetMode="External"/><Relationship Id="rId8108" Type="http://schemas.openxmlformats.org/officeDocument/2006/relationships/hyperlink" Target="https://twitter.com/housecat442" TargetMode="External"/><Relationship Id="rId8107" Type="http://schemas.openxmlformats.org/officeDocument/2006/relationships/hyperlink" Target="https://pbs.twimg.com/profile_images/466298987297767424/1ueQr4I5_normal.jpeg" TargetMode="External"/><Relationship Id="rId8106" Type="http://schemas.openxmlformats.org/officeDocument/2006/relationships/hyperlink" Target="https://twitter.com/MattDowle/status/703078044143996928" TargetMode="External"/><Relationship Id="rId4602" Type="http://schemas.openxmlformats.org/officeDocument/2006/relationships/hyperlink" Target="https://pbs.twimg.com/profile_images/440684638906773504/7dnMTesu_normal.jpeg" TargetMode="External"/><Relationship Id="rId5934" Type="http://schemas.openxmlformats.org/officeDocument/2006/relationships/hyperlink" Target="https://pbs.twimg.com/profile_images/463416449986347008/_7EjxgJN_normal.jpeg" TargetMode="External"/><Relationship Id="rId4601" Type="http://schemas.openxmlformats.org/officeDocument/2006/relationships/hyperlink" Target="https://twitter.com/sciencerely/status/702440210815184896" TargetMode="External"/><Relationship Id="rId5935" Type="http://schemas.openxmlformats.org/officeDocument/2006/relationships/hyperlink" Target="https://twitter.com/ricphd" TargetMode="External"/><Relationship Id="rId4604" Type="http://schemas.openxmlformats.org/officeDocument/2006/relationships/hyperlink" Target="https://twitter.com/LC1824L/status/702440278368591872" TargetMode="External"/><Relationship Id="rId5932" Type="http://schemas.openxmlformats.org/officeDocument/2006/relationships/hyperlink" Target="https://twitter.com/SeqAnalysis" TargetMode="External"/><Relationship Id="rId4603" Type="http://schemas.openxmlformats.org/officeDocument/2006/relationships/hyperlink" Target="https://twitter.com/LC1824L" TargetMode="External"/><Relationship Id="rId5933" Type="http://schemas.openxmlformats.org/officeDocument/2006/relationships/hyperlink" Target="https://twitter.com/SeqAnalysis/status/702634327855734784" TargetMode="External"/><Relationship Id="rId4606" Type="http://schemas.openxmlformats.org/officeDocument/2006/relationships/hyperlink" Target="https://twitter.com/earlconf" TargetMode="External"/><Relationship Id="rId5938" Type="http://schemas.openxmlformats.org/officeDocument/2006/relationships/hyperlink" Target="https://twitter.com/FrederikAust" TargetMode="External"/><Relationship Id="rId4605" Type="http://schemas.openxmlformats.org/officeDocument/2006/relationships/hyperlink" Target="https://pbs.twimg.com/profile_images/2018155641/images_normal.jpg" TargetMode="External"/><Relationship Id="rId5939" Type="http://schemas.openxmlformats.org/officeDocument/2006/relationships/hyperlink" Target="https://twitter.com/FrederikAust/status/702636573129621504" TargetMode="External"/><Relationship Id="rId4608" Type="http://schemas.openxmlformats.org/officeDocument/2006/relationships/hyperlink" Target="https://pbs.twimg.com/profile_images/432298122203512833/YDXfWlI__normal.png" TargetMode="External"/><Relationship Id="rId5936" Type="http://schemas.openxmlformats.org/officeDocument/2006/relationships/hyperlink" Target="https://twitter.com/ricphd/status/702635024730951680" TargetMode="External"/><Relationship Id="rId4607" Type="http://schemas.openxmlformats.org/officeDocument/2006/relationships/hyperlink" Target="https://twitter.com/earlconf/status/702440587660759040" TargetMode="External"/><Relationship Id="rId5937" Type="http://schemas.openxmlformats.org/officeDocument/2006/relationships/hyperlink" Target="https://pbs.twimg.com/profile_images/378800000069653636/0f35849ccb4ae9e9e1fa50059d4c39df_normal.jpeg" TargetMode="External"/><Relationship Id="rId4609" Type="http://schemas.openxmlformats.org/officeDocument/2006/relationships/hyperlink" Target="https://twitter.com/DgtlNmd" TargetMode="External"/><Relationship Id="rId5930" Type="http://schemas.openxmlformats.org/officeDocument/2006/relationships/hyperlink" Target="https://twitter.com/datalabcc/status/702633000656363520" TargetMode="External"/><Relationship Id="rId5931" Type="http://schemas.openxmlformats.org/officeDocument/2006/relationships/hyperlink" Target="https://pbs.twimg.com/profile_images/500029963387408384/w3aCs2eI_normal.png" TargetMode="External"/><Relationship Id="rId4600" Type="http://schemas.openxmlformats.org/officeDocument/2006/relationships/hyperlink" Target="https://twitter.com/sciencerely" TargetMode="External"/><Relationship Id="rId5923" Type="http://schemas.openxmlformats.org/officeDocument/2006/relationships/hyperlink" Target="https://twitter.com/jebyrnes/status/702632037845504000" TargetMode="External"/><Relationship Id="rId5924" Type="http://schemas.openxmlformats.org/officeDocument/2006/relationships/hyperlink" Target="https://pbs.twimg.com/profile_images/1278324526/Screen_shot_2011-03-18_at_11.05.13_AM_normal.png" TargetMode="External"/><Relationship Id="rId5921" Type="http://schemas.openxmlformats.org/officeDocument/2006/relationships/hyperlink" Target="https://pbs.twimg.com/profile_images/651885368279568384/JY9VXNaJ_normal.jpg" TargetMode="External"/><Relationship Id="rId5922" Type="http://schemas.openxmlformats.org/officeDocument/2006/relationships/hyperlink" Target="https://twitter.com/jebyrnes" TargetMode="External"/><Relationship Id="rId5927" Type="http://schemas.openxmlformats.org/officeDocument/2006/relationships/hyperlink" Target="https://pbs.twimg.com/profile_images/699545598450606080/s8CU8cVg_normal.png" TargetMode="External"/><Relationship Id="rId5928" Type="http://schemas.openxmlformats.org/officeDocument/2006/relationships/hyperlink" Target="https://twitter.com/datalabcc" TargetMode="External"/><Relationship Id="rId5925" Type="http://schemas.openxmlformats.org/officeDocument/2006/relationships/hyperlink" Target="https://twitter.com/WebScraperDB" TargetMode="External"/><Relationship Id="rId5926" Type="http://schemas.openxmlformats.org/officeDocument/2006/relationships/hyperlink" Target="https://twitter.com/WebScraperDB/status/702632304666091520" TargetMode="External"/><Relationship Id="rId5929" Type="http://schemas.openxmlformats.org/officeDocument/2006/relationships/hyperlink" Target="http://datalab.cc" TargetMode="External"/><Relationship Id="rId8196" Type="http://schemas.openxmlformats.org/officeDocument/2006/relationships/hyperlink" Target="https://twitter.com/wtibrentdubai" TargetMode="External"/><Relationship Id="rId8195" Type="http://schemas.openxmlformats.org/officeDocument/2006/relationships/hyperlink" Target="https://pbs.twimg.com/profile_images/378800000143175628/b8fe578a774c3c4ac0a8fc2e7545c043_normal.jpeg" TargetMode="External"/><Relationship Id="rId8194" Type="http://schemas.openxmlformats.org/officeDocument/2006/relationships/hyperlink" Target="https://twitter.com/octonion/status/703105462875500544" TargetMode="External"/><Relationship Id="rId8193" Type="http://schemas.openxmlformats.org/officeDocument/2006/relationships/hyperlink" Target="https://twitter.com/octonion" TargetMode="External"/><Relationship Id="rId8199" Type="http://schemas.openxmlformats.org/officeDocument/2006/relationships/hyperlink" Target="https://twitter.com/analyticbridge" TargetMode="External"/><Relationship Id="rId8198" Type="http://schemas.openxmlformats.org/officeDocument/2006/relationships/hyperlink" Target="https://pbs.twimg.com/profile_images/670700991906381824/-0POuKFV_normal.jpg" TargetMode="External"/><Relationship Id="rId8197" Type="http://schemas.openxmlformats.org/officeDocument/2006/relationships/hyperlink" Target="https://twitter.com/wtibrentdubai/status/703105610972139521" TargetMode="External"/><Relationship Id="rId5920" Type="http://schemas.openxmlformats.org/officeDocument/2006/relationships/hyperlink" Target="https://twitter.com/SparkIQ_Labs/status/702631689223168000" TargetMode="External"/><Relationship Id="rId4624" Type="http://schemas.openxmlformats.org/officeDocument/2006/relationships/hyperlink" Target="https://twitter.com/BeardData" TargetMode="External"/><Relationship Id="rId5956" Type="http://schemas.openxmlformats.org/officeDocument/2006/relationships/hyperlink" Target="https://twitter.com/TiffanyTimbers" TargetMode="External"/><Relationship Id="rId4623" Type="http://schemas.openxmlformats.org/officeDocument/2006/relationships/hyperlink" Target="https://pbs.twimg.com/profile_images/696226577386852352/yseUYL_3_normal.jpg" TargetMode="External"/><Relationship Id="rId5957" Type="http://schemas.openxmlformats.org/officeDocument/2006/relationships/hyperlink" Target="https://twitter.com/TiffanyTimbers/status/702637843475070976" TargetMode="External"/><Relationship Id="rId4626" Type="http://schemas.openxmlformats.org/officeDocument/2006/relationships/hyperlink" Target="https://pbs.twimg.com/profile_images/654229391447207936/9XpOhLn__normal.jpg" TargetMode="External"/><Relationship Id="rId5954" Type="http://schemas.openxmlformats.org/officeDocument/2006/relationships/hyperlink" Target="https://twitter.com/CornellMBA_IC/status/702637503623331841" TargetMode="External"/><Relationship Id="rId4625" Type="http://schemas.openxmlformats.org/officeDocument/2006/relationships/hyperlink" Target="https://twitter.com/BeardData/status/702442391492542465" TargetMode="External"/><Relationship Id="rId5955" Type="http://schemas.openxmlformats.org/officeDocument/2006/relationships/hyperlink" Target="https://pbs.twimg.com/profile_images/650770387479973888/hcmaWqHC_normal.jpg" TargetMode="External"/><Relationship Id="rId4628" Type="http://schemas.openxmlformats.org/officeDocument/2006/relationships/hyperlink" Target="https://twitter.com/Juan_A_Lleo/status/702442429673291776" TargetMode="External"/><Relationship Id="rId4627" Type="http://schemas.openxmlformats.org/officeDocument/2006/relationships/hyperlink" Target="https://twitter.com/Juan_A_Lleo" TargetMode="External"/><Relationship Id="rId5958" Type="http://schemas.openxmlformats.org/officeDocument/2006/relationships/hyperlink" Target="https://pbs.twimg.com/profile_images/555037927210614786/h0Xxb-Vr_normal.jpeg" TargetMode="External"/><Relationship Id="rId4629" Type="http://schemas.openxmlformats.org/officeDocument/2006/relationships/hyperlink" Target="https://pbs.twimg.com/profile_images/3587933843/b6e7fdace3be152afb087ed5e896a2e0_normal.jpeg" TargetMode="External"/><Relationship Id="rId5959" Type="http://schemas.openxmlformats.org/officeDocument/2006/relationships/hyperlink" Target="https://twitter.com/law_wu" TargetMode="External"/><Relationship Id="rId4620" Type="http://schemas.openxmlformats.org/officeDocument/2006/relationships/hyperlink" Target="https://pbs.twimg.com/profile_images/652945417785765888/SA1xemxF_normal.jpg" TargetMode="External"/><Relationship Id="rId5952" Type="http://schemas.openxmlformats.org/officeDocument/2006/relationships/hyperlink" Target="https://pbs.twimg.com/profile_images/378800000506419090/7334033f4b84df6547c6b38121f77636_normal.png" TargetMode="External"/><Relationship Id="rId5953" Type="http://schemas.openxmlformats.org/officeDocument/2006/relationships/hyperlink" Target="https://twitter.com/CornellMBA_IC" TargetMode="External"/><Relationship Id="rId4622" Type="http://schemas.openxmlformats.org/officeDocument/2006/relationships/hyperlink" Target="https://twitter.com/openmylab/status/702442144695492608" TargetMode="External"/><Relationship Id="rId5950" Type="http://schemas.openxmlformats.org/officeDocument/2006/relationships/hyperlink" Target="https://twitter.com/AriBFriedman" TargetMode="External"/><Relationship Id="rId4621" Type="http://schemas.openxmlformats.org/officeDocument/2006/relationships/hyperlink" Target="https://twitter.com/openmylab" TargetMode="External"/><Relationship Id="rId5951" Type="http://schemas.openxmlformats.org/officeDocument/2006/relationships/hyperlink" Target="https://twitter.com/AriBFriedman/status/702637436455747584" TargetMode="External"/><Relationship Id="rId4613" Type="http://schemas.openxmlformats.org/officeDocument/2006/relationships/hyperlink" Target="https://twitter.com/adolfoalvarez/status/702440939894263808" TargetMode="External"/><Relationship Id="rId5945" Type="http://schemas.openxmlformats.org/officeDocument/2006/relationships/hyperlink" Target="https://twitter.com/RemiDaigle/status/702637082208960513" TargetMode="External"/><Relationship Id="rId4612" Type="http://schemas.openxmlformats.org/officeDocument/2006/relationships/hyperlink" Target="https://twitter.com/adolfoalvarez" TargetMode="External"/><Relationship Id="rId5946" Type="http://schemas.openxmlformats.org/officeDocument/2006/relationships/hyperlink" Target="https://pbs.twimg.com/profile_images/2741510716/f8de7b95a276c50d5b8e900ff0d760c4_normal.jpeg" TargetMode="External"/><Relationship Id="rId4615" Type="http://schemas.openxmlformats.org/officeDocument/2006/relationships/hyperlink" Target="https://twitter.com/felixhaass" TargetMode="External"/><Relationship Id="rId5943" Type="http://schemas.openxmlformats.org/officeDocument/2006/relationships/hyperlink" Target="https://pbs.twimg.com/profile_images/457775762108448768/XmO2C1-E_normal.png" TargetMode="External"/><Relationship Id="rId4614" Type="http://schemas.openxmlformats.org/officeDocument/2006/relationships/hyperlink" Target="https://pbs.twimg.com/profile_images/594252638172098560/192mtWOt_normal.jpg" TargetMode="External"/><Relationship Id="rId5944" Type="http://schemas.openxmlformats.org/officeDocument/2006/relationships/hyperlink" Target="https://twitter.com/RemiDaigle" TargetMode="External"/><Relationship Id="rId4617" Type="http://schemas.openxmlformats.org/officeDocument/2006/relationships/hyperlink" Target="https://pbs.twimg.com/profile_images/673446393097383936/uAq5-GBS_normal.jpg" TargetMode="External"/><Relationship Id="rId5949" Type="http://schemas.openxmlformats.org/officeDocument/2006/relationships/hyperlink" Target="https://pbs.twimg.com/profile_images/3445541159/00d0e89334b847732c3378d257f9353a_normal.jpeg" TargetMode="External"/><Relationship Id="rId4616" Type="http://schemas.openxmlformats.org/officeDocument/2006/relationships/hyperlink" Target="https://twitter.com/felixhaass/status/702441163626835968" TargetMode="External"/><Relationship Id="rId4619" Type="http://schemas.openxmlformats.org/officeDocument/2006/relationships/hyperlink" Target="https://twitter.com/a_leininger/status/702441876222304256" TargetMode="External"/><Relationship Id="rId5947" Type="http://schemas.openxmlformats.org/officeDocument/2006/relationships/hyperlink" Target="https://twitter.com/alexchubaty" TargetMode="External"/><Relationship Id="rId4618" Type="http://schemas.openxmlformats.org/officeDocument/2006/relationships/hyperlink" Target="https://twitter.com/a_leininger" TargetMode="External"/><Relationship Id="rId5948" Type="http://schemas.openxmlformats.org/officeDocument/2006/relationships/hyperlink" Target="https://twitter.com/alexchubaty/status/702637157110796288" TargetMode="External"/><Relationship Id="rId5941" Type="http://schemas.openxmlformats.org/officeDocument/2006/relationships/hyperlink" Target="https://twitter.com/AnalyticsVidhya" TargetMode="External"/><Relationship Id="rId5942" Type="http://schemas.openxmlformats.org/officeDocument/2006/relationships/hyperlink" Target="https://twitter.com/AnalyticsVidhya/status/702636794941202432" TargetMode="External"/><Relationship Id="rId4611" Type="http://schemas.openxmlformats.org/officeDocument/2006/relationships/hyperlink" Target="https://pbs.twimg.com/profile_images/701672045512257537/SCiCCeCd_normal.jpg" TargetMode="External"/><Relationship Id="rId4610" Type="http://schemas.openxmlformats.org/officeDocument/2006/relationships/hyperlink" Target="https://twitter.com/DgtlNmd/status/702440876426055680" TargetMode="External"/><Relationship Id="rId5940" Type="http://schemas.openxmlformats.org/officeDocument/2006/relationships/hyperlink" Target="https://pbs.twimg.com/profile_images/530465194451804160/N18Hg1Gl_normal.jpeg" TargetMode="External"/><Relationship Id="rId8170" Type="http://schemas.openxmlformats.org/officeDocument/2006/relationships/hyperlink" Target="https://twitter.com/RalfHeineke/status/703101708281389056" TargetMode="External"/><Relationship Id="rId8163" Type="http://schemas.openxmlformats.org/officeDocument/2006/relationships/hyperlink" Target="https://twitter.com/RomeoKienzler" TargetMode="External"/><Relationship Id="rId8162" Type="http://schemas.openxmlformats.org/officeDocument/2006/relationships/hyperlink" Target="https://pbs.twimg.com/profile_images/701553083537604608/nr8b38eG_normal.jpg" TargetMode="External"/><Relationship Id="rId8161" Type="http://schemas.openxmlformats.org/officeDocument/2006/relationships/hyperlink" Target="https://twitter.com/renato_umeton/status/703100904002617346" TargetMode="External"/><Relationship Id="rId8160" Type="http://schemas.openxmlformats.org/officeDocument/2006/relationships/hyperlink" Target="https://twitter.com/renato_umeton" TargetMode="External"/><Relationship Id="rId8167" Type="http://schemas.openxmlformats.org/officeDocument/2006/relationships/hyperlink" Target="https://twitter.com/tljmaes/status/703101485324771329" TargetMode="External"/><Relationship Id="rId8166" Type="http://schemas.openxmlformats.org/officeDocument/2006/relationships/hyperlink" Target="https://twitter.com/tljmaes" TargetMode="External"/><Relationship Id="rId8165" Type="http://schemas.openxmlformats.org/officeDocument/2006/relationships/hyperlink" Target="https://pbs.twimg.com/profile_images/699214464525139968/QNynQu0h_normal.jpg" TargetMode="External"/><Relationship Id="rId8164" Type="http://schemas.openxmlformats.org/officeDocument/2006/relationships/hyperlink" Target="https://twitter.com/RomeoKienzler/status/703100980355698688" TargetMode="External"/><Relationship Id="rId8169" Type="http://schemas.openxmlformats.org/officeDocument/2006/relationships/hyperlink" Target="https://twitter.com/RalfHeineke" TargetMode="External"/><Relationship Id="rId8168" Type="http://schemas.openxmlformats.org/officeDocument/2006/relationships/hyperlink" Target="https://pbs.twimg.com/profile_images/614870232939786240/U00SqPOc_normal.jpg" TargetMode="External"/><Relationship Id="rId8152" Type="http://schemas.openxmlformats.org/officeDocument/2006/relationships/hyperlink" Target="http://r-bloggers.com" TargetMode="External"/><Relationship Id="rId8151" Type="http://schemas.openxmlformats.org/officeDocument/2006/relationships/hyperlink" Target="https://twitter.com/Rbloggers/status/703099719594020864" TargetMode="External"/><Relationship Id="rId8150" Type="http://schemas.openxmlformats.org/officeDocument/2006/relationships/hyperlink" Target="https://twitter.com/Rbloggers" TargetMode="External"/><Relationship Id="rId8156" Type="http://schemas.openxmlformats.org/officeDocument/2006/relationships/hyperlink" Target="https://pbs.twimg.com/profile_images/569426731119820800/UuWhn-aS_normal.jpeg" TargetMode="External"/><Relationship Id="rId8155" Type="http://schemas.openxmlformats.org/officeDocument/2006/relationships/hyperlink" Target="https://twitter.com/ramhiser/status/703100440251015173" TargetMode="External"/><Relationship Id="rId8154" Type="http://schemas.openxmlformats.org/officeDocument/2006/relationships/hyperlink" Target="https://twitter.com/ramhiser" TargetMode="External"/><Relationship Id="rId8153" Type="http://schemas.openxmlformats.org/officeDocument/2006/relationships/hyperlink" Target="https://pbs.twimg.com/profile_images/502185985786916864/gkdFh-q7_normal.png" TargetMode="External"/><Relationship Id="rId8159" Type="http://schemas.openxmlformats.org/officeDocument/2006/relationships/hyperlink" Target="https://pbs.twimg.com/profile_images/1222779560/cran1_normal.jpg" TargetMode="External"/><Relationship Id="rId8158" Type="http://schemas.openxmlformats.org/officeDocument/2006/relationships/hyperlink" Target="https://twitter.com/CRANberriesFeed/status/703100649722916864" TargetMode="External"/><Relationship Id="rId8157" Type="http://schemas.openxmlformats.org/officeDocument/2006/relationships/hyperlink" Target="https://twitter.com/CRANberriesFeed" TargetMode="External"/><Relationship Id="rId5912" Type="http://schemas.openxmlformats.org/officeDocument/2006/relationships/hyperlink" Target="https://pbs.twimg.com/profile_images/1771582928/wind_tunnel_trimmed_normal.jpg" TargetMode="External"/><Relationship Id="rId5913" Type="http://schemas.openxmlformats.org/officeDocument/2006/relationships/hyperlink" Target="https://twitter.com/bartonpoulson" TargetMode="External"/><Relationship Id="rId5910" Type="http://schemas.openxmlformats.org/officeDocument/2006/relationships/hyperlink" Target="https://twitter.com/lustyandlewd" TargetMode="External"/><Relationship Id="rId5911" Type="http://schemas.openxmlformats.org/officeDocument/2006/relationships/hyperlink" Target="https://twitter.com/lustyandlewd/status/702631288428171264" TargetMode="External"/><Relationship Id="rId5916" Type="http://schemas.openxmlformats.org/officeDocument/2006/relationships/hyperlink" Target="https://twitter.com/andyteucher" TargetMode="External"/><Relationship Id="rId5917" Type="http://schemas.openxmlformats.org/officeDocument/2006/relationships/hyperlink" Target="https://twitter.com/andyteucher/status/702631553717829632" TargetMode="External"/><Relationship Id="rId5914" Type="http://schemas.openxmlformats.org/officeDocument/2006/relationships/hyperlink" Target="https://twitter.com/bartonpoulson/status/702631415410782209" TargetMode="External"/><Relationship Id="rId5915" Type="http://schemas.openxmlformats.org/officeDocument/2006/relationships/hyperlink" Target="https://pbs.twimg.com/profile_images/695090864083701760/T-xRoICU_normal.jpg" TargetMode="External"/><Relationship Id="rId5918" Type="http://schemas.openxmlformats.org/officeDocument/2006/relationships/hyperlink" Target="https://pbs.twimg.com/profile_images/509021766979579904/lAjlpu7x_normal.jpeg" TargetMode="External"/><Relationship Id="rId5919" Type="http://schemas.openxmlformats.org/officeDocument/2006/relationships/hyperlink" Target="https://twitter.com/SparkIQ_Labs" TargetMode="External"/><Relationship Id="rId8192" Type="http://schemas.openxmlformats.org/officeDocument/2006/relationships/hyperlink" Target="https://pbs.twimg.com/profile_images/1727033002/image_normal.jpg" TargetMode="External"/><Relationship Id="rId8191" Type="http://schemas.openxmlformats.org/officeDocument/2006/relationships/hyperlink" Target="https://twitter.com/secmanco/status/703105297875804160" TargetMode="External"/><Relationship Id="rId8190" Type="http://schemas.openxmlformats.org/officeDocument/2006/relationships/hyperlink" Target="https://twitter.com/secmanco" TargetMode="External"/><Relationship Id="rId8185" Type="http://schemas.openxmlformats.org/officeDocument/2006/relationships/hyperlink" Target="https://twitter.com/DailyRpackage/status/703104716406808576" TargetMode="External"/><Relationship Id="rId8184" Type="http://schemas.openxmlformats.org/officeDocument/2006/relationships/hyperlink" Target="https://twitter.com/DailyRpackage" TargetMode="External"/><Relationship Id="rId8183" Type="http://schemas.openxmlformats.org/officeDocument/2006/relationships/hyperlink" Target="https://abs.twimg.com/sticky/default_profile_images/default_profile_5_normal.png" TargetMode="External"/><Relationship Id="rId8182" Type="http://schemas.openxmlformats.org/officeDocument/2006/relationships/hyperlink" Target="https://twitter.com/TheWAnswer/status/703104546663374848" TargetMode="External"/><Relationship Id="rId8189" Type="http://schemas.openxmlformats.org/officeDocument/2006/relationships/hyperlink" Target="https://pbs.twimg.com/profile_images/466436117298810880/7ETrkCLU_normal.jpeg" TargetMode="External"/><Relationship Id="rId8188" Type="http://schemas.openxmlformats.org/officeDocument/2006/relationships/hyperlink" Target="https://twitter.com/DrNatalieKelly/status/703105127863832578" TargetMode="External"/><Relationship Id="rId8187" Type="http://schemas.openxmlformats.org/officeDocument/2006/relationships/hyperlink" Target="https://twitter.com/DrNatalieKelly" TargetMode="External"/><Relationship Id="rId8186" Type="http://schemas.openxmlformats.org/officeDocument/2006/relationships/hyperlink" Target="https://pbs.twimg.com/profile_images/3438004205/66da7270714af4309d185b958c4bb8be_normal.jpeg" TargetMode="External"/><Relationship Id="rId5901" Type="http://schemas.openxmlformats.org/officeDocument/2006/relationships/hyperlink" Target="https://twitter.com/Emaasit" TargetMode="External"/><Relationship Id="rId5902" Type="http://schemas.openxmlformats.org/officeDocument/2006/relationships/hyperlink" Target="https://twitter.com/Emaasit/status/702630687623360512" TargetMode="External"/><Relationship Id="rId5900" Type="http://schemas.openxmlformats.org/officeDocument/2006/relationships/hyperlink" Target="https://pbs.twimg.com/profile_images/686965105473396736/B9V5UtGS_normal.jpg" TargetMode="External"/><Relationship Id="rId5905" Type="http://schemas.openxmlformats.org/officeDocument/2006/relationships/hyperlink" Target="https://twitter.com/DerFredo/status/702630789620568064" TargetMode="External"/><Relationship Id="rId5906" Type="http://schemas.openxmlformats.org/officeDocument/2006/relationships/hyperlink" Target="https://pbs.twimg.com/profile_images/702262401882718208/LQ3N9NUM_normal.png" TargetMode="External"/><Relationship Id="rId5903" Type="http://schemas.openxmlformats.org/officeDocument/2006/relationships/hyperlink" Target="https://pbs.twimg.com/profile_images/567588045927354370/NN8xp_M5_normal.jpeg" TargetMode="External"/><Relationship Id="rId5904" Type="http://schemas.openxmlformats.org/officeDocument/2006/relationships/hyperlink" Target="https://twitter.com/DerFredo" TargetMode="External"/><Relationship Id="rId5909" Type="http://schemas.openxmlformats.org/officeDocument/2006/relationships/hyperlink" Target="https://pbs.twimg.com/profile_images/378800000666016370/4659ea1cf77b789e488e4c6888419315_normal.png" TargetMode="External"/><Relationship Id="rId5907" Type="http://schemas.openxmlformats.org/officeDocument/2006/relationships/hyperlink" Target="https://twitter.com/BillPetti" TargetMode="External"/><Relationship Id="rId5908" Type="http://schemas.openxmlformats.org/officeDocument/2006/relationships/hyperlink" Target="https://twitter.com/BillPetti/status/702630826677301248" TargetMode="External"/><Relationship Id="rId8181" Type="http://schemas.openxmlformats.org/officeDocument/2006/relationships/hyperlink" Target="https://twitter.com/TheWAnswer" TargetMode="External"/><Relationship Id="rId8180" Type="http://schemas.openxmlformats.org/officeDocument/2006/relationships/hyperlink" Target="https://pbs.twimg.com/profile_images/675225906173124609/xPlpeuKw_normal.png" TargetMode="External"/><Relationship Id="rId8174" Type="http://schemas.openxmlformats.org/officeDocument/2006/relationships/hyperlink" Target="https://pbs.twimg.com/profile_images/675225906173124609/xPlpeuKw_normal.png" TargetMode="External"/><Relationship Id="rId8173" Type="http://schemas.openxmlformats.org/officeDocument/2006/relationships/hyperlink" Target="https://twitter.com/DataFinest/status/703103166175277056" TargetMode="External"/><Relationship Id="rId8172" Type="http://schemas.openxmlformats.org/officeDocument/2006/relationships/hyperlink" Target="https://twitter.com/DataFinest" TargetMode="External"/><Relationship Id="rId8171" Type="http://schemas.openxmlformats.org/officeDocument/2006/relationships/hyperlink" Target="https://pbs.twimg.com/profile_images/690601653540671488/YPg_0t4z_normal.jpg" TargetMode="External"/><Relationship Id="rId8178" Type="http://schemas.openxmlformats.org/officeDocument/2006/relationships/hyperlink" Target="https://twitter.com/DataFinest" TargetMode="External"/><Relationship Id="rId8177" Type="http://schemas.openxmlformats.org/officeDocument/2006/relationships/hyperlink" Target="https://pbs.twimg.com/profile_images/694945496281018368/9DH5TPA-_normal.jpg" TargetMode="External"/><Relationship Id="rId8176" Type="http://schemas.openxmlformats.org/officeDocument/2006/relationships/hyperlink" Target="https://twitter.com/painblogR/status/703103430009618432" TargetMode="External"/><Relationship Id="rId8175" Type="http://schemas.openxmlformats.org/officeDocument/2006/relationships/hyperlink" Target="https://twitter.com/painblogR" TargetMode="External"/><Relationship Id="rId8179" Type="http://schemas.openxmlformats.org/officeDocument/2006/relationships/hyperlink" Target="https://twitter.com/DataFinest/status/703104373182758913" TargetMode="External"/><Relationship Id="rId2027" Type="http://schemas.openxmlformats.org/officeDocument/2006/relationships/hyperlink" Target="https://twitter.com/bigboardsio" TargetMode="External"/><Relationship Id="rId3359" Type="http://schemas.openxmlformats.org/officeDocument/2006/relationships/hyperlink" Target="https://pbs.twimg.com/profile_images/378800000207698056/90681b52392bc9c5378ed272853d8659_normal.jpeg" TargetMode="External"/><Relationship Id="rId2028" Type="http://schemas.openxmlformats.org/officeDocument/2006/relationships/hyperlink" Target="https://twitter.com/bigboardsio/status/701830495991111680" TargetMode="External"/><Relationship Id="rId3358" Type="http://schemas.openxmlformats.org/officeDocument/2006/relationships/hyperlink" Target="https://twitter.com/mianromu/status/702148567864102913" TargetMode="External"/><Relationship Id="rId4689" Type="http://schemas.openxmlformats.org/officeDocument/2006/relationships/hyperlink" Target="https://pbs.twimg.com/profile_images/641183991077445633/V7VcBpJI_normal.png" TargetMode="External"/><Relationship Id="rId2029" Type="http://schemas.openxmlformats.org/officeDocument/2006/relationships/hyperlink" Target="https://pbs.twimg.com/profile_images/489375332743409664/P4sYDY1__normal.png" TargetMode="External"/><Relationship Id="rId107" Type="http://schemas.openxmlformats.org/officeDocument/2006/relationships/hyperlink" Target="https://pbs.twimg.com/profile_images/594373583884849153/mXvb20nK_normal.jpg" TargetMode="External"/><Relationship Id="rId106" Type="http://schemas.openxmlformats.org/officeDocument/2006/relationships/hyperlink" Target="https://twitter.com/liamellulz/status/701339579442294789" TargetMode="External"/><Relationship Id="rId105" Type="http://schemas.openxmlformats.org/officeDocument/2006/relationships/hyperlink" Target="https://twitter.com/liamellulz" TargetMode="External"/><Relationship Id="rId104" Type="http://schemas.openxmlformats.org/officeDocument/2006/relationships/hyperlink" Target="https://pbs.twimg.com/profile_images/1628266914/Winsome_B_W_normal.jpg" TargetMode="External"/><Relationship Id="rId109" Type="http://schemas.openxmlformats.org/officeDocument/2006/relationships/hyperlink" Target="https://twitter.com/Pvalsfr/status/701340712609128448" TargetMode="External"/><Relationship Id="rId4680" Type="http://schemas.openxmlformats.org/officeDocument/2006/relationships/hyperlink" Target="https://pbs.twimg.com/profile_images/696103690369949696/EpU6buAs_normal.jpg" TargetMode="External"/><Relationship Id="rId108" Type="http://schemas.openxmlformats.org/officeDocument/2006/relationships/hyperlink" Target="https://twitter.com/Pvalsfr" TargetMode="External"/><Relationship Id="rId3351" Type="http://schemas.openxmlformats.org/officeDocument/2006/relationships/hyperlink" Target="https://twitter.com/fjalolop000" TargetMode="External"/><Relationship Id="rId4682" Type="http://schemas.openxmlformats.org/officeDocument/2006/relationships/hyperlink" Target="https://twitter.com/DataWookie/status/702458117666140160" TargetMode="External"/><Relationship Id="rId2020" Type="http://schemas.openxmlformats.org/officeDocument/2006/relationships/hyperlink" Target="https://pbs.twimg.com/profile_images/557592259298729985/kpCUQWH1_normal.png" TargetMode="External"/><Relationship Id="rId3350" Type="http://schemas.openxmlformats.org/officeDocument/2006/relationships/hyperlink" Target="https://pbs.twimg.com/profile_images/3312468366/129323224633d71286101d517a2f9817_normal.png" TargetMode="External"/><Relationship Id="rId4681" Type="http://schemas.openxmlformats.org/officeDocument/2006/relationships/hyperlink" Target="https://twitter.com/DataWookie" TargetMode="External"/><Relationship Id="rId2021" Type="http://schemas.openxmlformats.org/officeDocument/2006/relationships/hyperlink" Target="https://twitter.com/algaebarnacle" TargetMode="External"/><Relationship Id="rId3353" Type="http://schemas.openxmlformats.org/officeDocument/2006/relationships/hyperlink" Target="https://pbs.twimg.com/profile_images/576799609873428480/V8akQ-mi_normal.jpeg" TargetMode="External"/><Relationship Id="rId4684" Type="http://schemas.openxmlformats.org/officeDocument/2006/relationships/hyperlink" Target="https://twitter.com/phxtug" TargetMode="External"/><Relationship Id="rId2022" Type="http://schemas.openxmlformats.org/officeDocument/2006/relationships/hyperlink" Target="https://twitter.com/algaebarnacle/status/701828085444784128" TargetMode="External"/><Relationship Id="rId3352" Type="http://schemas.openxmlformats.org/officeDocument/2006/relationships/hyperlink" Target="https://twitter.com/fjalolop000/status/702147518134624258" TargetMode="External"/><Relationship Id="rId4683" Type="http://schemas.openxmlformats.org/officeDocument/2006/relationships/hyperlink" Target="https://pbs.twimg.com/profile_images/612471608725213184/eXKo2Kmo_normal.jpg" TargetMode="External"/><Relationship Id="rId103" Type="http://schemas.openxmlformats.org/officeDocument/2006/relationships/hyperlink" Target="https://twitter.com/StatBallet/status/701339238244098048" TargetMode="External"/><Relationship Id="rId2023" Type="http://schemas.openxmlformats.org/officeDocument/2006/relationships/hyperlink" Target="https://pbs.twimg.com/profile_images/661300124870545408/hRw_N9Wk_normal.jpg" TargetMode="External"/><Relationship Id="rId3355" Type="http://schemas.openxmlformats.org/officeDocument/2006/relationships/hyperlink" Target="https://twitter.com/deronaucoin/status/702147700754505728" TargetMode="External"/><Relationship Id="rId4686" Type="http://schemas.openxmlformats.org/officeDocument/2006/relationships/hyperlink" Target="https://pbs.twimg.com/profile_images/622634324337111040/HuTWSlWx_normal.png" TargetMode="External"/><Relationship Id="rId102" Type="http://schemas.openxmlformats.org/officeDocument/2006/relationships/hyperlink" Target="https://twitter.com/StatBallet" TargetMode="External"/><Relationship Id="rId2024" Type="http://schemas.openxmlformats.org/officeDocument/2006/relationships/hyperlink" Target="https://twitter.com/homeAIinfo" TargetMode="External"/><Relationship Id="rId3354" Type="http://schemas.openxmlformats.org/officeDocument/2006/relationships/hyperlink" Target="https://twitter.com/deronaucoin" TargetMode="External"/><Relationship Id="rId4685" Type="http://schemas.openxmlformats.org/officeDocument/2006/relationships/hyperlink" Target="https://twitter.com/phxtug/status/702458284935000064" TargetMode="External"/><Relationship Id="rId101" Type="http://schemas.openxmlformats.org/officeDocument/2006/relationships/hyperlink" Target="https://pbs.twimg.com/profile_images/697868587130843136/9uZ8n-eM_normal.png" TargetMode="External"/><Relationship Id="rId2025" Type="http://schemas.openxmlformats.org/officeDocument/2006/relationships/hyperlink" Target="https://twitter.com/homeAIinfo/status/701829531796172802" TargetMode="External"/><Relationship Id="rId3357" Type="http://schemas.openxmlformats.org/officeDocument/2006/relationships/hyperlink" Target="https://twitter.com/mianromu" TargetMode="External"/><Relationship Id="rId4688" Type="http://schemas.openxmlformats.org/officeDocument/2006/relationships/hyperlink" Target="https://twitter.com/MangoTheCat/status/702459212413038592" TargetMode="External"/><Relationship Id="rId100" Type="http://schemas.openxmlformats.org/officeDocument/2006/relationships/hyperlink" Target="https://twitter.com/pdalgd/status/701338237575548930" TargetMode="External"/><Relationship Id="rId2026" Type="http://schemas.openxmlformats.org/officeDocument/2006/relationships/hyperlink" Target="https://pbs.twimg.com/profile_images/645650110374936580/-oQakt8x_normal.png" TargetMode="External"/><Relationship Id="rId3356" Type="http://schemas.openxmlformats.org/officeDocument/2006/relationships/hyperlink" Target="https://pbs.twimg.com/profile_images/2344675896/image_normal.jpg" TargetMode="External"/><Relationship Id="rId4687" Type="http://schemas.openxmlformats.org/officeDocument/2006/relationships/hyperlink" Target="https://twitter.com/MangoTheCat" TargetMode="External"/><Relationship Id="rId2016" Type="http://schemas.openxmlformats.org/officeDocument/2006/relationships/hyperlink" Target="https://twitter.com/nishantsbi/status/701827892783632385" TargetMode="External"/><Relationship Id="rId3348" Type="http://schemas.openxmlformats.org/officeDocument/2006/relationships/hyperlink" Target="http://RealPython.com" TargetMode="External"/><Relationship Id="rId4679" Type="http://schemas.openxmlformats.org/officeDocument/2006/relationships/hyperlink" Target="https://twitter.com/jenstirrup/status/702458104667967488" TargetMode="External"/><Relationship Id="rId2017" Type="http://schemas.openxmlformats.org/officeDocument/2006/relationships/hyperlink" Target="https://pbs.twimg.com/profile_images/525885796109139968/FiOo7RSZ_normal.jpeg" TargetMode="External"/><Relationship Id="rId3347" Type="http://schemas.openxmlformats.org/officeDocument/2006/relationships/hyperlink" Target="https://twitter.com/RealPython" TargetMode="External"/><Relationship Id="rId4678" Type="http://schemas.openxmlformats.org/officeDocument/2006/relationships/hyperlink" Target="https://twitter.com/jenstirrup" TargetMode="External"/><Relationship Id="rId2018" Type="http://schemas.openxmlformats.org/officeDocument/2006/relationships/hyperlink" Target="https://twitter.com/hrbrmstr" TargetMode="External"/><Relationship Id="rId2019" Type="http://schemas.openxmlformats.org/officeDocument/2006/relationships/hyperlink" Target="https://twitter.com/hrbrmstr/status/701828061524795392" TargetMode="External"/><Relationship Id="rId3349" Type="http://schemas.openxmlformats.org/officeDocument/2006/relationships/hyperlink" Target="https://twitter.com/RealPython/status/702145589664821248" TargetMode="External"/><Relationship Id="rId3340" Type="http://schemas.openxmlformats.org/officeDocument/2006/relationships/hyperlink" Target="https://pbs.twimg.com/profile_images/662342111799304192/Xtv8MZ-P_normal.jpg" TargetMode="External"/><Relationship Id="rId4671" Type="http://schemas.openxmlformats.org/officeDocument/2006/relationships/hyperlink" Target="https://pbs.twimg.com/profile_images/213113599/mulloy2_normal.jpg" TargetMode="External"/><Relationship Id="rId4670" Type="http://schemas.openxmlformats.org/officeDocument/2006/relationships/hyperlink" Target="https://twitter.com/Enroweb/status/702455904353062913" TargetMode="External"/><Relationship Id="rId2010" Type="http://schemas.openxmlformats.org/officeDocument/2006/relationships/hyperlink" Target="https://twitter.com/withbioinformat/status/701827153789394944" TargetMode="External"/><Relationship Id="rId3342" Type="http://schemas.openxmlformats.org/officeDocument/2006/relationships/hyperlink" Target="https://twitter.com/Nitro_MacFescue/status/702144968429686784" TargetMode="External"/><Relationship Id="rId4673" Type="http://schemas.openxmlformats.org/officeDocument/2006/relationships/hyperlink" Target="https://twitter.com/BestCourses_/status/702456035420856320" TargetMode="External"/><Relationship Id="rId2011" Type="http://schemas.openxmlformats.org/officeDocument/2006/relationships/hyperlink" Target="https://pbs.twimg.com/profile_images/1683660920/kres_normal.jpg" TargetMode="External"/><Relationship Id="rId3341" Type="http://schemas.openxmlformats.org/officeDocument/2006/relationships/hyperlink" Target="https://twitter.com/Nitro_MacFescue" TargetMode="External"/><Relationship Id="rId4672" Type="http://schemas.openxmlformats.org/officeDocument/2006/relationships/hyperlink" Target="https://twitter.com/BestCourses_" TargetMode="External"/><Relationship Id="rId2012" Type="http://schemas.openxmlformats.org/officeDocument/2006/relationships/hyperlink" Target="https://twitter.com/mtrost2" TargetMode="External"/><Relationship Id="rId3344" Type="http://schemas.openxmlformats.org/officeDocument/2006/relationships/hyperlink" Target="https://twitter.com/gizm0_0" TargetMode="External"/><Relationship Id="rId4675" Type="http://schemas.openxmlformats.org/officeDocument/2006/relationships/hyperlink" Target="https://twitter.com/mdsumner" TargetMode="External"/><Relationship Id="rId2013" Type="http://schemas.openxmlformats.org/officeDocument/2006/relationships/hyperlink" Target="https://twitter.com/mtrost2/status/701827404407382018" TargetMode="External"/><Relationship Id="rId3343" Type="http://schemas.openxmlformats.org/officeDocument/2006/relationships/hyperlink" Target="https://pbs.twimg.com/profile_images/661208241972506624/1CoMP3hc_normal.jpg" TargetMode="External"/><Relationship Id="rId4674" Type="http://schemas.openxmlformats.org/officeDocument/2006/relationships/hyperlink" Target="https://pbs.twimg.com/profile_images/655401968802861056/yuPEMhy3_normal.jpg" TargetMode="External"/><Relationship Id="rId2014" Type="http://schemas.openxmlformats.org/officeDocument/2006/relationships/hyperlink" Target="https://abs.twimg.com/sticky/default_profile_images/default_profile_0_normal.png" TargetMode="External"/><Relationship Id="rId3346" Type="http://schemas.openxmlformats.org/officeDocument/2006/relationships/hyperlink" Target="https://pbs.twimg.com/profile_images/656935254872068096/iYxYg738_normal.jpg" TargetMode="External"/><Relationship Id="rId4677" Type="http://schemas.openxmlformats.org/officeDocument/2006/relationships/hyperlink" Target="https://pbs.twimg.com/profile_images/378800000711929469/c6f40d0623b31334f4f55e218c96df23_normal.jpeg" TargetMode="External"/><Relationship Id="rId2015" Type="http://schemas.openxmlformats.org/officeDocument/2006/relationships/hyperlink" Target="https://twitter.com/nishantsbi" TargetMode="External"/><Relationship Id="rId3345" Type="http://schemas.openxmlformats.org/officeDocument/2006/relationships/hyperlink" Target="https://twitter.com/gizm0_0/status/702145284701188101" TargetMode="External"/><Relationship Id="rId4676" Type="http://schemas.openxmlformats.org/officeDocument/2006/relationships/hyperlink" Target="https://twitter.com/mdsumner/status/702457343393402881" TargetMode="External"/><Relationship Id="rId2049" Type="http://schemas.openxmlformats.org/officeDocument/2006/relationships/hyperlink" Target="https://twitter.com/WestCoastPole/status/701834904993198080" TargetMode="External"/><Relationship Id="rId129" Type="http://schemas.openxmlformats.org/officeDocument/2006/relationships/hyperlink" Target="https://twitter.com/MangoTheCat" TargetMode="External"/><Relationship Id="rId128" Type="http://schemas.openxmlformats.org/officeDocument/2006/relationships/hyperlink" Target="https://pbs.twimg.com/profile_images/640155007686340608/SXpSomyI_normal.png" TargetMode="External"/><Relationship Id="rId127" Type="http://schemas.openxmlformats.org/officeDocument/2006/relationships/hyperlink" Target="https://twitter.com/unhabitat3/status/701341392090624000" TargetMode="External"/><Relationship Id="rId126" Type="http://schemas.openxmlformats.org/officeDocument/2006/relationships/hyperlink" Target="https://twitter.com/unhabitat3" TargetMode="External"/><Relationship Id="rId3371" Type="http://schemas.openxmlformats.org/officeDocument/2006/relationships/hyperlink" Target="https://pbs.twimg.com/profile_images/619782944652152832/eG_SmB8Z_normal.jpg" TargetMode="External"/><Relationship Id="rId2040" Type="http://schemas.openxmlformats.org/officeDocument/2006/relationships/hyperlink" Target="https://twitter.com/hlapp/status/701833734631383040" TargetMode="External"/><Relationship Id="rId3370" Type="http://schemas.openxmlformats.org/officeDocument/2006/relationships/hyperlink" Target="https://twitter.com/MikeyJ/status/702150890174734336" TargetMode="External"/><Relationship Id="rId121" Type="http://schemas.openxmlformats.org/officeDocument/2006/relationships/hyperlink" Target="https://twitter.com/unhabitat3/status/701341329196974080" TargetMode="External"/><Relationship Id="rId2041" Type="http://schemas.openxmlformats.org/officeDocument/2006/relationships/hyperlink" Target="https://pbs.twimg.com/profile_images/614959939870703620/n2C_E0YN_normal.jpg" TargetMode="External"/><Relationship Id="rId3373" Type="http://schemas.openxmlformats.org/officeDocument/2006/relationships/hyperlink" Target="https://twitter.com/laabidi_raissi/status/702151383999496192" TargetMode="External"/><Relationship Id="rId120" Type="http://schemas.openxmlformats.org/officeDocument/2006/relationships/hyperlink" Target="https://twitter.com/unhabitat3" TargetMode="External"/><Relationship Id="rId2042" Type="http://schemas.openxmlformats.org/officeDocument/2006/relationships/hyperlink" Target="https://twitter.com/arun_sriniv" TargetMode="External"/><Relationship Id="rId3372" Type="http://schemas.openxmlformats.org/officeDocument/2006/relationships/hyperlink" Target="https://twitter.com/laabidi_raissi" TargetMode="External"/><Relationship Id="rId2043" Type="http://schemas.openxmlformats.org/officeDocument/2006/relationships/hyperlink" Target="https://twitter.com/arun_sriniv/status/701833798347071488" TargetMode="External"/><Relationship Id="rId3375" Type="http://schemas.openxmlformats.org/officeDocument/2006/relationships/hyperlink" Target="https://twitter.com/isabelsassoon" TargetMode="External"/><Relationship Id="rId2044" Type="http://schemas.openxmlformats.org/officeDocument/2006/relationships/hyperlink" Target="https://pbs.twimg.com/profile_images/590247580040212481/-empRtvH_normal.png" TargetMode="External"/><Relationship Id="rId3374" Type="http://schemas.openxmlformats.org/officeDocument/2006/relationships/hyperlink" Target="https://abs.twimg.com/sticky/default_profile_images/default_profile_2_normal.png" TargetMode="External"/><Relationship Id="rId125" Type="http://schemas.openxmlformats.org/officeDocument/2006/relationships/hyperlink" Target="https://pbs.twimg.com/profile_images/640155007686340608/SXpSomyI_normal.png" TargetMode="External"/><Relationship Id="rId2045" Type="http://schemas.openxmlformats.org/officeDocument/2006/relationships/hyperlink" Target="https://twitter.com/zu_gabe" TargetMode="External"/><Relationship Id="rId3377" Type="http://schemas.openxmlformats.org/officeDocument/2006/relationships/hyperlink" Target="https://pbs.twimg.com/profile_images/569466486641946624/Zc9XLrXx_normal.jpeg" TargetMode="External"/><Relationship Id="rId124" Type="http://schemas.openxmlformats.org/officeDocument/2006/relationships/hyperlink" Target="https://twitter.com/unhabitat3/status/701341359186255872" TargetMode="External"/><Relationship Id="rId2046" Type="http://schemas.openxmlformats.org/officeDocument/2006/relationships/hyperlink" Target="https://twitter.com/zu_gabe/status/701834119735549953" TargetMode="External"/><Relationship Id="rId3376" Type="http://schemas.openxmlformats.org/officeDocument/2006/relationships/hyperlink" Target="https://twitter.com/isabelsassoon/status/702153281913626624" TargetMode="External"/><Relationship Id="rId123" Type="http://schemas.openxmlformats.org/officeDocument/2006/relationships/hyperlink" Target="https://twitter.com/unhabitat3" TargetMode="External"/><Relationship Id="rId2047" Type="http://schemas.openxmlformats.org/officeDocument/2006/relationships/hyperlink" Target="https://pbs.twimg.com/profile_images/668920039937064962/T9R8vGGI_normal.jpg" TargetMode="External"/><Relationship Id="rId3379" Type="http://schemas.openxmlformats.org/officeDocument/2006/relationships/hyperlink" Target="https://twitter.com/dragonflystats/status/702153406081794048" TargetMode="External"/><Relationship Id="rId122" Type="http://schemas.openxmlformats.org/officeDocument/2006/relationships/hyperlink" Target="https://pbs.twimg.com/profile_images/640155007686340608/SXpSomyI_normal.png" TargetMode="External"/><Relationship Id="rId2048" Type="http://schemas.openxmlformats.org/officeDocument/2006/relationships/hyperlink" Target="https://twitter.com/WestCoastPole" TargetMode="External"/><Relationship Id="rId3378" Type="http://schemas.openxmlformats.org/officeDocument/2006/relationships/hyperlink" Target="https://twitter.com/dragonflystats" TargetMode="External"/><Relationship Id="rId2038" Type="http://schemas.openxmlformats.org/officeDocument/2006/relationships/hyperlink" Target="https://pbs.twimg.com/profile_images/418879352583909376/HpB42v2i_normal.jpeg" TargetMode="External"/><Relationship Id="rId2039" Type="http://schemas.openxmlformats.org/officeDocument/2006/relationships/hyperlink" Target="https://twitter.com/hlapp" TargetMode="External"/><Relationship Id="rId3369" Type="http://schemas.openxmlformats.org/officeDocument/2006/relationships/hyperlink" Target="https://twitter.com/MikeyJ" TargetMode="External"/><Relationship Id="rId118" Type="http://schemas.openxmlformats.org/officeDocument/2006/relationships/hyperlink" Target="https://twitter.com/unhabitat3/status/701341310725267456" TargetMode="External"/><Relationship Id="rId117" Type="http://schemas.openxmlformats.org/officeDocument/2006/relationships/hyperlink" Target="https://twitter.com/unhabitat3" TargetMode="External"/><Relationship Id="rId116" Type="http://schemas.openxmlformats.org/officeDocument/2006/relationships/hyperlink" Target="https://pbs.twimg.com/profile_images/640155007686340608/SXpSomyI_normal.png" TargetMode="External"/><Relationship Id="rId115" Type="http://schemas.openxmlformats.org/officeDocument/2006/relationships/hyperlink" Target="https://twitter.com/unhabitat3/status/701341239912886272" TargetMode="External"/><Relationship Id="rId3360" Type="http://schemas.openxmlformats.org/officeDocument/2006/relationships/hyperlink" Target="https://twitter.com/westbrobby" TargetMode="External"/><Relationship Id="rId4691" Type="http://schemas.openxmlformats.org/officeDocument/2006/relationships/hyperlink" Target="https://twitter.com/0ttlngr/status/702460445832175616" TargetMode="External"/><Relationship Id="rId119" Type="http://schemas.openxmlformats.org/officeDocument/2006/relationships/hyperlink" Target="https://pbs.twimg.com/profile_images/640155007686340608/SXpSomyI_normal.png" TargetMode="External"/><Relationship Id="rId4690" Type="http://schemas.openxmlformats.org/officeDocument/2006/relationships/hyperlink" Target="https://twitter.com/0ttlngr" TargetMode="External"/><Relationship Id="rId110" Type="http://schemas.openxmlformats.org/officeDocument/2006/relationships/hyperlink" Target="https://abs.twimg.com/sticky/default_profile_images/default_profile_4_normal.png" TargetMode="External"/><Relationship Id="rId2030" Type="http://schemas.openxmlformats.org/officeDocument/2006/relationships/hyperlink" Target="https://twitter.com/hrbrmstr" TargetMode="External"/><Relationship Id="rId3362" Type="http://schemas.openxmlformats.org/officeDocument/2006/relationships/hyperlink" Target="https://pbs.twimg.com/profile_images/494183080949579776/ErmJ49WR_normal.jpeg" TargetMode="External"/><Relationship Id="rId4693" Type="http://schemas.openxmlformats.org/officeDocument/2006/relationships/hyperlink" Target="https://twitter.com/JeanVAdams" TargetMode="External"/><Relationship Id="rId2031" Type="http://schemas.openxmlformats.org/officeDocument/2006/relationships/hyperlink" Target="https://twitter.com/hrbrmstr/status/701831348353368064" TargetMode="External"/><Relationship Id="rId3361" Type="http://schemas.openxmlformats.org/officeDocument/2006/relationships/hyperlink" Target="https://twitter.com/westbrobby/status/702149850436075522" TargetMode="External"/><Relationship Id="rId4692" Type="http://schemas.openxmlformats.org/officeDocument/2006/relationships/hyperlink" Target="https://pbs.twimg.com/profile_images/697103122162962434/vXqoolw3_normal.png" TargetMode="External"/><Relationship Id="rId2032" Type="http://schemas.openxmlformats.org/officeDocument/2006/relationships/hyperlink" Target="https://pbs.twimg.com/profile_images/557592259298729985/kpCUQWH1_normal.png" TargetMode="External"/><Relationship Id="rId3364" Type="http://schemas.openxmlformats.org/officeDocument/2006/relationships/hyperlink" Target="https://twitter.com/dragonflystats/status/702150177952501766" TargetMode="External"/><Relationship Id="rId4695" Type="http://schemas.openxmlformats.org/officeDocument/2006/relationships/hyperlink" Target="https://pbs.twimg.com/profile_images/717793048/DSC07974_normal.JPG" TargetMode="External"/><Relationship Id="rId2033" Type="http://schemas.openxmlformats.org/officeDocument/2006/relationships/hyperlink" Target="https://twitter.com/plotlygraphs" TargetMode="External"/><Relationship Id="rId3363" Type="http://schemas.openxmlformats.org/officeDocument/2006/relationships/hyperlink" Target="https://twitter.com/dragonflystats" TargetMode="External"/><Relationship Id="rId4694" Type="http://schemas.openxmlformats.org/officeDocument/2006/relationships/hyperlink" Target="https://twitter.com/JeanVAdams/status/702462342261567489" TargetMode="External"/><Relationship Id="rId114" Type="http://schemas.openxmlformats.org/officeDocument/2006/relationships/hyperlink" Target="https://twitter.com/unhabitat3" TargetMode="External"/><Relationship Id="rId2034" Type="http://schemas.openxmlformats.org/officeDocument/2006/relationships/hyperlink" Target="https://twitter.com/plotlygraphs/status/701831624040828928" TargetMode="External"/><Relationship Id="rId3366" Type="http://schemas.openxmlformats.org/officeDocument/2006/relationships/hyperlink" Target="https://twitter.com/yodacomplex" TargetMode="External"/><Relationship Id="rId4697" Type="http://schemas.openxmlformats.org/officeDocument/2006/relationships/hyperlink" Target="https://twitter.com/BobbyCaudill/status/702462990306643970" TargetMode="External"/><Relationship Id="rId113" Type="http://schemas.openxmlformats.org/officeDocument/2006/relationships/hyperlink" Target="https://pbs.twimg.com/profile_images/1415565288/ilari2_normal.jpg" TargetMode="External"/><Relationship Id="rId2035" Type="http://schemas.openxmlformats.org/officeDocument/2006/relationships/hyperlink" Target="https://pbs.twimg.com/profile_images/444997350340063232/NSL6tPG3_normal.png" TargetMode="External"/><Relationship Id="rId3365" Type="http://schemas.openxmlformats.org/officeDocument/2006/relationships/hyperlink" Target="https://pbs.twimg.com/profile_images/3427713318/840e4aa0a6dca9263a0507fbfe4c4074_normal.jpeg" TargetMode="External"/><Relationship Id="rId4696" Type="http://schemas.openxmlformats.org/officeDocument/2006/relationships/hyperlink" Target="https://twitter.com/BobbyCaudill" TargetMode="External"/><Relationship Id="rId112" Type="http://schemas.openxmlformats.org/officeDocument/2006/relationships/hyperlink" Target="https://twitter.com/ilarischeinin/status/701340852539551744" TargetMode="External"/><Relationship Id="rId2036" Type="http://schemas.openxmlformats.org/officeDocument/2006/relationships/hyperlink" Target="https://twitter.com/VillageCric" TargetMode="External"/><Relationship Id="rId3368" Type="http://schemas.openxmlformats.org/officeDocument/2006/relationships/hyperlink" Target="https://pbs.twimg.com/profile_images/666986454225154048/UR-LOD3R_normal.jpg" TargetMode="External"/><Relationship Id="rId4699" Type="http://schemas.openxmlformats.org/officeDocument/2006/relationships/hyperlink" Target="https://twitter.com/mottarafael" TargetMode="External"/><Relationship Id="rId111" Type="http://schemas.openxmlformats.org/officeDocument/2006/relationships/hyperlink" Target="https://twitter.com/ilarischeinin" TargetMode="External"/><Relationship Id="rId2037" Type="http://schemas.openxmlformats.org/officeDocument/2006/relationships/hyperlink" Target="https://twitter.com/VillageCric/status/701833536593072129" TargetMode="External"/><Relationship Id="rId3367" Type="http://schemas.openxmlformats.org/officeDocument/2006/relationships/hyperlink" Target="https://twitter.com/yodacomplex/status/702150276111794177" TargetMode="External"/><Relationship Id="rId4698" Type="http://schemas.openxmlformats.org/officeDocument/2006/relationships/hyperlink" Target="https://pbs.twimg.com/profile_images/492138314040754177/6m0tO60d_normal.png" TargetMode="External"/><Relationship Id="rId3315" Type="http://schemas.openxmlformats.org/officeDocument/2006/relationships/hyperlink" Target="https://twitter.com/arun_sriniv/status/702139796072873984" TargetMode="External"/><Relationship Id="rId4646" Type="http://schemas.openxmlformats.org/officeDocument/2006/relationships/hyperlink" Target="https://twitter.com/0ttlngr/status/702447481230106624" TargetMode="External"/><Relationship Id="rId5978" Type="http://schemas.openxmlformats.org/officeDocument/2006/relationships/hyperlink" Target="https://twitter.com/pierreroudier/status/702645908857442304" TargetMode="External"/><Relationship Id="rId3314" Type="http://schemas.openxmlformats.org/officeDocument/2006/relationships/hyperlink" Target="https://twitter.com/arun_sriniv" TargetMode="External"/><Relationship Id="rId4645" Type="http://schemas.openxmlformats.org/officeDocument/2006/relationships/hyperlink" Target="https://twitter.com/0ttlngr" TargetMode="External"/><Relationship Id="rId5979" Type="http://schemas.openxmlformats.org/officeDocument/2006/relationships/hyperlink" Target="https://pbs.twimg.com/profile_images/701587780929921024/6_FMRHuk_normal.jpg" TargetMode="External"/><Relationship Id="rId3317" Type="http://schemas.openxmlformats.org/officeDocument/2006/relationships/hyperlink" Target="https://twitter.com/thomasp85" TargetMode="External"/><Relationship Id="rId4648" Type="http://schemas.openxmlformats.org/officeDocument/2006/relationships/hyperlink" Target="https://twitter.com/NBNTrust" TargetMode="External"/><Relationship Id="rId5976" Type="http://schemas.openxmlformats.org/officeDocument/2006/relationships/hyperlink" Target="https://pbs.twimg.com/profile_images/2570097271/iyno9oc7bspqo32qiby5_normal.jpeg" TargetMode="External"/><Relationship Id="rId3316" Type="http://schemas.openxmlformats.org/officeDocument/2006/relationships/hyperlink" Target="https://pbs.twimg.com/profile_images/590247580040212481/-empRtvH_normal.png" TargetMode="External"/><Relationship Id="rId4647" Type="http://schemas.openxmlformats.org/officeDocument/2006/relationships/hyperlink" Target="https://pbs.twimg.com/profile_images/697103122162962434/vXqoolw3_normal.png" TargetMode="External"/><Relationship Id="rId5977" Type="http://schemas.openxmlformats.org/officeDocument/2006/relationships/hyperlink" Target="https://twitter.com/pierreroudier" TargetMode="External"/><Relationship Id="rId3319" Type="http://schemas.openxmlformats.org/officeDocument/2006/relationships/hyperlink" Target="https://pbs.twimg.com/profile_images/685178010962505728/m0D-Pvwg_normal.jpg" TargetMode="External"/><Relationship Id="rId3318" Type="http://schemas.openxmlformats.org/officeDocument/2006/relationships/hyperlink" Target="https://twitter.com/thomasp85/status/702139969704501248" TargetMode="External"/><Relationship Id="rId4649" Type="http://schemas.openxmlformats.org/officeDocument/2006/relationships/hyperlink" Target="https://twitter.com/NBNTrust/status/702449312555540481" TargetMode="External"/><Relationship Id="rId5970" Type="http://schemas.openxmlformats.org/officeDocument/2006/relationships/hyperlink" Target="https://pbs.twimg.com/profile_images/512064177997766656/z-hrO5_Q_normal.jpeg" TargetMode="External"/><Relationship Id="rId5971" Type="http://schemas.openxmlformats.org/officeDocument/2006/relationships/hyperlink" Target="https://twitter.com/dr_eldersveld" TargetMode="External"/><Relationship Id="rId4640" Type="http://schemas.openxmlformats.org/officeDocument/2006/relationships/hyperlink" Target="https://twitter.com/IronistM/status/702445088421584896" TargetMode="External"/><Relationship Id="rId3311" Type="http://schemas.openxmlformats.org/officeDocument/2006/relationships/hyperlink" Target="https://twitter.com/matthias31000" TargetMode="External"/><Relationship Id="rId4642" Type="http://schemas.openxmlformats.org/officeDocument/2006/relationships/hyperlink" Target="https://twitter.com/linmic87" TargetMode="External"/><Relationship Id="rId5974" Type="http://schemas.openxmlformats.org/officeDocument/2006/relationships/hyperlink" Target="https://twitter.com/kobriendublin" TargetMode="External"/><Relationship Id="rId3310" Type="http://schemas.openxmlformats.org/officeDocument/2006/relationships/hyperlink" Target="https://pbs.twimg.com/profile_images/692706638759854080/GBVdUM6Z_normal.jpg" TargetMode="External"/><Relationship Id="rId4641" Type="http://schemas.openxmlformats.org/officeDocument/2006/relationships/hyperlink" Target="https://pbs.twimg.com/profile_images/3622599222/2f4878678214814fc3fab4be42ddd636_normal.jpeg" TargetMode="External"/><Relationship Id="rId5975" Type="http://schemas.openxmlformats.org/officeDocument/2006/relationships/hyperlink" Target="https://twitter.com/kobriendublin/status/702645640078233600" TargetMode="External"/><Relationship Id="rId3313" Type="http://schemas.openxmlformats.org/officeDocument/2006/relationships/hyperlink" Target="https://pbs.twimg.com/profile_images/653156490744885249/Sb3VJNKH_normal.jpg" TargetMode="External"/><Relationship Id="rId4644" Type="http://schemas.openxmlformats.org/officeDocument/2006/relationships/hyperlink" Target="https://pbs.twimg.com/profile_images/654197149522075648/7T2WVy2i_normal.jpg" TargetMode="External"/><Relationship Id="rId5972" Type="http://schemas.openxmlformats.org/officeDocument/2006/relationships/hyperlink" Target="https://twitter.com/dr_eldersveld/status/702645222786863104" TargetMode="External"/><Relationship Id="rId3312" Type="http://schemas.openxmlformats.org/officeDocument/2006/relationships/hyperlink" Target="https://twitter.com/matthias31000/status/702139645128286208" TargetMode="External"/><Relationship Id="rId4643" Type="http://schemas.openxmlformats.org/officeDocument/2006/relationships/hyperlink" Target="https://twitter.com/linmic87/status/702445458514427905" TargetMode="External"/><Relationship Id="rId5973" Type="http://schemas.openxmlformats.org/officeDocument/2006/relationships/hyperlink" Target="https://pbs.twimg.com/profile_images/622068124599238656/7mJZq698_normal.png" TargetMode="External"/><Relationship Id="rId3304" Type="http://schemas.openxmlformats.org/officeDocument/2006/relationships/hyperlink" Target="https://pbs.twimg.com/profile_images/669441951192760324/zJylEnJ7_normal.jpg" TargetMode="External"/><Relationship Id="rId4635" Type="http://schemas.openxmlformats.org/officeDocument/2006/relationships/hyperlink" Target="https://pbs.twimg.com/profile_images/641183991077445633/V7VcBpJI_normal.png" TargetMode="External"/><Relationship Id="rId5967" Type="http://schemas.openxmlformats.org/officeDocument/2006/relationships/hyperlink" Target="https://pbs.twimg.com/profile_images/2553384847/image_normal.jpg" TargetMode="External"/><Relationship Id="rId3303" Type="http://schemas.openxmlformats.org/officeDocument/2006/relationships/hyperlink" Target="https://twitter.com/abresler/status/702138773396656128" TargetMode="External"/><Relationship Id="rId4634" Type="http://schemas.openxmlformats.org/officeDocument/2006/relationships/hyperlink" Target="https://twitter.com/MangoTheCat/status/702443355960119297" TargetMode="External"/><Relationship Id="rId5968" Type="http://schemas.openxmlformats.org/officeDocument/2006/relationships/hyperlink" Target="https://twitter.com/DataMic" TargetMode="External"/><Relationship Id="rId3306" Type="http://schemas.openxmlformats.org/officeDocument/2006/relationships/hyperlink" Target="https://twitter.com/monkmanmh/status/702139190499155969" TargetMode="External"/><Relationship Id="rId4637" Type="http://schemas.openxmlformats.org/officeDocument/2006/relationships/hyperlink" Target="https://twitter.com/enricoferrero/status/702443402693058560" TargetMode="External"/><Relationship Id="rId5965" Type="http://schemas.openxmlformats.org/officeDocument/2006/relationships/hyperlink" Target="https://twitter.com/nhcooper123" TargetMode="External"/><Relationship Id="rId3305" Type="http://schemas.openxmlformats.org/officeDocument/2006/relationships/hyperlink" Target="https://twitter.com/monkmanmh" TargetMode="External"/><Relationship Id="rId4636" Type="http://schemas.openxmlformats.org/officeDocument/2006/relationships/hyperlink" Target="https://twitter.com/enricoferrero" TargetMode="External"/><Relationship Id="rId5966" Type="http://schemas.openxmlformats.org/officeDocument/2006/relationships/hyperlink" Target="https://twitter.com/nhcooper123/status/702643332355395585" TargetMode="External"/><Relationship Id="rId3308" Type="http://schemas.openxmlformats.org/officeDocument/2006/relationships/hyperlink" Target="https://twitter.com/davdittrich" TargetMode="External"/><Relationship Id="rId4639" Type="http://schemas.openxmlformats.org/officeDocument/2006/relationships/hyperlink" Target="https://twitter.com/IronistM" TargetMode="External"/><Relationship Id="rId3307" Type="http://schemas.openxmlformats.org/officeDocument/2006/relationships/hyperlink" Target="https://pbs.twimg.com/profile_images/378800000326851690/31a53679fad3e2366222d213ad196573_normal.jpeg" TargetMode="External"/><Relationship Id="rId4638" Type="http://schemas.openxmlformats.org/officeDocument/2006/relationships/hyperlink" Target="https://pbs.twimg.com/profile_images/701490432463646721/FByiPRJq_normal.png" TargetMode="External"/><Relationship Id="rId5969" Type="http://schemas.openxmlformats.org/officeDocument/2006/relationships/hyperlink" Target="https://twitter.com/DataMic/status/702644575421202433" TargetMode="External"/><Relationship Id="rId3309" Type="http://schemas.openxmlformats.org/officeDocument/2006/relationships/hyperlink" Target="https://twitter.com/davdittrich/status/702139641865043968" TargetMode="External"/><Relationship Id="rId5960" Type="http://schemas.openxmlformats.org/officeDocument/2006/relationships/hyperlink" Target="https://twitter.com/law_wu/status/702642495792939008" TargetMode="External"/><Relationship Id="rId3300" Type="http://schemas.openxmlformats.org/officeDocument/2006/relationships/hyperlink" Target="https://twitter.com/adamson/status/702137674174435328" TargetMode="External"/><Relationship Id="rId4631" Type="http://schemas.openxmlformats.org/officeDocument/2006/relationships/hyperlink" Target="https://twitter.com/BigDataTweetBot/status/702443227555696640" TargetMode="External"/><Relationship Id="rId5963" Type="http://schemas.openxmlformats.org/officeDocument/2006/relationships/hyperlink" Target="https://twitter.com/TexAgJosh/status/702642516328222720" TargetMode="External"/><Relationship Id="rId4630" Type="http://schemas.openxmlformats.org/officeDocument/2006/relationships/hyperlink" Target="https://twitter.com/BigDataTweetBot" TargetMode="External"/><Relationship Id="rId5964" Type="http://schemas.openxmlformats.org/officeDocument/2006/relationships/hyperlink" Target="https://pbs.twimg.com/profile_images/685611155608358912/WL_54nQj_normal.jpg" TargetMode="External"/><Relationship Id="rId3302" Type="http://schemas.openxmlformats.org/officeDocument/2006/relationships/hyperlink" Target="https://twitter.com/abresler" TargetMode="External"/><Relationship Id="rId4633" Type="http://schemas.openxmlformats.org/officeDocument/2006/relationships/hyperlink" Target="https://twitter.com/MangoTheCat" TargetMode="External"/><Relationship Id="rId5961" Type="http://schemas.openxmlformats.org/officeDocument/2006/relationships/hyperlink" Target="https://pbs.twimg.com/profile_images/660492535484125184/aOaAGZNx_normal.jpg" TargetMode="External"/><Relationship Id="rId3301" Type="http://schemas.openxmlformats.org/officeDocument/2006/relationships/hyperlink" Target="https://pbs.twimg.com/profile_images/544790599589568512/26tIRo8H_normal.jpeg" TargetMode="External"/><Relationship Id="rId4632" Type="http://schemas.openxmlformats.org/officeDocument/2006/relationships/hyperlink" Target="https://pbs.twimg.com/profile_images/616793252524650496/bQbxJqmz_normal.jpg" TargetMode="External"/><Relationship Id="rId5962" Type="http://schemas.openxmlformats.org/officeDocument/2006/relationships/hyperlink" Target="https://twitter.com/TexAgJosh" TargetMode="External"/><Relationship Id="rId2005" Type="http://schemas.openxmlformats.org/officeDocument/2006/relationships/hyperlink" Target="https://pbs.twimg.com/profile_images/2746146658/4d05ba6e1fdfd38d3386922bf39aebcd_normal.png" TargetMode="External"/><Relationship Id="rId3337" Type="http://schemas.openxmlformats.org/officeDocument/2006/relationships/hyperlink" Target="https://pbs.twimg.com/profile_images/53142956/Saw-whet_Owl_10_normal.jpg" TargetMode="External"/><Relationship Id="rId4668" Type="http://schemas.openxmlformats.org/officeDocument/2006/relationships/hyperlink" Target="https://pbs.twimg.com/profile_images/517966321472917507/hxaw0TQA_normal.png" TargetMode="External"/><Relationship Id="rId2006" Type="http://schemas.openxmlformats.org/officeDocument/2006/relationships/hyperlink" Target="https://twitter.com/zaticwu" TargetMode="External"/><Relationship Id="rId3336" Type="http://schemas.openxmlformats.org/officeDocument/2006/relationships/hyperlink" Target="https://twitter.com/arnicas/status/702144089299542016" TargetMode="External"/><Relationship Id="rId4667" Type="http://schemas.openxmlformats.org/officeDocument/2006/relationships/hyperlink" Target="https://twitter.com/CapitalOneGeek/status/702455689470410756" TargetMode="External"/><Relationship Id="rId2007" Type="http://schemas.openxmlformats.org/officeDocument/2006/relationships/hyperlink" Target="https://twitter.com/zaticwu/status/701826656365727744" TargetMode="External"/><Relationship Id="rId3339" Type="http://schemas.openxmlformats.org/officeDocument/2006/relationships/hyperlink" Target="https://twitter.com/sfrechette/status/702144385421615104" TargetMode="External"/><Relationship Id="rId5998" Type="http://schemas.openxmlformats.org/officeDocument/2006/relationships/hyperlink" Target="https://twitter.com/pureblissofsun" TargetMode="External"/><Relationship Id="rId2008" Type="http://schemas.openxmlformats.org/officeDocument/2006/relationships/hyperlink" Target="https://pbs.twimg.com/profile_images/509100899063439361/1xdR38oG_normal.jpeg" TargetMode="External"/><Relationship Id="rId3338" Type="http://schemas.openxmlformats.org/officeDocument/2006/relationships/hyperlink" Target="https://twitter.com/sfrechette" TargetMode="External"/><Relationship Id="rId4669" Type="http://schemas.openxmlformats.org/officeDocument/2006/relationships/hyperlink" Target="https://twitter.com/Enroweb" TargetMode="External"/><Relationship Id="rId5999" Type="http://schemas.openxmlformats.org/officeDocument/2006/relationships/hyperlink" Target="https://twitter.com/pureblissofsun/status/702649402394017793" TargetMode="External"/><Relationship Id="rId2009" Type="http://schemas.openxmlformats.org/officeDocument/2006/relationships/hyperlink" Target="https://twitter.com/withbioinformat" TargetMode="External"/><Relationship Id="rId4660" Type="http://schemas.openxmlformats.org/officeDocument/2006/relationships/hyperlink" Target="https://twitter.com/calli993" TargetMode="External"/><Relationship Id="rId5992" Type="http://schemas.openxmlformats.org/officeDocument/2006/relationships/hyperlink" Target="https://twitter.com/CRANberriesFeed" TargetMode="External"/><Relationship Id="rId5993" Type="http://schemas.openxmlformats.org/officeDocument/2006/relationships/hyperlink" Target="https://twitter.com/CRANberriesFeed/status/702647680154079233" TargetMode="External"/><Relationship Id="rId3331" Type="http://schemas.openxmlformats.org/officeDocument/2006/relationships/hyperlink" Target="https://pbs.twimg.com/profile_images/650500150255841280/I6oTK-Gf_normal.jpg" TargetMode="External"/><Relationship Id="rId4662" Type="http://schemas.openxmlformats.org/officeDocument/2006/relationships/hyperlink" Target="https://pbs.twimg.com/profile_images/1698849697/9911-225_normal.JPG" TargetMode="External"/><Relationship Id="rId5990" Type="http://schemas.openxmlformats.org/officeDocument/2006/relationships/hyperlink" Target="https://twitter.com/CRANberriesFeed/status/702647676542820352" TargetMode="External"/><Relationship Id="rId2000" Type="http://schemas.openxmlformats.org/officeDocument/2006/relationships/hyperlink" Target="https://twitter.com/samarthbhaskar" TargetMode="External"/><Relationship Id="rId3330" Type="http://schemas.openxmlformats.org/officeDocument/2006/relationships/hyperlink" Target="https://twitter.com/Dalal_EL_Hanna/status/702143221657370624" TargetMode="External"/><Relationship Id="rId4661" Type="http://schemas.openxmlformats.org/officeDocument/2006/relationships/hyperlink" Target="https://twitter.com/calli993/status/702454975369256960" TargetMode="External"/><Relationship Id="rId5991" Type="http://schemas.openxmlformats.org/officeDocument/2006/relationships/hyperlink" Target="https://pbs.twimg.com/profile_images/1222779560/cran1_normal.jpg" TargetMode="External"/><Relationship Id="rId2001" Type="http://schemas.openxmlformats.org/officeDocument/2006/relationships/hyperlink" Target="https://twitter.com/samarthbhaskar/status/701825483411828736" TargetMode="External"/><Relationship Id="rId3333" Type="http://schemas.openxmlformats.org/officeDocument/2006/relationships/hyperlink" Target="https://twitter.com/Unsichtbarer/status/702143276883845120" TargetMode="External"/><Relationship Id="rId4664" Type="http://schemas.openxmlformats.org/officeDocument/2006/relationships/hyperlink" Target="https://twitter.com/_wddrs/status/702455379586846721" TargetMode="External"/><Relationship Id="rId5996" Type="http://schemas.openxmlformats.org/officeDocument/2006/relationships/hyperlink" Target="https://twitter.com/monkmanmh/status/702648423103598592" TargetMode="External"/><Relationship Id="rId2002" Type="http://schemas.openxmlformats.org/officeDocument/2006/relationships/hyperlink" Target="https://pbs.twimg.com/profile_images/568817200287326208/Na9C2nwv_normal.jpeg" TargetMode="External"/><Relationship Id="rId3332" Type="http://schemas.openxmlformats.org/officeDocument/2006/relationships/hyperlink" Target="https://twitter.com/Unsichtbarer" TargetMode="External"/><Relationship Id="rId4663" Type="http://schemas.openxmlformats.org/officeDocument/2006/relationships/hyperlink" Target="https://twitter.com/_wddrs" TargetMode="External"/><Relationship Id="rId5997" Type="http://schemas.openxmlformats.org/officeDocument/2006/relationships/hyperlink" Target="https://pbs.twimg.com/profile_images/378800000326851690/31a53679fad3e2366222d213ad196573_normal.jpeg" TargetMode="External"/><Relationship Id="rId2003" Type="http://schemas.openxmlformats.org/officeDocument/2006/relationships/hyperlink" Target="https://twitter.com/mhultstrom" TargetMode="External"/><Relationship Id="rId3335" Type="http://schemas.openxmlformats.org/officeDocument/2006/relationships/hyperlink" Target="https://twitter.com/arnicas" TargetMode="External"/><Relationship Id="rId4666" Type="http://schemas.openxmlformats.org/officeDocument/2006/relationships/hyperlink" Target="https://twitter.com/CapitalOneGeek" TargetMode="External"/><Relationship Id="rId5994" Type="http://schemas.openxmlformats.org/officeDocument/2006/relationships/hyperlink" Target="https://pbs.twimg.com/profile_images/1222779560/cran1_normal.jpg" TargetMode="External"/><Relationship Id="rId2004" Type="http://schemas.openxmlformats.org/officeDocument/2006/relationships/hyperlink" Target="https://twitter.com/mhultstrom/status/701826011416162306" TargetMode="External"/><Relationship Id="rId3334" Type="http://schemas.openxmlformats.org/officeDocument/2006/relationships/hyperlink" Target="https://pbs.twimg.com/profile_images/2864653285/a026ddac7b389fe2ce70428c4aba1512_normal.jpeg" TargetMode="External"/><Relationship Id="rId4665" Type="http://schemas.openxmlformats.org/officeDocument/2006/relationships/hyperlink" Target="https://pbs.twimg.com/profile_images/593529508621197312/TOz-6LPw_normal.jpg" TargetMode="External"/><Relationship Id="rId5995" Type="http://schemas.openxmlformats.org/officeDocument/2006/relationships/hyperlink" Target="https://twitter.com/monkmanmh" TargetMode="External"/><Relationship Id="rId3326" Type="http://schemas.openxmlformats.org/officeDocument/2006/relationships/hyperlink" Target="https://twitter.com/BigDataU" TargetMode="External"/><Relationship Id="rId4657" Type="http://schemas.openxmlformats.org/officeDocument/2006/relationships/hyperlink" Target="https://twitter.com/wolass" TargetMode="External"/><Relationship Id="rId5989" Type="http://schemas.openxmlformats.org/officeDocument/2006/relationships/hyperlink" Target="https://twitter.com/CRANberriesFeed" TargetMode="External"/><Relationship Id="rId3325" Type="http://schemas.openxmlformats.org/officeDocument/2006/relationships/hyperlink" Target="https://pbs.twimg.com/profile_images/702892614194843649/cmqXIP46_normal.jpg" TargetMode="External"/><Relationship Id="rId4656" Type="http://schemas.openxmlformats.org/officeDocument/2006/relationships/hyperlink" Target="https://pbs.twimg.com/profile_images/556170328229953536/CuvfXisf_normal.jpeg" TargetMode="External"/><Relationship Id="rId3328" Type="http://schemas.openxmlformats.org/officeDocument/2006/relationships/hyperlink" Target="https://pbs.twimg.com/profile_images/644525012217540609/Ly1oIXVh_normal.png" TargetMode="External"/><Relationship Id="rId4659" Type="http://schemas.openxmlformats.org/officeDocument/2006/relationships/hyperlink" Target="https://pbs.twimg.com/profile_images/512491328802783233/AVGFpLwo_normal.jpeg" TargetMode="External"/><Relationship Id="rId5987" Type="http://schemas.openxmlformats.org/officeDocument/2006/relationships/hyperlink" Target="https://twitter.com/CRANberriesFeed/status/702647598243569665" TargetMode="External"/><Relationship Id="rId3327" Type="http://schemas.openxmlformats.org/officeDocument/2006/relationships/hyperlink" Target="https://twitter.com/BigDataU/status/702142385762000896" TargetMode="External"/><Relationship Id="rId4658" Type="http://schemas.openxmlformats.org/officeDocument/2006/relationships/hyperlink" Target="https://twitter.com/wolass/status/702453593488662528" TargetMode="External"/><Relationship Id="rId5988" Type="http://schemas.openxmlformats.org/officeDocument/2006/relationships/hyperlink" Target="https://pbs.twimg.com/profile_images/1222779560/cran1_normal.jpg" TargetMode="External"/><Relationship Id="rId3329" Type="http://schemas.openxmlformats.org/officeDocument/2006/relationships/hyperlink" Target="https://twitter.com/Dalal_EL_Hanna" TargetMode="External"/><Relationship Id="rId5981" Type="http://schemas.openxmlformats.org/officeDocument/2006/relationships/hyperlink" Target="https://twitter.com/askdrstats/status/702647018586394624" TargetMode="External"/><Relationship Id="rId5982" Type="http://schemas.openxmlformats.org/officeDocument/2006/relationships/hyperlink" Target="https://pbs.twimg.com/profile_images/421032203703701504/tKrivgxy_normal.jpeg" TargetMode="External"/><Relationship Id="rId3320" Type="http://schemas.openxmlformats.org/officeDocument/2006/relationships/hyperlink" Target="https://twitter.com/knime" TargetMode="External"/><Relationship Id="rId4651" Type="http://schemas.openxmlformats.org/officeDocument/2006/relationships/hyperlink" Target="https://twitter.com/BerlinRUG" TargetMode="External"/><Relationship Id="rId4650" Type="http://schemas.openxmlformats.org/officeDocument/2006/relationships/hyperlink" Target="https://pbs.twimg.com/profile_images/200311699/leaf_normal.jpg" TargetMode="External"/><Relationship Id="rId5980" Type="http://schemas.openxmlformats.org/officeDocument/2006/relationships/hyperlink" Target="https://twitter.com/askdrstats" TargetMode="External"/><Relationship Id="rId3322" Type="http://schemas.openxmlformats.org/officeDocument/2006/relationships/hyperlink" Target="https://pbs.twimg.com/profile_images/474145099241119746/uiMHRESP_normal.png" TargetMode="External"/><Relationship Id="rId4653" Type="http://schemas.openxmlformats.org/officeDocument/2006/relationships/hyperlink" Target="https://pbs.twimg.com/profile_images/603517008777445376/474uLV55_normal.png" TargetMode="External"/><Relationship Id="rId5985" Type="http://schemas.openxmlformats.org/officeDocument/2006/relationships/hyperlink" Target="https://pbs.twimg.com/profile_images/421032203703701504/tKrivgxy_normal.jpeg" TargetMode="External"/><Relationship Id="rId3321" Type="http://schemas.openxmlformats.org/officeDocument/2006/relationships/hyperlink" Target="https://twitter.com/knime/status/702140280305164288" TargetMode="External"/><Relationship Id="rId4652" Type="http://schemas.openxmlformats.org/officeDocument/2006/relationships/hyperlink" Target="https://twitter.com/BerlinRUG/status/702451068450504704" TargetMode="External"/><Relationship Id="rId5986" Type="http://schemas.openxmlformats.org/officeDocument/2006/relationships/hyperlink" Target="https://twitter.com/CRANberriesFeed" TargetMode="External"/><Relationship Id="rId3324" Type="http://schemas.openxmlformats.org/officeDocument/2006/relationships/hyperlink" Target="https://twitter.com/TemodT/status/702141633832181762" TargetMode="External"/><Relationship Id="rId4655" Type="http://schemas.openxmlformats.org/officeDocument/2006/relationships/hyperlink" Target="https://twitter.com/thijschr/status/702451989200896000" TargetMode="External"/><Relationship Id="rId5983" Type="http://schemas.openxmlformats.org/officeDocument/2006/relationships/hyperlink" Target="https://twitter.com/askdrstats" TargetMode="External"/><Relationship Id="rId3323" Type="http://schemas.openxmlformats.org/officeDocument/2006/relationships/hyperlink" Target="https://twitter.com/TemodT" TargetMode="External"/><Relationship Id="rId4654" Type="http://schemas.openxmlformats.org/officeDocument/2006/relationships/hyperlink" Target="https://twitter.com/thijschr" TargetMode="External"/><Relationship Id="rId5984" Type="http://schemas.openxmlformats.org/officeDocument/2006/relationships/hyperlink" Target="https://twitter.com/askdrstats/status/702647045086060544" TargetMode="External"/><Relationship Id="rId2090" Type="http://schemas.openxmlformats.org/officeDocument/2006/relationships/hyperlink" Target="https://twitter.com/ngamita" TargetMode="External"/><Relationship Id="rId2091" Type="http://schemas.openxmlformats.org/officeDocument/2006/relationships/hyperlink" Target="https://twitter.com/ngamita/status/701842373228240896" TargetMode="External"/><Relationship Id="rId2092" Type="http://schemas.openxmlformats.org/officeDocument/2006/relationships/hyperlink" Target="https://pbs.twimg.com/profile_images/538251729419001857/kIvht2bF_normal.jpeg" TargetMode="External"/><Relationship Id="rId2093" Type="http://schemas.openxmlformats.org/officeDocument/2006/relationships/hyperlink" Target="https://twitter.com/SHaymondSays" TargetMode="External"/><Relationship Id="rId2094" Type="http://schemas.openxmlformats.org/officeDocument/2006/relationships/hyperlink" Target="https://twitter.com/SHaymondSays/status/701842651457269760" TargetMode="External"/><Relationship Id="rId2095" Type="http://schemas.openxmlformats.org/officeDocument/2006/relationships/hyperlink" Target="https://pbs.twimg.com/profile_images/599430288423260160/6jvdvVQg_normal.jpg" TargetMode="External"/><Relationship Id="rId2096" Type="http://schemas.openxmlformats.org/officeDocument/2006/relationships/hyperlink" Target="https://twitter.com/Rbloggers" TargetMode="External"/><Relationship Id="rId2097" Type="http://schemas.openxmlformats.org/officeDocument/2006/relationships/hyperlink" Target="https://twitter.com/Rbloggers/status/701842694893473793" TargetMode="External"/><Relationship Id="rId2098" Type="http://schemas.openxmlformats.org/officeDocument/2006/relationships/hyperlink" Target="http://r-bloggers.com" TargetMode="External"/><Relationship Id="rId2099" Type="http://schemas.openxmlformats.org/officeDocument/2006/relationships/hyperlink" Target="https://pbs.twimg.com/profile_images/502185985786916864/gkdFh-q7_normal.png" TargetMode="External"/><Relationship Id="rId3391" Type="http://schemas.openxmlformats.org/officeDocument/2006/relationships/hyperlink" Target="https://twitter.com/YorkUScientists" TargetMode="External"/><Relationship Id="rId2060" Type="http://schemas.openxmlformats.org/officeDocument/2006/relationships/hyperlink" Target="https://twitter.com/mikewulder" TargetMode="External"/><Relationship Id="rId3390" Type="http://schemas.openxmlformats.org/officeDocument/2006/relationships/hyperlink" Target="https://pbs.twimg.com/profile_images/701279754494685184/sQDL_EIb_normal.jpg" TargetMode="External"/><Relationship Id="rId2061" Type="http://schemas.openxmlformats.org/officeDocument/2006/relationships/hyperlink" Target="https://twitter.com/mikewulder/status/701836573508239361" TargetMode="External"/><Relationship Id="rId3393" Type="http://schemas.openxmlformats.org/officeDocument/2006/relationships/hyperlink" Target="https://pbs.twimg.com/profile_images/701787680850337792/3ntUzwll_normal.png" TargetMode="External"/><Relationship Id="rId2062" Type="http://schemas.openxmlformats.org/officeDocument/2006/relationships/hyperlink" Target="https://pbs.twimg.com/profile_images/694264215817838597/HIPlyWhy_normal.jpg" TargetMode="External"/><Relationship Id="rId3392" Type="http://schemas.openxmlformats.org/officeDocument/2006/relationships/hyperlink" Target="https://twitter.com/YorkUScientists/status/702155633005617152" TargetMode="External"/><Relationship Id="rId2063" Type="http://schemas.openxmlformats.org/officeDocument/2006/relationships/hyperlink" Target="https://twitter.com/pssGuy" TargetMode="External"/><Relationship Id="rId3395" Type="http://schemas.openxmlformats.org/officeDocument/2006/relationships/hyperlink" Target="https://twitter.com/pacoramon/status/702155994005114880" TargetMode="External"/><Relationship Id="rId2064" Type="http://schemas.openxmlformats.org/officeDocument/2006/relationships/hyperlink" Target="https://twitter.com/pssGuy/status/701836924206493697" TargetMode="External"/><Relationship Id="rId3394" Type="http://schemas.openxmlformats.org/officeDocument/2006/relationships/hyperlink" Target="https://twitter.com/pacoramon" TargetMode="External"/><Relationship Id="rId2065" Type="http://schemas.openxmlformats.org/officeDocument/2006/relationships/hyperlink" Target="https://pbs.twimg.com/profile_images/1138368380/P1010066small_normal.jpg" TargetMode="External"/><Relationship Id="rId3397" Type="http://schemas.openxmlformats.org/officeDocument/2006/relationships/hyperlink" Target="https://twitter.com/bhaskar_vk" TargetMode="External"/><Relationship Id="rId2066" Type="http://schemas.openxmlformats.org/officeDocument/2006/relationships/hyperlink" Target="https://twitter.com/plotlygraphs" TargetMode="External"/><Relationship Id="rId3396" Type="http://schemas.openxmlformats.org/officeDocument/2006/relationships/hyperlink" Target="https://pbs.twimg.com/profile_images/378800000859434127/2hj0SxQo_normal.jpeg" TargetMode="External"/><Relationship Id="rId2067" Type="http://schemas.openxmlformats.org/officeDocument/2006/relationships/hyperlink" Target="https://twitter.com/plotlygraphs/status/701837096500260864" TargetMode="External"/><Relationship Id="rId3399" Type="http://schemas.openxmlformats.org/officeDocument/2006/relationships/hyperlink" Target="https://pbs.twimg.com/profile_images/3654916643/41e86ccffc771868940fb53a41c3b712_normal.jpeg" TargetMode="External"/><Relationship Id="rId2068" Type="http://schemas.openxmlformats.org/officeDocument/2006/relationships/hyperlink" Target="https://pbs.twimg.com/profile_images/444997350340063232/NSL6tPG3_normal.png" TargetMode="External"/><Relationship Id="rId3398" Type="http://schemas.openxmlformats.org/officeDocument/2006/relationships/hyperlink" Target="https://twitter.com/bhaskar_vk/status/702156661444767745" TargetMode="External"/><Relationship Id="rId2069" Type="http://schemas.openxmlformats.org/officeDocument/2006/relationships/hyperlink" Target="https://twitter.com/MAGISTR_OM" TargetMode="External"/><Relationship Id="rId3380" Type="http://schemas.openxmlformats.org/officeDocument/2006/relationships/hyperlink" Target="https://pbs.twimg.com/profile_images/3427713318/840e4aa0a6dca9263a0507fbfe4c4074_normal.jpeg" TargetMode="External"/><Relationship Id="rId2050" Type="http://schemas.openxmlformats.org/officeDocument/2006/relationships/hyperlink" Target="https://pbs.twimg.com/profile_images/697258194142236672/s37qIvfo_normal.png" TargetMode="External"/><Relationship Id="rId3382" Type="http://schemas.openxmlformats.org/officeDocument/2006/relationships/hyperlink" Target="http://plon.io" TargetMode="External"/><Relationship Id="rId2051" Type="http://schemas.openxmlformats.org/officeDocument/2006/relationships/hyperlink" Target="https://twitter.com/zu_gabe" TargetMode="External"/><Relationship Id="rId3381" Type="http://schemas.openxmlformats.org/officeDocument/2006/relationships/hyperlink" Target="https://twitter.com/plon_io" TargetMode="External"/><Relationship Id="rId2052" Type="http://schemas.openxmlformats.org/officeDocument/2006/relationships/hyperlink" Target="https://twitter.com/zu_gabe/status/701834926077956101" TargetMode="External"/><Relationship Id="rId3384" Type="http://schemas.openxmlformats.org/officeDocument/2006/relationships/hyperlink" Target="https://pbs.twimg.com/profile_images/589367041536176128/TfjOhvci_normal.png" TargetMode="External"/><Relationship Id="rId2053" Type="http://schemas.openxmlformats.org/officeDocument/2006/relationships/hyperlink" Target="https://pbs.twimg.com/profile_images/668920039937064962/T9R8vGGI_normal.jpg" TargetMode="External"/><Relationship Id="rId3383" Type="http://schemas.openxmlformats.org/officeDocument/2006/relationships/hyperlink" Target="https://twitter.com/plon_io/status/702154310071754752" TargetMode="External"/><Relationship Id="rId2054" Type="http://schemas.openxmlformats.org/officeDocument/2006/relationships/hyperlink" Target="https://twitter.com/SHaymondSays" TargetMode="External"/><Relationship Id="rId3386" Type="http://schemas.openxmlformats.org/officeDocument/2006/relationships/hyperlink" Target="https://twitter.com/timelyportfolio/status/702154835651600389" TargetMode="External"/><Relationship Id="rId2055" Type="http://schemas.openxmlformats.org/officeDocument/2006/relationships/hyperlink" Target="https://twitter.com/SHaymondSays/status/701835817996582912" TargetMode="External"/><Relationship Id="rId3385" Type="http://schemas.openxmlformats.org/officeDocument/2006/relationships/hyperlink" Target="https://twitter.com/timelyportfolio" TargetMode="External"/><Relationship Id="rId2056" Type="http://schemas.openxmlformats.org/officeDocument/2006/relationships/hyperlink" Target="https://pbs.twimg.com/profile_images/599430288423260160/6jvdvVQg_normal.jpg" TargetMode="External"/><Relationship Id="rId3388" Type="http://schemas.openxmlformats.org/officeDocument/2006/relationships/hyperlink" Target="https://twitter.com/joranelias" TargetMode="External"/><Relationship Id="rId2057" Type="http://schemas.openxmlformats.org/officeDocument/2006/relationships/hyperlink" Target="https://twitter.com/DrDanHolmes" TargetMode="External"/><Relationship Id="rId3387" Type="http://schemas.openxmlformats.org/officeDocument/2006/relationships/hyperlink" Target="https://pbs.twimg.com/profile_images/2198946077/image_normal.jpg" TargetMode="External"/><Relationship Id="rId2058" Type="http://schemas.openxmlformats.org/officeDocument/2006/relationships/hyperlink" Target="https://twitter.com/DrDanHolmes/status/701836205701238784" TargetMode="External"/><Relationship Id="rId2059" Type="http://schemas.openxmlformats.org/officeDocument/2006/relationships/hyperlink" Target="https://pbs.twimg.com/profile_images/625661554357354498/mgCeOAD7_normal.jpg" TargetMode="External"/><Relationship Id="rId3389" Type="http://schemas.openxmlformats.org/officeDocument/2006/relationships/hyperlink" Target="https://twitter.com/joranelias/status/702155235318312961" TargetMode="External"/><Relationship Id="rId2080" Type="http://schemas.openxmlformats.org/officeDocument/2006/relationships/hyperlink" Target="https://pbs.twimg.com/profile_images/557998613054238720/NKrdyn4o_normal.jpeg" TargetMode="External"/><Relationship Id="rId2081" Type="http://schemas.openxmlformats.org/officeDocument/2006/relationships/hyperlink" Target="https://twitter.com/rc_serban" TargetMode="External"/><Relationship Id="rId2082" Type="http://schemas.openxmlformats.org/officeDocument/2006/relationships/hyperlink" Target="https://twitter.com/rc_serban/status/701841046272155648" TargetMode="External"/><Relationship Id="rId2083" Type="http://schemas.openxmlformats.org/officeDocument/2006/relationships/hyperlink" Target="https://pbs.twimg.com/profile_images/378800000761311535/4a74c8294e22c5c826ac6fc2c19f25ad_normal.jpeg" TargetMode="External"/><Relationship Id="rId2084" Type="http://schemas.openxmlformats.org/officeDocument/2006/relationships/hyperlink" Target="https://twitter.com/DeniseBh2o" TargetMode="External"/><Relationship Id="rId2085" Type="http://schemas.openxmlformats.org/officeDocument/2006/relationships/hyperlink" Target="https://twitter.com/DeniseBh2o/status/701841473881378817" TargetMode="External"/><Relationship Id="rId2086" Type="http://schemas.openxmlformats.org/officeDocument/2006/relationships/hyperlink" Target="https://pbs.twimg.com/profile_images/656859193228566528/6QaKiwbm_normal.jpg" TargetMode="External"/><Relationship Id="rId2087" Type="http://schemas.openxmlformats.org/officeDocument/2006/relationships/hyperlink" Target="https://twitter.com/nierhoff" TargetMode="External"/><Relationship Id="rId2088" Type="http://schemas.openxmlformats.org/officeDocument/2006/relationships/hyperlink" Target="https://twitter.com/nierhoff/status/701841775833571330" TargetMode="External"/><Relationship Id="rId2089" Type="http://schemas.openxmlformats.org/officeDocument/2006/relationships/hyperlink" Target="https://pbs.twimg.com/profile_images/466323009796456448/toIsECgZ_normal.jpeg" TargetMode="External"/><Relationship Id="rId2070" Type="http://schemas.openxmlformats.org/officeDocument/2006/relationships/hyperlink" Target="https://twitter.com/MAGISTR_OM/status/701837693119045636" TargetMode="External"/><Relationship Id="rId2071" Type="http://schemas.openxmlformats.org/officeDocument/2006/relationships/hyperlink" Target="https://pbs.twimg.com/profile_images/1143255121/ds_1__normal.jpg" TargetMode="External"/><Relationship Id="rId2072" Type="http://schemas.openxmlformats.org/officeDocument/2006/relationships/hyperlink" Target="https://twitter.com/LauraParnas" TargetMode="External"/><Relationship Id="rId2073" Type="http://schemas.openxmlformats.org/officeDocument/2006/relationships/hyperlink" Target="https://twitter.com/LauraParnas/status/701838753665449985" TargetMode="External"/><Relationship Id="rId2074" Type="http://schemas.openxmlformats.org/officeDocument/2006/relationships/hyperlink" Target="https://pbs.twimg.com/profile_images/378800000101209325/104b0862260e885614912cbe8630cb21_normal.jpeg" TargetMode="External"/><Relationship Id="rId2075" Type="http://schemas.openxmlformats.org/officeDocument/2006/relationships/hyperlink" Target="https://twitter.com/DrDanHolmes" TargetMode="External"/><Relationship Id="rId2076" Type="http://schemas.openxmlformats.org/officeDocument/2006/relationships/hyperlink" Target="https://twitter.com/DrDanHolmes/status/701840103635746816" TargetMode="External"/><Relationship Id="rId2077" Type="http://schemas.openxmlformats.org/officeDocument/2006/relationships/hyperlink" Target="https://pbs.twimg.com/profile_images/625661554357354498/mgCeOAD7_normal.jpg" TargetMode="External"/><Relationship Id="rId2078" Type="http://schemas.openxmlformats.org/officeDocument/2006/relationships/hyperlink" Target="https://twitter.com/drtinamaster" TargetMode="External"/><Relationship Id="rId2079" Type="http://schemas.openxmlformats.org/officeDocument/2006/relationships/hyperlink" Target="https://twitter.com/drtinamaster/status/701840493986971648" TargetMode="External"/><Relationship Id="rId8240" Type="http://schemas.openxmlformats.org/officeDocument/2006/relationships/hyperlink" Target="https://pbs.twimg.com/profile_images/484253295213420546/k6_3GlbY_normal.jpeg" TargetMode="External"/><Relationship Id="rId8244" Type="http://schemas.openxmlformats.org/officeDocument/2006/relationships/hyperlink" Target="https://twitter.com/Pvalsfr" TargetMode="External"/><Relationship Id="rId8243" Type="http://schemas.openxmlformats.org/officeDocument/2006/relationships/hyperlink" Target="https://pbs.twimg.com/profile_images/544034757730779136/-jOL7GnN_normal.jpeg" TargetMode="External"/><Relationship Id="rId8242" Type="http://schemas.openxmlformats.org/officeDocument/2006/relationships/hyperlink" Target="https://twitter.com/javascriptd/status/703109382960128001" TargetMode="External"/><Relationship Id="rId8241" Type="http://schemas.openxmlformats.org/officeDocument/2006/relationships/hyperlink" Target="https://twitter.com/javascriptd" TargetMode="External"/><Relationship Id="rId8248" Type="http://schemas.openxmlformats.org/officeDocument/2006/relationships/hyperlink" Target="https://twitter.com/Pvalsfr/status/703110394743648256" TargetMode="External"/><Relationship Id="rId8247" Type="http://schemas.openxmlformats.org/officeDocument/2006/relationships/hyperlink" Target="https://twitter.com/Pvalsfr" TargetMode="External"/><Relationship Id="rId8246" Type="http://schemas.openxmlformats.org/officeDocument/2006/relationships/hyperlink" Target="https://abs.twimg.com/sticky/default_profile_images/default_profile_4_normal.png" TargetMode="External"/><Relationship Id="rId8245" Type="http://schemas.openxmlformats.org/officeDocument/2006/relationships/hyperlink" Target="https://twitter.com/Pvalsfr/status/703109955327373312" TargetMode="External"/><Relationship Id="rId8249" Type="http://schemas.openxmlformats.org/officeDocument/2006/relationships/hyperlink" Target="https://abs.twimg.com/sticky/default_profile_images/default_profile_4_normal.png" TargetMode="External"/><Relationship Id="rId8233" Type="http://schemas.openxmlformats.org/officeDocument/2006/relationships/hyperlink" Target="https://twitter.com/RangaEunny/status/703107472957972480" TargetMode="External"/><Relationship Id="rId8232" Type="http://schemas.openxmlformats.org/officeDocument/2006/relationships/hyperlink" Target="https://twitter.com/RangaEunny" TargetMode="External"/><Relationship Id="rId8231" Type="http://schemas.openxmlformats.org/officeDocument/2006/relationships/hyperlink" Target="https://pbs.twimg.com/profile_images/2461671612/image_normal.jpg" TargetMode="External"/><Relationship Id="rId8230" Type="http://schemas.openxmlformats.org/officeDocument/2006/relationships/hyperlink" Target="https://twitter.com/offthemesh/status/703107391450013696" TargetMode="External"/><Relationship Id="rId8237" Type="http://schemas.openxmlformats.org/officeDocument/2006/relationships/hyperlink" Target="https://pbs.twimg.com/profile_images/509674126848434176/Tp67l9eJ_normal.jpeg" TargetMode="External"/><Relationship Id="rId8236" Type="http://schemas.openxmlformats.org/officeDocument/2006/relationships/hyperlink" Target="https://twitter.com/Black_Dragon123/status/703107837338095616" TargetMode="External"/><Relationship Id="rId8235" Type="http://schemas.openxmlformats.org/officeDocument/2006/relationships/hyperlink" Target="https://twitter.com/Black_Dragon123" TargetMode="External"/><Relationship Id="rId8234" Type="http://schemas.openxmlformats.org/officeDocument/2006/relationships/hyperlink" Target="https://pbs.twimg.com/profile_images/666098257236332544/ckq_2g-6_normal.jpg" TargetMode="External"/><Relationship Id="rId8239" Type="http://schemas.openxmlformats.org/officeDocument/2006/relationships/hyperlink" Target="https://twitter.com/mazeson/status/703108200745152512" TargetMode="External"/><Relationship Id="rId8238" Type="http://schemas.openxmlformats.org/officeDocument/2006/relationships/hyperlink" Target="https://twitter.com/mazeson" TargetMode="External"/><Relationship Id="rId8262" Type="http://schemas.openxmlformats.org/officeDocument/2006/relationships/hyperlink" Target="https://twitter.com/vivekmi1995" TargetMode="External"/><Relationship Id="rId8261" Type="http://schemas.openxmlformats.org/officeDocument/2006/relationships/hyperlink" Target="https://pbs.twimg.com/profile_images/610994882933469184/yjGTWSn1_normal.png" TargetMode="External"/><Relationship Id="rId8260" Type="http://schemas.openxmlformats.org/officeDocument/2006/relationships/hyperlink" Target="https://twitter.com/alostpacket/status/703112046041104385" TargetMode="External"/><Relationship Id="rId8266" Type="http://schemas.openxmlformats.org/officeDocument/2006/relationships/hyperlink" Target="https://twitter.com/ShirleyYYoung/status/703112941613154304" TargetMode="External"/><Relationship Id="rId8265" Type="http://schemas.openxmlformats.org/officeDocument/2006/relationships/hyperlink" Target="https://twitter.com/ShirleyYYoung" TargetMode="External"/><Relationship Id="rId8264" Type="http://schemas.openxmlformats.org/officeDocument/2006/relationships/hyperlink" Target="https://pbs.twimg.com/profile_images/649473078058029057/gR3N5vxZ_normal.jpg" TargetMode="External"/><Relationship Id="rId8263" Type="http://schemas.openxmlformats.org/officeDocument/2006/relationships/hyperlink" Target="https://twitter.com/vivekmi1995/status/703112850538016768" TargetMode="External"/><Relationship Id="rId8269" Type="http://schemas.openxmlformats.org/officeDocument/2006/relationships/hyperlink" Target="https://twitter.com/BobOHara/status/703113152569802752" TargetMode="External"/><Relationship Id="rId8268" Type="http://schemas.openxmlformats.org/officeDocument/2006/relationships/hyperlink" Target="https://twitter.com/BobOHara" TargetMode="External"/><Relationship Id="rId8267" Type="http://schemas.openxmlformats.org/officeDocument/2006/relationships/hyperlink" Target="https://pbs.twimg.com/profile_images/615560727898648577/t94u5F5t_normal.jpg" TargetMode="External"/><Relationship Id="rId8251" Type="http://schemas.openxmlformats.org/officeDocument/2006/relationships/hyperlink" Target="https://twitter.com/iotsecurity2/status/703110530047672321" TargetMode="External"/><Relationship Id="rId8250" Type="http://schemas.openxmlformats.org/officeDocument/2006/relationships/hyperlink" Target="https://twitter.com/iotsecurity2" TargetMode="External"/><Relationship Id="rId8255" Type="http://schemas.openxmlformats.org/officeDocument/2006/relationships/hyperlink" Target="https://pbs.twimg.com/profile_images/804548189/avatar_normal.jpg" TargetMode="External"/><Relationship Id="rId8254" Type="http://schemas.openxmlformats.org/officeDocument/2006/relationships/hyperlink" Target="https://twitter.com/tarentum/status/703111210594533377" TargetMode="External"/><Relationship Id="rId8253" Type="http://schemas.openxmlformats.org/officeDocument/2006/relationships/hyperlink" Target="https://twitter.com/tarentum" TargetMode="External"/><Relationship Id="rId8252" Type="http://schemas.openxmlformats.org/officeDocument/2006/relationships/hyperlink" Target="https://abs.twimg.com/sticky/default_profile_images/default_profile_3_normal.png" TargetMode="External"/><Relationship Id="rId8259" Type="http://schemas.openxmlformats.org/officeDocument/2006/relationships/hyperlink" Target="https://twitter.com/alostpacket" TargetMode="External"/><Relationship Id="rId8258" Type="http://schemas.openxmlformats.org/officeDocument/2006/relationships/hyperlink" Target="https://pbs.twimg.com/profile_images/378800000506419090/7334033f4b84df6547c6b38121f77636_normal.png" TargetMode="External"/><Relationship Id="rId8257" Type="http://schemas.openxmlformats.org/officeDocument/2006/relationships/hyperlink" Target="https://twitter.com/AriBFriedman/status/703111950226448385" TargetMode="External"/><Relationship Id="rId8256" Type="http://schemas.openxmlformats.org/officeDocument/2006/relationships/hyperlink" Target="https://twitter.com/AriBFriedman" TargetMode="External"/><Relationship Id="rId8209" Type="http://schemas.openxmlformats.org/officeDocument/2006/relationships/hyperlink" Target="https://twitter.com/adamjsims/status/703106724970962945" TargetMode="External"/><Relationship Id="rId8200" Type="http://schemas.openxmlformats.org/officeDocument/2006/relationships/hyperlink" Target="https://twitter.com/analyticbridge/status/703106377321828352" TargetMode="External"/><Relationship Id="rId8204" Type="http://schemas.openxmlformats.org/officeDocument/2006/relationships/hyperlink" Target="https://pbs.twimg.com/profile_images/681819908464836609/n3vCKgJU_normal.jpg" TargetMode="External"/><Relationship Id="rId8203" Type="http://schemas.openxmlformats.org/officeDocument/2006/relationships/hyperlink" Target="https://twitter.com/dahlroman/status/703106547048558592" TargetMode="External"/><Relationship Id="rId8202" Type="http://schemas.openxmlformats.org/officeDocument/2006/relationships/hyperlink" Target="https://twitter.com/dahlroman" TargetMode="External"/><Relationship Id="rId8201" Type="http://schemas.openxmlformats.org/officeDocument/2006/relationships/hyperlink" Target="https://pbs.twimg.com/profile_images/1198161733/analitycbridge_normal.png" TargetMode="External"/><Relationship Id="rId8208" Type="http://schemas.openxmlformats.org/officeDocument/2006/relationships/hyperlink" Target="https://twitter.com/adamjsims" TargetMode="External"/><Relationship Id="rId8207" Type="http://schemas.openxmlformats.org/officeDocument/2006/relationships/hyperlink" Target="https://pbs.twimg.com/profile_images/1678023092/DSC_Logo_normal.jpg" TargetMode="External"/><Relationship Id="rId8206" Type="http://schemas.openxmlformats.org/officeDocument/2006/relationships/hyperlink" Target="https://twitter.com/DataScienceCtrl/status/703106584004550656" TargetMode="External"/><Relationship Id="rId8205" Type="http://schemas.openxmlformats.org/officeDocument/2006/relationships/hyperlink" Target="https://twitter.com/DataScienceCtrl" TargetMode="External"/><Relationship Id="rId8222" Type="http://schemas.openxmlformats.org/officeDocument/2006/relationships/hyperlink" Target="https://pbs.twimg.com/profile_images/516841246971920384/LS0QZSLf_normal.jpeg" TargetMode="External"/><Relationship Id="rId8221" Type="http://schemas.openxmlformats.org/officeDocument/2006/relationships/hyperlink" Target="https://twitter.com/Interneconomics/status/703107157210705920" TargetMode="External"/><Relationship Id="rId8220" Type="http://schemas.openxmlformats.org/officeDocument/2006/relationships/hyperlink" Target="https://twitter.com/Interneconomics" TargetMode="External"/><Relationship Id="rId8226" Type="http://schemas.openxmlformats.org/officeDocument/2006/relationships/hyperlink" Target="https://twitter.com/aksingh1985" TargetMode="External"/><Relationship Id="rId8225" Type="http://schemas.openxmlformats.org/officeDocument/2006/relationships/hyperlink" Target="https://pbs.twimg.com/profile_images/1246984576/Kartik_Cap_normal.jpg" TargetMode="External"/><Relationship Id="rId8224" Type="http://schemas.openxmlformats.org/officeDocument/2006/relationships/hyperlink" Target="https://twitter.com/Kartik_IoT/status/703107167692333056" TargetMode="External"/><Relationship Id="rId8223" Type="http://schemas.openxmlformats.org/officeDocument/2006/relationships/hyperlink" Target="https://twitter.com/Kartik_IoT" TargetMode="External"/><Relationship Id="rId8229" Type="http://schemas.openxmlformats.org/officeDocument/2006/relationships/hyperlink" Target="https://twitter.com/offthemesh" TargetMode="External"/><Relationship Id="rId8228" Type="http://schemas.openxmlformats.org/officeDocument/2006/relationships/hyperlink" Target="https://pbs.twimg.com/profile_images/603841641254760448/h8G2brJw_normal.jpg" TargetMode="External"/><Relationship Id="rId8227" Type="http://schemas.openxmlformats.org/officeDocument/2006/relationships/hyperlink" Target="https://twitter.com/aksingh1985/status/703107223434596355" TargetMode="External"/><Relationship Id="rId8211" Type="http://schemas.openxmlformats.org/officeDocument/2006/relationships/hyperlink" Target="https://twitter.com/RabiRabisharma" TargetMode="External"/><Relationship Id="rId8210" Type="http://schemas.openxmlformats.org/officeDocument/2006/relationships/hyperlink" Target="https://pbs.twimg.com/profile_images/929702554/315e5ca_1__normal.jpg" TargetMode="External"/><Relationship Id="rId8215" Type="http://schemas.openxmlformats.org/officeDocument/2006/relationships/hyperlink" Target="https://twitter.com/JPK4711/status/703106926557532160" TargetMode="External"/><Relationship Id="rId8214" Type="http://schemas.openxmlformats.org/officeDocument/2006/relationships/hyperlink" Target="https://twitter.com/JPK4711" TargetMode="External"/><Relationship Id="rId8213" Type="http://schemas.openxmlformats.org/officeDocument/2006/relationships/hyperlink" Target="https://pbs.twimg.com/profile_images/687600470680944640/HBKu9c3e_normal.jpg" TargetMode="External"/><Relationship Id="rId8212" Type="http://schemas.openxmlformats.org/officeDocument/2006/relationships/hyperlink" Target="https://twitter.com/RabiRabisharma/status/703106852486131713" TargetMode="External"/><Relationship Id="rId8219" Type="http://schemas.openxmlformats.org/officeDocument/2006/relationships/hyperlink" Target="https://abs.twimg.com/sticky/default_profile_images/default_profile_4_normal.png" TargetMode="External"/><Relationship Id="rId8218" Type="http://schemas.openxmlformats.org/officeDocument/2006/relationships/hyperlink" Target="https://twitter.com/Pvalsfr/status/703107153989480451" TargetMode="External"/><Relationship Id="rId8217" Type="http://schemas.openxmlformats.org/officeDocument/2006/relationships/hyperlink" Target="https://twitter.com/Pvalsfr" TargetMode="External"/><Relationship Id="rId8216" Type="http://schemas.openxmlformats.org/officeDocument/2006/relationships/hyperlink" Target="https://pbs.twimg.com/profile_images/610543405014339584/_D4TMghT_normal.jpg" TargetMode="External"/><Relationship Id="rId4723" Type="http://schemas.openxmlformats.org/officeDocument/2006/relationships/hyperlink" Target="https://twitter.com/ElinWaring" TargetMode="External"/><Relationship Id="rId4722" Type="http://schemas.openxmlformats.org/officeDocument/2006/relationships/hyperlink" Target="https://pbs.twimg.com/profile_images/667612877180792832/24yLZAXr_normal.jpg" TargetMode="External"/><Relationship Id="rId4725" Type="http://schemas.openxmlformats.org/officeDocument/2006/relationships/hyperlink" Target="https://pbs.twimg.com/profile_images/134460124/me2_normal.png" TargetMode="External"/><Relationship Id="rId4724" Type="http://schemas.openxmlformats.org/officeDocument/2006/relationships/hyperlink" Target="https://twitter.com/ElinWaring/status/702469536780591104" TargetMode="External"/><Relationship Id="rId4727" Type="http://schemas.openxmlformats.org/officeDocument/2006/relationships/hyperlink" Target="https://twitter.com/Rbloggers/status/702470631963557888" TargetMode="External"/><Relationship Id="rId4726" Type="http://schemas.openxmlformats.org/officeDocument/2006/relationships/hyperlink" Target="https://twitter.com/Rbloggers" TargetMode="External"/><Relationship Id="rId4729" Type="http://schemas.openxmlformats.org/officeDocument/2006/relationships/hyperlink" Target="https://pbs.twimg.com/profile_images/502185985786916864/gkdFh-q7_normal.png" TargetMode="External"/><Relationship Id="rId4728" Type="http://schemas.openxmlformats.org/officeDocument/2006/relationships/hyperlink" Target="http://r-bloggers.com" TargetMode="External"/><Relationship Id="rId4721" Type="http://schemas.openxmlformats.org/officeDocument/2006/relationships/hyperlink" Target="https://twitter.com/jeffoscoulos/status/702467603546112000" TargetMode="External"/><Relationship Id="rId4720" Type="http://schemas.openxmlformats.org/officeDocument/2006/relationships/hyperlink" Target="https://twitter.com/jeffoscoulos" TargetMode="External"/><Relationship Id="rId4712" Type="http://schemas.openxmlformats.org/officeDocument/2006/relationships/hyperlink" Target="https://twitter.com/CRANberriesFeed/status/702466395959910405" TargetMode="External"/><Relationship Id="rId4711" Type="http://schemas.openxmlformats.org/officeDocument/2006/relationships/hyperlink" Target="https://twitter.com/CRANberriesFeed" TargetMode="External"/><Relationship Id="rId4714" Type="http://schemas.openxmlformats.org/officeDocument/2006/relationships/hyperlink" Target="https://twitter.com/CRANberriesFeed" TargetMode="External"/><Relationship Id="rId4713" Type="http://schemas.openxmlformats.org/officeDocument/2006/relationships/hyperlink" Target="https://pbs.twimg.com/profile_images/1222779560/cran1_normal.jpg" TargetMode="External"/><Relationship Id="rId4716" Type="http://schemas.openxmlformats.org/officeDocument/2006/relationships/hyperlink" Target="https://pbs.twimg.com/profile_images/1222779560/cran1_normal.jpg" TargetMode="External"/><Relationship Id="rId4715" Type="http://schemas.openxmlformats.org/officeDocument/2006/relationships/hyperlink" Target="https://twitter.com/CRANberriesFeed/status/702466436019658752" TargetMode="External"/><Relationship Id="rId4718" Type="http://schemas.openxmlformats.org/officeDocument/2006/relationships/hyperlink" Target="https://twitter.com/GRDumas/status/702467039747772416" TargetMode="External"/><Relationship Id="rId4717" Type="http://schemas.openxmlformats.org/officeDocument/2006/relationships/hyperlink" Target="https://twitter.com/GRDumas" TargetMode="External"/><Relationship Id="rId4719" Type="http://schemas.openxmlformats.org/officeDocument/2006/relationships/hyperlink" Target="https://pbs.twimg.com/profile_images/621905988619210752/osj3fItL_normal.jpg" TargetMode="External"/><Relationship Id="rId4710" Type="http://schemas.openxmlformats.org/officeDocument/2006/relationships/hyperlink" Target="https://pbs.twimg.com/profile_images/612471608725213184/eXKo2Kmo_normal.jpg" TargetMode="External"/><Relationship Id="rId3414" Type="http://schemas.openxmlformats.org/officeDocument/2006/relationships/hyperlink" Target="https://pbs.twimg.com/profile_images/641183991077445633/V7VcBpJI_normal.png" TargetMode="External"/><Relationship Id="rId4745" Type="http://schemas.openxmlformats.org/officeDocument/2006/relationships/hyperlink" Target="https://twitter.com/hrhotz" TargetMode="External"/><Relationship Id="rId3413" Type="http://schemas.openxmlformats.org/officeDocument/2006/relationships/hyperlink" Target="https://twitter.com/MangoTheCat/status/702161010451329026" TargetMode="External"/><Relationship Id="rId4744" Type="http://schemas.openxmlformats.org/officeDocument/2006/relationships/hyperlink" Target="https://pbs.twimg.com/profile_images/612471608725213184/eXKo2Kmo_normal.jpg" TargetMode="External"/><Relationship Id="rId3416" Type="http://schemas.openxmlformats.org/officeDocument/2006/relationships/hyperlink" Target="https://twitter.com/infotroph/status/702161455047520257" TargetMode="External"/><Relationship Id="rId4747" Type="http://schemas.openxmlformats.org/officeDocument/2006/relationships/hyperlink" Target="https://pbs.twimg.com/profile_images/459219127203164160/oglOcHsK_normal.jpeg" TargetMode="External"/><Relationship Id="rId3415" Type="http://schemas.openxmlformats.org/officeDocument/2006/relationships/hyperlink" Target="https://twitter.com/infotroph" TargetMode="External"/><Relationship Id="rId4746" Type="http://schemas.openxmlformats.org/officeDocument/2006/relationships/hyperlink" Target="https://twitter.com/hrhotz/status/702473554525351938" TargetMode="External"/><Relationship Id="rId3418" Type="http://schemas.openxmlformats.org/officeDocument/2006/relationships/hyperlink" Target="https://twitter.com/alex_filazzola" TargetMode="External"/><Relationship Id="rId4749" Type="http://schemas.openxmlformats.org/officeDocument/2006/relationships/hyperlink" Target="https://twitter.com/timelyportfolio/status/702473644165963776" TargetMode="External"/><Relationship Id="rId3417" Type="http://schemas.openxmlformats.org/officeDocument/2006/relationships/hyperlink" Target="https://pbs.twimg.com/profile_images/654666018296467456/9m3ijJ_Z_normal.jpg" TargetMode="External"/><Relationship Id="rId4748" Type="http://schemas.openxmlformats.org/officeDocument/2006/relationships/hyperlink" Target="https://twitter.com/timelyportfolio" TargetMode="External"/><Relationship Id="rId3419" Type="http://schemas.openxmlformats.org/officeDocument/2006/relationships/hyperlink" Target="https://twitter.com/alex_filazzola/status/702161889439121408" TargetMode="External"/><Relationship Id="rId3410" Type="http://schemas.openxmlformats.org/officeDocument/2006/relationships/hyperlink" Target="https://twitter.com/WebScraperDB/status/702160766514888704" TargetMode="External"/><Relationship Id="rId4741" Type="http://schemas.openxmlformats.org/officeDocument/2006/relationships/hyperlink" Target="https://pbs.twimg.com/profile_images/620523292890431488/zO_8FBhR_normal.png" TargetMode="External"/><Relationship Id="rId4740" Type="http://schemas.openxmlformats.org/officeDocument/2006/relationships/hyperlink" Target="https://twitter.com/PatrickLiyanage/status/702471749984768002" TargetMode="External"/><Relationship Id="rId3412" Type="http://schemas.openxmlformats.org/officeDocument/2006/relationships/hyperlink" Target="https://twitter.com/MangoTheCat" TargetMode="External"/><Relationship Id="rId4743" Type="http://schemas.openxmlformats.org/officeDocument/2006/relationships/hyperlink" Target="https://twitter.com/DataWookie/status/702472423589810178" TargetMode="External"/><Relationship Id="rId3411" Type="http://schemas.openxmlformats.org/officeDocument/2006/relationships/hyperlink" Target="https://pbs.twimg.com/profile_images/699545598450606080/s8CU8cVg_normal.png" TargetMode="External"/><Relationship Id="rId4742" Type="http://schemas.openxmlformats.org/officeDocument/2006/relationships/hyperlink" Target="https://twitter.com/DataWookie" TargetMode="External"/><Relationship Id="rId3403" Type="http://schemas.openxmlformats.org/officeDocument/2006/relationships/hyperlink" Target="https://twitter.com/hidroVis" TargetMode="External"/><Relationship Id="rId4734" Type="http://schemas.openxmlformats.org/officeDocument/2006/relationships/hyperlink" Target="https://twitter.com/renato_umeton/status/702470885853233152" TargetMode="External"/><Relationship Id="rId3402" Type="http://schemas.openxmlformats.org/officeDocument/2006/relationships/hyperlink" Target="https://pbs.twimg.com/profile_images/699545598450606080/s8CU8cVg_normal.png" TargetMode="External"/><Relationship Id="rId4733" Type="http://schemas.openxmlformats.org/officeDocument/2006/relationships/hyperlink" Target="https://twitter.com/renato_umeton" TargetMode="External"/><Relationship Id="rId3405" Type="http://schemas.openxmlformats.org/officeDocument/2006/relationships/hyperlink" Target="https://pbs.twimg.com/profile_images/605099917653241857/6ZOa_dHn_normal.jpg" TargetMode="External"/><Relationship Id="rId4736" Type="http://schemas.openxmlformats.org/officeDocument/2006/relationships/hyperlink" Target="https://twitter.com/NickUngson" TargetMode="External"/><Relationship Id="rId3404" Type="http://schemas.openxmlformats.org/officeDocument/2006/relationships/hyperlink" Target="https://twitter.com/hidroVis/status/702158503759187969" TargetMode="External"/><Relationship Id="rId4735" Type="http://schemas.openxmlformats.org/officeDocument/2006/relationships/hyperlink" Target="https://pbs.twimg.com/profile_images/701553083537604608/nr8b38eG_normal.jpg" TargetMode="External"/><Relationship Id="rId3407" Type="http://schemas.openxmlformats.org/officeDocument/2006/relationships/hyperlink" Target="https://twitter.com/nierhoff/status/702160755110584321" TargetMode="External"/><Relationship Id="rId4738" Type="http://schemas.openxmlformats.org/officeDocument/2006/relationships/hyperlink" Target="https://pbs.twimg.com/profile_images/500995924089245699/ZPg_mNR1_normal.jpeg" TargetMode="External"/><Relationship Id="rId3406" Type="http://schemas.openxmlformats.org/officeDocument/2006/relationships/hyperlink" Target="https://twitter.com/nierhoff" TargetMode="External"/><Relationship Id="rId4737" Type="http://schemas.openxmlformats.org/officeDocument/2006/relationships/hyperlink" Target="https://twitter.com/NickUngson/status/702470893218492416" TargetMode="External"/><Relationship Id="rId3409" Type="http://schemas.openxmlformats.org/officeDocument/2006/relationships/hyperlink" Target="https://twitter.com/WebScraperDB" TargetMode="External"/><Relationship Id="rId3408" Type="http://schemas.openxmlformats.org/officeDocument/2006/relationships/hyperlink" Target="https://pbs.twimg.com/profile_images/466323009796456448/toIsECgZ_normal.jpeg" TargetMode="External"/><Relationship Id="rId4739" Type="http://schemas.openxmlformats.org/officeDocument/2006/relationships/hyperlink" Target="https://twitter.com/PatrickLiyanage" TargetMode="External"/><Relationship Id="rId4730" Type="http://schemas.openxmlformats.org/officeDocument/2006/relationships/hyperlink" Target="https://twitter.com/FanninQED" TargetMode="External"/><Relationship Id="rId3401" Type="http://schemas.openxmlformats.org/officeDocument/2006/relationships/hyperlink" Target="https://twitter.com/WebScraperDB/status/702156922280091648" TargetMode="External"/><Relationship Id="rId4732" Type="http://schemas.openxmlformats.org/officeDocument/2006/relationships/hyperlink" Target="https://pbs.twimg.com/profile_images/378800000464374387/a3cc80ecc77f4c5c01cfb71c3dfd6371_normal.jpeg" TargetMode="External"/><Relationship Id="rId3400" Type="http://schemas.openxmlformats.org/officeDocument/2006/relationships/hyperlink" Target="https://twitter.com/WebScraperDB" TargetMode="External"/><Relationship Id="rId4731" Type="http://schemas.openxmlformats.org/officeDocument/2006/relationships/hyperlink" Target="https://twitter.com/FanninQED/status/702470734535217152" TargetMode="External"/><Relationship Id="rId8291" Type="http://schemas.openxmlformats.org/officeDocument/2006/relationships/hyperlink" Target="https://pbs.twimg.com/profile_images/587187329934032897/ba7oP58d_normal.jpg" TargetMode="External"/><Relationship Id="rId8290" Type="http://schemas.openxmlformats.org/officeDocument/2006/relationships/hyperlink" Target="https://twitter.com/zentree/status/703115535140069376" TargetMode="External"/><Relationship Id="rId8284" Type="http://schemas.openxmlformats.org/officeDocument/2006/relationships/hyperlink" Target="https://twitter.com/homeAIinfo/status/703114431434137601" TargetMode="External"/><Relationship Id="rId8283" Type="http://schemas.openxmlformats.org/officeDocument/2006/relationships/hyperlink" Target="https://twitter.com/homeAIinfo" TargetMode="External"/><Relationship Id="rId8282" Type="http://schemas.openxmlformats.org/officeDocument/2006/relationships/hyperlink" Target="https://pbs.twimg.com/profile_images/623587296542109696/k32eU-yR_normal.jpg" TargetMode="External"/><Relationship Id="rId8281" Type="http://schemas.openxmlformats.org/officeDocument/2006/relationships/hyperlink" Target="https://twitter.com/JoshRosenau/status/703114168170258436" TargetMode="External"/><Relationship Id="rId8288" Type="http://schemas.openxmlformats.org/officeDocument/2006/relationships/hyperlink" Target="https://pbs.twimg.com/profile_images/623587296542109696/k32eU-yR_normal.jpg" TargetMode="External"/><Relationship Id="rId8287" Type="http://schemas.openxmlformats.org/officeDocument/2006/relationships/hyperlink" Target="https://twitter.com/JoshRosenau/status/703114456545361920" TargetMode="External"/><Relationship Id="rId8286" Type="http://schemas.openxmlformats.org/officeDocument/2006/relationships/hyperlink" Target="https://twitter.com/JoshRosenau" TargetMode="External"/><Relationship Id="rId8285" Type="http://schemas.openxmlformats.org/officeDocument/2006/relationships/hyperlink" Target="https://pbs.twimg.com/profile_images/645650110374936580/-oQakt8x_normal.png" TargetMode="External"/><Relationship Id="rId8289" Type="http://schemas.openxmlformats.org/officeDocument/2006/relationships/hyperlink" Target="https://twitter.com/zentree" TargetMode="External"/><Relationship Id="rId8280" Type="http://schemas.openxmlformats.org/officeDocument/2006/relationships/hyperlink" Target="https://twitter.com/JoshRosenau" TargetMode="External"/><Relationship Id="rId8273" Type="http://schemas.openxmlformats.org/officeDocument/2006/relationships/hyperlink" Target="https://pbs.twimg.com/profile_images/624292977/twitterProfilePhoto_normal.jpg" TargetMode="External"/><Relationship Id="rId8272" Type="http://schemas.openxmlformats.org/officeDocument/2006/relationships/hyperlink" Target="https://twitter.com/BobOHara/status/703113468031840256" TargetMode="External"/><Relationship Id="rId8271" Type="http://schemas.openxmlformats.org/officeDocument/2006/relationships/hyperlink" Target="https://twitter.com/BobOHara" TargetMode="External"/><Relationship Id="rId8270" Type="http://schemas.openxmlformats.org/officeDocument/2006/relationships/hyperlink" Target="https://pbs.twimg.com/profile_images/624292977/twitterProfilePhoto_normal.jpg" TargetMode="External"/><Relationship Id="rId8277" Type="http://schemas.openxmlformats.org/officeDocument/2006/relationships/hyperlink" Target="https://twitter.com/hedizaher" TargetMode="External"/><Relationship Id="rId8276" Type="http://schemas.openxmlformats.org/officeDocument/2006/relationships/hyperlink" Target="https://pbs.twimg.com/profile_images/624292977/twitterProfilePhoto_normal.jpg" TargetMode="External"/><Relationship Id="rId8275" Type="http://schemas.openxmlformats.org/officeDocument/2006/relationships/hyperlink" Target="https://twitter.com/BobOHara/status/703113902754693121" TargetMode="External"/><Relationship Id="rId8274" Type="http://schemas.openxmlformats.org/officeDocument/2006/relationships/hyperlink" Target="https://twitter.com/BobOHara" TargetMode="External"/><Relationship Id="rId8279" Type="http://schemas.openxmlformats.org/officeDocument/2006/relationships/hyperlink" Target="https://pbs.twimg.com/profile_images/512155632074379264/FVsX1WSp_normal.jpeg" TargetMode="External"/><Relationship Id="rId8278" Type="http://schemas.openxmlformats.org/officeDocument/2006/relationships/hyperlink" Target="https://twitter.com/hedizaher/status/703113949802164224" TargetMode="External"/><Relationship Id="rId4701" Type="http://schemas.openxmlformats.org/officeDocument/2006/relationships/hyperlink" Target="https://pbs.twimg.com/profile_images/544229028/1445949_normal.jpg" TargetMode="External"/><Relationship Id="rId4700" Type="http://schemas.openxmlformats.org/officeDocument/2006/relationships/hyperlink" Target="https://twitter.com/mottarafael/status/702463373422829568" TargetMode="External"/><Relationship Id="rId4703" Type="http://schemas.openxmlformats.org/officeDocument/2006/relationships/hyperlink" Target="https://twitter.com/romunov/status/702463838780825600" TargetMode="External"/><Relationship Id="rId4702" Type="http://schemas.openxmlformats.org/officeDocument/2006/relationships/hyperlink" Target="https://twitter.com/romunov" TargetMode="External"/><Relationship Id="rId4705" Type="http://schemas.openxmlformats.org/officeDocument/2006/relationships/hyperlink" Target="https://twitter.com/tmickael" TargetMode="External"/><Relationship Id="rId4704" Type="http://schemas.openxmlformats.org/officeDocument/2006/relationships/hyperlink" Target="https://pbs.twimg.com/profile_images/3045897840/8582c38918fed1ac9fb9ddd4e4a9a26d_normal.jpeg" TargetMode="External"/><Relationship Id="rId4707" Type="http://schemas.openxmlformats.org/officeDocument/2006/relationships/hyperlink" Target="https://pbs.twimg.com/profile_images/674249951770099713/rIcQu2EN_normal.jpg" TargetMode="External"/><Relationship Id="rId4706" Type="http://schemas.openxmlformats.org/officeDocument/2006/relationships/hyperlink" Target="https://twitter.com/tmickael/status/702464727407063041" TargetMode="External"/><Relationship Id="rId4709" Type="http://schemas.openxmlformats.org/officeDocument/2006/relationships/hyperlink" Target="https://twitter.com/DataWookie/status/702465619594096640" TargetMode="External"/><Relationship Id="rId4708" Type="http://schemas.openxmlformats.org/officeDocument/2006/relationships/hyperlink" Target="https://twitter.com/DataWookie" TargetMode="External"/><Relationship Id="rId8295" Type="http://schemas.openxmlformats.org/officeDocument/2006/relationships/hyperlink" Target="https://twitter.com/OlegR" TargetMode="External"/><Relationship Id="rId8294" Type="http://schemas.openxmlformats.org/officeDocument/2006/relationships/hyperlink" Target="https://pbs.twimg.com/profile_images/3470870546/92ce8b9716148e5529ec548b740c9992_normal.jpeg" TargetMode="External"/><Relationship Id="rId8293" Type="http://schemas.openxmlformats.org/officeDocument/2006/relationships/hyperlink" Target="https://twitter.com/BarbaraJax/status/703118720776810497" TargetMode="External"/><Relationship Id="rId8292" Type="http://schemas.openxmlformats.org/officeDocument/2006/relationships/hyperlink" Target="https://twitter.com/BarbaraJax" TargetMode="External"/><Relationship Id="rId8299" Type="http://schemas.openxmlformats.org/officeDocument/2006/relationships/hyperlink" Target="https://twitter.com/borlafgis/status/703119486883246080" TargetMode="External"/><Relationship Id="rId8298" Type="http://schemas.openxmlformats.org/officeDocument/2006/relationships/hyperlink" Target="https://twitter.com/borlafgis" TargetMode="External"/><Relationship Id="rId8297" Type="http://schemas.openxmlformats.org/officeDocument/2006/relationships/hyperlink" Target="https://pbs.twimg.com/profile_images/378800000301017700/819f65befc9c0635b63e0d7c47134947_normal.png" TargetMode="External"/><Relationship Id="rId8296" Type="http://schemas.openxmlformats.org/officeDocument/2006/relationships/hyperlink" Target="https://twitter.com/OlegR/status/703119067343749123" TargetMode="External"/><Relationship Id="rId2148" Type="http://schemas.openxmlformats.org/officeDocument/2006/relationships/hyperlink" Target="https://twitter.com/LauraParnas" TargetMode="External"/><Relationship Id="rId2149" Type="http://schemas.openxmlformats.org/officeDocument/2006/relationships/hyperlink" Target="https://twitter.com/LauraParnas/status/701846431464689664" TargetMode="External"/><Relationship Id="rId3479" Type="http://schemas.openxmlformats.org/officeDocument/2006/relationships/hyperlink" Target="https://pbs.twimg.com/profile_images/675442704877228032/oce3K-Od_normal.jpg" TargetMode="External"/><Relationship Id="rId3470" Type="http://schemas.openxmlformats.org/officeDocument/2006/relationships/hyperlink" Target="https://pbs.twimg.com/profile_images/612471608725213184/eXKo2Kmo_normal.jpg" TargetMode="External"/><Relationship Id="rId2140" Type="http://schemas.openxmlformats.org/officeDocument/2006/relationships/hyperlink" Target="https://twitter.com/josefslerka/status/701845248872476672" TargetMode="External"/><Relationship Id="rId3472" Type="http://schemas.openxmlformats.org/officeDocument/2006/relationships/hyperlink" Target="https://twitter.com/daniel_storage/status/702170426827534336" TargetMode="External"/><Relationship Id="rId2141" Type="http://schemas.openxmlformats.org/officeDocument/2006/relationships/hyperlink" Target="https://pbs.twimg.com/profile_images/517385985311531009/wvYbiySo_normal.jpeg" TargetMode="External"/><Relationship Id="rId3471" Type="http://schemas.openxmlformats.org/officeDocument/2006/relationships/hyperlink" Target="https://twitter.com/daniel_storage" TargetMode="External"/><Relationship Id="rId2142" Type="http://schemas.openxmlformats.org/officeDocument/2006/relationships/hyperlink" Target="https://twitter.com/andremrsantos" TargetMode="External"/><Relationship Id="rId3474" Type="http://schemas.openxmlformats.org/officeDocument/2006/relationships/hyperlink" Target="https://twitter.com/DataWookie" TargetMode="External"/><Relationship Id="rId2143" Type="http://schemas.openxmlformats.org/officeDocument/2006/relationships/hyperlink" Target="https://twitter.com/andremrsantos/status/701845747499556864" TargetMode="External"/><Relationship Id="rId3473" Type="http://schemas.openxmlformats.org/officeDocument/2006/relationships/hyperlink" Target="https://pbs.twimg.com/profile_images/700379606008905728/nB8LK_HN_normal.jpg" TargetMode="External"/><Relationship Id="rId2144" Type="http://schemas.openxmlformats.org/officeDocument/2006/relationships/hyperlink" Target="https://pbs.twimg.com/profile_images/533621680086999041/Ge5q8jZ5_normal.jpeg" TargetMode="External"/><Relationship Id="rId3476" Type="http://schemas.openxmlformats.org/officeDocument/2006/relationships/hyperlink" Target="https://pbs.twimg.com/profile_images/612471608725213184/eXKo2Kmo_normal.jpg" TargetMode="External"/><Relationship Id="rId2145" Type="http://schemas.openxmlformats.org/officeDocument/2006/relationships/hyperlink" Target="https://twitter.com/ThugMetrics" TargetMode="External"/><Relationship Id="rId3475" Type="http://schemas.openxmlformats.org/officeDocument/2006/relationships/hyperlink" Target="https://twitter.com/DataWookie/status/702170620071510017" TargetMode="External"/><Relationship Id="rId2146" Type="http://schemas.openxmlformats.org/officeDocument/2006/relationships/hyperlink" Target="https://twitter.com/ThugMetrics/status/701845824075120640" TargetMode="External"/><Relationship Id="rId3478" Type="http://schemas.openxmlformats.org/officeDocument/2006/relationships/hyperlink" Target="https://twitter.com/capichoni/status/702170632574935042" TargetMode="External"/><Relationship Id="rId2147" Type="http://schemas.openxmlformats.org/officeDocument/2006/relationships/hyperlink" Target="https://pbs.twimg.com/profile_images/545309149953667072/f3IMwCEc_normal.jpeg" TargetMode="External"/><Relationship Id="rId3477" Type="http://schemas.openxmlformats.org/officeDocument/2006/relationships/hyperlink" Target="https://twitter.com/capichoni" TargetMode="External"/><Relationship Id="rId2137" Type="http://schemas.openxmlformats.org/officeDocument/2006/relationships/hyperlink" Target="https://twitter.com/scripterAnon/status/701844865017991168" TargetMode="External"/><Relationship Id="rId3469" Type="http://schemas.openxmlformats.org/officeDocument/2006/relationships/hyperlink" Target="https://twitter.com/DataWookie/status/702170324683501568" TargetMode="External"/><Relationship Id="rId2138" Type="http://schemas.openxmlformats.org/officeDocument/2006/relationships/hyperlink" Target="https://pbs.twimg.com/profile_images/594801770414518272/4LKsLLI2_normal.jpg" TargetMode="External"/><Relationship Id="rId3468" Type="http://schemas.openxmlformats.org/officeDocument/2006/relationships/hyperlink" Target="https://twitter.com/DataWookie" TargetMode="External"/><Relationship Id="rId4799" Type="http://schemas.openxmlformats.org/officeDocument/2006/relationships/hyperlink" Target="https://twitter.com/ErmiaBivatan" TargetMode="External"/><Relationship Id="rId2139" Type="http://schemas.openxmlformats.org/officeDocument/2006/relationships/hyperlink" Target="https://twitter.com/josefslerka" TargetMode="External"/><Relationship Id="rId4790" Type="http://schemas.openxmlformats.org/officeDocument/2006/relationships/hyperlink" Target="https://twitter.com/mdshw5" TargetMode="External"/><Relationship Id="rId3461" Type="http://schemas.openxmlformats.org/officeDocument/2006/relationships/hyperlink" Target="https://pbs.twimg.com/profile_images/1598890352/DSC01244_2_normal.jpg" TargetMode="External"/><Relationship Id="rId4792" Type="http://schemas.openxmlformats.org/officeDocument/2006/relationships/hyperlink" Target="https://pbs.twimg.com/profile_images/473860930099351552/UX-vhJK8_normal.jpeg" TargetMode="External"/><Relationship Id="rId2130" Type="http://schemas.openxmlformats.org/officeDocument/2006/relationships/hyperlink" Target="https://twitter.com/timknut" TargetMode="External"/><Relationship Id="rId3460" Type="http://schemas.openxmlformats.org/officeDocument/2006/relationships/hyperlink" Target="https://twitter.com/druau/status/702168589990805507" TargetMode="External"/><Relationship Id="rId4791" Type="http://schemas.openxmlformats.org/officeDocument/2006/relationships/hyperlink" Target="https://twitter.com/mdshw5/status/702481403489984512" TargetMode="External"/><Relationship Id="rId2131" Type="http://schemas.openxmlformats.org/officeDocument/2006/relationships/hyperlink" Target="https://twitter.com/timknut/status/701844461794545664" TargetMode="External"/><Relationship Id="rId3463" Type="http://schemas.openxmlformats.org/officeDocument/2006/relationships/hyperlink" Target="https://twitter.com/nekrum/status/702168866449805314" TargetMode="External"/><Relationship Id="rId4794" Type="http://schemas.openxmlformats.org/officeDocument/2006/relationships/hyperlink" Target="https://twitter.com/mdshw5/status/702481544326332416" TargetMode="External"/><Relationship Id="rId2132" Type="http://schemas.openxmlformats.org/officeDocument/2006/relationships/hyperlink" Target="https://pbs.twimg.com/profile_images/555266712694566912/nVv5Pc3W_normal.jpeg" TargetMode="External"/><Relationship Id="rId3462" Type="http://schemas.openxmlformats.org/officeDocument/2006/relationships/hyperlink" Target="https://twitter.com/nekrum" TargetMode="External"/><Relationship Id="rId4793" Type="http://schemas.openxmlformats.org/officeDocument/2006/relationships/hyperlink" Target="https://twitter.com/mdshw5" TargetMode="External"/><Relationship Id="rId2133" Type="http://schemas.openxmlformats.org/officeDocument/2006/relationships/hyperlink" Target="https://twitter.com/DataAndDataViz" TargetMode="External"/><Relationship Id="rId3465" Type="http://schemas.openxmlformats.org/officeDocument/2006/relationships/hyperlink" Target="https://twitter.com/jonesor" TargetMode="External"/><Relationship Id="rId4796" Type="http://schemas.openxmlformats.org/officeDocument/2006/relationships/hyperlink" Target="https://twitter.com/jjstache" TargetMode="External"/><Relationship Id="rId2134" Type="http://schemas.openxmlformats.org/officeDocument/2006/relationships/hyperlink" Target="https://twitter.com/DataAndDataViz/status/701844516626628613" TargetMode="External"/><Relationship Id="rId3464" Type="http://schemas.openxmlformats.org/officeDocument/2006/relationships/hyperlink" Target="https://pbs.twimg.com/profile_images/119769350/logo-azul-blanco_normal.png" TargetMode="External"/><Relationship Id="rId4795" Type="http://schemas.openxmlformats.org/officeDocument/2006/relationships/hyperlink" Target="https://pbs.twimg.com/profile_images/473860930099351552/UX-vhJK8_normal.jpeg" TargetMode="External"/><Relationship Id="rId2135" Type="http://schemas.openxmlformats.org/officeDocument/2006/relationships/hyperlink" Target="https://pbs.twimg.com/profile_images/412249095110008832/J_K4--iQ_normal.png" TargetMode="External"/><Relationship Id="rId3467" Type="http://schemas.openxmlformats.org/officeDocument/2006/relationships/hyperlink" Target="https://pbs.twimg.com/profile_images/583641832975945728/1K2ySb5m_normal.jpg" TargetMode="External"/><Relationship Id="rId4798" Type="http://schemas.openxmlformats.org/officeDocument/2006/relationships/hyperlink" Target="https://pbs.twimg.com/profile_images/574402802732003329/6xGdxR4M_normal.jpeg" TargetMode="External"/><Relationship Id="rId2136" Type="http://schemas.openxmlformats.org/officeDocument/2006/relationships/hyperlink" Target="https://twitter.com/scripterAnon" TargetMode="External"/><Relationship Id="rId3466" Type="http://schemas.openxmlformats.org/officeDocument/2006/relationships/hyperlink" Target="https://twitter.com/jonesor/status/702169980641607685" TargetMode="External"/><Relationship Id="rId4797" Type="http://schemas.openxmlformats.org/officeDocument/2006/relationships/hyperlink" Target="https://twitter.com/jjstache/status/702482317437173760" TargetMode="External"/><Relationship Id="rId3490" Type="http://schemas.openxmlformats.org/officeDocument/2006/relationships/hyperlink" Target="https://twitter.com/OrogenesisVe/status/702171871882649603" TargetMode="External"/><Relationship Id="rId2160" Type="http://schemas.openxmlformats.org/officeDocument/2006/relationships/hyperlink" Target="https://pbs.twimg.com/profile_images/506157871524892672/wXzYotsK_normal.jpeg" TargetMode="External"/><Relationship Id="rId3492" Type="http://schemas.openxmlformats.org/officeDocument/2006/relationships/hyperlink" Target="https://twitter.com/homeAIinfo" TargetMode="External"/><Relationship Id="rId2161" Type="http://schemas.openxmlformats.org/officeDocument/2006/relationships/hyperlink" Target="https://twitter.com/flicsplatt" TargetMode="External"/><Relationship Id="rId3491" Type="http://schemas.openxmlformats.org/officeDocument/2006/relationships/hyperlink" Target="https://pbs.twimg.com/profile_images/637646303841882112/BErzAEjd_normal.jpg" TargetMode="External"/><Relationship Id="rId2162" Type="http://schemas.openxmlformats.org/officeDocument/2006/relationships/hyperlink" Target="https://twitter.com/flicsplatt/status/701846761057325056" TargetMode="External"/><Relationship Id="rId3494" Type="http://schemas.openxmlformats.org/officeDocument/2006/relationships/hyperlink" Target="https://pbs.twimg.com/profile_images/645650110374936580/-oQakt8x_normal.png" TargetMode="External"/><Relationship Id="rId2163" Type="http://schemas.openxmlformats.org/officeDocument/2006/relationships/hyperlink" Target="https://pbs.twimg.com/profile_images/538491975612116992/LWjDiND2_normal.jpeg" TargetMode="External"/><Relationship Id="rId3493" Type="http://schemas.openxmlformats.org/officeDocument/2006/relationships/hyperlink" Target="https://twitter.com/homeAIinfo/status/702171872704774144" TargetMode="External"/><Relationship Id="rId2164" Type="http://schemas.openxmlformats.org/officeDocument/2006/relationships/hyperlink" Target="https://twitter.com/eFe_Gil" TargetMode="External"/><Relationship Id="rId3496" Type="http://schemas.openxmlformats.org/officeDocument/2006/relationships/hyperlink" Target="https://twitter.com/Rbloggers/status/702173645452345345" TargetMode="External"/><Relationship Id="rId2165" Type="http://schemas.openxmlformats.org/officeDocument/2006/relationships/hyperlink" Target="https://twitter.com/eFe_Gil/status/701848039170961410" TargetMode="External"/><Relationship Id="rId3495" Type="http://schemas.openxmlformats.org/officeDocument/2006/relationships/hyperlink" Target="https://twitter.com/Rbloggers" TargetMode="External"/><Relationship Id="rId2166" Type="http://schemas.openxmlformats.org/officeDocument/2006/relationships/hyperlink" Target="https://pbs.twimg.com/profile_images/674700358166388736/pWBofWfu_normal.jpg" TargetMode="External"/><Relationship Id="rId3498" Type="http://schemas.openxmlformats.org/officeDocument/2006/relationships/hyperlink" Target="https://pbs.twimg.com/profile_images/502185985786916864/gkdFh-q7_normal.png" TargetMode="External"/><Relationship Id="rId2167" Type="http://schemas.openxmlformats.org/officeDocument/2006/relationships/hyperlink" Target="https://twitter.com/Apex_Herbivore" TargetMode="External"/><Relationship Id="rId3497" Type="http://schemas.openxmlformats.org/officeDocument/2006/relationships/hyperlink" Target="http://r-bloggers.com" TargetMode="External"/><Relationship Id="rId2168" Type="http://schemas.openxmlformats.org/officeDocument/2006/relationships/hyperlink" Target="https://twitter.com/Apex_Herbivore/status/701848540302196738" TargetMode="External"/><Relationship Id="rId2169" Type="http://schemas.openxmlformats.org/officeDocument/2006/relationships/hyperlink" Target="https://pbs.twimg.com/profile_images/693920729134292992/J4YLPA-y_normal.jpg" TargetMode="External"/><Relationship Id="rId3499" Type="http://schemas.openxmlformats.org/officeDocument/2006/relationships/hyperlink" Target="https://twitter.com/mj_kallen" TargetMode="External"/><Relationship Id="rId2159" Type="http://schemas.openxmlformats.org/officeDocument/2006/relationships/hyperlink" Target="http://facebook.com/ingeorrecursos" TargetMode="External"/><Relationship Id="rId3481" Type="http://schemas.openxmlformats.org/officeDocument/2006/relationships/hyperlink" Target="https://twitter.com/AndrewBaidu/status/702170638132314112" TargetMode="External"/><Relationship Id="rId2150" Type="http://schemas.openxmlformats.org/officeDocument/2006/relationships/hyperlink" Target="https://pbs.twimg.com/profile_images/378800000101209325/104b0862260e885614912cbe8630cb21_normal.jpeg" TargetMode="External"/><Relationship Id="rId3480" Type="http://schemas.openxmlformats.org/officeDocument/2006/relationships/hyperlink" Target="https://twitter.com/AndrewBaidu" TargetMode="External"/><Relationship Id="rId2151" Type="http://schemas.openxmlformats.org/officeDocument/2006/relationships/hyperlink" Target="https://twitter.com/rineybrand" TargetMode="External"/><Relationship Id="rId3483" Type="http://schemas.openxmlformats.org/officeDocument/2006/relationships/hyperlink" Target="https://twitter.com/DataWookie" TargetMode="External"/><Relationship Id="rId2152" Type="http://schemas.openxmlformats.org/officeDocument/2006/relationships/hyperlink" Target="https://twitter.com/rineybrand/status/701846532870512641" TargetMode="External"/><Relationship Id="rId3482" Type="http://schemas.openxmlformats.org/officeDocument/2006/relationships/hyperlink" Target="https://pbs.twimg.com/profile_images/632743976785735682/CfTy63Eb_normal.jpg" TargetMode="External"/><Relationship Id="rId2153" Type="http://schemas.openxmlformats.org/officeDocument/2006/relationships/hyperlink" Target="https://pbs.twimg.com/profile_images/488632924711825409/3juQVfxe_normal.jpeg" TargetMode="External"/><Relationship Id="rId3485" Type="http://schemas.openxmlformats.org/officeDocument/2006/relationships/hyperlink" Target="https://pbs.twimg.com/profile_images/612471608725213184/eXKo2Kmo_normal.jpg" TargetMode="External"/><Relationship Id="rId2154" Type="http://schemas.openxmlformats.org/officeDocument/2006/relationships/hyperlink" Target="https://twitter.com/tomhouslay" TargetMode="External"/><Relationship Id="rId3484" Type="http://schemas.openxmlformats.org/officeDocument/2006/relationships/hyperlink" Target="https://twitter.com/DataWookie/status/702170939635552256" TargetMode="External"/><Relationship Id="rId2155" Type="http://schemas.openxmlformats.org/officeDocument/2006/relationships/hyperlink" Target="https://twitter.com/tomhouslay/status/701846594711379968" TargetMode="External"/><Relationship Id="rId3487" Type="http://schemas.openxmlformats.org/officeDocument/2006/relationships/hyperlink" Target="https://twitter.com/DataWookie/status/702171161912676352" TargetMode="External"/><Relationship Id="rId2156" Type="http://schemas.openxmlformats.org/officeDocument/2006/relationships/hyperlink" Target="https://pbs.twimg.com/profile_images/701901513392717824/lUzJ39G2_normal.png" TargetMode="External"/><Relationship Id="rId3486" Type="http://schemas.openxmlformats.org/officeDocument/2006/relationships/hyperlink" Target="https://twitter.com/DataWookie" TargetMode="External"/><Relationship Id="rId2157" Type="http://schemas.openxmlformats.org/officeDocument/2006/relationships/hyperlink" Target="https://twitter.com/JaviStem" TargetMode="External"/><Relationship Id="rId3489" Type="http://schemas.openxmlformats.org/officeDocument/2006/relationships/hyperlink" Target="https://twitter.com/OrogenesisVe" TargetMode="External"/><Relationship Id="rId2158" Type="http://schemas.openxmlformats.org/officeDocument/2006/relationships/hyperlink" Target="https://twitter.com/JaviStem/status/701846668266840064" TargetMode="External"/><Relationship Id="rId3488" Type="http://schemas.openxmlformats.org/officeDocument/2006/relationships/hyperlink" Target="https://pbs.twimg.com/profile_images/612471608725213184/eXKo2Kmo_normal.jpg" TargetMode="External"/><Relationship Id="rId2104" Type="http://schemas.openxmlformats.org/officeDocument/2006/relationships/hyperlink" Target="https://twitter.com/salvag63/status/701842775461994496" TargetMode="External"/><Relationship Id="rId3436" Type="http://schemas.openxmlformats.org/officeDocument/2006/relationships/hyperlink" Target="https://twitter.com/KirkwoodLab/status/702163425724465152" TargetMode="External"/><Relationship Id="rId4767" Type="http://schemas.openxmlformats.org/officeDocument/2006/relationships/hyperlink" Target="https://twitter.com/alf_crisci/status/702476490919833600" TargetMode="External"/><Relationship Id="rId2105" Type="http://schemas.openxmlformats.org/officeDocument/2006/relationships/hyperlink" Target="https://pbs.twimg.com/profile_images/234609034/Press4_normal.jpg" TargetMode="External"/><Relationship Id="rId3435" Type="http://schemas.openxmlformats.org/officeDocument/2006/relationships/hyperlink" Target="https://twitter.com/KirkwoodLab" TargetMode="External"/><Relationship Id="rId4766" Type="http://schemas.openxmlformats.org/officeDocument/2006/relationships/hyperlink" Target="https://twitter.com/alf_crisci" TargetMode="External"/><Relationship Id="rId2106" Type="http://schemas.openxmlformats.org/officeDocument/2006/relationships/hyperlink" Target="https://twitter.com/hadleywickham" TargetMode="External"/><Relationship Id="rId3438" Type="http://schemas.openxmlformats.org/officeDocument/2006/relationships/hyperlink" Target="https://twitter.com/JaySun_Bee" TargetMode="External"/><Relationship Id="rId4769" Type="http://schemas.openxmlformats.org/officeDocument/2006/relationships/hyperlink" Target="https://twitter.com/wrgarciag" TargetMode="External"/><Relationship Id="rId2107" Type="http://schemas.openxmlformats.org/officeDocument/2006/relationships/hyperlink" Target="https://twitter.com/hadleywickham/status/701842844353335296" TargetMode="External"/><Relationship Id="rId3437" Type="http://schemas.openxmlformats.org/officeDocument/2006/relationships/hyperlink" Target="https://pbs.twimg.com/profile_images/687474809677201408/qnWJGIo-_normal.jpg" TargetMode="External"/><Relationship Id="rId4768" Type="http://schemas.openxmlformats.org/officeDocument/2006/relationships/hyperlink" Target="https://pbs.twimg.com/profile_images/593860929454022656/8Wr0gd9g_normal.jpg" TargetMode="External"/><Relationship Id="rId2108" Type="http://schemas.openxmlformats.org/officeDocument/2006/relationships/hyperlink" Target="https://pbs.twimg.com/profile_images/677589103710306304/m56O6Wgf_normal.jpg" TargetMode="External"/><Relationship Id="rId2109" Type="http://schemas.openxmlformats.org/officeDocument/2006/relationships/hyperlink" Target="https://twitter.com/Oreotrephes" TargetMode="External"/><Relationship Id="rId3439" Type="http://schemas.openxmlformats.org/officeDocument/2006/relationships/hyperlink" Target="https://twitter.com/JaySun_Bee/status/702164218431328257" TargetMode="External"/><Relationship Id="rId3430" Type="http://schemas.openxmlformats.org/officeDocument/2006/relationships/hyperlink" Target="https://twitter.com/RProgramming/status/702162669374033920" TargetMode="External"/><Relationship Id="rId4761" Type="http://schemas.openxmlformats.org/officeDocument/2006/relationships/hyperlink" Target="https://twitter.com/Pvalsfr/status/702475382239453184" TargetMode="External"/><Relationship Id="rId4760" Type="http://schemas.openxmlformats.org/officeDocument/2006/relationships/hyperlink" Target="https://twitter.com/Pvalsfr" TargetMode="External"/><Relationship Id="rId2100" Type="http://schemas.openxmlformats.org/officeDocument/2006/relationships/hyperlink" Target="https://twitter.com/SHaymondSays" TargetMode="External"/><Relationship Id="rId3432" Type="http://schemas.openxmlformats.org/officeDocument/2006/relationships/hyperlink" Target="https://twitter.com/BenBondLamberty" TargetMode="External"/><Relationship Id="rId4763" Type="http://schemas.openxmlformats.org/officeDocument/2006/relationships/hyperlink" Target="https://twitter.com/marvin_dpr" TargetMode="External"/><Relationship Id="rId2101" Type="http://schemas.openxmlformats.org/officeDocument/2006/relationships/hyperlink" Target="https://twitter.com/SHaymondSays/status/701842709439340545" TargetMode="External"/><Relationship Id="rId3431" Type="http://schemas.openxmlformats.org/officeDocument/2006/relationships/hyperlink" Target="https://pbs.twimg.com/profile_images/696056897560915969/XpPGOuAf_normal.png" TargetMode="External"/><Relationship Id="rId4762" Type="http://schemas.openxmlformats.org/officeDocument/2006/relationships/hyperlink" Target="https://abs.twimg.com/sticky/default_profile_images/default_profile_4_normal.png" TargetMode="External"/><Relationship Id="rId2102" Type="http://schemas.openxmlformats.org/officeDocument/2006/relationships/hyperlink" Target="https://pbs.twimg.com/profile_images/599430288423260160/6jvdvVQg_normal.jpg" TargetMode="External"/><Relationship Id="rId3434" Type="http://schemas.openxmlformats.org/officeDocument/2006/relationships/hyperlink" Target="https://pbs.twimg.com/profile_images/378800000379904772/a5a32945f329f35a345b28adfa8fe081_normal.png" TargetMode="External"/><Relationship Id="rId4765" Type="http://schemas.openxmlformats.org/officeDocument/2006/relationships/hyperlink" Target="https://pbs.twimg.com/profile_images/689731265419960320/U7J19j40_normal.png" TargetMode="External"/><Relationship Id="rId2103" Type="http://schemas.openxmlformats.org/officeDocument/2006/relationships/hyperlink" Target="https://twitter.com/salvag63" TargetMode="External"/><Relationship Id="rId3433" Type="http://schemas.openxmlformats.org/officeDocument/2006/relationships/hyperlink" Target="https://twitter.com/BenBondLamberty/status/702162797862510596" TargetMode="External"/><Relationship Id="rId4764" Type="http://schemas.openxmlformats.org/officeDocument/2006/relationships/hyperlink" Target="https://twitter.com/marvin_dpr/status/702475904816177153" TargetMode="External"/><Relationship Id="rId3425" Type="http://schemas.openxmlformats.org/officeDocument/2006/relationships/hyperlink" Target="https://twitter.com/Rbloggers/status/702162310228348928" TargetMode="External"/><Relationship Id="rId4756" Type="http://schemas.openxmlformats.org/officeDocument/2006/relationships/hyperlink" Target="https://pbs.twimg.com/profile_images/680796333460959232/CzoFZb76_normal.jpg" TargetMode="External"/><Relationship Id="rId3424" Type="http://schemas.openxmlformats.org/officeDocument/2006/relationships/hyperlink" Target="https://twitter.com/Rbloggers" TargetMode="External"/><Relationship Id="rId4755" Type="http://schemas.openxmlformats.org/officeDocument/2006/relationships/hyperlink" Target="https://twitter.com/kwbroman/status/702474518485295104" TargetMode="External"/><Relationship Id="rId3427" Type="http://schemas.openxmlformats.org/officeDocument/2006/relationships/hyperlink" Target="https://pbs.twimg.com/profile_images/502185985786916864/gkdFh-q7_normal.png" TargetMode="External"/><Relationship Id="rId4758" Type="http://schemas.openxmlformats.org/officeDocument/2006/relationships/hyperlink" Target="https://twitter.com/jrcajide/status/702474822375313408" TargetMode="External"/><Relationship Id="rId3426" Type="http://schemas.openxmlformats.org/officeDocument/2006/relationships/hyperlink" Target="http://r-bloggers.com" TargetMode="External"/><Relationship Id="rId4757" Type="http://schemas.openxmlformats.org/officeDocument/2006/relationships/hyperlink" Target="https://twitter.com/jrcajide" TargetMode="External"/><Relationship Id="rId3429" Type="http://schemas.openxmlformats.org/officeDocument/2006/relationships/hyperlink" Target="http://RProgramming.net" TargetMode="External"/><Relationship Id="rId3428" Type="http://schemas.openxmlformats.org/officeDocument/2006/relationships/hyperlink" Target="https://twitter.com/RProgramming" TargetMode="External"/><Relationship Id="rId4759" Type="http://schemas.openxmlformats.org/officeDocument/2006/relationships/hyperlink" Target="https://pbs.twimg.com/profile_images/378800000042873137/2ffb31720df3cfc990c4e213e6675e88_normal.jpeg" TargetMode="External"/><Relationship Id="rId4750" Type="http://schemas.openxmlformats.org/officeDocument/2006/relationships/hyperlink" Target="https://pbs.twimg.com/profile_images/2198946077/image_normal.jpg" TargetMode="External"/><Relationship Id="rId3421" Type="http://schemas.openxmlformats.org/officeDocument/2006/relationships/hyperlink" Target="https://twitter.com/jhollist" TargetMode="External"/><Relationship Id="rId4752" Type="http://schemas.openxmlformats.org/officeDocument/2006/relationships/hyperlink" Target="https://twitter.com/timelyportfolio/status/702473773937770496" TargetMode="External"/><Relationship Id="rId3420" Type="http://schemas.openxmlformats.org/officeDocument/2006/relationships/hyperlink" Target="https://pbs.twimg.com/profile_images/583743302886785024/--qJwzOK_normal.jpg" TargetMode="External"/><Relationship Id="rId4751" Type="http://schemas.openxmlformats.org/officeDocument/2006/relationships/hyperlink" Target="https://twitter.com/timelyportfolio" TargetMode="External"/><Relationship Id="rId3423" Type="http://schemas.openxmlformats.org/officeDocument/2006/relationships/hyperlink" Target="https://pbs.twimg.com/profile_images/562349585545170944/FADS_UgG_normal.jpeg" TargetMode="External"/><Relationship Id="rId4754" Type="http://schemas.openxmlformats.org/officeDocument/2006/relationships/hyperlink" Target="https://twitter.com/kwbroman" TargetMode="External"/><Relationship Id="rId3422" Type="http://schemas.openxmlformats.org/officeDocument/2006/relationships/hyperlink" Target="https://twitter.com/jhollist/status/702162199473741824" TargetMode="External"/><Relationship Id="rId4753" Type="http://schemas.openxmlformats.org/officeDocument/2006/relationships/hyperlink" Target="https://pbs.twimg.com/profile_images/2198946077/image_normal.jpg" TargetMode="External"/><Relationship Id="rId2126" Type="http://schemas.openxmlformats.org/officeDocument/2006/relationships/hyperlink" Target="https://pbs.twimg.com/profile_images/2311675967/yzhiz5niu8t497rap344_normal.jpeg" TargetMode="External"/><Relationship Id="rId3458" Type="http://schemas.openxmlformats.org/officeDocument/2006/relationships/hyperlink" Target="https://pbs.twimg.com/profile_images/654666018296467456/9m3ijJ_Z_normal.jpg" TargetMode="External"/><Relationship Id="rId4789" Type="http://schemas.openxmlformats.org/officeDocument/2006/relationships/hyperlink" Target="https://pbs.twimg.com/profile_images/2820491034/8f6d18cf3410a120179dc2962dcfe97f_normal.png" TargetMode="External"/><Relationship Id="rId2127" Type="http://schemas.openxmlformats.org/officeDocument/2006/relationships/hyperlink" Target="https://twitter.com/timelyportfolio" TargetMode="External"/><Relationship Id="rId3457" Type="http://schemas.openxmlformats.org/officeDocument/2006/relationships/hyperlink" Target="https://twitter.com/infotroph/status/702166949208289280" TargetMode="External"/><Relationship Id="rId4788" Type="http://schemas.openxmlformats.org/officeDocument/2006/relationships/hyperlink" Target="https://twitter.com/pwsegal_CA/status/702480523441135619" TargetMode="External"/><Relationship Id="rId2128" Type="http://schemas.openxmlformats.org/officeDocument/2006/relationships/hyperlink" Target="https://twitter.com/timelyportfolio/status/701844298355109888" TargetMode="External"/><Relationship Id="rId2129" Type="http://schemas.openxmlformats.org/officeDocument/2006/relationships/hyperlink" Target="https://pbs.twimg.com/profile_images/2198946077/image_normal.jpg" TargetMode="External"/><Relationship Id="rId3459" Type="http://schemas.openxmlformats.org/officeDocument/2006/relationships/hyperlink" Target="https://twitter.com/druau" TargetMode="External"/><Relationship Id="rId3450" Type="http://schemas.openxmlformats.org/officeDocument/2006/relationships/hyperlink" Target="https://twitter.com/jstew_stats" TargetMode="External"/><Relationship Id="rId4781" Type="http://schemas.openxmlformats.org/officeDocument/2006/relationships/hyperlink" Target="https://twitter.com/BillPetti" TargetMode="External"/><Relationship Id="rId4780" Type="http://schemas.openxmlformats.org/officeDocument/2006/relationships/hyperlink" Target="https://pbs.twimg.com/profile_images/412249095110008832/J_K4--iQ_normal.png" TargetMode="External"/><Relationship Id="rId2120" Type="http://schemas.openxmlformats.org/officeDocument/2006/relationships/hyperlink" Target="https://pbs.twimg.com/profile_images/506894311955243008/0D63lczz_normal.png" TargetMode="External"/><Relationship Id="rId3452" Type="http://schemas.openxmlformats.org/officeDocument/2006/relationships/hyperlink" Target="https://abs.twimg.com/sticky/default_profile_images/default_profile_3_normal.png" TargetMode="External"/><Relationship Id="rId4783" Type="http://schemas.openxmlformats.org/officeDocument/2006/relationships/hyperlink" Target="https://pbs.twimg.com/profile_images/378800000666016370/4659ea1cf77b789e488e4c6888419315_normal.png" TargetMode="External"/><Relationship Id="rId2121" Type="http://schemas.openxmlformats.org/officeDocument/2006/relationships/hyperlink" Target="https://twitter.com/BigDataTweetBot" TargetMode="External"/><Relationship Id="rId3451" Type="http://schemas.openxmlformats.org/officeDocument/2006/relationships/hyperlink" Target="https://twitter.com/jstew_stats/status/702165462361075712" TargetMode="External"/><Relationship Id="rId4782" Type="http://schemas.openxmlformats.org/officeDocument/2006/relationships/hyperlink" Target="https://twitter.com/BillPetti/status/702479647917916161" TargetMode="External"/><Relationship Id="rId2122" Type="http://schemas.openxmlformats.org/officeDocument/2006/relationships/hyperlink" Target="https://twitter.com/BigDataTweetBot/status/701844212858363905" TargetMode="External"/><Relationship Id="rId3454" Type="http://schemas.openxmlformats.org/officeDocument/2006/relationships/hyperlink" Target="https://twitter.com/samfirke/status/702166881810194433" TargetMode="External"/><Relationship Id="rId4785" Type="http://schemas.openxmlformats.org/officeDocument/2006/relationships/hyperlink" Target="https://twitter.com/thomasp85/status/702480356931407872" TargetMode="External"/><Relationship Id="rId2123" Type="http://schemas.openxmlformats.org/officeDocument/2006/relationships/hyperlink" Target="https://pbs.twimg.com/profile_images/616793252524650496/bQbxJqmz_normal.jpg" TargetMode="External"/><Relationship Id="rId3453" Type="http://schemas.openxmlformats.org/officeDocument/2006/relationships/hyperlink" Target="https://twitter.com/samfirke" TargetMode="External"/><Relationship Id="rId4784" Type="http://schemas.openxmlformats.org/officeDocument/2006/relationships/hyperlink" Target="https://twitter.com/thomasp85" TargetMode="External"/><Relationship Id="rId2124" Type="http://schemas.openxmlformats.org/officeDocument/2006/relationships/hyperlink" Target="https://twitter.com/v_vashishta" TargetMode="External"/><Relationship Id="rId3456" Type="http://schemas.openxmlformats.org/officeDocument/2006/relationships/hyperlink" Target="https://twitter.com/infotroph" TargetMode="External"/><Relationship Id="rId4787" Type="http://schemas.openxmlformats.org/officeDocument/2006/relationships/hyperlink" Target="https://twitter.com/pwsegal_CA" TargetMode="External"/><Relationship Id="rId2125" Type="http://schemas.openxmlformats.org/officeDocument/2006/relationships/hyperlink" Target="https://twitter.com/v_vashishta/status/701844276439752704" TargetMode="External"/><Relationship Id="rId3455" Type="http://schemas.openxmlformats.org/officeDocument/2006/relationships/hyperlink" Target="https://pbs.twimg.com/profile_images/561167051427807234/wUrmQ9sE_normal.jpeg" TargetMode="External"/><Relationship Id="rId4786" Type="http://schemas.openxmlformats.org/officeDocument/2006/relationships/hyperlink" Target="https://pbs.twimg.com/profile_images/685178010962505728/m0D-Pvwg_normal.jpg" TargetMode="External"/><Relationship Id="rId2115" Type="http://schemas.openxmlformats.org/officeDocument/2006/relationships/hyperlink" Target="https://twitter.com/gtumuluri" TargetMode="External"/><Relationship Id="rId3447" Type="http://schemas.openxmlformats.org/officeDocument/2006/relationships/hyperlink" Target="https://twitter.com/pssGuy" TargetMode="External"/><Relationship Id="rId4778" Type="http://schemas.openxmlformats.org/officeDocument/2006/relationships/hyperlink" Target="https://twitter.com/DataAndDataViz" TargetMode="External"/><Relationship Id="rId2116" Type="http://schemas.openxmlformats.org/officeDocument/2006/relationships/hyperlink" Target="https://twitter.com/gtumuluri/status/701843496899104768" TargetMode="External"/><Relationship Id="rId3446" Type="http://schemas.openxmlformats.org/officeDocument/2006/relationships/hyperlink" Target="https://pbs.twimg.com/profile_images/572388011115966464/EuY9KrbT_normal.jpeg" TargetMode="External"/><Relationship Id="rId4777" Type="http://schemas.openxmlformats.org/officeDocument/2006/relationships/hyperlink" Target="https://pbs.twimg.com/profile_images/522463824805261312/K26Scrp3_normal.png" TargetMode="External"/><Relationship Id="rId2117" Type="http://schemas.openxmlformats.org/officeDocument/2006/relationships/hyperlink" Target="https://pbs.twimg.com/profile_images/2890776672/386378582228e97637c8e36e18ae72fa_normal.png" TargetMode="External"/><Relationship Id="rId3449" Type="http://schemas.openxmlformats.org/officeDocument/2006/relationships/hyperlink" Target="https://pbs.twimg.com/profile_images/1138368380/P1010066small_normal.jpg" TargetMode="External"/><Relationship Id="rId2118" Type="http://schemas.openxmlformats.org/officeDocument/2006/relationships/hyperlink" Target="https://twitter.com/STAT545" TargetMode="External"/><Relationship Id="rId3448" Type="http://schemas.openxmlformats.org/officeDocument/2006/relationships/hyperlink" Target="https://twitter.com/pssGuy/status/702165235835150337" TargetMode="External"/><Relationship Id="rId4779" Type="http://schemas.openxmlformats.org/officeDocument/2006/relationships/hyperlink" Target="https://twitter.com/DataAndDataViz/status/702479277435002880" TargetMode="External"/><Relationship Id="rId2119" Type="http://schemas.openxmlformats.org/officeDocument/2006/relationships/hyperlink" Target="https://twitter.com/STAT545/status/701843850705252352" TargetMode="External"/><Relationship Id="rId4770" Type="http://schemas.openxmlformats.org/officeDocument/2006/relationships/hyperlink" Target="https://twitter.com/wrgarciag/status/702478174106554368" TargetMode="External"/><Relationship Id="rId3441" Type="http://schemas.openxmlformats.org/officeDocument/2006/relationships/hyperlink" Target="https://twitter.com/CRANberriesFeed" TargetMode="External"/><Relationship Id="rId4772" Type="http://schemas.openxmlformats.org/officeDocument/2006/relationships/hyperlink" Target="https://twitter.com/prylypko" TargetMode="External"/><Relationship Id="rId2110" Type="http://schemas.openxmlformats.org/officeDocument/2006/relationships/hyperlink" Target="https://twitter.com/Oreotrephes/status/701843106220498945" TargetMode="External"/><Relationship Id="rId3440" Type="http://schemas.openxmlformats.org/officeDocument/2006/relationships/hyperlink" Target="https://pbs.twimg.com/profile_images/699034073507889152/kcSt-apS_normal.png" TargetMode="External"/><Relationship Id="rId4771" Type="http://schemas.openxmlformats.org/officeDocument/2006/relationships/hyperlink" Target="https://pbs.twimg.com/profile_images/548931380541792256/RN_Lg1sS_normal.jpeg" TargetMode="External"/><Relationship Id="rId2111" Type="http://schemas.openxmlformats.org/officeDocument/2006/relationships/hyperlink" Target="https://pbs.twimg.com/profile_images/514509365051547648/lBJQWyjT_normal.jpeg" TargetMode="External"/><Relationship Id="rId3443" Type="http://schemas.openxmlformats.org/officeDocument/2006/relationships/hyperlink" Target="https://pbs.twimg.com/profile_images/1222779560/cran1_normal.jpg" TargetMode="External"/><Relationship Id="rId4774" Type="http://schemas.openxmlformats.org/officeDocument/2006/relationships/hyperlink" Target="https://pbs.twimg.com/profile_images/702031414984892416/nlex4cz2_normal.jpg" TargetMode="External"/><Relationship Id="rId2112" Type="http://schemas.openxmlformats.org/officeDocument/2006/relationships/hyperlink" Target="https://twitter.com/spsaaibi" TargetMode="External"/><Relationship Id="rId3442" Type="http://schemas.openxmlformats.org/officeDocument/2006/relationships/hyperlink" Target="https://twitter.com/CRANberriesFeed/status/702164421469216768" TargetMode="External"/><Relationship Id="rId4773" Type="http://schemas.openxmlformats.org/officeDocument/2006/relationships/hyperlink" Target="https://twitter.com/prylypko/status/702478619122266113" TargetMode="External"/><Relationship Id="rId2113" Type="http://schemas.openxmlformats.org/officeDocument/2006/relationships/hyperlink" Target="https://twitter.com/spsaaibi/status/701843183181938688" TargetMode="External"/><Relationship Id="rId3445" Type="http://schemas.openxmlformats.org/officeDocument/2006/relationships/hyperlink" Target="https://twitter.com/abtran/status/702164755105054720" TargetMode="External"/><Relationship Id="rId4776" Type="http://schemas.openxmlformats.org/officeDocument/2006/relationships/hyperlink" Target="https://twitter.com/AlesMaver/status/702479064381177856" TargetMode="External"/><Relationship Id="rId2114" Type="http://schemas.openxmlformats.org/officeDocument/2006/relationships/hyperlink" Target="https://pbs.twimg.com/profile_images/701728435480166401/FlotAAOY_normal.jpg" TargetMode="External"/><Relationship Id="rId3444" Type="http://schemas.openxmlformats.org/officeDocument/2006/relationships/hyperlink" Target="https://twitter.com/abtran" TargetMode="External"/><Relationship Id="rId4775" Type="http://schemas.openxmlformats.org/officeDocument/2006/relationships/hyperlink" Target="https://twitter.com/AlesMaver" TargetMode="External"/><Relationship Id="rId5251" Type="http://schemas.openxmlformats.org/officeDocument/2006/relationships/hyperlink" Target="https://pbs.twimg.com/profile_images/592435442835820544/S63GD5Rd_normal.jpg" TargetMode="External"/><Relationship Id="rId6582" Type="http://schemas.openxmlformats.org/officeDocument/2006/relationships/hyperlink" Target="https://twitter.com/robinlovelace/status/702819077727850496" TargetMode="External"/><Relationship Id="rId5252" Type="http://schemas.openxmlformats.org/officeDocument/2006/relationships/hyperlink" Target="https://twitter.com/DominoDataLab" TargetMode="External"/><Relationship Id="rId6583" Type="http://schemas.openxmlformats.org/officeDocument/2006/relationships/hyperlink" Target="https://pbs.twimg.com/profile_images/504036355307884545/43rPIK7f_normal.jpeg" TargetMode="External"/><Relationship Id="rId6580" Type="http://schemas.openxmlformats.org/officeDocument/2006/relationships/hyperlink" Target="https://pbs.twimg.com/profile_images/655401968802861056/yuPEMhy3_normal.jpg" TargetMode="External"/><Relationship Id="rId5250" Type="http://schemas.openxmlformats.org/officeDocument/2006/relationships/hyperlink" Target="https://twitter.com/apreshill/status/702552161608019968" TargetMode="External"/><Relationship Id="rId6581" Type="http://schemas.openxmlformats.org/officeDocument/2006/relationships/hyperlink" Target="https://twitter.com/robinlovelace" TargetMode="External"/><Relationship Id="rId5255" Type="http://schemas.openxmlformats.org/officeDocument/2006/relationships/hyperlink" Target="https://twitter.com/bshor" TargetMode="External"/><Relationship Id="rId6586" Type="http://schemas.openxmlformats.org/officeDocument/2006/relationships/hyperlink" Target="https://pbs.twimg.com/profile_images/613354597562851329/vI4ddYqG_normal.png" TargetMode="External"/><Relationship Id="rId5256" Type="http://schemas.openxmlformats.org/officeDocument/2006/relationships/hyperlink" Target="https://twitter.com/bshor/status/702554318277320705" TargetMode="External"/><Relationship Id="rId6587" Type="http://schemas.openxmlformats.org/officeDocument/2006/relationships/hyperlink" Target="https://twitter.com/MangoMattGlover" TargetMode="External"/><Relationship Id="rId5253" Type="http://schemas.openxmlformats.org/officeDocument/2006/relationships/hyperlink" Target="https://twitter.com/DominoDataLab/status/702553588669616128" TargetMode="External"/><Relationship Id="rId6584" Type="http://schemas.openxmlformats.org/officeDocument/2006/relationships/hyperlink" Target="https://twitter.com/ODILeeds" TargetMode="External"/><Relationship Id="rId5254" Type="http://schemas.openxmlformats.org/officeDocument/2006/relationships/hyperlink" Target="https://pbs.twimg.com/profile_images/671154942380400641/ySYpd-P3_normal.jpg" TargetMode="External"/><Relationship Id="rId6585" Type="http://schemas.openxmlformats.org/officeDocument/2006/relationships/hyperlink" Target="https://twitter.com/ODILeeds/status/702820212270301185" TargetMode="External"/><Relationship Id="rId5259" Type="http://schemas.openxmlformats.org/officeDocument/2006/relationships/hyperlink" Target="https://twitter.com/noamross/status/702554458308354048" TargetMode="External"/><Relationship Id="rId5257" Type="http://schemas.openxmlformats.org/officeDocument/2006/relationships/hyperlink" Target="https://pbs.twimg.com/profile_images/702192939875696640/ujHprz8G_normal.jpg" TargetMode="External"/><Relationship Id="rId6588" Type="http://schemas.openxmlformats.org/officeDocument/2006/relationships/hyperlink" Target="https://twitter.com/MangoMattGlover/status/702822554059345920" TargetMode="External"/><Relationship Id="rId5258" Type="http://schemas.openxmlformats.org/officeDocument/2006/relationships/hyperlink" Target="https://twitter.com/noamross" TargetMode="External"/><Relationship Id="rId6589" Type="http://schemas.openxmlformats.org/officeDocument/2006/relationships/hyperlink" Target="https://pbs.twimg.com/profile_images/658671552783896576/qahSiVSy_normal.jpg" TargetMode="External"/><Relationship Id="rId5240" Type="http://schemas.openxmlformats.org/officeDocument/2006/relationships/hyperlink" Target="https://twitter.com/dillott" TargetMode="External"/><Relationship Id="rId6571" Type="http://schemas.openxmlformats.org/officeDocument/2006/relationships/hyperlink" Target="https://pbs.twimg.com/profile_images/630648570228666368/azCx-w8Z_normal.jpg" TargetMode="External"/><Relationship Id="rId5241" Type="http://schemas.openxmlformats.org/officeDocument/2006/relationships/hyperlink" Target="https://twitter.com/dillott/status/702551555099086848" TargetMode="External"/><Relationship Id="rId6572" Type="http://schemas.openxmlformats.org/officeDocument/2006/relationships/hyperlink" Target="https://twitter.com/thelabandfield" TargetMode="External"/><Relationship Id="rId6570" Type="http://schemas.openxmlformats.org/officeDocument/2006/relationships/hyperlink" Target="https://twitter.com/ma_salmon/status/702812153099788288" TargetMode="External"/><Relationship Id="rId5244" Type="http://schemas.openxmlformats.org/officeDocument/2006/relationships/hyperlink" Target="https://twitter.com/hoytemerson/status/702551602918363138" TargetMode="External"/><Relationship Id="rId6575" Type="http://schemas.openxmlformats.org/officeDocument/2006/relationships/hyperlink" Target="https://twitter.com/MangoPharma" TargetMode="External"/><Relationship Id="rId5245" Type="http://schemas.openxmlformats.org/officeDocument/2006/relationships/hyperlink" Target="https://pbs.twimg.com/profile_images/568073117973499904/-2f4cZpn_normal.jpeg" TargetMode="External"/><Relationship Id="rId6576" Type="http://schemas.openxmlformats.org/officeDocument/2006/relationships/hyperlink" Target="https://twitter.com/MangoPharma/status/702817067502694400" TargetMode="External"/><Relationship Id="rId5242" Type="http://schemas.openxmlformats.org/officeDocument/2006/relationships/hyperlink" Target="https://pbs.twimg.com/profile_images/473661071186591744/7zRMTott_normal.jpeg" TargetMode="External"/><Relationship Id="rId6573" Type="http://schemas.openxmlformats.org/officeDocument/2006/relationships/hyperlink" Target="https://twitter.com/thelabandfield/status/702813484854157313" TargetMode="External"/><Relationship Id="rId5243" Type="http://schemas.openxmlformats.org/officeDocument/2006/relationships/hyperlink" Target="https://twitter.com/hoytemerson" TargetMode="External"/><Relationship Id="rId6574" Type="http://schemas.openxmlformats.org/officeDocument/2006/relationships/hyperlink" Target="https://pbs.twimg.com/profile_images/679617176807059457/fqgt0Fjw_normal.jpg" TargetMode="External"/><Relationship Id="rId5248" Type="http://schemas.openxmlformats.org/officeDocument/2006/relationships/hyperlink" Target="https://pbs.twimg.com/profile_images/636919861105573888/6vFgQ2b7_normal.jpg" TargetMode="External"/><Relationship Id="rId6579" Type="http://schemas.openxmlformats.org/officeDocument/2006/relationships/hyperlink" Target="https://twitter.com/BestCourses_/status/702818351643496448" TargetMode="External"/><Relationship Id="rId5249" Type="http://schemas.openxmlformats.org/officeDocument/2006/relationships/hyperlink" Target="https://twitter.com/apreshill" TargetMode="External"/><Relationship Id="rId5246" Type="http://schemas.openxmlformats.org/officeDocument/2006/relationships/hyperlink" Target="https://twitter.com/benjguin" TargetMode="External"/><Relationship Id="rId6577" Type="http://schemas.openxmlformats.org/officeDocument/2006/relationships/hyperlink" Target="https://pbs.twimg.com/profile_images/702168871437017090/GncGcQIU_normal.png" TargetMode="External"/><Relationship Id="rId5247" Type="http://schemas.openxmlformats.org/officeDocument/2006/relationships/hyperlink" Target="https://twitter.com/benjguin/status/702552122995425280" TargetMode="External"/><Relationship Id="rId6578" Type="http://schemas.openxmlformats.org/officeDocument/2006/relationships/hyperlink" Target="https://twitter.com/BestCourses_" TargetMode="External"/><Relationship Id="rId5270" Type="http://schemas.openxmlformats.org/officeDocument/2006/relationships/hyperlink" Target="https://twitter.com/CRANberriesFeed" TargetMode="External"/><Relationship Id="rId5273" Type="http://schemas.openxmlformats.org/officeDocument/2006/relationships/hyperlink" Target="https://twitter.com/CRANberriesFeed" TargetMode="External"/><Relationship Id="rId5274" Type="http://schemas.openxmlformats.org/officeDocument/2006/relationships/hyperlink" Target="https://twitter.com/CRANberriesFeed/status/702557041290780672" TargetMode="External"/><Relationship Id="rId5271" Type="http://schemas.openxmlformats.org/officeDocument/2006/relationships/hyperlink" Target="https://twitter.com/CRANberriesFeed/status/702557021573402624" TargetMode="External"/><Relationship Id="rId5272" Type="http://schemas.openxmlformats.org/officeDocument/2006/relationships/hyperlink" Target="https://pbs.twimg.com/profile_images/1222779560/cran1_normal.jpg" TargetMode="External"/><Relationship Id="rId5277" Type="http://schemas.openxmlformats.org/officeDocument/2006/relationships/hyperlink" Target="https://twitter.com/ellis2013nz/status/702558471359561728" TargetMode="External"/><Relationship Id="rId5278" Type="http://schemas.openxmlformats.org/officeDocument/2006/relationships/hyperlink" Target="https://pbs.twimg.com/profile_images/618224596798476288/n9IN8hcm_normal.jpg" TargetMode="External"/><Relationship Id="rId5275" Type="http://schemas.openxmlformats.org/officeDocument/2006/relationships/hyperlink" Target="https://pbs.twimg.com/profile_images/1222779560/cran1_normal.jpg" TargetMode="External"/><Relationship Id="rId5276" Type="http://schemas.openxmlformats.org/officeDocument/2006/relationships/hyperlink" Target="https://twitter.com/ellis2013nz" TargetMode="External"/><Relationship Id="rId5279" Type="http://schemas.openxmlformats.org/officeDocument/2006/relationships/hyperlink" Target="https://twitter.com/Emaasit" TargetMode="External"/><Relationship Id="rId6590" Type="http://schemas.openxmlformats.org/officeDocument/2006/relationships/hyperlink" Target="https://twitter.com/atiretoo" TargetMode="External"/><Relationship Id="rId5262" Type="http://schemas.openxmlformats.org/officeDocument/2006/relationships/hyperlink" Target="https://twitter.com/jaimedash/status/702556054467383296" TargetMode="External"/><Relationship Id="rId6593" Type="http://schemas.openxmlformats.org/officeDocument/2006/relationships/hyperlink" Target="https://twitter.com/nschaetti" TargetMode="External"/><Relationship Id="rId5263" Type="http://schemas.openxmlformats.org/officeDocument/2006/relationships/hyperlink" Target="https://pbs.twimg.com/profile_images/681682549723168768/2Ci1883e_normal.jpg" TargetMode="External"/><Relationship Id="rId6594" Type="http://schemas.openxmlformats.org/officeDocument/2006/relationships/hyperlink" Target="https://twitter.com/nschaetti/status/702827006493396992" TargetMode="External"/><Relationship Id="rId5260" Type="http://schemas.openxmlformats.org/officeDocument/2006/relationships/hyperlink" Target="https://pbs.twimg.com/profile_images/557246848625172481/n7rj_Ee4_normal.png" TargetMode="External"/><Relationship Id="rId6591" Type="http://schemas.openxmlformats.org/officeDocument/2006/relationships/hyperlink" Target="https://twitter.com/atiretoo/status/702826220572930048" TargetMode="External"/><Relationship Id="rId5261" Type="http://schemas.openxmlformats.org/officeDocument/2006/relationships/hyperlink" Target="https://twitter.com/jaimedash" TargetMode="External"/><Relationship Id="rId6592" Type="http://schemas.openxmlformats.org/officeDocument/2006/relationships/hyperlink" Target="https://pbs.twimg.com/profile_images/591269568506531840/Xk6GaBN0_normal.jpg" TargetMode="External"/><Relationship Id="rId5266" Type="http://schemas.openxmlformats.org/officeDocument/2006/relationships/hyperlink" Target="https://pbs.twimg.com/profile_images/1554910841/tux_and_chicken_normal.jpg" TargetMode="External"/><Relationship Id="rId6597" Type="http://schemas.openxmlformats.org/officeDocument/2006/relationships/hyperlink" Target="https://twitter.com/withbioinformat/status/702827785400819713" TargetMode="External"/><Relationship Id="rId5267" Type="http://schemas.openxmlformats.org/officeDocument/2006/relationships/hyperlink" Target="https://twitter.com/CRANberriesFeed" TargetMode="External"/><Relationship Id="rId6598" Type="http://schemas.openxmlformats.org/officeDocument/2006/relationships/hyperlink" Target="https://pbs.twimg.com/profile_images/1683660920/kres_normal.jpg" TargetMode="External"/><Relationship Id="rId5264" Type="http://schemas.openxmlformats.org/officeDocument/2006/relationships/hyperlink" Target="https://twitter.com/sidquan" TargetMode="External"/><Relationship Id="rId6595" Type="http://schemas.openxmlformats.org/officeDocument/2006/relationships/hyperlink" Target="https://pbs.twimg.com/profile_images/668504473069711360/uytAacUU_normal.jpg" TargetMode="External"/><Relationship Id="rId5265" Type="http://schemas.openxmlformats.org/officeDocument/2006/relationships/hyperlink" Target="https://twitter.com/sidquan/status/702556354011992065" TargetMode="External"/><Relationship Id="rId6596" Type="http://schemas.openxmlformats.org/officeDocument/2006/relationships/hyperlink" Target="https://twitter.com/withbioinformat" TargetMode="External"/><Relationship Id="rId5268" Type="http://schemas.openxmlformats.org/officeDocument/2006/relationships/hyperlink" Target="https://twitter.com/CRANberriesFeed/status/702556999255515136" TargetMode="External"/><Relationship Id="rId6599" Type="http://schemas.openxmlformats.org/officeDocument/2006/relationships/hyperlink" Target="https://twitter.com/RookeAC" TargetMode="External"/><Relationship Id="rId5269" Type="http://schemas.openxmlformats.org/officeDocument/2006/relationships/hyperlink" Target="https://pbs.twimg.com/profile_images/1222779560/cran1_normal.jpg" TargetMode="External"/><Relationship Id="rId5219" Type="http://schemas.openxmlformats.org/officeDocument/2006/relationships/hyperlink" Target="https://twitter.com/sckottie" TargetMode="External"/><Relationship Id="rId5217" Type="http://schemas.openxmlformats.org/officeDocument/2006/relationships/hyperlink" Target="https://twitter.com/juliesquid/status/702547068775104513" TargetMode="External"/><Relationship Id="rId6548" Type="http://schemas.openxmlformats.org/officeDocument/2006/relationships/hyperlink" Target="https://twitter.com/homeAIinfo" TargetMode="External"/><Relationship Id="rId5218" Type="http://schemas.openxmlformats.org/officeDocument/2006/relationships/hyperlink" Target="https://pbs.twimg.com/profile_images/581099003288248320/-l_plM7T_normal.jpg" TargetMode="External"/><Relationship Id="rId6549" Type="http://schemas.openxmlformats.org/officeDocument/2006/relationships/hyperlink" Target="https://twitter.com/homeAIinfo/status/702804255535710208" TargetMode="External"/><Relationship Id="rId7879" Type="http://schemas.openxmlformats.org/officeDocument/2006/relationships/hyperlink" Target="https://twitter.com/cornerinsights" TargetMode="External"/><Relationship Id="rId392" Type="http://schemas.openxmlformats.org/officeDocument/2006/relationships/hyperlink" Target="https://twitter.com/LovedeepSG" TargetMode="External"/><Relationship Id="rId391" Type="http://schemas.openxmlformats.org/officeDocument/2006/relationships/hyperlink" Target="https://pbs.twimg.com/profile_images/378800000197513149/67cd42127a284a220161c1295a57b65f_normal.jpeg" TargetMode="External"/><Relationship Id="rId390" Type="http://schemas.openxmlformats.org/officeDocument/2006/relationships/hyperlink" Target="https://twitter.com/MarcosMatabuena/status/701444884113313792" TargetMode="External"/><Relationship Id="rId7870" Type="http://schemas.openxmlformats.org/officeDocument/2006/relationships/hyperlink" Target="https://twitter.com/KuboBook" TargetMode="External"/><Relationship Id="rId385" Type="http://schemas.openxmlformats.org/officeDocument/2006/relationships/hyperlink" Target="https://pbs.twimg.com/profile_images/645650110374936580/-oQakt8x_normal.png" TargetMode="External"/><Relationship Id="rId5211" Type="http://schemas.openxmlformats.org/officeDocument/2006/relationships/hyperlink" Target="https://twitter.com/WinVectorLLC/status/702546611780456448" TargetMode="External"/><Relationship Id="rId6542" Type="http://schemas.openxmlformats.org/officeDocument/2006/relationships/hyperlink" Target="https://twitter.com/rambujo" TargetMode="External"/><Relationship Id="rId7874" Type="http://schemas.openxmlformats.org/officeDocument/2006/relationships/hyperlink" Target="https://twitter.com/dogvile/status/703029771945570304" TargetMode="External"/><Relationship Id="rId384" Type="http://schemas.openxmlformats.org/officeDocument/2006/relationships/hyperlink" Target="https://twitter.com/homeAIinfo/status/701441642889400320" TargetMode="External"/><Relationship Id="rId5212" Type="http://schemas.openxmlformats.org/officeDocument/2006/relationships/hyperlink" Target="https://pbs.twimg.com/profile_images/3471819465/58bf7bfaa29046d181eef07d22477315_normal.png" TargetMode="External"/><Relationship Id="rId6543" Type="http://schemas.openxmlformats.org/officeDocument/2006/relationships/hyperlink" Target="https://twitter.com/rambujo/status/702799546049568769" TargetMode="External"/><Relationship Id="rId7873" Type="http://schemas.openxmlformats.org/officeDocument/2006/relationships/hyperlink" Target="https://twitter.com/dogvile" TargetMode="External"/><Relationship Id="rId383" Type="http://schemas.openxmlformats.org/officeDocument/2006/relationships/hyperlink" Target="https://twitter.com/homeAIinfo" TargetMode="External"/><Relationship Id="rId6540" Type="http://schemas.openxmlformats.org/officeDocument/2006/relationships/hyperlink" Target="https://twitter.com/earlconf/status/702799450792525824" TargetMode="External"/><Relationship Id="rId7872" Type="http://schemas.openxmlformats.org/officeDocument/2006/relationships/hyperlink" Target="https://pbs.twimg.com/profile_images/2231152189/iwanami19_normal.jpg" TargetMode="External"/><Relationship Id="rId382" Type="http://schemas.openxmlformats.org/officeDocument/2006/relationships/hyperlink" Target="https://pbs.twimg.com/profile_images/630648570228666368/azCx-w8Z_normal.jpg" TargetMode="External"/><Relationship Id="rId5210" Type="http://schemas.openxmlformats.org/officeDocument/2006/relationships/hyperlink" Target="https://twitter.com/WinVectorLLC" TargetMode="External"/><Relationship Id="rId6541" Type="http://schemas.openxmlformats.org/officeDocument/2006/relationships/hyperlink" Target="https://pbs.twimg.com/profile_images/432298122203512833/YDXfWlI__normal.png" TargetMode="External"/><Relationship Id="rId7871" Type="http://schemas.openxmlformats.org/officeDocument/2006/relationships/hyperlink" Target="https://twitter.com/KuboBook/status/703029724256206848" TargetMode="External"/><Relationship Id="rId389" Type="http://schemas.openxmlformats.org/officeDocument/2006/relationships/hyperlink" Target="https://twitter.com/MarcosMatabuena" TargetMode="External"/><Relationship Id="rId5215" Type="http://schemas.openxmlformats.org/officeDocument/2006/relationships/hyperlink" Target="https://pbs.twimg.com/profile_images/581099003288248320/-l_plM7T_normal.jpg" TargetMode="External"/><Relationship Id="rId6546" Type="http://schemas.openxmlformats.org/officeDocument/2006/relationships/hyperlink" Target="https://twitter.com/expersso/status/702799873238810624" TargetMode="External"/><Relationship Id="rId7878" Type="http://schemas.openxmlformats.org/officeDocument/2006/relationships/hyperlink" Target="https://pbs.twimg.com/profile_images/610571047952338945/FEVyIfGt_normal.jpg" TargetMode="External"/><Relationship Id="rId388" Type="http://schemas.openxmlformats.org/officeDocument/2006/relationships/hyperlink" Target="https://pbs.twimg.com/profile_images/606563768584110081/z9HRDbT5_normal.jpg" TargetMode="External"/><Relationship Id="rId5216" Type="http://schemas.openxmlformats.org/officeDocument/2006/relationships/hyperlink" Target="https://twitter.com/juliesquid" TargetMode="External"/><Relationship Id="rId6547" Type="http://schemas.openxmlformats.org/officeDocument/2006/relationships/hyperlink" Target="https://pbs.twimg.com/profile_images/601809990391865344/xThfMxAT_normal.png" TargetMode="External"/><Relationship Id="rId7877" Type="http://schemas.openxmlformats.org/officeDocument/2006/relationships/hyperlink" Target="https://twitter.com/gctpl0243/status/703029816480518144" TargetMode="External"/><Relationship Id="rId387" Type="http://schemas.openxmlformats.org/officeDocument/2006/relationships/hyperlink" Target="https://twitter.com/atakanince/status/701444029414666240" TargetMode="External"/><Relationship Id="rId5213" Type="http://schemas.openxmlformats.org/officeDocument/2006/relationships/hyperlink" Target="https://twitter.com/juliesquid" TargetMode="External"/><Relationship Id="rId6544" Type="http://schemas.openxmlformats.org/officeDocument/2006/relationships/hyperlink" Target="https://pbs.twimg.com/profile_images/672334616196444160/Rd5IWzpU_normal.jpg" TargetMode="External"/><Relationship Id="rId7876" Type="http://schemas.openxmlformats.org/officeDocument/2006/relationships/hyperlink" Target="https://twitter.com/gctpl0243" TargetMode="External"/><Relationship Id="rId386" Type="http://schemas.openxmlformats.org/officeDocument/2006/relationships/hyperlink" Target="https://twitter.com/atakanince" TargetMode="External"/><Relationship Id="rId5214" Type="http://schemas.openxmlformats.org/officeDocument/2006/relationships/hyperlink" Target="https://twitter.com/juliesquid/status/702546717950943232" TargetMode="External"/><Relationship Id="rId6545" Type="http://schemas.openxmlformats.org/officeDocument/2006/relationships/hyperlink" Target="https://twitter.com/expersso" TargetMode="External"/><Relationship Id="rId7875" Type="http://schemas.openxmlformats.org/officeDocument/2006/relationships/hyperlink" Target="https://pbs.twimg.com/profile_images/461862990262710272/VqV2sKZR_normal.jpeg" TargetMode="External"/><Relationship Id="rId5208" Type="http://schemas.openxmlformats.org/officeDocument/2006/relationships/hyperlink" Target="https://twitter.com/techpearce2/status/702545938590601216" TargetMode="External"/><Relationship Id="rId6539" Type="http://schemas.openxmlformats.org/officeDocument/2006/relationships/hyperlink" Target="https://twitter.com/earlconf" TargetMode="External"/><Relationship Id="rId5209" Type="http://schemas.openxmlformats.org/officeDocument/2006/relationships/hyperlink" Target="https://pbs.twimg.com/profile_images/648912420275154944/Ab4szUPV_normal.jpg" TargetMode="External"/><Relationship Id="rId5206" Type="http://schemas.openxmlformats.org/officeDocument/2006/relationships/hyperlink" Target="https://pbs.twimg.com/profile_images/1898888637/twitter_normal.png" TargetMode="External"/><Relationship Id="rId6537" Type="http://schemas.openxmlformats.org/officeDocument/2006/relationships/hyperlink" Target="https://twitter.com/UKDSCensus/status/702799366747201536" TargetMode="External"/><Relationship Id="rId7869" Type="http://schemas.openxmlformats.org/officeDocument/2006/relationships/hyperlink" Target="https://pbs.twimg.com/profile_images/689415573227208704/iYbapZNZ_normal.jpg" TargetMode="External"/><Relationship Id="rId5207" Type="http://schemas.openxmlformats.org/officeDocument/2006/relationships/hyperlink" Target="https://twitter.com/techpearce2" TargetMode="External"/><Relationship Id="rId6538" Type="http://schemas.openxmlformats.org/officeDocument/2006/relationships/hyperlink" Target="https://pbs.twimg.com/profile_images/520190599341699074/QHztj_dS_normal.png" TargetMode="External"/><Relationship Id="rId7868" Type="http://schemas.openxmlformats.org/officeDocument/2006/relationships/hyperlink" Target="https://twitter.com/andremafei/status/703029323645718529" TargetMode="External"/><Relationship Id="rId381" Type="http://schemas.openxmlformats.org/officeDocument/2006/relationships/hyperlink" Target="https://twitter.com/ma_salmon/status/701441522848370689" TargetMode="External"/><Relationship Id="rId380" Type="http://schemas.openxmlformats.org/officeDocument/2006/relationships/hyperlink" Target="https://twitter.com/ma_salmon" TargetMode="External"/><Relationship Id="rId379" Type="http://schemas.openxmlformats.org/officeDocument/2006/relationships/hyperlink" Target="https://pbs.twimg.com/profile_images/438011395053846529/yTq48-1V_normal.png" TargetMode="External"/><Relationship Id="rId374" Type="http://schemas.openxmlformats.org/officeDocument/2006/relationships/hyperlink" Target="https://twitter.com/CRANberriesFeed" TargetMode="External"/><Relationship Id="rId5200" Type="http://schemas.openxmlformats.org/officeDocument/2006/relationships/hyperlink" Target="https://pbs.twimg.com/profile_images/467313147250868224/ZekxgNV9_normal.jpeg" TargetMode="External"/><Relationship Id="rId6531" Type="http://schemas.openxmlformats.org/officeDocument/2006/relationships/hyperlink" Target="https://twitter.com/Tom_Hardwicke/status/702798934981406720" TargetMode="External"/><Relationship Id="rId7863" Type="http://schemas.openxmlformats.org/officeDocument/2006/relationships/hyperlink" Target="https://pbs.twimg.com/profile_images/567588045927354370/NN8xp_M5_normal.jpeg" TargetMode="External"/><Relationship Id="rId373" Type="http://schemas.openxmlformats.org/officeDocument/2006/relationships/hyperlink" Target="https://pbs.twimg.com/profile_images/1222779560/cran1_normal.jpg" TargetMode="External"/><Relationship Id="rId5201" Type="http://schemas.openxmlformats.org/officeDocument/2006/relationships/hyperlink" Target="https://twitter.com/techpearce2" TargetMode="External"/><Relationship Id="rId6532" Type="http://schemas.openxmlformats.org/officeDocument/2006/relationships/hyperlink" Target="https://pbs.twimg.com/profile_images/601549552487825408/XOjzKYqp_normal.jpg" TargetMode="External"/><Relationship Id="rId7862" Type="http://schemas.openxmlformats.org/officeDocument/2006/relationships/hyperlink" Target="https://twitter.com/Emaasit/status/703027958789705728" TargetMode="External"/><Relationship Id="rId372" Type="http://schemas.openxmlformats.org/officeDocument/2006/relationships/hyperlink" Target="https://twitter.com/CRANberriesFeed/status/701439728948744192" TargetMode="External"/><Relationship Id="rId7861" Type="http://schemas.openxmlformats.org/officeDocument/2006/relationships/hyperlink" Target="https://twitter.com/Emaasit" TargetMode="External"/><Relationship Id="rId371" Type="http://schemas.openxmlformats.org/officeDocument/2006/relationships/hyperlink" Target="https://twitter.com/CRANberriesFeed" TargetMode="External"/><Relationship Id="rId6530" Type="http://schemas.openxmlformats.org/officeDocument/2006/relationships/hyperlink" Target="https://twitter.com/Tom_Hardwicke" TargetMode="External"/><Relationship Id="rId7860" Type="http://schemas.openxmlformats.org/officeDocument/2006/relationships/hyperlink" Target="https://pbs.twimg.com/profile_images/1164716874/favicon-triada-azul_normal.png" TargetMode="External"/><Relationship Id="rId378" Type="http://schemas.openxmlformats.org/officeDocument/2006/relationships/hyperlink" Target="https://twitter.com/TuckerChristian/status/701440484527443970" TargetMode="External"/><Relationship Id="rId5204" Type="http://schemas.openxmlformats.org/officeDocument/2006/relationships/hyperlink" Target="https://twitter.com/TomKrebs1" TargetMode="External"/><Relationship Id="rId6535" Type="http://schemas.openxmlformats.org/officeDocument/2006/relationships/hyperlink" Target="https://pbs.twimg.com/profile_images/699501890866794497/SOjcv46W_normal.png" TargetMode="External"/><Relationship Id="rId7867" Type="http://schemas.openxmlformats.org/officeDocument/2006/relationships/hyperlink" Target="https://twitter.com/andremafei" TargetMode="External"/><Relationship Id="rId377" Type="http://schemas.openxmlformats.org/officeDocument/2006/relationships/hyperlink" Target="https://twitter.com/TuckerChristian" TargetMode="External"/><Relationship Id="rId5205" Type="http://schemas.openxmlformats.org/officeDocument/2006/relationships/hyperlink" Target="https://twitter.com/TomKrebs1/status/702545758537449472" TargetMode="External"/><Relationship Id="rId6536" Type="http://schemas.openxmlformats.org/officeDocument/2006/relationships/hyperlink" Target="https://twitter.com/UKDSCensus" TargetMode="External"/><Relationship Id="rId7866" Type="http://schemas.openxmlformats.org/officeDocument/2006/relationships/hyperlink" Target="https://pbs.twimg.com/profile_images/633740829178236928/UlejOXvO_normal.jpg" TargetMode="External"/><Relationship Id="rId376" Type="http://schemas.openxmlformats.org/officeDocument/2006/relationships/hyperlink" Target="https://pbs.twimg.com/profile_images/1222779560/cran1_normal.jpg" TargetMode="External"/><Relationship Id="rId5202" Type="http://schemas.openxmlformats.org/officeDocument/2006/relationships/hyperlink" Target="https://twitter.com/techpearce2/status/702545342655557632" TargetMode="External"/><Relationship Id="rId6533" Type="http://schemas.openxmlformats.org/officeDocument/2006/relationships/hyperlink" Target="https://twitter.com/TierneyNicholas" TargetMode="External"/><Relationship Id="rId7865" Type="http://schemas.openxmlformats.org/officeDocument/2006/relationships/hyperlink" Target="https://twitter.com/fabiodossi/status/703028127895822336" TargetMode="External"/><Relationship Id="rId375" Type="http://schemas.openxmlformats.org/officeDocument/2006/relationships/hyperlink" Target="https://twitter.com/CRANberriesFeed/status/701439752537505796" TargetMode="External"/><Relationship Id="rId5203" Type="http://schemas.openxmlformats.org/officeDocument/2006/relationships/hyperlink" Target="https://pbs.twimg.com/profile_images/648912420275154944/Ab4szUPV_normal.jpg" TargetMode="External"/><Relationship Id="rId6534" Type="http://schemas.openxmlformats.org/officeDocument/2006/relationships/hyperlink" Target="https://twitter.com/TierneyNicholas/status/702799314230218756" TargetMode="External"/><Relationship Id="rId7864" Type="http://schemas.openxmlformats.org/officeDocument/2006/relationships/hyperlink" Target="https://twitter.com/fabiodossi" TargetMode="External"/><Relationship Id="rId5239" Type="http://schemas.openxmlformats.org/officeDocument/2006/relationships/hyperlink" Target="https://pbs.twimg.com/profile_images/628062474491670529/KOOABG9v_normal.jpg" TargetMode="External"/><Relationship Id="rId6560" Type="http://schemas.openxmlformats.org/officeDocument/2006/relationships/hyperlink" Target="https://twitter.com/neilcharles_uk" TargetMode="External"/><Relationship Id="rId7892" Type="http://schemas.openxmlformats.org/officeDocument/2006/relationships/hyperlink" Target="https://twitter.com/dataandme/status/703032220701827072" TargetMode="External"/><Relationship Id="rId5230" Type="http://schemas.openxmlformats.org/officeDocument/2006/relationships/hyperlink" Target="https://pbs.twimg.com/profile_images/653001436448460800/YOgSS7-S_normal.jpg" TargetMode="External"/><Relationship Id="rId6561" Type="http://schemas.openxmlformats.org/officeDocument/2006/relationships/hyperlink" Target="https://twitter.com/neilcharles_uk/status/702807927820840962" TargetMode="External"/><Relationship Id="rId7891" Type="http://schemas.openxmlformats.org/officeDocument/2006/relationships/hyperlink" Target="https://twitter.com/dataandme" TargetMode="External"/><Relationship Id="rId7890" Type="http://schemas.openxmlformats.org/officeDocument/2006/relationships/hyperlink" Target="https://pbs.twimg.com/profile_images/739153842/pp123_normal.jpg" TargetMode="External"/><Relationship Id="rId5233" Type="http://schemas.openxmlformats.org/officeDocument/2006/relationships/hyperlink" Target="https://pbs.twimg.com/profile_images/631488083863584769/gDqhLdAL_normal.png" TargetMode="External"/><Relationship Id="rId6564" Type="http://schemas.openxmlformats.org/officeDocument/2006/relationships/hyperlink" Target="https://twitter.com/ablazko/status/702809009628303360" TargetMode="External"/><Relationship Id="rId7896" Type="http://schemas.openxmlformats.org/officeDocument/2006/relationships/hyperlink" Target="https://pbs.twimg.com/profile_images/499358811564425216/jiX57F1h_normal.jpeg" TargetMode="External"/><Relationship Id="rId5234" Type="http://schemas.openxmlformats.org/officeDocument/2006/relationships/hyperlink" Target="https://twitter.com/gan_ef" TargetMode="External"/><Relationship Id="rId6565" Type="http://schemas.openxmlformats.org/officeDocument/2006/relationships/hyperlink" Target="https://pbs.twimg.com/profile_images/691981405744541696/u1zmf0EY_normal.png" TargetMode="External"/><Relationship Id="rId7895" Type="http://schemas.openxmlformats.org/officeDocument/2006/relationships/hyperlink" Target="https://twitter.com/polesasunder/status/703032610306437121" TargetMode="External"/><Relationship Id="rId5231" Type="http://schemas.openxmlformats.org/officeDocument/2006/relationships/hyperlink" Target="https://twitter.com/USGS_R" TargetMode="External"/><Relationship Id="rId6562" Type="http://schemas.openxmlformats.org/officeDocument/2006/relationships/hyperlink" Target="https://pbs.twimg.com/profile_images/1598054225/sunset_normal.jpg" TargetMode="External"/><Relationship Id="rId7894" Type="http://schemas.openxmlformats.org/officeDocument/2006/relationships/hyperlink" Target="https://twitter.com/polesasunder" TargetMode="External"/><Relationship Id="rId5232" Type="http://schemas.openxmlformats.org/officeDocument/2006/relationships/hyperlink" Target="https://twitter.com/USGS_R/status/702550231297224706" TargetMode="External"/><Relationship Id="rId6563" Type="http://schemas.openxmlformats.org/officeDocument/2006/relationships/hyperlink" Target="https://twitter.com/ablazko" TargetMode="External"/><Relationship Id="rId7893" Type="http://schemas.openxmlformats.org/officeDocument/2006/relationships/hyperlink" Target="https://pbs.twimg.com/profile_images/598126722920361984/HdS1NWXJ_normal.png" TargetMode="External"/><Relationship Id="rId5237" Type="http://schemas.openxmlformats.org/officeDocument/2006/relationships/hyperlink" Target="https://twitter.com/sckottie" TargetMode="External"/><Relationship Id="rId6568" Type="http://schemas.openxmlformats.org/officeDocument/2006/relationships/hyperlink" Target="https://pbs.twimg.com/profile_images/689233157510553600/U4Xd24FD_normal.jpg" TargetMode="External"/><Relationship Id="rId5238" Type="http://schemas.openxmlformats.org/officeDocument/2006/relationships/hyperlink" Target="https://twitter.com/sckottie/status/702551364224679936" TargetMode="External"/><Relationship Id="rId6569" Type="http://schemas.openxmlformats.org/officeDocument/2006/relationships/hyperlink" Target="https://twitter.com/ma_salmon" TargetMode="External"/><Relationship Id="rId7899" Type="http://schemas.openxmlformats.org/officeDocument/2006/relationships/hyperlink" Target="https://pbs.twimg.com/profile_images/3288129518/b2f3b017cc9c0346bede593dd48055ea_normal.jpeg" TargetMode="External"/><Relationship Id="rId5235" Type="http://schemas.openxmlformats.org/officeDocument/2006/relationships/hyperlink" Target="https://twitter.com/gan_ef/status/702551187686469632" TargetMode="External"/><Relationship Id="rId6566" Type="http://schemas.openxmlformats.org/officeDocument/2006/relationships/hyperlink" Target="https://twitter.com/SebastianGeukes" TargetMode="External"/><Relationship Id="rId7898" Type="http://schemas.openxmlformats.org/officeDocument/2006/relationships/hyperlink" Target="https://twitter.com/dthyresson/status/703032974065995777" TargetMode="External"/><Relationship Id="rId5236" Type="http://schemas.openxmlformats.org/officeDocument/2006/relationships/hyperlink" Target="https://pbs.twimg.com/profile_images/3550297152/35d762fe14d11ab26123047838d270c0_normal.jpeg" TargetMode="External"/><Relationship Id="rId6567" Type="http://schemas.openxmlformats.org/officeDocument/2006/relationships/hyperlink" Target="https://twitter.com/SebastianGeukes/status/702810490150461440" TargetMode="External"/><Relationship Id="rId7897" Type="http://schemas.openxmlformats.org/officeDocument/2006/relationships/hyperlink" Target="https://twitter.com/dthyresson" TargetMode="External"/><Relationship Id="rId5228" Type="http://schemas.openxmlformats.org/officeDocument/2006/relationships/hyperlink" Target="https://twitter.com/maynardandking" TargetMode="External"/><Relationship Id="rId6559" Type="http://schemas.openxmlformats.org/officeDocument/2006/relationships/hyperlink" Target="https://pbs.twimg.com/profile_images/618835201846853632/iY9ALPCR_normal.jpg" TargetMode="External"/><Relationship Id="rId5229" Type="http://schemas.openxmlformats.org/officeDocument/2006/relationships/hyperlink" Target="https://twitter.com/maynardandking/status/702549248873598977" TargetMode="External"/><Relationship Id="rId7881" Type="http://schemas.openxmlformats.org/officeDocument/2006/relationships/hyperlink" Target="https://pbs.twimg.com/profile_images/485909826044563456/kVpaTM4B_normal.jpeg" TargetMode="External"/><Relationship Id="rId6550" Type="http://schemas.openxmlformats.org/officeDocument/2006/relationships/hyperlink" Target="https://pbs.twimg.com/profile_images/645650110374936580/-oQakt8x_normal.png" TargetMode="External"/><Relationship Id="rId7880" Type="http://schemas.openxmlformats.org/officeDocument/2006/relationships/hyperlink" Target="https://twitter.com/cornerinsights/status/703029995099152385" TargetMode="External"/><Relationship Id="rId396" Type="http://schemas.openxmlformats.org/officeDocument/2006/relationships/hyperlink" Target="https://twitter.com/LovedeepSG/status/701448978055852032" TargetMode="External"/><Relationship Id="rId5222" Type="http://schemas.openxmlformats.org/officeDocument/2006/relationships/hyperlink" Target="https://twitter.com/rOpenSci" TargetMode="External"/><Relationship Id="rId6553" Type="http://schemas.openxmlformats.org/officeDocument/2006/relationships/hyperlink" Target="https://pbs.twimg.com/profile_images/641183991077445633/V7VcBpJI_normal.png" TargetMode="External"/><Relationship Id="rId7885" Type="http://schemas.openxmlformats.org/officeDocument/2006/relationships/hyperlink" Target="https://twitter.com/LovedeepSG" TargetMode="External"/><Relationship Id="rId395" Type="http://schemas.openxmlformats.org/officeDocument/2006/relationships/hyperlink" Target="https://twitter.com/LovedeepSG" TargetMode="External"/><Relationship Id="rId5223" Type="http://schemas.openxmlformats.org/officeDocument/2006/relationships/hyperlink" Target="https://twitter.com/rOpenSci/status/702547532321140736" TargetMode="External"/><Relationship Id="rId6554" Type="http://schemas.openxmlformats.org/officeDocument/2006/relationships/hyperlink" Target="https://twitter.com/AUS_2005" TargetMode="External"/><Relationship Id="rId7884" Type="http://schemas.openxmlformats.org/officeDocument/2006/relationships/hyperlink" Target="https://pbs.twimg.com/profile_images/485909826044563456/kVpaTM4B_normal.jpeg" TargetMode="External"/><Relationship Id="rId394" Type="http://schemas.openxmlformats.org/officeDocument/2006/relationships/hyperlink" Target="https://pbs.twimg.com/profile_images/378800000059126288/17d4fa184bbd13c1e64465a3cc234efc_normal.jpeg" TargetMode="External"/><Relationship Id="rId5220" Type="http://schemas.openxmlformats.org/officeDocument/2006/relationships/hyperlink" Target="https://twitter.com/sckottie/status/702547532291780609" TargetMode="External"/><Relationship Id="rId6551" Type="http://schemas.openxmlformats.org/officeDocument/2006/relationships/hyperlink" Target="https://twitter.com/MangoTheCat" TargetMode="External"/><Relationship Id="rId7883" Type="http://schemas.openxmlformats.org/officeDocument/2006/relationships/hyperlink" Target="https://twitter.com/cornerinsights/status/703030081682157569" TargetMode="External"/><Relationship Id="rId393" Type="http://schemas.openxmlformats.org/officeDocument/2006/relationships/hyperlink" Target="https://twitter.com/LovedeepSG/status/701448913476161536" TargetMode="External"/><Relationship Id="rId5221" Type="http://schemas.openxmlformats.org/officeDocument/2006/relationships/hyperlink" Target="https://pbs.twimg.com/profile_images/628062474491670529/KOOABG9v_normal.jpg" TargetMode="External"/><Relationship Id="rId6552" Type="http://schemas.openxmlformats.org/officeDocument/2006/relationships/hyperlink" Target="https://twitter.com/MangoTheCat/status/702804487182770176" TargetMode="External"/><Relationship Id="rId7882" Type="http://schemas.openxmlformats.org/officeDocument/2006/relationships/hyperlink" Target="https://twitter.com/cornerinsights" TargetMode="External"/><Relationship Id="rId5226" Type="http://schemas.openxmlformats.org/officeDocument/2006/relationships/hyperlink" Target="https://twitter.com/JennyBryan/status/702549151788113920" TargetMode="External"/><Relationship Id="rId6557" Type="http://schemas.openxmlformats.org/officeDocument/2006/relationships/hyperlink" Target="https://twitter.com/ErickLoomis" TargetMode="External"/><Relationship Id="rId7889" Type="http://schemas.openxmlformats.org/officeDocument/2006/relationships/hyperlink" Target="https://twitter.com/toleoring/status/703032215920205824" TargetMode="External"/><Relationship Id="rId399" Type="http://schemas.openxmlformats.org/officeDocument/2006/relationships/hyperlink" Target="https://twitter.com/KikePerez75/status/701449470354006016" TargetMode="External"/><Relationship Id="rId5227" Type="http://schemas.openxmlformats.org/officeDocument/2006/relationships/hyperlink" Target="https://pbs.twimg.com/profile_images/660978605606875137/s3YrJetD_normal.jpg" TargetMode="External"/><Relationship Id="rId6558" Type="http://schemas.openxmlformats.org/officeDocument/2006/relationships/hyperlink" Target="https://twitter.com/ErickLoomis/status/702806295481556992" TargetMode="External"/><Relationship Id="rId7888" Type="http://schemas.openxmlformats.org/officeDocument/2006/relationships/hyperlink" Target="https://twitter.com/toleoring" TargetMode="External"/><Relationship Id="rId398" Type="http://schemas.openxmlformats.org/officeDocument/2006/relationships/hyperlink" Target="https://twitter.com/KikePerez75" TargetMode="External"/><Relationship Id="rId5224" Type="http://schemas.openxmlformats.org/officeDocument/2006/relationships/hyperlink" Target="https://pbs.twimg.com/profile_images/2849015260/cef0a5f1ff89a175bf04bcc575ef3d20_normal.png" TargetMode="External"/><Relationship Id="rId6555" Type="http://schemas.openxmlformats.org/officeDocument/2006/relationships/hyperlink" Target="https://twitter.com/AUS_2005/status/702805044278591488" TargetMode="External"/><Relationship Id="rId7887" Type="http://schemas.openxmlformats.org/officeDocument/2006/relationships/hyperlink" Target="https://pbs.twimg.com/profile_images/378800000059126288/17d4fa184bbd13c1e64465a3cc234efc_normal.jpeg" TargetMode="External"/><Relationship Id="rId397" Type="http://schemas.openxmlformats.org/officeDocument/2006/relationships/hyperlink" Target="https://pbs.twimg.com/profile_images/378800000059126288/17d4fa184bbd13c1e64465a3cc234efc_normal.jpeg" TargetMode="External"/><Relationship Id="rId5225" Type="http://schemas.openxmlformats.org/officeDocument/2006/relationships/hyperlink" Target="https://twitter.com/JennyBryan" TargetMode="External"/><Relationship Id="rId6556" Type="http://schemas.openxmlformats.org/officeDocument/2006/relationships/hyperlink" Target="https://pbs.twimg.com/profile_images/698434154690523136/jnvUhsjI_normal.jpg" TargetMode="External"/><Relationship Id="rId7886" Type="http://schemas.openxmlformats.org/officeDocument/2006/relationships/hyperlink" Target="https://twitter.com/LovedeepSG/status/703031182657658880" TargetMode="External"/><Relationship Id="rId1730" Type="http://schemas.openxmlformats.org/officeDocument/2006/relationships/hyperlink" Target="https://pbs.twimg.com/profile_images/3427713318/840e4aa0a6dca9263a0507fbfe4c4074_normal.jpeg" TargetMode="External"/><Relationship Id="rId1731" Type="http://schemas.openxmlformats.org/officeDocument/2006/relationships/hyperlink" Target="https://twitter.com/briankreeger" TargetMode="External"/><Relationship Id="rId1732" Type="http://schemas.openxmlformats.org/officeDocument/2006/relationships/hyperlink" Target="https://twitter.com/briankreeger/status/701790851752570880" TargetMode="External"/><Relationship Id="rId1733" Type="http://schemas.openxmlformats.org/officeDocument/2006/relationships/hyperlink" Target="https://pbs.twimg.com/profile_images/636990062933053440/OlUaVGOM_normal.jpg" TargetMode="External"/><Relationship Id="rId1734" Type="http://schemas.openxmlformats.org/officeDocument/2006/relationships/hyperlink" Target="https://twitter.com/David_Roberson" TargetMode="External"/><Relationship Id="rId1735" Type="http://schemas.openxmlformats.org/officeDocument/2006/relationships/hyperlink" Target="https://twitter.com/David_Roberson/status/701790998159040512" TargetMode="External"/><Relationship Id="rId1736" Type="http://schemas.openxmlformats.org/officeDocument/2006/relationships/hyperlink" Target="https://pbs.twimg.com/profile_images/553165449169362945/5zO4P1iK_normal.jpeg" TargetMode="External"/><Relationship Id="rId1737" Type="http://schemas.openxmlformats.org/officeDocument/2006/relationships/hyperlink" Target="https://twitter.com/Hypoport" TargetMode="External"/><Relationship Id="rId1738" Type="http://schemas.openxmlformats.org/officeDocument/2006/relationships/hyperlink" Target="https://twitter.com/Hypoport/status/701791052756348929" TargetMode="External"/><Relationship Id="rId1739" Type="http://schemas.openxmlformats.org/officeDocument/2006/relationships/hyperlink" Target="https://pbs.twimg.com/profile_images/516590578692136960/hW9E50Nj_normal.png" TargetMode="External"/><Relationship Id="rId1720" Type="http://schemas.openxmlformats.org/officeDocument/2006/relationships/hyperlink" Target="https://twitter.com/hexheadtn/status/701789669768318976" TargetMode="External"/><Relationship Id="rId1721" Type="http://schemas.openxmlformats.org/officeDocument/2006/relationships/hyperlink" Target="https://pbs.twimg.com/profile_images/716369722/MeThinker_normal.jpg" TargetMode="External"/><Relationship Id="rId1722" Type="http://schemas.openxmlformats.org/officeDocument/2006/relationships/hyperlink" Target="https://twitter.com/jon_m_rob" TargetMode="External"/><Relationship Id="rId1723" Type="http://schemas.openxmlformats.org/officeDocument/2006/relationships/hyperlink" Target="https://twitter.com/jon_m_rob/status/701790221461893120" TargetMode="External"/><Relationship Id="rId1724" Type="http://schemas.openxmlformats.org/officeDocument/2006/relationships/hyperlink" Target="https://pbs.twimg.com/profile_images/610229649478668289/GSd903U8_normal.jpg" TargetMode="External"/><Relationship Id="rId1725" Type="http://schemas.openxmlformats.org/officeDocument/2006/relationships/hyperlink" Target="https://twitter.com/drob" TargetMode="External"/><Relationship Id="rId1726" Type="http://schemas.openxmlformats.org/officeDocument/2006/relationships/hyperlink" Target="https://twitter.com/drob/status/701790246111825925" TargetMode="External"/><Relationship Id="rId1727" Type="http://schemas.openxmlformats.org/officeDocument/2006/relationships/hyperlink" Target="https://pbs.twimg.com/profile_images/777175344/David_Robinson_normal.jpg" TargetMode="External"/><Relationship Id="rId1728" Type="http://schemas.openxmlformats.org/officeDocument/2006/relationships/hyperlink" Target="https://twitter.com/dragonflystats" TargetMode="External"/><Relationship Id="rId1729" Type="http://schemas.openxmlformats.org/officeDocument/2006/relationships/hyperlink" Target="https://twitter.com/dragonflystats/status/701790721754447877" TargetMode="External"/><Relationship Id="rId1752" Type="http://schemas.openxmlformats.org/officeDocument/2006/relationships/hyperlink" Target="https://twitter.com/DrMarkDunning" TargetMode="External"/><Relationship Id="rId1753" Type="http://schemas.openxmlformats.org/officeDocument/2006/relationships/hyperlink" Target="https://twitter.com/DrMarkDunning/status/701792422234345473" TargetMode="External"/><Relationship Id="rId1754" Type="http://schemas.openxmlformats.org/officeDocument/2006/relationships/hyperlink" Target="https://pbs.twimg.com/profile_images/3338274218/a50c630bc9de670c36de594a53d890dd_normal.jpeg" TargetMode="External"/><Relationship Id="rId1755" Type="http://schemas.openxmlformats.org/officeDocument/2006/relationships/hyperlink" Target="https://twitter.com/hjms" TargetMode="External"/><Relationship Id="rId1756" Type="http://schemas.openxmlformats.org/officeDocument/2006/relationships/hyperlink" Target="https://twitter.com/hjms/status/701792591348678656" TargetMode="External"/><Relationship Id="rId1757" Type="http://schemas.openxmlformats.org/officeDocument/2006/relationships/hyperlink" Target="https://pbs.twimg.com/profile_images/561827230108512256/A-TCfbuf_normal.jpeg" TargetMode="External"/><Relationship Id="rId1758" Type="http://schemas.openxmlformats.org/officeDocument/2006/relationships/hyperlink" Target="https://twitter.com/EvanTachovsky" TargetMode="External"/><Relationship Id="rId1759" Type="http://schemas.openxmlformats.org/officeDocument/2006/relationships/hyperlink" Target="https://twitter.com/EvanTachovsky/status/701792628942184449" TargetMode="External"/><Relationship Id="rId1750" Type="http://schemas.openxmlformats.org/officeDocument/2006/relationships/hyperlink" Target="https://twitter.com/hrhotz/status/701792085511434240" TargetMode="External"/><Relationship Id="rId1751" Type="http://schemas.openxmlformats.org/officeDocument/2006/relationships/hyperlink" Target="https://pbs.twimg.com/profile_images/459219127203164160/oglOcHsK_normal.jpeg" TargetMode="External"/><Relationship Id="rId1741" Type="http://schemas.openxmlformats.org/officeDocument/2006/relationships/hyperlink" Target="https://twitter.com/kierisi/status/701791626092347392" TargetMode="External"/><Relationship Id="rId1742" Type="http://schemas.openxmlformats.org/officeDocument/2006/relationships/hyperlink" Target="https://pbs.twimg.com/profile_images/679646902145556480/cM-3XPTI_normal.jpg" TargetMode="External"/><Relationship Id="rId1743" Type="http://schemas.openxmlformats.org/officeDocument/2006/relationships/hyperlink" Target="https://twitter.com/skilloak" TargetMode="External"/><Relationship Id="rId1744" Type="http://schemas.openxmlformats.org/officeDocument/2006/relationships/hyperlink" Target="https://twitter.com/skilloak/status/701791827280572416" TargetMode="External"/><Relationship Id="rId1745" Type="http://schemas.openxmlformats.org/officeDocument/2006/relationships/hyperlink" Target="https://pbs.twimg.com/profile_images/670315479517413376/Kkf5JA8s_normal.png" TargetMode="External"/><Relationship Id="rId1746" Type="http://schemas.openxmlformats.org/officeDocument/2006/relationships/hyperlink" Target="https://twitter.com/dccc_phd" TargetMode="External"/><Relationship Id="rId1747" Type="http://schemas.openxmlformats.org/officeDocument/2006/relationships/hyperlink" Target="https://twitter.com/dccc_phd/status/701792061662609412" TargetMode="External"/><Relationship Id="rId1748" Type="http://schemas.openxmlformats.org/officeDocument/2006/relationships/hyperlink" Target="https://pbs.twimg.com/profile_images/466601448952717312/IDi2ej9-_normal.jpeg" TargetMode="External"/><Relationship Id="rId1749" Type="http://schemas.openxmlformats.org/officeDocument/2006/relationships/hyperlink" Target="https://twitter.com/hrhotz" TargetMode="External"/><Relationship Id="rId1740" Type="http://schemas.openxmlformats.org/officeDocument/2006/relationships/hyperlink" Target="https://twitter.com/kierisi" TargetMode="External"/><Relationship Id="rId5291" Type="http://schemas.openxmlformats.org/officeDocument/2006/relationships/hyperlink" Target="https://twitter.com/sig_stats" TargetMode="External"/><Relationship Id="rId5292" Type="http://schemas.openxmlformats.org/officeDocument/2006/relationships/hyperlink" Target="https://twitter.com/sig_stats/status/702561154154029056" TargetMode="External"/><Relationship Id="rId5290" Type="http://schemas.openxmlformats.org/officeDocument/2006/relationships/hyperlink" Target="https://pbs.twimg.com/profile_images/2361292355/gf9ajbec7ejo7zkf58hl_normal.jpeg" TargetMode="External"/><Relationship Id="rId5295" Type="http://schemas.openxmlformats.org/officeDocument/2006/relationships/hyperlink" Target="https://twitter.com/sjackman/status/702561191143411712" TargetMode="External"/><Relationship Id="rId5296" Type="http://schemas.openxmlformats.org/officeDocument/2006/relationships/hyperlink" Target="https://pbs.twimg.com/profile_images/1477813716/sdj-headshot-square_normal.jpg" TargetMode="External"/><Relationship Id="rId5293" Type="http://schemas.openxmlformats.org/officeDocument/2006/relationships/hyperlink" Target="https://pbs.twimg.com/profile_images/672029237029793792/_qKmCzM8_normal.png" TargetMode="External"/><Relationship Id="rId5294" Type="http://schemas.openxmlformats.org/officeDocument/2006/relationships/hyperlink" Target="https://twitter.com/sjackman" TargetMode="External"/><Relationship Id="rId5299" Type="http://schemas.openxmlformats.org/officeDocument/2006/relationships/hyperlink" Target="https://pbs.twimg.com/profile_images/378800000059126288/17d4fa184bbd13c1e64465a3cc234efc_normal.jpeg" TargetMode="External"/><Relationship Id="rId5297" Type="http://schemas.openxmlformats.org/officeDocument/2006/relationships/hyperlink" Target="https://twitter.com/LovedeepSG" TargetMode="External"/><Relationship Id="rId5298" Type="http://schemas.openxmlformats.org/officeDocument/2006/relationships/hyperlink" Target="https://twitter.com/LovedeepSG/status/702561242766925825" TargetMode="External"/><Relationship Id="rId5280" Type="http://schemas.openxmlformats.org/officeDocument/2006/relationships/hyperlink" Target="https://twitter.com/Emaasit/status/702559022163988480" TargetMode="External"/><Relationship Id="rId5281" Type="http://schemas.openxmlformats.org/officeDocument/2006/relationships/hyperlink" Target="https://pbs.twimg.com/profile_images/567588045927354370/NN8xp_M5_normal.jpeg" TargetMode="External"/><Relationship Id="rId5284" Type="http://schemas.openxmlformats.org/officeDocument/2006/relationships/hyperlink" Target="https://pbs.twimg.com/profile_images/701732569944092672/lj__tCoY_normal.jpg" TargetMode="External"/><Relationship Id="rId5285" Type="http://schemas.openxmlformats.org/officeDocument/2006/relationships/hyperlink" Target="https://twitter.com/Voovarb" TargetMode="External"/><Relationship Id="rId5282" Type="http://schemas.openxmlformats.org/officeDocument/2006/relationships/hyperlink" Target="https://twitter.com/R_Graph_Gallery" TargetMode="External"/><Relationship Id="rId5283" Type="http://schemas.openxmlformats.org/officeDocument/2006/relationships/hyperlink" Target="https://twitter.com/R_Graph_Gallery/status/702559557739003905" TargetMode="External"/><Relationship Id="rId5288" Type="http://schemas.openxmlformats.org/officeDocument/2006/relationships/hyperlink" Target="https://twitter.com/rozran00" TargetMode="External"/><Relationship Id="rId5289" Type="http://schemas.openxmlformats.org/officeDocument/2006/relationships/hyperlink" Target="https://twitter.com/rozran00/status/702560081464799232" TargetMode="External"/><Relationship Id="rId5286" Type="http://schemas.openxmlformats.org/officeDocument/2006/relationships/hyperlink" Target="https://twitter.com/Voovarb/status/702559713582387200" TargetMode="External"/><Relationship Id="rId5287" Type="http://schemas.openxmlformats.org/officeDocument/2006/relationships/hyperlink" Target="https://pbs.twimg.com/profile_images/626808502929899522/nF4A807A_normal.jpg" TargetMode="External"/><Relationship Id="rId1710" Type="http://schemas.openxmlformats.org/officeDocument/2006/relationships/hyperlink" Target="https://twitter.com/klunkySQL" TargetMode="External"/><Relationship Id="rId1711" Type="http://schemas.openxmlformats.org/officeDocument/2006/relationships/hyperlink" Target="https://twitter.com/klunkySQL/status/701783819679088641" TargetMode="External"/><Relationship Id="rId1712" Type="http://schemas.openxmlformats.org/officeDocument/2006/relationships/hyperlink" Target="https://pbs.twimg.com/profile_images/378800000400158691/edbe12abee25147a4fa5f37eced8f9cb_normal.png" TargetMode="External"/><Relationship Id="rId1713" Type="http://schemas.openxmlformats.org/officeDocument/2006/relationships/hyperlink" Target="https://twitter.com/MangoTheCat" TargetMode="External"/><Relationship Id="rId1714" Type="http://schemas.openxmlformats.org/officeDocument/2006/relationships/hyperlink" Target="https://twitter.com/MangoTheCat/status/701786288446435328" TargetMode="External"/><Relationship Id="rId1715" Type="http://schemas.openxmlformats.org/officeDocument/2006/relationships/hyperlink" Target="https://pbs.twimg.com/profile_images/641183991077445633/V7VcBpJI_normal.png" TargetMode="External"/><Relationship Id="rId1716" Type="http://schemas.openxmlformats.org/officeDocument/2006/relationships/hyperlink" Target="https://twitter.com/pageinini" TargetMode="External"/><Relationship Id="rId1717" Type="http://schemas.openxmlformats.org/officeDocument/2006/relationships/hyperlink" Target="https://twitter.com/pageinini/status/701789449882116102" TargetMode="External"/><Relationship Id="rId1718" Type="http://schemas.openxmlformats.org/officeDocument/2006/relationships/hyperlink" Target="https://pbs.twimg.com/profile_images/507990966200852480/Oi-U7rt6_normal.jpeg" TargetMode="External"/><Relationship Id="rId1719" Type="http://schemas.openxmlformats.org/officeDocument/2006/relationships/hyperlink" Target="https://twitter.com/hexheadtn" TargetMode="External"/><Relationship Id="rId1700" Type="http://schemas.openxmlformats.org/officeDocument/2006/relationships/hyperlink" Target="https://pbs.twimg.com/profile_images/647923180795994112/kfRnOF24_normal.jpg" TargetMode="External"/><Relationship Id="rId1701" Type="http://schemas.openxmlformats.org/officeDocument/2006/relationships/hyperlink" Target="https://twitter.com/bigboardsio" TargetMode="External"/><Relationship Id="rId1702" Type="http://schemas.openxmlformats.org/officeDocument/2006/relationships/hyperlink" Target="https://twitter.com/bigboardsio/status/701782698986225664" TargetMode="External"/><Relationship Id="rId1703" Type="http://schemas.openxmlformats.org/officeDocument/2006/relationships/hyperlink" Target="https://pbs.twimg.com/profile_images/489375332743409664/P4sYDY1__normal.png" TargetMode="External"/><Relationship Id="rId1704" Type="http://schemas.openxmlformats.org/officeDocument/2006/relationships/hyperlink" Target="https://twitter.com/doyoupoincare" TargetMode="External"/><Relationship Id="rId1705" Type="http://schemas.openxmlformats.org/officeDocument/2006/relationships/hyperlink" Target="https://twitter.com/doyoupoincare/status/701783406149931008" TargetMode="External"/><Relationship Id="rId1706" Type="http://schemas.openxmlformats.org/officeDocument/2006/relationships/hyperlink" Target="https://pbs.twimg.com/profile_images/598111061292646400/nL5KUL4I_normal.jpg" TargetMode="External"/><Relationship Id="rId1707" Type="http://schemas.openxmlformats.org/officeDocument/2006/relationships/hyperlink" Target="https://twitter.com/doyoupoincare" TargetMode="External"/><Relationship Id="rId1708" Type="http://schemas.openxmlformats.org/officeDocument/2006/relationships/hyperlink" Target="https://twitter.com/doyoupoincare/status/701783418149834757" TargetMode="External"/><Relationship Id="rId1709" Type="http://schemas.openxmlformats.org/officeDocument/2006/relationships/hyperlink" Target="https://pbs.twimg.com/profile_images/598111061292646400/nL5KUL4I_normal.jpg" TargetMode="External"/><Relationship Id="rId40" Type="http://schemas.openxmlformats.org/officeDocument/2006/relationships/hyperlink" Target="https://twitter.com/shakirdeen/status/701295704392785922" TargetMode="External"/><Relationship Id="rId42" Type="http://schemas.openxmlformats.org/officeDocument/2006/relationships/hyperlink" Target="https://twitter.com/homeAIinfo" TargetMode="External"/><Relationship Id="rId41" Type="http://schemas.openxmlformats.org/officeDocument/2006/relationships/hyperlink" Target="https://pbs.twimg.com/profile_images/500535426642608128/erG8_uq1_normal.jpeg" TargetMode="External"/><Relationship Id="rId44" Type="http://schemas.openxmlformats.org/officeDocument/2006/relationships/hyperlink" Target="https://pbs.twimg.com/profile_images/645650110374936580/-oQakt8x_normal.png" TargetMode="External"/><Relationship Id="rId43" Type="http://schemas.openxmlformats.org/officeDocument/2006/relationships/hyperlink" Target="https://twitter.com/homeAIinfo/status/701296343403331584" TargetMode="External"/><Relationship Id="rId46" Type="http://schemas.openxmlformats.org/officeDocument/2006/relationships/hyperlink" Target="https://twitter.com/ErmiaBivatan/status/701300121573728256" TargetMode="External"/><Relationship Id="rId45" Type="http://schemas.openxmlformats.org/officeDocument/2006/relationships/hyperlink" Target="https://twitter.com/ErmiaBivatan" TargetMode="External"/><Relationship Id="rId48" Type="http://schemas.openxmlformats.org/officeDocument/2006/relationships/hyperlink" Target="https://twitter.com/DrAndyPardoe" TargetMode="External"/><Relationship Id="rId47" Type="http://schemas.openxmlformats.org/officeDocument/2006/relationships/hyperlink" Target="https://pbs.twimg.com/profile_images/700219041131204608/DZKmHE4-_normal.jpg" TargetMode="External"/><Relationship Id="rId49" Type="http://schemas.openxmlformats.org/officeDocument/2006/relationships/hyperlink" Target="https://twitter.com/DrAndyPardoe/status/701300660726165504" TargetMode="External"/><Relationship Id="rId31" Type="http://schemas.openxmlformats.org/officeDocument/2006/relationships/hyperlink" Target="https://twitter.com/wtibrentdubai/status/701293384770539520" TargetMode="External"/><Relationship Id="rId30" Type="http://schemas.openxmlformats.org/officeDocument/2006/relationships/hyperlink" Target="https://twitter.com/wtibrentdubai" TargetMode="External"/><Relationship Id="rId33" Type="http://schemas.openxmlformats.org/officeDocument/2006/relationships/hyperlink" Target="https://twitter.com/estebanpdl" TargetMode="External"/><Relationship Id="rId32" Type="http://schemas.openxmlformats.org/officeDocument/2006/relationships/hyperlink" Target="https://pbs.twimg.com/profile_images/670700991906381824/-0POuKFV_normal.jpg" TargetMode="External"/><Relationship Id="rId35" Type="http://schemas.openxmlformats.org/officeDocument/2006/relationships/hyperlink" Target="https://pbs.twimg.com/profile_images/573240515086295040/2__c_f7p_normal.jpeg" TargetMode="External"/><Relationship Id="rId34" Type="http://schemas.openxmlformats.org/officeDocument/2006/relationships/hyperlink" Target="https://twitter.com/estebanpdl/status/701293766569807874" TargetMode="External"/><Relationship Id="rId37" Type="http://schemas.openxmlformats.org/officeDocument/2006/relationships/hyperlink" Target="https://twitter.com/tdoris75/status/701295627221778432" TargetMode="External"/><Relationship Id="rId36" Type="http://schemas.openxmlformats.org/officeDocument/2006/relationships/hyperlink" Target="https://twitter.com/tdoris75" TargetMode="External"/><Relationship Id="rId39" Type="http://schemas.openxmlformats.org/officeDocument/2006/relationships/hyperlink" Target="https://twitter.com/shakirdeen" TargetMode="External"/><Relationship Id="rId38" Type="http://schemas.openxmlformats.org/officeDocument/2006/relationships/hyperlink" Target="https://pbs.twimg.com/profile_images/493844212194869248/tCzU9XGg_normal.jpeg" TargetMode="External"/><Relationship Id="rId20" Type="http://schemas.openxmlformats.org/officeDocument/2006/relationships/hyperlink" Target="https://pbs.twimg.com/profile_images/552483320349462528/uBfJLmYP_normal.png" TargetMode="External"/><Relationship Id="rId22" Type="http://schemas.openxmlformats.org/officeDocument/2006/relationships/hyperlink" Target="https://twitter.com/DailyRpackage/status/701292776005234688" TargetMode="External"/><Relationship Id="rId21" Type="http://schemas.openxmlformats.org/officeDocument/2006/relationships/hyperlink" Target="https://twitter.com/DailyRpackage" TargetMode="External"/><Relationship Id="rId24" Type="http://schemas.openxmlformats.org/officeDocument/2006/relationships/hyperlink" Target="https://twitter.com/pa_marais" TargetMode="External"/><Relationship Id="rId23" Type="http://schemas.openxmlformats.org/officeDocument/2006/relationships/hyperlink" Target="https://pbs.twimg.com/profile_images/3438004205/66da7270714af4309d185b958c4bb8be_normal.jpeg" TargetMode="External"/><Relationship Id="rId26" Type="http://schemas.openxmlformats.org/officeDocument/2006/relationships/hyperlink" Target="https://pbs.twimg.com/profile_images/568067400809984000/MXrq4e8A_normal.jpeg" TargetMode="External"/><Relationship Id="rId25" Type="http://schemas.openxmlformats.org/officeDocument/2006/relationships/hyperlink" Target="https://twitter.com/pa_marais/status/701292938366681089" TargetMode="External"/><Relationship Id="rId28" Type="http://schemas.openxmlformats.org/officeDocument/2006/relationships/hyperlink" Target="https://twitter.com/raymondpeck3/status/701293093971107840" TargetMode="External"/><Relationship Id="rId27" Type="http://schemas.openxmlformats.org/officeDocument/2006/relationships/hyperlink" Target="https://twitter.com/raymondpeck3" TargetMode="External"/><Relationship Id="rId29" Type="http://schemas.openxmlformats.org/officeDocument/2006/relationships/hyperlink" Target="https://pbs.twimg.com/profile_images/665985931879411712/EJ-Ofxrj_normal.png" TargetMode="External"/><Relationship Id="rId11" Type="http://schemas.openxmlformats.org/officeDocument/2006/relationships/hyperlink" Target="https://pbs.twimg.com/profile_images/2276033343/image_normal.jpg" TargetMode="External"/><Relationship Id="rId10" Type="http://schemas.openxmlformats.org/officeDocument/2006/relationships/hyperlink" Target="https://twitter.com/matthewgiglia/status/701285484396326913" TargetMode="External"/><Relationship Id="rId13" Type="http://schemas.openxmlformats.org/officeDocument/2006/relationships/hyperlink" Target="https://twitter.com/DataWookie/status/701287669519642624" TargetMode="External"/><Relationship Id="rId12" Type="http://schemas.openxmlformats.org/officeDocument/2006/relationships/hyperlink" Target="https://twitter.com/DataWookie" TargetMode="External"/><Relationship Id="rId15" Type="http://schemas.openxmlformats.org/officeDocument/2006/relationships/hyperlink" Target="https://twitter.com/pa_marais" TargetMode="External"/><Relationship Id="rId14" Type="http://schemas.openxmlformats.org/officeDocument/2006/relationships/hyperlink" Target="https://pbs.twimg.com/profile_images/612471608725213184/eXKo2Kmo_normal.jpg" TargetMode="External"/><Relationship Id="rId17" Type="http://schemas.openxmlformats.org/officeDocument/2006/relationships/hyperlink" Target="https://pbs.twimg.com/profile_images/568067400809984000/MXrq4e8A_normal.jpeg" TargetMode="External"/><Relationship Id="rId16" Type="http://schemas.openxmlformats.org/officeDocument/2006/relationships/hyperlink" Target="https://twitter.com/pa_marais/status/701288246207188992" TargetMode="External"/><Relationship Id="rId19" Type="http://schemas.openxmlformats.org/officeDocument/2006/relationships/hyperlink" Target="https://twitter.com/mariuscotor/status/701289472059699200" TargetMode="External"/><Relationship Id="rId18" Type="http://schemas.openxmlformats.org/officeDocument/2006/relationships/hyperlink" Target="https://twitter.com/mariuscotor" TargetMode="External"/><Relationship Id="rId84" Type="http://schemas.openxmlformats.org/officeDocument/2006/relationships/hyperlink" Target="https://twitter.com/UKStartupEvents" TargetMode="External"/><Relationship Id="rId1774" Type="http://schemas.openxmlformats.org/officeDocument/2006/relationships/hyperlink" Target="https://twitter.com/thediceareright/status/701793733709275136" TargetMode="External"/><Relationship Id="rId83" Type="http://schemas.openxmlformats.org/officeDocument/2006/relationships/hyperlink" Target="https://pbs.twimg.com/profile_images/1580520395/Nyan_cat_250px_frame_normal.png" TargetMode="External"/><Relationship Id="rId1775" Type="http://schemas.openxmlformats.org/officeDocument/2006/relationships/hyperlink" Target="https://pbs.twimg.com/profile_images/378800000712866654/76806a759a4d02e0ca9c49357962b123_normal.png" TargetMode="External"/><Relationship Id="rId86" Type="http://schemas.openxmlformats.org/officeDocument/2006/relationships/hyperlink" Target="https://pbs.twimg.com/profile_images/670156125199835136/RYMhziWy_normal.jpg" TargetMode="External"/><Relationship Id="rId1776" Type="http://schemas.openxmlformats.org/officeDocument/2006/relationships/hyperlink" Target="https://twitter.com/ryanpraski" TargetMode="External"/><Relationship Id="rId85" Type="http://schemas.openxmlformats.org/officeDocument/2006/relationships/hyperlink" Target="https://twitter.com/UKStartupEvents/status/701321856540925952" TargetMode="External"/><Relationship Id="rId1777" Type="http://schemas.openxmlformats.org/officeDocument/2006/relationships/hyperlink" Target="https://twitter.com/ryanpraski/status/701793868245762049" TargetMode="External"/><Relationship Id="rId88" Type="http://schemas.openxmlformats.org/officeDocument/2006/relationships/hyperlink" Target="https://twitter.com/jianguoj/status/701323940673630209" TargetMode="External"/><Relationship Id="rId1778" Type="http://schemas.openxmlformats.org/officeDocument/2006/relationships/hyperlink" Target="https://pbs.twimg.com/profile_images/634449864684924928/VtH3s8ip_normal.png" TargetMode="External"/><Relationship Id="rId87" Type="http://schemas.openxmlformats.org/officeDocument/2006/relationships/hyperlink" Target="https://twitter.com/jianguoj" TargetMode="External"/><Relationship Id="rId1779" Type="http://schemas.openxmlformats.org/officeDocument/2006/relationships/hyperlink" Target="https://twitter.com/Mehdi_Nemlaghi" TargetMode="External"/><Relationship Id="rId89" Type="http://schemas.openxmlformats.org/officeDocument/2006/relationships/hyperlink" Target="https://pbs.twimg.com/profile_images/481832363450580993/FPpqiAR6_normal.jpeg" TargetMode="External"/><Relationship Id="rId80" Type="http://schemas.openxmlformats.org/officeDocument/2006/relationships/hyperlink" Target="https://pbs.twimg.com/profile_images/1580520395/Nyan_cat_250px_frame_normal.png" TargetMode="External"/><Relationship Id="rId82" Type="http://schemas.openxmlformats.org/officeDocument/2006/relationships/hyperlink" Target="https://twitter.com/fabio_zottele/status/701321525140520960" TargetMode="External"/><Relationship Id="rId81" Type="http://schemas.openxmlformats.org/officeDocument/2006/relationships/hyperlink" Target="https://twitter.com/fabio_zottele" TargetMode="External"/><Relationship Id="rId1770" Type="http://schemas.openxmlformats.org/officeDocument/2006/relationships/hyperlink" Target="https://twitter.com/ukituki" TargetMode="External"/><Relationship Id="rId1771" Type="http://schemas.openxmlformats.org/officeDocument/2006/relationships/hyperlink" Target="https://twitter.com/ukituki/status/701793625332703232" TargetMode="External"/><Relationship Id="rId1772" Type="http://schemas.openxmlformats.org/officeDocument/2006/relationships/hyperlink" Target="https://pbs.twimg.com/profile_images/1773918608/gravatar_normal.png" TargetMode="External"/><Relationship Id="rId1773" Type="http://schemas.openxmlformats.org/officeDocument/2006/relationships/hyperlink" Target="https://twitter.com/thediceareright" TargetMode="External"/><Relationship Id="rId73" Type="http://schemas.openxmlformats.org/officeDocument/2006/relationships/hyperlink" Target="https://twitter.com/CRANberriesFeed/status/701318910491156484" TargetMode="External"/><Relationship Id="rId1763" Type="http://schemas.openxmlformats.org/officeDocument/2006/relationships/hyperlink" Target="https://abs.twimg.com/sticky/default_profile_images/default_profile_0_normal.png" TargetMode="External"/><Relationship Id="rId72" Type="http://schemas.openxmlformats.org/officeDocument/2006/relationships/hyperlink" Target="https://twitter.com/CRANberriesFeed" TargetMode="External"/><Relationship Id="rId1764" Type="http://schemas.openxmlformats.org/officeDocument/2006/relationships/hyperlink" Target="https://twitter.com/stefanpiatek" TargetMode="External"/><Relationship Id="rId75" Type="http://schemas.openxmlformats.org/officeDocument/2006/relationships/hyperlink" Target="https://twitter.com/neerajunc" TargetMode="External"/><Relationship Id="rId1765" Type="http://schemas.openxmlformats.org/officeDocument/2006/relationships/hyperlink" Target="https://twitter.com/stefanpiatek/status/701793234977210369" TargetMode="External"/><Relationship Id="rId74" Type="http://schemas.openxmlformats.org/officeDocument/2006/relationships/hyperlink" Target="https://pbs.twimg.com/profile_images/1222779560/cran1_normal.jpg" TargetMode="External"/><Relationship Id="rId1766" Type="http://schemas.openxmlformats.org/officeDocument/2006/relationships/hyperlink" Target="https://pbs.twimg.com/profile_images/653526133451923456/8sKgc6yf_normal.jpg" TargetMode="External"/><Relationship Id="rId77" Type="http://schemas.openxmlformats.org/officeDocument/2006/relationships/hyperlink" Target="https://abs.twimg.com/sticky/default_profile_images/default_profile_5_normal.png" TargetMode="External"/><Relationship Id="rId1767" Type="http://schemas.openxmlformats.org/officeDocument/2006/relationships/hyperlink" Target="https://twitter.com/randyzwitch" TargetMode="External"/><Relationship Id="rId76" Type="http://schemas.openxmlformats.org/officeDocument/2006/relationships/hyperlink" Target="https://twitter.com/neerajunc/status/701319911436476416" TargetMode="External"/><Relationship Id="rId1768" Type="http://schemas.openxmlformats.org/officeDocument/2006/relationships/hyperlink" Target="https://twitter.com/randyzwitch/status/701793341126504448" TargetMode="External"/><Relationship Id="rId79" Type="http://schemas.openxmlformats.org/officeDocument/2006/relationships/hyperlink" Target="https://twitter.com/fabio_zottele/status/701320708987740160" TargetMode="External"/><Relationship Id="rId1769" Type="http://schemas.openxmlformats.org/officeDocument/2006/relationships/hyperlink" Target="https://pbs.twimg.com/profile_images/608974242319863808/qU7nnjuo_normal.jpg" TargetMode="External"/><Relationship Id="rId78" Type="http://schemas.openxmlformats.org/officeDocument/2006/relationships/hyperlink" Target="https://twitter.com/fabio_zottele" TargetMode="External"/><Relationship Id="rId71" Type="http://schemas.openxmlformats.org/officeDocument/2006/relationships/hyperlink" Target="https://pbs.twimg.com/profile_images/1222779560/cran1_normal.jpg" TargetMode="External"/><Relationship Id="rId70" Type="http://schemas.openxmlformats.org/officeDocument/2006/relationships/hyperlink" Target="https://twitter.com/CRANberriesFeed/status/701318899418144768" TargetMode="External"/><Relationship Id="rId1760" Type="http://schemas.openxmlformats.org/officeDocument/2006/relationships/hyperlink" Target="https://pbs.twimg.com/profile_images/571074052161150976/roiKBKRf_normal.jpeg" TargetMode="External"/><Relationship Id="rId1761" Type="http://schemas.openxmlformats.org/officeDocument/2006/relationships/hyperlink" Target="https://twitter.com/mtrost2" TargetMode="External"/><Relationship Id="rId1762" Type="http://schemas.openxmlformats.org/officeDocument/2006/relationships/hyperlink" Target="https://twitter.com/mtrost2/status/701792641525141506" TargetMode="External"/><Relationship Id="rId62" Type="http://schemas.openxmlformats.org/officeDocument/2006/relationships/hyperlink" Target="https://pbs.twimg.com/profile_images/636684388000894976/7Uhsb37I_normal.jpg" TargetMode="External"/><Relationship Id="rId1796" Type="http://schemas.openxmlformats.org/officeDocument/2006/relationships/hyperlink" Target="https://twitter.com/hexheadtn/status/701797900532101120" TargetMode="External"/><Relationship Id="rId61" Type="http://schemas.openxmlformats.org/officeDocument/2006/relationships/hyperlink" Target="https://twitter.com/Dr_ErinPrice/status/701314250195599362" TargetMode="External"/><Relationship Id="rId1797" Type="http://schemas.openxmlformats.org/officeDocument/2006/relationships/hyperlink" Target="https://pbs.twimg.com/profile_images/716369722/MeThinker_normal.jpg" TargetMode="External"/><Relationship Id="rId64" Type="http://schemas.openxmlformats.org/officeDocument/2006/relationships/hyperlink" Target="https://twitter.com/souravc83/status/701317743799185408" TargetMode="External"/><Relationship Id="rId1798" Type="http://schemas.openxmlformats.org/officeDocument/2006/relationships/hyperlink" Target="https://twitter.com/MangoTheCat" TargetMode="External"/><Relationship Id="rId63" Type="http://schemas.openxmlformats.org/officeDocument/2006/relationships/hyperlink" Target="https://twitter.com/souravc83" TargetMode="External"/><Relationship Id="rId1799" Type="http://schemas.openxmlformats.org/officeDocument/2006/relationships/hyperlink" Target="https://twitter.com/MangoTheCat/status/701798306813505539" TargetMode="External"/><Relationship Id="rId66" Type="http://schemas.openxmlformats.org/officeDocument/2006/relationships/hyperlink" Target="https://twitter.com/CRANberriesFeed" TargetMode="External"/><Relationship Id="rId65" Type="http://schemas.openxmlformats.org/officeDocument/2006/relationships/hyperlink" Target="https://pbs.twimg.com/profile_images/658511161034326016/RaFwgtT6_normal.jpg" TargetMode="External"/><Relationship Id="rId68" Type="http://schemas.openxmlformats.org/officeDocument/2006/relationships/hyperlink" Target="https://pbs.twimg.com/profile_images/1222779560/cran1_normal.jpg" TargetMode="External"/><Relationship Id="rId67" Type="http://schemas.openxmlformats.org/officeDocument/2006/relationships/hyperlink" Target="https://twitter.com/CRANberriesFeed/status/701318872134189056" TargetMode="External"/><Relationship Id="rId60" Type="http://schemas.openxmlformats.org/officeDocument/2006/relationships/hyperlink" Target="https://twitter.com/Dr_ErinPrice" TargetMode="External"/><Relationship Id="rId69" Type="http://schemas.openxmlformats.org/officeDocument/2006/relationships/hyperlink" Target="https://twitter.com/CRANberriesFeed" TargetMode="External"/><Relationship Id="rId1790" Type="http://schemas.openxmlformats.org/officeDocument/2006/relationships/hyperlink" Target="https://twitter.com/Iam_urdata/status/701795593950068736" TargetMode="External"/><Relationship Id="rId1791" Type="http://schemas.openxmlformats.org/officeDocument/2006/relationships/hyperlink" Target="https://pbs.twimg.com/profile_images/701689285678727168/05uXY6gz_normal.jpg" TargetMode="External"/><Relationship Id="rId1792" Type="http://schemas.openxmlformats.org/officeDocument/2006/relationships/hyperlink" Target="https://twitter.com/StrictlyStat" TargetMode="External"/><Relationship Id="rId1793" Type="http://schemas.openxmlformats.org/officeDocument/2006/relationships/hyperlink" Target="https://twitter.com/StrictlyStat/status/701795960834359296" TargetMode="External"/><Relationship Id="rId1794" Type="http://schemas.openxmlformats.org/officeDocument/2006/relationships/hyperlink" Target="https://pbs.twimg.com/profile_images/3161295308/9565457a1e48014c90a353c2ce1eea96_normal.png" TargetMode="External"/><Relationship Id="rId1795" Type="http://schemas.openxmlformats.org/officeDocument/2006/relationships/hyperlink" Target="https://twitter.com/hexheadtn" TargetMode="External"/><Relationship Id="rId51" Type="http://schemas.openxmlformats.org/officeDocument/2006/relationships/hyperlink" Target="https://twitter.com/ndjido" TargetMode="External"/><Relationship Id="rId1785" Type="http://schemas.openxmlformats.org/officeDocument/2006/relationships/hyperlink" Target="https://pbs.twimg.com/profile_images/502185985786916864/gkdFh-q7_normal.png" TargetMode="External"/><Relationship Id="rId50" Type="http://schemas.openxmlformats.org/officeDocument/2006/relationships/hyperlink" Target="https://pbs.twimg.com/profile_images/485766134268837889/t4PLhSfT_normal.jpeg" TargetMode="External"/><Relationship Id="rId1786" Type="http://schemas.openxmlformats.org/officeDocument/2006/relationships/hyperlink" Target="https://twitter.com/le_girafe" TargetMode="External"/><Relationship Id="rId53" Type="http://schemas.openxmlformats.org/officeDocument/2006/relationships/hyperlink" Target="https://pbs.twimg.com/profile_images/599331332569829376/7hvOItHz_normal.jpg" TargetMode="External"/><Relationship Id="rId1787" Type="http://schemas.openxmlformats.org/officeDocument/2006/relationships/hyperlink" Target="https://twitter.com/le_girafe/status/701795395287064576" TargetMode="External"/><Relationship Id="rId52" Type="http://schemas.openxmlformats.org/officeDocument/2006/relationships/hyperlink" Target="https://twitter.com/ndjido/status/701302499995688960" TargetMode="External"/><Relationship Id="rId1788" Type="http://schemas.openxmlformats.org/officeDocument/2006/relationships/hyperlink" Target="https://pbs.twimg.com/profile_images/1750934315/JR_normal.jpg" TargetMode="External"/><Relationship Id="rId55" Type="http://schemas.openxmlformats.org/officeDocument/2006/relationships/hyperlink" Target="https://twitter.com/iskeen1963/status/701306418075283456" TargetMode="External"/><Relationship Id="rId1789" Type="http://schemas.openxmlformats.org/officeDocument/2006/relationships/hyperlink" Target="https://twitter.com/Iam_urdata" TargetMode="External"/><Relationship Id="rId54" Type="http://schemas.openxmlformats.org/officeDocument/2006/relationships/hyperlink" Target="https://twitter.com/iskeen1963" TargetMode="External"/><Relationship Id="rId57" Type="http://schemas.openxmlformats.org/officeDocument/2006/relationships/hyperlink" Target="https://twitter.com/suman12029" TargetMode="External"/><Relationship Id="rId56" Type="http://schemas.openxmlformats.org/officeDocument/2006/relationships/hyperlink" Target="https://pbs.twimg.com/profile_images/663960792316809216/DinZ7cMC_normal.jpg" TargetMode="External"/><Relationship Id="rId59" Type="http://schemas.openxmlformats.org/officeDocument/2006/relationships/hyperlink" Target="https://pbs.twimg.com/profile_images/478894923073089536/28J4jgVk_normal.jpeg" TargetMode="External"/><Relationship Id="rId58" Type="http://schemas.openxmlformats.org/officeDocument/2006/relationships/hyperlink" Target="https://twitter.com/suman12029/status/701306710997278720" TargetMode="External"/><Relationship Id="rId1780" Type="http://schemas.openxmlformats.org/officeDocument/2006/relationships/hyperlink" Target="https://twitter.com/Mehdi_Nemlaghi/status/701794459231588353" TargetMode="External"/><Relationship Id="rId1781" Type="http://schemas.openxmlformats.org/officeDocument/2006/relationships/hyperlink" Target="https://pbs.twimg.com/profile_images/658254996434198528/0E3NI5kB_normal.jpg" TargetMode="External"/><Relationship Id="rId1782" Type="http://schemas.openxmlformats.org/officeDocument/2006/relationships/hyperlink" Target="https://twitter.com/Rbloggers" TargetMode="External"/><Relationship Id="rId1783" Type="http://schemas.openxmlformats.org/officeDocument/2006/relationships/hyperlink" Target="https://twitter.com/Rbloggers/status/701794856234913793" TargetMode="External"/><Relationship Id="rId1784" Type="http://schemas.openxmlformats.org/officeDocument/2006/relationships/hyperlink" Target="http://r-bloggers.com" TargetMode="External"/><Relationship Id="rId6627" Type="http://schemas.openxmlformats.org/officeDocument/2006/relationships/hyperlink" Target="https://twitter.com/asas_mimi/status/702835805090246657" TargetMode="External"/><Relationship Id="rId7959" Type="http://schemas.openxmlformats.org/officeDocument/2006/relationships/hyperlink" Target="https://pbs.twimg.com/profile_images/700144044739964933/SAFM3_iB_normal.jpg" TargetMode="External"/><Relationship Id="rId6628" Type="http://schemas.openxmlformats.org/officeDocument/2006/relationships/hyperlink" Target="https://pbs.twimg.com/profile_images/682787313106092033/qUXu40TM_normal.jpg" TargetMode="External"/><Relationship Id="rId7958" Type="http://schemas.openxmlformats.org/officeDocument/2006/relationships/hyperlink" Target="https://twitter.com/lukyprasety4/status/703043591439040514" TargetMode="External"/><Relationship Id="rId6625" Type="http://schemas.openxmlformats.org/officeDocument/2006/relationships/hyperlink" Target="https://pbs.twimg.com/profile_images/632743976785735682/CfTy63Eb_normal.jpg" TargetMode="External"/><Relationship Id="rId7957" Type="http://schemas.openxmlformats.org/officeDocument/2006/relationships/hyperlink" Target="https://twitter.com/lukyprasety4" TargetMode="External"/><Relationship Id="rId6626" Type="http://schemas.openxmlformats.org/officeDocument/2006/relationships/hyperlink" Target="https://twitter.com/asas_mimi" TargetMode="External"/><Relationship Id="rId7956" Type="http://schemas.openxmlformats.org/officeDocument/2006/relationships/hyperlink" Target="https://abs.twimg.com/sticky/default_profile_images/default_profile_2_normal.png" TargetMode="External"/><Relationship Id="rId6629" Type="http://schemas.openxmlformats.org/officeDocument/2006/relationships/hyperlink" Target="https://twitter.com/asas_mimi" TargetMode="External"/><Relationship Id="rId349" Type="http://schemas.openxmlformats.org/officeDocument/2006/relationships/hyperlink" Target="https://abs.twimg.com/sticky/default_profile_images/default_profile_4_normal.png" TargetMode="External"/><Relationship Id="rId348" Type="http://schemas.openxmlformats.org/officeDocument/2006/relationships/hyperlink" Target="https://twitter.com/Pvalsfr/status/701436643501326336" TargetMode="External"/><Relationship Id="rId347" Type="http://schemas.openxmlformats.org/officeDocument/2006/relationships/hyperlink" Target="https://twitter.com/Pvalsfr" TargetMode="External"/><Relationship Id="rId346" Type="http://schemas.openxmlformats.org/officeDocument/2006/relationships/hyperlink" Target="https://pbs.twimg.com/profile_images/481664001613365251/OZCx2HbR_normal.jpeg" TargetMode="External"/><Relationship Id="rId341" Type="http://schemas.openxmlformats.org/officeDocument/2006/relationships/hyperlink" Target="https://twitter.com/jburnmurdoch" TargetMode="External"/><Relationship Id="rId7951" Type="http://schemas.openxmlformats.org/officeDocument/2006/relationships/hyperlink" Target="https://twitter.com/AlexPawlowski_" TargetMode="External"/><Relationship Id="rId340" Type="http://schemas.openxmlformats.org/officeDocument/2006/relationships/hyperlink" Target="https://pbs.twimg.com/profile_images/378800000250028869/7466c52788fe55495358adbdd0258e52_normal.jpeg" TargetMode="External"/><Relationship Id="rId6620" Type="http://schemas.openxmlformats.org/officeDocument/2006/relationships/hyperlink" Target="https://twitter.com/atruskie" TargetMode="External"/><Relationship Id="rId7950" Type="http://schemas.openxmlformats.org/officeDocument/2006/relationships/hyperlink" Target="https://pbs.twimg.com/profile_images/584885668263800832/ioC_beDi_normal.jpg" TargetMode="External"/><Relationship Id="rId345" Type="http://schemas.openxmlformats.org/officeDocument/2006/relationships/hyperlink" Target="https://twitter.com/msmekal/status/701436276734464000" TargetMode="External"/><Relationship Id="rId6623" Type="http://schemas.openxmlformats.org/officeDocument/2006/relationships/hyperlink" Target="https://twitter.com/AndrewBaidu" TargetMode="External"/><Relationship Id="rId7955" Type="http://schemas.openxmlformats.org/officeDocument/2006/relationships/hyperlink" Target="https://twitter.com/afiqcjohari/status/703043503564001280" TargetMode="External"/><Relationship Id="rId344" Type="http://schemas.openxmlformats.org/officeDocument/2006/relationships/hyperlink" Target="https://twitter.com/msmekal" TargetMode="External"/><Relationship Id="rId6624" Type="http://schemas.openxmlformats.org/officeDocument/2006/relationships/hyperlink" Target="https://twitter.com/AndrewBaidu/status/702835066234347521" TargetMode="External"/><Relationship Id="rId7954" Type="http://schemas.openxmlformats.org/officeDocument/2006/relationships/hyperlink" Target="https://twitter.com/afiqcjohari" TargetMode="External"/><Relationship Id="rId343" Type="http://schemas.openxmlformats.org/officeDocument/2006/relationships/hyperlink" Target="https://pbs.twimg.com/profile_images/546964096999251968/Jko6I7uA_normal.jpeg" TargetMode="External"/><Relationship Id="rId6621" Type="http://schemas.openxmlformats.org/officeDocument/2006/relationships/hyperlink" Target="https://twitter.com/atruskie/status/702834398538780677" TargetMode="External"/><Relationship Id="rId7953" Type="http://schemas.openxmlformats.org/officeDocument/2006/relationships/hyperlink" Target="https://pbs.twimg.com/profile_images/660289182334648320/eM5ywsCL_normal.jpg" TargetMode="External"/><Relationship Id="rId342" Type="http://schemas.openxmlformats.org/officeDocument/2006/relationships/hyperlink" Target="https://twitter.com/jburnmurdoch/status/701435436544221185" TargetMode="External"/><Relationship Id="rId6622" Type="http://schemas.openxmlformats.org/officeDocument/2006/relationships/hyperlink" Target="https://pbs.twimg.com/profile_images/3187969768/4323ce211102bcd4b19afd94fd268b4e_normal.jpeg" TargetMode="External"/><Relationship Id="rId7952" Type="http://schemas.openxmlformats.org/officeDocument/2006/relationships/hyperlink" Target="https://twitter.com/AlexPawlowski_/status/703042875802722304" TargetMode="External"/><Relationship Id="rId6616" Type="http://schemas.openxmlformats.org/officeDocument/2006/relationships/hyperlink" Target="https://pbs.twimg.com/profile_images/672029237029793792/_qKmCzM8_normal.png" TargetMode="External"/><Relationship Id="rId7948" Type="http://schemas.openxmlformats.org/officeDocument/2006/relationships/hyperlink" Target="https://twitter.com/katsumushi" TargetMode="External"/><Relationship Id="rId6617" Type="http://schemas.openxmlformats.org/officeDocument/2006/relationships/hyperlink" Target="https://twitter.com/DogSandFishGirl" TargetMode="External"/><Relationship Id="rId7947" Type="http://schemas.openxmlformats.org/officeDocument/2006/relationships/hyperlink" Target="https://pbs.twimg.com/profile_images/674111225920274432/_tAG0O6X_normal.jpg" TargetMode="External"/><Relationship Id="rId6614" Type="http://schemas.openxmlformats.org/officeDocument/2006/relationships/hyperlink" Target="https://twitter.com/sig_stats" TargetMode="External"/><Relationship Id="rId7946" Type="http://schemas.openxmlformats.org/officeDocument/2006/relationships/hyperlink" Target="https://twitter.com/fongchunchan/status/703042290898448384" TargetMode="External"/><Relationship Id="rId6615" Type="http://schemas.openxmlformats.org/officeDocument/2006/relationships/hyperlink" Target="https://twitter.com/sig_stats/status/702832942947672065" TargetMode="External"/><Relationship Id="rId7945" Type="http://schemas.openxmlformats.org/officeDocument/2006/relationships/hyperlink" Target="https://twitter.com/fongchunchan" TargetMode="External"/><Relationship Id="rId6618" Type="http://schemas.openxmlformats.org/officeDocument/2006/relationships/hyperlink" Target="https://twitter.com/DogSandFishGirl/status/702834355274649600" TargetMode="External"/><Relationship Id="rId6619" Type="http://schemas.openxmlformats.org/officeDocument/2006/relationships/hyperlink" Target="https://pbs.twimg.com/profile_images/654842156708790272/yHG-pmtO_normal.jpg" TargetMode="External"/><Relationship Id="rId7949" Type="http://schemas.openxmlformats.org/officeDocument/2006/relationships/hyperlink" Target="https://twitter.com/katsumushi/status/703042458897133569" TargetMode="External"/><Relationship Id="rId338" Type="http://schemas.openxmlformats.org/officeDocument/2006/relationships/hyperlink" Target="https://twitter.com/kristinebucasas" TargetMode="External"/><Relationship Id="rId337" Type="http://schemas.openxmlformats.org/officeDocument/2006/relationships/hyperlink" Target="https://abs.twimg.com/sticky/default_profile_images/default_profile_4_normal.png" TargetMode="External"/><Relationship Id="rId336" Type="http://schemas.openxmlformats.org/officeDocument/2006/relationships/hyperlink" Target="https://twitter.com/Pvalsfr/status/701435355984240641" TargetMode="External"/><Relationship Id="rId335" Type="http://schemas.openxmlformats.org/officeDocument/2006/relationships/hyperlink" Target="https://twitter.com/Pvalsfr" TargetMode="External"/><Relationship Id="rId339" Type="http://schemas.openxmlformats.org/officeDocument/2006/relationships/hyperlink" Target="https://twitter.com/kristinebucasas/status/701435363240206336" TargetMode="External"/><Relationship Id="rId330" Type="http://schemas.openxmlformats.org/officeDocument/2006/relationships/hyperlink" Target="https://twitter.com/frank_neff/status/701435030359449604" TargetMode="External"/><Relationship Id="rId7940" Type="http://schemas.openxmlformats.org/officeDocument/2006/relationships/hyperlink" Target="https://twitter.com/tonyojeda3/status/703040552846172160" TargetMode="External"/><Relationship Id="rId334" Type="http://schemas.openxmlformats.org/officeDocument/2006/relationships/hyperlink" Target="https://pbs.twimg.com/profile_images/680246148762828801/flXTNSKT_normal.jpg" TargetMode="External"/><Relationship Id="rId6612" Type="http://schemas.openxmlformats.org/officeDocument/2006/relationships/hyperlink" Target="https://twitter.com/dataprix/status/702832424208699393" TargetMode="External"/><Relationship Id="rId7944" Type="http://schemas.openxmlformats.org/officeDocument/2006/relationships/hyperlink" Target="https://pbs.twimg.com/profile_images/616793252524650496/bQbxJqmz_normal.jpg" TargetMode="External"/><Relationship Id="rId333" Type="http://schemas.openxmlformats.org/officeDocument/2006/relationships/hyperlink" Target="https://twitter.com/KirkDBorne/status/701435243488747522" TargetMode="External"/><Relationship Id="rId6613" Type="http://schemas.openxmlformats.org/officeDocument/2006/relationships/hyperlink" Target="https://pbs.twimg.com/profile_images/701068875/isotipo_dataprix_screen_96_normal.jpg" TargetMode="External"/><Relationship Id="rId7943" Type="http://schemas.openxmlformats.org/officeDocument/2006/relationships/hyperlink" Target="https://twitter.com/BigDataTweetBot/status/703042259864920064" TargetMode="External"/><Relationship Id="rId332" Type="http://schemas.openxmlformats.org/officeDocument/2006/relationships/hyperlink" Target="https://twitter.com/KirkDBorne" TargetMode="External"/><Relationship Id="rId6610" Type="http://schemas.openxmlformats.org/officeDocument/2006/relationships/hyperlink" Target="https://abs.twimg.com/sticky/default_profile_images/default_profile_3_normal.png" TargetMode="External"/><Relationship Id="rId7942" Type="http://schemas.openxmlformats.org/officeDocument/2006/relationships/hyperlink" Target="https://twitter.com/BigDataTweetBot" TargetMode="External"/><Relationship Id="rId331" Type="http://schemas.openxmlformats.org/officeDocument/2006/relationships/hyperlink" Target="https://pbs.twimg.com/profile_images/701067603792556033/HB_Ag4RM_normal.jpg" TargetMode="External"/><Relationship Id="rId6611" Type="http://schemas.openxmlformats.org/officeDocument/2006/relationships/hyperlink" Target="https://twitter.com/dataprix" TargetMode="External"/><Relationship Id="rId7941" Type="http://schemas.openxmlformats.org/officeDocument/2006/relationships/hyperlink" Target="https://pbs.twimg.com/profile_images/1211123351/Tony-Ojeda2_normal.JPG" TargetMode="External"/><Relationship Id="rId5318" Type="http://schemas.openxmlformats.org/officeDocument/2006/relationships/hyperlink" Target="https://twitter.com/critoe" TargetMode="External"/><Relationship Id="rId6649" Type="http://schemas.openxmlformats.org/officeDocument/2006/relationships/hyperlink" Target="https://pbs.twimg.com/profile_images/378800000015034792/b27316ce0ff342e4c0825a9320a45339_normal.jpeg" TargetMode="External"/><Relationship Id="rId5319" Type="http://schemas.openxmlformats.org/officeDocument/2006/relationships/hyperlink" Target="https://twitter.com/critoe/status/702563890694135812" TargetMode="External"/><Relationship Id="rId5316" Type="http://schemas.openxmlformats.org/officeDocument/2006/relationships/hyperlink" Target="https://twitter.com/GirlsWhoCode/status/702563784007618560" TargetMode="External"/><Relationship Id="rId6647" Type="http://schemas.openxmlformats.org/officeDocument/2006/relationships/hyperlink" Target="https://twitter.com/gaganbansal123" TargetMode="External"/><Relationship Id="rId7979" Type="http://schemas.openxmlformats.org/officeDocument/2006/relationships/hyperlink" Target="https://twitter.com/SeattleTUG/status/703047252479115264" TargetMode="External"/><Relationship Id="rId5317" Type="http://schemas.openxmlformats.org/officeDocument/2006/relationships/hyperlink" Target="https://pbs.twimg.com/profile_images/691666604627619840/2NPy-Ymr_normal.png" TargetMode="External"/><Relationship Id="rId6648" Type="http://schemas.openxmlformats.org/officeDocument/2006/relationships/hyperlink" Target="https://twitter.com/gaganbansal123/status/702839140870524928" TargetMode="External"/><Relationship Id="rId7978" Type="http://schemas.openxmlformats.org/officeDocument/2006/relationships/hyperlink" Target="https://twitter.com/SeattleTUG" TargetMode="External"/><Relationship Id="rId370" Type="http://schemas.openxmlformats.org/officeDocument/2006/relationships/hyperlink" Target="https://pbs.twimg.com/profile_images/1222779560/cran1_normal.jpg" TargetMode="External"/><Relationship Id="rId369" Type="http://schemas.openxmlformats.org/officeDocument/2006/relationships/hyperlink" Target="https://twitter.com/CRANberriesFeed/status/701439705435471874" TargetMode="External"/><Relationship Id="rId368" Type="http://schemas.openxmlformats.org/officeDocument/2006/relationships/hyperlink" Target="https://twitter.com/CRANberriesFeed" TargetMode="External"/><Relationship Id="rId363" Type="http://schemas.openxmlformats.org/officeDocument/2006/relationships/hyperlink" Target="https://twitter.com/askdrstats/status/701437864731541504" TargetMode="External"/><Relationship Id="rId5310" Type="http://schemas.openxmlformats.org/officeDocument/2006/relationships/hyperlink" Target="https://twitter.com/zentree/status/702563348429144064" TargetMode="External"/><Relationship Id="rId6641" Type="http://schemas.openxmlformats.org/officeDocument/2006/relationships/hyperlink" Target="https://twitter.com/southmapr" TargetMode="External"/><Relationship Id="rId7973" Type="http://schemas.openxmlformats.org/officeDocument/2006/relationships/hyperlink" Target="https://twitter.com/iprophage/status/703046501191294976" TargetMode="External"/><Relationship Id="rId362" Type="http://schemas.openxmlformats.org/officeDocument/2006/relationships/hyperlink" Target="https://twitter.com/askdrstats" TargetMode="External"/><Relationship Id="rId5311" Type="http://schemas.openxmlformats.org/officeDocument/2006/relationships/hyperlink" Target="https://pbs.twimg.com/profile_images/587187329934032897/ba7oP58d_normal.jpg" TargetMode="External"/><Relationship Id="rId6642" Type="http://schemas.openxmlformats.org/officeDocument/2006/relationships/hyperlink" Target="https://twitter.com/southmapr/status/702837334581108736" TargetMode="External"/><Relationship Id="rId7972" Type="http://schemas.openxmlformats.org/officeDocument/2006/relationships/hyperlink" Target="https://twitter.com/iprophage" TargetMode="External"/><Relationship Id="rId361" Type="http://schemas.openxmlformats.org/officeDocument/2006/relationships/hyperlink" Target="https://pbs.twimg.com/profile_images/599430288423260160/6jvdvVQg_normal.jpg" TargetMode="External"/><Relationship Id="rId7971" Type="http://schemas.openxmlformats.org/officeDocument/2006/relationships/hyperlink" Target="https://pbs.twimg.com/profile_images/631889051113537538/EwYW6Va-_normal.png" TargetMode="External"/><Relationship Id="rId360" Type="http://schemas.openxmlformats.org/officeDocument/2006/relationships/hyperlink" Target="https://twitter.com/SHaymondSays/status/701437252665081856" TargetMode="External"/><Relationship Id="rId6640" Type="http://schemas.openxmlformats.org/officeDocument/2006/relationships/hyperlink" Target="https://pbs.twimg.com/profile_images/500535426642608128/erG8_uq1_normal.jpeg" TargetMode="External"/><Relationship Id="rId7970" Type="http://schemas.openxmlformats.org/officeDocument/2006/relationships/hyperlink" Target="https://twitter.com/rexplorations/status/703046172101857280" TargetMode="External"/><Relationship Id="rId367" Type="http://schemas.openxmlformats.org/officeDocument/2006/relationships/hyperlink" Target="https://pbs.twimg.com/profile_images/1222779560/cran1_normal.jpg" TargetMode="External"/><Relationship Id="rId5314" Type="http://schemas.openxmlformats.org/officeDocument/2006/relationships/hyperlink" Target="https://pbs.twimg.com/profile_images/690588531325026305/Du_O8b-l_normal.jpg" TargetMode="External"/><Relationship Id="rId6645" Type="http://schemas.openxmlformats.org/officeDocument/2006/relationships/hyperlink" Target="https://twitter.com/R_Linux/status/702837724584112128" TargetMode="External"/><Relationship Id="rId7977" Type="http://schemas.openxmlformats.org/officeDocument/2006/relationships/hyperlink" Target="https://abs.twimg.com/sticky/default_profile_images/default_profile_2_normal.png" TargetMode="External"/><Relationship Id="rId366" Type="http://schemas.openxmlformats.org/officeDocument/2006/relationships/hyperlink" Target="https://twitter.com/CRANberriesFeed/status/701439699731218432" TargetMode="External"/><Relationship Id="rId5315" Type="http://schemas.openxmlformats.org/officeDocument/2006/relationships/hyperlink" Target="https://twitter.com/GirlsWhoCode" TargetMode="External"/><Relationship Id="rId6646" Type="http://schemas.openxmlformats.org/officeDocument/2006/relationships/hyperlink" Target="https://pbs.twimg.com/profile_images/579164201576312833/fsAUfQne_normal.jpg" TargetMode="External"/><Relationship Id="rId7976" Type="http://schemas.openxmlformats.org/officeDocument/2006/relationships/hyperlink" Target="https://twitter.com/afiqcjohari/status/703046724596568064" TargetMode="External"/><Relationship Id="rId365" Type="http://schemas.openxmlformats.org/officeDocument/2006/relationships/hyperlink" Target="https://twitter.com/CRANberriesFeed" TargetMode="External"/><Relationship Id="rId5312" Type="http://schemas.openxmlformats.org/officeDocument/2006/relationships/hyperlink" Target="https://twitter.com/itschekkers" TargetMode="External"/><Relationship Id="rId6643" Type="http://schemas.openxmlformats.org/officeDocument/2006/relationships/hyperlink" Target="https://pbs.twimg.com/profile_images/411845409284161536/vhIg-rTL_normal.jpeg" TargetMode="External"/><Relationship Id="rId7975" Type="http://schemas.openxmlformats.org/officeDocument/2006/relationships/hyperlink" Target="https://twitter.com/afiqcjohari" TargetMode="External"/><Relationship Id="rId364" Type="http://schemas.openxmlformats.org/officeDocument/2006/relationships/hyperlink" Target="https://pbs.twimg.com/profile_images/421032203703701504/tKrivgxy_normal.jpeg" TargetMode="External"/><Relationship Id="rId5313" Type="http://schemas.openxmlformats.org/officeDocument/2006/relationships/hyperlink" Target="https://twitter.com/itschekkers/status/702563493069905920" TargetMode="External"/><Relationship Id="rId6644" Type="http://schemas.openxmlformats.org/officeDocument/2006/relationships/hyperlink" Target="https://twitter.com/R_Linux" TargetMode="External"/><Relationship Id="rId7974" Type="http://schemas.openxmlformats.org/officeDocument/2006/relationships/hyperlink" Target="https://pbs.twimg.com/profile_images/583599232843587584/CyComP4h_normal.jpg" TargetMode="External"/><Relationship Id="rId95" Type="http://schemas.openxmlformats.org/officeDocument/2006/relationships/hyperlink" Target="https://pbs.twimg.com/profile_images/687771840161443840/mehRt0YI_normal.png" TargetMode="External"/><Relationship Id="rId5307" Type="http://schemas.openxmlformats.org/officeDocument/2006/relationships/hyperlink" Target="https://twitter.com/DataWookie/status/702563314526588929" TargetMode="External"/><Relationship Id="rId6638" Type="http://schemas.openxmlformats.org/officeDocument/2006/relationships/hyperlink" Target="https://twitter.com/shakirdeen" TargetMode="External"/><Relationship Id="rId94" Type="http://schemas.openxmlformats.org/officeDocument/2006/relationships/hyperlink" Target="https://twitter.com/PyDataMad/status/701336285148012544" TargetMode="External"/><Relationship Id="rId5308" Type="http://schemas.openxmlformats.org/officeDocument/2006/relationships/hyperlink" Target="https://pbs.twimg.com/profile_images/612471608725213184/eXKo2Kmo_normal.jpg" TargetMode="External"/><Relationship Id="rId6639" Type="http://schemas.openxmlformats.org/officeDocument/2006/relationships/hyperlink" Target="https://twitter.com/shakirdeen/status/702836459296972800" TargetMode="External"/><Relationship Id="rId7969" Type="http://schemas.openxmlformats.org/officeDocument/2006/relationships/hyperlink" Target="https://twitter.com/rexplorations" TargetMode="External"/><Relationship Id="rId97" Type="http://schemas.openxmlformats.org/officeDocument/2006/relationships/hyperlink" Target="https://twitter.com/stevepowell99/status/701338137516068865" TargetMode="External"/><Relationship Id="rId5305" Type="http://schemas.openxmlformats.org/officeDocument/2006/relationships/hyperlink" Target="https://pbs.twimg.com/profile_images/1874334738/Newystats_normal.jpg" TargetMode="External"/><Relationship Id="rId6636" Type="http://schemas.openxmlformats.org/officeDocument/2006/relationships/hyperlink" Target="https://twitter.com/BrentBrewington/status/702836234528231424" TargetMode="External"/><Relationship Id="rId7968" Type="http://schemas.openxmlformats.org/officeDocument/2006/relationships/hyperlink" Target="https://pbs.twimg.com/profile_images/3338571698/df89e01d4258687f9ca99c62b8840427_normal.jpeg" TargetMode="External"/><Relationship Id="rId96" Type="http://schemas.openxmlformats.org/officeDocument/2006/relationships/hyperlink" Target="https://twitter.com/stevepowell99" TargetMode="External"/><Relationship Id="rId5306" Type="http://schemas.openxmlformats.org/officeDocument/2006/relationships/hyperlink" Target="https://twitter.com/DataWookie" TargetMode="External"/><Relationship Id="rId6637" Type="http://schemas.openxmlformats.org/officeDocument/2006/relationships/hyperlink" Target="https://pbs.twimg.com/profile_images/480744429217538050/GbR8Piif_normal.jpeg" TargetMode="External"/><Relationship Id="rId7967" Type="http://schemas.openxmlformats.org/officeDocument/2006/relationships/hyperlink" Target="https://twitter.com/techrsr/status/703046172005396480" TargetMode="External"/><Relationship Id="rId99" Type="http://schemas.openxmlformats.org/officeDocument/2006/relationships/hyperlink" Target="https://twitter.com/pdalgd" TargetMode="External"/><Relationship Id="rId98" Type="http://schemas.openxmlformats.org/officeDocument/2006/relationships/hyperlink" Target="https://pbs.twimg.com/profile_images/633188341010202624/R3hhDxOS_normal.jpg" TargetMode="External"/><Relationship Id="rId5309" Type="http://schemas.openxmlformats.org/officeDocument/2006/relationships/hyperlink" Target="https://twitter.com/zentree" TargetMode="External"/><Relationship Id="rId91" Type="http://schemas.openxmlformats.org/officeDocument/2006/relationships/hyperlink" Target="https://twitter.com/eflores89/status/701326401354354688" TargetMode="External"/><Relationship Id="rId90" Type="http://schemas.openxmlformats.org/officeDocument/2006/relationships/hyperlink" Target="https://twitter.com/eflores89" TargetMode="External"/><Relationship Id="rId93" Type="http://schemas.openxmlformats.org/officeDocument/2006/relationships/hyperlink" Target="https://twitter.com/PyDataMad" TargetMode="External"/><Relationship Id="rId92" Type="http://schemas.openxmlformats.org/officeDocument/2006/relationships/hyperlink" Target="https://pbs.twimg.com/profile_images/1998298641/Screen_Shot_2012-03-31_at_1.23.44_AM_normal.png" TargetMode="External"/><Relationship Id="rId359" Type="http://schemas.openxmlformats.org/officeDocument/2006/relationships/hyperlink" Target="https://twitter.com/SHaymondSays" TargetMode="External"/><Relationship Id="rId358" Type="http://schemas.openxmlformats.org/officeDocument/2006/relationships/hyperlink" Target="https://abs.twimg.com/sticky/default_profile_images/default_profile_2_normal.png" TargetMode="External"/><Relationship Id="rId357" Type="http://schemas.openxmlformats.org/officeDocument/2006/relationships/hyperlink" Target="https://twitter.com/VMuraliKRaju/status/701437097073184768" TargetMode="External"/><Relationship Id="rId352" Type="http://schemas.openxmlformats.org/officeDocument/2006/relationships/hyperlink" Target="https://pbs.twimg.com/profile_images/531100851721363456/razj1N5f_normal.jpeg" TargetMode="External"/><Relationship Id="rId6630" Type="http://schemas.openxmlformats.org/officeDocument/2006/relationships/hyperlink" Target="https://twitter.com/asas_mimi/status/702835859679121408" TargetMode="External"/><Relationship Id="rId7962" Type="http://schemas.openxmlformats.org/officeDocument/2006/relationships/hyperlink" Target="https://pbs.twimg.com/profile_images/640558270843850752/9jnEvx6k_normal.jpg" TargetMode="External"/><Relationship Id="rId351" Type="http://schemas.openxmlformats.org/officeDocument/2006/relationships/hyperlink" Target="https://twitter.com/GaborCsardi/status/701436904856756226" TargetMode="External"/><Relationship Id="rId5300" Type="http://schemas.openxmlformats.org/officeDocument/2006/relationships/hyperlink" Target="https://twitter.com/AntoViral" TargetMode="External"/><Relationship Id="rId6631" Type="http://schemas.openxmlformats.org/officeDocument/2006/relationships/hyperlink" Target="https://pbs.twimg.com/profile_images/682787313106092033/qUXu40TM_normal.jpg" TargetMode="External"/><Relationship Id="rId7961" Type="http://schemas.openxmlformats.org/officeDocument/2006/relationships/hyperlink" Target="https://twitter.com/Md_Harris/status/703044702401110018" TargetMode="External"/><Relationship Id="rId350" Type="http://schemas.openxmlformats.org/officeDocument/2006/relationships/hyperlink" Target="https://twitter.com/GaborCsardi" TargetMode="External"/><Relationship Id="rId7960" Type="http://schemas.openxmlformats.org/officeDocument/2006/relationships/hyperlink" Target="https://twitter.com/Md_Harris" TargetMode="External"/><Relationship Id="rId356" Type="http://schemas.openxmlformats.org/officeDocument/2006/relationships/hyperlink" Target="https://twitter.com/VMuraliKRaju" TargetMode="External"/><Relationship Id="rId5303" Type="http://schemas.openxmlformats.org/officeDocument/2006/relationships/hyperlink" Target="https://twitter.com/Newystats" TargetMode="External"/><Relationship Id="rId6634" Type="http://schemas.openxmlformats.org/officeDocument/2006/relationships/hyperlink" Target="https://pbs.twimg.com/profile_images/603763620393025536/KBmiiFXC_normal.png" TargetMode="External"/><Relationship Id="rId7966" Type="http://schemas.openxmlformats.org/officeDocument/2006/relationships/hyperlink" Target="https://twitter.com/techrsr" TargetMode="External"/><Relationship Id="rId355" Type="http://schemas.openxmlformats.org/officeDocument/2006/relationships/hyperlink" Target="https://pbs.twimg.com/profile_images/1144625930/hanmant_normal.jpg" TargetMode="External"/><Relationship Id="rId5304" Type="http://schemas.openxmlformats.org/officeDocument/2006/relationships/hyperlink" Target="https://twitter.com/Newystats/status/702562992269856768" TargetMode="External"/><Relationship Id="rId6635" Type="http://schemas.openxmlformats.org/officeDocument/2006/relationships/hyperlink" Target="https://twitter.com/BrentBrewington" TargetMode="External"/><Relationship Id="rId7965" Type="http://schemas.openxmlformats.org/officeDocument/2006/relationships/hyperlink" Target="https://pbs.twimg.com/profile_images/593206975070085122/vQuaf1KM_normal.jpg" TargetMode="External"/><Relationship Id="rId354" Type="http://schemas.openxmlformats.org/officeDocument/2006/relationships/hyperlink" Target="https://twitter.com/pacehrb/status/701436955406397440" TargetMode="External"/><Relationship Id="rId5301" Type="http://schemas.openxmlformats.org/officeDocument/2006/relationships/hyperlink" Target="https://twitter.com/AntoViral/status/702561455959318529" TargetMode="External"/><Relationship Id="rId6632" Type="http://schemas.openxmlformats.org/officeDocument/2006/relationships/hyperlink" Target="https://twitter.com/yamano357" TargetMode="External"/><Relationship Id="rId7964" Type="http://schemas.openxmlformats.org/officeDocument/2006/relationships/hyperlink" Target="https://twitter.com/RebeccaBilbro/status/703046095795052545" TargetMode="External"/><Relationship Id="rId353" Type="http://schemas.openxmlformats.org/officeDocument/2006/relationships/hyperlink" Target="https://twitter.com/pacehrb" TargetMode="External"/><Relationship Id="rId5302" Type="http://schemas.openxmlformats.org/officeDocument/2006/relationships/hyperlink" Target="https://pbs.twimg.com/profile_images/378800000794889152/545ea4ed01fbb17969822e1ee9b0f3fa_normal.jpeg" TargetMode="External"/><Relationship Id="rId6633" Type="http://schemas.openxmlformats.org/officeDocument/2006/relationships/hyperlink" Target="https://twitter.com/yamano357/status/702836138390589442" TargetMode="External"/><Relationship Id="rId7963" Type="http://schemas.openxmlformats.org/officeDocument/2006/relationships/hyperlink" Target="https://twitter.com/RebeccaBilbro" TargetMode="External"/><Relationship Id="rId7915" Type="http://schemas.openxmlformats.org/officeDocument/2006/relationships/hyperlink" Target="https://twitter.com/Jemus42" TargetMode="External"/><Relationship Id="rId7914" Type="http://schemas.openxmlformats.org/officeDocument/2006/relationships/hyperlink" Target="https://pbs.twimg.com/profile_images/676838769769783296/dKMh-GgM_normal.jpg" TargetMode="External"/><Relationship Id="rId7913" Type="http://schemas.openxmlformats.org/officeDocument/2006/relationships/hyperlink" Target="https://twitter.com/nicholasgatto/status/703036036310499329" TargetMode="External"/><Relationship Id="rId7912" Type="http://schemas.openxmlformats.org/officeDocument/2006/relationships/hyperlink" Target="https://twitter.com/nicholasgatto" TargetMode="External"/><Relationship Id="rId7919" Type="http://schemas.openxmlformats.org/officeDocument/2006/relationships/hyperlink" Target="https://twitter.com/dichika/status/703036220352299008" TargetMode="External"/><Relationship Id="rId7918" Type="http://schemas.openxmlformats.org/officeDocument/2006/relationships/hyperlink" Target="https://twitter.com/dichika" TargetMode="External"/><Relationship Id="rId7917" Type="http://schemas.openxmlformats.org/officeDocument/2006/relationships/hyperlink" Target="https://pbs.twimg.com/profile_images/2442155420/13fr1e3on4dzb9fn7i48_normal.jpeg" TargetMode="External"/><Relationship Id="rId7916" Type="http://schemas.openxmlformats.org/officeDocument/2006/relationships/hyperlink" Target="https://twitter.com/Jemus42/status/703036210130894848" TargetMode="External"/><Relationship Id="rId305" Type="http://schemas.openxmlformats.org/officeDocument/2006/relationships/hyperlink" Target="https://twitter.com/segalop" TargetMode="External"/><Relationship Id="rId304" Type="http://schemas.openxmlformats.org/officeDocument/2006/relationships/hyperlink" Target="https://pbs.twimg.com/profile_images/576030995121610752/uLOdylAU_normal.jpeg" TargetMode="External"/><Relationship Id="rId303" Type="http://schemas.openxmlformats.org/officeDocument/2006/relationships/hyperlink" Target="https://twitter.com/YariLorenzo87/status/701431103467479040" TargetMode="External"/><Relationship Id="rId302" Type="http://schemas.openxmlformats.org/officeDocument/2006/relationships/hyperlink" Target="https://twitter.com/YariLorenzo87" TargetMode="External"/><Relationship Id="rId309" Type="http://schemas.openxmlformats.org/officeDocument/2006/relationships/hyperlink" Target="https://twitter.com/GRDumas/status/701431630699872256" TargetMode="External"/><Relationship Id="rId308" Type="http://schemas.openxmlformats.org/officeDocument/2006/relationships/hyperlink" Target="https://twitter.com/GRDumas" TargetMode="External"/><Relationship Id="rId307" Type="http://schemas.openxmlformats.org/officeDocument/2006/relationships/hyperlink" Target="https://pbs.twimg.com/profile_images/470626645083037696/FicOo9YX_normal.jpeg" TargetMode="External"/><Relationship Id="rId306" Type="http://schemas.openxmlformats.org/officeDocument/2006/relationships/hyperlink" Target="https://twitter.com/segalop/status/701431205733003266" TargetMode="External"/><Relationship Id="rId301" Type="http://schemas.openxmlformats.org/officeDocument/2006/relationships/hyperlink" Target="https://pbs.twimg.com/profile_images/667626069529378816/L8p9vJdi_normal.jpg" TargetMode="External"/><Relationship Id="rId7911" Type="http://schemas.openxmlformats.org/officeDocument/2006/relationships/hyperlink" Target="https://pbs.twimg.com/profile_images/676838769769783296/dKMh-GgM_normal.jpg" TargetMode="External"/><Relationship Id="rId300" Type="http://schemas.openxmlformats.org/officeDocument/2006/relationships/hyperlink" Target="https://twitter.com/Bioecologie/status/701431092318842880" TargetMode="External"/><Relationship Id="rId7910" Type="http://schemas.openxmlformats.org/officeDocument/2006/relationships/hyperlink" Target="https://twitter.com/nicholasgatto/status/703036008452005888" TargetMode="External"/><Relationship Id="rId7904" Type="http://schemas.openxmlformats.org/officeDocument/2006/relationships/hyperlink" Target="https://twitter.com/DataMatthis/status/703034119043862530" TargetMode="External"/><Relationship Id="rId7903" Type="http://schemas.openxmlformats.org/officeDocument/2006/relationships/hyperlink" Target="https://twitter.com/DataMatthis" TargetMode="External"/><Relationship Id="rId7902" Type="http://schemas.openxmlformats.org/officeDocument/2006/relationships/hyperlink" Target="https://pbs.twimg.com/profile_images/620657258834210817/xlp1Bec7_normal.jpg" TargetMode="External"/><Relationship Id="rId7901" Type="http://schemas.openxmlformats.org/officeDocument/2006/relationships/hyperlink" Target="https://twitter.com/_pSTS/status/703033972469575680" TargetMode="External"/><Relationship Id="rId7908" Type="http://schemas.openxmlformats.org/officeDocument/2006/relationships/hyperlink" Target="https://pbs.twimg.com/profile_images/677589103710306304/m56O6Wgf_normal.jpg" TargetMode="External"/><Relationship Id="rId7907" Type="http://schemas.openxmlformats.org/officeDocument/2006/relationships/hyperlink" Target="https://twitter.com/hadleywickham/status/703035174234120192" TargetMode="External"/><Relationship Id="rId7906" Type="http://schemas.openxmlformats.org/officeDocument/2006/relationships/hyperlink" Target="https://twitter.com/hadleywickham" TargetMode="External"/><Relationship Id="rId7905" Type="http://schemas.openxmlformats.org/officeDocument/2006/relationships/hyperlink" Target="https://pbs.twimg.com/profile_images/675685859383971840/GNwgK4YE_normal.png" TargetMode="External"/><Relationship Id="rId7909" Type="http://schemas.openxmlformats.org/officeDocument/2006/relationships/hyperlink" Target="https://twitter.com/nicholasgatto" TargetMode="External"/><Relationship Id="rId7900" Type="http://schemas.openxmlformats.org/officeDocument/2006/relationships/hyperlink" Target="https://twitter.com/_pSTS" TargetMode="External"/><Relationship Id="rId6605" Type="http://schemas.openxmlformats.org/officeDocument/2006/relationships/hyperlink" Target="https://twitter.com/eFe_Gil" TargetMode="External"/><Relationship Id="rId7937" Type="http://schemas.openxmlformats.org/officeDocument/2006/relationships/hyperlink" Target="https://twitter.com/MayumiPod/status/703039802627624960" TargetMode="External"/><Relationship Id="rId6606" Type="http://schemas.openxmlformats.org/officeDocument/2006/relationships/hyperlink" Target="https://twitter.com/eFe_Gil/status/702830775226523648" TargetMode="External"/><Relationship Id="rId7936" Type="http://schemas.openxmlformats.org/officeDocument/2006/relationships/hyperlink" Target="https://twitter.com/MayumiPod" TargetMode="External"/><Relationship Id="rId6603" Type="http://schemas.openxmlformats.org/officeDocument/2006/relationships/hyperlink" Target="https://twitter.com/datasciencefan/status/702829154312454144" TargetMode="External"/><Relationship Id="rId7935" Type="http://schemas.openxmlformats.org/officeDocument/2006/relationships/hyperlink" Target="https://pbs.twimg.com/profile_images/682804140855136256/UXwHyg_C_normal.jpg" TargetMode="External"/><Relationship Id="rId6604" Type="http://schemas.openxmlformats.org/officeDocument/2006/relationships/hyperlink" Target="https://pbs.twimg.com/profile_images/680007215424618496/jKN3QBWT_normal.png" TargetMode="External"/><Relationship Id="rId7934" Type="http://schemas.openxmlformats.org/officeDocument/2006/relationships/hyperlink" Target="https://twitter.com/huyenkle/status/703038909954002945" TargetMode="External"/><Relationship Id="rId6609" Type="http://schemas.openxmlformats.org/officeDocument/2006/relationships/hyperlink" Target="https://twitter.com/noticiasSobreR/status/702831458868547584" TargetMode="External"/><Relationship Id="rId6607" Type="http://schemas.openxmlformats.org/officeDocument/2006/relationships/hyperlink" Target="https://pbs.twimg.com/profile_images/674700358166388736/pWBofWfu_normal.jpg" TargetMode="External"/><Relationship Id="rId7939" Type="http://schemas.openxmlformats.org/officeDocument/2006/relationships/hyperlink" Target="https://twitter.com/tonyojeda3" TargetMode="External"/><Relationship Id="rId6608" Type="http://schemas.openxmlformats.org/officeDocument/2006/relationships/hyperlink" Target="https://twitter.com/noticiasSobreR" TargetMode="External"/><Relationship Id="rId7938" Type="http://schemas.openxmlformats.org/officeDocument/2006/relationships/hyperlink" Target="https://pbs.twimg.com/profile_images/962076200/09-07-25_002_normal.jpg" TargetMode="External"/><Relationship Id="rId327" Type="http://schemas.openxmlformats.org/officeDocument/2006/relationships/hyperlink" Target="https://twitter.com/Worville/status/701434873806987264" TargetMode="External"/><Relationship Id="rId326" Type="http://schemas.openxmlformats.org/officeDocument/2006/relationships/hyperlink" Target="https://twitter.com/Worville" TargetMode="External"/><Relationship Id="rId325" Type="http://schemas.openxmlformats.org/officeDocument/2006/relationships/hyperlink" Target="https://pbs.twimg.com/profile_images/2388625148/7dd7c4ec-146a-4a1c-a537-8aa40ae2fa63_normal.png" TargetMode="External"/><Relationship Id="rId324" Type="http://schemas.openxmlformats.org/officeDocument/2006/relationships/hyperlink" Target="https://twitter.com/Ibrahim_Alsayed/status/701434660346339328" TargetMode="External"/><Relationship Id="rId329" Type="http://schemas.openxmlformats.org/officeDocument/2006/relationships/hyperlink" Target="https://twitter.com/frank_neff" TargetMode="External"/><Relationship Id="rId328" Type="http://schemas.openxmlformats.org/officeDocument/2006/relationships/hyperlink" Target="https://pbs.twimg.com/profile_images/666286574162870272/DcZY0_2M_normal.jpg" TargetMode="External"/><Relationship Id="rId323" Type="http://schemas.openxmlformats.org/officeDocument/2006/relationships/hyperlink" Target="https://twitter.com/Ibrahim_Alsayed" TargetMode="External"/><Relationship Id="rId6601" Type="http://schemas.openxmlformats.org/officeDocument/2006/relationships/hyperlink" Target="https://pbs.twimg.com/profile_images/482576861315489792/uQDyurgm_normal.png" TargetMode="External"/><Relationship Id="rId7933" Type="http://schemas.openxmlformats.org/officeDocument/2006/relationships/hyperlink" Target="https://twitter.com/huyenkle" TargetMode="External"/><Relationship Id="rId322" Type="http://schemas.openxmlformats.org/officeDocument/2006/relationships/hyperlink" Target="https://pbs.twimg.com/profile_images/1144625930/hanmant_normal.jpg" TargetMode="External"/><Relationship Id="rId6602" Type="http://schemas.openxmlformats.org/officeDocument/2006/relationships/hyperlink" Target="https://twitter.com/datasciencefan" TargetMode="External"/><Relationship Id="rId7932" Type="http://schemas.openxmlformats.org/officeDocument/2006/relationships/hyperlink" Target="https://pbs.twimg.com/profile_images/620786704417456128/6xr-UhjE_normal.jpg" TargetMode="External"/><Relationship Id="rId321" Type="http://schemas.openxmlformats.org/officeDocument/2006/relationships/hyperlink" Target="https://twitter.com/pacehrb/status/701433731609788416" TargetMode="External"/><Relationship Id="rId7931" Type="http://schemas.openxmlformats.org/officeDocument/2006/relationships/hyperlink" Target="https://twitter.com/knaaptime/status/703038253763584000" TargetMode="External"/><Relationship Id="rId320" Type="http://schemas.openxmlformats.org/officeDocument/2006/relationships/hyperlink" Target="https://twitter.com/pacehrb" TargetMode="External"/><Relationship Id="rId6600" Type="http://schemas.openxmlformats.org/officeDocument/2006/relationships/hyperlink" Target="https://twitter.com/RookeAC/status/702828753769005056" TargetMode="External"/><Relationship Id="rId7930" Type="http://schemas.openxmlformats.org/officeDocument/2006/relationships/hyperlink" Target="https://twitter.com/knaaptime" TargetMode="External"/><Relationship Id="rId7926" Type="http://schemas.openxmlformats.org/officeDocument/2006/relationships/hyperlink" Target="https://pbs.twimg.com/profile_images/412126192150401024/BGjaQNXk_normal.jpeg" TargetMode="External"/><Relationship Id="rId7925" Type="http://schemas.openxmlformats.org/officeDocument/2006/relationships/hyperlink" Target="https://twitter.com/ayirpelle/status/703037758772674560" TargetMode="External"/><Relationship Id="rId7924" Type="http://schemas.openxmlformats.org/officeDocument/2006/relationships/hyperlink" Target="https://twitter.com/ayirpelle" TargetMode="External"/><Relationship Id="rId7923" Type="http://schemas.openxmlformats.org/officeDocument/2006/relationships/hyperlink" Target="https://pbs.twimg.com/profile_images/2648471416/b77d9b448eecc51df7dc344abc2cbe44_normal.jpeg" TargetMode="External"/><Relationship Id="rId7929" Type="http://schemas.openxmlformats.org/officeDocument/2006/relationships/hyperlink" Target="https://pbs.twimg.com/profile_images/671154942380400641/ySYpd-P3_normal.jpg" TargetMode="External"/><Relationship Id="rId7928" Type="http://schemas.openxmlformats.org/officeDocument/2006/relationships/hyperlink" Target="https://twitter.com/DominoDataLab/status/703037782059388928" TargetMode="External"/><Relationship Id="rId7927" Type="http://schemas.openxmlformats.org/officeDocument/2006/relationships/hyperlink" Target="https://twitter.com/DominoDataLab" TargetMode="External"/><Relationship Id="rId316" Type="http://schemas.openxmlformats.org/officeDocument/2006/relationships/hyperlink" Target="https://pbs.twimg.com/profile_images/696297708450144257/wXe0svjD_normal.jpg" TargetMode="External"/><Relationship Id="rId315" Type="http://schemas.openxmlformats.org/officeDocument/2006/relationships/hyperlink" Target="https://twitter.com/DrinaldaHoti/status/701432486123991040" TargetMode="External"/><Relationship Id="rId314" Type="http://schemas.openxmlformats.org/officeDocument/2006/relationships/hyperlink" Target="https://twitter.com/DrinaldaHoti" TargetMode="External"/><Relationship Id="rId313" Type="http://schemas.openxmlformats.org/officeDocument/2006/relationships/hyperlink" Target="https://pbs.twimg.com/profile_images/669441951192760324/zJylEnJ7_normal.jpg" TargetMode="External"/><Relationship Id="rId319" Type="http://schemas.openxmlformats.org/officeDocument/2006/relationships/hyperlink" Target="https://pbs.twimg.com/profile_images/701844609802989568/pJslTkoE_normal.jpg" TargetMode="External"/><Relationship Id="rId318" Type="http://schemas.openxmlformats.org/officeDocument/2006/relationships/hyperlink" Target="https://twitter.com/Lisa786352931/status/701433451929448449" TargetMode="External"/><Relationship Id="rId317" Type="http://schemas.openxmlformats.org/officeDocument/2006/relationships/hyperlink" Target="https://twitter.com/Lisa786352931" TargetMode="External"/><Relationship Id="rId312" Type="http://schemas.openxmlformats.org/officeDocument/2006/relationships/hyperlink" Target="https://twitter.com/abresler/status/701431654376718337" TargetMode="External"/><Relationship Id="rId7922" Type="http://schemas.openxmlformats.org/officeDocument/2006/relationships/hyperlink" Target="https://twitter.com/paralelepipidu/status/703037443457548288" TargetMode="External"/><Relationship Id="rId311" Type="http://schemas.openxmlformats.org/officeDocument/2006/relationships/hyperlink" Target="https://twitter.com/abresler" TargetMode="External"/><Relationship Id="rId7921" Type="http://schemas.openxmlformats.org/officeDocument/2006/relationships/hyperlink" Target="https://twitter.com/paralelepipidu" TargetMode="External"/><Relationship Id="rId310" Type="http://schemas.openxmlformats.org/officeDocument/2006/relationships/hyperlink" Target="https://pbs.twimg.com/profile_images/621905988619210752/osj3fItL_normal.jpg" TargetMode="External"/><Relationship Id="rId7920" Type="http://schemas.openxmlformats.org/officeDocument/2006/relationships/hyperlink" Target="https://pbs.twimg.com/profile_images/579152198296166400/WPwMK4oI_normal.jpg" TargetMode="External"/><Relationship Id="rId4040" Type="http://schemas.openxmlformats.org/officeDocument/2006/relationships/hyperlink" Target="https://twitter.com/hadleywickham" TargetMode="External"/><Relationship Id="rId5372" Type="http://schemas.openxmlformats.org/officeDocument/2006/relationships/hyperlink" Target="https://twitter.com/cartesianfaith" TargetMode="External"/><Relationship Id="rId5373" Type="http://schemas.openxmlformats.org/officeDocument/2006/relationships/hyperlink" Target="https://twitter.com/cartesianfaith/status/702577215909851136" TargetMode="External"/><Relationship Id="rId4042" Type="http://schemas.openxmlformats.org/officeDocument/2006/relationships/hyperlink" Target="https://pbs.twimg.com/profile_images/677589103710306304/m56O6Wgf_normal.jpg" TargetMode="External"/><Relationship Id="rId5370" Type="http://schemas.openxmlformats.org/officeDocument/2006/relationships/hyperlink" Target="https://twitter.com/Md_Harris/status/702574609820991492" TargetMode="External"/><Relationship Id="rId4041" Type="http://schemas.openxmlformats.org/officeDocument/2006/relationships/hyperlink" Target="https://twitter.com/hadleywickham/status/702291955615531008" TargetMode="External"/><Relationship Id="rId5371" Type="http://schemas.openxmlformats.org/officeDocument/2006/relationships/hyperlink" Target="https://pbs.twimg.com/profile_images/640558270843850752/9jnEvx6k_normal.jpg" TargetMode="External"/><Relationship Id="rId4044" Type="http://schemas.openxmlformats.org/officeDocument/2006/relationships/hyperlink" Target="https://twitter.com/timelyportfolio/status/702292239301648384" TargetMode="External"/><Relationship Id="rId5376" Type="http://schemas.openxmlformats.org/officeDocument/2006/relationships/hyperlink" Target="https://twitter.com/kyle_e_walker/status/702579513926901761" TargetMode="External"/><Relationship Id="rId4043" Type="http://schemas.openxmlformats.org/officeDocument/2006/relationships/hyperlink" Target="https://twitter.com/timelyportfolio" TargetMode="External"/><Relationship Id="rId5377" Type="http://schemas.openxmlformats.org/officeDocument/2006/relationships/hyperlink" Target="https://pbs.twimg.com/profile_images/535539844479332354/CA9doTjY_normal.jpeg" TargetMode="External"/><Relationship Id="rId4046" Type="http://schemas.openxmlformats.org/officeDocument/2006/relationships/hyperlink" Target="https://twitter.com/abhworthington" TargetMode="External"/><Relationship Id="rId5374" Type="http://schemas.openxmlformats.org/officeDocument/2006/relationships/hyperlink" Target="https://pbs.twimg.com/profile_images/439165679602647040/f6VDw3GJ_normal.jpeg" TargetMode="External"/><Relationship Id="rId4045" Type="http://schemas.openxmlformats.org/officeDocument/2006/relationships/hyperlink" Target="https://pbs.twimg.com/profile_images/2198946077/image_normal.jpg" TargetMode="External"/><Relationship Id="rId5375" Type="http://schemas.openxmlformats.org/officeDocument/2006/relationships/hyperlink" Target="https://twitter.com/kyle_e_walker" TargetMode="External"/><Relationship Id="rId4048" Type="http://schemas.openxmlformats.org/officeDocument/2006/relationships/hyperlink" Target="https://pbs.twimg.com/profile_images/2735471720/d2fcfbc855f6fe384b5d04551e47e8a3_normal.jpeg" TargetMode="External"/><Relationship Id="rId4047" Type="http://schemas.openxmlformats.org/officeDocument/2006/relationships/hyperlink" Target="https://twitter.com/abhworthington/status/702292244607459328" TargetMode="External"/><Relationship Id="rId5378" Type="http://schemas.openxmlformats.org/officeDocument/2006/relationships/hyperlink" Target="https://twitter.com/hernangraffe" TargetMode="External"/><Relationship Id="rId4049" Type="http://schemas.openxmlformats.org/officeDocument/2006/relationships/hyperlink" Target="https://twitter.com/APMisLow" TargetMode="External"/><Relationship Id="rId5379" Type="http://schemas.openxmlformats.org/officeDocument/2006/relationships/hyperlink" Target="https://twitter.com/hernangraffe/status/702580054392438784" TargetMode="External"/><Relationship Id="rId5361" Type="http://schemas.openxmlformats.org/officeDocument/2006/relationships/hyperlink" Target="https://twitter.com/djpappano/status/702573623203209218" TargetMode="External"/><Relationship Id="rId6692" Type="http://schemas.openxmlformats.org/officeDocument/2006/relationships/hyperlink" Target="https://twitter.com/dr_eldersveld" TargetMode="External"/><Relationship Id="rId5362" Type="http://schemas.openxmlformats.org/officeDocument/2006/relationships/hyperlink" Target="https://pbs.twimg.com/profile_images/1802640457/maylet.7.15.10-ID2_normal.JPG" TargetMode="External"/><Relationship Id="rId6693" Type="http://schemas.openxmlformats.org/officeDocument/2006/relationships/hyperlink" Target="https://twitter.com/dr_eldersveld/status/702848490460815360" TargetMode="External"/><Relationship Id="rId4031" Type="http://schemas.openxmlformats.org/officeDocument/2006/relationships/hyperlink" Target="https://twitter.com/biconnections" TargetMode="External"/><Relationship Id="rId6690" Type="http://schemas.openxmlformats.org/officeDocument/2006/relationships/hyperlink" Target="https://twitter.com/StatistikInDD/status/702848110226247681" TargetMode="External"/><Relationship Id="rId4030" Type="http://schemas.openxmlformats.org/officeDocument/2006/relationships/hyperlink" Target="https://pbs.twimg.com/profile_images/676829689026072578/Tc66pMai_normal.jpg" TargetMode="External"/><Relationship Id="rId5360" Type="http://schemas.openxmlformats.org/officeDocument/2006/relationships/hyperlink" Target="https://twitter.com/djpappano" TargetMode="External"/><Relationship Id="rId6691" Type="http://schemas.openxmlformats.org/officeDocument/2006/relationships/hyperlink" Target="https://pbs.twimg.com/profile_images/694618434664054785/VVZ0bwKg_normal.png" TargetMode="External"/><Relationship Id="rId297" Type="http://schemas.openxmlformats.org/officeDocument/2006/relationships/hyperlink" Target="https://twitter.com/bigboardsio/status/701430891839668224" TargetMode="External"/><Relationship Id="rId4033" Type="http://schemas.openxmlformats.org/officeDocument/2006/relationships/hyperlink" Target="https://pbs.twimg.com/profile_images/1866862979/50519_388209157862059_947380685_n_normal.jpg" TargetMode="External"/><Relationship Id="rId5365" Type="http://schemas.openxmlformats.org/officeDocument/2006/relationships/hyperlink" Target="https://pbs.twimg.com/profile_images/442101351573491713/cJ-gic4-_normal.jpeg" TargetMode="External"/><Relationship Id="rId6696" Type="http://schemas.openxmlformats.org/officeDocument/2006/relationships/hyperlink" Target="https://twitter.com/timelyportfolio/status/702849309038002176" TargetMode="External"/><Relationship Id="rId296" Type="http://schemas.openxmlformats.org/officeDocument/2006/relationships/hyperlink" Target="https://twitter.com/bigboardsio" TargetMode="External"/><Relationship Id="rId4032" Type="http://schemas.openxmlformats.org/officeDocument/2006/relationships/hyperlink" Target="https://twitter.com/biconnections/status/702288625984258053" TargetMode="External"/><Relationship Id="rId5366" Type="http://schemas.openxmlformats.org/officeDocument/2006/relationships/hyperlink" Target="https://twitter.com/monsoontrader" TargetMode="External"/><Relationship Id="rId6697" Type="http://schemas.openxmlformats.org/officeDocument/2006/relationships/hyperlink" Target="https://pbs.twimg.com/profile_images/2198946077/image_normal.jpg" TargetMode="External"/><Relationship Id="rId295" Type="http://schemas.openxmlformats.org/officeDocument/2006/relationships/hyperlink" Target="https://pbs.twimg.com/profile_images/690624026616553472/Jrtvx19B_normal.jpg" TargetMode="External"/><Relationship Id="rId4035" Type="http://schemas.openxmlformats.org/officeDocument/2006/relationships/hyperlink" Target="https://twitter.com/akm/status/702288885980622848" TargetMode="External"/><Relationship Id="rId5363" Type="http://schemas.openxmlformats.org/officeDocument/2006/relationships/hyperlink" Target="https://twitter.com/marshprincess" TargetMode="External"/><Relationship Id="rId6694" Type="http://schemas.openxmlformats.org/officeDocument/2006/relationships/hyperlink" Target="https://pbs.twimg.com/profile_images/622068124599238656/7mJZq698_normal.png" TargetMode="External"/><Relationship Id="rId294" Type="http://schemas.openxmlformats.org/officeDocument/2006/relationships/hyperlink" Target="https://twitter.com/ashwinswarup/status/701430551899676672" TargetMode="External"/><Relationship Id="rId4034" Type="http://schemas.openxmlformats.org/officeDocument/2006/relationships/hyperlink" Target="https://twitter.com/akm" TargetMode="External"/><Relationship Id="rId5364" Type="http://schemas.openxmlformats.org/officeDocument/2006/relationships/hyperlink" Target="https://twitter.com/marshprincess/status/702573694002921472" TargetMode="External"/><Relationship Id="rId6695" Type="http://schemas.openxmlformats.org/officeDocument/2006/relationships/hyperlink" Target="https://twitter.com/timelyportfolio" TargetMode="External"/><Relationship Id="rId4037" Type="http://schemas.openxmlformats.org/officeDocument/2006/relationships/hyperlink" Target="https://twitter.com/AnalyticsVidhya" TargetMode="External"/><Relationship Id="rId5369" Type="http://schemas.openxmlformats.org/officeDocument/2006/relationships/hyperlink" Target="https://twitter.com/Md_Harris" TargetMode="External"/><Relationship Id="rId4036" Type="http://schemas.openxmlformats.org/officeDocument/2006/relationships/hyperlink" Target="https://pbs.twimg.com/profile_images/521721909767987200/SdP9e2rd_normal.jpeg" TargetMode="External"/><Relationship Id="rId299" Type="http://schemas.openxmlformats.org/officeDocument/2006/relationships/hyperlink" Target="https://twitter.com/Bioecologie" TargetMode="External"/><Relationship Id="rId4039" Type="http://schemas.openxmlformats.org/officeDocument/2006/relationships/hyperlink" Target="https://pbs.twimg.com/profile_images/457775762108448768/XmO2C1-E_normal.png" TargetMode="External"/><Relationship Id="rId5367" Type="http://schemas.openxmlformats.org/officeDocument/2006/relationships/hyperlink" Target="https://twitter.com/monsoontrader/status/702573990699769856" TargetMode="External"/><Relationship Id="rId6698" Type="http://schemas.openxmlformats.org/officeDocument/2006/relationships/hyperlink" Target="https://twitter.com/hope_foley" TargetMode="External"/><Relationship Id="rId298" Type="http://schemas.openxmlformats.org/officeDocument/2006/relationships/hyperlink" Target="https://pbs.twimg.com/profile_images/489375332743409664/P4sYDY1__normal.png" TargetMode="External"/><Relationship Id="rId4038" Type="http://schemas.openxmlformats.org/officeDocument/2006/relationships/hyperlink" Target="https://twitter.com/AnalyticsVidhya/status/702289408716840961" TargetMode="External"/><Relationship Id="rId5368" Type="http://schemas.openxmlformats.org/officeDocument/2006/relationships/hyperlink" Target="https://pbs.twimg.com/profile_images/669283346413916161/jH8A_2hk_normal.jpg" TargetMode="External"/><Relationship Id="rId6699" Type="http://schemas.openxmlformats.org/officeDocument/2006/relationships/hyperlink" Target="https://twitter.com/hope_foley/status/702851216976445440" TargetMode="External"/><Relationship Id="rId5390" Type="http://schemas.openxmlformats.org/officeDocument/2006/relationships/hyperlink" Target="https://twitter.com/myrcurial" TargetMode="External"/><Relationship Id="rId5391" Type="http://schemas.openxmlformats.org/officeDocument/2006/relationships/hyperlink" Target="https://twitter.com/myrcurial/status/702580816778391552" TargetMode="External"/><Relationship Id="rId4060" Type="http://schemas.openxmlformats.org/officeDocument/2006/relationships/hyperlink" Target="https://pbs.twimg.com/profile_images/282692642/jweber_normal.jpg" TargetMode="External"/><Relationship Id="rId4062" Type="http://schemas.openxmlformats.org/officeDocument/2006/relationships/hyperlink" Target="https://twitter.com/DrAndyPardoe/status/702293402155675648" TargetMode="External"/><Relationship Id="rId5394" Type="http://schemas.openxmlformats.org/officeDocument/2006/relationships/hyperlink" Target="https://twitter.com/Nuovella/status/702580911368445952" TargetMode="External"/><Relationship Id="rId4061" Type="http://schemas.openxmlformats.org/officeDocument/2006/relationships/hyperlink" Target="https://twitter.com/DrAndyPardoe" TargetMode="External"/><Relationship Id="rId5395" Type="http://schemas.openxmlformats.org/officeDocument/2006/relationships/hyperlink" Target="https://pbs.twimg.com/profile_images/460403786306289664/MJgCqWM0_normal.jpeg" TargetMode="External"/><Relationship Id="rId4064" Type="http://schemas.openxmlformats.org/officeDocument/2006/relationships/hyperlink" Target="https://twitter.com/KarlskiB" TargetMode="External"/><Relationship Id="rId5392" Type="http://schemas.openxmlformats.org/officeDocument/2006/relationships/hyperlink" Target="https://pbs.twimg.com/profile_images/2456256510/s32vk9pok4y6kd9jgciy_normal.jpeg" TargetMode="External"/><Relationship Id="rId4063" Type="http://schemas.openxmlformats.org/officeDocument/2006/relationships/hyperlink" Target="https://pbs.twimg.com/profile_images/485766134268837889/t4PLhSfT_normal.jpeg" TargetMode="External"/><Relationship Id="rId5393" Type="http://schemas.openxmlformats.org/officeDocument/2006/relationships/hyperlink" Target="https://twitter.com/Nuovella" TargetMode="External"/><Relationship Id="rId4066" Type="http://schemas.openxmlformats.org/officeDocument/2006/relationships/hyperlink" Target="https://pbs.twimg.com/profile_images/206819990/wellington_normal.jpg" TargetMode="External"/><Relationship Id="rId5398" Type="http://schemas.openxmlformats.org/officeDocument/2006/relationships/hyperlink" Target="https://pbs.twimg.com/profile_images/460403786306289664/MJgCqWM0_normal.jpeg" TargetMode="External"/><Relationship Id="rId4065" Type="http://schemas.openxmlformats.org/officeDocument/2006/relationships/hyperlink" Target="https://twitter.com/KarlskiB/status/702293861356285953" TargetMode="External"/><Relationship Id="rId5399" Type="http://schemas.openxmlformats.org/officeDocument/2006/relationships/hyperlink" Target="https://twitter.com/Nuovella" TargetMode="External"/><Relationship Id="rId4068" Type="http://schemas.openxmlformats.org/officeDocument/2006/relationships/hyperlink" Target="https://twitter.com/ARTbio_IBPS/status/702295138895327233" TargetMode="External"/><Relationship Id="rId5396" Type="http://schemas.openxmlformats.org/officeDocument/2006/relationships/hyperlink" Target="https://twitter.com/Nuovella" TargetMode="External"/><Relationship Id="rId4067" Type="http://schemas.openxmlformats.org/officeDocument/2006/relationships/hyperlink" Target="https://twitter.com/ARTbio_IBPS" TargetMode="External"/><Relationship Id="rId5397" Type="http://schemas.openxmlformats.org/officeDocument/2006/relationships/hyperlink" Target="https://twitter.com/Nuovella/status/702580991093772289" TargetMode="External"/><Relationship Id="rId4069" Type="http://schemas.openxmlformats.org/officeDocument/2006/relationships/hyperlink" Target="https://pbs.twimg.com/profile_images/624213374545592320/Jd0fTL6e_normal.jpg" TargetMode="External"/><Relationship Id="rId5380" Type="http://schemas.openxmlformats.org/officeDocument/2006/relationships/hyperlink" Target="https://pbs.twimg.com/profile_images/545739425934606336/BfYP_1F7_normal.jpeg" TargetMode="External"/><Relationship Id="rId4051" Type="http://schemas.openxmlformats.org/officeDocument/2006/relationships/hyperlink" Target="https://pbs.twimg.com/profile_images/562313139136389121/TvuCabhE_normal.png" TargetMode="External"/><Relationship Id="rId5383" Type="http://schemas.openxmlformats.org/officeDocument/2006/relationships/hyperlink" Target="https://pbs.twimg.com/profile_images/700394301625241600/6zj3U0sH_normal.jpg" TargetMode="External"/><Relationship Id="rId4050" Type="http://schemas.openxmlformats.org/officeDocument/2006/relationships/hyperlink" Target="https://twitter.com/APMisLow/status/702292532042944513" TargetMode="External"/><Relationship Id="rId5384" Type="http://schemas.openxmlformats.org/officeDocument/2006/relationships/hyperlink" Target="https://twitter.com/hrbrmstr" TargetMode="External"/><Relationship Id="rId4053" Type="http://schemas.openxmlformats.org/officeDocument/2006/relationships/hyperlink" Target="https://twitter.com/ivacielo/status/702292754492223489" TargetMode="External"/><Relationship Id="rId5381" Type="http://schemas.openxmlformats.org/officeDocument/2006/relationships/hyperlink" Target="https://twitter.com/engima25" TargetMode="External"/><Relationship Id="rId4052" Type="http://schemas.openxmlformats.org/officeDocument/2006/relationships/hyperlink" Target="https://twitter.com/ivacielo" TargetMode="External"/><Relationship Id="rId5382" Type="http://schemas.openxmlformats.org/officeDocument/2006/relationships/hyperlink" Target="https://twitter.com/engima25/status/702580391283064832" TargetMode="External"/><Relationship Id="rId4055" Type="http://schemas.openxmlformats.org/officeDocument/2006/relationships/hyperlink" Target="https://twitter.com/YurikitoKSP" TargetMode="External"/><Relationship Id="rId5387" Type="http://schemas.openxmlformats.org/officeDocument/2006/relationships/hyperlink" Target="https://twitter.com/thedynamicarts" TargetMode="External"/><Relationship Id="rId4054" Type="http://schemas.openxmlformats.org/officeDocument/2006/relationships/hyperlink" Target="https://pbs.twimg.com/profile_images/462249278061019136/mQarirZu_normal.jpeg" TargetMode="External"/><Relationship Id="rId5388" Type="http://schemas.openxmlformats.org/officeDocument/2006/relationships/hyperlink" Target="https://twitter.com/thedynamicarts/status/702580766719356928" TargetMode="External"/><Relationship Id="rId4057" Type="http://schemas.openxmlformats.org/officeDocument/2006/relationships/hyperlink" Target="https://pbs.twimg.com/profile_images/691405569182277634/_9E3Gs1O_normal.jpg" TargetMode="External"/><Relationship Id="rId5385" Type="http://schemas.openxmlformats.org/officeDocument/2006/relationships/hyperlink" Target="https://twitter.com/hrbrmstr/status/702580603384893440" TargetMode="External"/><Relationship Id="rId4056" Type="http://schemas.openxmlformats.org/officeDocument/2006/relationships/hyperlink" Target="https://twitter.com/YurikitoKSP/status/702293214703722496" TargetMode="External"/><Relationship Id="rId5386" Type="http://schemas.openxmlformats.org/officeDocument/2006/relationships/hyperlink" Target="https://pbs.twimg.com/profile_images/557592259298729985/kpCUQWH1_normal.png" TargetMode="External"/><Relationship Id="rId4059" Type="http://schemas.openxmlformats.org/officeDocument/2006/relationships/hyperlink" Target="https://twitter.com/jweber3rd/status/702293351010177024" TargetMode="External"/><Relationship Id="rId4058" Type="http://schemas.openxmlformats.org/officeDocument/2006/relationships/hyperlink" Target="https://twitter.com/jweber3rd" TargetMode="External"/><Relationship Id="rId5389" Type="http://schemas.openxmlformats.org/officeDocument/2006/relationships/hyperlink" Target="https://pbs.twimg.com/profile_images/699851605168918528/VOOUv390_normal.jpg" TargetMode="External"/><Relationship Id="rId4008" Type="http://schemas.openxmlformats.org/officeDocument/2006/relationships/hyperlink" Target="https://twitter.com/RallidaeRule/status/702286756167548928" TargetMode="External"/><Relationship Id="rId4007" Type="http://schemas.openxmlformats.org/officeDocument/2006/relationships/hyperlink" Target="https://twitter.com/RallidaeRule" TargetMode="External"/><Relationship Id="rId5338" Type="http://schemas.openxmlformats.org/officeDocument/2006/relationships/hyperlink" Target="https://pbs.twimg.com/profile_images/672135815087149056/Cyx6X1gZ_normal.jpg" TargetMode="External"/><Relationship Id="rId6669" Type="http://schemas.openxmlformats.org/officeDocument/2006/relationships/hyperlink" Target="https://twitter.com/EvoMellor/status/702844003587334145" TargetMode="External"/><Relationship Id="rId4009" Type="http://schemas.openxmlformats.org/officeDocument/2006/relationships/hyperlink" Target="https://pbs.twimg.com/profile_images/472088432374579201/pTx9F7zb_normal.jpeg" TargetMode="External"/><Relationship Id="rId5339" Type="http://schemas.openxmlformats.org/officeDocument/2006/relationships/hyperlink" Target="https://twitter.com/ChristineFermo" TargetMode="External"/><Relationship Id="rId271" Type="http://schemas.openxmlformats.org/officeDocument/2006/relationships/hyperlink" Target="https://pbs.twimg.com/profile_images/663498717857644544/ixXOsMiL_normal.jpg" TargetMode="External"/><Relationship Id="rId270" Type="http://schemas.openxmlformats.org/officeDocument/2006/relationships/hyperlink" Target="https://twitter.com/CabuyReinnard/status/701425212307410946" TargetMode="External"/><Relationship Id="rId269" Type="http://schemas.openxmlformats.org/officeDocument/2006/relationships/hyperlink" Target="https://twitter.com/CabuyReinnard" TargetMode="External"/><Relationship Id="rId7991" Type="http://schemas.openxmlformats.org/officeDocument/2006/relationships/hyperlink" Target="https://twitter.com/ocaokgbu/status/703049698907533312" TargetMode="External"/><Relationship Id="rId6660" Type="http://schemas.openxmlformats.org/officeDocument/2006/relationships/hyperlink" Target="https://twitter.com/nekrum/status/702840950045827072" TargetMode="External"/><Relationship Id="rId7990" Type="http://schemas.openxmlformats.org/officeDocument/2006/relationships/hyperlink" Target="https://twitter.com/ocaokgbu" TargetMode="External"/><Relationship Id="rId264" Type="http://schemas.openxmlformats.org/officeDocument/2006/relationships/hyperlink" Target="https://twitter.com/Pablo_1990/status/701424767556046852" TargetMode="External"/><Relationship Id="rId4000" Type="http://schemas.openxmlformats.org/officeDocument/2006/relationships/hyperlink" Target="https://pbs.twimg.com/profile_images/668490997010071552/3sh3c_9A_normal.png" TargetMode="External"/><Relationship Id="rId5332" Type="http://schemas.openxmlformats.org/officeDocument/2006/relationships/hyperlink" Target="https://pbs.twimg.com/profile_images/697560996563570695/f8WcvKtd_normal.jpg" TargetMode="External"/><Relationship Id="rId6663" Type="http://schemas.openxmlformats.org/officeDocument/2006/relationships/hyperlink" Target="https://twitter.com/SuaJorge/status/702841618777432064" TargetMode="External"/><Relationship Id="rId7995" Type="http://schemas.openxmlformats.org/officeDocument/2006/relationships/hyperlink" Target="https://pbs.twimg.com/profile_images/1411134529/image_normal.jpg" TargetMode="External"/><Relationship Id="rId263" Type="http://schemas.openxmlformats.org/officeDocument/2006/relationships/hyperlink" Target="https://twitter.com/Pablo_1990" TargetMode="External"/><Relationship Id="rId5333" Type="http://schemas.openxmlformats.org/officeDocument/2006/relationships/hyperlink" Target="https://twitter.com/LeahAWasser" TargetMode="External"/><Relationship Id="rId6664" Type="http://schemas.openxmlformats.org/officeDocument/2006/relationships/hyperlink" Target="https://pbs.twimg.com/profile_images/3579478848/d21d05d0b1a1a517e269f11746f6016a_normal.jpeg" TargetMode="External"/><Relationship Id="rId7994" Type="http://schemas.openxmlformats.org/officeDocument/2006/relationships/hyperlink" Target="https://twitter.com/horihorio/status/703050900097503232" TargetMode="External"/><Relationship Id="rId262" Type="http://schemas.openxmlformats.org/officeDocument/2006/relationships/hyperlink" Target="https://pbs.twimg.com/profile_images/548931380541792256/RN_Lg1sS_normal.jpeg" TargetMode="External"/><Relationship Id="rId4002" Type="http://schemas.openxmlformats.org/officeDocument/2006/relationships/hyperlink" Target="https://twitter.com/kwbroman/status/702286041252671488" TargetMode="External"/><Relationship Id="rId5330" Type="http://schemas.openxmlformats.org/officeDocument/2006/relationships/hyperlink" Target="https://twitter.com/philninh" TargetMode="External"/><Relationship Id="rId6661" Type="http://schemas.openxmlformats.org/officeDocument/2006/relationships/hyperlink" Target="https://pbs.twimg.com/profile_images/119769350/logo-azul-blanco_normal.png" TargetMode="External"/><Relationship Id="rId7993" Type="http://schemas.openxmlformats.org/officeDocument/2006/relationships/hyperlink" Target="https://twitter.com/horihorio" TargetMode="External"/><Relationship Id="rId261" Type="http://schemas.openxmlformats.org/officeDocument/2006/relationships/hyperlink" Target="https://twitter.com/wrgarciag/status/701424750380392448" TargetMode="External"/><Relationship Id="rId4001" Type="http://schemas.openxmlformats.org/officeDocument/2006/relationships/hyperlink" Target="https://twitter.com/kwbroman" TargetMode="External"/><Relationship Id="rId5331" Type="http://schemas.openxmlformats.org/officeDocument/2006/relationships/hyperlink" Target="https://twitter.com/philninh/status/702565207005077505" TargetMode="External"/><Relationship Id="rId6662" Type="http://schemas.openxmlformats.org/officeDocument/2006/relationships/hyperlink" Target="https://twitter.com/SuaJorge" TargetMode="External"/><Relationship Id="rId7992" Type="http://schemas.openxmlformats.org/officeDocument/2006/relationships/hyperlink" Target="https://pbs.twimg.com/profile_images/1002716627/avatar_normal.jpg" TargetMode="External"/><Relationship Id="rId268" Type="http://schemas.openxmlformats.org/officeDocument/2006/relationships/hyperlink" Target="https://pbs.twimg.com/profile_images/663498717857644544/ixXOsMiL_normal.jpg" TargetMode="External"/><Relationship Id="rId4004" Type="http://schemas.openxmlformats.org/officeDocument/2006/relationships/hyperlink" Target="https://twitter.com/DrDanielGillis" TargetMode="External"/><Relationship Id="rId5336" Type="http://schemas.openxmlformats.org/officeDocument/2006/relationships/hyperlink" Target="https://twitter.com/behaviordots" TargetMode="External"/><Relationship Id="rId6667" Type="http://schemas.openxmlformats.org/officeDocument/2006/relationships/hyperlink" Target="https://pbs.twimg.com/profile_images/568832444233555968/ckatBsdG_normal.jpeg" TargetMode="External"/><Relationship Id="rId7999" Type="http://schemas.openxmlformats.org/officeDocument/2006/relationships/hyperlink" Target="https://twitter.com/sfrechette" TargetMode="External"/><Relationship Id="rId267" Type="http://schemas.openxmlformats.org/officeDocument/2006/relationships/hyperlink" Target="https://twitter.com/CabuyReinnard/status/701425187011608576" TargetMode="External"/><Relationship Id="rId4003" Type="http://schemas.openxmlformats.org/officeDocument/2006/relationships/hyperlink" Target="https://pbs.twimg.com/profile_images/680796333460959232/CzoFZb76_normal.jpg" TargetMode="External"/><Relationship Id="rId5337" Type="http://schemas.openxmlformats.org/officeDocument/2006/relationships/hyperlink" Target="https://twitter.com/behaviordots/status/702567098677997568" TargetMode="External"/><Relationship Id="rId6668" Type="http://schemas.openxmlformats.org/officeDocument/2006/relationships/hyperlink" Target="https://twitter.com/EvoMellor" TargetMode="External"/><Relationship Id="rId7998" Type="http://schemas.openxmlformats.org/officeDocument/2006/relationships/hyperlink" Target="https://pbs.twimg.com/profile_images/687151931127500800/Kdf54J10_normal.jpg" TargetMode="External"/><Relationship Id="rId266" Type="http://schemas.openxmlformats.org/officeDocument/2006/relationships/hyperlink" Target="https://twitter.com/CabuyReinnard" TargetMode="External"/><Relationship Id="rId4006" Type="http://schemas.openxmlformats.org/officeDocument/2006/relationships/hyperlink" Target="https://pbs.twimg.com/profile_images/672147299154399233/tbxENz9t_normal.jpg" TargetMode="External"/><Relationship Id="rId5334" Type="http://schemas.openxmlformats.org/officeDocument/2006/relationships/hyperlink" Target="https://twitter.com/LeahAWasser/status/702566801700327424" TargetMode="External"/><Relationship Id="rId6665" Type="http://schemas.openxmlformats.org/officeDocument/2006/relationships/hyperlink" Target="https://twitter.com/sensinum" TargetMode="External"/><Relationship Id="rId7997" Type="http://schemas.openxmlformats.org/officeDocument/2006/relationships/hyperlink" Target="https://twitter.com/kara_woo/status/703051400779927552" TargetMode="External"/><Relationship Id="rId265" Type="http://schemas.openxmlformats.org/officeDocument/2006/relationships/hyperlink" Target="https://pbs.twimg.com/profile_images/702799623086166017/oGLRSrC-_normal.png" TargetMode="External"/><Relationship Id="rId4005" Type="http://schemas.openxmlformats.org/officeDocument/2006/relationships/hyperlink" Target="https://twitter.com/DrDanielGillis/status/702286251597111297" TargetMode="External"/><Relationship Id="rId5335" Type="http://schemas.openxmlformats.org/officeDocument/2006/relationships/hyperlink" Target="https://pbs.twimg.com/profile_images/633416207165689856/-nZq_x05_normal.jpg" TargetMode="External"/><Relationship Id="rId6666" Type="http://schemas.openxmlformats.org/officeDocument/2006/relationships/hyperlink" Target="https://twitter.com/sensinum/status/702843793586962433" TargetMode="External"/><Relationship Id="rId7996" Type="http://schemas.openxmlformats.org/officeDocument/2006/relationships/hyperlink" Target="https://twitter.com/kara_woo" TargetMode="External"/><Relationship Id="rId5329" Type="http://schemas.openxmlformats.org/officeDocument/2006/relationships/hyperlink" Target="https://pbs.twimg.com/profile_images/528573126905315329/3TbCJKpT_normal.jpeg" TargetMode="External"/><Relationship Id="rId5327" Type="http://schemas.openxmlformats.org/officeDocument/2006/relationships/hyperlink" Target="https://twitter.com/daveinstpaul" TargetMode="External"/><Relationship Id="rId6658" Type="http://schemas.openxmlformats.org/officeDocument/2006/relationships/hyperlink" Target="https://pbs.twimg.com/profile_images/647087537127714816/rXgMORUL_normal.png" TargetMode="External"/><Relationship Id="rId5328" Type="http://schemas.openxmlformats.org/officeDocument/2006/relationships/hyperlink" Target="https://twitter.com/daveinstpaul/status/702565004898279424" TargetMode="External"/><Relationship Id="rId6659" Type="http://schemas.openxmlformats.org/officeDocument/2006/relationships/hyperlink" Target="https://twitter.com/nekrum" TargetMode="External"/><Relationship Id="rId7989" Type="http://schemas.openxmlformats.org/officeDocument/2006/relationships/hyperlink" Target="https://pbs.twimg.com/profile_images/2198946077/image_normal.jpg" TargetMode="External"/><Relationship Id="rId260" Type="http://schemas.openxmlformats.org/officeDocument/2006/relationships/hyperlink" Target="https://twitter.com/wrgarciag" TargetMode="External"/><Relationship Id="rId259" Type="http://schemas.openxmlformats.org/officeDocument/2006/relationships/hyperlink" Target="https://pbs.twimg.com/profile_images/297245835/Picture_002_normal.jpg" TargetMode="External"/><Relationship Id="rId258" Type="http://schemas.openxmlformats.org/officeDocument/2006/relationships/hyperlink" Target="https://twitter.com/puneethmishra/status/701422756798181376" TargetMode="External"/><Relationship Id="rId7980" Type="http://schemas.openxmlformats.org/officeDocument/2006/relationships/hyperlink" Target="https://pbs.twimg.com/profile_images/577678622460239872/bIwrSQ09_normal.jpeg" TargetMode="External"/><Relationship Id="rId253" Type="http://schemas.openxmlformats.org/officeDocument/2006/relationships/hyperlink" Target="https://pbs.twimg.com/profile_images/474984354339254272/JFndeCEk_normal.jpeg" TargetMode="External"/><Relationship Id="rId5321" Type="http://schemas.openxmlformats.org/officeDocument/2006/relationships/hyperlink" Target="https://twitter.com/RiseGeeklings" TargetMode="External"/><Relationship Id="rId6652" Type="http://schemas.openxmlformats.org/officeDocument/2006/relationships/hyperlink" Target="https://pbs.twimg.com/profile_images/632117607420661760/8Ju2GBWv_normal.png" TargetMode="External"/><Relationship Id="rId7984" Type="http://schemas.openxmlformats.org/officeDocument/2006/relationships/hyperlink" Target="https://twitter.com/yutannihilation" TargetMode="External"/><Relationship Id="rId252" Type="http://schemas.openxmlformats.org/officeDocument/2006/relationships/hyperlink" Target="https://twitter.com/JamesPBLloyd/status/701422671175618560" TargetMode="External"/><Relationship Id="rId5322" Type="http://schemas.openxmlformats.org/officeDocument/2006/relationships/hyperlink" Target="https://twitter.com/RiseGeeklings/status/702564048970211333" TargetMode="External"/><Relationship Id="rId6653" Type="http://schemas.openxmlformats.org/officeDocument/2006/relationships/hyperlink" Target="https://twitter.com/HassellMichael" TargetMode="External"/><Relationship Id="rId7983" Type="http://schemas.openxmlformats.org/officeDocument/2006/relationships/hyperlink" Target="https://pbs.twimg.com/profile_images/53084880/ultra_normal.jpg" TargetMode="External"/><Relationship Id="rId251" Type="http://schemas.openxmlformats.org/officeDocument/2006/relationships/hyperlink" Target="https://twitter.com/JamesPBLloyd" TargetMode="External"/><Relationship Id="rId6650" Type="http://schemas.openxmlformats.org/officeDocument/2006/relationships/hyperlink" Target="https://twitter.com/MapOnBlackboard" TargetMode="External"/><Relationship Id="rId7982" Type="http://schemas.openxmlformats.org/officeDocument/2006/relationships/hyperlink" Target="https://twitter.com/takeshou/status/703047857964617728" TargetMode="External"/><Relationship Id="rId250" Type="http://schemas.openxmlformats.org/officeDocument/2006/relationships/hyperlink" Target="https://abs.twimg.com/sticky/default_profile_images/default_profile_4_normal.png" TargetMode="External"/><Relationship Id="rId5320" Type="http://schemas.openxmlformats.org/officeDocument/2006/relationships/hyperlink" Target="https://pbs.twimg.com/profile_images/673369747061235712/KT1vEmzu_normal.png" TargetMode="External"/><Relationship Id="rId6651" Type="http://schemas.openxmlformats.org/officeDocument/2006/relationships/hyperlink" Target="https://twitter.com/MapOnBlackboard/status/702839382663770112" TargetMode="External"/><Relationship Id="rId7981" Type="http://schemas.openxmlformats.org/officeDocument/2006/relationships/hyperlink" Target="https://twitter.com/takeshou" TargetMode="External"/><Relationship Id="rId257" Type="http://schemas.openxmlformats.org/officeDocument/2006/relationships/hyperlink" Target="https://twitter.com/puneethmishra" TargetMode="External"/><Relationship Id="rId5325" Type="http://schemas.openxmlformats.org/officeDocument/2006/relationships/hyperlink" Target="https://twitter.com/JAlexBranham/status/702564647967174656" TargetMode="External"/><Relationship Id="rId6656" Type="http://schemas.openxmlformats.org/officeDocument/2006/relationships/hyperlink" Target="https://twitter.com/rile_crystal" TargetMode="External"/><Relationship Id="rId7988" Type="http://schemas.openxmlformats.org/officeDocument/2006/relationships/hyperlink" Target="https://twitter.com/timelyportfolio/status/703049309344899072" TargetMode="External"/><Relationship Id="rId256" Type="http://schemas.openxmlformats.org/officeDocument/2006/relationships/hyperlink" Target="https://pbs.twimg.com/profile_images/297245835/Picture_002_normal.jpg" TargetMode="External"/><Relationship Id="rId5326" Type="http://schemas.openxmlformats.org/officeDocument/2006/relationships/hyperlink" Target="https://pbs.twimg.com/profile_images/628537702166564864/DrkqoQcc_normal.jpg" TargetMode="External"/><Relationship Id="rId6657" Type="http://schemas.openxmlformats.org/officeDocument/2006/relationships/hyperlink" Target="https://twitter.com/rile_crystal/status/702840429830483969" TargetMode="External"/><Relationship Id="rId7987" Type="http://schemas.openxmlformats.org/officeDocument/2006/relationships/hyperlink" Target="https://twitter.com/timelyportfolio" TargetMode="External"/><Relationship Id="rId255" Type="http://schemas.openxmlformats.org/officeDocument/2006/relationships/hyperlink" Target="https://twitter.com/puneethmishra/status/701422755372146688" TargetMode="External"/><Relationship Id="rId5323" Type="http://schemas.openxmlformats.org/officeDocument/2006/relationships/hyperlink" Target="https://pbs.twimg.com/profile_images/645268170605920257/V9fLrMdk_normal.jpg" TargetMode="External"/><Relationship Id="rId6654" Type="http://schemas.openxmlformats.org/officeDocument/2006/relationships/hyperlink" Target="https://twitter.com/HassellMichael/status/702839728169689088" TargetMode="External"/><Relationship Id="rId7986" Type="http://schemas.openxmlformats.org/officeDocument/2006/relationships/hyperlink" Target="https://pbs.twimg.com/profile_images/692351230991929344/HMNNQlNZ_normal.png" TargetMode="External"/><Relationship Id="rId254" Type="http://schemas.openxmlformats.org/officeDocument/2006/relationships/hyperlink" Target="https://twitter.com/puneethmishra" TargetMode="External"/><Relationship Id="rId5324" Type="http://schemas.openxmlformats.org/officeDocument/2006/relationships/hyperlink" Target="https://twitter.com/JAlexBranham" TargetMode="External"/><Relationship Id="rId6655" Type="http://schemas.openxmlformats.org/officeDocument/2006/relationships/hyperlink" Target="https://pbs.twimg.com/profile_images/378800000351818727/d32acff0d943bede4eb8c892c2546bd2_normal.jpeg" TargetMode="External"/><Relationship Id="rId7985" Type="http://schemas.openxmlformats.org/officeDocument/2006/relationships/hyperlink" Target="https://twitter.com/yutannihilation/status/703048197317341185" TargetMode="External"/><Relationship Id="rId4029" Type="http://schemas.openxmlformats.org/officeDocument/2006/relationships/hyperlink" Target="https://twitter.com/tpoi/status/702288486024548353" TargetMode="External"/><Relationship Id="rId293" Type="http://schemas.openxmlformats.org/officeDocument/2006/relationships/hyperlink" Target="https://twitter.com/ashwinswarup" TargetMode="External"/><Relationship Id="rId292" Type="http://schemas.openxmlformats.org/officeDocument/2006/relationships/hyperlink" Target="https://pbs.twimg.com/profile_images/669441951192760324/zJylEnJ7_normal.jpg" TargetMode="External"/><Relationship Id="rId291" Type="http://schemas.openxmlformats.org/officeDocument/2006/relationships/hyperlink" Target="https://twitter.com/abresler/status/701430521751060481" TargetMode="External"/><Relationship Id="rId290" Type="http://schemas.openxmlformats.org/officeDocument/2006/relationships/hyperlink" Target="https://twitter.com/abresler" TargetMode="External"/><Relationship Id="rId5350" Type="http://schemas.openxmlformats.org/officeDocument/2006/relationships/hyperlink" Target="https://pbs.twimg.com/profile_images/535539844479332354/CA9doTjY_normal.jpeg" TargetMode="External"/><Relationship Id="rId6681" Type="http://schemas.openxmlformats.org/officeDocument/2006/relationships/hyperlink" Target="https://twitter.com/meyer_fanny/status/702846566093221888" TargetMode="External"/><Relationship Id="rId5351" Type="http://schemas.openxmlformats.org/officeDocument/2006/relationships/hyperlink" Target="https://twitter.com/kyle_e_walker" TargetMode="External"/><Relationship Id="rId6682" Type="http://schemas.openxmlformats.org/officeDocument/2006/relationships/hyperlink" Target="https://pbs.twimg.com/profile_images/700679141541019649/a1fGezRk_normal.png" TargetMode="External"/><Relationship Id="rId4020" Type="http://schemas.openxmlformats.org/officeDocument/2006/relationships/hyperlink" Target="https://twitter.com/ethanwhite/status/702288140728401920" TargetMode="External"/><Relationship Id="rId6680" Type="http://schemas.openxmlformats.org/officeDocument/2006/relationships/hyperlink" Target="https://twitter.com/meyer_fanny" TargetMode="External"/><Relationship Id="rId286" Type="http://schemas.openxmlformats.org/officeDocument/2006/relationships/hyperlink" Target="https://pbs.twimg.com/profile_images/696103690369949696/EpU6buAs_normal.jpg" TargetMode="External"/><Relationship Id="rId4022" Type="http://schemas.openxmlformats.org/officeDocument/2006/relationships/hyperlink" Target="https://twitter.com/ethanwhite" TargetMode="External"/><Relationship Id="rId5354" Type="http://schemas.openxmlformats.org/officeDocument/2006/relationships/hyperlink" Target="https://twitter.com/Jemus42" TargetMode="External"/><Relationship Id="rId6685" Type="http://schemas.openxmlformats.org/officeDocument/2006/relationships/hyperlink" Target="https://pbs.twimg.com/profile_images/646034538691461121/EtcgHvoh_normal.jpg" TargetMode="External"/><Relationship Id="rId285" Type="http://schemas.openxmlformats.org/officeDocument/2006/relationships/hyperlink" Target="https://twitter.com/jenstirrup/status/701429968174120960" TargetMode="External"/><Relationship Id="rId4021" Type="http://schemas.openxmlformats.org/officeDocument/2006/relationships/hyperlink" Target="https://pbs.twimg.com/profile_images/180038632/avatar_current_smaller_normal.PNG" TargetMode="External"/><Relationship Id="rId5355" Type="http://schemas.openxmlformats.org/officeDocument/2006/relationships/hyperlink" Target="https://twitter.com/Jemus42/status/702571952754597888" TargetMode="External"/><Relationship Id="rId6686" Type="http://schemas.openxmlformats.org/officeDocument/2006/relationships/hyperlink" Target="https://twitter.com/StatistikInDD" TargetMode="External"/><Relationship Id="rId284" Type="http://schemas.openxmlformats.org/officeDocument/2006/relationships/hyperlink" Target="https://twitter.com/jenstirrup" TargetMode="External"/><Relationship Id="rId4024" Type="http://schemas.openxmlformats.org/officeDocument/2006/relationships/hyperlink" Target="https://pbs.twimg.com/profile_images/180038632/avatar_current_smaller_normal.PNG" TargetMode="External"/><Relationship Id="rId5352" Type="http://schemas.openxmlformats.org/officeDocument/2006/relationships/hyperlink" Target="https://twitter.com/kyle_e_walker/status/702571909054005248" TargetMode="External"/><Relationship Id="rId6683" Type="http://schemas.openxmlformats.org/officeDocument/2006/relationships/hyperlink" Target="https://twitter.com/ChCariou" TargetMode="External"/><Relationship Id="rId283" Type="http://schemas.openxmlformats.org/officeDocument/2006/relationships/hyperlink" Target="https://pbs.twimg.com/profile_images/680246148762828801/flXTNSKT_normal.jpg" TargetMode="External"/><Relationship Id="rId4023" Type="http://schemas.openxmlformats.org/officeDocument/2006/relationships/hyperlink" Target="https://twitter.com/ethanwhite/status/702288158944317440" TargetMode="External"/><Relationship Id="rId5353" Type="http://schemas.openxmlformats.org/officeDocument/2006/relationships/hyperlink" Target="https://pbs.twimg.com/profile_images/535539844479332354/CA9doTjY_normal.jpeg" TargetMode="External"/><Relationship Id="rId6684" Type="http://schemas.openxmlformats.org/officeDocument/2006/relationships/hyperlink" Target="https://twitter.com/ChCariou/status/702846735194963968" TargetMode="External"/><Relationship Id="rId4026" Type="http://schemas.openxmlformats.org/officeDocument/2006/relationships/hyperlink" Target="https://twitter.com/ctitusbrown/status/702288378360823808" TargetMode="External"/><Relationship Id="rId5358" Type="http://schemas.openxmlformats.org/officeDocument/2006/relationships/hyperlink" Target="https://twitter.com/censusSDC/status/702573182788751361" TargetMode="External"/><Relationship Id="rId6689" Type="http://schemas.openxmlformats.org/officeDocument/2006/relationships/hyperlink" Target="https://twitter.com/StatistikInDD" TargetMode="External"/><Relationship Id="rId289" Type="http://schemas.openxmlformats.org/officeDocument/2006/relationships/hyperlink" Target="https://pbs.twimg.com/profile_images/485766134268837889/t4PLhSfT_normal.jpeg" TargetMode="External"/><Relationship Id="rId4025" Type="http://schemas.openxmlformats.org/officeDocument/2006/relationships/hyperlink" Target="https://twitter.com/ctitusbrown" TargetMode="External"/><Relationship Id="rId5359" Type="http://schemas.openxmlformats.org/officeDocument/2006/relationships/hyperlink" Target="https://pbs.twimg.com/profile_images/441974532652290048/wodZQpZW_normal.jpeg" TargetMode="External"/><Relationship Id="rId288" Type="http://schemas.openxmlformats.org/officeDocument/2006/relationships/hyperlink" Target="https://twitter.com/DrAndyPardoe/status/701430365475442688" TargetMode="External"/><Relationship Id="rId4028" Type="http://schemas.openxmlformats.org/officeDocument/2006/relationships/hyperlink" Target="https://twitter.com/tpoi" TargetMode="External"/><Relationship Id="rId5356" Type="http://schemas.openxmlformats.org/officeDocument/2006/relationships/hyperlink" Target="https://pbs.twimg.com/profile_images/2442155420/13fr1e3on4dzb9fn7i48_normal.jpeg" TargetMode="External"/><Relationship Id="rId6687" Type="http://schemas.openxmlformats.org/officeDocument/2006/relationships/hyperlink" Target="https://twitter.com/StatistikInDD/status/702847573762011136" TargetMode="External"/><Relationship Id="rId287" Type="http://schemas.openxmlformats.org/officeDocument/2006/relationships/hyperlink" Target="https://twitter.com/DrAndyPardoe" TargetMode="External"/><Relationship Id="rId4027" Type="http://schemas.openxmlformats.org/officeDocument/2006/relationships/hyperlink" Target="https://pbs.twimg.com/profile_images/662714429742514176/bwLg2tBG_normal.jpg" TargetMode="External"/><Relationship Id="rId5357" Type="http://schemas.openxmlformats.org/officeDocument/2006/relationships/hyperlink" Target="https://twitter.com/censusSDC" TargetMode="External"/><Relationship Id="rId6688" Type="http://schemas.openxmlformats.org/officeDocument/2006/relationships/hyperlink" Target="https://pbs.twimg.com/profile_images/694618434664054785/VVZ0bwKg_normal.png" TargetMode="External"/><Relationship Id="rId4019" Type="http://schemas.openxmlformats.org/officeDocument/2006/relationships/hyperlink" Target="https://twitter.com/ethanwhite" TargetMode="External"/><Relationship Id="rId4018" Type="http://schemas.openxmlformats.org/officeDocument/2006/relationships/hyperlink" Target="https://pbs.twimg.com/profile_images/499257180009529344/CSWhr7LZ_normal.jpeg" TargetMode="External"/><Relationship Id="rId5349" Type="http://schemas.openxmlformats.org/officeDocument/2006/relationships/hyperlink" Target="https://twitter.com/kyle_e_walker/status/702571510788026368" TargetMode="External"/><Relationship Id="rId282" Type="http://schemas.openxmlformats.org/officeDocument/2006/relationships/hyperlink" Target="https://twitter.com/KirkDBorne/status/701429433442430976" TargetMode="External"/><Relationship Id="rId281" Type="http://schemas.openxmlformats.org/officeDocument/2006/relationships/hyperlink" Target="https://twitter.com/KirkDBorne" TargetMode="External"/><Relationship Id="rId280" Type="http://schemas.openxmlformats.org/officeDocument/2006/relationships/hyperlink" Target="https://pbs.twimg.com/profile_images/2163201626/logo-small_normal.png" TargetMode="External"/><Relationship Id="rId6670" Type="http://schemas.openxmlformats.org/officeDocument/2006/relationships/hyperlink" Target="https://pbs.twimg.com/profile_images/673972563719102465/CE5h6NwN_normal.jpg" TargetMode="External"/><Relationship Id="rId5340" Type="http://schemas.openxmlformats.org/officeDocument/2006/relationships/hyperlink" Target="https://twitter.com/ChristineFermo/status/702568044883795968" TargetMode="External"/><Relationship Id="rId6671" Type="http://schemas.openxmlformats.org/officeDocument/2006/relationships/hyperlink" Target="https://twitter.com/dprice_chile" TargetMode="External"/><Relationship Id="rId275" Type="http://schemas.openxmlformats.org/officeDocument/2006/relationships/hyperlink" Target="https://twitter.com/ShinyappsRecent" TargetMode="External"/><Relationship Id="rId4011" Type="http://schemas.openxmlformats.org/officeDocument/2006/relationships/hyperlink" Target="https://twitter.com/byuhobbes/status/702287314303787008" TargetMode="External"/><Relationship Id="rId5343" Type="http://schemas.openxmlformats.org/officeDocument/2006/relationships/hyperlink" Target="https://twitter.com/TimAssal/status/702569794130685952" TargetMode="External"/><Relationship Id="rId6674" Type="http://schemas.openxmlformats.org/officeDocument/2006/relationships/hyperlink" Target="https://twitter.com/meyer_fanny" TargetMode="External"/><Relationship Id="rId274" Type="http://schemas.openxmlformats.org/officeDocument/2006/relationships/hyperlink" Target="https://pbs.twimg.com/profile_images/700303748283949056/MluyhUCh_normal.jpg" TargetMode="External"/><Relationship Id="rId4010" Type="http://schemas.openxmlformats.org/officeDocument/2006/relationships/hyperlink" Target="https://twitter.com/byuhobbes" TargetMode="External"/><Relationship Id="rId5344" Type="http://schemas.openxmlformats.org/officeDocument/2006/relationships/hyperlink" Target="https://pbs.twimg.com/profile_images/431833012179709954/LjPCVU4g_normal.jpeg" TargetMode="External"/><Relationship Id="rId6675" Type="http://schemas.openxmlformats.org/officeDocument/2006/relationships/hyperlink" Target="https://twitter.com/meyer_fanny/status/702845450882301952" TargetMode="External"/><Relationship Id="rId273" Type="http://schemas.openxmlformats.org/officeDocument/2006/relationships/hyperlink" Target="https://twitter.com/FrogwavesAI/status/701427314945556480" TargetMode="External"/><Relationship Id="rId4013" Type="http://schemas.openxmlformats.org/officeDocument/2006/relationships/hyperlink" Target="https://twitter.com/jaimedash" TargetMode="External"/><Relationship Id="rId5341" Type="http://schemas.openxmlformats.org/officeDocument/2006/relationships/hyperlink" Target="https://pbs.twimg.com/profile_images/677485367088586752/6catih1W_normal.jpg" TargetMode="External"/><Relationship Id="rId6672" Type="http://schemas.openxmlformats.org/officeDocument/2006/relationships/hyperlink" Target="https://twitter.com/dprice_chile/status/702844407494660096" TargetMode="External"/><Relationship Id="rId272" Type="http://schemas.openxmlformats.org/officeDocument/2006/relationships/hyperlink" Target="https://twitter.com/FrogwavesAI" TargetMode="External"/><Relationship Id="rId4012" Type="http://schemas.openxmlformats.org/officeDocument/2006/relationships/hyperlink" Target="https://pbs.twimg.com/profile_images/609311461177856001/JU9PUtBa_normal.jpg" TargetMode="External"/><Relationship Id="rId5342" Type="http://schemas.openxmlformats.org/officeDocument/2006/relationships/hyperlink" Target="https://twitter.com/TimAssal" TargetMode="External"/><Relationship Id="rId6673" Type="http://schemas.openxmlformats.org/officeDocument/2006/relationships/hyperlink" Target="https://pbs.twimg.com/profile_images/423821336545218561/etzqOu_o_normal.png" TargetMode="External"/><Relationship Id="rId279" Type="http://schemas.openxmlformats.org/officeDocument/2006/relationships/hyperlink" Target="https://twitter.com/the1337beauty/status/701428320437714945" TargetMode="External"/><Relationship Id="rId4015" Type="http://schemas.openxmlformats.org/officeDocument/2006/relationships/hyperlink" Target="https://pbs.twimg.com/profile_images/681682549723168768/2Ci1883e_normal.jpg" TargetMode="External"/><Relationship Id="rId5347" Type="http://schemas.openxmlformats.org/officeDocument/2006/relationships/hyperlink" Target="https://pbs.twimg.com/profile_images/535539844479332354/CA9doTjY_normal.jpeg" TargetMode="External"/><Relationship Id="rId6678" Type="http://schemas.openxmlformats.org/officeDocument/2006/relationships/hyperlink" Target="https://twitter.com/ChCariou/status/702846149959557120" TargetMode="External"/><Relationship Id="rId278" Type="http://schemas.openxmlformats.org/officeDocument/2006/relationships/hyperlink" Target="https://twitter.com/the1337beauty" TargetMode="External"/><Relationship Id="rId4014" Type="http://schemas.openxmlformats.org/officeDocument/2006/relationships/hyperlink" Target="https://twitter.com/jaimedash/status/702287826159689728" TargetMode="External"/><Relationship Id="rId5348" Type="http://schemas.openxmlformats.org/officeDocument/2006/relationships/hyperlink" Target="https://twitter.com/kyle_e_walker" TargetMode="External"/><Relationship Id="rId6679" Type="http://schemas.openxmlformats.org/officeDocument/2006/relationships/hyperlink" Target="https://pbs.twimg.com/profile_images/646034538691461121/EtcgHvoh_normal.jpg" TargetMode="External"/><Relationship Id="rId277" Type="http://schemas.openxmlformats.org/officeDocument/2006/relationships/hyperlink" Target="https://pbs.twimg.com/profile_images/550280885480603648/jye_0y8s_normal.png" TargetMode="External"/><Relationship Id="rId4017" Type="http://schemas.openxmlformats.org/officeDocument/2006/relationships/hyperlink" Target="https://twitter.com/NoSQLDigest/status/702288092925853697" TargetMode="External"/><Relationship Id="rId5345" Type="http://schemas.openxmlformats.org/officeDocument/2006/relationships/hyperlink" Target="https://twitter.com/kyle_e_walker" TargetMode="External"/><Relationship Id="rId6676" Type="http://schemas.openxmlformats.org/officeDocument/2006/relationships/hyperlink" Target="https://pbs.twimg.com/profile_images/700679141541019649/a1fGezRk_normal.png" TargetMode="External"/><Relationship Id="rId276" Type="http://schemas.openxmlformats.org/officeDocument/2006/relationships/hyperlink" Target="https://twitter.com/ShinyappsRecent/status/701427430154604544" TargetMode="External"/><Relationship Id="rId4016" Type="http://schemas.openxmlformats.org/officeDocument/2006/relationships/hyperlink" Target="https://twitter.com/NoSQLDigest" TargetMode="External"/><Relationship Id="rId5346" Type="http://schemas.openxmlformats.org/officeDocument/2006/relationships/hyperlink" Target="https://twitter.com/kyle_e_walker/status/702571184513126400" TargetMode="External"/><Relationship Id="rId6677" Type="http://schemas.openxmlformats.org/officeDocument/2006/relationships/hyperlink" Target="https://twitter.com/ChCariou" TargetMode="External"/><Relationship Id="rId1851" Type="http://schemas.openxmlformats.org/officeDocument/2006/relationships/hyperlink" Target="https://pbs.twimg.com/profile_images/467313147250868224/ZekxgNV9_normal.jpeg" TargetMode="External"/><Relationship Id="rId1852" Type="http://schemas.openxmlformats.org/officeDocument/2006/relationships/hyperlink" Target="https://twitter.com/callabagels" TargetMode="External"/><Relationship Id="rId1853" Type="http://schemas.openxmlformats.org/officeDocument/2006/relationships/hyperlink" Target="https://twitter.com/callabagels/status/701804192738881537" TargetMode="External"/><Relationship Id="rId1854" Type="http://schemas.openxmlformats.org/officeDocument/2006/relationships/hyperlink" Target="https://pbs.twimg.com/profile_images/691849157611515906/pmvsKlxa_normal.jpg" TargetMode="External"/><Relationship Id="rId1855" Type="http://schemas.openxmlformats.org/officeDocument/2006/relationships/hyperlink" Target="https://twitter.com/britideb" TargetMode="External"/><Relationship Id="rId1856" Type="http://schemas.openxmlformats.org/officeDocument/2006/relationships/hyperlink" Target="https://twitter.com/britideb/status/701804343209512960" TargetMode="External"/><Relationship Id="rId1857" Type="http://schemas.openxmlformats.org/officeDocument/2006/relationships/hyperlink" Target="https://pbs.twimg.com/profile_images/497357142832058368/80dm_tk5_normal.jpeg" TargetMode="External"/><Relationship Id="rId1858" Type="http://schemas.openxmlformats.org/officeDocument/2006/relationships/hyperlink" Target="https://twitter.com/britideb" TargetMode="External"/><Relationship Id="rId1859" Type="http://schemas.openxmlformats.org/officeDocument/2006/relationships/hyperlink" Target="https://twitter.com/britideb/status/701804731035885568" TargetMode="External"/><Relationship Id="rId1850" Type="http://schemas.openxmlformats.org/officeDocument/2006/relationships/hyperlink" Target="https://twitter.com/StatGarrett/status/701802924255608832" TargetMode="External"/><Relationship Id="rId1840" Type="http://schemas.openxmlformats.org/officeDocument/2006/relationships/hyperlink" Target="https://twitter.com/Pvalsfr" TargetMode="External"/><Relationship Id="rId1841" Type="http://schemas.openxmlformats.org/officeDocument/2006/relationships/hyperlink" Target="https://twitter.com/Pvalsfr/status/701801826698526721" TargetMode="External"/><Relationship Id="rId1842" Type="http://schemas.openxmlformats.org/officeDocument/2006/relationships/hyperlink" Target="https://abs.twimg.com/sticky/default_profile_images/default_profile_4_normal.png" TargetMode="External"/><Relationship Id="rId1843" Type="http://schemas.openxmlformats.org/officeDocument/2006/relationships/hyperlink" Target="https://twitter.com/ThugMetrics" TargetMode="External"/><Relationship Id="rId1844" Type="http://schemas.openxmlformats.org/officeDocument/2006/relationships/hyperlink" Target="https://twitter.com/ThugMetrics/status/701802008467132416" TargetMode="External"/><Relationship Id="rId1845" Type="http://schemas.openxmlformats.org/officeDocument/2006/relationships/hyperlink" Target="https://pbs.twimg.com/profile_images/545309149953667072/f3IMwCEc_normal.jpeg" TargetMode="External"/><Relationship Id="rId1846" Type="http://schemas.openxmlformats.org/officeDocument/2006/relationships/hyperlink" Target="https://twitter.com/brianau" TargetMode="External"/><Relationship Id="rId1847" Type="http://schemas.openxmlformats.org/officeDocument/2006/relationships/hyperlink" Target="https://twitter.com/brianau/status/701802388844212225" TargetMode="External"/><Relationship Id="rId1848" Type="http://schemas.openxmlformats.org/officeDocument/2006/relationships/hyperlink" Target="https://pbs.twimg.com/profile_images/494353652186767364/WBrLXthh_normal.jpeg" TargetMode="External"/><Relationship Id="rId1849" Type="http://schemas.openxmlformats.org/officeDocument/2006/relationships/hyperlink" Target="https://twitter.com/StatGarrett" TargetMode="External"/><Relationship Id="rId1873" Type="http://schemas.openxmlformats.org/officeDocument/2006/relationships/hyperlink" Target="https://twitter.com/MangoTheCat" TargetMode="External"/><Relationship Id="rId1874" Type="http://schemas.openxmlformats.org/officeDocument/2006/relationships/hyperlink" Target="https://twitter.com/MangoTheCat/status/701805905579380736" TargetMode="External"/><Relationship Id="rId1875" Type="http://schemas.openxmlformats.org/officeDocument/2006/relationships/hyperlink" Target="https://pbs.twimg.com/profile_images/641183991077445633/V7VcBpJI_normal.png" TargetMode="External"/><Relationship Id="rId1876" Type="http://schemas.openxmlformats.org/officeDocument/2006/relationships/hyperlink" Target="https://twitter.com/shobz" TargetMode="External"/><Relationship Id="rId1877" Type="http://schemas.openxmlformats.org/officeDocument/2006/relationships/hyperlink" Target="https://twitter.com/shobz/status/701805990660988928" TargetMode="External"/><Relationship Id="rId1878" Type="http://schemas.openxmlformats.org/officeDocument/2006/relationships/hyperlink" Target="https://pbs.twimg.com/profile_images/702208127333244932/irdExH5k_normal.jpg" TargetMode="External"/><Relationship Id="rId1879" Type="http://schemas.openxmlformats.org/officeDocument/2006/relationships/hyperlink" Target="https://twitter.com/rusertw95582000" TargetMode="External"/><Relationship Id="rId1870" Type="http://schemas.openxmlformats.org/officeDocument/2006/relationships/hyperlink" Target="https://twitter.com/MangoTheCat" TargetMode="External"/><Relationship Id="rId1871" Type="http://schemas.openxmlformats.org/officeDocument/2006/relationships/hyperlink" Target="https://twitter.com/MangoTheCat/status/701805763812073476" TargetMode="External"/><Relationship Id="rId1872" Type="http://schemas.openxmlformats.org/officeDocument/2006/relationships/hyperlink" Target="https://pbs.twimg.com/profile_images/641183991077445633/V7VcBpJI_normal.png" TargetMode="External"/><Relationship Id="rId1862" Type="http://schemas.openxmlformats.org/officeDocument/2006/relationships/hyperlink" Target="https://twitter.com/USGS_R/status/701804829497171968" TargetMode="External"/><Relationship Id="rId1863" Type="http://schemas.openxmlformats.org/officeDocument/2006/relationships/hyperlink" Target="https://pbs.twimg.com/profile_images/631488083863584769/gDqhLdAL_normal.png" TargetMode="External"/><Relationship Id="rId1864" Type="http://schemas.openxmlformats.org/officeDocument/2006/relationships/hyperlink" Target="https://twitter.com/ShinyappsRecent" TargetMode="External"/><Relationship Id="rId1865" Type="http://schemas.openxmlformats.org/officeDocument/2006/relationships/hyperlink" Target="https://twitter.com/ShinyappsRecent/status/701804898896089089" TargetMode="External"/><Relationship Id="rId1866" Type="http://schemas.openxmlformats.org/officeDocument/2006/relationships/hyperlink" Target="https://pbs.twimg.com/profile_images/550280885480603648/jye_0y8s_normal.png" TargetMode="External"/><Relationship Id="rId1867" Type="http://schemas.openxmlformats.org/officeDocument/2006/relationships/hyperlink" Target="https://twitter.com/MangoTheCat" TargetMode="External"/><Relationship Id="rId1868" Type="http://schemas.openxmlformats.org/officeDocument/2006/relationships/hyperlink" Target="https://twitter.com/MangoTheCat/status/701805623663583232" TargetMode="External"/><Relationship Id="rId1869" Type="http://schemas.openxmlformats.org/officeDocument/2006/relationships/hyperlink" Target="https://pbs.twimg.com/profile_images/641183991077445633/V7VcBpJI_normal.png" TargetMode="External"/><Relationship Id="rId1860" Type="http://schemas.openxmlformats.org/officeDocument/2006/relationships/hyperlink" Target="https://pbs.twimg.com/profile_images/497357142832058368/80dm_tk5_normal.jpeg" TargetMode="External"/><Relationship Id="rId1861" Type="http://schemas.openxmlformats.org/officeDocument/2006/relationships/hyperlink" Target="https://twitter.com/USGS_R" TargetMode="External"/><Relationship Id="rId1810" Type="http://schemas.openxmlformats.org/officeDocument/2006/relationships/hyperlink" Target="https://twitter.com/LovedeepSG" TargetMode="External"/><Relationship Id="rId1811" Type="http://schemas.openxmlformats.org/officeDocument/2006/relationships/hyperlink" Target="https://twitter.com/LovedeepSG/status/701800639840407552" TargetMode="External"/><Relationship Id="rId1812" Type="http://schemas.openxmlformats.org/officeDocument/2006/relationships/hyperlink" Target="https://pbs.twimg.com/profile_images/378800000059126288/17d4fa184bbd13c1e64465a3cc234efc_normal.jpeg" TargetMode="External"/><Relationship Id="rId1813" Type="http://schemas.openxmlformats.org/officeDocument/2006/relationships/hyperlink" Target="https://twitter.com/frankwwu" TargetMode="External"/><Relationship Id="rId1814" Type="http://schemas.openxmlformats.org/officeDocument/2006/relationships/hyperlink" Target="https://twitter.com/frankwwu/status/701800809365770240" TargetMode="External"/><Relationship Id="rId1815" Type="http://schemas.openxmlformats.org/officeDocument/2006/relationships/hyperlink" Target="https://pbs.twimg.com/profile_images/647923180795994112/kfRnOF24_normal.jpg" TargetMode="External"/><Relationship Id="rId1816" Type="http://schemas.openxmlformats.org/officeDocument/2006/relationships/hyperlink" Target="https://twitter.com/salvag63" TargetMode="External"/><Relationship Id="rId1817" Type="http://schemas.openxmlformats.org/officeDocument/2006/relationships/hyperlink" Target="https://twitter.com/salvag63/status/701801086286487552" TargetMode="External"/><Relationship Id="rId1818" Type="http://schemas.openxmlformats.org/officeDocument/2006/relationships/hyperlink" Target="https://pbs.twimg.com/profile_images/234609034/Press4_normal.jpg" TargetMode="External"/><Relationship Id="rId1819" Type="http://schemas.openxmlformats.org/officeDocument/2006/relationships/hyperlink" Target="https://twitter.com/vikmatic" TargetMode="External"/><Relationship Id="rId4080" Type="http://schemas.openxmlformats.org/officeDocument/2006/relationships/hyperlink" Target="https://twitter.com/is_aj/status/702296454920949760" TargetMode="External"/><Relationship Id="rId4082" Type="http://schemas.openxmlformats.org/officeDocument/2006/relationships/hyperlink" Target="https://twitter.com/cnchapman" TargetMode="External"/><Relationship Id="rId4081" Type="http://schemas.openxmlformats.org/officeDocument/2006/relationships/hyperlink" Target="https://pbs.twimg.com/profile_images/1709509309/IMG_9232_small_normal.JPG" TargetMode="External"/><Relationship Id="rId4084" Type="http://schemas.openxmlformats.org/officeDocument/2006/relationships/hyperlink" Target="https://pbs.twimg.com/profile_images/572842946345463808/ysirsaBW_normal.jpeg" TargetMode="External"/><Relationship Id="rId4083" Type="http://schemas.openxmlformats.org/officeDocument/2006/relationships/hyperlink" Target="https://twitter.com/cnchapman/status/702296537229996033" TargetMode="External"/><Relationship Id="rId4086" Type="http://schemas.openxmlformats.org/officeDocument/2006/relationships/hyperlink" Target="https://twitter.com/phnk/status/702296559116029952" TargetMode="External"/><Relationship Id="rId4085" Type="http://schemas.openxmlformats.org/officeDocument/2006/relationships/hyperlink" Target="https://twitter.com/phnk" TargetMode="External"/><Relationship Id="rId4088" Type="http://schemas.openxmlformats.org/officeDocument/2006/relationships/hyperlink" Target="https://twitter.com/phnk" TargetMode="External"/><Relationship Id="rId4087" Type="http://schemas.openxmlformats.org/officeDocument/2006/relationships/hyperlink" Target="https://pbs.twimg.com/profile_images/53085295/Picture_1_normal.png" TargetMode="External"/><Relationship Id="rId4089" Type="http://schemas.openxmlformats.org/officeDocument/2006/relationships/hyperlink" Target="https://twitter.com/phnk/status/702296750757957632" TargetMode="External"/><Relationship Id="rId1800" Type="http://schemas.openxmlformats.org/officeDocument/2006/relationships/hyperlink" Target="https://pbs.twimg.com/profile_images/641183991077445633/V7VcBpJI_normal.png" TargetMode="External"/><Relationship Id="rId1801" Type="http://schemas.openxmlformats.org/officeDocument/2006/relationships/hyperlink" Target="https://twitter.com/nierhoff" TargetMode="External"/><Relationship Id="rId1802" Type="http://schemas.openxmlformats.org/officeDocument/2006/relationships/hyperlink" Target="https://twitter.com/nierhoff/status/701798368209727488" TargetMode="External"/><Relationship Id="rId1803" Type="http://schemas.openxmlformats.org/officeDocument/2006/relationships/hyperlink" Target="https://pbs.twimg.com/profile_images/466323009796456448/toIsECgZ_normal.jpeg" TargetMode="External"/><Relationship Id="rId1804" Type="http://schemas.openxmlformats.org/officeDocument/2006/relationships/hyperlink" Target="https://twitter.com/t_pren" TargetMode="External"/><Relationship Id="rId1805" Type="http://schemas.openxmlformats.org/officeDocument/2006/relationships/hyperlink" Target="https://twitter.com/t_pren/status/701798983283380224" TargetMode="External"/><Relationship Id="rId1806" Type="http://schemas.openxmlformats.org/officeDocument/2006/relationships/hyperlink" Target="https://pbs.twimg.com/profile_images/1444329161/picknose_normal.jpg" TargetMode="External"/><Relationship Id="rId1807" Type="http://schemas.openxmlformats.org/officeDocument/2006/relationships/hyperlink" Target="https://twitter.com/DataWookie" TargetMode="External"/><Relationship Id="rId1808" Type="http://schemas.openxmlformats.org/officeDocument/2006/relationships/hyperlink" Target="https://twitter.com/DataWookie/status/701800467811020801" TargetMode="External"/><Relationship Id="rId1809" Type="http://schemas.openxmlformats.org/officeDocument/2006/relationships/hyperlink" Target="https://pbs.twimg.com/profile_images/612471608725213184/eXKo2Kmo_normal.jpg" TargetMode="External"/><Relationship Id="rId4071" Type="http://schemas.openxmlformats.org/officeDocument/2006/relationships/hyperlink" Target="https://twitter.com/ArjunaMeridian/status/702295416683933698" TargetMode="External"/><Relationship Id="rId4070" Type="http://schemas.openxmlformats.org/officeDocument/2006/relationships/hyperlink" Target="https://twitter.com/ArjunaMeridian" TargetMode="External"/><Relationship Id="rId4073" Type="http://schemas.openxmlformats.org/officeDocument/2006/relationships/hyperlink" Target="https://twitter.com/homeAIinfo" TargetMode="External"/><Relationship Id="rId4072" Type="http://schemas.openxmlformats.org/officeDocument/2006/relationships/hyperlink" Target="https://pbs.twimg.com/profile_images/1111285428/IMG_0026_normal.jpg" TargetMode="External"/><Relationship Id="rId4075" Type="http://schemas.openxmlformats.org/officeDocument/2006/relationships/hyperlink" Target="https://pbs.twimg.com/profile_images/645650110374936580/-oQakt8x_normal.png" TargetMode="External"/><Relationship Id="rId4074" Type="http://schemas.openxmlformats.org/officeDocument/2006/relationships/hyperlink" Target="https://twitter.com/homeAIinfo/status/702296147545686016" TargetMode="External"/><Relationship Id="rId4077" Type="http://schemas.openxmlformats.org/officeDocument/2006/relationships/hyperlink" Target="https://twitter.com/BeamJake/status/702296301090680832" TargetMode="External"/><Relationship Id="rId4076" Type="http://schemas.openxmlformats.org/officeDocument/2006/relationships/hyperlink" Target="https://twitter.com/BeamJake" TargetMode="External"/><Relationship Id="rId4079" Type="http://schemas.openxmlformats.org/officeDocument/2006/relationships/hyperlink" Target="https://twitter.com/is_aj" TargetMode="External"/><Relationship Id="rId4078" Type="http://schemas.openxmlformats.org/officeDocument/2006/relationships/hyperlink" Target="https://pbs.twimg.com/profile_images/616249323060269057/ZHI_bS81_normal.jpg" TargetMode="External"/><Relationship Id="rId1830" Type="http://schemas.openxmlformats.org/officeDocument/2006/relationships/hyperlink" Target="https://pbs.twimg.com/profile_images/449982291742183424/FExvLFdl_normal.png" TargetMode="External"/><Relationship Id="rId1831" Type="http://schemas.openxmlformats.org/officeDocument/2006/relationships/hyperlink" Target="https://twitter.com/kierisi" TargetMode="External"/><Relationship Id="rId1832" Type="http://schemas.openxmlformats.org/officeDocument/2006/relationships/hyperlink" Target="https://twitter.com/kierisi/status/701801542597279745" TargetMode="External"/><Relationship Id="rId1833" Type="http://schemas.openxmlformats.org/officeDocument/2006/relationships/hyperlink" Target="https://pbs.twimg.com/profile_images/679646902145556480/cM-3XPTI_normal.jpg" TargetMode="External"/><Relationship Id="rId1834" Type="http://schemas.openxmlformats.org/officeDocument/2006/relationships/hyperlink" Target="https://twitter.com/McCurdyColton" TargetMode="External"/><Relationship Id="rId1835" Type="http://schemas.openxmlformats.org/officeDocument/2006/relationships/hyperlink" Target="https://twitter.com/McCurdyColton/status/701801702501040129" TargetMode="External"/><Relationship Id="rId1836" Type="http://schemas.openxmlformats.org/officeDocument/2006/relationships/hyperlink" Target="https://pbs.twimg.com/profile_images/677584715927306240/6RAY2FdN_normal.png" TargetMode="External"/><Relationship Id="rId1837" Type="http://schemas.openxmlformats.org/officeDocument/2006/relationships/hyperlink" Target="https://twitter.com/tripartio" TargetMode="External"/><Relationship Id="rId1838" Type="http://schemas.openxmlformats.org/officeDocument/2006/relationships/hyperlink" Target="https://twitter.com/tripartio/status/701801719861276672" TargetMode="External"/><Relationship Id="rId1839" Type="http://schemas.openxmlformats.org/officeDocument/2006/relationships/hyperlink" Target="https://pbs.twimg.com/profile_images/529482878543867904/H-UGY1d0_normal.png" TargetMode="External"/><Relationship Id="rId1820" Type="http://schemas.openxmlformats.org/officeDocument/2006/relationships/hyperlink" Target="https://twitter.com/vikmatic/status/701801243073757184" TargetMode="External"/><Relationship Id="rId1821" Type="http://schemas.openxmlformats.org/officeDocument/2006/relationships/hyperlink" Target="https://pbs.twimg.com/profile_images/477192170860851200/XcwQ9f1A_normal.jpeg" TargetMode="External"/><Relationship Id="rId1822" Type="http://schemas.openxmlformats.org/officeDocument/2006/relationships/hyperlink" Target="https://twitter.com/salvag63" TargetMode="External"/><Relationship Id="rId1823" Type="http://schemas.openxmlformats.org/officeDocument/2006/relationships/hyperlink" Target="https://twitter.com/salvag63/status/701801285142630401" TargetMode="External"/><Relationship Id="rId1824" Type="http://schemas.openxmlformats.org/officeDocument/2006/relationships/hyperlink" Target="https://pbs.twimg.com/profile_images/234609034/Press4_normal.jpg" TargetMode="External"/><Relationship Id="rId1825" Type="http://schemas.openxmlformats.org/officeDocument/2006/relationships/hyperlink" Target="https://twitter.com/hspter" TargetMode="External"/><Relationship Id="rId1826" Type="http://schemas.openxmlformats.org/officeDocument/2006/relationships/hyperlink" Target="https://twitter.com/hspter/status/701801298295918596" TargetMode="External"/><Relationship Id="rId1827" Type="http://schemas.openxmlformats.org/officeDocument/2006/relationships/hyperlink" Target="https://pbs.twimg.com/profile_images/611535712710729728/ZrqMrN21_normal.jpg" TargetMode="External"/><Relationship Id="rId1828" Type="http://schemas.openxmlformats.org/officeDocument/2006/relationships/hyperlink" Target="https://twitter.com/exaptive" TargetMode="External"/><Relationship Id="rId1829" Type="http://schemas.openxmlformats.org/officeDocument/2006/relationships/hyperlink" Target="https://twitter.com/exaptive/status/701801394488143872" TargetMode="External"/><Relationship Id="rId4091" Type="http://schemas.openxmlformats.org/officeDocument/2006/relationships/hyperlink" Target="https://twitter.com/MathBioPaul" TargetMode="External"/><Relationship Id="rId4090" Type="http://schemas.openxmlformats.org/officeDocument/2006/relationships/hyperlink" Target="https://pbs.twimg.com/profile_images/53085295/Picture_1_normal.png" TargetMode="External"/><Relationship Id="rId4093" Type="http://schemas.openxmlformats.org/officeDocument/2006/relationships/hyperlink" Target="https://pbs.twimg.com/profile_images/501470296642035713/xiq0ddWi_normal.jpeg" TargetMode="External"/><Relationship Id="rId4092" Type="http://schemas.openxmlformats.org/officeDocument/2006/relationships/hyperlink" Target="https://twitter.com/MathBioPaul/status/702297341827485696" TargetMode="External"/><Relationship Id="rId4095" Type="http://schemas.openxmlformats.org/officeDocument/2006/relationships/hyperlink" Target="https://twitter.com/kurai_yousei/status/702297344943915008" TargetMode="External"/><Relationship Id="rId4094" Type="http://schemas.openxmlformats.org/officeDocument/2006/relationships/hyperlink" Target="https://twitter.com/kurai_yousei" TargetMode="External"/><Relationship Id="rId4097" Type="http://schemas.openxmlformats.org/officeDocument/2006/relationships/hyperlink" Target="https://twitter.com/RallidaeRule" TargetMode="External"/><Relationship Id="rId4096" Type="http://schemas.openxmlformats.org/officeDocument/2006/relationships/hyperlink" Target="https://pbs.twimg.com/profile_images/602746912203116544/hcBnhYS1_normal.png" TargetMode="External"/><Relationship Id="rId4099" Type="http://schemas.openxmlformats.org/officeDocument/2006/relationships/hyperlink" Target="https://pbs.twimg.com/profile_images/472088432374579201/pTx9F7zb_normal.jpeg" TargetMode="External"/><Relationship Id="rId4098" Type="http://schemas.openxmlformats.org/officeDocument/2006/relationships/hyperlink" Target="https://twitter.com/RallidaeRule/status/702297389722259456" TargetMode="External"/><Relationship Id="rId1895" Type="http://schemas.openxmlformats.org/officeDocument/2006/relationships/hyperlink" Target="https://twitter.com/VMuraliKRaju/status/701809540468113408" TargetMode="External"/><Relationship Id="rId1896" Type="http://schemas.openxmlformats.org/officeDocument/2006/relationships/hyperlink" Target="https://abs.twimg.com/sticky/default_profile_images/default_profile_2_normal.png" TargetMode="External"/><Relationship Id="rId1897" Type="http://schemas.openxmlformats.org/officeDocument/2006/relationships/hyperlink" Target="https://twitter.com/EricaLynn_AK" TargetMode="External"/><Relationship Id="rId1898" Type="http://schemas.openxmlformats.org/officeDocument/2006/relationships/hyperlink" Target="https://twitter.com/EricaLynn_AK/status/701809871730012160" TargetMode="External"/><Relationship Id="rId1899" Type="http://schemas.openxmlformats.org/officeDocument/2006/relationships/hyperlink" Target="https://pbs.twimg.com/profile_images/430096190009405440/mcSJVJzQ_normal.jpeg" TargetMode="External"/><Relationship Id="rId1890" Type="http://schemas.openxmlformats.org/officeDocument/2006/relationships/hyperlink" Target="https://pbs.twimg.com/profile_images/503460551637233664/oFBLnEWw_normal.jpeg" TargetMode="External"/><Relationship Id="rId1891" Type="http://schemas.openxmlformats.org/officeDocument/2006/relationships/hyperlink" Target="https://twitter.com/polonglin" TargetMode="External"/><Relationship Id="rId1892" Type="http://schemas.openxmlformats.org/officeDocument/2006/relationships/hyperlink" Target="https://twitter.com/polonglin/status/701809219020849153" TargetMode="External"/><Relationship Id="rId1893" Type="http://schemas.openxmlformats.org/officeDocument/2006/relationships/hyperlink" Target="https://pbs.twimg.com/profile_images/611905778018988033/dJ0XLsZy_normal.jpg" TargetMode="External"/><Relationship Id="rId1894" Type="http://schemas.openxmlformats.org/officeDocument/2006/relationships/hyperlink" Target="https://twitter.com/VMuraliKRaju" TargetMode="External"/><Relationship Id="rId1884" Type="http://schemas.openxmlformats.org/officeDocument/2006/relationships/hyperlink" Target="https://pbs.twimg.com/profile_images/658671552783896576/qahSiVSy_normal.jpg" TargetMode="External"/><Relationship Id="rId1885" Type="http://schemas.openxmlformats.org/officeDocument/2006/relationships/hyperlink" Target="https://twitter.com/kevin_ushey" TargetMode="External"/><Relationship Id="rId1886" Type="http://schemas.openxmlformats.org/officeDocument/2006/relationships/hyperlink" Target="https://twitter.com/kevin_ushey/status/701807286914674688" TargetMode="External"/><Relationship Id="rId1887" Type="http://schemas.openxmlformats.org/officeDocument/2006/relationships/hyperlink" Target="https://pbs.twimg.com/profile_images/480453401298223104/Ce3-EVYP_normal.jpeg" TargetMode="External"/><Relationship Id="rId1888" Type="http://schemas.openxmlformats.org/officeDocument/2006/relationships/hyperlink" Target="https://twitter.com/TAT_ITB" TargetMode="External"/><Relationship Id="rId1889" Type="http://schemas.openxmlformats.org/officeDocument/2006/relationships/hyperlink" Target="https://twitter.com/TAT_ITB/status/701807863308513280" TargetMode="External"/><Relationship Id="rId1880" Type="http://schemas.openxmlformats.org/officeDocument/2006/relationships/hyperlink" Target="https://twitter.com/rusertw95582000/status/701806367997349890" TargetMode="External"/><Relationship Id="rId1881" Type="http://schemas.openxmlformats.org/officeDocument/2006/relationships/hyperlink" Target="https://abs.twimg.com/sticky/default_profile_images/default_profile_0_normal.png" TargetMode="External"/><Relationship Id="rId1882" Type="http://schemas.openxmlformats.org/officeDocument/2006/relationships/hyperlink" Target="https://twitter.com/MangoMattGlover" TargetMode="External"/><Relationship Id="rId1883" Type="http://schemas.openxmlformats.org/officeDocument/2006/relationships/hyperlink" Target="https://twitter.com/MangoMattGlover/status/701806864284131328" TargetMode="External"/><Relationship Id="rId5417" Type="http://schemas.openxmlformats.org/officeDocument/2006/relationships/hyperlink" Target="https://twitter.com/beeonaposy" TargetMode="External"/><Relationship Id="rId6748" Type="http://schemas.openxmlformats.org/officeDocument/2006/relationships/hyperlink" Target="https://pbs.twimg.com/profile_images/540144624690401282/Xo7OpJ6u_normal.jpeg" TargetMode="External"/><Relationship Id="rId5418" Type="http://schemas.openxmlformats.org/officeDocument/2006/relationships/hyperlink" Target="https://twitter.com/beeonaposy/status/702584763706511360" TargetMode="External"/><Relationship Id="rId6749" Type="http://schemas.openxmlformats.org/officeDocument/2006/relationships/hyperlink" Target="https://twitter.com/sig_stats" TargetMode="External"/><Relationship Id="rId5415" Type="http://schemas.openxmlformats.org/officeDocument/2006/relationships/hyperlink" Target="https://twitter.com/alf_crisci/status/702584697075978241" TargetMode="External"/><Relationship Id="rId6746" Type="http://schemas.openxmlformats.org/officeDocument/2006/relationships/hyperlink" Target="https://twitter.com/HBorisUITP" TargetMode="External"/><Relationship Id="rId5416" Type="http://schemas.openxmlformats.org/officeDocument/2006/relationships/hyperlink" Target="https://pbs.twimg.com/profile_images/593860929454022656/8Wr0gd9g_normal.jpg" TargetMode="External"/><Relationship Id="rId6747" Type="http://schemas.openxmlformats.org/officeDocument/2006/relationships/hyperlink" Target="https://twitter.com/HBorisUITP/status/702861571060531200" TargetMode="External"/><Relationship Id="rId5419" Type="http://schemas.openxmlformats.org/officeDocument/2006/relationships/hyperlink" Target="https://pbs.twimg.com/profile_images/507901232036315136/txGWGBW6_normal.png" TargetMode="External"/><Relationship Id="rId228" Type="http://schemas.openxmlformats.org/officeDocument/2006/relationships/hyperlink" Target="https://twitter.com/jon_framp/status/701420650888454144" TargetMode="External"/><Relationship Id="rId227" Type="http://schemas.openxmlformats.org/officeDocument/2006/relationships/hyperlink" Target="https://twitter.com/jon_framp" TargetMode="External"/><Relationship Id="rId226" Type="http://schemas.openxmlformats.org/officeDocument/2006/relationships/hyperlink" Target="https://pbs.twimg.com/profile_images/647137284748242944/BTtUp92B_normal.jpg" TargetMode="External"/><Relationship Id="rId225" Type="http://schemas.openxmlformats.org/officeDocument/2006/relationships/hyperlink" Target="https://twitter.com/dvifern/status/701420435125071872" TargetMode="External"/><Relationship Id="rId229" Type="http://schemas.openxmlformats.org/officeDocument/2006/relationships/hyperlink" Target="https://pbs.twimg.com/profile_images/640659801395953664/eHaEu0aT_normal.jpg" TargetMode="External"/><Relationship Id="rId220" Type="http://schemas.openxmlformats.org/officeDocument/2006/relationships/hyperlink" Target="https://pbs.twimg.com/profile_images/606106870969942016/Yw5C6ARD_normal.jpg" TargetMode="External"/><Relationship Id="rId6740" Type="http://schemas.openxmlformats.org/officeDocument/2006/relationships/hyperlink" Target="https://twitter.com/rozran00" TargetMode="External"/><Relationship Id="rId5410" Type="http://schemas.openxmlformats.org/officeDocument/2006/relationships/hyperlink" Target="https://pbs.twimg.com/profile_images/496187927387336704/8MwsXd7s_normal.png" TargetMode="External"/><Relationship Id="rId6741" Type="http://schemas.openxmlformats.org/officeDocument/2006/relationships/hyperlink" Target="https://twitter.com/rozran00/status/702860960512536576" TargetMode="External"/><Relationship Id="rId224" Type="http://schemas.openxmlformats.org/officeDocument/2006/relationships/hyperlink" Target="https://twitter.com/dvifern" TargetMode="External"/><Relationship Id="rId5413" Type="http://schemas.openxmlformats.org/officeDocument/2006/relationships/hyperlink" Target="https://pbs.twimg.com/profile_images/760615905/Capitol_Mall_normal.JPG" TargetMode="External"/><Relationship Id="rId6744" Type="http://schemas.openxmlformats.org/officeDocument/2006/relationships/hyperlink" Target="https://twitter.com/MangoTheCat/status/702861360078565376" TargetMode="External"/><Relationship Id="rId223" Type="http://schemas.openxmlformats.org/officeDocument/2006/relationships/hyperlink" Target="https://pbs.twimg.com/profile_images/647137284748242944/BTtUp92B_normal.jpg" TargetMode="External"/><Relationship Id="rId5414" Type="http://schemas.openxmlformats.org/officeDocument/2006/relationships/hyperlink" Target="https://twitter.com/alf_crisci" TargetMode="External"/><Relationship Id="rId6745" Type="http://schemas.openxmlformats.org/officeDocument/2006/relationships/hyperlink" Target="https://pbs.twimg.com/profile_images/641183991077445633/V7VcBpJI_normal.png" TargetMode="External"/><Relationship Id="rId222" Type="http://schemas.openxmlformats.org/officeDocument/2006/relationships/hyperlink" Target="https://twitter.com/dvifern/status/701420369144512512" TargetMode="External"/><Relationship Id="rId5411" Type="http://schemas.openxmlformats.org/officeDocument/2006/relationships/hyperlink" Target="https://twitter.com/OR_EconAnalysis" TargetMode="External"/><Relationship Id="rId6742" Type="http://schemas.openxmlformats.org/officeDocument/2006/relationships/hyperlink" Target="https://pbs.twimg.com/profile_images/2361292355/gf9ajbec7ejo7zkf58hl_normal.jpeg" TargetMode="External"/><Relationship Id="rId221" Type="http://schemas.openxmlformats.org/officeDocument/2006/relationships/hyperlink" Target="https://twitter.com/dvifern" TargetMode="External"/><Relationship Id="rId5412" Type="http://schemas.openxmlformats.org/officeDocument/2006/relationships/hyperlink" Target="https://twitter.com/OR_EconAnalysis/status/702584555199266816" TargetMode="External"/><Relationship Id="rId6743" Type="http://schemas.openxmlformats.org/officeDocument/2006/relationships/hyperlink" Target="https://twitter.com/MangoTheCat" TargetMode="External"/><Relationship Id="rId5406" Type="http://schemas.openxmlformats.org/officeDocument/2006/relationships/hyperlink" Target="https://twitter.com/BroVic/status/702581716544851968" TargetMode="External"/><Relationship Id="rId6737" Type="http://schemas.openxmlformats.org/officeDocument/2006/relationships/hyperlink" Target="https://twitter.com/MangoTheCat" TargetMode="External"/><Relationship Id="rId5407" Type="http://schemas.openxmlformats.org/officeDocument/2006/relationships/hyperlink" Target="https://pbs.twimg.com/profile_images/639528574362472448/PgHltNjE_normal.jpg" TargetMode="External"/><Relationship Id="rId6738" Type="http://schemas.openxmlformats.org/officeDocument/2006/relationships/hyperlink" Target="https://twitter.com/MangoTheCat/status/702860858745970688" TargetMode="External"/><Relationship Id="rId5404" Type="http://schemas.openxmlformats.org/officeDocument/2006/relationships/hyperlink" Target="https://pbs.twimg.com/profile_images/626808502929899522/nF4A807A_normal.jpg" TargetMode="External"/><Relationship Id="rId6735" Type="http://schemas.openxmlformats.org/officeDocument/2006/relationships/hyperlink" Target="https://twitter.com/enterpreiss_de/status/702860309741043715" TargetMode="External"/><Relationship Id="rId5405" Type="http://schemas.openxmlformats.org/officeDocument/2006/relationships/hyperlink" Target="https://twitter.com/BroVic" TargetMode="External"/><Relationship Id="rId6736" Type="http://schemas.openxmlformats.org/officeDocument/2006/relationships/hyperlink" Target="https://abs.twimg.com/sticky/default_profile_images/default_profile_1_normal.png" TargetMode="External"/><Relationship Id="rId5408" Type="http://schemas.openxmlformats.org/officeDocument/2006/relationships/hyperlink" Target="https://twitter.com/ouzor" TargetMode="External"/><Relationship Id="rId6739" Type="http://schemas.openxmlformats.org/officeDocument/2006/relationships/hyperlink" Target="https://pbs.twimg.com/profile_images/641183991077445633/V7VcBpJI_normal.png" TargetMode="External"/><Relationship Id="rId5409" Type="http://schemas.openxmlformats.org/officeDocument/2006/relationships/hyperlink" Target="https://twitter.com/ouzor/status/702583313157005312" TargetMode="External"/><Relationship Id="rId217" Type="http://schemas.openxmlformats.org/officeDocument/2006/relationships/hyperlink" Target="https://pbs.twimg.com/profile_images/502185985786916864/gkdFh-q7_normal.png" TargetMode="External"/><Relationship Id="rId216" Type="http://schemas.openxmlformats.org/officeDocument/2006/relationships/hyperlink" Target="http://r-bloggers.com" TargetMode="External"/><Relationship Id="rId215" Type="http://schemas.openxmlformats.org/officeDocument/2006/relationships/hyperlink" Target="https://twitter.com/Rbloggers/status/701419994555375616" TargetMode="External"/><Relationship Id="rId214" Type="http://schemas.openxmlformats.org/officeDocument/2006/relationships/hyperlink" Target="https://twitter.com/Rbloggers" TargetMode="External"/><Relationship Id="rId219" Type="http://schemas.openxmlformats.org/officeDocument/2006/relationships/hyperlink" Target="https://twitter.com/Marouane_1983/status/701420174545657856" TargetMode="External"/><Relationship Id="rId218" Type="http://schemas.openxmlformats.org/officeDocument/2006/relationships/hyperlink" Target="https://twitter.com/Marouane_1983" TargetMode="External"/><Relationship Id="rId6730" Type="http://schemas.openxmlformats.org/officeDocument/2006/relationships/hyperlink" Target="https://pbs.twimg.com/profile_images/686965105473396736/B9V5UtGS_normal.jpg" TargetMode="External"/><Relationship Id="rId213" Type="http://schemas.openxmlformats.org/officeDocument/2006/relationships/hyperlink" Target="https://pbs.twimg.com/profile_images/502185985786916864/gkdFh-q7_normal.png" TargetMode="External"/><Relationship Id="rId5402" Type="http://schemas.openxmlformats.org/officeDocument/2006/relationships/hyperlink" Target="https://twitter.com/Voovarb" TargetMode="External"/><Relationship Id="rId6733" Type="http://schemas.openxmlformats.org/officeDocument/2006/relationships/hyperlink" Target="https://pbs.twimg.com/profile_images/663717519581122560/hVXqWdXV_normal.png" TargetMode="External"/><Relationship Id="rId212" Type="http://schemas.openxmlformats.org/officeDocument/2006/relationships/hyperlink" Target="http://r-bloggers.com" TargetMode="External"/><Relationship Id="rId5403" Type="http://schemas.openxmlformats.org/officeDocument/2006/relationships/hyperlink" Target="https://twitter.com/Voovarb/status/702581680075198465" TargetMode="External"/><Relationship Id="rId6734" Type="http://schemas.openxmlformats.org/officeDocument/2006/relationships/hyperlink" Target="https://twitter.com/enterpreiss_de" TargetMode="External"/><Relationship Id="rId211" Type="http://schemas.openxmlformats.org/officeDocument/2006/relationships/hyperlink" Target="https://twitter.com/Rbloggers/status/701419970723328001" TargetMode="External"/><Relationship Id="rId5400" Type="http://schemas.openxmlformats.org/officeDocument/2006/relationships/hyperlink" Target="https://twitter.com/Nuovella/status/702581157926412288" TargetMode="External"/><Relationship Id="rId6731" Type="http://schemas.openxmlformats.org/officeDocument/2006/relationships/hyperlink" Target="https://twitter.com/NikoNeugebauer" TargetMode="External"/><Relationship Id="rId210" Type="http://schemas.openxmlformats.org/officeDocument/2006/relationships/hyperlink" Target="https://twitter.com/Rbloggers" TargetMode="External"/><Relationship Id="rId5401" Type="http://schemas.openxmlformats.org/officeDocument/2006/relationships/hyperlink" Target="https://pbs.twimg.com/profile_images/460403786306289664/MJgCqWM0_normal.jpeg" TargetMode="External"/><Relationship Id="rId6732" Type="http://schemas.openxmlformats.org/officeDocument/2006/relationships/hyperlink" Target="https://twitter.com/NikoNeugebauer/status/702859102448435200" TargetMode="External"/><Relationship Id="rId4107" Type="http://schemas.openxmlformats.org/officeDocument/2006/relationships/hyperlink" Target="https://twitter.com/i_rockhopper/status/702299301695922177" TargetMode="External"/><Relationship Id="rId5439" Type="http://schemas.openxmlformats.org/officeDocument/2006/relationships/hyperlink" Target="https://twitter.com/kdnuggets/status/702587312153219073" TargetMode="External"/><Relationship Id="rId4106" Type="http://schemas.openxmlformats.org/officeDocument/2006/relationships/hyperlink" Target="https://twitter.com/i_rockhopper" TargetMode="External"/><Relationship Id="rId4109" Type="http://schemas.openxmlformats.org/officeDocument/2006/relationships/hyperlink" Target="https://twitter.com/kjhealy" TargetMode="External"/><Relationship Id="rId5437" Type="http://schemas.openxmlformats.org/officeDocument/2006/relationships/hyperlink" Target="https://pbs.twimg.com/profile_images/463121219244421120/iZtw_Rji_normal.jpeg" TargetMode="External"/><Relationship Id="rId6768" Type="http://schemas.openxmlformats.org/officeDocument/2006/relationships/hyperlink" Target="https://twitter.com/alexip/status/702866005777883136" TargetMode="External"/><Relationship Id="rId4108" Type="http://schemas.openxmlformats.org/officeDocument/2006/relationships/hyperlink" Target="https://pbs.twimg.com/profile_images/621780049520267264/R3GvI0eI_normal.jpg" TargetMode="External"/><Relationship Id="rId5438" Type="http://schemas.openxmlformats.org/officeDocument/2006/relationships/hyperlink" Target="https://twitter.com/kdnuggets" TargetMode="External"/><Relationship Id="rId6769" Type="http://schemas.openxmlformats.org/officeDocument/2006/relationships/hyperlink" Target="https://pbs.twimg.com/profile_images/499307912825565184/nm1zZ9Yl_normal.jpeg" TargetMode="External"/><Relationship Id="rId249" Type="http://schemas.openxmlformats.org/officeDocument/2006/relationships/hyperlink" Target="https://twitter.com/Pvalsfr/status/701422427696472064" TargetMode="External"/><Relationship Id="rId248" Type="http://schemas.openxmlformats.org/officeDocument/2006/relationships/hyperlink" Target="https://twitter.com/Pvalsfr" TargetMode="External"/><Relationship Id="rId247" Type="http://schemas.openxmlformats.org/officeDocument/2006/relationships/hyperlink" Target="https://abs.twimg.com/sticky/default_profile_images/default_profile_4_normal.png" TargetMode="External"/><Relationship Id="rId242" Type="http://schemas.openxmlformats.org/officeDocument/2006/relationships/hyperlink" Target="https://twitter.com/jbryer" TargetMode="External"/><Relationship Id="rId5431" Type="http://schemas.openxmlformats.org/officeDocument/2006/relationships/hyperlink" Target="https://pbs.twimg.com/profile_images/535539844479332354/CA9doTjY_normal.jpeg" TargetMode="External"/><Relationship Id="rId6762" Type="http://schemas.openxmlformats.org/officeDocument/2006/relationships/hyperlink" Target="https://twitter.com/datasciencenote/status/702865548263043072" TargetMode="External"/><Relationship Id="rId241" Type="http://schemas.openxmlformats.org/officeDocument/2006/relationships/hyperlink" Target="https://pbs.twimg.com/profile_images/940277327/calvin-and-hobbes1_normal.jpg" TargetMode="External"/><Relationship Id="rId5432" Type="http://schemas.openxmlformats.org/officeDocument/2006/relationships/hyperlink" Target="https://twitter.com/jasdumas" TargetMode="External"/><Relationship Id="rId6763" Type="http://schemas.openxmlformats.org/officeDocument/2006/relationships/hyperlink" Target="https://pbs.twimg.com/profile_images/601401378854965248/GQrs3iKd_normal.jpg" TargetMode="External"/><Relationship Id="rId240" Type="http://schemas.openxmlformats.org/officeDocument/2006/relationships/hyperlink" Target="https://twitter.com/harrysuntech/status/701421538550140928" TargetMode="External"/><Relationship Id="rId4101" Type="http://schemas.openxmlformats.org/officeDocument/2006/relationships/hyperlink" Target="https://twitter.com/abresler/status/702297488062074880" TargetMode="External"/><Relationship Id="rId6760" Type="http://schemas.openxmlformats.org/officeDocument/2006/relationships/hyperlink" Target="https://pbs.twimg.com/profile_images/554695176203927552/P3UNAnps_normal.png" TargetMode="External"/><Relationship Id="rId4100" Type="http://schemas.openxmlformats.org/officeDocument/2006/relationships/hyperlink" Target="https://twitter.com/abresler" TargetMode="External"/><Relationship Id="rId5430" Type="http://schemas.openxmlformats.org/officeDocument/2006/relationships/hyperlink" Target="https://twitter.com/kyle_e_walker/status/702586030679937025" TargetMode="External"/><Relationship Id="rId6761" Type="http://schemas.openxmlformats.org/officeDocument/2006/relationships/hyperlink" Target="https://twitter.com/datasciencenote" TargetMode="External"/><Relationship Id="rId246" Type="http://schemas.openxmlformats.org/officeDocument/2006/relationships/hyperlink" Target="https://twitter.com/Pvalsfr/status/701422418041184256" TargetMode="External"/><Relationship Id="rId4103" Type="http://schemas.openxmlformats.org/officeDocument/2006/relationships/hyperlink" Target="https://twitter.com/sfrechette" TargetMode="External"/><Relationship Id="rId5435" Type="http://schemas.openxmlformats.org/officeDocument/2006/relationships/hyperlink" Target="https://twitter.com/CoreySparks1" TargetMode="External"/><Relationship Id="rId6766" Type="http://schemas.openxmlformats.org/officeDocument/2006/relationships/hyperlink" Target="https://pbs.twimg.com/profile_images/702236239307493376/OqfQBJ0-_normal.jpg" TargetMode="External"/><Relationship Id="rId245" Type="http://schemas.openxmlformats.org/officeDocument/2006/relationships/hyperlink" Target="https://twitter.com/Pvalsfr" TargetMode="External"/><Relationship Id="rId4102" Type="http://schemas.openxmlformats.org/officeDocument/2006/relationships/hyperlink" Target="https://pbs.twimg.com/profile_images/669441951192760324/zJylEnJ7_normal.jpg" TargetMode="External"/><Relationship Id="rId5436" Type="http://schemas.openxmlformats.org/officeDocument/2006/relationships/hyperlink" Target="https://twitter.com/CoreySparks1/status/702586752163131394" TargetMode="External"/><Relationship Id="rId6767" Type="http://schemas.openxmlformats.org/officeDocument/2006/relationships/hyperlink" Target="https://twitter.com/alexip" TargetMode="External"/><Relationship Id="rId244" Type="http://schemas.openxmlformats.org/officeDocument/2006/relationships/hyperlink" Target="https://pbs.twimg.com/profile_images/413098705378488321/pc7DXom7_normal.jpeg" TargetMode="External"/><Relationship Id="rId4105" Type="http://schemas.openxmlformats.org/officeDocument/2006/relationships/hyperlink" Target="https://pbs.twimg.com/profile_images/662342111799304192/Xtv8MZ-P_normal.jpg" TargetMode="External"/><Relationship Id="rId5433" Type="http://schemas.openxmlformats.org/officeDocument/2006/relationships/hyperlink" Target="https://twitter.com/jasdumas/status/702586607623401473" TargetMode="External"/><Relationship Id="rId6764" Type="http://schemas.openxmlformats.org/officeDocument/2006/relationships/hyperlink" Target="https://twitter.com/sturgeon_mb" TargetMode="External"/><Relationship Id="rId243" Type="http://schemas.openxmlformats.org/officeDocument/2006/relationships/hyperlink" Target="https://twitter.com/jbryer/status/701422367231217665" TargetMode="External"/><Relationship Id="rId4104" Type="http://schemas.openxmlformats.org/officeDocument/2006/relationships/hyperlink" Target="https://twitter.com/sfrechette/status/702297890019000320" TargetMode="External"/><Relationship Id="rId5434" Type="http://schemas.openxmlformats.org/officeDocument/2006/relationships/hyperlink" Target="https://pbs.twimg.com/profile_images/657946826474172416/XOQYsUiS_normal.jpg" TargetMode="External"/><Relationship Id="rId6765" Type="http://schemas.openxmlformats.org/officeDocument/2006/relationships/hyperlink" Target="https://twitter.com/sturgeon_mb/status/702865967387291648" TargetMode="External"/><Relationship Id="rId5428" Type="http://schemas.openxmlformats.org/officeDocument/2006/relationships/hyperlink" Target="https://pbs.twimg.com/profile_images/535539844479332354/CA9doTjY_normal.jpeg" TargetMode="External"/><Relationship Id="rId6759" Type="http://schemas.openxmlformats.org/officeDocument/2006/relationships/hyperlink" Target="https://twitter.com/tomdireill/status/702864062884007936" TargetMode="External"/><Relationship Id="rId5429" Type="http://schemas.openxmlformats.org/officeDocument/2006/relationships/hyperlink" Target="https://twitter.com/kyle_e_walker" TargetMode="External"/><Relationship Id="rId5426" Type="http://schemas.openxmlformats.org/officeDocument/2006/relationships/hyperlink" Target="https://twitter.com/kyle_e_walker" TargetMode="External"/><Relationship Id="rId6757" Type="http://schemas.openxmlformats.org/officeDocument/2006/relationships/hyperlink" Target="https://pbs.twimg.com/profile_images/590247580040212481/-empRtvH_normal.png" TargetMode="External"/><Relationship Id="rId5427" Type="http://schemas.openxmlformats.org/officeDocument/2006/relationships/hyperlink" Target="https://twitter.com/kyle_e_walker/status/702585825775603712" TargetMode="External"/><Relationship Id="rId6758" Type="http://schemas.openxmlformats.org/officeDocument/2006/relationships/hyperlink" Target="https://twitter.com/tomdireill" TargetMode="External"/><Relationship Id="rId239" Type="http://schemas.openxmlformats.org/officeDocument/2006/relationships/hyperlink" Target="https://twitter.com/harrysuntech" TargetMode="External"/><Relationship Id="rId238" Type="http://schemas.openxmlformats.org/officeDocument/2006/relationships/hyperlink" Target="https://pbs.twimg.com/profile_images/672265924184010752/LrKCh_kA_normal.png" TargetMode="External"/><Relationship Id="rId237" Type="http://schemas.openxmlformats.org/officeDocument/2006/relationships/hyperlink" Target="https://twitter.com/Sergio_CPS/status/701421034680008704" TargetMode="External"/><Relationship Id="rId236" Type="http://schemas.openxmlformats.org/officeDocument/2006/relationships/hyperlink" Target="https://twitter.com/Sergio_CPS" TargetMode="External"/><Relationship Id="rId231" Type="http://schemas.openxmlformats.org/officeDocument/2006/relationships/hyperlink" Target="https://twitter.com/pa_marais/status/701420655988842497" TargetMode="External"/><Relationship Id="rId5420" Type="http://schemas.openxmlformats.org/officeDocument/2006/relationships/hyperlink" Target="https://twitter.com/monkmanmh" TargetMode="External"/><Relationship Id="rId6751" Type="http://schemas.openxmlformats.org/officeDocument/2006/relationships/hyperlink" Target="https://pbs.twimg.com/profile_images/672029237029793792/_qKmCzM8_normal.png" TargetMode="External"/><Relationship Id="rId230" Type="http://schemas.openxmlformats.org/officeDocument/2006/relationships/hyperlink" Target="https://twitter.com/pa_marais" TargetMode="External"/><Relationship Id="rId5421" Type="http://schemas.openxmlformats.org/officeDocument/2006/relationships/hyperlink" Target="https://twitter.com/monkmanmh/status/702585094620336128" TargetMode="External"/><Relationship Id="rId6752" Type="http://schemas.openxmlformats.org/officeDocument/2006/relationships/hyperlink" Target="https://twitter.com/MangoTheCat" TargetMode="External"/><Relationship Id="rId6750" Type="http://schemas.openxmlformats.org/officeDocument/2006/relationships/hyperlink" Target="https://twitter.com/sig_stats/status/702863144729907200" TargetMode="External"/><Relationship Id="rId235" Type="http://schemas.openxmlformats.org/officeDocument/2006/relationships/hyperlink" Target="https://pbs.twimg.com/profile_images/672265924184010752/LrKCh_kA_normal.png" TargetMode="External"/><Relationship Id="rId5424" Type="http://schemas.openxmlformats.org/officeDocument/2006/relationships/hyperlink" Target="https://twitter.com/cvandekerckh/status/702585427006529536" TargetMode="External"/><Relationship Id="rId6755" Type="http://schemas.openxmlformats.org/officeDocument/2006/relationships/hyperlink" Target="https://twitter.com/arun_sriniv" TargetMode="External"/><Relationship Id="rId234" Type="http://schemas.openxmlformats.org/officeDocument/2006/relationships/hyperlink" Target="https://twitter.com/Sergio_CPS/status/701420996620898304" TargetMode="External"/><Relationship Id="rId5425" Type="http://schemas.openxmlformats.org/officeDocument/2006/relationships/hyperlink" Target="https://pbs.twimg.com/profile_images/431083985364480000/kMARbEpW_normal.png" TargetMode="External"/><Relationship Id="rId6756" Type="http://schemas.openxmlformats.org/officeDocument/2006/relationships/hyperlink" Target="https://twitter.com/arun_sriniv/status/702863789281157120" TargetMode="External"/><Relationship Id="rId233" Type="http://schemas.openxmlformats.org/officeDocument/2006/relationships/hyperlink" Target="https://twitter.com/Sergio_CPS" TargetMode="External"/><Relationship Id="rId5422" Type="http://schemas.openxmlformats.org/officeDocument/2006/relationships/hyperlink" Target="https://pbs.twimg.com/profile_images/378800000326851690/31a53679fad3e2366222d213ad196573_normal.jpeg" TargetMode="External"/><Relationship Id="rId6753" Type="http://schemas.openxmlformats.org/officeDocument/2006/relationships/hyperlink" Target="https://twitter.com/MangoTheCat/status/702863373315080193" TargetMode="External"/><Relationship Id="rId232" Type="http://schemas.openxmlformats.org/officeDocument/2006/relationships/hyperlink" Target="https://pbs.twimg.com/profile_images/568067400809984000/MXrq4e8A_normal.jpeg" TargetMode="External"/><Relationship Id="rId5423" Type="http://schemas.openxmlformats.org/officeDocument/2006/relationships/hyperlink" Target="https://twitter.com/cvandekerckh" TargetMode="External"/><Relationship Id="rId6754" Type="http://schemas.openxmlformats.org/officeDocument/2006/relationships/hyperlink" Target="https://pbs.twimg.com/profile_images/641183991077445633/V7VcBpJI_normal.png" TargetMode="External"/><Relationship Id="rId6704" Type="http://schemas.openxmlformats.org/officeDocument/2006/relationships/hyperlink" Target="https://twitter.com/i_am_shadab" TargetMode="External"/><Relationship Id="rId6705" Type="http://schemas.openxmlformats.org/officeDocument/2006/relationships/hyperlink" Target="https://twitter.com/i_am_shadab/status/702854450029809664" TargetMode="External"/><Relationship Id="rId6702" Type="http://schemas.openxmlformats.org/officeDocument/2006/relationships/hyperlink" Target="https://twitter.com/skilloak/status/702854339144974336" TargetMode="External"/><Relationship Id="rId6703" Type="http://schemas.openxmlformats.org/officeDocument/2006/relationships/hyperlink" Target="https://pbs.twimg.com/profile_images/670315479517413376/Kkf5JA8s_normal.png" TargetMode="External"/><Relationship Id="rId6708" Type="http://schemas.openxmlformats.org/officeDocument/2006/relationships/hyperlink" Target="https://twitter.com/mariacdangelo/status/702855147731292160" TargetMode="External"/><Relationship Id="rId6709" Type="http://schemas.openxmlformats.org/officeDocument/2006/relationships/hyperlink" Target="https://pbs.twimg.com/profile_images/697575915430268928/XyVBRxw4_normal.jpg" TargetMode="External"/><Relationship Id="rId6706" Type="http://schemas.openxmlformats.org/officeDocument/2006/relationships/hyperlink" Target="https://pbs.twimg.com/profile_images/378800000167191761/2cfb5965d7c041e8119e5d7e2519e975_normal.jpeg" TargetMode="External"/><Relationship Id="rId6707" Type="http://schemas.openxmlformats.org/officeDocument/2006/relationships/hyperlink" Target="https://twitter.com/mariacdangelo" TargetMode="External"/><Relationship Id="rId6700" Type="http://schemas.openxmlformats.org/officeDocument/2006/relationships/hyperlink" Target="https://pbs.twimg.com/profile_images/3595255135/fb511fcbc07ba9c16803af7bc7180b0c_normal.jpeg" TargetMode="External"/><Relationship Id="rId6701" Type="http://schemas.openxmlformats.org/officeDocument/2006/relationships/hyperlink" Target="https://twitter.com/skilloak" TargetMode="External"/><Relationship Id="rId6726" Type="http://schemas.openxmlformats.org/officeDocument/2006/relationships/hyperlink" Target="https://twitter.com/exaptive/status/702858457154719745" TargetMode="External"/><Relationship Id="rId6727" Type="http://schemas.openxmlformats.org/officeDocument/2006/relationships/hyperlink" Target="https://pbs.twimg.com/profile_images/449982291742183424/FExvLFdl_normal.png" TargetMode="External"/><Relationship Id="rId6724" Type="http://schemas.openxmlformats.org/officeDocument/2006/relationships/hyperlink" Target="https://pbs.twimg.com/profile_images/669261937016836096/gxfawBCq_normal.jpg" TargetMode="External"/><Relationship Id="rId6725" Type="http://schemas.openxmlformats.org/officeDocument/2006/relationships/hyperlink" Target="https://twitter.com/exaptive" TargetMode="External"/><Relationship Id="rId6728" Type="http://schemas.openxmlformats.org/officeDocument/2006/relationships/hyperlink" Target="https://twitter.com/sentiwire" TargetMode="External"/><Relationship Id="rId6729" Type="http://schemas.openxmlformats.org/officeDocument/2006/relationships/hyperlink" Target="https://twitter.com/sentiwire/status/702858461613166592" TargetMode="External"/><Relationship Id="rId206" Type="http://schemas.openxmlformats.org/officeDocument/2006/relationships/hyperlink" Target="https://pbs.twimg.com/profile_images/640659801395953664/eHaEu0aT_normal.jpg" TargetMode="External"/><Relationship Id="rId205" Type="http://schemas.openxmlformats.org/officeDocument/2006/relationships/hyperlink" Target="https://twitter.com/jon_framp/status/701417693476364288" TargetMode="External"/><Relationship Id="rId204" Type="http://schemas.openxmlformats.org/officeDocument/2006/relationships/hyperlink" Target="https://twitter.com/jon_framp" TargetMode="External"/><Relationship Id="rId203" Type="http://schemas.openxmlformats.org/officeDocument/2006/relationships/hyperlink" Target="https://pbs.twimg.com/profile_images/598736051037810688/_UDDnV3E_normal.png" TargetMode="External"/><Relationship Id="rId209" Type="http://schemas.openxmlformats.org/officeDocument/2006/relationships/hyperlink" Target="https://pbs.twimg.com/profile_images/618336375121641472/zqvKuqOP_normal.jpg" TargetMode="External"/><Relationship Id="rId208" Type="http://schemas.openxmlformats.org/officeDocument/2006/relationships/hyperlink" Target="https://twitter.com/itsjeffreyy76/status/701418449310879745" TargetMode="External"/><Relationship Id="rId207" Type="http://schemas.openxmlformats.org/officeDocument/2006/relationships/hyperlink" Target="https://twitter.com/itsjeffreyy76" TargetMode="External"/><Relationship Id="rId202" Type="http://schemas.openxmlformats.org/officeDocument/2006/relationships/hyperlink" Target="https://twitter.com/jaroreken/status/701414473354051584" TargetMode="External"/><Relationship Id="rId6722" Type="http://schemas.openxmlformats.org/officeDocument/2006/relationships/hyperlink" Target="https://twitter.com/steph_manning07" TargetMode="External"/><Relationship Id="rId201" Type="http://schemas.openxmlformats.org/officeDocument/2006/relationships/hyperlink" Target="https://twitter.com/jaroreken" TargetMode="External"/><Relationship Id="rId6723" Type="http://schemas.openxmlformats.org/officeDocument/2006/relationships/hyperlink" Target="https://twitter.com/steph_manning07/status/702857928395649024" TargetMode="External"/><Relationship Id="rId200" Type="http://schemas.openxmlformats.org/officeDocument/2006/relationships/hyperlink" Target="https://pbs.twimg.com/profile_images/671906683891810304/9aPCDSao_normal.jpg" TargetMode="External"/><Relationship Id="rId6720" Type="http://schemas.openxmlformats.org/officeDocument/2006/relationships/hyperlink" Target="https://twitter.com/JackkStat/status/702857797164118017" TargetMode="External"/><Relationship Id="rId6721" Type="http://schemas.openxmlformats.org/officeDocument/2006/relationships/hyperlink" Target="https://pbs.twimg.com/profile_images/378800000390483857/cc12f079276669c75efe2d29039d6163_normal.jpeg" TargetMode="External"/><Relationship Id="rId6715" Type="http://schemas.openxmlformats.org/officeDocument/2006/relationships/hyperlink" Target="https://pbs.twimg.com/profile_images/538141097692631040/h8Vps5Is_normal.jpeg" TargetMode="External"/><Relationship Id="rId6716" Type="http://schemas.openxmlformats.org/officeDocument/2006/relationships/hyperlink" Target="https://twitter.com/lwjohnst" TargetMode="External"/><Relationship Id="rId6713" Type="http://schemas.openxmlformats.org/officeDocument/2006/relationships/hyperlink" Target="https://twitter.com/vitoaguiar" TargetMode="External"/><Relationship Id="rId6714" Type="http://schemas.openxmlformats.org/officeDocument/2006/relationships/hyperlink" Target="https://twitter.com/vitoaguiar/status/702857036162273280" TargetMode="External"/><Relationship Id="rId6719" Type="http://schemas.openxmlformats.org/officeDocument/2006/relationships/hyperlink" Target="https://twitter.com/JackkStat" TargetMode="External"/><Relationship Id="rId6717" Type="http://schemas.openxmlformats.org/officeDocument/2006/relationships/hyperlink" Target="https://twitter.com/lwjohnst/status/702857162545090560" TargetMode="External"/><Relationship Id="rId6718" Type="http://schemas.openxmlformats.org/officeDocument/2006/relationships/hyperlink" Target="https://pbs.twimg.com/profile_images/656158193920282624/ziZx2OUQ_normal.jpg" TargetMode="External"/><Relationship Id="rId6711" Type="http://schemas.openxmlformats.org/officeDocument/2006/relationships/hyperlink" Target="https://twitter.com/DerFredo/status/702855542641987584" TargetMode="External"/><Relationship Id="rId6712" Type="http://schemas.openxmlformats.org/officeDocument/2006/relationships/hyperlink" Target="https://pbs.twimg.com/profile_images/702262401882718208/LQ3N9NUM_normal.png" TargetMode="External"/><Relationship Id="rId6710" Type="http://schemas.openxmlformats.org/officeDocument/2006/relationships/hyperlink" Target="https://twitter.com/DerFredo" TargetMode="External"/><Relationship Id="rId5490" Type="http://schemas.openxmlformats.org/officeDocument/2006/relationships/hyperlink" Target="https://twitter.com/noelia_vil3s/status/702593578179174400" TargetMode="External"/><Relationship Id="rId4161" Type="http://schemas.openxmlformats.org/officeDocument/2006/relationships/hyperlink" Target="https://twitter.com/tpoi/status/702304671948476417" TargetMode="External"/><Relationship Id="rId5493" Type="http://schemas.openxmlformats.org/officeDocument/2006/relationships/hyperlink" Target="https://twitter.com/mathz_aragao/status/702594211355467776" TargetMode="External"/><Relationship Id="rId4160" Type="http://schemas.openxmlformats.org/officeDocument/2006/relationships/hyperlink" Target="https://twitter.com/tpoi" TargetMode="External"/><Relationship Id="rId5494" Type="http://schemas.openxmlformats.org/officeDocument/2006/relationships/hyperlink" Target="https://pbs.twimg.com/profile_images/3425614549/e33550c5911ecf735e54b37550ee6903_normal.jpeg" TargetMode="External"/><Relationship Id="rId4163" Type="http://schemas.openxmlformats.org/officeDocument/2006/relationships/hyperlink" Target="https://twitter.com/oliviachen56" TargetMode="External"/><Relationship Id="rId5491" Type="http://schemas.openxmlformats.org/officeDocument/2006/relationships/hyperlink" Target="https://pbs.twimg.com/profile_images/578841855619670016/aufpn8-J_normal.jpeg" TargetMode="External"/><Relationship Id="rId4162" Type="http://schemas.openxmlformats.org/officeDocument/2006/relationships/hyperlink" Target="https://pbs.twimg.com/profile_images/676829689026072578/Tc66pMai_normal.jpg" TargetMode="External"/><Relationship Id="rId5492" Type="http://schemas.openxmlformats.org/officeDocument/2006/relationships/hyperlink" Target="https://twitter.com/mathz_aragao" TargetMode="External"/><Relationship Id="rId4165" Type="http://schemas.openxmlformats.org/officeDocument/2006/relationships/hyperlink" Target="https://pbs.twimg.com/profile_images/582622524963352576/m9Rp1CBQ_normal.png" TargetMode="External"/><Relationship Id="rId5497" Type="http://schemas.openxmlformats.org/officeDocument/2006/relationships/hyperlink" Target="https://pbs.twimg.com/profile_images/677589103710306304/m56O6Wgf_normal.jpg" TargetMode="External"/><Relationship Id="rId4164" Type="http://schemas.openxmlformats.org/officeDocument/2006/relationships/hyperlink" Target="https://twitter.com/oliviachen56/status/702304949804384256" TargetMode="External"/><Relationship Id="rId5498" Type="http://schemas.openxmlformats.org/officeDocument/2006/relationships/hyperlink" Target="https://twitter.com/danilobzdok" TargetMode="External"/><Relationship Id="rId4167" Type="http://schemas.openxmlformats.org/officeDocument/2006/relationships/hyperlink" Target="https://twitter.com/RallidaeRule/status/702306056156778496" TargetMode="External"/><Relationship Id="rId5495" Type="http://schemas.openxmlformats.org/officeDocument/2006/relationships/hyperlink" Target="https://twitter.com/hadleywickham" TargetMode="External"/><Relationship Id="rId4166" Type="http://schemas.openxmlformats.org/officeDocument/2006/relationships/hyperlink" Target="https://twitter.com/RallidaeRule" TargetMode="External"/><Relationship Id="rId5496" Type="http://schemas.openxmlformats.org/officeDocument/2006/relationships/hyperlink" Target="https://twitter.com/hadleywickham/status/702594397058129921" TargetMode="External"/><Relationship Id="rId4169" Type="http://schemas.openxmlformats.org/officeDocument/2006/relationships/hyperlink" Target="https://twitter.com/RallidaeRule" TargetMode="External"/><Relationship Id="rId4168" Type="http://schemas.openxmlformats.org/officeDocument/2006/relationships/hyperlink" Target="https://pbs.twimg.com/profile_images/472088432374579201/pTx9F7zb_normal.jpeg" TargetMode="External"/><Relationship Id="rId5499" Type="http://schemas.openxmlformats.org/officeDocument/2006/relationships/hyperlink" Target="https://twitter.com/danilobzdok/status/702594674486284292" TargetMode="External"/><Relationship Id="rId4150" Type="http://schemas.openxmlformats.org/officeDocument/2006/relationships/hyperlink" Target="https://pbs.twimg.com/profile_images/529482878543867904/H-UGY1d0_normal.png" TargetMode="External"/><Relationship Id="rId5482" Type="http://schemas.openxmlformats.org/officeDocument/2006/relationships/hyperlink" Target="https://pbs.twimg.com/profile_images/702009981961261056/qBjd2MYe_normal.png" TargetMode="External"/><Relationship Id="rId5483" Type="http://schemas.openxmlformats.org/officeDocument/2006/relationships/hyperlink" Target="https://twitter.com/polesasunder" TargetMode="External"/><Relationship Id="rId4152" Type="http://schemas.openxmlformats.org/officeDocument/2006/relationships/hyperlink" Target="https://twitter.com/StephenCarnagua/status/702304404070752256" TargetMode="External"/><Relationship Id="rId5480" Type="http://schemas.openxmlformats.org/officeDocument/2006/relationships/hyperlink" Target="https://twitter.com/sheanineseven" TargetMode="External"/><Relationship Id="rId4151" Type="http://schemas.openxmlformats.org/officeDocument/2006/relationships/hyperlink" Target="https://twitter.com/StephenCarnagua" TargetMode="External"/><Relationship Id="rId5481" Type="http://schemas.openxmlformats.org/officeDocument/2006/relationships/hyperlink" Target="https://twitter.com/sheanineseven/status/702592803600084992" TargetMode="External"/><Relationship Id="rId4154" Type="http://schemas.openxmlformats.org/officeDocument/2006/relationships/hyperlink" Target="https://twitter.com/RomeoKienzler" TargetMode="External"/><Relationship Id="rId5486" Type="http://schemas.openxmlformats.org/officeDocument/2006/relationships/hyperlink" Target="https://twitter.com/r_vaquerizo" TargetMode="External"/><Relationship Id="rId4153" Type="http://schemas.openxmlformats.org/officeDocument/2006/relationships/hyperlink" Target="https://pbs.twimg.com/profile_images/137371573/headshot_normal.JPG" TargetMode="External"/><Relationship Id="rId5487" Type="http://schemas.openxmlformats.org/officeDocument/2006/relationships/hyperlink" Target="https://twitter.com/r_vaquerizo/status/702593509807800320" TargetMode="External"/><Relationship Id="rId4156" Type="http://schemas.openxmlformats.org/officeDocument/2006/relationships/hyperlink" Target="https://pbs.twimg.com/profile_images/699214464525139968/QNynQu0h_normal.jpg" TargetMode="External"/><Relationship Id="rId5484" Type="http://schemas.openxmlformats.org/officeDocument/2006/relationships/hyperlink" Target="https://twitter.com/polesasunder/status/702592881970655232" TargetMode="External"/><Relationship Id="rId4155" Type="http://schemas.openxmlformats.org/officeDocument/2006/relationships/hyperlink" Target="https://twitter.com/RomeoKienzler/status/702304621193207810" TargetMode="External"/><Relationship Id="rId5485" Type="http://schemas.openxmlformats.org/officeDocument/2006/relationships/hyperlink" Target="https://pbs.twimg.com/profile_images/499358811564425216/jiX57F1h_normal.jpeg" TargetMode="External"/><Relationship Id="rId4158" Type="http://schemas.openxmlformats.org/officeDocument/2006/relationships/hyperlink" Target="https://twitter.com/tpoi/status/702304665719934976" TargetMode="External"/><Relationship Id="rId4157" Type="http://schemas.openxmlformats.org/officeDocument/2006/relationships/hyperlink" Target="https://twitter.com/tpoi" TargetMode="External"/><Relationship Id="rId5488" Type="http://schemas.openxmlformats.org/officeDocument/2006/relationships/hyperlink" Target="https://pbs.twimg.com/profile_images/696072141700231169/9KzrmUim_normal.jpg" TargetMode="External"/><Relationship Id="rId4159" Type="http://schemas.openxmlformats.org/officeDocument/2006/relationships/hyperlink" Target="https://pbs.twimg.com/profile_images/676829689026072578/Tc66pMai_normal.jpg" TargetMode="External"/><Relationship Id="rId5489" Type="http://schemas.openxmlformats.org/officeDocument/2006/relationships/hyperlink" Target="https://twitter.com/noelia_vil3s" TargetMode="External"/><Relationship Id="rId1910" Type="http://schemas.openxmlformats.org/officeDocument/2006/relationships/hyperlink" Target="https://twitter.com/AngelaatMango/status/701812221177942017" TargetMode="External"/><Relationship Id="rId1911" Type="http://schemas.openxmlformats.org/officeDocument/2006/relationships/hyperlink" Target="https://pbs.twimg.com/profile_images/628595993399939072/_8_qlUsA_normal.jpg" TargetMode="External"/><Relationship Id="rId1912" Type="http://schemas.openxmlformats.org/officeDocument/2006/relationships/hyperlink" Target="https://twitter.com/AngelaatMango" TargetMode="External"/><Relationship Id="rId1913" Type="http://schemas.openxmlformats.org/officeDocument/2006/relationships/hyperlink" Target="https://twitter.com/AngelaatMango/status/701812253209796608" TargetMode="External"/><Relationship Id="rId1914" Type="http://schemas.openxmlformats.org/officeDocument/2006/relationships/hyperlink" Target="https://pbs.twimg.com/profile_images/628595993399939072/_8_qlUsA_normal.jpg" TargetMode="External"/><Relationship Id="rId1915" Type="http://schemas.openxmlformats.org/officeDocument/2006/relationships/hyperlink" Target="https://twitter.com/earlconf" TargetMode="External"/><Relationship Id="rId1916" Type="http://schemas.openxmlformats.org/officeDocument/2006/relationships/hyperlink" Target="https://twitter.com/earlconf/status/701812671377756160" TargetMode="External"/><Relationship Id="rId1917" Type="http://schemas.openxmlformats.org/officeDocument/2006/relationships/hyperlink" Target="https://pbs.twimg.com/profile_images/432298122203512833/YDXfWlI__normal.png" TargetMode="External"/><Relationship Id="rId1918" Type="http://schemas.openxmlformats.org/officeDocument/2006/relationships/hyperlink" Target="https://twitter.com/earlconf" TargetMode="External"/><Relationship Id="rId1919" Type="http://schemas.openxmlformats.org/officeDocument/2006/relationships/hyperlink" Target="https://twitter.com/earlconf/status/701812764931702784" TargetMode="External"/><Relationship Id="rId4181" Type="http://schemas.openxmlformats.org/officeDocument/2006/relationships/hyperlink" Target="https://twitter.com/runcibleansible" TargetMode="External"/><Relationship Id="rId4180" Type="http://schemas.openxmlformats.org/officeDocument/2006/relationships/hyperlink" Target="https://pbs.twimg.com/profile_images/1676067876/Scott_photo_pretoria1_normal.jpg" TargetMode="External"/><Relationship Id="rId4183" Type="http://schemas.openxmlformats.org/officeDocument/2006/relationships/hyperlink" Target="https://pbs.twimg.com/profile_images/399023664/avatar3_normal.png" TargetMode="External"/><Relationship Id="rId4182" Type="http://schemas.openxmlformats.org/officeDocument/2006/relationships/hyperlink" Target="https://twitter.com/runcibleansible/status/702309177461374976" TargetMode="External"/><Relationship Id="rId4185" Type="http://schemas.openxmlformats.org/officeDocument/2006/relationships/hyperlink" Target="https://twitter.com/DesmondRamirez1/status/702310350453022720" TargetMode="External"/><Relationship Id="rId4184" Type="http://schemas.openxmlformats.org/officeDocument/2006/relationships/hyperlink" Target="https://twitter.com/DesmondRamirez1" TargetMode="External"/><Relationship Id="rId4187" Type="http://schemas.openxmlformats.org/officeDocument/2006/relationships/hyperlink" Target="https://twitter.com/Md_Harris" TargetMode="External"/><Relationship Id="rId4186" Type="http://schemas.openxmlformats.org/officeDocument/2006/relationships/hyperlink" Target="https://pbs.twimg.com/profile_images/554481313911013377/eUnIV6Wj_normal.jpeg" TargetMode="External"/><Relationship Id="rId4189" Type="http://schemas.openxmlformats.org/officeDocument/2006/relationships/hyperlink" Target="https://pbs.twimg.com/profile_images/640558270843850752/9jnEvx6k_normal.jpg" TargetMode="External"/><Relationship Id="rId4188" Type="http://schemas.openxmlformats.org/officeDocument/2006/relationships/hyperlink" Target="https://twitter.com/Md_Harris/status/702310730079576064" TargetMode="External"/><Relationship Id="rId1900" Type="http://schemas.openxmlformats.org/officeDocument/2006/relationships/hyperlink" Target="https://twitter.com/MangoTheCat" TargetMode="External"/><Relationship Id="rId1901" Type="http://schemas.openxmlformats.org/officeDocument/2006/relationships/hyperlink" Target="https://twitter.com/MangoTheCat/status/701809958749212672" TargetMode="External"/><Relationship Id="rId1902" Type="http://schemas.openxmlformats.org/officeDocument/2006/relationships/hyperlink" Target="https://pbs.twimg.com/profile_images/641183991077445633/V7VcBpJI_normal.png" TargetMode="External"/><Relationship Id="rId1903" Type="http://schemas.openxmlformats.org/officeDocument/2006/relationships/hyperlink" Target="https://twitter.com/AngelaatMango" TargetMode="External"/><Relationship Id="rId1904" Type="http://schemas.openxmlformats.org/officeDocument/2006/relationships/hyperlink" Target="https://twitter.com/AngelaatMango/status/701812048649388032" TargetMode="External"/><Relationship Id="rId1905" Type="http://schemas.openxmlformats.org/officeDocument/2006/relationships/hyperlink" Target="https://pbs.twimg.com/profile_images/628595993399939072/_8_qlUsA_normal.jpg" TargetMode="External"/><Relationship Id="rId1906" Type="http://schemas.openxmlformats.org/officeDocument/2006/relationships/hyperlink" Target="https://twitter.com/AngelaatMango" TargetMode="External"/><Relationship Id="rId1907" Type="http://schemas.openxmlformats.org/officeDocument/2006/relationships/hyperlink" Target="https://twitter.com/AngelaatMango/status/701812079267815424" TargetMode="External"/><Relationship Id="rId1908" Type="http://schemas.openxmlformats.org/officeDocument/2006/relationships/hyperlink" Target="https://pbs.twimg.com/profile_images/628595993399939072/_8_qlUsA_normal.jpg" TargetMode="External"/><Relationship Id="rId1909" Type="http://schemas.openxmlformats.org/officeDocument/2006/relationships/hyperlink" Target="https://twitter.com/AngelaatMango" TargetMode="External"/><Relationship Id="rId4170" Type="http://schemas.openxmlformats.org/officeDocument/2006/relationships/hyperlink" Target="https://twitter.com/RallidaeRule/status/702306065665294336" TargetMode="External"/><Relationship Id="rId4172" Type="http://schemas.openxmlformats.org/officeDocument/2006/relationships/hyperlink" Target="https://twitter.com/vsbuffalo" TargetMode="External"/><Relationship Id="rId4171" Type="http://schemas.openxmlformats.org/officeDocument/2006/relationships/hyperlink" Target="https://pbs.twimg.com/profile_images/472088432374579201/pTx9F7zb_normal.jpeg" TargetMode="External"/><Relationship Id="rId4174" Type="http://schemas.openxmlformats.org/officeDocument/2006/relationships/hyperlink" Target="https://pbs.twimg.com/profile_images/701209128354492416/sgr-VUJb_normal.jpg" TargetMode="External"/><Relationship Id="rId4173" Type="http://schemas.openxmlformats.org/officeDocument/2006/relationships/hyperlink" Target="https://twitter.com/vsbuffalo/status/702306764092416000" TargetMode="External"/><Relationship Id="rId4176" Type="http://schemas.openxmlformats.org/officeDocument/2006/relationships/hyperlink" Target="https://twitter.com/fhollenbach/status/702307827826585600" TargetMode="External"/><Relationship Id="rId4175" Type="http://schemas.openxmlformats.org/officeDocument/2006/relationships/hyperlink" Target="https://twitter.com/fhollenbach" TargetMode="External"/><Relationship Id="rId4178" Type="http://schemas.openxmlformats.org/officeDocument/2006/relationships/hyperlink" Target="https://twitter.com/Scott_Johnsn" TargetMode="External"/><Relationship Id="rId4177" Type="http://schemas.openxmlformats.org/officeDocument/2006/relationships/hyperlink" Target="https://pbs.twimg.com/profile_images/641697215891664896/VJdQSPoX_normal.png" TargetMode="External"/><Relationship Id="rId4179" Type="http://schemas.openxmlformats.org/officeDocument/2006/relationships/hyperlink" Target="https://twitter.com/Scott_Johnsn/status/702308662472093696" TargetMode="External"/><Relationship Id="rId4129" Type="http://schemas.openxmlformats.org/officeDocument/2006/relationships/hyperlink" Target="https://pbs.twimg.com/profile_images/585868440440700928/i6zV-hSn_normal.png" TargetMode="External"/><Relationship Id="rId4128" Type="http://schemas.openxmlformats.org/officeDocument/2006/relationships/hyperlink" Target="https://twitter.com/pdxrlang/status/702301309341343746" TargetMode="External"/><Relationship Id="rId5459" Type="http://schemas.openxmlformats.org/officeDocument/2006/relationships/hyperlink" Target="https://twitter.com/fgsole" TargetMode="External"/><Relationship Id="rId6780" Type="http://schemas.openxmlformats.org/officeDocument/2006/relationships/hyperlink" Target="https://twitter.com/giocante/status/702871240126697473" TargetMode="External"/><Relationship Id="rId5450" Type="http://schemas.openxmlformats.org/officeDocument/2006/relationships/hyperlink" Target="https://twitter.com/EmekaOkoye" TargetMode="External"/><Relationship Id="rId6781" Type="http://schemas.openxmlformats.org/officeDocument/2006/relationships/hyperlink" Target="https://pbs.twimg.com/profile_images/547338209684758528/Kb9MNrJR_normal.png" TargetMode="External"/><Relationship Id="rId4121" Type="http://schemas.openxmlformats.org/officeDocument/2006/relationships/hyperlink" Target="https://twitter.com/ucfagls" TargetMode="External"/><Relationship Id="rId5453" Type="http://schemas.openxmlformats.org/officeDocument/2006/relationships/hyperlink" Target="https://twitter.com/NuriaStatgirl" TargetMode="External"/><Relationship Id="rId6784" Type="http://schemas.openxmlformats.org/officeDocument/2006/relationships/hyperlink" Target="https://pbs.twimg.com/profile_images/500493826364956672/SJHJOpOs_normal.jpeg" TargetMode="External"/><Relationship Id="rId4120" Type="http://schemas.openxmlformats.org/officeDocument/2006/relationships/hyperlink" Target="https://pbs.twimg.com/profile_images/686829356220608512/Xvuztyrm_normal.jpg" TargetMode="External"/><Relationship Id="rId5454" Type="http://schemas.openxmlformats.org/officeDocument/2006/relationships/hyperlink" Target="https://twitter.com/NuriaStatgirl/status/702590123637149704" TargetMode="External"/><Relationship Id="rId6785" Type="http://schemas.openxmlformats.org/officeDocument/2006/relationships/hyperlink" Target="https://twitter.com/tankofvines" TargetMode="External"/><Relationship Id="rId4123" Type="http://schemas.openxmlformats.org/officeDocument/2006/relationships/hyperlink" Target="https://pbs.twimg.com/profile_images/564871970454401024/omH5A6W0_normal.png" TargetMode="External"/><Relationship Id="rId5451" Type="http://schemas.openxmlformats.org/officeDocument/2006/relationships/hyperlink" Target="https://twitter.com/EmekaOkoye/status/702589838273474560" TargetMode="External"/><Relationship Id="rId6782" Type="http://schemas.openxmlformats.org/officeDocument/2006/relationships/hyperlink" Target="https://twitter.com/sdpenaloza" TargetMode="External"/><Relationship Id="rId4122" Type="http://schemas.openxmlformats.org/officeDocument/2006/relationships/hyperlink" Target="https://twitter.com/ucfagls/status/702300761649098753" TargetMode="External"/><Relationship Id="rId5452" Type="http://schemas.openxmlformats.org/officeDocument/2006/relationships/hyperlink" Target="https://pbs.twimg.com/profile_images/682178129390092288/D_vSqP-o_normal.jpg" TargetMode="External"/><Relationship Id="rId6783" Type="http://schemas.openxmlformats.org/officeDocument/2006/relationships/hyperlink" Target="https://twitter.com/sdpenaloza/status/702872123090432001" TargetMode="External"/><Relationship Id="rId4125" Type="http://schemas.openxmlformats.org/officeDocument/2006/relationships/hyperlink" Target="https://twitter.com/sckottie/status/702301309341282309" TargetMode="External"/><Relationship Id="rId5457" Type="http://schemas.openxmlformats.org/officeDocument/2006/relationships/hyperlink" Target="https://twitter.com/analyticbridge/status/702590280701063168" TargetMode="External"/><Relationship Id="rId6788" Type="http://schemas.openxmlformats.org/officeDocument/2006/relationships/hyperlink" Target="https://twitter.com/DianeBELDAME" TargetMode="External"/><Relationship Id="rId4124" Type="http://schemas.openxmlformats.org/officeDocument/2006/relationships/hyperlink" Target="https://twitter.com/sckottie" TargetMode="External"/><Relationship Id="rId5458" Type="http://schemas.openxmlformats.org/officeDocument/2006/relationships/hyperlink" Target="https://pbs.twimg.com/profile_images/1198161733/analitycbridge_normal.png" TargetMode="External"/><Relationship Id="rId6789" Type="http://schemas.openxmlformats.org/officeDocument/2006/relationships/hyperlink" Target="https://twitter.com/DianeBELDAME/status/702877620296400896" TargetMode="External"/><Relationship Id="rId4127" Type="http://schemas.openxmlformats.org/officeDocument/2006/relationships/hyperlink" Target="https://twitter.com/pdxrlang" TargetMode="External"/><Relationship Id="rId5455" Type="http://schemas.openxmlformats.org/officeDocument/2006/relationships/hyperlink" Target="https://pbs.twimg.com/profile_images/479012915887226881/njbvr8E0_normal.jpeg" TargetMode="External"/><Relationship Id="rId6786" Type="http://schemas.openxmlformats.org/officeDocument/2006/relationships/hyperlink" Target="https://twitter.com/tankofvines/status/702875597475815424" TargetMode="External"/><Relationship Id="rId4126" Type="http://schemas.openxmlformats.org/officeDocument/2006/relationships/hyperlink" Target="https://pbs.twimg.com/profile_images/628062474491670529/KOOABG9v_normal.jpg" TargetMode="External"/><Relationship Id="rId5456" Type="http://schemas.openxmlformats.org/officeDocument/2006/relationships/hyperlink" Target="https://twitter.com/analyticbridge" TargetMode="External"/><Relationship Id="rId6787" Type="http://schemas.openxmlformats.org/officeDocument/2006/relationships/hyperlink" Target="https://pbs.twimg.com/profile_images/596416632580341762/TCcjl6P8_normal.jpg" TargetMode="External"/><Relationship Id="rId4118" Type="http://schemas.openxmlformats.org/officeDocument/2006/relationships/hyperlink" Target="https://twitter.com/jrdnmdhl" TargetMode="External"/><Relationship Id="rId4117" Type="http://schemas.openxmlformats.org/officeDocument/2006/relationships/hyperlink" Target="https://pbs.twimg.com/profile_images/686829356220608512/Xvuztyrm_normal.jpg" TargetMode="External"/><Relationship Id="rId5448" Type="http://schemas.openxmlformats.org/officeDocument/2006/relationships/hyperlink" Target="https://twitter.com/JennyBryan/status/702588971189035008" TargetMode="External"/><Relationship Id="rId6779" Type="http://schemas.openxmlformats.org/officeDocument/2006/relationships/hyperlink" Target="https://twitter.com/giocante" TargetMode="External"/><Relationship Id="rId4119" Type="http://schemas.openxmlformats.org/officeDocument/2006/relationships/hyperlink" Target="https://twitter.com/jrdnmdhl/status/702300268738777089" TargetMode="External"/><Relationship Id="rId5449" Type="http://schemas.openxmlformats.org/officeDocument/2006/relationships/hyperlink" Target="https://pbs.twimg.com/profile_images/660978605606875137/s3YrJetD_normal.jpg" TargetMode="External"/><Relationship Id="rId6770" Type="http://schemas.openxmlformats.org/officeDocument/2006/relationships/hyperlink" Target="https://twitter.com/eyebraineugenie" TargetMode="External"/><Relationship Id="rId4110" Type="http://schemas.openxmlformats.org/officeDocument/2006/relationships/hyperlink" Target="https://twitter.com/kjhealy/status/702299579706961921" TargetMode="External"/><Relationship Id="rId5442" Type="http://schemas.openxmlformats.org/officeDocument/2006/relationships/hyperlink" Target="https://twitter.com/renato_umeton/status/702587792757530625" TargetMode="External"/><Relationship Id="rId6773" Type="http://schemas.openxmlformats.org/officeDocument/2006/relationships/hyperlink" Target="https://twitter.com/zenrhino" TargetMode="External"/><Relationship Id="rId5443" Type="http://schemas.openxmlformats.org/officeDocument/2006/relationships/hyperlink" Target="https://pbs.twimg.com/profile_images/701553083537604608/nr8b38eG_normal.jpg" TargetMode="External"/><Relationship Id="rId6774" Type="http://schemas.openxmlformats.org/officeDocument/2006/relationships/hyperlink" Target="https://twitter.com/zenrhino/status/702867715644477440" TargetMode="External"/><Relationship Id="rId4112" Type="http://schemas.openxmlformats.org/officeDocument/2006/relationships/hyperlink" Target="https://twitter.com/ucfagls" TargetMode="External"/><Relationship Id="rId5440" Type="http://schemas.openxmlformats.org/officeDocument/2006/relationships/hyperlink" Target="https://pbs.twimg.com/profile_images/1174228552/gpsc2_normal.jpg" TargetMode="External"/><Relationship Id="rId6771" Type="http://schemas.openxmlformats.org/officeDocument/2006/relationships/hyperlink" Target="https://twitter.com/eyebraineugenie/status/702866915786625024" TargetMode="External"/><Relationship Id="rId4111" Type="http://schemas.openxmlformats.org/officeDocument/2006/relationships/hyperlink" Target="https://pbs.twimg.com/profile_images/525000366551617537/U5Mm-OvJ_normal.png" TargetMode="External"/><Relationship Id="rId5441" Type="http://schemas.openxmlformats.org/officeDocument/2006/relationships/hyperlink" Target="https://twitter.com/renato_umeton" TargetMode="External"/><Relationship Id="rId6772" Type="http://schemas.openxmlformats.org/officeDocument/2006/relationships/hyperlink" Target="https://pbs.twimg.com/profile_images/532675949586690048/f1VQnb5Q_normal.jpeg" TargetMode="External"/><Relationship Id="rId4114" Type="http://schemas.openxmlformats.org/officeDocument/2006/relationships/hyperlink" Target="https://pbs.twimg.com/profile_images/564871970454401024/omH5A6W0_normal.png" TargetMode="External"/><Relationship Id="rId5446" Type="http://schemas.openxmlformats.org/officeDocument/2006/relationships/hyperlink" Target="https://pbs.twimg.com/profile_images/555474607101071360/jy1EJZCF_normal.jpeg" TargetMode="External"/><Relationship Id="rId6777" Type="http://schemas.openxmlformats.org/officeDocument/2006/relationships/hyperlink" Target="https://twitter.com/robertstats/status/702869881323184129" TargetMode="External"/><Relationship Id="rId4113" Type="http://schemas.openxmlformats.org/officeDocument/2006/relationships/hyperlink" Target="https://twitter.com/ucfagls/status/702300166938755074" TargetMode="External"/><Relationship Id="rId5447" Type="http://schemas.openxmlformats.org/officeDocument/2006/relationships/hyperlink" Target="https://twitter.com/JennyBryan" TargetMode="External"/><Relationship Id="rId6778" Type="http://schemas.openxmlformats.org/officeDocument/2006/relationships/hyperlink" Target="https://pbs.twimg.com/profile_images/685147968874373121/r_V2hRhj_normal.jpg" TargetMode="External"/><Relationship Id="rId4116" Type="http://schemas.openxmlformats.org/officeDocument/2006/relationships/hyperlink" Target="https://twitter.com/jrdnmdhl/status/702300247888891905" TargetMode="External"/><Relationship Id="rId5444" Type="http://schemas.openxmlformats.org/officeDocument/2006/relationships/hyperlink" Target="https://twitter.com/ThugMetricsNews" TargetMode="External"/><Relationship Id="rId6775" Type="http://schemas.openxmlformats.org/officeDocument/2006/relationships/hyperlink" Target="https://pbs.twimg.com/profile_images/679575511354478592/66QphBZB_normal.jpg" TargetMode="External"/><Relationship Id="rId4115" Type="http://schemas.openxmlformats.org/officeDocument/2006/relationships/hyperlink" Target="https://twitter.com/jrdnmdhl" TargetMode="External"/><Relationship Id="rId5445" Type="http://schemas.openxmlformats.org/officeDocument/2006/relationships/hyperlink" Target="https://twitter.com/ThugMetricsNews/status/702588815874068480" TargetMode="External"/><Relationship Id="rId6776" Type="http://schemas.openxmlformats.org/officeDocument/2006/relationships/hyperlink" Target="https://twitter.com/robertstats" TargetMode="External"/><Relationship Id="rId5471" Type="http://schemas.openxmlformats.org/officeDocument/2006/relationships/hyperlink" Target="https://twitter.com/monkmanmh" TargetMode="External"/><Relationship Id="rId5472" Type="http://schemas.openxmlformats.org/officeDocument/2006/relationships/hyperlink" Target="https://twitter.com/monkmanmh/status/702592055667589121" TargetMode="External"/><Relationship Id="rId4141" Type="http://schemas.openxmlformats.org/officeDocument/2006/relationships/hyperlink" Target="https://pbs.twimg.com/profile_images/684762453612220416/h3_Yj60e_normal.png" TargetMode="External"/><Relationship Id="rId4140" Type="http://schemas.openxmlformats.org/officeDocument/2006/relationships/hyperlink" Target="https://twitter.com/ShainaRace/status/702302503593881600" TargetMode="External"/><Relationship Id="rId5470" Type="http://schemas.openxmlformats.org/officeDocument/2006/relationships/hyperlink" Target="https://pbs.twimg.com/profile_images/633416207165689856/-nZq_x05_normal.jpg" TargetMode="External"/><Relationship Id="rId4143" Type="http://schemas.openxmlformats.org/officeDocument/2006/relationships/hyperlink" Target="https://twitter.com/mhiggins2000/status/702303715173208065" TargetMode="External"/><Relationship Id="rId5475" Type="http://schemas.openxmlformats.org/officeDocument/2006/relationships/hyperlink" Target="https://twitter.com/AngeloLainoT/status/702592265320058881" TargetMode="External"/><Relationship Id="rId4142" Type="http://schemas.openxmlformats.org/officeDocument/2006/relationships/hyperlink" Target="https://twitter.com/mhiggins2000" TargetMode="External"/><Relationship Id="rId5476" Type="http://schemas.openxmlformats.org/officeDocument/2006/relationships/hyperlink" Target="https://pbs.twimg.com/profile_images/3545107022/4094e0dc76ec203ac1aba9bd525a1088_normal.jpeg" TargetMode="External"/><Relationship Id="rId4145" Type="http://schemas.openxmlformats.org/officeDocument/2006/relationships/hyperlink" Target="https://twitter.com/apreshill" TargetMode="External"/><Relationship Id="rId5473" Type="http://schemas.openxmlformats.org/officeDocument/2006/relationships/hyperlink" Target="https://pbs.twimg.com/profile_images/378800000326851690/31a53679fad3e2366222d213ad196573_normal.jpeg" TargetMode="External"/><Relationship Id="rId4144" Type="http://schemas.openxmlformats.org/officeDocument/2006/relationships/hyperlink" Target="https://pbs.twimg.com/profile_images/536482954516520960/4dqsb-SO_normal.jpeg" TargetMode="External"/><Relationship Id="rId5474" Type="http://schemas.openxmlformats.org/officeDocument/2006/relationships/hyperlink" Target="https://twitter.com/AngeloLainoT" TargetMode="External"/><Relationship Id="rId4147" Type="http://schemas.openxmlformats.org/officeDocument/2006/relationships/hyperlink" Target="https://pbs.twimg.com/profile_images/592435442835820544/S63GD5Rd_normal.jpg" TargetMode="External"/><Relationship Id="rId5479" Type="http://schemas.openxmlformats.org/officeDocument/2006/relationships/hyperlink" Target="https://pbs.twimg.com/profile_images/680358708342317056/DfS58NTM_normal.jpg" TargetMode="External"/><Relationship Id="rId4146" Type="http://schemas.openxmlformats.org/officeDocument/2006/relationships/hyperlink" Target="https://twitter.com/apreshill/status/702304373947236352" TargetMode="External"/><Relationship Id="rId4149" Type="http://schemas.openxmlformats.org/officeDocument/2006/relationships/hyperlink" Target="https://twitter.com/tripartio/status/702304380175802369" TargetMode="External"/><Relationship Id="rId5477" Type="http://schemas.openxmlformats.org/officeDocument/2006/relationships/hyperlink" Target="https://twitter.com/Daniele813" TargetMode="External"/><Relationship Id="rId4148" Type="http://schemas.openxmlformats.org/officeDocument/2006/relationships/hyperlink" Target="https://twitter.com/tripartio" TargetMode="External"/><Relationship Id="rId5478" Type="http://schemas.openxmlformats.org/officeDocument/2006/relationships/hyperlink" Target="https://twitter.com/Daniele813/status/702592541900808192" TargetMode="External"/><Relationship Id="rId4139" Type="http://schemas.openxmlformats.org/officeDocument/2006/relationships/hyperlink" Target="https://twitter.com/ShainaRace" TargetMode="External"/><Relationship Id="rId5460" Type="http://schemas.openxmlformats.org/officeDocument/2006/relationships/hyperlink" Target="https://twitter.com/fgsole/status/702590425211789312" TargetMode="External"/><Relationship Id="rId6791" Type="http://schemas.openxmlformats.org/officeDocument/2006/relationships/hyperlink" Target="https://twitter.com/Rbloggers" TargetMode="External"/><Relationship Id="rId5461" Type="http://schemas.openxmlformats.org/officeDocument/2006/relationships/hyperlink" Target="https://pbs.twimg.com/profile_images/580305931935813632/00ahCf1e_normal.jpg" TargetMode="External"/><Relationship Id="rId6792" Type="http://schemas.openxmlformats.org/officeDocument/2006/relationships/hyperlink" Target="https://twitter.com/Rbloggers/status/702878323085455360" TargetMode="External"/><Relationship Id="rId4130" Type="http://schemas.openxmlformats.org/officeDocument/2006/relationships/hyperlink" Target="https://twitter.com/timelyportfolio" TargetMode="External"/><Relationship Id="rId6790" Type="http://schemas.openxmlformats.org/officeDocument/2006/relationships/hyperlink" Target="https://pbs.twimg.com/profile_images/690523114342633472/RV8KSlcf_normal.jpg" TargetMode="External"/><Relationship Id="rId4132" Type="http://schemas.openxmlformats.org/officeDocument/2006/relationships/hyperlink" Target="https://pbs.twimg.com/profile_images/2198946077/image_normal.jpg" TargetMode="External"/><Relationship Id="rId5464" Type="http://schemas.openxmlformats.org/officeDocument/2006/relationships/hyperlink" Target="https://pbs.twimg.com/profile_images/378800000326851690/31a53679fad3e2366222d213ad196573_normal.jpeg" TargetMode="External"/><Relationship Id="rId6795" Type="http://schemas.openxmlformats.org/officeDocument/2006/relationships/hyperlink" Target="https://twitter.com/renato_umeton" TargetMode="External"/><Relationship Id="rId4131" Type="http://schemas.openxmlformats.org/officeDocument/2006/relationships/hyperlink" Target="https://twitter.com/timelyportfolio/status/702301739651883008" TargetMode="External"/><Relationship Id="rId5465" Type="http://schemas.openxmlformats.org/officeDocument/2006/relationships/hyperlink" Target="https://twitter.com/lusseau" TargetMode="External"/><Relationship Id="rId6796" Type="http://schemas.openxmlformats.org/officeDocument/2006/relationships/hyperlink" Target="https://twitter.com/renato_umeton/status/702878523011239936" TargetMode="External"/><Relationship Id="rId4134" Type="http://schemas.openxmlformats.org/officeDocument/2006/relationships/hyperlink" Target="https://twitter.com/sennoma/status/702301769800523780" TargetMode="External"/><Relationship Id="rId5462" Type="http://schemas.openxmlformats.org/officeDocument/2006/relationships/hyperlink" Target="https://twitter.com/monkmanmh" TargetMode="External"/><Relationship Id="rId6793" Type="http://schemas.openxmlformats.org/officeDocument/2006/relationships/hyperlink" Target="http://r-bloggers.com" TargetMode="External"/><Relationship Id="rId4133" Type="http://schemas.openxmlformats.org/officeDocument/2006/relationships/hyperlink" Target="https://twitter.com/sennoma" TargetMode="External"/><Relationship Id="rId5463" Type="http://schemas.openxmlformats.org/officeDocument/2006/relationships/hyperlink" Target="https://twitter.com/monkmanmh/status/702591150020923392" TargetMode="External"/><Relationship Id="rId6794" Type="http://schemas.openxmlformats.org/officeDocument/2006/relationships/hyperlink" Target="https://pbs.twimg.com/profile_images/502185985786916864/gkdFh-q7_normal.png" TargetMode="External"/><Relationship Id="rId4136" Type="http://schemas.openxmlformats.org/officeDocument/2006/relationships/hyperlink" Target="https://twitter.com/sennoma" TargetMode="External"/><Relationship Id="rId5468" Type="http://schemas.openxmlformats.org/officeDocument/2006/relationships/hyperlink" Target="https://twitter.com/LeahAWasser" TargetMode="External"/><Relationship Id="rId6799" Type="http://schemas.openxmlformats.org/officeDocument/2006/relationships/hyperlink" Target="https://twitter.com/LovedeepSG/status/702879187640545280" TargetMode="External"/><Relationship Id="rId4135" Type="http://schemas.openxmlformats.org/officeDocument/2006/relationships/hyperlink" Target="https://pbs.twimg.com/profile_images/702910697139613696/G-latKwW_normal.jpg" TargetMode="External"/><Relationship Id="rId5469" Type="http://schemas.openxmlformats.org/officeDocument/2006/relationships/hyperlink" Target="https://twitter.com/LeahAWasser/status/702591404824993797" TargetMode="External"/><Relationship Id="rId4138" Type="http://schemas.openxmlformats.org/officeDocument/2006/relationships/hyperlink" Target="https://pbs.twimg.com/profile_images/702910697139613696/G-latKwW_normal.jpg" TargetMode="External"/><Relationship Id="rId5466" Type="http://schemas.openxmlformats.org/officeDocument/2006/relationships/hyperlink" Target="https://twitter.com/lusseau/status/702591315113086976" TargetMode="External"/><Relationship Id="rId6797" Type="http://schemas.openxmlformats.org/officeDocument/2006/relationships/hyperlink" Target="https://pbs.twimg.com/profile_images/701553083537604608/nr8b38eG_normal.jpg" TargetMode="External"/><Relationship Id="rId4137" Type="http://schemas.openxmlformats.org/officeDocument/2006/relationships/hyperlink" Target="https://twitter.com/sennoma/status/702301789475966981" TargetMode="External"/><Relationship Id="rId5467" Type="http://schemas.openxmlformats.org/officeDocument/2006/relationships/hyperlink" Target="https://pbs.twimg.com/profile_images/664219874890260481/dDsqBkIB_normal.png" TargetMode="External"/><Relationship Id="rId6798" Type="http://schemas.openxmlformats.org/officeDocument/2006/relationships/hyperlink" Target="https://twitter.com/LovedeepSG" TargetMode="External"/><Relationship Id="rId1972" Type="http://schemas.openxmlformats.org/officeDocument/2006/relationships/hyperlink" Target="https://pbs.twimg.com/profile_images/532798437897412608/flHdPUCx_normal.png" TargetMode="External"/><Relationship Id="rId1973" Type="http://schemas.openxmlformats.org/officeDocument/2006/relationships/hyperlink" Target="https://twitter.com/nishantsbi" TargetMode="External"/><Relationship Id="rId1974" Type="http://schemas.openxmlformats.org/officeDocument/2006/relationships/hyperlink" Target="https://twitter.com/nishantsbi/status/701823971545579520" TargetMode="External"/><Relationship Id="rId1975" Type="http://schemas.openxmlformats.org/officeDocument/2006/relationships/hyperlink" Target="https://pbs.twimg.com/profile_images/525885796109139968/FiOo7RSZ_normal.jpeg" TargetMode="External"/><Relationship Id="rId1976" Type="http://schemas.openxmlformats.org/officeDocument/2006/relationships/hyperlink" Target="https://twitter.com/algaebarnacle" TargetMode="External"/><Relationship Id="rId1977" Type="http://schemas.openxmlformats.org/officeDocument/2006/relationships/hyperlink" Target="https://twitter.com/algaebarnacle/status/701824222344007685" TargetMode="External"/><Relationship Id="rId1978" Type="http://schemas.openxmlformats.org/officeDocument/2006/relationships/hyperlink" Target="https://pbs.twimg.com/profile_images/661300124870545408/hRw_N9Wk_normal.jpg" TargetMode="External"/><Relationship Id="rId1979" Type="http://schemas.openxmlformats.org/officeDocument/2006/relationships/hyperlink" Target="https://twitter.com/antbarros" TargetMode="External"/><Relationship Id="rId1970" Type="http://schemas.openxmlformats.org/officeDocument/2006/relationships/hyperlink" Target="https://twitter.com/DataAnalyticss" TargetMode="External"/><Relationship Id="rId1971" Type="http://schemas.openxmlformats.org/officeDocument/2006/relationships/hyperlink" Target="https://twitter.com/DataAnalyticss/status/701823413111930881" TargetMode="External"/><Relationship Id="rId1961" Type="http://schemas.openxmlformats.org/officeDocument/2006/relationships/hyperlink" Target="https://twitter.com/earlconf" TargetMode="External"/><Relationship Id="rId1962" Type="http://schemas.openxmlformats.org/officeDocument/2006/relationships/hyperlink" Target="https://twitter.com/earlconf/status/701822547592093696" TargetMode="External"/><Relationship Id="rId1963" Type="http://schemas.openxmlformats.org/officeDocument/2006/relationships/hyperlink" Target="https://pbs.twimg.com/profile_images/432298122203512833/YDXfWlI__normal.png" TargetMode="External"/><Relationship Id="rId1964" Type="http://schemas.openxmlformats.org/officeDocument/2006/relationships/hyperlink" Target="https://twitter.com/earlconf" TargetMode="External"/><Relationship Id="rId1965" Type="http://schemas.openxmlformats.org/officeDocument/2006/relationships/hyperlink" Target="https://twitter.com/earlconf/status/701822597852491776" TargetMode="External"/><Relationship Id="rId1966" Type="http://schemas.openxmlformats.org/officeDocument/2006/relationships/hyperlink" Target="https://pbs.twimg.com/profile_images/432298122203512833/YDXfWlI__normal.png" TargetMode="External"/><Relationship Id="rId1967" Type="http://schemas.openxmlformats.org/officeDocument/2006/relationships/hyperlink" Target="https://twitter.com/sharlagelfand" TargetMode="External"/><Relationship Id="rId1968" Type="http://schemas.openxmlformats.org/officeDocument/2006/relationships/hyperlink" Target="https://twitter.com/sharlagelfand/status/701823131644637184" TargetMode="External"/><Relationship Id="rId1969" Type="http://schemas.openxmlformats.org/officeDocument/2006/relationships/hyperlink" Target="https://pbs.twimg.com/profile_images/700150340843237376/YCSXvjF6_normal.jpg" TargetMode="External"/><Relationship Id="rId1960" Type="http://schemas.openxmlformats.org/officeDocument/2006/relationships/hyperlink" Target="https://pbs.twimg.com/profile_images/583286350151098368/5H4-zEen_normal.jpg" TargetMode="External"/><Relationship Id="rId1994" Type="http://schemas.openxmlformats.org/officeDocument/2006/relationships/hyperlink" Target="https://twitter.com/YorkUScientists" TargetMode="External"/><Relationship Id="rId1995" Type="http://schemas.openxmlformats.org/officeDocument/2006/relationships/hyperlink" Target="https://twitter.com/YorkUScientists/status/701824841205288960" TargetMode="External"/><Relationship Id="rId1996" Type="http://schemas.openxmlformats.org/officeDocument/2006/relationships/hyperlink" Target="https://pbs.twimg.com/profile_images/701787680850337792/3ntUzwll_normal.png" TargetMode="External"/><Relationship Id="rId1997" Type="http://schemas.openxmlformats.org/officeDocument/2006/relationships/hyperlink" Target="https://twitter.com/ippalarajesh" TargetMode="External"/><Relationship Id="rId1998" Type="http://schemas.openxmlformats.org/officeDocument/2006/relationships/hyperlink" Target="https://twitter.com/ippalarajesh/status/701825093886877696" TargetMode="External"/><Relationship Id="rId1999" Type="http://schemas.openxmlformats.org/officeDocument/2006/relationships/hyperlink" Target="https://pbs.twimg.com/profile_images/636008402179657728/yTE3KJG3_normal.jpg" TargetMode="External"/><Relationship Id="rId1990" Type="http://schemas.openxmlformats.org/officeDocument/2006/relationships/hyperlink" Target="https://pbs.twimg.com/profile_images/1820871682/image_normal.jpg" TargetMode="External"/><Relationship Id="rId1991" Type="http://schemas.openxmlformats.org/officeDocument/2006/relationships/hyperlink" Target="https://twitter.com/minisciencegirl" TargetMode="External"/><Relationship Id="rId1992" Type="http://schemas.openxmlformats.org/officeDocument/2006/relationships/hyperlink" Target="https://twitter.com/minisciencegirl/status/701824690063482880" TargetMode="External"/><Relationship Id="rId1993" Type="http://schemas.openxmlformats.org/officeDocument/2006/relationships/hyperlink" Target="https://pbs.twimg.com/profile_images/1174331944/IMG_7717_normal.jpg" TargetMode="External"/><Relationship Id="rId1983" Type="http://schemas.openxmlformats.org/officeDocument/2006/relationships/hyperlink" Target="https://twitter.com/rakanakar_rakan/status/701824393664716800" TargetMode="External"/><Relationship Id="rId1984" Type="http://schemas.openxmlformats.org/officeDocument/2006/relationships/hyperlink" Target="https://pbs.twimg.com/profile_images/2825568866/212ce5fed5b88bd00de4b674dec27a8b_normal.jpeg" TargetMode="External"/><Relationship Id="rId1985" Type="http://schemas.openxmlformats.org/officeDocument/2006/relationships/hyperlink" Target="https://twitter.com/polesasunder" TargetMode="External"/><Relationship Id="rId1986" Type="http://schemas.openxmlformats.org/officeDocument/2006/relationships/hyperlink" Target="https://twitter.com/polesasunder/status/701824547079659520" TargetMode="External"/><Relationship Id="rId1987" Type="http://schemas.openxmlformats.org/officeDocument/2006/relationships/hyperlink" Target="https://pbs.twimg.com/profile_images/499358811564425216/jiX57F1h_normal.jpeg" TargetMode="External"/><Relationship Id="rId1988" Type="http://schemas.openxmlformats.org/officeDocument/2006/relationships/hyperlink" Target="https://twitter.com/billdoesphysics" TargetMode="External"/><Relationship Id="rId1989" Type="http://schemas.openxmlformats.org/officeDocument/2006/relationships/hyperlink" Target="https://twitter.com/billdoesphysics/status/701824667460329472" TargetMode="External"/><Relationship Id="rId1980" Type="http://schemas.openxmlformats.org/officeDocument/2006/relationships/hyperlink" Target="https://twitter.com/antbarros/status/701824253797208064" TargetMode="External"/><Relationship Id="rId1981" Type="http://schemas.openxmlformats.org/officeDocument/2006/relationships/hyperlink" Target="https://pbs.twimg.com/profile_images/3212894266/18133d38ffd7c042588b27ea15b3cd16_normal.jpeg" TargetMode="External"/><Relationship Id="rId1982" Type="http://schemas.openxmlformats.org/officeDocument/2006/relationships/hyperlink" Target="https://twitter.com/rakanakar_rakan" TargetMode="External"/><Relationship Id="rId1930" Type="http://schemas.openxmlformats.org/officeDocument/2006/relationships/hyperlink" Target="https://twitter.com/flexiodata" TargetMode="External"/><Relationship Id="rId1931" Type="http://schemas.openxmlformats.org/officeDocument/2006/relationships/hyperlink" Target="http://Flex.io" TargetMode="External"/><Relationship Id="rId1932" Type="http://schemas.openxmlformats.org/officeDocument/2006/relationships/hyperlink" Target="https://twitter.com/flexiodata/status/701815782049767428" TargetMode="External"/><Relationship Id="rId1933" Type="http://schemas.openxmlformats.org/officeDocument/2006/relationships/hyperlink" Target="https://pbs.twimg.com/profile_images/494612417981067265/EBSDgGf4_normal.png" TargetMode="External"/><Relationship Id="rId1934" Type="http://schemas.openxmlformats.org/officeDocument/2006/relationships/hyperlink" Target="https://twitter.com/inside_R" TargetMode="External"/><Relationship Id="rId1935" Type="http://schemas.openxmlformats.org/officeDocument/2006/relationships/hyperlink" Target="https://twitter.com/inside_R/status/701816482859245569" TargetMode="External"/><Relationship Id="rId1936" Type="http://schemas.openxmlformats.org/officeDocument/2006/relationships/hyperlink" Target="https://pbs.twimg.com/profile_images/862610035/Inside_r_icon_normal.png" TargetMode="External"/><Relationship Id="rId1937" Type="http://schemas.openxmlformats.org/officeDocument/2006/relationships/hyperlink" Target="https://twitter.com/inside_R" TargetMode="External"/><Relationship Id="rId1938" Type="http://schemas.openxmlformats.org/officeDocument/2006/relationships/hyperlink" Target="https://twitter.com/inside_R/status/701816482863435777" TargetMode="External"/><Relationship Id="rId1939" Type="http://schemas.openxmlformats.org/officeDocument/2006/relationships/hyperlink" Target="https://pbs.twimg.com/profile_images/862610035/Inside_r_icon_normal.png" TargetMode="External"/><Relationship Id="rId1920" Type="http://schemas.openxmlformats.org/officeDocument/2006/relationships/hyperlink" Target="https://pbs.twimg.com/profile_images/432298122203512833/YDXfWlI__normal.png" TargetMode="External"/><Relationship Id="rId1921" Type="http://schemas.openxmlformats.org/officeDocument/2006/relationships/hyperlink" Target="https://twitter.com/kihyy" TargetMode="External"/><Relationship Id="rId1922" Type="http://schemas.openxmlformats.org/officeDocument/2006/relationships/hyperlink" Target="https://twitter.com/kihyy/status/701814060304769024" TargetMode="External"/><Relationship Id="rId1923" Type="http://schemas.openxmlformats.org/officeDocument/2006/relationships/hyperlink" Target="https://pbs.twimg.com/profile_images/675714815000580097/qWgkr4rn_normal.png" TargetMode="External"/><Relationship Id="rId1924" Type="http://schemas.openxmlformats.org/officeDocument/2006/relationships/hyperlink" Target="https://twitter.com/JennyBryan" TargetMode="External"/><Relationship Id="rId1925" Type="http://schemas.openxmlformats.org/officeDocument/2006/relationships/hyperlink" Target="https://twitter.com/JennyBryan/status/701815120683380736" TargetMode="External"/><Relationship Id="rId1926" Type="http://schemas.openxmlformats.org/officeDocument/2006/relationships/hyperlink" Target="https://pbs.twimg.com/profile_images/660978605606875137/s3YrJetD_normal.jpg" TargetMode="External"/><Relationship Id="rId1927" Type="http://schemas.openxmlformats.org/officeDocument/2006/relationships/hyperlink" Target="https://twitter.com/RLangTip" TargetMode="External"/><Relationship Id="rId1928" Type="http://schemas.openxmlformats.org/officeDocument/2006/relationships/hyperlink" Target="https://twitter.com/RLangTip/status/701815200631095296" TargetMode="External"/><Relationship Id="rId1929" Type="http://schemas.openxmlformats.org/officeDocument/2006/relationships/hyperlink" Target="https://pbs.twimg.com/profile_images/1344530309/RLangTip_normal.png" TargetMode="External"/><Relationship Id="rId4190" Type="http://schemas.openxmlformats.org/officeDocument/2006/relationships/hyperlink" Target="https://twitter.com/groundwalkergmb" TargetMode="External"/><Relationship Id="rId4192" Type="http://schemas.openxmlformats.org/officeDocument/2006/relationships/hyperlink" Target="https://pbs.twimg.com/profile_images/496656702247145473/HTpRj6vo_normal.jpeg" TargetMode="External"/><Relationship Id="rId4191" Type="http://schemas.openxmlformats.org/officeDocument/2006/relationships/hyperlink" Target="https://twitter.com/groundwalkergmb/status/702310805451046912" TargetMode="External"/><Relationship Id="rId4194" Type="http://schemas.openxmlformats.org/officeDocument/2006/relationships/hyperlink" Target="https://twitter.com/pofigster/status/702311693297307648" TargetMode="External"/><Relationship Id="rId4193" Type="http://schemas.openxmlformats.org/officeDocument/2006/relationships/hyperlink" Target="https://twitter.com/pofigster" TargetMode="External"/><Relationship Id="rId4196" Type="http://schemas.openxmlformats.org/officeDocument/2006/relationships/hyperlink" Target="https://twitter.com/stat110" TargetMode="External"/><Relationship Id="rId4195" Type="http://schemas.openxmlformats.org/officeDocument/2006/relationships/hyperlink" Target="https://pbs.twimg.com/profile_images/458761760606937089/7VmynyT5_normal.jpeg" TargetMode="External"/><Relationship Id="rId4198" Type="http://schemas.openxmlformats.org/officeDocument/2006/relationships/hyperlink" Target="https://pbs.twimg.com/profile_images/1360113908/Stat110Picture_normal.jpg" TargetMode="External"/><Relationship Id="rId4197" Type="http://schemas.openxmlformats.org/officeDocument/2006/relationships/hyperlink" Target="https://twitter.com/stat110/status/702312328910540800" TargetMode="External"/><Relationship Id="rId4199" Type="http://schemas.openxmlformats.org/officeDocument/2006/relationships/hyperlink" Target="https://twitter.com/sherman_dani" TargetMode="External"/><Relationship Id="rId1950" Type="http://schemas.openxmlformats.org/officeDocument/2006/relationships/hyperlink" Target="https://twitter.com/rickwargo/status/701820705470451713" TargetMode="External"/><Relationship Id="rId1951" Type="http://schemas.openxmlformats.org/officeDocument/2006/relationships/hyperlink" Target="https://pbs.twimg.com/profile_images/73107713/headshot_normal.png" TargetMode="External"/><Relationship Id="rId1952" Type="http://schemas.openxmlformats.org/officeDocument/2006/relationships/hyperlink" Target="https://twitter.com/earlconf" TargetMode="External"/><Relationship Id="rId1953" Type="http://schemas.openxmlformats.org/officeDocument/2006/relationships/hyperlink" Target="https://twitter.com/earlconf/status/701822096217923584" TargetMode="External"/><Relationship Id="rId1954" Type="http://schemas.openxmlformats.org/officeDocument/2006/relationships/hyperlink" Target="https://pbs.twimg.com/profile_images/432298122203512833/YDXfWlI__normal.png" TargetMode="External"/><Relationship Id="rId1955" Type="http://schemas.openxmlformats.org/officeDocument/2006/relationships/hyperlink" Target="https://twitter.com/pssGuy" TargetMode="External"/><Relationship Id="rId1956" Type="http://schemas.openxmlformats.org/officeDocument/2006/relationships/hyperlink" Target="https://twitter.com/pssGuy/status/701822307983978496" TargetMode="External"/><Relationship Id="rId1957" Type="http://schemas.openxmlformats.org/officeDocument/2006/relationships/hyperlink" Target="https://pbs.twimg.com/profile_images/1138368380/P1010066small_normal.jpg" TargetMode="External"/><Relationship Id="rId1958" Type="http://schemas.openxmlformats.org/officeDocument/2006/relationships/hyperlink" Target="https://twitter.com/mgwhitfield" TargetMode="External"/><Relationship Id="rId1959" Type="http://schemas.openxmlformats.org/officeDocument/2006/relationships/hyperlink" Target="https://twitter.com/mgwhitfield/status/701822490625122307" TargetMode="External"/><Relationship Id="rId1940" Type="http://schemas.openxmlformats.org/officeDocument/2006/relationships/hyperlink" Target="https://twitter.com/tangming2005" TargetMode="External"/><Relationship Id="rId1941" Type="http://schemas.openxmlformats.org/officeDocument/2006/relationships/hyperlink" Target="https://twitter.com/tangming2005/status/701817984872886272" TargetMode="External"/><Relationship Id="rId1942" Type="http://schemas.openxmlformats.org/officeDocument/2006/relationships/hyperlink" Target="https://pbs.twimg.com/profile_images/442060405225967617/jOtd1ueH_normal.jpeg" TargetMode="External"/><Relationship Id="rId1943" Type="http://schemas.openxmlformats.org/officeDocument/2006/relationships/hyperlink" Target="https://twitter.com/iTweetSarah" TargetMode="External"/><Relationship Id="rId1944" Type="http://schemas.openxmlformats.org/officeDocument/2006/relationships/hyperlink" Target="https://twitter.com/iTweetSarah/status/701818742909440000" TargetMode="External"/><Relationship Id="rId1945" Type="http://schemas.openxmlformats.org/officeDocument/2006/relationships/hyperlink" Target="https://pbs.twimg.com/profile_images/3628020955/5bed057249c884ae2f28e089c3fa5bd0_normal.jpeg" TargetMode="External"/><Relationship Id="rId1946" Type="http://schemas.openxmlformats.org/officeDocument/2006/relationships/hyperlink" Target="https://twitter.com/kwbroman" TargetMode="External"/><Relationship Id="rId1947" Type="http://schemas.openxmlformats.org/officeDocument/2006/relationships/hyperlink" Target="https://twitter.com/kwbroman/status/701819763572535296" TargetMode="External"/><Relationship Id="rId1948" Type="http://schemas.openxmlformats.org/officeDocument/2006/relationships/hyperlink" Target="https://pbs.twimg.com/profile_images/680796333460959232/CzoFZb76_normal.jpg" TargetMode="External"/><Relationship Id="rId1949" Type="http://schemas.openxmlformats.org/officeDocument/2006/relationships/hyperlink" Target="https://twitter.com/rickwargo" TargetMode="External"/><Relationship Id="rId509" Type="http://schemas.openxmlformats.org/officeDocument/2006/relationships/hyperlink" Target="https://twitter.com/data_made_easy" TargetMode="External"/><Relationship Id="rId508" Type="http://schemas.openxmlformats.org/officeDocument/2006/relationships/hyperlink" Target="https://pbs.twimg.com/profile_images/378800000486159808/6c9dde8644d6d07e6a0616b5116b94eb_normal.jpeg" TargetMode="External"/><Relationship Id="rId9061" Type="http://schemas.openxmlformats.org/officeDocument/2006/relationships/hyperlink" Target="https://twitter.com/semevadlalengua/status/703245599424942080" TargetMode="External"/><Relationship Id="rId9060" Type="http://schemas.openxmlformats.org/officeDocument/2006/relationships/hyperlink" Target="https://twitter.com/semevadlalengua" TargetMode="External"/><Relationship Id="rId503" Type="http://schemas.openxmlformats.org/officeDocument/2006/relationships/hyperlink" Target="https://twitter.com/codepedia_info" TargetMode="External"/><Relationship Id="rId9054" Type="http://schemas.openxmlformats.org/officeDocument/2006/relationships/hyperlink" Target="https://twitter.com/bigboardsio" TargetMode="External"/><Relationship Id="rId502" Type="http://schemas.openxmlformats.org/officeDocument/2006/relationships/hyperlink" Target="https://pbs.twimg.com/profile_images/690624026616553472/Jrtvx19B_normal.jpg" TargetMode="External"/><Relationship Id="rId9053" Type="http://schemas.openxmlformats.org/officeDocument/2006/relationships/hyperlink" Target="https://pbs.twimg.com/profile_images/998577429/FC19800101_015120_normal.jpg" TargetMode="External"/><Relationship Id="rId501" Type="http://schemas.openxmlformats.org/officeDocument/2006/relationships/hyperlink" Target="https://twitter.com/ashwinswarup/status/701476066502828034" TargetMode="External"/><Relationship Id="rId9052" Type="http://schemas.openxmlformats.org/officeDocument/2006/relationships/hyperlink" Target="https://twitter.com/swainjo/status/703245325566414848" TargetMode="External"/><Relationship Id="rId500" Type="http://schemas.openxmlformats.org/officeDocument/2006/relationships/hyperlink" Target="https://twitter.com/ashwinswarup" TargetMode="External"/><Relationship Id="rId9051" Type="http://schemas.openxmlformats.org/officeDocument/2006/relationships/hyperlink" Target="https://twitter.com/swainjo" TargetMode="External"/><Relationship Id="rId507" Type="http://schemas.openxmlformats.org/officeDocument/2006/relationships/hyperlink" Target="https://twitter.com/jackwmson/status/701476892084477952" TargetMode="External"/><Relationship Id="rId9058" Type="http://schemas.openxmlformats.org/officeDocument/2006/relationships/hyperlink" Target="https://twitter.com/VerbingNouns/status/703245516973289473" TargetMode="External"/><Relationship Id="rId506" Type="http://schemas.openxmlformats.org/officeDocument/2006/relationships/hyperlink" Target="https://twitter.com/jackwmson" TargetMode="External"/><Relationship Id="rId9057" Type="http://schemas.openxmlformats.org/officeDocument/2006/relationships/hyperlink" Target="https://twitter.com/VerbingNouns" TargetMode="External"/><Relationship Id="rId505" Type="http://schemas.openxmlformats.org/officeDocument/2006/relationships/hyperlink" Target="https://pbs.twimg.com/profile_images/655054050832969728/3mJGHxhS_normal.jpg" TargetMode="External"/><Relationship Id="rId9056" Type="http://schemas.openxmlformats.org/officeDocument/2006/relationships/hyperlink" Target="https://pbs.twimg.com/profile_images/489375332743409664/P4sYDY1__normal.png" TargetMode="External"/><Relationship Id="rId504" Type="http://schemas.openxmlformats.org/officeDocument/2006/relationships/hyperlink" Target="https://twitter.com/codepedia_info/status/701476612479578112" TargetMode="External"/><Relationship Id="rId9055" Type="http://schemas.openxmlformats.org/officeDocument/2006/relationships/hyperlink" Target="https://twitter.com/bigboardsio/status/703245328296878080" TargetMode="External"/><Relationship Id="rId9059" Type="http://schemas.openxmlformats.org/officeDocument/2006/relationships/hyperlink" Target="https://pbs.twimg.com/profile_images/685552795554992128/p9vix-G3_normal.jpg" TargetMode="External"/><Relationship Id="rId9050" Type="http://schemas.openxmlformats.org/officeDocument/2006/relationships/hyperlink" Target="https://pbs.twimg.com/profile_images/378800000859434127/2hj0SxQo_normal.jpeg" TargetMode="External"/><Relationship Id="rId9043" Type="http://schemas.openxmlformats.org/officeDocument/2006/relationships/hyperlink" Target="https://twitter.com/pacoramon/status/703244664325988354" TargetMode="External"/><Relationship Id="rId9042" Type="http://schemas.openxmlformats.org/officeDocument/2006/relationships/hyperlink" Target="https://twitter.com/pacoramon" TargetMode="External"/><Relationship Id="rId9041" Type="http://schemas.openxmlformats.org/officeDocument/2006/relationships/hyperlink" Target="https://pbs.twimg.com/profile_images/532547720490127360/I8h1WpVf_normal.jpeg" TargetMode="External"/><Relationship Id="rId9040" Type="http://schemas.openxmlformats.org/officeDocument/2006/relationships/hyperlink" Target="https://twitter.com/ax15k/status/703244404631465984" TargetMode="External"/><Relationship Id="rId9047" Type="http://schemas.openxmlformats.org/officeDocument/2006/relationships/hyperlink" Target="https://pbs.twimg.com/profile_images/674700358166388736/pWBofWfu_normal.jpg" TargetMode="External"/><Relationship Id="rId9046" Type="http://schemas.openxmlformats.org/officeDocument/2006/relationships/hyperlink" Target="https://twitter.com/eFe_Gil/status/703245184239325184" TargetMode="External"/><Relationship Id="rId9045" Type="http://schemas.openxmlformats.org/officeDocument/2006/relationships/hyperlink" Target="https://twitter.com/eFe_Gil" TargetMode="External"/><Relationship Id="rId9044" Type="http://schemas.openxmlformats.org/officeDocument/2006/relationships/hyperlink" Target="https://pbs.twimg.com/profile_images/378800000859434127/2hj0SxQo_normal.jpeg" TargetMode="External"/><Relationship Id="rId9049" Type="http://schemas.openxmlformats.org/officeDocument/2006/relationships/hyperlink" Target="https://twitter.com/pacoramon/status/703245238559776770" TargetMode="External"/><Relationship Id="rId9048" Type="http://schemas.openxmlformats.org/officeDocument/2006/relationships/hyperlink" Target="https://twitter.com/pacoramon" TargetMode="External"/><Relationship Id="rId6803" Type="http://schemas.openxmlformats.org/officeDocument/2006/relationships/hyperlink" Target="https://pbs.twimg.com/profile_images/2804660822/49b0136cb3e64480fd5a80a2b41da086_normal.jpeg" TargetMode="External"/><Relationship Id="rId6804" Type="http://schemas.openxmlformats.org/officeDocument/2006/relationships/hyperlink" Target="https://twitter.com/Pvalsfr" TargetMode="External"/><Relationship Id="rId6801" Type="http://schemas.openxmlformats.org/officeDocument/2006/relationships/hyperlink" Target="https://twitter.com/paulpeton" TargetMode="External"/><Relationship Id="rId6802" Type="http://schemas.openxmlformats.org/officeDocument/2006/relationships/hyperlink" Target="https://twitter.com/paulpeton/status/702879319492829185" TargetMode="External"/><Relationship Id="rId6807" Type="http://schemas.openxmlformats.org/officeDocument/2006/relationships/hyperlink" Target="https://twitter.com/big_data_flow" TargetMode="External"/><Relationship Id="rId6808" Type="http://schemas.openxmlformats.org/officeDocument/2006/relationships/hyperlink" Target="https://twitter.com/big_data_flow/status/702882007643267072" TargetMode="External"/><Relationship Id="rId6805" Type="http://schemas.openxmlformats.org/officeDocument/2006/relationships/hyperlink" Target="https://twitter.com/Pvalsfr/status/702881342242103296" TargetMode="External"/><Relationship Id="rId6806" Type="http://schemas.openxmlformats.org/officeDocument/2006/relationships/hyperlink" Target="https://abs.twimg.com/sticky/default_profile_images/default_profile_4_normal.png" TargetMode="External"/><Relationship Id="rId6809" Type="http://schemas.openxmlformats.org/officeDocument/2006/relationships/hyperlink" Target="https://pbs.twimg.com/profile_images/681034665923317761/G4LHHc1n_normal.jpg" TargetMode="External"/><Relationship Id="rId9083" Type="http://schemas.openxmlformats.org/officeDocument/2006/relationships/hyperlink" Target="https://pbs.twimg.com/profile_images/529482878543867904/H-UGY1d0_normal.png" TargetMode="External"/><Relationship Id="rId9082" Type="http://schemas.openxmlformats.org/officeDocument/2006/relationships/hyperlink" Target="https://twitter.com/tripartio/status/703247125644230656" TargetMode="External"/><Relationship Id="rId9081" Type="http://schemas.openxmlformats.org/officeDocument/2006/relationships/hyperlink" Target="https://twitter.com/tripartio" TargetMode="External"/><Relationship Id="rId9080" Type="http://schemas.openxmlformats.org/officeDocument/2006/relationships/hyperlink" Target="https://abs.twimg.com/sticky/default_profile_images/default_profile_2_normal.png" TargetMode="External"/><Relationship Id="rId525" Type="http://schemas.openxmlformats.org/officeDocument/2006/relationships/hyperlink" Target="https://twitter.com/lwjohnst/status/701478837943717888" TargetMode="External"/><Relationship Id="rId9076" Type="http://schemas.openxmlformats.org/officeDocument/2006/relationships/hyperlink" Target="https://twitter.com/jrdnmdhl/status/703246202746355712" TargetMode="External"/><Relationship Id="rId524" Type="http://schemas.openxmlformats.org/officeDocument/2006/relationships/hyperlink" Target="https://twitter.com/lwjohnst" TargetMode="External"/><Relationship Id="rId9075" Type="http://schemas.openxmlformats.org/officeDocument/2006/relationships/hyperlink" Target="https://twitter.com/jrdnmdhl" TargetMode="External"/><Relationship Id="rId523" Type="http://schemas.openxmlformats.org/officeDocument/2006/relationships/hyperlink" Target="https://pbs.twimg.com/profile_images/687897729436004352/v4dQgl74_normal.jpg" TargetMode="External"/><Relationship Id="rId9074" Type="http://schemas.openxmlformats.org/officeDocument/2006/relationships/hyperlink" Target="https://pbs.twimg.com/profile_images/1082018577/szeiger_normal.jpg" TargetMode="External"/><Relationship Id="rId522" Type="http://schemas.openxmlformats.org/officeDocument/2006/relationships/hyperlink" Target="https://twitter.com/DataScience_Ank/status/701478317912956928" TargetMode="External"/><Relationship Id="rId9073" Type="http://schemas.openxmlformats.org/officeDocument/2006/relationships/hyperlink" Target="https://twitter.com/StefanZeiger/status/703245985699504128" TargetMode="External"/><Relationship Id="rId529" Type="http://schemas.openxmlformats.org/officeDocument/2006/relationships/hyperlink" Target="https://pbs.twimg.com/profile_images/702599433402322947/Rda4kptZ_normal.jpg" TargetMode="External"/><Relationship Id="rId528" Type="http://schemas.openxmlformats.org/officeDocument/2006/relationships/hyperlink" Target="https://twitter.com/thosjleeper/status/701478840082833408" TargetMode="External"/><Relationship Id="rId9079" Type="http://schemas.openxmlformats.org/officeDocument/2006/relationships/hyperlink" Target="https://twitter.com/ErikM727/status/703246397827641344" TargetMode="External"/><Relationship Id="rId527" Type="http://schemas.openxmlformats.org/officeDocument/2006/relationships/hyperlink" Target="https://twitter.com/thosjleeper" TargetMode="External"/><Relationship Id="rId9078" Type="http://schemas.openxmlformats.org/officeDocument/2006/relationships/hyperlink" Target="https://twitter.com/ErikM727" TargetMode="External"/><Relationship Id="rId526" Type="http://schemas.openxmlformats.org/officeDocument/2006/relationships/hyperlink" Target="https://pbs.twimg.com/profile_images/656158193920282624/ziZx2OUQ_normal.jpg" TargetMode="External"/><Relationship Id="rId9077" Type="http://schemas.openxmlformats.org/officeDocument/2006/relationships/hyperlink" Target="https://pbs.twimg.com/profile_images/686829356220608512/Xvuztyrm_normal.jpg" TargetMode="External"/><Relationship Id="rId521" Type="http://schemas.openxmlformats.org/officeDocument/2006/relationships/hyperlink" Target="https://twitter.com/DataScience_Ank" TargetMode="External"/><Relationship Id="rId520" Type="http://schemas.openxmlformats.org/officeDocument/2006/relationships/hyperlink" Target="https://pbs.twimg.com/profile_images/630277871538278400/gEjxWtPD_normal.jpg" TargetMode="External"/><Relationship Id="rId6800" Type="http://schemas.openxmlformats.org/officeDocument/2006/relationships/hyperlink" Target="https://pbs.twimg.com/profile_images/378800000059126288/17d4fa184bbd13c1e64465a3cc234efc_normal.jpeg" TargetMode="External"/><Relationship Id="rId519" Type="http://schemas.openxmlformats.org/officeDocument/2006/relationships/hyperlink" Target="https://twitter.com/datascienceplus/status/701477882770673664" TargetMode="External"/><Relationship Id="rId9072" Type="http://schemas.openxmlformats.org/officeDocument/2006/relationships/hyperlink" Target="https://twitter.com/StefanZeiger" TargetMode="External"/><Relationship Id="rId9071" Type="http://schemas.openxmlformats.org/officeDocument/2006/relationships/hyperlink" Target="https://pbs.twimg.com/profile_images/617153494022275072/5L7JYGII_normal.jpg" TargetMode="External"/><Relationship Id="rId9070" Type="http://schemas.openxmlformats.org/officeDocument/2006/relationships/hyperlink" Target="https://twitter.com/keannka/status/703245809073197056" TargetMode="External"/><Relationship Id="rId514" Type="http://schemas.openxmlformats.org/officeDocument/2006/relationships/hyperlink" Target="https://pbs.twimg.com/profile_images/696588454948270081/2oDpW0OI_normal.png" TargetMode="External"/><Relationship Id="rId9065" Type="http://schemas.openxmlformats.org/officeDocument/2006/relationships/hyperlink" Target="https://pbs.twimg.com/profile_images/646034538691461121/EtcgHvoh_normal.jpg" TargetMode="External"/><Relationship Id="rId513" Type="http://schemas.openxmlformats.org/officeDocument/2006/relationships/hyperlink" Target="https://twitter.com/data_made_easy/status/701477358671261697" TargetMode="External"/><Relationship Id="rId9064" Type="http://schemas.openxmlformats.org/officeDocument/2006/relationships/hyperlink" Target="https://twitter.com/ChCariou/status/703245756405256196" TargetMode="External"/><Relationship Id="rId512" Type="http://schemas.openxmlformats.org/officeDocument/2006/relationships/hyperlink" Target="https://twitter.com/data_made_easy" TargetMode="External"/><Relationship Id="rId9063" Type="http://schemas.openxmlformats.org/officeDocument/2006/relationships/hyperlink" Target="https://twitter.com/ChCariou" TargetMode="External"/><Relationship Id="rId511" Type="http://schemas.openxmlformats.org/officeDocument/2006/relationships/hyperlink" Target="https://pbs.twimg.com/profile_images/696588454948270081/2oDpW0OI_normal.png" TargetMode="External"/><Relationship Id="rId9062" Type="http://schemas.openxmlformats.org/officeDocument/2006/relationships/hyperlink" Target="https://pbs.twimg.com/profile_images/686255522618732544/taQUosL2_normal.jpg" TargetMode="External"/><Relationship Id="rId518" Type="http://schemas.openxmlformats.org/officeDocument/2006/relationships/hyperlink" Target="https://twitter.com/datascienceplus" TargetMode="External"/><Relationship Id="rId9069" Type="http://schemas.openxmlformats.org/officeDocument/2006/relationships/hyperlink" Target="https://twitter.com/keannka" TargetMode="External"/><Relationship Id="rId517" Type="http://schemas.openxmlformats.org/officeDocument/2006/relationships/hyperlink" Target="https://pbs.twimg.com/profile_images/3545507828/dcea8d605061b7a8d76df1cf0d200d69_normal.jpeg" TargetMode="External"/><Relationship Id="rId9068" Type="http://schemas.openxmlformats.org/officeDocument/2006/relationships/hyperlink" Target="https://abs.twimg.com/sticky/default_profile_images/default_profile_6_normal.png" TargetMode="External"/><Relationship Id="rId516" Type="http://schemas.openxmlformats.org/officeDocument/2006/relationships/hyperlink" Target="https://twitter.com/Sodersoder/status/701477483246387201" TargetMode="External"/><Relationship Id="rId9067" Type="http://schemas.openxmlformats.org/officeDocument/2006/relationships/hyperlink" Target="https://twitter.com/liu_yulun/status/703245790865559552" TargetMode="External"/><Relationship Id="rId515" Type="http://schemas.openxmlformats.org/officeDocument/2006/relationships/hyperlink" Target="https://twitter.com/Sodersoder" TargetMode="External"/><Relationship Id="rId9066" Type="http://schemas.openxmlformats.org/officeDocument/2006/relationships/hyperlink" Target="https://twitter.com/liu_yulun" TargetMode="External"/><Relationship Id="rId510" Type="http://schemas.openxmlformats.org/officeDocument/2006/relationships/hyperlink" Target="https://twitter.com/data_made_easy/status/701477202735423488" TargetMode="External"/><Relationship Id="rId9010" Type="http://schemas.openxmlformats.org/officeDocument/2006/relationships/hyperlink" Target="https://twitter.com/HollyKindsvater/status/703241427732602880" TargetMode="External"/><Relationship Id="rId9014" Type="http://schemas.openxmlformats.org/officeDocument/2006/relationships/hyperlink" Target="https://pbs.twimg.com/profile_images/557592259298729985/kpCUQWH1_normal.png" TargetMode="External"/><Relationship Id="rId9013" Type="http://schemas.openxmlformats.org/officeDocument/2006/relationships/hyperlink" Target="https://twitter.com/hrbrmstr/status/703241546255220736" TargetMode="External"/><Relationship Id="rId9012" Type="http://schemas.openxmlformats.org/officeDocument/2006/relationships/hyperlink" Target="https://twitter.com/hrbrmstr" TargetMode="External"/><Relationship Id="rId9011" Type="http://schemas.openxmlformats.org/officeDocument/2006/relationships/hyperlink" Target="https://pbs.twimg.com/profile_images/503642811820806144/t9Kh3aVj_normal.jpeg" TargetMode="External"/><Relationship Id="rId9018" Type="http://schemas.openxmlformats.org/officeDocument/2006/relationships/hyperlink" Target="https://twitter.com/paulalc76" TargetMode="External"/><Relationship Id="rId9017" Type="http://schemas.openxmlformats.org/officeDocument/2006/relationships/hyperlink" Target="https://pbs.twimg.com/profile_images/630833965298003968/PCyT1dnA_normal.jpg" TargetMode="External"/><Relationship Id="rId9016" Type="http://schemas.openxmlformats.org/officeDocument/2006/relationships/hyperlink" Target="https://twitter.com/astudillo_cesar/status/703242269768478720" TargetMode="External"/><Relationship Id="rId9015" Type="http://schemas.openxmlformats.org/officeDocument/2006/relationships/hyperlink" Target="https://twitter.com/astudillo_cesar" TargetMode="External"/><Relationship Id="rId9019" Type="http://schemas.openxmlformats.org/officeDocument/2006/relationships/hyperlink" Target="https://twitter.com/paulalc76/status/703242630600237056" TargetMode="External"/><Relationship Id="rId9003" Type="http://schemas.openxmlformats.org/officeDocument/2006/relationships/hyperlink" Target="https://twitter.com/MagicalSystems" TargetMode="External"/><Relationship Id="rId9002" Type="http://schemas.openxmlformats.org/officeDocument/2006/relationships/hyperlink" Target="https://pbs.twimg.com/profile_images/1144625930/hanmant_normal.jpg" TargetMode="External"/><Relationship Id="rId9001" Type="http://schemas.openxmlformats.org/officeDocument/2006/relationships/hyperlink" Target="https://twitter.com/pacehrb/status/703240656626458625" TargetMode="External"/><Relationship Id="rId9000" Type="http://schemas.openxmlformats.org/officeDocument/2006/relationships/hyperlink" Target="https://twitter.com/pacehrb" TargetMode="External"/><Relationship Id="rId9007" Type="http://schemas.openxmlformats.org/officeDocument/2006/relationships/hyperlink" Target="https://twitter.com/HollyKindsvater/status/703241347998871552" TargetMode="External"/><Relationship Id="rId9006" Type="http://schemas.openxmlformats.org/officeDocument/2006/relationships/hyperlink" Target="https://twitter.com/HollyKindsvater" TargetMode="External"/><Relationship Id="rId9005" Type="http://schemas.openxmlformats.org/officeDocument/2006/relationships/hyperlink" Target="https://pbs.twimg.com/profile_images/616675341080350720/RmhsWBiD_normal.jpg" TargetMode="External"/><Relationship Id="rId9004" Type="http://schemas.openxmlformats.org/officeDocument/2006/relationships/hyperlink" Target="https://twitter.com/MagicalSystems/status/703240681712648192" TargetMode="External"/><Relationship Id="rId9009" Type="http://schemas.openxmlformats.org/officeDocument/2006/relationships/hyperlink" Target="https://twitter.com/HollyKindsvater" TargetMode="External"/><Relationship Id="rId9008" Type="http://schemas.openxmlformats.org/officeDocument/2006/relationships/hyperlink" Target="https://pbs.twimg.com/profile_images/503642811820806144/t9Kh3aVj_normal.jpeg" TargetMode="External"/><Relationship Id="rId9032" Type="http://schemas.openxmlformats.org/officeDocument/2006/relationships/hyperlink" Target="https://pbs.twimg.com/profile_images/703243921011417091/jicOr_09_normal.jpg" TargetMode="External"/><Relationship Id="rId9031" Type="http://schemas.openxmlformats.org/officeDocument/2006/relationships/hyperlink" Target="https://twitter.com/tjmahr/status/703243593012662272" TargetMode="External"/><Relationship Id="rId9030" Type="http://schemas.openxmlformats.org/officeDocument/2006/relationships/hyperlink" Target="https://twitter.com/tjmahr" TargetMode="External"/><Relationship Id="rId9036" Type="http://schemas.openxmlformats.org/officeDocument/2006/relationships/hyperlink" Target="https://twitter.com/MangoTheCat" TargetMode="External"/><Relationship Id="rId9035" Type="http://schemas.openxmlformats.org/officeDocument/2006/relationships/hyperlink" Target="https://pbs.twimg.com/profile_images/472270801333280768/RQtI0MHH_normal.jpeg" TargetMode="External"/><Relationship Id="rId9034" Type="http://schemas.openxmlformats.org/officeDocument/2006/relationships/hyperlink" Target="https://twitter.com/JeremyNeedle/status/703244120119242753" TargetMode="External"/><Relationship Id="rId9033" Type="http://schemas.openxmlformats.org/officeDocument/2006/relationships/hyperlink" Target="https://twitter.com/JeremyNeedle" TargetMode="External"/><Relationship Id="rId9039" Type="http://schemas.openxmlformats.org/officeDocument/2006/relationships/hyperlink" Target="https://twitter.com/ax15k" TargetMode="External"/><Relationship Id="rId9038" Type="http://schemas.openxmlformats.org/officeDocument/2006/relationships/hyperlink" Target="https://pbs.twimg.com/profile_images/641183991077445633/V7VcBpJI_normal.png" TargetMode="External"/><Relationship Id="rId9037" Type="http://schemas.openxmlformats.org/officeDocument/2006/relationships/hyperlink" Target="https://twitter.com/MangoTheCat/status/703244388441284608" TargetMode="External"/><Relationship Id="rId9021" Type="http://schemas.openxmlformats.org/officeDocument/2006/relationships/hyperlink" Target="https://twitter.com/Emaasit" TargetMode="External"/><Relationship Id="rId9020" Type="http://schemas.openxmlformats.org/officeDocument/2006/relationships/hyperlink" Target="https://pbs.twimg.com/profile_images/592822039918043136/V5Qc6eUy_normal.jpg" TargetMode="External"/><Relationship Id="rId9025" Type="http://schemas.openxmlformats.org/officeDocument/2006/relationships/hyperlink" Target="https://twitter.com/westbrobby/status/703243348551864322" TargetMode="External"/><Relationship Id="rId9024" Type="http://schemas.openxmlformats.org/officeDocument/2006/relationships/hyperlink" Target="https://twitter.com/westbrobby" TargetMode="External"/><Relationship Id="rId9023" Type="http://schemas.openxmlformats.org/officeDocument/2006/relationships/hyperlink" Target="https://pbs.twimg.com/profile_images/567588045927354370/NN8xp_M5_normal.jpeg" TargetMode="External"/><Relationship Id="rId9022" Type="http://schemas.openxmlformats.org/officeDocument/2006/relationships/hyperlink" Target="https://twitter.com/Emaasit/status/703243115973337089" TargetMode="External"/><Relationship Id="rId9029" Type="http://schemas.openxmlformats.org/officeDocument/2006/relationships/hyperlink" Target="https://pbs.twimg.com/profile_images/567588045927354370/NN8xp_M5_normal.jpeg" TargetMode="External"/><Relationship Id="rId9028" Type="http://schemas.openxmlformats.org/officeDocument/2006/relationships/hyperlink" Target="https://twitter.com/Emaasit/status/703243520300027904" TargetMode="External"/><Relationship Id="rId9027" Type="http://schemas.openxmlformats.org/officeDocument/2006/relationships/hyperlink" Target="https://twitter.com/Emaasit" TargetMode="External"/><Relationship Id="rId9026" Type="http://schemas.openxmlformats.org/officeDocument/2006/relationships/hyperlink" Target="https://pbs.twimg.com/profile_images/494183080949579776/ErmJ49WR_normal.jpeg" TargetMode="External"/><Relationship Id="rId4206" Type="http://schemas.openxmlformats.org/officeDocument/2006/relationships/hyperlink" Target="https://twitter.com/mcmc_stan/status/702313849328963586" TargetMode="External"/><Relationship Id="rId5538" Type="http://schemas.openxmlformats.org/officeDocument/2006/relationships/hyperlink" Target="https://twitter.com/Rbloggers" TargetMode="External"/><Relationship Id="rId6869" Type="http://schemas.openxmlformats.org/officeDocument/2006/relationships/hyperlink" Target="https://twitter.com/felixhaass/status/702892114032644098" TargetMode="External"/><Relationship Id="rId4205" Type="http://schemas.openxmlformats.org/officeDocument/2006/relationships/hyperlink" Target="https://twitter.com/mcmc_stan" TargetMode="External"/><Relationship Id="rId5539" Type="http://schemas.openxmlformats.org/officeDocument/2006/relationships/hyperlink" Target="https://twitter.com/Rbloggers/status/702596505220182016" TargetMode="External"/><Relationship Id="rId4208" Type="http://schemas.openxmlformats.org/officeDocument/2006/relationships/hyperlink" Target="https://twitter.com/emjonaitis" TargetMode="External"/><Relationship Id="rId5536" Type="http://schemas.openxmlformats.org/officeDocument/2006/relationships/hyperlink" Target="http://r-bloggers.com" TargetMode="External"/><Relationship Id="rId6867" Type="http://schemas.openxmlformats.org/officeDocument/2006/relationships/hyperlink" Target="https://pbs.twimg.com/profile_images/678987422475018240/zOKqetJt_normal.jpg" TargetMode="External"/><Relationship Id="rId4207" Type="http://schemas.openxmlformats.org/officeDocument/2006/relationships/hyperlink" Target="https://pbs.twimg.com/profile_images/624211847126781952/xhy-Awix_normal.png" TargetMode="External"/><Relationship Id="rId5537" Type="http://schemas.openxmlformats.org/officeDocument/2006/relationships/hyperlink" Target="https://pbs.twimg.com/profile_images/502185985786916864/gkdFh-q7_normal.png" TargetMode="External"/><Relationship Id="rId6868" Type="http://schemas.openxmlformats.org/officeDocument/2006/relationships/hyperlink" Target="https://twitter.com/felixhaass" TargetMode="External"/><Relationship Id="rId590" Type="http://schemas.openxmlformats.org/officeDocument/2006/relationships/hyperlink" Target="https://twitter.com/homeAIinfo" TargetMode="External"/><Relationship Id="rId4209" Type="http://schemas.openxmlformats.org/officeDocument/2006/relationships/hyperlink" Target="https://twitter.com/emjonaitis/status/702315047586963456" TargetMode="External"/><Relationship Id="rId589" Type="http://schemas.openxmlformats.org/officeDocument/2006/relationships/hyperlink" Target="https://pbs.twimg.com/profile_images/641183991077445633/V7VcBpJI_normal.png" TargetMode="External"/><Relationship Id="rId588" Type="http://schemas.openxmlformats.org/officeDocument/2006/relationships/hyperlink" Target="https://twitter.com/MangoTheCat/status/701489571482066945" TargetMode="External"/><Relationship Id="rId583" Type="http://schemas.openxmlformats.org/officeDocument/2006/relationships/hyperlink" Target="https://pbs.twimg.com/profile_images/669441951192760324/zJylEnJ7_normal.jpg" TargetMode="External"/><Relationship Id="rId5530" Type="http://schemas.openxmlformats.org/officeDocument/2006/relationships/hyperlink" Target="https://pbs.twimg.com/profile_images/1138368380/P1010066small_normal.jpg" TargetMode="External"/><Relationship Id="rId6861" Type="http://schemas.openxmlformats.org/officeDocument/2006/relationships/hyperlink" Target="https://pbs.twimg.com/profile_images/378800000846046227/8e68e1ba289ca331ba6b793df913d27d_normal.jpeg" TargetMode="External"/><Relationship Id="rId582" Type="http://schemas.openxmlformats.org/officeDocument/2006/relationships/hyperlink" Target="https://twitter.com/abresler/status/701487787976032259" TargetMode="External"/><Relationship Id="rId5531" Type="http://schemas.openxmlformats.org/officeDocument/2006/relationships/hyperlink" Target="https://twitter.com/emilysdarling" TargetMode="External"/><Relationship Id="rId6862" Type="http://schemas.openxmlformats.org/officeDocument/2006/relationships/hyperlink" Target="https://twitter.com/wrathematics" TargetMode="External"/><Relationship Id="rId581" Type="http://schemas.openxmlformats.org/officeDocument/2006/relationships/hyperlink" Target="https://twitter.com/abresler" TargetMode="External"/><Relationship Id="rId4200" Type="http://schemas.openxmlformats.org/officeDocument/2006/relationships/hyperlink" Target="https://twitter.com/sherman_dani/status/702312906856243200" TargetMode="External"/><Relationship Id="rId580" Type="http://schemas.openxmlformats.org/officeDocument/2006/relationships/hyperlink" Target="https://pbs.twimg.com/profile_images/444127871238303745/jn_oWhU4_normal.jpeg" TargetMode="External"/><Relationship Id="rId6860" Type="http://schemas.openxmlformats.org/officeDocument/2006/relationships/hyperlink" Target="https://twitter.com/dericklungaho/status/702889264330252289" TargetMode="External"/><Relationship Id="rId587" Type="http://schemas.openxmlformats.org/officeDocument/2006/relationships/hyperlink" Target="https://twitter.com/MangoTheCat" TargetMode="External"/><Relationship Id="rId4202" Type="http://schemas.openxmlformats.org/officeDocument/2006/relationships/hyperlink" Target="https://twitter.com/hrbrmstr" TargetMode="External"/><Relationship Id="rId5534" Type="http://schemas.openxmlformats.org/officeDocument/2006/relationships/hyperlink" Target="https://twitter.com/Rbloggers" TargetMode="External"/><Relationship Id="rId6865" Type="http://schemas.openxmlformats.org/officeDocument/2006/relationships/hyperlink" Target="https://twitter.com/DataMinerX" TargetMode="External"/><Relationship Id="rId586" Type="http://schemas.openxmlformats.org/officeDocument/2006/relationships/hyperlink" Target="https://pbs.twimg.com/profile_images/692071858448011264/IWaYjbkb_normal.png" TargetMode="External"/><Relationship Id="rId4201" Type="http://schemas.openxmlformats.org/officeDocument/2006/relationships/hyperlink" Target="https://pbs.twimg.com/profile_images/514755793380335616/MslJNaJS_normal.jpeg" TargetMode="External"/><Relationship Id="rId5535" Type="http://schemas.openxmlformats.org/officeDocument/2006/relationships/hyperlink" Target="https://twitter.com/Rbloggers/status/702596463470051328" TargetMode="External"/><Relationship Id="rId6866" Type="http://schemas.openxmlformats.org/officeDocument/2006/relationships/hyperlink" Target="https://twitter.com/DataMinerX/status/702890585892495360" TargetMode="External"/><Relationship Id="rId585" Type="http://schemas.openxmlformats.org/officeDocument/2006/relationships/hyperlink" Target="https://twitter.com/joshjfink/status/701488861621391362" TargetMode="External"/><Relationship Id="rId4204" Type="http://schemas.openxmlformats.org/officeDocument/2006/relationships/hyperlink" Target="https://pbs.twimg.com/profile_images/557592259298729985/kpCUQWH1_normal.png" TargetMode="External"/><Relationship Id="rId5532" Type="http://schemas.openxmlformats.org/officeDocument/2006/relationships/hyperlink" Target="https://twitter.com/emilysdarling/status/702596420734480385" TargetMode="External"/><Relationship Id="rId6863" Type="http://schemas.openxmlformats.org/officeDocument/2006/relationships/hyperlink" Target="https://twitter.com/wrathematics/status/702890381499895808" TargetMode="External"/><Relationship Id="rId584" Type="http://schemas.openxmlformats.org/officeDocument/2006/relationships/hyperlink" Target="https://twitter.com/joshjfink" TargetMode="External"/><Relationship Id="rId4203" Type="http://schemas.openxmlformats.org/officeDocument/2006/relationships/hyperlink" Target="https://twitter.com/hrbrmstr/status/702313200528859141" TargetMode="External"/><Relationship Id="rId5533" Type="http://schemas.openxmlformats.org/officeDocument/2006/relationships/hyperlink" Target="https://pbs.twimg.com/profile_images/454677921081196544/h3btoOpw_normal.jpeg" TargetMode="External"/><Relationship Id="rId6864" Type="http://schemas.openxmlformats.org/officeDocument/2006/relationships/hyperlink" Target="https://pbs.twimg.com/profile_images/3311838112/cd20c9b2a8069d726a60ba97bfd75a61_normal.png" TargetMode="External"/><Relationship Id="rId5527" Type="http://schemas.openxmlformats.org/officeDocument/2006/relationships/hyperlink" Target="https://pbs.twimg.com/profile_images/483463038784126976/s8iYPVBJ_normal.jpeg" TargetMode="External"/><Relationship Id="rId6858" Type="http://schemas.openxmlformats.org/officeDocument/2006/relationships/hyperlink" Target="https://pbs.twimg.com/profile_images/675784786321891329/PVScaDr-_normal.jpg" TargetMode="External"/><Relationship Id="rId5528" Type="http://schemas.openxmlformats.org/officeDocument/2006/relationships/hyperlink" Target="https://twitter.com/pssGuy" TargetMode="External"/><Relationship Id="rId6859" Type="http://schemas.openxmlformats.org/officeDocument/2006/relationships/hyperlink" Target="https://twitter.com/dericklungaho" TargetMode="External"/><Relationship Id="rId5525" Type="http://schemas.openxmlformats.org/officeDocument/2006/relationships/hyperlink" Target="https://twitter.com/yoseljaimes" TargetMode="External"/><Relationship Id="rId6856" Type="http://schemas.openxmlformats.org/officeDocument/2006/relationships/hyperlink" Target="https://twitter.com/nlp_stories" TargetMode="External"/><Relationship Id="rId5526" Type="http://schemas.openxmlformats.org/officeDocument/2006/relationships/hyperlink" Target="https://twitter.com/yoseljaimes/status/702595837533167616" TargetMode="External"/><Relationship Id="rId6857" Type="http://schemas.openxmlformats.org/officeDocument/2006/relationships/hyperlink" Target="https://twitter.com/nlp_stories/status/702889239176998912" TargetMode="External"/><Relationship Id="rId5529" Type="http://schemas.openxmlformats.org/officeDocument/2006/relationships/hyperlink" Target="https://twitter.com/pssGuy/status/702595968709971968" TargetMode="External"/><Relationship Id="rId579" Type="http://schemas.openxmlformats.org/officeDocument/2006/relationships/hyperlink" Target="https://twitter.com/nano_unanue/status/701487659386933248" TargetMode="External"/><Relationship Id="rId578" Type="http://schemas.openxmlformats.org/officeDocument/2006/relationships/hyperlink" Target="https://twitter.com/nano_unanue" TargetMode="External"/><Relationship Id="rId577" Type="http://schemas.openxmlformats.org/officeDocument/2006/relationships/hyperlink" Target="https://pbs.twimg.com/profile_images/580066654811492352/YhLsjQ3g_normal.jpg" TargetMode="External"/><Relationship Id="rId572" Type="http://schemas.openxmlformats.org/officeDocument/2006/relationships/hyperlink" Target="https://twitter.com/PierreAlquier" TargetMode="External"/><Relationship Id="rId6850" Type="http://schemas.openxmlformats.org/officeDocument/2006/relationships/hyperlink" Target="https://twitter.com/zevross" TargetMode="External"/><Relationship Id="rId571" Type="http://schemas.openxmlformats.org/officeDocument/2006/relationships/hyperlink" Target="https://pbs.twimg.com/profile_images/644486680536313856/Orsslq04_normal.jpg" TargetMode="External"/><Relationship Id="rId5520" Type="http://schemas.openxmlformats.org/officeDocument/2006/relationships/hyperlink" Target="https://twitter.com/AvrahamAdler/status/702595813092913152" TargetMode="External"/><Relationship Id="rId6851" Type="http://schemas.openxmlformats.org/officeDocument/2006/relationships/hyperlink" Target="https://twitter.com/zevross/status/702888677383376896" TargetMode="External"/><Relationship Id="rId570" Type="http://schemas.openxmlformats.org/officeDocument/2006/relationships/hyperlink" Target="https://twitter.com/bdy11n/status/701484973379997702" TargetMode="External"/><Relationship Id="rId576" Type="http://schemas.openxmlformats.org/officeDocument/2006/relationships/hyperlink" Target="https://twitter.com/AbsLawson/status/701486542817259524" TargetMode="External"/><Relationship Id="rId5523" Type="http://schemas.openxmlformats.org/officeDocument/2006/relationships/hyperlink" Target="https://twitter.com/tea_gondii/status/702595828486168579" TargetMode="External"/><Relationship Id="rId6854" Type="http://schemas.openxmlformats.org/officeDocument/2006/relationships/hyperlink" Target="https://twitter.com/TheShubhanshu/status/702889115881046016" TargetMode="External"/><Relationship Id="rId575" Type="http://schemas.openxmlformats.org/officeDocument/2006/relationships/hyperlink" Target="https://twitter.com/AbsLawson" TargetMode="External"/><Relationship Id="rId5524" Type="http://schemas.openxmlformats.org/officeDocument/2006/relationships/hyperlink" Target="https://pbs.twimg.com/profile_images/673707137529479168/9wAk967V_normal.jpg" TargetMode="External"/><Relationship Id="rId6855" Type="http://schemas.openxmlformats.org/officeDocument/2006/relationships/hyperlink" Target="https://pbs.twimg.com/profile_images/482000571210031104/CdTuSt_7_normal.jpeg" TargetMode="External"/><Relationship Id="rId574" Type="http://schemas.openxmlformats.org/officeDocument/2006/relationships/hyperlink" Target="https://pbs.twimg.com/profile_images/654000789640323073/8LudaBLI_normal.jpg" TargetMode="External"/><Relationship Id="rId5521" Type="http://schemas.openxmlformats.org/officeDocument/2006/relationships/hyperlink" Target="https://pbs.twimg.com/profile_images/378800000300019997/e0cc3d333edd7644c8b566146d92c853_normal.png" TargetMode="External"/><Relationship Id="rId6852" Type="http://schemas.openxmlformats.org/officeDocument/2006/relationships/hyperlink" Target="https://pbs.twimg.com/profile_images/573919346117861376/NGSVIgr__normal.png" TargetMode="External"/><Relationship Id="rId573" Type="http://schemas.openxmlformats.org/officeDocument/2006/relationships/hyperlink" Target="https://twitter.com/PierreAlquier/status/701485408870248448" TargetMode="External"/><Relationship Id="rId5522" Type="http://schemas.openxmlformats.org/officeDocument/2006/relationships/hyperlink" Target="https://twitter.com/tea_gondii" TargetMode="External"/><Relationship Id="rId6853" Type="http://schemas.openxmlformats.org/officeDocument/2006/relationships/hyperlink" Target="https://twitter.com/TheShubhanshu" TargetMode="External"/><Relationship Id="rId4228" Type="http://schemas.openxmlformats.org/officeDocument/2006/relationships/hyperlink" Target="https://pbs.twimg.com/profile_images/652504486712180737/3lZYRqvo_normal.png" TargetMode="External"/><Relationship Id="rId4227" Type="http://schemas.openxmlformats.org/officeDocument/2006/relationships/hyperlink" Target="https://twitter.com/davidejansen/status/702318488082186240" TargetMode="External"/><Relationship Id="rId5558" Type="http://schemas.openxmlformats.org/officeDocument/2006/relationships/hyperlink" Target="https://twitter.com/ihansel/status/702599857228247040" TargetMode="External"/><Relationship Id="rId6889" Type="http://schemas.openxmlformats.org/officeDocument/2006/relationships/hyperlink" Target="https://pbs.twimg.com/profile_images/542639398081138689/XxKn1Cmu_normal.png" TargetMode="External"/><Relationship Id="rId4229" Type="http://schemas.openxmlformats.org/officeDocument/2006/relationships/hyperlink" Target="https://twitter.com/lada90" TargetMode="External"/><Relationship Id="rId5559" Type="http://schemas.openxmlformats.org/officeDocument/2006/relationships/hyperlink" Target="https://pbs.twimg.com/profile_images/474894124965826560/nQ5aYKdb_normal.jpeg" TargetMode="External"/><Relationship Id="rId6880" Type="http://schemas.openxmlformats.org/officeDocument/2006/relationships/hyperlink" Target="https://pbs.twimg.com/profile_images/594801770414518272/4LKsLLI2_normal.jpg" TargetMode="External"/><Relationship Id="rId4220" Type="http://schemas.openxmlformats.org/officeDocument/2006/relationships/hyperlink" Target="https://twitter.com/NickUngson" TargetMode="External"/><Relationship Id="rId5552" Type="http://schemas.openxmlformats.org/officeDocument/2006/relationships/hyperlink" Target="https://twitter.com/gbstringer/status/702598419576127489" TargetMode="External"/><Relationship Id="rId6883" Type="http://schemas.openxmlformats.org/officeDocument/2006/relationships/hyperlink" Target="https://pbs.twimg.com/profile_images/378800000488404131/ae37bb586ccba5916378953890cfa516_normal.jpeg" TargetMode="External"/><Relationship Id="rId5553" Type="http://schemas.openxmlformats.org/officeDocument/2006/relationships/hyperlink" Target="https://pbs.twimg.com/profile_images/403374594/gary_stringer_informal_normal.jpg" TargetMode="External"/><Relationship Id="rId6884" Type="http://schemas.openxmlformats.org/officeDocument/2006/relationships/hyperlink" Target="https://twitter.com/MarlonRibunal" TargetMode="External"/><Relationship Id="rId4222" Type="http://schemas.openxmlformats.org/officeDocument/2006/relationships/hyperlink" Target="https://pbs.twimg.com/profile_images/500995924089245699/ZPg_mNR1_normal.jpeg" TargetMode="External"/><Relationship Id="rId5550" Type="http://schemas.openxmlformats.org/officeDocument/2006/relationships/hyperlink" Target="https://pbs.twimg.com/profile_images/702009981961261056/qBjd2MYe_normal.png" TargetMode="External"/><Relationship Id="rId6881" Type="http://schemas.openxmlformats.org/officeDocument/2006/relationships/hyperlink" Target="https://twitter.com/awhstin" TargetMode="External"/><Relationship Id="rId4221" Type="http://schemas.openxmlformats.org/officeDocument/2006/relationships/hyperlink" Target="https://twitter.com/NickUngson/status/702317039160000515" TargetMode="External"/><Relationship Id="rId5551" Type="http://schemas.openxmlformats.org/officeDocument/2006/relationships/hyperlink" Target="https://twitter.com/gbstringer" TargetMode="External"/><Relationship Id="rId6882" Type="http://schemas.openxmlformats.org/officeDocument/2006/relationships/hyperlink" Target="https://twitter.com/awhstin/status/702894828091265028" TargetMode="External"/><Relationship Id="rId4224" Type="http://schemas.openxmlformats.org/officeDocument/2006/relationships/hyperlink" Target="https://twitter.com/dataandme/status/702318124775972864" TargetMode="External"/><Relationship Id="rId5556" Type="http://schemas.openxmlformats.org/officeDocument/2006/relationships/hyperlink" Target="https://pbs.twimg.com/profile_images/654666018296467456/9m3ijJ_Z_normal.jpg" TargetMode="External"/><Relationship Id="rId6887" Type="http://schemas.openxmlformats.org/officeDocument/2006/relationships/hyperlink" Target="https://twitter.com/CapeRUser" TargetMode="External"/><Relationship Id="rId4223" Type="http://schemas.openxmlformats.org/officeDocument/2006/relationships/hyperlink" Target="https://twitter.com/dataandme" TargetMode="External"/><Relationship Id="rId5557" Type="http://schemas.openxmlformats.org/officeDocument/2006/relationships/hyperlink" Target="https://twitter.com/ihansel" TargetMode="External"/><Relationship Id="rId6888" Type="http://schemas.openxmlformats.org/officeDocument/2006/relationships/hyperlink" Target="https://twitter.com/CapeRUser/status/702895272641368066" TargetMode="External"/><Relationship Id="rId4226" Type="http://schemas.openxmlformats.org/officeDocument/2006/relationships/hyperlink" Target="https://twitter.com/davidejansen" TargetMode="External"/><Relationship Id="rId5554" Type="http://schemas.openxmlformats.org/officeDocument/2006/relationships/hyperlink" Target="https://twitter.com/infotroph" TargetMode="External"/><Relationship Id="rId6885" Type="http://schemas.openxmlformats.org/officeDocument/2006/relationships/hyperlink" Target="https://twitter.com/MarlonRibunal/status/702895110296465409" TargetMode="External"/><Relationship Id="rId4225" Type="http://schemas.openxmlformats.org/officeDocument/2006/relationships/hyperlink" Target="https://pbs.twimg.com/profile_images/598126722920361984/HdS1NWXJ_normal.png" TargetMode="External"/><Relationship Id="rId5555" Type="http://schemas.openxmlformats.org/officeDocument/2006/relationships/hyperlink" Target="https://twitter.com/infotroph/status/702599366431772672" TargetMode="External"/><Relationship Id="rId6886" Type="http://schemas.openxmlformats.org/officeDocument/2006/relationships/hyperlink" Target="https://pbs.twimg.com/profile_images/629182152056279045/IXevOGTp_normal.jpg" TargetMode="External"/><Relationship Id="rId4217" Type="http://schemas.openxmlformats.org/officeDocument/2006/relationships/hyperlink" Target="https://twitter.com/joe_thorley" TargetMode="External"/><Relationship Id="rId5549" Type="http://schemas.openxmlformats.org/officeDocument/2006/relationships/hyperlink" Target="https://twitter.com/sheanineseven/status/702598180198703104" TargetMode="External"/><Relationship Id="rId4216" Type="http://schemas.openxmlformats.org/officeDocument/2006/relationships/hyperlink" Target="https://pbs.twimg.com/profile_images/695860150960320512/LomuQJpV_normal.jpg" TargetMode="External"/><Relationship Id="rId4219" Type="http://schemas.openxmlformats.org/officeDocument/2006/relationships/hyperlink" Target="https://pbs.twimg.com/profile_images/427522755462852608/tdRLeQXF_normal.jpeg" TargetMode="External"/><Relationship Id="rId5547" Type="http://schemas.openxmlformats.org/officeDocument/2006/relationships/hyperlink" Target="https://pbs.twimg.com/profile_images/679617176807059457/fqgt0Fjw_normal.jpg" TargetMode="External"/><Relationship Id="rId6878" Type="http://schemas.openxmlformats.org/officeDocument/2006/relationships/hyperlink" Target="https://twitter.com/scripterAnon" TargetMode="External"/><Relationship Id="rId4218" Type="http://schemas.openxmlformats.org/officeDocument/2006/relationships/hyperlink" Target="https://twitter.com/joe_thorley/status/702316872021086208" TargetMode="External"/><Relationship Id="rId5548" Type="http://schemas.openxmlformats.org/officeDocument/2006/relationships/hyperlink" Target="https://twitter.com/sheanineseven" TargetMode="External"/><Relationship Id="rId6879" Type="http://schemas.openxmlformats.org/officeDocument/2006/relationships/hyperlink" Target="https://twitter.com/scripterAnon/status/702894687573696512" TargetMode="External"/><Relationship Id="rId599" Type="http://schemas.openxmlformats.org/officeDocument/2006/relationships/hyperlink" Target="https://twitter.com/dataandme" TargetMode="External"/><Relationship Id="rId594" Type="http://schemas.openxmlformats.org/officeDocument/2006/relationships/hyperlink" Target="https://twitter.com/Christian_SQL/status/701491360088592385" TargetMode="External"/><Relationship Id="rId5541" Type="http://schemas.openxmlformats.org/officeDocument/2006/relationships/hyperlink" Target="https://pbs.twimg.com/profile_images/502185985786916864/gkdFh-q7_normal.png" TargetMode="External"/><Relationship Id="rId6872" Type="http://schemas.openxmlformats.org/officeDocument/2006/relationships/hyperlink" Target="https://twitter.com/kfuku0502/status/702892406941724676" TargetMode="External"/><Relationship Id="rId593" Type="http://schemas.openxmlformats.org/officeDocument/2006/relationships/hyperlink" Target="https://twitter.com/Christian_SQL" TargetMode="External"/><Relationship Id="rId5542" Type="http://schemas.openxmlformats.org/officeDocument/2006/relationships/hyperlink" Target="https://twitter.com/scripterAnon" TargetMode="External"/><Relationship Id="rId6873" Type="http://schemas.openxmlformats.org/officeDocument/2006/relationships/hyperlink" Target="https://pbs.twimg.com/profile_images/680526560340754434/J0MkNk7u_normal.jpg" TargetMode="External"/><Relationship Id="rId592" Type="http://schemas.openxmlformats.org/officeDocument/2006/relationships/hyperlink" Target="https://pbs.twimg.com/profile_images/645650110374936580/-oQakt8x_normal.png" TargetMode="External"/><Relationship Id="rId4211" Type="http://schemas.openxmlformats.org/officeDocument/2006/relationships/hyperlink" Target="https://twitter.com/RobbyMeals" TargetMode="External"/><Relationship Id="rId6870" Type="http://schemas.openxmlformats.org/officeDocument/2006/relationships/hyperlink" Target="https://pbs.twimg.com/profile_images/673446393097383936/uAq5-GBS_normal.jpg" TargetMode="External"/><Relationship Id="rId591" Type="http://schemas.openxmlformats.org/officeDocument/2006/relationships/hyperlink" Target="https://twitter.com/homeAIinfo/status/701490363975004160" TargetMode="External"/><Relationship Id="rId4210" Type="http://schemas.openxmlformats.org/officeDocument/2006/relationships/hyperlink" Target="https://pbs.twimg.com/profile_images/686765997399748609/23O0VGyq_normal.jpg" TargetMode="External"/><Relationship Id="rId5540" Type="http://schemas.openxmlformats.org/officeDocument/2006/relationships/hyperlink" Target="http://r-bloggers.com" TargetMode="External"/><Relationship Id="rId6871" Type="http://schemas.openxmlformats.org/officeDocument/2006/relationships/hyperlink" Target="https://twitter.com/kfuku0502" TargetMode="External"/><Relationship Id="rId598" Type="http://schemas.openxmlformats.org/officeDocument/2006/relationships/hyperlink" Target="https://pbs.twimg.com/profile_images/647923180795994112/kfRnOF24_normal.jpg" TargetMode="External"/><Relationship Id="rId4213" Type="http://schemas.openxmlformats.org/officeDocument/2006/relationships/hyperlink" Target="https://pbs.twimg.com/profile_images/592676310486536192/neLuVcCK_normal.jpg" TargetMode="External"/><Relationship Id="rId5545" Type="http://schemas.openxmlformats.org/officeDocument/2006/relationships/hyperlink" Target="https://twitter.com/thelabandfield" TargetMode="External"/><Relationship Id="rId6876" Type="http://schemas.openxmlformats.org/officeDocument/2006/relationships/hyperlink" Target="http://orcid.org/0000-0002-1526-0863" TargetMode="External"/><Relationship Id="rId597" Type="http://schemas.openxmlformats.org/officeDocument/2006/relationships/hyperlink" Target="https://twitter.com/frankwwu/status/701492501409087488" TargetMode="External"/><Relationship Id="rId4212" Type="http://schemas.openxmlformats.org/officeDocument/2006/relationships/hyperlink" Target="https://twitter.com/RobbyMeals/status/702316090865483776" TargetMode="External"/><Relationship Id="rId5546" Type="http://schemas.openxmlformats.org/officeDocument/2006/relationships/hyperlink" Target="https://twitter.com/thelabandfield/status/702598001496350720" TargetMode="External"/><Relationship Id="rId6877" Type="http://schemas.openxmlformats.org/officeDocument/2006/relationships/hyperlink" Target="https://pbs.twimg.com/profile_images/695959239957688320/MJ4p8POC_normal.jpg" TargetMode="External"/><Relationship Id="rId596" Type="http://schemas.openxmlformats.org/officeDocument/2006/relationships/hyperlink" Target="https://twitter.com/frankwwu" TargetMode="External"/><Relationship Id="rId4215" Type="http://schemas.openxmlformats.org/officeDocument/2006/relationships/hyperlink" Target="https://twitter.com/dianamcqueen/status/702316368776011776" TargetMode="External"/><Relationship Id="rId5543" Type="http://schemas.openxmlformats.org/officeDocument/2006/relationships/hyperlink" Target="https://twitter.com/scripterAnon/status/702597984983375874" TargetMode="External"/><Relationship Id="rId6874" Type="http://schemas.openxmlformats.org/officeDocument/2006/relationships/hyperlink" Target="https://twitter.com/dasaptaerwin" TargetMode="External"/><Relationship Id="rId595" Type="http://schemas.openxmlformats.org/officeDocument/2006/relationships/hyperlink" Target="https://pbs.twimg.com/profile_images/472350759129198592/jXBxXswb_normal.jpeg" TargetMode="External"/><Relationship Id="rId4214" Type="http://schemas.openxmlformats.org/officeDocument/2006/relationships/hyperlink" Target="https://twitter.com/dianamcqueen" TargetMode="External"/><Relationship Id="rId5544" Type="http://schemas.openxmlformats.org/officeDocument/2006/relationships/hyperlink" Target="https://pbs.twimg.com/profile_images/594801770414518272/4LKsLLI2_normal.jpg" TargetMode="External"/><Relationship Id="rId6875" Type="http://schemas.openxmlformats.org/officeDocument/2006/relationships/hyperlink" Target="https://twitter.com/dasaptaerwin/status/702893882883842049" TargetMode="External"/><Relationship Id="rId6825" Type="http://schemas.openxmlformats.org/officeDocument/2006/relationships/hyperlink" Target="https://twitter.com/neo_microkid" TargetMode="External"/><Relationship Id="rId6826" Type="http://schemas.openxmlformats.org/officeDocument/2006/relationships/hyperlink" Target="https://twitter.com/neo_microkid/status/702886006152769536" TargetMode="External"/><Relationship Id="rId6823" Type="http://schemas.openxmlformats.org/officeDocument/2006/relationships/hyperlink" Target="https://twitter.com/Flowfields_/status/702885786266509313" TargetMode="External"/><Relationship Id="rId6824" Type="http://schemas.openxmlformats.org/officeDocument/2006/relationships/hyperlink" Target="https://pbs.twimg.com/profile_images/378800000809810536/f245ca2d284ae20da862971ef93ecc6b_normal.png" TargetMode="External"/><Relationship Id="rId6829" Type="http://schemas.openxmlformats.org/officeDocument/2006/relationships/hyperlink" Target="http://datalab.cc" TargetMode="External"/><Relationship Id="rId6827" Type="http://schemas.openxmlformats.org/officeDocument/2006/relationships/hyperlink" Target="https://abs.twimg.com/sticky/default_profile_images/default_profile_3_normal.png" TargetMode="External"/><Relationship Id="rId6828" Type="http://schemas.openxmlformats.org/officeDocument/2006/relationships/hyperlink" Target="https://twitter.com/datalabcc" TargetMode="External"/><Relationship Id="rId547" Type="http://schemas.openxmlformats.org/officeDocument/2006/relationships/hyperlink" Target="https://pbs.twimg.com/profile_images/3609176822/ada66ff1e0bce0b66478849be25ec884_normal.png" TargetMode="External"/><Relationship Id="rId9098" Type="http://schemas.openxmlformats.org/officeDocument/2006/relationships/hyperlink" Target="https://pbs.twimg.com/profile_images/449982291742183424/FExvLFdl_normal.png" TargetMode="External"/><Relationship Id="rId546" Type="http://schemas.openxmlformats.org/officeDocument/2006/relationships/hyperlink" Target="https://twitter.com/sehau_/status/701481719770300417" TargetMode="External"/><Relationship Id="rId9097" Type="http://schemas.openxmlformats.org/officeDocument/2006/relationships/hyperlink" Target="https://twitter.com/exaptive/status/703249432687550464" TargetMode="External"/><Relationship Id="rId545" Type="http://schemas.openxmlformats.org/officeDocument/2006/relationships/hyperlink" Target="https://twitter.com/sehau_" TargetMode="External"/><Relationship Id="rId9096" Type="http://schemas.openxmlformats.org/officeDocument/2006/relationships/hyperlink" Target="https://twitter.com/exaptive" TargetMode="External"/><Relationship Id="rId544" Type="http://schemas.openxmlformats.org/officeDocument/2006/relationships/hyperlink" Target="https://pbs.twimg.com/profile_images/2311675967/yzhiz5niu8t497rap344_normal.jpeg" TargetMode="External"/><Relationship Id="rId9095" Type="http://schemas.openxmlformats.org/officeDocument/2006/relationships/hyperlink" Target="https://pbs.twimg.com/profile_images/378800000254021542/887553be439db2d83c346af322b2e8ec_normal.jpeg" TargetMode="External"/><Relationship Id="rId549" Type="http://schemas.openxmlformats.org/officeDocument/2006/relationships/hyperlink" Target="https://twitter.com/nlpandcss/status/701481832911663115" TargetMode="External"/><Relationship Id="rId548" Type="http://schemas.openxmlformats.org/officeDocument/2006/relationships/hyperlink" Target="https://twitter.com/nlpandcss" TargetMode="External"/><Relationship Id="rId9099" Type="http://schemas.openxmlformats.org/officeDocument/2006/relationships/hyperlink" Target="https://twitter.com/MarcosFontela" TargetMode="External"/><Relationship Id="rId543" Type="http://schemas.openxmlformats.org/officeDocument/2006/relationships/hyperlink" Target="https://twitter.com/v_vashishta/status/701481612639232000" TargetMode="External"/><Relationship Id="rId6821" Type="http://schemas.openxmlformats.org/officeDocument/2006/relationships/hyperlink" Target="https://pbs.twimg.com/profile_images/623431520901025792/-JsTBXyb_normal.jpg" TargetMode="External"/><Relationship Id="rId542" Type="http://schemas.openxmlformats.org/officeDocument/2006/relationships/hyperlink" Target="https://twitter.com/v_vashishta" TargetMode="External"/><Relationship Id="rId6822" Type="http://schemas.openxmlformats.org/officeDocument/2006/relationships/hyperlink" Target="https://twitter.com/Flowfields_" TargetMode="External"/><Relationship Id="rId541" Type="http://schemas.openxmlformats.org/officeDocument/2006/relationships/hyperlink" Target="https://pbs.twimg.com/profile_images/562555701734547456/mIBOZbQA_normal.jpeg" TargetMode="External"/><Relationship Id="rId540" Type="http://schemas.openxmlformats.org/officeDocument/2006/relationships/hyperlink" Target="https://twitter.com/DataToValue/status/701480803818196992" TargetMode="External"/><Relationship Id="rId6820" Type="http://schemas.openxmlformats.org/officeDocument/2006/relationships/hyperlink" Target="https://twitter.com/EduardSzoecs/status/702884635064270848" TargetMode="External"/><Relationship Id="rId6814" Type="http://schemas.openxmlformats.org/officeDocument/2006/relationships/hyperlink" Target="https://twitter.com/odsc/status/702883024464175104" TargetMode="External"/><Relationship Id="rId6815" Type="http://schemas.openxmlformats.org/officeDocument/2006/relationships/hyperlink" Target="https://pbs.twimg.com/profile_images/623923923441348612/HxO7gaZZ_normal.png" TargetMode="External"/><Relationship Id="rId6812" Type="http://schemas.openxmlformats.org/officeDocument/2006/relationships/hyperlink" Target="https://pbs.twimg.com/profile_images/2804660822/49b0136cb3e64480fd5a80a2b41da086_normal.jpeg" TargetMode="External"/><Relationship Id="rId6813" Type="http://schemas.openxmlformats.org/officeDocument/2006/relationships/hyperlink" Target="https://twitter.com/odsc" TargetMode="External"/><Relationship Id="rId6818" Type="http://schemas.openxmlformats.org/officeDocument/2006/relationships/hyperlink" Target="https://pbs.twimg.com/profile_images/561301462399979521/20njf5kj_normal.jpeg" TargetMode="External"/><Relationship Id="rId6819" Type="http://schemas.openxmlformats.org/officeDocument/2006/relationships/hyperlink" Target="https://twitter.com/EduardSzoecs" TargetMode="External"/><Relationship Id="rId6816" Type="http://schemas.openxmlformats.org/officeDocument/2006/relationships/hyperlink" Target="https://twitter.com/thanhtungmilan" TargetMode="External"/><Relationship Id="rId6817" Type="http://schemas.openxmlformats.org/officeDocument/2006/relationships/hyperlink" Target="https://twitter.com/thanhtungmilan/status/702884188505001985" TargetMode="External"/><Relationship Id="rId9090" Type="http://schemas.openxmlformats.org/officeDocument/2006/relationships/hyperlink" Target="https://twitter.com/Emaasit" TargetMode="External"/><Relationship Id="rId9094" Type="http://schemas.openxmlformats.org/officeDocument/2006/relationships/hyperlink" Target="https://twitter.com/CjMrcamiel/status/703248890556887042" TargetMode="External"/><Relationship Id="rId9093" Type="http://schemas.openxmlformats.org/officeDocument/2006/relationships/hyperlink" Target="https://twitter.com/CjMrcamiel" TargetMode="External"/><Relationship Id="rId9092" Type="http://schemas.openxmlformats.org/officeDocument/2006/relationships/hyperlink" Target="https://pbs.twimg.com/profile_images/567588045927354370/NN8xp_M5_normal.jpeg" TargetMode="External"/><Relationship Id="rId9091" Type="http://schemas.openxmlformats.org/officeDocument/2006/relationships/hyperlink" Target="https://twitter.com/Emaasit/status/703247715338027008" TargetMode="External"/><Relationship Id="rId536" Type="http://schemas.openxmlformats.org/officeDocument/2006/relationships/hyperlink" Target="https://twitter.com/BigDataMinded" TargetMode="External"/><Relationship Id="rId9087" Type="http://schemas.openxmlformats.org/officeDocument/2006/relationships/hyperlink" Target="https://twitter.com/Mairos_B" TargetMode="External"/><Relationship Id="rId535" Type="http://schemas.openxmlformats.org/officeDocument/2006/relationships/hyperlink" Target="https://pbs.twimg.com/profile_images/3199598780/253af0e6b8fa63bf5b969ccc9a3486e7_normal.jpeg" TargetMode="External"/><Relationship Id="rId9086" Type="http://schemas.openxmlformats.org/officeDocument/2006/relationships/hyperlink" Target="https://pbs.twimg.com/profile_images/2885910319/315395bcb6ecce9fc9d94ddd95a49679_normal.jpeg" TargetMode="External"/><Relationship Id="rId534" Type="http://schemas.openxmlformats.org/officeDocument/2006/relationships/hyperlink" Target="https://twitter.com/ArturoErdely/status/701480159434571776" TargetMode="External"/><Relationship Id="rId9085" Type="http://schemas.openxmlformats.org/officeDocument/2006/relationships/hyperlink" Target="https://twitter.com/edwindjonge/status/703247539391303682" TargetMode="External"/><Relationship Id="rId533" Type="http://schemas.openxmlformats.org/officeDocument/2006/relationships/hyperlink" Target="https://twitter.com/ArturoErdely" TargetMode="External"/><Relationship Id="rId9084" Type="http://schemas.openxmlformats.org/officeDocument/2006/relationships/hyperlink" Target="https://twitter.com/edwindjonge" TargetMode="External"/><Relationship Id="rId539" Type="http://schemas.openxmlformats.org/officeDocument/2006/relationships/hyperlink" Target="https://twitter.com/DataToValue" TargetMode="External"/><Relationship Id="rId538" Type="http://schemas.openxmlformats.org/officeDocument/2006/relationships/hyperlink" Target="https://pbs.twimg.com/profile_images/655770896641056768/vxUBUXtu_normal.jpg" TargetMode="External"/><Relationship Id="rId9089" Type="http://schemas.openxmlformats.org/officeDocument/2006/relationships/hyperlink" Target="https://pbs.twimg.com/profile_images/674745269339189252/a3K1eGSs_normal.jpg" TargetMode="External"/><Relationship Id="rId537" Type="http://schemas.openxmlformats.org/officeDocument/2006/relationships/hyperlink" Target="https://twitter.com/BigDataMinded/status/701480792644579329" TargetMode="External"/><Relationship Id="rId9088" Type="http://schemas.openxmlformats.org/officeDocument/2006/relationships/hyperlink" Target="https://twitter.com/Mairos_B/status/703247654260776962" TargetMode="External"/><Relationship Id="rId532" Type="http://schemas.openxmlformats.org/officeDocument/2006/relationships/hyperlink" Target="https://pbs.twimg.com/profile_images/637027066861359104/fk3jySTT_normal.jpg" TargetMode="External"/><Relationship Id="rId6810" Type="http://schemas.openxmlformats.org/officeDocument/2006/relationships/hyperlink" Target="https://twitter.com/paulpeton" TargetMode="External"/><Relationship Id="rId531" Type="http://schemas.openxmlformats.org/officeDocument/2006/relationships/hyperlink" Target="https://twitter.com/rakendatagroup/status/701478854666358788" TargetMode="External"/><Relationship Id="rId6811" Type="http://schemas.openxmlformats.org/officeDocument/2006/relationships/hyperlink" Target="https://twitter.com/paulpeton/status/702882293413765120" TargetMode="External"/><Relationship Id="rId530" Type="http://schemas.openxmlformats.org/officeDocument/2006/relationships/hyperlink" Target="https://twitter.com/rakendatagroup" TargetMode="External"/><Relationship Id="rId5516" Type="http://schemas.openxmlformats.org/officeDocument/2006/relationships/hyperlink" Target="https://twitter.com/luisteran79" TargetMode="External"/><Relationship Id="rId6847" Type="http://schemas.openxmlformats.org/officeDocument/2006/relationships/hyperlink" Target="https://twitter.com/faceyrj" TargetMode="External"/><Relationship Id="rId5517" Type="http://schemas.openxmlformats.org/officeDocument/2006/relationships/hyperlink" Target="https://twitter.com/luisteran79/status/702595755417214982" TargetMode="External"/><Relationship Id="rId6848" Type="http://schemas.openxmlformats.org/officeDocument/2006/relationships/hyperlink" Target="https://twitter.com/faceyrj/status/702888142907580420" TargetMode="External"/><Relationship Id="rId5514" Type="http://schemas.openxmlformats.org/officeDocument/2006/relationships/hyperlink" Target="https://twitter.com/japalaciosg/status/702595747250900994" TargetMode="External"/><Relationship Id="rId6845" Type="http://schemas.openxmlformats.org/officeDocument/2006/relationships/hyperlink" Target="https://twitter.com/jorgefabrega/status/702888138813915136" TargetMode="External"/><Relationship Id="rId5515" Type="http://schemas.openxmlformats.org/officeDocument/2006/relationships/hyperlink" Target="https://pbs.twimg.com/profile_images/596724230449930240/Fg3wVDMe_normal.jpg" TargetMode="External"/><Relationship Id="rId6846" Type="http://schemas.openxmlformats.org/officeDocument/2006/relationships/hyperlink" Target="https://pbs.twimg.com/profile_images/752772184/nodos1_normal.jpg" TargetMode="External"/><Relationship Id="rId5518" Type="http://schemas.openxmlformats.org/officeDocument/2006/relationships/hyperlink" Target="https://pbs.twimg.com/profile_images/1343848257/Screen_shot_2011-05-08_at_12.40.22_PM_normal.png" TargetMode="External"/><Relationship Id="rId6849" Type="http://schemas.openxmlformats.org/officeDocument/2006/relationships/hyperlink" Target="https://pbs.twimg.com/profile_images/3394663314/8d2359d17aee087ebdd7a96066192e03_normal.jpeg" TargetMode="External"/><Relationship Id="rId5519" Type="http://schemas.openxmlformats.org/officeDocument/2006/relationships/hyperlink" Target="https://twitter.com/AvrahamAdler" TargetMode="External"/><Relationship Id="rId569" Type="http://schemas.openxmlformats.org/officeDocument/2006/relationships/hyperlink" Target="https://twitter.com/bdy11n" TargetMode="External"/><Relationship Id="rId568" Type="http://schemas.openxmlformats.org/officeDocument/2006/relationships/hyperlink" Target="https://pbs.twimg.com/profile_images/674992685426466817/50Aicie-_normal.jpg" TargetMode="External"/><Relationship Id="rId567" Type="http://schemas.openxmlformats.org/officeDocument/2006/relationships/hyperlink" Target="https://twitter.com/Scott_Siemens/status/701483938062192640" TargetMode="External"/><Relationship Id="rId566" Type="http://schemas.openxmlformats.org/officeDocument/2006/relationships/hyperlink" Target="https://twitter.com/Scott_Siemens" TargetMode="External"/><Relationship Id="rId561" Type="http://schemas.openxmlformats.org/officeDocument/2006/relationships/hyperlink" Target="https://twitter.com/DataWookie/status/701483375123509248" TargetMode="External"/><Relationship Id="rId560" Type="http://schemas.openxmlformats.org/officeDocument/2006/relationships/hyperlink" Target="https://twitter.com/DataWookie" TargetMode="External"/><Relationship Id="rId6840" Type="http://schemas.openxmlformats.org/officeDocument/2006/relationships/hyperlink" Target="https://pbs.twimg.com/profile_images/1013406803/small_eco_normal.JPG" TargetMode="External"/><Relationship Id="rId565" Type="http://schemas.openxmlformats.org/officeDocument/2006/relationships/hyperlink" Target="https://pbs.twimg.com/profile_images/696103690369949696/EpU6buAs_normal.jpg" TargetMode="External"/><Relationship Id="rId5512" Type="http://schemas.openxmlformats.org/officeDocument/2006/relationships/hyperlink" Target="https://pbs.twimg.com/profile_images/580043996723974144/_Oyvwa9c_normal.jpg" TargetMode="External"/><Relationship Id="rId6843" Type="http://schemas.openxmlformats.org/officeDocument/2006/relationships/hyperlink" Target="https://pbs.twimg.com/profile_images/378800000414184426/78a569696661f3ca1cdae3df3595c3f2_normal.jpeg" TargetMode="External"/><Relationship Id="rId564" Type="http://schemas.openxmlformats.org/officeDocument/2006/relationships/hyperlink" Target="https://twitter.com/jenstirrup/status/701483894277705728" TargetMode="External"/><Relationship Id="rId5513" Type="http://schemas.openxmlformats.org/officeDocument/2006/relationships/hyperlink" Target="https://twitter.com/japalaciosg" TargetMode="External"/><Relationship Id="rId6844" Type="http://schemas.openxmlformats.org/officeDocument/2006/relationships/hyperlink" Target="https://twitter.com/jorgefabrega" TargetMode="External"/><Relationship Id="rId563" Type="http://schemas.openxmlformats.org/officeDocument/2006/relationships/hyperlink" Target="https://twitter.com/jenstirrup" TargetMode="External"/><Relationship Id="rId5510" Type="http://schemas.openxmlformats.org/officeDocument/2006/relationships/hyperlink" Target="https://twitter.com/revodavid" TargetMode="External"/><Relationship Id="rId6841" Type="http://schemas.openxmlformats.org/officeDocument/2006/relationships/hyperlink" Target="https://twitter.com/RobThomas14" TargetMode="External"/><Relationship Id="rId562" Type="http://schemas.openxmlformats.org/officeDocument/2006/relationships/hyperlink" Target="https://pbs.twimg.com/profile_images/612471608725213184/eXKo2Kmo_normal.jpg" TargetMode="External"/><Relationship Id="rId5511" Type="http://schemas.openxmlformats.org/officeDocument/2006/relationships/hyperlink" Target="https://twitter.com/revodavid/status/702595699385487364" TargetMode="External"/><Relationship Id="rId6842" Type="http://schemas.openxmlformats.org/officeDocument/2006/relationships/hyperlink" Target="https://twitter.com/RobThomas14/status/702887845699178496" TargetMode="External"/><Relationship Id="rId5505" Type="http://schemas.openxmlformats.org/officeDocument/2006/relationships/hyperlink" Target="https://twitter.com/polesasunder/status/702595042762838016" TargetMode="External"/><Relationship Id="rId6836" Type="http://schemas.openxmlformats.org/officeDocument/2006/relationships/hyperlink" Target="https://twitter.com/datennutzen/status/702887703814209536" TargetMode="External"/><Relationship Id="rId5506" Type="http://schemas.openxmlformats.org/officeDocument/2006/relationships/hyperlink" Target="https://pbs.twimg.com/profile_images/499358811564425216/jiX57F1h_normal.jpeg" TargetMode="External"/><Relationship Id="rId6837" Type="http://schemas.openxmlformats.org/officeDocument/2006/relationships/hyperlink" Target="https://pbs.twimg.com/profile_images/1746090001/Logo_bullet_normal.jpg" TargetMode="External"/><Relationship Id="rId5503" Type="http://schemas.openxmlformats.org/officeDocument/2006/relationships/hyperlink" Target="https://pbs.twimg.com/profile_images/555751063496585216/t9tCSeqh_normal.png" TargetMode="External"/><Relationship Id="rId6834" Type="http://schemas.openxmlformats.org/officeDocument/2006/relationships/hyperlink" Target="https://pbs.twimg.com/profile_images/502904260/Manuel_Medellin_-_copia_normal.JPG" TargetMode="External"/><Relationship Id="rId5504" Type="http://schemas.openxmlformats.org/officeDocument/2006/relationships/hyperlink" Target="https://twitter.com/polesasunder" TargetMode="External"/><Relationship Id="rId6835" Type="http://schemas.openxmlformats.org/officeDocument/2006/relationships/hyperlink" Target="https://twitter.com/datennutzen" TargetMode="External"/><Relationship Id="rId5509" Type="http://schemas.openxmlformats.org/officeDocument/2006/relationships/hyperlink" Target="https://pbs.twimg.com/profile_images/3409396165/3df155436a5f9201830bcc65f7a836f7_normal.jpeg" TargetMode="External"/><Relationship Id="rId5507" Type="http://schemas.openxmlformats.org/officeDocument/2006/relationships/hyperlink" Target="https://twitter.com/tylerrinker" TargetMode="External"/><Relationship Id="rId6838" Type="http://schemas.openxmlformats.org/officeDocument/2006/relationships/hyperlink" Target="https://twitter.com/Ecoexplore" TargetMode="External"/><Relationship Id="rId5508" Type="http://schemas.openxmlformats.org/officeDocument/2006/relationships/hyperlink" Target="https://twitter.com/tylerrinker/status/702595581806407680" TargetMode="External"/><Relationship Id="rId6839" Type="http://schemas.openxmlformats.org/officeDocument/2006/relationships/hyperlink" Target="https://twitter.com/Ecoexplore/status/702887711879929860" TargetMode="External"/><Relationship Id="rId558" Type="http://schemas.openxmlformats.org/officeDocument/2006/relationships/hyperlink" Target="https://twitter.com/JamesBTS/status/701483080893145088" TargetMode="External"/><Relationship Id="rId557" Type="http://schemas.openxmlformats.org/officeDocument/2006/relationships/hyperlink" Target="https://twitter.com/JamesBTS" TargetMode="External"/><Relationship Id="rId556" Type="http://schemas.openxmlformats.org/officeDocument/2006/relationships/hyperlink" Target="https://pbs.twimg.com/profile_images/595686269461606401/iZlT_aQl_normal.jpg" TargetMode="External"/><Relationship Id="rId555" Type="http://schemas.openxmlformats.org/officeDocument/2006/relationships/hyperlink" Target="https://twitter.com/DelftScott/status/701482786033639424" TargetMode="External"/><Relationship Id="rId559" Type="http://schemas.openxmlformats.org/officeDocument/2006/relationships/hyperlink" Target="https://pbs.twimg.com/profile_images/3654550270/5cab52e90000571b826f1a6d9e8d05d4_normal.png" TargetMode="External"/><Relationship Id="rId550" Type="http://schemas.openxmlformats.org/officeDocument/2006/relationships/hyperlink" Target="https://abs.twimg.com/sticky/default_profile_images/default_profile_6_normal.png" TargetMode="External"/><Relationship Id="rId554" Type="http://schemas.openxmlformats.org/officeDocument/2006/relationships/hyperlink" Target="https://twitter.com/DelftScott" TargetMode="External"/><Relationship Id="rId5501" Type="http://schemas.openxmlformats.org/officeDocument/2006/relationships/hyperlink" Target="https://twitter.com/lachamba" TargetMode="External"/><Relationship Id="rId6832" Type="http://schemas.openxmlformats.org/officeDocument/2006/relationships/hyperlink" Target="https://twitter.com/manuelpachon" TargetMode="External"/><Relationship Id="rId553" Type="http://schemas.openxmlformats.org/officeDocument/2006/relationships/hyperlink" Target="https://pbs.twimg.com/profile_images/591351347384950785/48aTQX0S_normal.jpg" TargetMode="External"/><Relationship Id="rId5502" Type="http://schemas.openxmlformats.org/officeDocument/2006/relationships/hyperlink" Target="https://twitter.com/lachamba/status/702594865150959620" TargetMode="External"/><Relationship Id="rId6833" Type="http://schemas.openxmlformats.org/officeDocument/2006/relationships/hyperlink" Target="https://twitter.com/manuelpachon/status/702887059208454145" TargetMode="External"/><Relationship Id="rId552" Type="http://schemas.openxmlformats.org/officeDocument/2006/relationships/hyperlink" Target="https://twitter.com/tarunrodrigues/status/701482085899333632" TargetMode="External"/><Relationship Id="rId6830" Type="http://schemas.openxmlformats.org/officeDocument/2006/relationships/hyperlink" Target="https://twitter.com/datalabcc/status/702886400681713664" TargetMode="External"/><Relationship Id="rId551" Type="http://schemas.openxmlformats.org/officeDocument/2006/relationships/hyperlink" Target="https://twitter.com/tarunrodrigues" TargetMode="External"/><Relationship Id="rId5500" Type="http://schemas.openxmlformats.org/officeDocument/2006/relationships/hyperlink" Target="https://pbs.twimg.com/profile_images/622831035210928128/gfQGbx3W_normal.png" TargetMode="External"/><Relationship Id="rId6831" Type="http://schemas.openxmlformats.org/officeDocument/2006/relationships/hyperlink" Target="https://pbs.twimg.com/profile_images/500029963387408384/w3aCs2eI_normal.png" TargetMode="External"/><Relationship Id="rId4280" Type="http://schemas.openxmlformats.org/officeDocument/2006/relationships/hyperlink" Target="https://pbs.twimg.com/profile_images/550280885480603648/jye_0y8s_normal.png" TargetMode="External"/><Relationship Id="rId4282" Type="http://schemas.openxmlformats.org/officeDocument/2006/relationships/hyperlink" Target="https://twitter.com/Rbloggers/status/702337189439369218" TargetMode="External"/><Relationship Id="rId4281" Type="http://schemas.openxmlformats.org/officeDocument/2006/relationships/hyperlink" Target="https://twitter.com/Rbloggers" TargetMode="External"/><Relationship Id="rId4284" Type="http://schemas.openxmlformats.org/officeDocument/2006/relationships/hyperlink" Target="https://pbs.twimg.com/profile_images/502185985786916864/gkdFh-q7_normal.png" TargetMode="External"/><Relationship Id="rId4283" Type="http://schemas.openxmlformats.org/officeDocument/2006/relationships/hyperlink" Target="http://r-bloggers.com" TargetMode="External"/><Relationship Id="rId4286" Type="http://schemas.openxmlformats.org/officeDocument/2006/relationships/hyperlink" Target="https://twitter.com/WestCoastPole/status/702337579287388160" TargetMode="External"/><Relationship Id="rId4285" Type="http://schemas.openxmlformats.org/officeDocument/2006/relationships/hyperlink" Target="https://twitter.com/WestCoastPole" TargetMode="External"/><Relationship Id="rId4288" Type="http://schemas.openxmlformats.org/officeDocument/2006/relationships/hyperlink" Target="https://twitter.com/pa_marais" TargetMode="External"/><Relationship Id="rId4287" Type="http://schemas.openxmlformats.org/officeDocument/2006/relationships/hyperlink" Target="https://pbs.twimg.com/profile_images/697258194142236672/s37qIvfo_normal.png" TargetMode="External"/><Relationship Id="rId4289" Type="http://schemas.openxmlformats.org/officeDocument/2006/relationships/hyperlink" Target="https://twitter.com/pa_marais/status/702338031538278400" TargetMode="External"/><Relationship Id="rId4271" Type="http://schemas.openxmlformats.org/officeDocument/2006/relationships/hyperlink" Target="https://pbs.twimg.com/profile_images/676837878035427328/rSTy-2NE_normal.jpg" TargetMode="External"/><Relationship Id="rId4270" Type="http://schemas.openxmlformats.org/officeDocument/2006/relationships/hyperlink" Target="https://twitter.com/scottmccain5/status/702330478146265088" TargetMode="External"/><Relationship Id="rId4273" Type="http://schemas.openxmlformats.org/officeDocument/2006/relationships/hyperlink" Target="https://twitter.com/lucselzer/status/702330803330654210" TargetMode="External"/><Relationship Id="rId4272" Type="http://schemas.openxmlformats.org/officeDocument/2006/relationships/hyperlink" Target="https://twitter.com/lucselzer" TargetMode="External"/><Relationship Id="rId4275" Type="http://schemas.openxmlformats.org/officeDocument/2006/relationships/hyperlink" Target="https://twitter.com/TweetSKS" TargetMode="External"/><Relationship Id="rId4274" Type="http://schemas.openxmlformats.org/officeDocument/2006/relationships/hyperlink" Target="https://pbs.twimg.com/profile_images/700988765318283264/LoBqG5Dw_normal.jpg" TargetMode="External"/><Relationship Id="rId4277" Type="http://schemas.openxmlformats.org/officeDocument/2006/relationships/hyperlink" Target="https://pbs.twimg.com/profile_images/543120620297269249/uyIh8KDo_normal.jpeg" TargetMode="External"/><Relationship Id="rId4276" Type="http://schemas.openxmlformats.org/officeDocument/2006/relationships/hyperlink" Target="https://twitter.com/TweetSKS/status/702331371818086400" TargetMode="External"/><Relationship Id="rId4279" Type="http://schemas.openxmlformats.org/officeDocument/2006/relationships/hyperlink" Target="https://twitter.com/ShinyappsRecent/status/702333380168253440" TargetMode="External"/><Relationship Id="rId4278" Type="http://schemas.openxmlformats.org/officeDocument/2006/relationships/hyperlink" Target="https://twitter.com/ShinyappsRecent" TargetMode="External"/><Relationship Id="rId4291" Type="http://schemas.openxmlformats.org/officeDocument/2006/relationships/hyperlink" Target="https://twitter.com/renato_umeton" TargetMode="External"/><Relationship Id="rId4290" Type="http://schemas.openxmlformats.org/officeDocument/2006/relationships/hyperlink" Target="https://pbs.twimg.com/profile_images/568067400809984000/MXrq4e8A_normal.jpeg" TargetMode="External"/><Relationship Id="rId4293" Type="http://schemas.openxmlformats.org/officeDocument/2006/relationships/hyperlink" Target="https://pbs.twimg.com/profile_images/701553083537604608/nr8b38eG_normal.jpg" TargetMode="External"/><Relationship Id="rId4292" Type="http://schemas.openxmlformats.org/officeDocument/2006/relationships/hyperlink" Target="https://twitter.com/renato_umeton/status/702338541821501440" TargetMode="External"/><Relationship Id="rId4295" Type="http://schemas.openxmlformats.org/officeDocument/2006/relationships/hyperlink" Target="https://twitter.com/wtibrentdubai/status/702339161072611328" TargetMode="External"/><Relationship Id="rId4294" Type="http://schemas.openxmlformats.org/officeDocument/2006/relationships/hyperlink" Target="https://twitter.com/wtibrentdubai" TargetMode="External"/><Relationship Id="rId4297" Type="http://schemas.openxmlformats.org/officeDocument/2006/relationships/hyperlink" Target="https://twitter.com/TrestleJeff" TargetMode="External"/><Relationship Id="rId4296" Type="http://schemas.openxmlformats.org/officeDocument/2006/relationships/hyperlink" Target="https://pbs.twimg.com/profile_images/670700991906381824/-0POuKFV_normal.jpg" TargetMode="External"/><Relationship Id="rId4299" Type="http://schemas.openxmlformats.org/officeDocument/2006/relationships/hyperlink" Target="https://pbs.twimg.com/profile_images/2415591608/wnoj4nzrqyoukm38vj0w_normal.jpeg" TargetMode="External"/><Relationship Id="rId4298" Type="http://schemas.openxmlformats.org/officeDocument/2006/relationships/hyperlink" Target="https://twitter.com/TrestleJeff/status/702339230974898176" TargetMode="External"/><Relationship Id="rId4249" Type="http://schemas.openxmlformats.org/officeDocument/2006/relationships/hyperlink" Target="https://twitter.com/m_ezkiel/status/702322511313182722" TargetMode="External"/><Relationship Id="rId5570" Type="http://schemas.openxmlformats.org/officeDocument/2006/relationships/hyperlink" Target="https://twitter.com/t_pren" TargetMode="External"/><Relationship Id="rId5571" Type="http://schemas.openxmlformats.org/officeDocument/2006/relationships/hyperlink" Target="https://twitter.com/t_pren/status/702600606377254912" TargetMode="External"/><Relationship Id="rId4240" Type="http://schemas.openxmlformats.org/officeDocument/2006/relationships/hyperlink" Target="https://twitter.com/renato_umeton/status/702321241152217088" TargetMode="External"/><Relationship Id="rId4242" Type="http://schemas.openxmlformats.org/officeDocument/2006/relationships/hyperlink" Target="https://twitter.com/sw_inku" TargetMode="External"/><Relationship Id="rId5574" Type="http://schemas.openxmlformats.org/officeDocument/2006/relationships/hyperlink" Target="https://twitter.com/kemaltaskiran/status/702600632235114496" TargetMode="External"/><Relationship Id="rId4241" Type="http://schemas.openxmlformats.org/officeDocument/2006/relationships/hyperlink" Target="https://pbs.twimg.com/profile_images/701553083537604608/nr8b38eG_normal.jpg" TargetMode="External"/><Relationship Id="rId5575" Type="http://schemas.openxmlformats.org/officeDocument/2006/relationships/hyperlink" Target="https://pbs.twimg.com/profile_images/501113441482838017/LPfsQkwE_normal.jpeg" TargetMode="External"/><Relationship Id="rId4244" Type="http://schemas.openxmlformats.org/officeDocument/2006/relationships/hyperlink" Target="https://pbs.twimg.com/profile_images/630177736229847040/DvK0Pher_normal.jpg" TargetMode="External"/><Relationship Id="rId5572" Type="http://schemas.openxmlformats.org/officeDocument/2006/relationships/hyperlink" Target="https://pbs.twimg.com/profile_images/1444329161/picknose_normal.jpg" TargetMode="External"/><Relationship Id="rId4243" Type="http://schemas.openxmlformats.org/officeDocument/2006/relationships/hyperlink" Target="https://twitter.com/sw_inku/status/702321254460760065" TargetMode="External"/><Relationship Id="rId5573" Type="http://schemas.openxmlformats.org/officeDocument/2006/relationships/hyperlink" Target="https://twitter.com/kemaltaskiran" TargetMode="External"/><Relationship Id="rId4246" Type="http://schemas.openxmlformats.org/officeDocument/2006/relationships/hyperlink" Target="https://twitter.com/DataWookie/status/702321462867132416" TargetMode="External"/><Relationship Id="rId5578" Type="http://schemas.openxmlformats.org/officeDocument/2006/relationships/hyperlink" Target="https://pbs.twimg.com/profile_images/688832050334445568/HUUhr5Zf_normal.jpg" TargetMode="External"/><Relationship Id="rId4245" Type="http://schemas.openxmlformats.org/officeDocument/2006/relationships/hyperlink" Target="https://twitter.com/DataWookie" TargetMode="External"/><Relationship Id="rId5579" Type="http://schemas.openxmlformats.org/officeDocument/2006/relationships/hyperlink" Target="https://twitter.com/ProfRedOwl" TargetMode="External"/><Relationship Id="rId4248" Type="http://schemas.openxmlformats.org/officeDocument/2006/relationships/hyperlink" Target="https://twitter.com/m_ezkiel" TargetMode="External"/><Relationship Id="rId5576" Type="http://schemas.openxmlformats.org/officeDocument/2006/relationships/hyperlink" Target="https://twitter.com/Eselquesoy" TargetMode="External"/><Relationship Id="rId4247" Type="http://schemas.openxmlformats.org/officeDocument/2006/relationships/hyperlink" Target="https://pbs.twimg.com/profile_images/612471608725213184/eXKo2Kmo_normal.jpg" TargetMode="External"/><Relationship Id="rId5577" Type="http://schemas.openxmlformats.org/officeDocument/2006/relationships/hyperlink" Target="https://twitter.com/Eselquesoy/status/702600854386434055" TargetMode="External"/><Relationship Id="rId4239" Type="http://schemas.openxmlformats.org/officeDocument/2006/relationships/hyperlink" Target="https://twitter.com/renato_umeton" TargetMode="External"/><Relationship Id="rId4238" Type="http://schemas.openxmlformats.org/officeDocument/2006/relationships/hyperlink" Target="https://pbs.twimg.com/profile_images/502185985786916864/gkdFh-q7_normal.png" TargetMode="External"/><Relationship Id="rId5569" Type="http://schemas.openxmlformats.org/officeDocument/2006/relationships/hyperlink" Target="https://pbs.twimg.com/profile_images/502185985786916864/gkdFh-q7_normal.png" TargetMode="External"/><Relationship Id="rId6890" Type="http://schemas.openxmlformats.org/officeDocument/2006/relationships/hyperlink" Target="https://twitter.com/codepedia_info" TargetMode="External"/><Relationship Id="rId5560" Type="http://schemas.openxmlformats.org/officeDocument/2006/relationships/hyperlink" Target="https://twitter.com/nonchalantnat" TargetMode="External"/><Relationship Id="rId6891" Type="http://schemas.openxmlformats.org/officeDocument/2006/relationships/hyperlink" Target="https://twitter.com/codepedia_info/status/702895969508200448" TargetMode="External"/><Relationship Id="rId495" Type="http://schemas.openxmlformats.org/officeDocument/2006/relationships/hyperlink" Target="https://twitter.com/fjalolop000/status/701475289759670275" TargetMode="External"/><Relationship Id="rId4231" Type="http://schemas.openxmlformats.org/officeDocument/2006/relationships/hyperlink" Target="https://pbs.twimg.com/profile_images/701095939134529536/YJgKwiyL_normal.jpg" TargetMode="External"/><Relationship Id="rId5563" Type="http://schemas.openxmlformats.org/officeDocument/2006/relationships/hyperlink" Target="https://twitter.com/renato_umeton" TargetMode="External"/><Relationship Id="rId6894" Type="http://schemas.openxmlformats.org/officeDocument/2006/relationships/hyperlink" Target="https://twitter.com/Ko_Ver/status/702896018300542977" TargetMode="External"/><Relationship Id="rId494" Type="http://schemas.openxmlformats.org/officeDocument/2006/relationships/hyperlink" Target="https://twitter.com/fjalolop000" TargetMode="External"/><Relationship Id="rId4230" Type="http://schemas.openxmlformats.org/officeDocument/2006/relationships/hyperlink" Target="https://twitter.com/lada90/status/702318530377547776" TargetMode="External"/><Relationship Id="rId5564" Type="http://schemas.openxmlformats.org/officeDocument/2006/relationships/hyperlink" Target="https://twitter.com/renato_umeton/status/702599985544753153" TargetMode="External"/><Relationship Id="rId6895" Type="http://schemas.openxmlformats.org/officeDocument/2006/relationships/hyperlink" Target="https://pbs.twimg.com/profile_images/2455171227/dykea0dqyn88n7hskr8x_normal.jpeg" TargetMode="External"/><Relationship Id="rId493" Type="http://schemas.openxmlformats.org/officeDocument/2006/relationships/hyperlink" Target="https://pbs.twimg.com/profile_images/576799609873428480/V8akQ-mi_normal.jpeg" TargetMode="External"/><Relationship Id="rId4233" Type="http://schemas.openxmlformats.org/officeDocument/2006/relationships/hyperlink" Target="https://twitter.com/eddelbuettel/status/702320151107125248" TargetMode="External"/><Relationship Id="rId5561" Type="http://schemas.openxmlformats.org/officeDocument/2006/relationships/hyperlink" Target="https://twitter.com/nonchalantnat/status/702599909300633600" TargetMode="External"/><Relationship Id="rId6892" Type="http://schemas.openxmlformats.org/officeDocument/2006/relationships/hyperlink" Target="https://pbs.twimg.com/profile_images/655054050832969728/3mJGHxhS_normal.jpg" TargetMode="External"/><Relationship Id="rId492" Type="http://schemas.openxmlformats.org/officeDocument/2006/relationships/hyperlink" Target="https://twitter.com/fjalolop000/status/701475272302968834" TargetMode="External"/><Relationship Id="rId4232" Type="http://schemas.openxmlformats.org/officeDocument/2006/relationships/hyperlink" Target="https://twitter.com/eddelbuettel" TargetMode="External"/><Relationship Id="rId5562" Type="http://schemas.openxmlformats.org/officeDocument/2006/relationships/hyperlink" Target="https://pbs.twimg.com/profile_images/631705239364603905/jMIb71gs_normal.jpg" TargetMode="External"/><Relationship Id="rId6893" Type="http://schemas.openxmlformats.org/officeDocument/2006/relationships/hyperlink" Target="https://twitter.com/Ko_Ver" TargetMode="External"/><Relationship Id="rId499" Type="http://schemas.openxmlformats.org/officeDocument/2006/relationships/hyperlink" Target="https://pbs.twimg.com/profile_images/680246148762828801/flXTNSKT_normal.jpg" TargetMode="External"/><Relationship Id="rId4235" Type="http://schemas.openxmlformats.org/officeDocument/2006/relationships/hyperlink" Target="https://twitter.com/Rbloggers" TargetMode="External"/><Relationship Id="rId5567" Type="http://schemas.openxmlformats.org/officeDocument/2006/relationships/hyperlink" Target="https://twitter.com/Rbloggers/status/702600211143602176" TargetMode="External"/><Relationship Id="rId6898" Type="http://schemas.openxmlformats.org/officeDocument/2006/relationships/hyperlink" Target="https://pbs.twimg.com/profile_images/598373285944889345/TqwFURoT_normal.jpg" TargetMode="External"/><Relationship Id="rId498" Type="http://schemas.openxmlformats.org/officeDocument/2006/relationships/hyperlink" Target="https://twitter.com/KirkDBorne/status/701475485319090177" TargetMode="External"/><Relationship Id="rId4234" Type="http://schemas.openxmlformats.org/officeDocument/2006/relationships/hyperlink" Target="https://pbs.twimg.com/profile_images/509888693478248448/rvqUa5YA_normal.jpeg" TargetMode="External"/><Relationship Id="rId5568" Type="http://schemas.openxmlformats.org/officeDocument/2006/relationships/hyperlink" Target="http://r-bloggers.com" TargetMode="External"/><Relationship Id="rId6899" Type="http://schemas.openxmlformats.org/officeDocument/2006/relationships/hyperlink" Target="https://twitter.com/MangoTheCat" TargetMode="External"/><Relationship Id="rId497" Type="http://schemas.openxmlformats.org/officeDocument/2006/relationships/hyperlink" Target="https://twitter.com/KirkDBorne" TargetMode="External"/><Relationship Id="rId4237" Type="http://schemas.openxmlformats.org/officeDocument/2006/relationships/hyperlink" Target="http://r-bloggers.com" TargetMode="External"/><Relationship Id="rId5565" Type="http://schemas.openxmlformats.org/officeDocument/2006/relationships/hyperlink" Target="https://pbs.twimg.com/profile_images/701553083537604608/nr8b38eG_normal.jpg" TargetMode="External"/><Relationship Id="rId6896" Type="http://schemas.openxmlformats.org/officeDocument/2006/relationships/hyperlink" Target="https://twitter.com/gvegayon" TargetMode="External"/><Relationship Id="rId496" Type="http://schemas.openxmlformats.org/officeDocument/2006/relationships/hyperlink" Target="https://pbs.twimg.com/profile_images/576799609873428480/V8akQ-mi_normal.jpeg" TargetMode="External"/><Relationship Id="rId4236" Type="http://schemas.openxmlformats.org/officeDocument/2006/relationships/hyperlink" Target="https://twitter.com/Rbloggers/status/702320858727985152" TargetMode="External"/><Relationship Id="rId5566" Type="http://schemas.openxmlformats.org/officeDocument/2006/relationships/hyperlink" Target="https://twitter.com/Rbloggers" TargetMode="External"/><Relationship Id="rId6897" Type="http://schemas.openxmlformats.org/officeDocument/2006/relationships/hyperlink" Target="https://twitter.com/gvegayon/status/702897489536364544" TargetMode="External"/><Relationship Id="rId4260" Type="http://schemas.openxmlformats.org/officeDocument/2006/relationships/hyperlink" Target="https://twitter.com/bluecology" TargetMode="External"/><Relationship Id="rId5592" Type="http://schemas.openxmlformats.org/officeDocument/2006/relationships/hyperlink" Target="https://pbs.twimg.com/profile_images/701553083537604608/nr8b38eG_normal.jpg" TargetMode="External"/><Relationship Id="rId5593" Type="http://schemas.openxmlformats.org/officeDocument/2006/relationships/hyperlink" Target="https://twitter.com/renato_umeton" TargetMode="External"/><Relationship Id="rId4262" Type="http://schemas.openxmlformats.org/officeDocument/2006/relationships/hyperlink" Target="https://pbs.twimg.com/profile_images/624399902261403648/-I8q7-JD_normal.jpg" TargetMode="External"/><Relationship Id="rId5590" Type="http://schemas.openxmlformats.org/officeDocument/2006/relationships/hyperlink" Target="https://twitter.com/renato_umeton" TargetMode="External"/><Relationship Id="rId4261" Type="http://schemas.openxmlformats.org/officeDocument/2006/relationships/hyperlink" Target="https://twitter.com/bluecology/status/702327505072443394" TargetMode="External"/><Relationship Id="rId5591" Type="http://schemas.openxmlformats.org/officeDocument/2006/relationships/hyperlink" Target="https://twitter.com/renato_umeton/status/702601632543014913" TargetMode="External"/><Relationship Id="rId4264" Type="http://schemas.openxmlformats.org/officeDocument/2006/relationships/hyperlink" Target="https://twitter.com/sckottie/status/702327713760063488" TargetMode="External"/><Relationship Id="rId5596" Type="http://schemas.openxmlformats.org/officeDocument/2006/relationships/hyperlink" Target="https://twitter.com/jdmar3" TargetMode="External"/><Relationship Id="rId4263" Type="http://schemas.openxmlformats.org/officeDocument/2006/relationships/hyperlink" Target="https://twitter.com/sckottie" TargetMode="External"/><Relationship Id="rId5597" Type="http://schemas.openxmlformats.org/officeDocument/2006/relationships/hyperlink" Target="https://twitter.com/jdmar3/status/702601700054421504" TargetMode="External"/><Relationship Id="rId4266" Type="http://schemas.openxmlformats.org/officeDocument/2006/relationships/hyperlink" Target="https://twitter.com/philipdurbin" TargetMode="External"/><Relationship Id="rId5594" Type="http://schemas.openxmlformats.org/officeDocument/2006/relationships/hyperlink" Target="https://twitter.com/renato_umeton/status/702601633365168128" TargetMode="External"/><Relationship Id="rId4265" Type="http://schemas.openxmlformats.org/officeDocument/2006/relationships/hyperlink" Target="https://pbs.twimg.com/profile_images/628062474491670529/KOOABG9v_normal.jpg" TargetMode="External"/><Relationship Id="rId5595" Type="http://schemas.openxmlformats.org/officeDocument/2006/relationships/hyperlink" Target="https://pbs.twimg.com/profile_images/701553083537604608/nr8b38eG_normal.jpg" TargetMode="External"/><Relationship Id="rId4268" Type="http://schemas.openxmlformats.org/officeDocument/2006/relationships/hyperlink" Target="https://pbs.twimg.com/profile_images/1729661967/philipdurbin_cropped_normal.jpg" TargetMode="External"/><Relationship Id="rId4267" Type="http://schemas.openxmlformats.org/officeDocument/2006/relationships/hyperlink" Target="https://twitter.com/philipdurbin/status/702328618567888896" TargetMode="External"/><Relationship Id="rId5598" Type="http://schemas.openxmlformats.org/officeDocument/2006/relationships/hyperlink" Target="https://pbs.twimg.com/profile_images/664110305291685888/YKg9XxRd_normal.jpg" TargetMode="External"/><Relationship Id="rId4269" Type="http://schemas.openxmlformats.org/officeDocument/2006/relationships/hyperlink" Target="https://twitter.com/scottmccain5" TargetMode="External"/><Relationship Id="rId5599" Type="http://schemas.openxmlformats.org/officeDocument/2006/relationships/hyperlink" Target="https://twitter.com/jdmar3" TargetMode="External"/><Relationship Id="rId5581" Type="http://schemas.openxmlformats.org/officeDocument/2006/relationships/hyperlink" Target="https://pbs.twimg.com/profile_images/2936510755/42fe7970ccba08ab320a202d8b0c5ee0_normal.png" TargetMode="External"/><Relationship Id="rId5582" Type="http://schemas.openxmlformats.org/officeDocument/2006/relationships/hyperlink" Target="https://twitter.com/Rbloggers" TargetMode="External"/><Relationship Id="rId4251" Type="http://schemas.openxmlformats.org/officeDocument/2006/relationships/hyperlink" Target="https://twitter.com/FroogalStoodent" TargetMode="External"/><Relationship Id="rId4250" Type="http://schemas.openxmlformats.org/officeDocument/2006/relationships/hyperlink" Target="https://pbs.twimg.com/profile_images/653813078509813760/3pQJe4Rp_normal.jpg" TargetMode="External"/><Relationship Id="rId5580" Type="http://schemas.openxmlformats.org/officeDocument/2006/relationships/hyperlink" Target="https://twitter.com/ProfRedOwl/status/702600960821043201" TargetMode="External"/><Relationship Id="rId4253" Type="http://schemas.openxmlformats.org/officeDocument/2006/relationships/hyperlink" Target="https://pbs.twimg.com/profile_images/470793404658380800/LlnufUWS_normal.png" TargetMode="External"/><Relationship Id="rId5585" Type="http://schemas.openxmlformats.org/officeDocument/2006/relationships/hyperlink" Target="https://pbs.twimg.com/profile_images/502185985786916864/gkdFh-q7_normal.png" TargetMode="External"/><Relationship Id="rId4252" Type="http://schemas.openxmlformats.org/officeDocument/2006/relationships/hyperlink" Target="https://twitter.com/FroogalStoodent/status/702323387545358336" TargetMode="External"/><Relationship Id="rId5586" Type="http://schemas.openxmlformats.org/officeDocument/2006/relationships/hyperlink" Target="https://twitter.com/Rbloggers" TargetMode="External"/><Relationship Id="rId4255" Type="http://schemas.openxmlformats.org/officeDocument/2006/relationships/hyperlink" Target="https://twitter.com/monkmanmh/status/702324434699313152" TargetMode="External"/><Relationship Id="rId5583" Type="http://schemas.openxmlformats.org/officeDocument/2006/relationships/hyperlink" Target="https://twitter.com/Rbloggers/status/702601440976457728" TargetMode="External"/><Relationship Id="rId4254" Type="http://schemas.openxmlformats.org/officeDocument/2006/relationships/hyperlink" Target="https://twitter.com/monkmanmh" TargetMode="External"/><Relationship Id="rId5584" Type="http://schemas.openxmlformats.org/officeDocument/2006/relationships/hyperlink" Target="http://r-bloggers.com" TargetMode="External"/><Relationship Id="rId4257" Type="http://schemas.openxmlformats.org/officeDocument/2006/relationships/hyperlink" Target="https://twitter.com/sainathadapa" TargetMode="External"/><Relationship Id="rId5589" Type="http://schemas.openxmlformats.org/officeDocument/2006/relationships/hyperlink" Target="https://pbs.twimg.com/profile_images/502185985786916864/gkdFh-q7_normal.png" TargetMode="External"/><Relationship Id="rId4256" Type="http://schemas.openxmlformats.org/officeDocument/2006/relationships/hyperlink" Target="https://pbs.twimg.com/profile_images/378800000326851690/31a53679fad3e2366222d213ad196573_normal.jpeg" TargetMode="External"/><Relationship Id="rId4259" Type="http://schemas.openxmlformats.org/officeDocument/2006/relationships/hyperlink" Target="https://pbs.twimg.com/profile_images/682881425331236864/zFd7F2uA_normal.jpg" TargetMode="External"/><Relationship Id="rId5587" Type="http://schemas.openxmlformats.org/officeDocument/2006/relationships/hyperlink" Target="https://twitter.com/Rbloggers/status/702601490427281408" TargetMode="External"/><Relationship Id="rId4258" Type="http://schemas.openxmlformats.org/officeDocument/2006/relationships/hyperlink" Target="https://twitter.com/sainathadapa/status/702325855515578368" TargetMode="External"/><Relationship Id="rId5588" Type="http://schemas.openxmlformats.org/officeDocument/2006/relationships/hyperlink" Target="http://r-bloggers.com" TargetMode="External"/><Relationship Id="rId9113" Type="http://schemas.openxmlformats.org/officeDocument/2006/relationships/hyperlink" Target="https://pbs.twimg.com/profile_images/576799609873428480/V8akQ-mi_normal.jpeg" TargetMode="External"/><Relationship Id="rId9112" Type="http://schemas.openxmlformats.org/officeDocument/2006/relationships/hyperlink" Target="https://twitter.com/fjalolop000/status/703250938308517888" TargetMode="External"/><Relationship Id="rId9111" Type="http://schemas.openxmlformats.org/officeDocument/2006/relationships/hyperlink" Target="https://twitter.com/fjalolop000" TargetMode="External"/><Relationship Id="rId9110" Type="http://schemas.openxmlformats.org/officeDocument/2006/relationships/hyperlink" Target="https://pbs.twimg.com/profile_images/612471608725213184/eXKo2Kmo_normal.jpg" TargetMode="External"/><Relationship Id="rId9117" Type="http://schemas.openxmlformats.org/officeDocument/2006/relationships/hyperlink" Target="https://twitter.com/AntoViral" TargetMode="External"/><Relationship Id="rId9116" Type="http://schemas.openxmlformats.org/officeDocument/2006/relationships/hyperlink" Target="https://pbs.twimg.com/profile_images/1222779560/cran1_normal.jpg" TargetMode="External"/><Relationship Id="rId9115" Type="http://schemas.openxmlformats.org/officeDocument/2006/relationships/hyperlink" Target="https://twitter.com/CRANberriesFeed/status/703251599670571008" TargetMode="External"/><Relationship Id="rId9114" Type="http://schemas.openxmlformats.org/officeDocument/2006/relationships/hyperlink" Target="https://twitter.com/CRANberriesFeed" TargetMode="External"/><Relationship Id="rId9119" Type="http://schemas.openxmlformats.org/officeDocument/2006/relationships/hyperlink" Target="https://pbs.twimg.com/profile_images/378800000794889152/545ea4ed01fbb17969822e1ee9b0f3fa_normal.jpeg" TargetMode="External"/><Relationship Id="rId9118" Type="http://schemas.openxmlformats.org/officeDocument/2006/relationships/hyperlink" Target="https://twitter.com/AntoViral/status/703251739273797632" TargetMode="External"/><Relationship Id="rId9102" Type="http://schemas.openxmlformats.org/officeDocument/2006/relationships/hyperlink" Target="https://twitter.com/MarcosFontela" TargetMode="External"/><Relationship Id="rId9101" Type="http://schemas.openxmlformats.org/officeDocument/2006/relationships/hyperlink" Target="https://pbs.twimg.com/profile_images/657225471109627904/WMoGNEGJ_normal.jpg" TargetMode="External"/><Relationship Id="rId9100" Type="http://schemas.openxmlformats.org/officeDocument/2006/relationships/hyperlink" Target="https://twitter.com/MarcosFontela/status/703249481970622467" TargetMode="External"/><Relationship Id="rId9106" Type="http://schemas.openxmlformats.org/officeDocument/2006/relationships/hyperlink" Target="https://twitter.com/lapply/status/703250412405702656" TargetMode="External"/><Relationship Id="rId9105" Type="http://schemas.openxmlformats.org/officeDocument/2006/relationships/hyperlink" Target="https://twitter.com/lapply" TargetMode="External"/><Relationship Id="rId9104" Type="http://schemas.openxmlformats.org/officeDocument/2006/relationships/hyperlink" Target="https://pbs.twimg.com/profile_images/657225471109627904/WMoGNEGJ_normal.jpg" TargetMode="External"/><Relationship Id="rId9103" Type="http://schemas.openxmlformats.org/officeDocument/2006/relationships/hyperlink" Target="https://twitter.com/MarcosFontela/status/703249919105220609" TargetMode="External"/><Relationship Id="rId9109" Type="http://schemas.openxmlformats.org/officeDocument/2006/relationships/hyperlink" Target="https://twitter.com/DataWookie/status/703250474175102976" TargetMode="External"/><Relationship Id="rId9108" Type="http://schemas.openxmlformats.org/officeDocument/2006/relationships/hyperlink" Target="https://twitter.com/DataWookie" TargetMode="External"/><Relationship Id="rId9107" Type="http://schemas.openxmlformats.org/officeDocument/2006/relationships/hyperlink" Target="https://pbs.twimg.com/profile_images/671264548473712641/0ReHbQ1S_normal.jpg" TargetMode="External"/><Relationship Id="rId6902" Type="http://schemas.openxmlformats.org/officeDocument/2006/relationships/hyperlink" Target="https://twitter.com/MangoTheCat" TargetMode="External"/><Relationship Id="rId6903" Type="http://schemas.openxmlformats.org/officeDocument/2006/relationships/hyperlink" Target="https://twitter.com/MangoTheCat/status/702898084955754496" TargetMode="External"/><Relationship Id="rId6900" Type="http://schemas.openxmlformats.org/officeDocument/2006/relationships/hyperlink" Target="https://twitter.com/MangoTheCat/status/702897596663205890" TargetMode="External"/><Relationship Id="rId6901" Type="http://schemas.openxmlformats.org/officeDocument/2006/relationships/hyperlink" Target="https://pbs.twimg.com/profile_images/641183991077445633/V7VcBpJI_normal.png" TargetMode="External"/><Relationship Id="rId6906" Type="http://schemas.openxmlformats.org/officeDocument/2006/relationships/hyperlink" Target="https://twitter.com/kouame006/status/702898468063453184" TargetMode="External"/><Relationship Id="rId6907" Type="http://schemas.openxmlformats.org/officeDocument/2006/relationships/hyperlink" Target="https://pbs.twimg.com/profile_images/415268271794180096/aTqe4J1y_normal.jpeg" TargetMode="External"/><Relationship Id="rId6904" Type="http://schemas.openxmlformats.org/officeDocument/2006/relationships/hyperlink" Target="https://pbs.twimg.com/profile_images/641183991077445633/V7VcBpJI_normal.png" TargetMode="External"/><Relationship Id="rId6905" Type="http://schemas.openxmlformats.org/officeDocument/2006/relationships/hyperlink" Target="https://twitter.com/kouame006" TargetMode="External"/><Relationship Id="rId6908" Type="http://schemas.openxmlformats.org/officeDocument/2006/relationships/hyperlink" Target="https://twitter.com/DataFinest" TargetMode="External"/><Relationship Id="rId6909" Type="http://schemas.openxmlformats.org/officeDocument/2006/relationships/hyperlink" Target="https://twitter.com/DataFinest/status/702898659399176193" TargetMode="External"/><Relationship Id="rId9182" Type="http://schemas.openxmlformats.org/officeDocument/2006/relationships/hyperlink" Target="http://Linkis.com" TargetMode="External"/><Relationship Id="rId9181" Type="http://schemas.openxmlformats.org/officeDocument/2006/relationships/hyperlink" Target="https://twitter.com/mitchdata/status/703261259286892544" TargetMode="External"/><Relationship Id="rId9180" Type="http://schemas.openxmlformats.org/officeDocument/2006/relationships/hyperlink" Target="https://twitter.com/mitchdata" TargetMode="External"/><Relationship Id="rId9175" Type="http://schemas.openxmlformats.org/officeDocument/2006/relationships/hyperlink" Target="https://twitter.com/jimRsmiley/status/703260640417353729" TargetMode="External"/><Relationship Id="rId9174" Type="http://schemas.openxmlformats.org/officeDocument/2006/relationships/hyperlink" Target="https://twitter.com/jimRsmiley" TargetMode="External"/><Relationship Id="rId9173" Type="http://schemas.openxmlformats.org/officeDocument/2006/relationships/hyperlink" Target="https://pbs.twimg.com/profile_images/3447656961/756ce55df422525f8f74642907dd1d9f_normal.jpeg" TargetMode="External"/><Relationship Id="rId9172" Type="http://schemas.openxmlformats.org/officeDocument/2006/relationships/hyperlink" Target="https://twitter.com/brendantierney/status/703260537157771264" TargetMode="External"/><Relationship Id="rId9179" Type="http://schemas.openxmlformats.org/officeDocument/2006/relationships/hyperlink" Target="https://pbs.twimg.com/profile_images/564424575169986560/oM3kAlrd_normal.jpeg" TargetMode="External"/><Relationship Id="rId9178" Type="http://schemas.openxmlformats.org/officeDocument/2006/relationships/hyperlink" Target="https://twitter.com/carbonphilia/status/703261088159125504" TargetMode="External"/><Relationship Id="rId9177" Type="http://schemas.openxmlformats.org/officeDocument/2006/relationships/hyperlink" Target="https://twitter.com/carbonphilia" TargetMode="External"/><Relationship Id="rId9176" Type="http://schemas.openxmlformats.org/officeDocument/2006/relationships/hyperlink" Target="https://pbs.twimg.com/profile_images/568406261310300161/LXCB-GIZ_normal.jpeg" TargetMode="External"/><Relationship Id="rId9171" Type="http://schemas.openxmlformats.org/officeDocument/2006/relationships/hyperlink" Target="https://twitter.com/brendantierney" TargetMode="External"/><Relationship Id="rId9170" Type="http://schemas.openxmlformats.org/officeDocument/2006/relationships/hyperlink" Target="https://pbs.twimg.com/profile_images/666324246356979712/baQ2cKge_normal.jpg" TargetMode="External"/><Relationship Id="rId9164" Type="http://schemas.openxmlformats.org/officeDocument/2006/relationships/hyperlink" Target="https://pbs.twimg.com/profile_images/699984077877874688/aR2ovqId_normal.png" TargetMode="External"/><Relationship Id="rId9163" Type="http://schemas.openxmlformats.org/officeDocument/2006/relationships/hyperlink" Target="https://twitter.com/NowLivecodingtv/status/703258941061468160" TargetMode="External"/><Relationship Id="rId9162" Type="http://schemas.openxmlformats.org/officeDocument/2006/relationships/hyperlink" Target="https://twitter.com/NowLivecodingtv" TargetMode="External"/><Relationship Id="rId9161" Type="http://schemas.openxmlformats.org/officeDocument/2006/relationships/hyperlink" Target="https://pbs.twimg.com/profile_images/472050859430252544/h7xnGa7q_normal.png" TargetMode="External"/><Relationship Id="rId9168" Type="http://schemas.openxmlformats.org/officeDocument/2006/relationships/hyperlink" Target="https://twitter.com/WeekendArchaeo" TargetMode="External"/><Relationship Id="rId9167" Type="http://schemas.openxmlformats.org/officeDocument/2006/relationships/hyperlink" Target="https://pbs.twimg.com/profile_images/1126156365/trainee_geek__1__normal.jpg" TargetMode="External"/><Relationship Id="rId9166" Type="http://schemas.openxmlformats.org/officeDocument/2006/relationships/hyperlink" Target="https://twitter.com/TraineeGeek/status/703259456969318402" TargetMode="External"/><Relationship Id="rId9165" Type="http://schemas.openxmlformats.org/officeDocument/2006/relationships/hyperlink" Target="https://twitter.com/TraineeGeek" TargetMode="External"/><Relationship Id="rId9169" Type="http://schemas.openxmlformats.org/officeDocument/2006/relationships/hyperlink" Target="https://twitter.com/WeekendArchaeo/status/703259797156659200" TargetMode="External"/><Relationship Id="rId6924" Type="http://schemas.openxmlformats.org/officeDocument/2006/relationships/hyperlink" Target="https://twitter.com/sjackman/status/702899667550339073" TargetMode="External"/><Relationship Id="rId6925" Type="http://schemas.openxmlformats.org/officeDocument/2006/relationships/hyperlink" Target="https://pbs.twimg.com/profile_images/1477813716/sdj-headshot-square_normal.jpg" TargetMode="External"/><Relationship Id="rId6922" Type="http://schemas.openxmlformats.org/officeDocument/2006/relationships/hyperlink" Target="https://pbs.twimg.com/profile_images/119769350/logo-azul-blanco_normal.png" TargetMode="External"/><Relationship Id="rId6923" Type="http://schemas.openxmlformats.org/officeDocument/2006/relationships/hyperlink" Target="https://twitter.com/sjackman" TargetMode="External"/><Relationship Id="rId6928" Type="http://schemas.openxmlformats.org/officeDocument/2006/relationships/hyperlink" Target="https://pbs.twimg.com/profile_images/119769350/logo-azul-blanco_normal.png" TargetMode="External"/><Relationship Id="rId6929" Type="http://schemas.openxmlformats.org/officeDocument/2006/relationships/hyperlink" Target="https://twitter.com/BenBondLamberty" TargetMode="External"/><Relationship Id="rId6926" Type="http://schemas.openxmlformats.org/officeDocument/2006/relationships/hyperlink" Target="https://twitter.com/nekrum" TargetMode="External"/><Relationship Id="rId6927" Type="http://schemas.openxmlformats.org/officeDocument/2006/relationships/hyperlink" Target="https://twitter.com/nekrum/status/702900362718478337" TargetMode="External"/><Relationship Id="rId409" Type="http://schemas.openxmlformats.org/officeDocument/2006/relationships/hyperlink" Target="https://pbs.twimg.com/profile_images/603153255217156096/KoGYjyQT_normal.jpg" TargetMode="External"/><Relationship Id="rId404" Type="http://schemas.openxmlformats.org/officeDocument/2006/relationships/hyperlink" Target="https://twitter.com/lowlandscph" TargetMode="External"/><Relationship Id="rId9197" Type="http://schemas.openxmlformats.org/officeDocument/2006/relationships/hyperlink" Target="https://twitter.com/tonyfujs/status/703266113099067392" TargetMode="External"/><Relationship Id="rId403" Type="http://schemas.openxmlformats.org/officeDocument/2006/relationships/hyperlink" Target="https://pbs.twimg.com/profile_images/614632550988775424/rQn_pk5X_normal.jpg" TargetMode="External"/><Relationship Id="rId9196" Type="http://schemas.openxmlformats.org/officeDocument/2006/relationships/hyperlink" Target="https://twitter.com/tonyfujs" TargetMode="External"/><Relationship Id="rId402" Type="http://schemas.openxmlformats.org/officeDocument/2006/relationships/hyperlink" Target="https://twitter.com/henrikbengtsson/status/701451009776726017" TargetMode="External"/><Relationship Id="rId9195" Type="http://schemas.openxmlformats.org/officeDocument/2006/relationships/hyperlink" Target="https://pbs.twimg.com/profile_images/3760071618/d215633771a2732f1c5df22f9ecfa54e_normal.jpeg" TargetMode="External"/><Relationship Id="rId401" Type="http://schemas.openxmlformats.org/officeDocument/2006/relationships/hyperlink" Target="https://twitter.com/henrikbengtsson" TargetMode="External"/><Relationship Id="rId9194" Type="http://schemas.openxmlformats.org/officeDocument/2006/relationships/hyperlink" Target="https://twitter.com/davidmeza1/status/703264289449222144" TargetMode="External"/><Relationship Id="rId408" Type="http://schemas.openxmlformats.org/officeDocument/2006/relationships/hyperlink" Target="https://twitter.com/Abcd_R/status/701451918514765829" TargetMode="External"/><Relationship Id="rId407" Type="http://schemas.openxmlformats.org/officeDocument/2006/relationships/hyperlink" Target="https://twitter.com/Abcd_R" TargetMode="External"/><Relationship Id="rId406" Type="http://schemas.openxmlformats.org/officeDocument/2006/relationships/hyperlink" Target="https://pbs.twimg.com/profile_images/433187518817636352/fbAQFWRp_normal.jpeg" TargetMode="External"/><Relationship Id="rId9199" Type="http://schemas.openxmlformats.org/officeDocument/2006/relationships/hyperlink" Target="https://twitter.com/overleaf" TargetMode="External"/><Relationship Id="rId405" Type="http://schemas.openxmlformats.org/officeDocument/2006/relationships/hyperlink" Target="https://twitter.com/lowlandscph/status/701451742488174592" TargetMode="External"/><Relationship Id="rId9198" Type="http://schemas.openxmlformats.org/officeDocument/2006/relationships/hyperlink" Target="https://pbs.twimg.com/profile_images/522421820893327360/ibxzf4n7_normal.jpeg" TargetMode="External"/><Relationship Id="rId400" Type="http://schemas.openxmlformats.org/officeDocument/2006/relationships/hyperlink" Target="https://pbs.twimg.com/profile_images/464419265886429184/JCUjgnEI_normal.jpeg" TargetMode="External"/><Relationship Id="rId6920" Type="http://schemas.openxmlformats.org/officeDocument/2006/relationships/hyperlink" Target="https://twitter.com/nekrum" TargetMode="External"/><Relationship Id="rId6921" Type="http://schemas.openxmlformats.org/officeDocument/2006/relationships/hyperlink" Target="https://twitter.com/nekrum/status/702899341187424258" TargetMode="External"/><Relationship Id="rId6913" Type="http://schemas.openxmlformats.org/officeDocument/2006/relationships/hyperlink" Target="https://pbs.twimg.com/profile_images/119769350/logo-azul-blanco_normal.png" TargetMode="External"/><Relationship Id="rId6914" Type="http://schemas.openxmlformats.org/officeDocument/2006/relationships/hyperlink" Target="https://twitter.com/openmylab" TargetMode="External"/><Relationship Id="rId6911" Type="http://schemas.openxmlformats.org/officeDocument/2006/relationships/hyperlink" Target="https://twitter.com/nekrum" TargetMode="External"/><Relationship Id="rId6912" Type="http://schemas.openxmlformats.org/officeDocument/2006/relationships/hyperlink" Target="https://twitter.com/nekrum/status/702898739996798977" TargetMode="External"/><Relationship Id="rId6917" Type="http://schemas.openxmlformats.org/officeDocument/2006/relationships/hyperlink" Target="https://twitter.com/dapostolopoylos" TargetMode="External"/><Relationship Id="rId6918" Type="http://schemas.openxmlformats.org/officeDocument/2006/relationships/hyperlink" Target="https://twitter.com/dapostolopoylos/status/702898830388404225" TargetMode="External"/><Relationship Id="rId6915" Type="http://schemas.openxmlformats.org/officeDocument/2006/relationships/hyperlink" Target="https://twitter.com/openmylab/status/702898741192175616" TargetMode="External"/><Relationship Id="rId6916" Type="http://schemas.openxmlformats.org/officeDocument/2006/relationships/hyperlink" Target="https://pbs.twimg.com/profile_images/696226577386852352/yseUYL_3_normal.jpg" TargetMode="External"/><Relationship Id="rId6919" Type="http://schemas.openxmlformats.org/officeDocument/2006/relationships/hyperlink" Target="https://pbs.twimg.com/profile_images/689459179585597440/Lqol6hY6_normal.jpg" TargetMode="External"/><Relationship Id="rId9193" Type="http://schemas.openxmlformats.org/officeDocument/2006/relationships/hyperlink" Target="https://twitter.com/davidmeza1" TargetMode="External"/><Relationship Id="rId9192" Type="http://schemas.openxmlformats.org/officeDocument/2006/relationships/hyperlink" Target="https://pbs.twimg.com/profile_images/557700337499246592/GNhhuM_7_normal.jpeg" TargetMode="External"/><Relationship Id="rId9191" Type="http://schemas.openxmlformats.org/officeDocument/2006/relationships/hyperlink" Target="https://twitter.com/tejaykodali/status/703263629097832448" TargetMode="External"/><Relationship Id="rId9190" Type="http://schemas.openxmlformats.org/officeDocument/2006/relationships/hyperlink" Target="https://twitter.com/tejaykodali" TargetMode="External"/><Relationship Id="rId9186" Type="http://schemas.openxmlformats.org/officeDocument/2006/relationships/hyperlink" Target="https://pbs.twimg.com/profile_images/455879123718512640/QIegeSuQ_normal.jpeg" TargetMode="External"/><Relationship Id="rId9185" Type="http://schemas.openxmlformats.org/officeDocument/2006/relationships/hyperlink" Target="https://twitter.com/mitchdata/status/703261995567419392" TargetMode="External"/><Relationship Id="rId9184" Type="http://schemas.openxmlformats.org/officeDocument/2006/relationships/hyperlink" Target="https://twitter.com/mitchdata" TargetMode="External"/><Relationship Id="rId9183" Type="http://schemas.openxmlformats.org/officeDocument/2006/relationships/hyperlink" Target="https://pbs.twimg.com/profile_images/455879123718512640/QIegeSuQ_normal.jpeg" TargetMode="External"/><Relationship Id="rId9189" Type="http://schemas.openxmlformats.org/officeDocument/2006/relationships/hyperlink" Target="https://pbs.twimg.com/profile_images/716369722/MeThinker_normal.jpg" TargetMode="External"/><Relationship Id="rId9188" Type="http://schemas.openxmlformats.org/officeDocument/2006/relationships/hyperlink" Target="https://twitter.com/hexheadtn/status/703262558782816257" TargetMode="External"/><Relationship Id="rId9187" Type="http://schemas.openxmlformats.org/officeDocument/2006/relationships/hyperlink" Target="https://twitter.com/hexheadtn" TargetMode="External"/><Relationship Id="rId6910" Type="http://schemas.openxmlformats.org/officeDocument/2006/relationships/hyperlink" Target="https://pbs.twimg.com/profile_images/675225906173124609/xPlpeuKw_normal.png" TargetMode="External"/><Relationship Id="rId9131" Type="http://schemas.openxmlformats.org/officeDocument/2006/relationships/hyperlink" Target="https://pbs.twimg.com/profile_images/670315479517413376/Kkf5JA8s_normal.png" TargetMode="External"/><Relationship Id="rId9130" Type="http://schemas.openxmlformats.org/officeDocument/2006/relationships/hyperlink" Target="https://twitter.com/skilloak/status/703253218541719552" TargetMode="External"/><Relationship Id="rId9135" Type="http://schemas.openxmlformats.org/officeDocument/2006/relationships/hyperlink" Target="https://twitter.com/HarlanH" TargetMode="External"/><Relationship Id="rId9134" Type="http://schemas.openxmlformats.org/officeDocument/2006/relationships/hyperlink" Target="https://pbs.twimg.com/profile_images/2511025558/losdg6ijjr45u5hwq0sm_normal.jpeg" TargetMode="External"/><Relationship Id="rId9133" Type="http://schemas.openxmlformats.org/officeDocument/2006/relationships/hyperlink" Target="https://twitter.com/amuzaj/status/703253311542140928" TargetMode="External"/><Relationship Id="rId9132" Type="http://schemas.openxmlformats.org/officeDocument/2006/relationships/hyperlink" Target="https://twitter.com/amuzaj" TargetMode="External"/><Relationship Id="rId9139" Type="http://schemas.openxmlformats.org/officeDocument/2006/relationships/hyperlink" Target="https://twitter.com/earlconf/status/703253697208389632" TargetMode="External"/><Relationship Id="rId9138" Type="http://schemas.openxmlformats.org/officeDocument/2006/relationships/hyperlink" Target="https://twitter.com/earlconf" TargetMode="External"/><Relationship Id="rId9137" Type="http://schemas.openxmlformats.org/officeDocument/2006/relationships/hyperlink" Target="https://pbs.twimg.com/profile_images/460916501738835969/gFuvWDgl_normal.jpeg" TargetMode="External"/><Relationship Id="rId9136" Type="http://schemas.openxmlformats.org/officeDocument/2006/relationships/hyperlink" Target="https://twitter.com/HarlanH/status/703253374188331008" TargetMode="External"/><Relationship Id="rId9120" Type="http://schemas.openxmlformats.org/officeDocument/2006/relationships/hyperlink" Target="https://twitter.com/EleanorJennin11" TargetMode="External"/><Relationship Id="rId9124" Type="http://schemas.openxmlformats.org/officeDocument/2006/relationships/hyperlink" Target="https://twitter.com/AntoViral/status/703252105717555201" TargetMode="External"/><Relationship Id="rId9123" Type="http://schemas.openxmlformats.org/officeDocument/2006/relationships/hyperlink" Target="https://twitter.com/AntoViral" TargetMode="External"/><Relationship Id="rId9122" Type="http://schemas.openxmlformats.org/officeDocument/2006/relationships/hyperlink" Target="https://pbs.twimg.com/profile_images/634853199871090688/sW-g7hZa_normal.jpg" TargetMode="External"/><Relationship Id="rId9121" Type="http://schemas.openxmlformats.org/officeDocument/2006/relationships/hyperlink" Target="https://twitter.com/EleanorJennin11/status/703252055134236672" TargetMode="External"/><Relationship Id="rId9128" Type="http://schemas.openxmlformats.org/officeDocument/2006/relationships/hyperlink" Target="https://pbs.twimg.com/profile_images/549872383104790528/GzfOw30g_normal.jpeg" TargetMode="External"/><Relationship Id="rId9127" Type="http://schemas.openxmlformats.org/officeDocument/2006/relationships/hyperlink" Target="https://twitter.com/SteffLocke/status/703252758820954112" TargetMode="External"/><Relationship Id="rId9126" Type="http://schemas.openxmlformats.org/officeDocument/2006/relationships/hyperlink" Target="https://twitter.com/SteffLocke" TargetMode="External"/><Relationship Id="rId9125" Type="http://schemas.openxmlformats.org/officeDocument/2006/relationships/hyperlink" Target="https://pbs.twimg.com/profile_images/378800000794889152/545ea4ed01fbb17969822e1ee9b0f3fa_normal.jpeg" TargetMode="External"/><Relationship Id="rId9129" Type="http://schemas.openxmlformats.org/officeDocument/2006/relationships/hyperlink" Target="https://twitter.com/skilloak" TargetMode="External"/><Relationship Id="rId9160" Type="http://schemas.openxmlformats.org/officeDocument/2006/relationships/hyperlink" Target="https://twitter.com/DataScienceLA/status/703258307390115840" TargetMode="External"/><Relationship Id="rId9153" Type="http://schemas.openxmlformats.org/officeDocument/2006/relationships/hyperlink" Target="https://twitter.com/jomilo75" TargetMode="External"/><Relationship Id="rId9152" Type="http://schemas.openxmlformats.org/officeDocument/2006/relationships/hyperlink" Target="https://pbs.twimg.com/profile_images/521709588559564800/yMU8_7LD_normal.jpeg" TargetMode="External"/><Relationship Id="rId9151" Type="http://schemas.openxmlformats.org/officeDocument/2006/relationships/hyperlink" Target="https://twitter.com/NelfeCapharnaum/status/703256351674376197" TargetMode="External"/><Relationship Id="rId9150" Type="http://schemas.openxmlformats.org/officeDocument/2006/relationships/hyperlink" Target="https://twitter.com/NelfeCapharnaum" TargetMode="External"/><Relationship Id="rId9157" Type="http://schemas.openxmlformats.org/officeDocument/2006/relationships/hyperlink" Target="https://twitter.com/mtorchiano/status/703257426540294144" TargetMode="External"/><Relationship Id="rId9156" Type="http://schemas.openxmlformats.org/officeDocument/2006/relationships/hyperlink" Target="https://twitter.com/mtorchiano" TargetMode="External"/><Relationship Id="rId9155" Type="http://schemas.openxmlformats.org/officeDocument/2006/relationships/hyperlink" Target="https://pbs.twimg.com/profile_images/691734245727797248/OCcgCcTE_normal.jpg" TargetMode="External"/><Relationship Id="rId9154" Type="http://schemas.openxmlformats.org/officeDocument/2006/relationships/hyperlink" Target="https://twitter.com/jomilo75/status/703257205580046336" TargetMode="External"/><Relationship Id="rId9159" Type="http://schemas.openxmlformats.org/officeDocument/2006/relationships/hyperlink" Target="https://twitter.com/DataScienceLA" TargetMode="External"/><Relationship Id="rId9158" Type="http://schemas.openxmlformats.org/officeDocument/2006/relationships/hyperlink" Target="https://pbs.twimg.com/profile_images/508369142949244928/WjFdblux_normal.jpeg" TargetMode="External"/><Relationship Id="rId9142" Type="http://schemas.openxmlformats.org/officeDocument/2006/relationships/hyperlink" Target="https://twitter.com/MangoMattGlover/status/703253750446694400" TargetMode="External"/><Relationship Id="rId9141" Type="http://schemas.openxmlformats.org/officeDocument/2006/relationships/hyperlink" Target="https://twitter.com/MangoMattGlover" TargetMode="External"/><Relationship Id="rId9140" Type="http://schemas.openxmlformats.org/officeDocument/2006/relationships/hyperlink" Target="https://pbs.twimg.com/profile_images/432298122203512833/YDXfWlI__normal.png" TargetMode="External"/><Relationship Id="rId9146" Type="http://schemas.openxmlformats.org/officeDocument/2006/relationships/hyperlink" Target="https://pbs.twimg.com/profile_images/672029237029793792/_qKmCzM8_normal.png" TargetMode="External"/><Relationship Id="rId9145" Type="http://schemas.openxmlformats.org/officeDocument/2006/relationships/hyperlink" Target="https://twitter.com/sig_stats/status/703255724911104001" TargetMode="External"/><Relationship Id="rId9144" Type="http://schemas.openxmlformats.org/officeDocument/2006/relationships/hyperlink" Target="https://twitter.com/sig_stats" TargetMode="External"/><Relationship Id="rId9143" Type="http://schemas.openxmlformats.org/officeDocument/2006/relationships/hyperlink" Target="https://pbs.twimg.com/profile_images/658671552783896576/qahSiVSy_normal.jpg" TargetMode="External"/><Relationship Id="rId9149" Type="http://schemas.openxmlformats.org/officeDocument/2006/relationships/hyperlink" Target="https://pbs.twimg.com/profile_images/529377372617703424/CI8jT-WZ_normal.jpeg" TargetMode="External"/><Relationship Id="rId9148" Type="http://schemas.openxmlformats.org/officeDocument/2006/relationships/hyperlink" Target="https://twitter.com/ThomasJanek/status/703255821468225540" TargetMode="External"/><Relationship Id="rId9147" Type="http://schemas.openxmlformats.org/officeDocument/2006/relationships/hyperlink" Target="https://twitter.com/ThomasJanek" TargetMode="External"/><Relationship Id="rId4327" Type="http://schemas.openxmlformats.org/officeDocument/2006/relationships/hyperlink" Target="https://twitter.com/jletteboer" TargetMode="External"/><Relationship Id="rId5659" Type="http://schemas.openxmlformats.org/officeDocument/2006/relationships/hyperlink" Target="https://twitter.com/tz33cu" TargetMode="External"/><Relationship Id="rId4326" Type="http://schemas.openxmlformats.org/officeDocument/2006/relationships/hyperlink" Target="https://pbs.twimg.com/profile_images/548931380541792256/RN_Lg1sS_normal.jpeg" TargetMode="External"/><Relationship Id="rId4329" Type="http://schemas.openxmlformats.org/officeDocument/2006/relationships/hyperlink" Target="http://Paper.li" TargetMode="External"/><Relationship Id="rId5657" Type="http://schemas.openxmlformats.org/officeDocument/2006/relationships/hyperlink" Target="https://twitter.com/zsozdemir/status/702604063762939904" TargetMode="External"/><Relationship Id="rId6988" Type="http://schemas.openxmlformats.org/officeDocument/2006/relationships/hyperlink" Target="https://twitter.com/pdxrlang/status/702907615114711040" TargetMode="External"/><Relationship Id="rId4328" Type="http://schemas.openxmlformats.org/officeDocument/2006/relationships/hyperlink" Target="https://twitter.com/jletteboer/status/702345717927510016" TargetMode="External"/><Relationship Id="rId5658" Type="http://schemas.openxmlformats.org/officeDocument/2006/relationships/hyperlink" Target="https://pbs.twimg.com/profile_images/687380813172862976/xo2Yxv8Z_normal.jpg" TargetMode="External"/><Relationship Id="rId6989" Type="http://schemas.openxmlformats.org/officeDocument/2006/relationships/hyperlink" Target="https://pbs.twimg.com/profile_images/585868440440700928/i6zV-hSn_normal.png" TargetMode="External"/><Relationship Id="rId469" Type="http://schemas.openxmlformats.org/officeDocument/2006/relationships/hyperlink" Target="https://pbs.twimg.com/profile_images/459426041782468608/_JzTTE8B_normal.jpeg" TargetMode="External"/><Relationship Id="rId468" Type="http://schemas.openxmlformats.org/officeDocument/2006/relationships/hyperlink" Target="https://twitter.com/lorenzo_clem/status/701472923320762368" TargetMode="External"/><Relationship Id="rId467" Type="http://schemas.openxmlformats.org/officeDocument/2006/relationships/hyperlink" Target="https://twitter.com/lorenzo_clem" TargetMode="External"/><Relationship Id="rId462" Type="http://schemas.openxmlformats.org/officeDocument/2006/relationships/hyperlink" Target="https://twitter.com/timorainio/status/701470872893313024" TargetMode="External"/><Relationship Id="rId5651" Type="http://schemas.openxmlformats.org/officeDocument/2006/relationships/hyperlink" Target="https://twitter.com/AntonioSabogal/status/702603571192336384" TargetMode="External"/><Relationship Id="rId6982" Type="http://schemas.openxmlformats.org/officeDocument/2006/relationships/hyperlink" Target="https://twitter.com/sjackman/status/702907263292313600" TargetMode="External"/><Relationship Id="rId461" Type="http://schemas.openxmlformats.org/officeDocument/2006/relationships/hyperlink" Target="https://twitter.com/timorainio" TargetMode="External"/><Relationship Id="rId5652" Type="http://schemas.openxmlformats.org/officeDocument/2006/relationships/hyperlink" Target="https://pbs.twimg.com/profile_images/2225226950/image_normal.jpg" TargetMode="External"/><Relationship Id="rId6983" Type="http://schemas.openxmlformats.org/officeDocument/2006/relationships/hyperlink" Target="https://pbs.twimg.com/profile_images/1477813716/sdj-headshot-square_normal.jpg" TargetMode="External"/><Relationship Id="rId460" Type="http://schemas.openxmlformats.org/officeDocument/2006/relationships/hyperlink" Target="https://pbs.twimg.com/profile_images/663498717857644544/ixXOsMiL_normal.jpg" TargetMode="External"/><Relationship Id="rId4321" Type="http://schemas.openxmlformats.org/officeDocument/2006/relationships/hyperlink" Target="https://twitter.com/VinhLu0ng" TargetMode="External"/><Relationship Id="rId6980" Type="http://schemas.openxmlformats.org/officeDocument/2006/relationships/hyperlink" Target="https://pbs.twimg.com/profile_images/677566553253142528/_HPA3OpB_normal.jpg" TargetMode="External"/><Relationship Id="rId4320" Type="http://schemas.openxmlformats.org/officeDocument/2006/relationships/hyperlink" Target="https://pbs.twimg.com/profile_images/571506248055398400/NlgYe8s8_normal.jpeg" TargetMode="External"/><Relationship Id="rId5650" Type="http://schemas.openxmlformats.org/officeDocument/2006/relationships/hyperlink" Target="https://twitter.com/AntonioSabogal" TargetMode="External"/><Relationship Id="rId6981" Type="http://schemas.openxmlformats.org/officeDocument/2006/relationships/hyperlink" Target="https://twitter.com/sjackman" TargetMode="External"/><Relationship Id="rId466" Type="http://schemas.openxmlformats.org/officeDocument/2006/relationships/hyperlink" Target="https://pbs.twimg.com/profile_images/234609034/Press4_normal.jpg" TargetMode="External"/><Relationship Id="rId4323" Type="http://schemas.openxmlformats.org/officeDocument/2006/relationships/hyperlink" Target="https://pbs.twimg.com/profile_images/535199064644542464/o15Cbw1Q_normal.jpeg" TargetMode="External"/><Relationship Id="rId5655" Type="http://schemas.openxmlformats.org/officeDocument/2006/relationships/hyperlink" Target="https://pbs.twimg.com/profile_images/646940036215128064/rfsQWRBR_normal.jpg" TargetMode="External"/><Relationship Id="rId6986" Type="http://schemas.openxmlformats.org/officeDocument/2006/relationships/hyperlink" Target="https://pbs.twimg.com/profile_images/628062474491670529/KOOABG9v_normal.jpg" TargetMode="External"/><Relationship Id="rId465" Type="http://schemas.openxmlformats.org/officeDocument/2006/relationships/hyperlink" Target="https://twitter.com/salvag63/status/701471065227321345" TargetMode="External"/><Relationship Id="rId4322" Type="http://schemas.openxmlformats.org/officeDocument/2006/relationships/hyperlink" Target="https://twitter.com/VinhLu0ng/status/702344579144507393" TargetMode="External"/><Relationship Id="rId5656" Type="http://schemas.openxmlformats.org/officeDocument/2006/relationships/hyperlink" Target="https://twitter.com/zsozdemir" TargetMode="External"/><Relationship Id="rId6987" Type="http://schemas.openxmlformats.org/officeDocument/2006/relationships/hyperlink" Target="https://twitter.com/pdxrlang" TargetMode="External"/><Relationship Id="rId464" Type="http://schemas.openxmlformats.org/officeDocument/2006/relationships/hyperlink" Target="https://twitter.com/salvag63" TargetMode="External"/><Relationship Id="rId4325" Type="http://schemas.openxmlformats.org/officeDocument/2006/relationships/hyperlink" Target="https://twitter.com/wrgarciag/status/702345702140219395" TargetMode="External"/><Relationship Id="rId5653" Type="http://schemas.openxmlformats.org/officeDocument/2006/relationships/hyperlink" Target="https://twitter.com/suryanarayandev" TargetMode="External"/><Relationship Id="rId6984" Type="http://schemas.openxmlformats.org/officeDocument/2006/relationships/hyperlink" Target="https://twitter.com/sckottie" TargetMode="External"/><Relationship Id="rId463" Type="http://schemas.openxmlformats.org/officeDocument/2006/relationships/hyperlink" Target="https://pbs.twimg.com/profile_images/86126449/timonkuva_normal.jpg" TargetMode="External"/><Relationship Id="rId4324" Type="http://schemas.openxmlformats.org/officeDocument/2006/relationships/hyperlink" Target="https://twitter.com/wrgarciag" TargetMode="External"/><Relationship Id="rId5654" Type="http://schemas.openxmlformats.org/officeDocument/2006/relationships/hyperlink" Target="https://twitter.com/suryanarayandev/status/702603975929909248" TargetMode="External"/><Relationship Id="rId6985" Type="http://schemas.openxmlformats.org/officeDocument/2006/relationships/hyperlink" Target="https://twitter.com/sckottie/status/702907615089545216" TargetMode="External"/><Relationship Id="rId4316" Type="http://schemas.openxmlformats.org/officeDocument/2006/relationships/hyperlink" Target="https://twitter.com/hazediver/status/702342713350320128" TargetMode="External"/><Relationship Id="rId5648" Type="http://schemas.openxmlformats.org/officeDocument/2006/relationships/hyperlink" Target="https://twitter.com/renato_umeton/status/702603561243439104" TargetMode="External"/><Relationship Id="rId6979" Type="http://schemas.openxmlformats.org/officeDocument/2006/relationships/hyperlink" Target="https://twitter.com/Emineomer2/status/702906180335702016" TargetMode="External"/><Relationship Id="rId4315" Type="http://schemas.openxmlformats.org/officeDocument/2006/relationships/hyperlink" Target="https://twitter.com/hazediver" TargetMode="External"/><Relationship Id="rId5649" Type="http://schemas.openxmlformats.org/officeDocument/2006/relationships/hyperlink" Target="https://pbs.twimg.com/profile_images/701553083537604608/nr8b38eG_normal.jpg" TargetMode="External"/><Relationship Id="rId4318" Type="http://schemas.openxmlformats.org/officeDocument/2006/relationships/hyperlink" Target="https://twitter.com/ClarkGRichards" TargetMode="External"/><Relationship Id="rId5646" Type="http://schemas.openxmlformats.org/officeDocument/2006/relationships/hyperlink" Target="https://pbs.twimg.com/profile_images/701553083537604608/nr8b38eG_normal.jpg" TargetMode="External"/><Relationship Id="rId6977" Type="http://schemas.openxmlformats.org/officeDocument/2006/relationships/hyperlink" Target="https://pbs.twimg.com/profile_images/677566553253142528/_HPA3OpB_normal.jpg" TargetMode="External"/><Relationship Id="rId4317" Type="http://schemas.openxmlformats.org/officeDocument/2006/relationships/hyperlink" Target="https://pbs.twimg.com/profile_images/3611365466/37620a705c62e001235a775b1a63cb50_normal.jpeg" TargetMode="External"/><Relationship Id="rId5647" Type="http://schemas.openxmlformats.org/officeDocument/2006/relationships/hyperlink" Target="https://twitter.com/renato_umeton" TargetMode="External"/><Relationship Id="rId6978" Type="http://schemas.openxmlformats.org/officeDocument/2006/relationships/hyperlink" Target="https://twitter.com/Emineomer2" TargetMode="External"/><Relationship Id="rId4319" Type="http://schemas.openxmlformats.org/officeDocument/2006/relationships/hyperlink" Target="https://twitter.com/ClarkGRichards/status/702344430473211906" TargetMode="External"/><Relationship Id="rId459" Type="http://schemas.openxmlformats.org/officeDocument/2006/relationships/hyperlink" Target="https://twitter.com/CabuyReinnard/status/701470655091499009" TargetMode="External"/><Relationship Id="rId458" Type="http://schemas.openxmlformats.org/officeDocument/2006/relationships/hyperlink" Target="https://twitter.com/CabuyReinnard" TargetMode="External"/><Relationship Id="rId457" Type="http://schemas.openxmlformats.org/officeDocument/2006/relationships/hyperlink" Target="https://pbs.twimg.com/profile_images/685318018793127936/9LH8YuIT_normal.jpg" TargetMode="External"/><Relationship Id="rId456" Type="http://schemas.openxmlformats.org/officeDocument/2006/relationships/hyperlink" Target="https://twitter.com/AdiePrestone/status/701470626175963138" TargetMode="External"/><Relationship Id="rId451" Type="http://schemas.openxmlformats.org/officeDocument/2006/relationships/hyperlink" Target="https://twitter.com/Rbloggers" TargetMode="External"/><Relationship Id="rId5640" Type="http://schemas.openxmlformats.org/officeDocument/2006/relationships/hyperlink" Target="https://pbs.twimg.com/profile_images/535539844479332354/CA9doTjY_normal.jpeg" TargetMode="External"/><Relationship Id="rId6971" Type="http://schemas.openxmlformats.org/officeDocument/2006/relationships/hyperlink" Target="https://pbs.twimg.com/profile_images/597049552244330496/mLaqm1Qf_normal.jpg" TargetMode="External"/><Relationship Id="rId450" Type="http://schemas.openxmlformats.org/officeDocument/2006/relationships/hyperlink" Target="https://pbs.twimg.com/profile_images/502185985786916864/gkdFh-q7_normal.png" TargetMode="External"/><Relationship Id="rId5641" Type="http://schemas.openxmlformats.org/officeDocument/2006/relationships/hyperlink" Target="https://twitter.com/fjalolop000" TargetMode="External"/><Relationship Id="rId6972" Type="http://schemas.openxmlformats.org/officeDocument/2006/relationships/hyperlink" Target="https://twitter.com/BigDataTweetBot" TargetMode="External"/><Relationship Id="rId4310" Type="http://schemas.openxmlformats.org/officeDocument/2006/relationships/hyperlink" Target="https://twitter.com/archimedino/status/702341155376242689" TargetMode="External"/><Relationship Id="rId6970" Type="http://schemas.openxmlformats.org/officeDocument/2006/relationships/hyperlink" Target="https://twitter.com/jackiefloyd/status/702906032591282178" TargetMode="External"/><Relationship Id="rId455" Type="http://schemas.openxmlformats.org/officeDocument/2006/relationships/hyperlink" Target="https://twitter.com/AdiePrestone" TargetMode="External"/><Relationship Id="rId4312" Type="http://schemas.openxmlformats.org/officeDocument/2006/relationships/hyperlink" Target="https://twitter.com/sfrechette" TargetMode="External"/><Relationship Id="rId5644" Type="http://schemas.openxmlformats.org/officeDocument/2006/relationships/hyperlink" Target="https://twitter.com/renato_umeton" TargetMode="External"/><Relationship Id="rId6975" Type="http://schemas.openxmlformats.org/officeDocument/2006/relationships/hyperlink" Target="https://twitter.com/Emineomer2" TargetMode="External"/><Relationship Id="rId454" Type="http://schemas.openxmlformats.org/officeDocument/2006/relationships/hyperlink" Target="https://pbs.twimg.com/profile_images/502185985786916864/gkdFh-q7_normal.png" TargetMode="External"/><Relationship Id="rId4311" Type="http://schemas.openxmlformats.org/officeDocument/2006/relationships/hyperlink" Target="https://pbs.twimg.com/profile_images/526523280098725888/cmPB-YRO_normal.jpeg" TargetMode="External"/><Relationship Id="rId5645" Type="http://schemas.openxmlformats.org/officeDocument/2006/relationships/hyperlink" Target="https://twitter.com/renato_umeton/status/702603559641202688" TargetMode="External"/><Relationship Id="rId6976" Type="http://schemas.openxmlformats.org/officeDocument/2006/relationships/hyperlink" Target="https://twitter.com/Emineomer2/status/702906124576673792" TargetMode="External"/><Relationship Id="rId453" Type="http://schemas.openxmlformats.org/officeDocument/2006/relationships/hyperlink" Target="http://r-bloggers.com" TargetMode="External"/><Relationship Id="rId4314" Type="http://schemas.openxmlformats.org/officeDocument/2006/relationships/hyperlink" Target="https://pbs.twimg.com/profile_images/662342111799304192/Xtv8MZ-P_normal.jpg" TargetMode="External"/><Relationship Id="rId5642" Type="http://schemas.openxmlformats.org/officeDocument/2006/relationships/hyperlink" Target="https://twitter.com/fjalolop000/status/702603364463411200" TargetMode="External"/><Relationship Id="rId6973" Type="http://schemas.openxmlformats.org/officeDocument/2006/relationships/hyperlink" Target="https://twitter.com/BigDataTweetBot/status/702906077311016960" TargetMode="External"/><Relationship Id="rId452" Type="http://schemas.openxmlformats.org/officeDocument/2006/relationships/hyperlink" Target="https://twitter.com/Rbloggers/status/701470331177840641" TargetMode="External"/><Relationship Id="rId4313" Type="http://schemas.openxmlformats.org/officeDocument/2006/relationships/hyperlink" Target="https://twitter.com/sfrechette/status/702342189876174848" TargetMode="External"/><Relationship Id="rId5643" Type="http://schemas.openxmlformats.org/officeDocument/2006/relationships/hyperlink" Target="https://pbs.twimg.com/profile_images/576799609873428480/V8akQ-mi_normal.jpeg" TargetMode="External"/><Relationship Id="rId6974" Type="http://schemas.openxmlformats.org/officeDocument/2006/relationships/hyperlink" Target="https://pbs.twimg.com/profile_images/616793252524650496/bQbxJqmz_normal.jpg" TargetMode="External"/><Relationship Id="rId3018" Type="http://schemas.openxmlformats.org/officeDocument/2006/relationships/hyperlink" Target="https://twitter.com/earlconf" TargetMode="External"/><Relationship Id="rId4349" Type="http://schemas.openxmlformats.org/officeDocument/2006/relationships/hyperlink" Target="https://twitter.com/artemklevtsov" TargetMode="External"/><Relationship Id="rId3017" Type="http://schemas.openxmlformats.org/officeDocument/2006/relationships/hyperlink" Target="https://pbs.twimg.com/profile_images/668389812722900992/9wzAOLHg_normal.jpg" TargetMode="External"/><Relationship Id="rId4348" Type="http://schemas.openxmlformats.org/officeDocument/2006/relationships/hyperlink" Target="https://pbs.twimg.com/profile_images/693505203178381313/ZGhv9DqA_normal.jpg" TargetMode="External"/><Relationship Id="rId5679" Type="http://schemas.openxmlformats.org/officeDocument/2006/relationships/hyperlink" Target="https://pbs.twimg.com/profile_images/3350285193/ce39db4d30863e74cf9033c743a6e5b8_normal.jpeg" TargetMode="External"/><Relationship Id="rId3019" Type="http://schemas.openxmlformats.org/officeDocument/2006/relationships/hyperlink" Target="https://twitter.com/earlconf/status/702073167729156096" TargetMode="External"/><Relationship Id="rId491" Type="http://schemas.openxmlformats.org/officeDocument/2006/relationships/hyperlink" Target="https://twitter.com/fjalolop000" TargetMode="External"/><Relationship Id="rId490" Type="http://schemas.openxmlformats.org/officeDocument/2006/relationships/hyperlink" Target="https://pbs.twimg.com/profile_images/464737468311289856/UxDeSZ3B_normal.jpeg" TargetMode="External"/><Relationship Id="rId489" Type="http://schemas.openxmlformats.org/officeDocument/2006/relationships/hyperlink" Target="https://twitter.com/josephsirosh/status/701474888263929856" TargetMode="External"/><Relationship Id="rId5670" Type="http://schemas.openxmlformats.org/officeDocument/2006/relationships/hyperlink" Target="https://pbs.twimg.com/profile_images/559743059789762561/0E4ssdxo_normal.jpeg" TargetMode="External"/><Relationship Id="rId484" Type="http://schemas.openxmlformats.org/officeDocument/2006/relationships/hyperlink" Target="https://pbs.twimg.com/profile_images/596095125425561601/_PpYZIl7_normal.jpg" TargetMode="External"/><Relationship Id="rId3010" Type="http://schemas.openxmlformats.org/officeDocument/2006/relationships/hyperlink" Target="https://twitter.com/padpadpadpad/status/702069563027038208" TargetMode="External"/><Relationship Id="rId4341" Type="http://schemas.openxmlformats.org/officeDocument/2006/relationships/hyperlink" Target="https://twitter.com/Abcd_R/status/702347520517734400" TargetMode="External"/><Relationship Id="rId5673" Type="http://schemas.openxmlformats.org/officeDocument/2006/relationships/hyperlink" Target="https://pbs.twimg.com/profile_images/646940036215128064/rfsQWRBR_normal.jpg" TargetMode="External"/><Relationship Id="rId483" Type="http://schemas.openxmlformats.org/officeDocument/2006/relationships/hyperlink" Target="https://twitter.com/StatsSOS/status/701474015907594241" TargetMode="External"/><Relationship Id="rId4340" Type="http://schemas.openxmlformats.org/officeDocument/2006/relationships/hyperlink" Target="https://twitter.com/Abcd_R" TargetMode="External"/><Relationship Id="rId5674" Type="http://schemas.openxmlformats.org/officeDocument/2006/relationships/hyperlink" Target="https://twitter.com/german_marin" TargetMode="External"/><Relationship Id="rId482" Type="http://schemas.openxmlformats.org/officeDocument/2006/relationships/hyperlink" Target="https://twitter.com/StatsSOS" TargetMode="External"/><Relationship Id="rId3012" Type="http://schemas.openxmlformats.org/officeDocument/2006/relationships/hyperlink" Target="https://twitter.com/c_iantosca" TargetMode="External"/><Relationship Id="rId4343" Type="http://schemas.openxmlformats.org/officeDocument/2006/relationships/hyperlink" Target="https://twitter.com/raulpacheco" TargetMode="External"/><Relationship Id="rId5671" Type="http://schemas.openxmlformats.org/officeDocument/2006/relationships/hyperlink" Target="https://twitter.com/suryanarayandev" TargetMode="External"/><Relationship Id="rId481" Type="http://schemas.openxmlformats.org/officeDocument/2006/relationships/hyperlink" Target="https://pbs.twimg.com/profile_images/596095125425561601/_PpYZIl7_normal.jpg" TargetMode="External"/><Relationship Id="rId3011" Type="http://schemas.openxmlformats.org/officeDocument/2006/relationships/hyperlink" Target="https://pbs.twimg.com/profile_images/378800000363119050/b74dc68da06b9bc7d1a4fef17408a297_normal.jpeg" TargetMode="External"/><Relationship Id="rId4342" Type="http://schemas.openxmlformats.org/officeDocument/2006/relationships/hyperlink" Target="https://pbs.twimg.com/profile_images/603153255217156096/KoGYjyQT_normal.jpg" TargetMode="External"/><Relationship Id="rId5672" Type="http://schemas.openxmlformats.org/officeDocument/2006/relationships/hyperlink" Target="https://twitter.com/suryanarayandev/status/702604541854756864" TargetMode="External"/><Relationship Id="rId488" Type="http://schemas.openxmlformats.org/officeDocument/2006/relationships/hyperlink" Target="https://twitter.com/josephsirosh" TargetMode="External"/><Relationship Id="rId3014" Type="http://schemas.openxmlformats.org/officeDocument/2006/relationships/hyperlink" Target="https://pbs.twimg.com/profile_images/668389812722900992/9wzAOLHg_normal.jpg" TargetMode="External"/><Relationship Id="rId4345" Type="http://schemas.openxmlformats.org/officeDocument/2006/relationships/hyperlink" Target="https://pbs.twimg.com/profile_images/632998448342568960/ts8z_AE3_normal.jpg" TargetMode="External"/><Relationship Id="rId5677" Type="http://schemas.openxmlformats.org/officeDocument/2006/relationships/hyperlink" Target="https://twitter.com/Libardopez" TargetMode="External"/><Relationship Id="rId487" Type="http://schemas.openxmlformats.org/officeDocument/2006/relationships/hyperlink" Target="https://pbs.twimg.com/profile_images/305220535/MeSmirkHead_normal.JPG" TargetMode="External"/><Relationship Id="rId3013" Type="http://schemas.openxmlformats.org/officeDocument/2006/relationships/hyperlink" Target="https://twitter.com/c_iantosca/status/702072690136502272" TargetMode="External"/><Relationship Id="rId4344" Type="http://schemas.openxmlformats.org/officeDocument/2006/relationships/hyperlink" Target="https://twitter.com/raulpacheco/status/702348437321220099" TargetMode="External"/><Relationship Id="rId5678" Type="http://schemas.openxmlformats.org/officeDocument/2006/relationships/hyperlink" Target="https://twitter.com/Libardopez/status/702605046521925632" TargetMode="External"/><Relationship Id="rId486" Type="http://schemas.openxmlformats.org/officeDocument/2006/relationships/hyperlink" Target="https://twitter.com/dnusinow/status/701474263090524160" TargetMode="External"/><Relationship Id="rId3016" Type="http://schemas.openxmlformats.org/officeDocument/2006/relationships/hyperlink" Target="https://twitter.com/c_iantosca/status/702072840766492672" TargetMode="External"/><Relationship Id="rId4347" Type="http://schemas.openxmlformats.org/officeDocument/2006/relationships/hyperlink" Target="https://twitter.com/stephenwinkler/status/702349730571902976" TargetMode="External"/><Relationship Id="rId5675" Type="http://schemas.openxmlformats.org/officeDocument/2006/relationships/hyperlink" Target="https://twitter.com/german_marin/status/702604829990985729" TargetMode="External"/><Relationship Id="rId485" Type="http://schemas.openxmlformats.org/officeDocument/2006/relationships/hyperlink" Target="https://twitter.com/dnusinow" TargetMode="External"/><Relationship Id="rId3015" Type="http://schemas.openxmlformats.org/officeDocument/2006/relationships/hyperlink" Target="https://twitter.com/c_iantosca" TargetMode="External"/><Relationship Id="rId4346" Type="http://schemas.openxmlformats.org/officeDocument/2006/relationships/hyperlink" Target="https://twitter.com/stephenwinkler" TargetMode="External"/><Relationship Id="rId5676" Type="http://schemas.openxmlformats.org/officeDocument/2006/relationships/hyperlink" Target="https://pbs.twimg.com/profile_images/620270366917795840/_ohHhSNt_normal.jpg" TargetMode="External"/><Relationship Id="rId3007" Type="http://schemas.openxmlformats.org/officeDocument/2006/relationships/hyperlink" Target="https://twitter.com/thanhtungmilan/status/702068589369536512" TargetMode="External"/><Relationship Id="rId4338" Type="http://schemas.openxmlformats.org/officeDocument/2006/relationships/hyperlink" Target="https://twitter.com/theWPSA/status/702347214367039488" TargetMode="External"/><Relationship Id="rId3006" Type="http://schemas.openxmlformats.org/officeDocument/2006/relationships/hyperlink" Target="https://twitter.com/thanhtungmilan" TargetMode="External"/><Relationship Id="rId4337" Type="http://schemas.openxmlformats.org/officeDocument/2006/relationships/hyperlink" Target="https://twitter.com/theWPSA" TargetMode="External"/><Relationship Id="rId3009" Type="http://schemas.openxmlformats.org/officeDocument/2006/relationships/hyperlink" Target="https://twitter.com/padpadpadpad" TargetMode="External"/><Relationship Id="rId5668" Type="http://schemas.openxmlformats.org/officeDocument/2006/relationships/hyperlink" Target="https://twitter.com/_SevillaR" TargetMode="External"/><Relationship Id="rId6999" Type="http://schemas.openxmlformats.org/officeDocument/2006/relationships/hyperlink" Target="https://twitter.com/All_DataScience" TargetMode="External"/><Relationship Id="rId3008" Type="http://schemas.openxmlformats.org/officeDocument/2006/relationships/hyperlink" Target="https://pbs.twimg.com/profile_images/561301462399979521/20njf5kj_normal.jpeg" TargetMode="External"/><Relationship Id="rId4339" Type="http://schemas.openxmlformats.org/officeDocument/2006/relationships/hyperlink" Target="https://pbs.twimg.com/profile_images/378800000632227002/90ac67022403b6a03f46340d54683344_normal.jpeg" TargetMode="External"/><Relationship Id="rId5669" Type="http://schemas.openxmlformats.org/officeDocument/2006/relationships/hyperlink" Target="https://twitter.com/_SevillaR/status/702604444861652992" TargetMode="External"/><Relationship Id="rId480" Type="http://schemas.openxmlformats.org/officeDocument/2006/relationships/hyperlink" Target="https://twitter.com/StatsSOS/status/701473978628624389" TargetMode="External"/><Relationship Id="rId479" Type="http://schemas.openxmlformats.org/officeDocument/2006/relationships/hyperlink" Target="https://twitter.com/StatsSOS" TargetMode="External"/><Relationship Id="rId478" Type="http://schemas.openxmlformats.org/officeDocument/2006/relationships/hyperlink" Target="https://pbs.twimg.com/profile_images/662342111799304192/Xtv8MZ-P_normal.jpg" TargetMode="External"/><Relationship Id="rId6990" Type="http://schemas.openxmlformats.org/officeDocument/2006/relationships/hyperlink" Target="https://twitter.com/csgillespie" TargetMode="External"/><Relationship Id="rId473" Type="http://schemas.openxmlformats.org/officeDocument/2006/relationships/hyperlink" Target="https://twitter.com/CasaresFelix" TargetMode="External"/><Relationship Id="rId4330" Type="http://schemas.openxmlformats.org/officeDocument/2006/relationships/hyperlink" Target="https://pbs.twimg.com/profile_images/524199331365015552/O94t9yIe_normal.jpeg" TargetMode="External"/><Relationship Id="rId5662" Type="http://schemas.openxmlformats.org/officeDocument/2006/relationships/hyperlink" Target="https://twitter.com/najapliz" TargetMode="External"/><Relationship Id="rId6993" Type="http://schemas.openxmlformats.org/officeDocument/2006/relationships/hyperlink" Target="https://twitter.com/JorgeACenturion" TargetMode="External"/><Relationship Id="rId472" Type="http://schemas.openxmlformats.org/officeDocument/2006/relationships/hyperlink" Target="https://pbs.twimg.com/profile_images/1245605063/Photo_on_2011-01-26_at_15.31_normal.jpg" TargetMode="External"/><Relationship Id="rId5663" Type="http://schemas.openxmlformats.org/officeDocument/2006/relationships/hyperlink" Target="https://twitter.com/najapliz/status/702604319879733249" TargetMode="External"/><Relationship Id="rId6994" Type="http://schemas.openxmlformats.org/officeDocument/2006/relationships/hyperlink" Target="https://twitter.com/JorgeACenturion/status/702908340326834176" TargetMode="External"/><Relationship Id="rId471" Type="http://schemas.openxmlformats.org/officeDocument/2006/relationships/hyperlink" Target="https://twitter.com/jmonogan/status/701473526532988928" TargetMode="External"/><Relationship Id="rId3001" Type="http://schemas.openxmlformats.org/officeDocument/2006/relationships/hyperlink" Target="https://twitter.com/UGentDA/status/702066133189455872" TargetMode="External"/><Relationship Id="rId4332" Type="http://schemas.openxmlformats.org/officeDocument/2006/relationships/hyperlink" Target="https://twitter.com/rstatsocean/status/702346767384195072" TargetMode="External"/><Relationship Id="rId5660" Type="http://schemas.openxmlformats.org/officeDocument/2006/relationships/hyperlink" Target="https://twitter.com/tz33cu/status/702604220160208897" TargetMode="External"/><Relationship Id="rId6991" Type="http://schemas.openxmlformats.org/officeDocument/2006/relationships/hyperlink" Target="https://twitter.com/csgillespie/status/702907909781463041" TargetMode="External"/><Relationship Id="rId470" Type="http://schemas.openxmlformats.org/officeDocument/2006/relationships/hyperlink" Target="https://twitter.com/jmonogan" TargetMode="External"/><Relationship Id="rId3000" Type="http://schemas.openxmlformats.org/officeDocument/2006/relationships/hyperlink" Target="https://twitter.com/UGentDA" TargetMode="External"/><Relationship Id="rId4331" Type="http://schemas.openxmlformats.org/officeDocument/2006/relationships/hyperlink" Target="https://twitter.com/rstatsocean" TargetMode="External"/><Relationship Id="rId5661" Type="http://schemas.openxmlformats.org/officeDocument/2006/relationships/hyperlink" Target="https://pbs.twimg.com/profile_images/640243239388246016/yEAuMN4t_normal.jpg" TargetMode="External"/><Relationship Id="rId6992" Type="http://schemas.openxmlformats.org/officeDocument/2006/relationships/hyperlink" Target="https://pbs.twimg.com/profile_images/642263873/P8070026a_normal.JPG" TargetMode="External"/><Relationship Id="rId477" Type="http://schemas.openxmlformats.org/officeDocument/2006/relationships/hyperlink" Target="https://twitter.com/sfrechette/status/701473737795878916" TargetMode="External"/><Relationship Id="rId3003" Type="http://schemas.openxmlformats.org/officeDocument/2006/relationships/hyperlink" Target="https://twitter.com/MangoTheCat" TargetMode="External"/><Relationship Id="rId4334" Type="http://schemas.openxmlformats.org/officeDocument/2006/relationships/hyperlink" Target="https://twitter.com/snickolas" TargetMode="External"/><Relationship Id="rId5666" Type="http://schemas.openxmlformats.org/officeDocument/2006/relationships/hyperlink" Target="https://twitter.com/MineCastellanos/status/702604415543291904" TargetMode="External"/><Relationship Id="rId6997" Type="http://schemas.openxmlformats.org/officeDocument/2006/relationships/hyperlink" Target="https://twitter.com/AnalyticsVidhya/status/702908593713115137" TargetMode="External"/><Relationship Id="rId476" Type="http://schemas.openxmlformats.org/officeDocument/2006/relationships/hyperlink" Target="https://twitter.com/sfrechette" TargetMode="External"/><Relationship Id="rId3002" Type="http://schemas.openxmlformats.org/officeDocument/2006/relationships/hyperlink" Target="https://pbs.twimg.com/profile_images/597678504398958592/7Au4C_Vm_normal.jpg" TargetMode="External"/><Relationship Id="rId4333" Type="http://schemas.openxmlformats.org/officeDocument/2006/relationships/hyperlink" Target="https://pbs.twimg.com/profile_images/614983742893985792/KFDo0nYW_normal.jpg" TargetMode="External"/><Relationship Id="rId5667" Type="http://schemas.openxmlformats.org/officeDocument/2006/relationships/hyperlink" Target="https://pbs.twimg.com/profile_images/643266527345573890/o9nTQOiC_normal.png" TargetMode="External"/><Relationship Id="rId6998" Type="http://schemas.openxmlformats.org/officeDocument/2006/relationships/hyperlink" Target="https://pbs.twimg.com/profile_images/457775762108448768/XmO2C1-E_normal.png" TargetMode="External"/><Relationship Id="rId475" Type="http://schemas.openxmlformats.org/officeDocument/2006/relationships/hyperlink" Target="https://pbs.twimg.com/profile_images/642799683409158144/xSW6RBV__normal.jpg" TargetMode="External"/><Relationship Id="rId3005" Type="http://schemas.openxmlformats.org/officeDocument/2006/relationships/hyperlink" Target="https://pbs.twimg.com/profile_images/641183991077445633/V7VcBpJI_normal.png" TargetMode="External"/><Relationship Id="rId4336" Type="http://schemas.openxmlformats.org/officeDocument/2006/relationships/hyperlink" Target="https://pbs.twimg.com/profile_images/659901510000779266/XUTk0yim_normal.jpg" TargetMode="External"/><Relationship Id="rId5664" Type="http://schemas.openxmlformats.org/officeDocument/2006/relationships/hyperlink" Target="https://pbs.twimg.com/profile_images/662543769254932480/e5yAe3TL_normal.jpg" TargetMode="External"/><Relationship Id="rId6995" Type="http://schemas.openxmlformats.org/officeDocument/2006/relationships/hyperlink" Target="https://pbs.twimg.com/profile_images/443006870257545217/C4CqbPh1_normal.jpeg" TargetMode="External"/><Relationship Id="rId474" Type="http://schemas.openxmlformats.org/officeDocument/2006/relationships/hyperlink" Target="https://twitter.com/CasaresFelix/status/701473600214319104" TargetMode="External"/><Relationship Id="rId3004" Type="http://schemas.openxmlformats.org/officeDocument/2006/relationships/hyperlink" Target="https://twitter.com/MangoTheCat/status/702067883468156929" TargetMode="External"/><Relationship Id="rId4335" Type="http://schemas.openxmlformats.org/officeDocument/2006/relationships/hyperlink" Target="https://twitter.com/snickolas/status/702347061736448000" TargetMode="External"/><Relationship Id="rId5665" Type="http://schemas.openxmlformats.org/officeDocument/2006/relationships/hyperlink" Target="https://twitter.com/MineCastellanos" TargetMode="External"/><Relationship Id="rId6996" Type="http://schemas.openxmlformats.org/officeDocument/2006/relationships/hyperlink" Target="https://twitter.com/AnalyticsVidhya" TargetMode="External"/><Relationship Id="rId5615" Type="http://schemas.openxmlformats.org/officeDocument/2006/relationships/hyperlink" Target="https://twitter.com/WestCoastPole/status/702602560109158400" TargetMode="External"/><Relationship Id="rId6946" Type="http://schemas.openxmlformats.org/officeDocument/2006/relationships/hyperlink" Target="https://pbs.twimg.com/profile_images/697055714603372544/5_eawi5a_normal.png" TargetMode="External"/><Relationship Id="rId5616" Type="http://schemas.openxmlformats.org/officeDocument/2006/relationships/hyperlink" Target="https://pbs.twimg.com/profile_images/697258194142236672/s37qIvfo_normal.png" TargetMode="External"/><Relationship Id="rId6947" Type="http://schemas.openxmlformats.org/officeDocument/2006/relationships/hyperlink" Target="https://twitter.com/IamLord_Zico" TargetMode="External"/><Relationship Id="rId5613" Type="http://schemas.openxmlformats.org/officeDocument/2006/relationships/hyperlink" Target="https://abs.twimg.com/sticky/default_profile_images/default_profile_4_normal.png" TargetMode="External"/><Relationship Id="rId6944" Type="http://schemas.openxmlformats.org/officeDocument/2006/relationships/hyperlink" Target="https://twitter.com/LewisSpurgin" TargetMode="External"/><Relationship Id="rId5614" Type="http://schemas.openxmlformats.org/officeDocument/2006/relationships/hyperlink" Target="https://twitter.com/WestCoastPole" TargetMode="External"/><Relationship Id="rId6945" Type="http://schemas.openxmlformats.org/officeDocument/2006/relationships/hyperlink" Target="https://twitter.com/LewisSpurgin/status/702902771721310209" TargetMode="External"/><Relationship Id="rId5619" Type="http://schemas.openxmlformats.org/officeDocument/2006/relationships/hyperlink" Target="http://r-bloggers.com" TargetMode="External"/><Relationship Id="rId5617" Type="http://schemas.openxmlformats.org/officeDocument/2006/relationships/hyperlink" Target="https://twitter.com/Rbloggers" TargetMode="External"/><Relationship Id="rId6948" Type="http://schemas.openxmlformats.org/officeDocument/2006/relationships/hyperlink" Target="https://twitter.com/IamLord_Zico/status/702903082229874688" TargetMode="External"/><Relationship Id="rId5618" Type="http://schemas.openxmlformats.org/officeDocument/2006/relationships/hyperlink" Target="https://twitter.com/Rbloggers/status/702602679957135364" TargetMode="External"/><Relationship Id="rId6949" Type="http://schemas.openxmlformats.org/officeDocument/2006/relationships/hyperlink" Target="https://pbs.twimg.com/profile_images/695428125383995393/AHgGbV7f_normal.jpg" TargetMode="External"/><Relationship Id="rId426" Type="http://schemas.openxmlformats.org/officeDocument/2006/relationships/hyperlink" Target="https://twitter.com/jeniferjones" TargetMode="External"/><Relationship Id="rId425" Type="http://schemas.openxmlformats.org/officeDocument/2006/relationships/hyperlink" Target="https://pbs.twimg.com/profile_images/665941102927724545/aIq20AI8_normal.jpg" TargetMode="External"/><Relationship Id="rId424" Type="http://schemas.openxmlformats.org/officeDocument/2006/relationships/hyperlink" Target="https://twitter.com/AlePalmi82/status/701461738076696577" TargetMode="External"/><Relationship Id="rId423" Type="http://schemas.openxmlformats.org/officeDocument/2006/relationships/hyperlink" Target="https://twitter.com/AlePalmi82" TargetMode="External"/><Relationship Id="rId429" Type="http://schemas.openxmlformats.org/officeDocument/2006/relationships/hyperlink" Target="https://twitter.com/msgbimathbubble" TargetMode="External"/><Relationship Id="rId428" Type="http://schemas.openxmlformats.org/officeDocument/2006/relationships/hyperlink" Target="https://pbs.twimg.com/profile_images/551824464003219458/gVZL97yA_normal.jpeg" TargetMode="External"/><Relationship Id="rId427" Type="http://schemas.openxmlformats.org/officeDocument/2006/relationships/hyperlink" Target="https://twitter.com/jeniferjones/status/701467524152614912" TargetMode="External"/><Relationship Id="rId422" Type="http://schemas.openxmlformats.org/officeDocument/2006/relationships/hyperlink" Target="https://pbs.twimg.com/profile_images/462505042671448065/vaC8jnWl_normal.png" TargetMode="External"/><Relationship Id="rId5611" Type="http://schemas.openxmlformats.org/officeDocument/2006/relationships/hyperlink" Target="https://twitter.com/hermansm" TargetMode="External"/><Relationship Id="rId6942" Type="http://schemas.openxmlformats.org/officeDocument/2006/relationships/hyperlink" Target="https://twitter.com/natalyk159/status/702902441222668288" TargetMode="External"/><Relationship Id="rId421" Type="http://schemas.openxmlformats.org/officeDocument/2006/relationships/hyperlink" Target="https://twitter.com/ambynet/status/701461124437434368" TargetMode="External"/><Relationship Id="rId5612" Type="http://schemas.openxmlformats.org/officeDocument/2006/relationships/hyperlink" Target="https://twitter.com/hermansm/status/702602535429918724" TargetMode="External"/><Relationship Id="rId6943" Type="http://schemas.openxmlformats.org/officeDocument/2006/relationships/hyperlink" Target="https://pbs.twimg.com/profile_images/534891136272195584/z8Fp8dAL_normal.jpeg" TargetMode="External"/><Relationship Id="rId420" Type="http://schemas.openxmlformats.org/officeDocument/2006/relationships/hyperlink" Target="https://twitter.com/ambynet" TargetMode="External"/><Relationship Id="rId6940" Type="http://schemas.openxmlformats.org/officeDocument/2006/relationships/hyperlink" Target="https://pbs.twimg.com/profile_images/1344530309/RLangTip_normal.png" TargetMode="External"/><Relationship Id="rId5610" Type="http://schemas.openxmlformats.org/officeDocument/2006/relationships/hyperlink" Target="https://pbs.twimg.com/profile_images/700700203309862913/-XiSshsX_normal.jpg" TargetMode="External"/><Relationship Id="rId6941" Type="http://schemas.openxmlformats.org/officeDocument/2006/relationships/hyperlink" Target="https://twitter.com/natalyk159" TargetMode="External"/><Relationship Id="rId5604" Type="http://schemas.openxmlformats.org/officeDocument/2006/relationships/hyperlink" Target="https://pbs.twimg.com/profile_images/688832050334445568/HUUhr5Zf_normal.jpg" TargetMode="External"/><Relationship Id="rId6935" Type="http://schemas.openxmlformats.org/officeDocument/2006/relationships/hyperlink" Target="https://twitter.com/DataCamp" TargetMode="External"/><Relationship Id="rId5605" Type="http://schemas.openxmlformats.org/officeDocument/2006/relationships/hyperlink" Target="https://twitter.com/dbikard" TargetMode="External"/><Relationship Id="rId6936" Type="http://schemas.openxmlformats.org/officeDocument/2006/relationships/hyperlink" Target="https://twitter.com/DataCamp/status/702901474221752320" TargetMode="External"/><Relationship Id="rId5602" Type="http://schemas.openxmlformats.org/officeDocument/2006/relationships/hyperlink" Target="https://twitter.com/Eselquesoy" TargetMode="External"/><Relationship Id="rId6933" Type="http://schemas.openxmlformats.org/officeDocument/2006/relationships/hyperlink" Target="https://twitter.com/DominoDataLab/status/702900896531771393" TargetMode="External"/><Relationship Id="rId5603" Type="http://schemas.openxmlformats.org/officeDocument/2006/relationships/hyperlink" Target="https://twitter.com/Eselquesoy/status/702602098987417600" TargetMode="External"/><Relationship Id="rId6934" Type="http://schemas.openxmlformats.org/officeDocument/2006/relationships/hyperlink" Target="https://pbs.twimg.com/profile_images/671154942380400641/ySYpd-P3_normal.jpg" TargetMode="External"/><Relationship Id="rId5608" Type="http://schemas.openxmlformats.org/officeDocument/2006/relationships/hyperlink" Target="https://twitter.com/MorningstarCPA" TargetMode="External"/><Relationship Id="rId6939" Type="http://schemas.openxmlformats.org/officeDocument/2006/relationships/hyperlink" Target="https://twitter.com/RLangTip/status/702902411598422017" TargetMode="External"/><Relationship Id="rId5609" Type="http://schemas.openxmlformats.org/officeDocument/2006/relationships/hyperlink" Target="https://twitter.com/MorningstarCPA/status/702602508963704832" TargetMode="External"/><Relationship Id="rId5606" Type="http://schemas.openxmlformats.org/officeDocument/2006/relationships/hyperlink" Target="https://twitter.com/dbikard/status/702602293821235200" TargetMode="External"/><Relationship Id="rId6937" Type="http://schemas.openxmlformats.org/officeDocument/2006/relationships/hyperlink" Target="https://pbs.twimg.com/profile_images/676442777018834944/Bk-dJvoN_normal.png" TargetMode="External"/><Relationship Id="rId5607" Type="http://schemas.openxmlformats.org/officeDocument/2006/relationships/hyperlink" Target="https://pbs.twimg.com/profile_images/541693132853628928/vv8_t6AL_normal.png" TargetMode="External"/><Relationship Id="rId6938" Type="http://schemas.openxmlformats.org/officeDocument/2006/relationships/hyperlink" Target="https://twitter.com/RLangTip" TargetMode="External"/><Relationship Id="rId415" Type="http://schemas.openxmlformats.org/officeDocument/2006/relationships/hyperlink" Target="https://twitter.com/alearc_arcese/status/701452995775561729" TargetMode="External"/><Relationship Id="rId414" Type="http://schemas.openxmlformats.org/officeDocument/2006/relationships/hyperlink" Target="https://twitter.com/alearc_arcese" TargetMode="External"/><Relationship Id="rId413" Type="http://schemas.openxmlformats.org/officeDocument/2006/relationships/hyperlink" Target="https://pbs.twimg.com/profile_images/543031439785082880/3_0pPEBa_normal.png" TargetMode="External"/><Relationship Id="rId412" Type="http://schemas.openxmlformats.org/officeDocument/2006/relationships/hyperlink" Target="https://twitter.com/MigrationNet/status/701451963980980224" TargetMode="External"/><Relationship Id="rId419" Type="http://schemas.openxmlformats.org/officeDocument/2006/relationships/hyperlink" Target="https://pbs.twimg.com/profile_images/470626645083037696/FicOo9YX_normal.jpeg" TargetMode="External"/><Relationship Id="rId418" Type="http://schemas.openxmlformats.org/officeDocument/2006/relationships/hyperlink" Target="https://twitter.com/segalop/status/701457379087486976" TargetMode="External"/><Relationship Id="rId417" Type="http://schemas.openxmlformats.org/officeDocument/2006/relationships/hyperlink" Target="https://twitter.com/segalop" TargetMode="External"/><Relationship Id="rId416" Type="http://schemas.openxmlformats.org/officeDocument/2006/relationships/hyperlink" Target="https://pbs.twimg.com/profile_images/637284919836733440/tjPeZl8q_normal.jpg" TargetMode="External"/><Relationship Id="rId411" Type="http://schemas.openxmlformats.org/officeDocument/2006/relationships/hyperlink" Target="http://MigrationScholars.CH" TargetMode="External"/><Relationship Id="rId5600" Type="http://schemas.openxmlformats.org/officeDocument/2006/relationships/hyperlink" Target="https://twitter.com/jdmar3/status/702601840664260608" TargetMode="External"/><Relationship Id="rId6931" Type="http://schemas.openxmlformats.org/officeDocument/2006/relationships/hyperlink" Target="https://pbs.twimg.com/profile_images/378800000379904772/a5a32945f329f35a345b28adfa8fe081_normal.png" TargetMode="External"/><Relationship Id="rId410" Type="http://schemas.openxmlformats.org/officeDocument/2006/relationships/hyperlink" Target="https://twitter.com/MigrationNet" TargetMode="External"/><Relationship Id="rId5601" Type="http://schemas.openxmlformats.org/officeDocument/2006/relationships/hyperlink" Target="https://pbs.twimg.com/profile_images/664110305291685888/YKg9XxRd_normal.jpg" TargetMode="External"/><Relationship Id="rId6932" Type="http://schemas.openxmlformats.org/officeDocument/2006/relationships/hyperlink" Target="https://twitter.com/DominoDataLab" TargetMode="External"/><Relationship Id="rId6930" Type="http://schemas.openxmlformats.org/officeDocument/2006/relationships/hyperlink" Target="https://twitter.com/BenBondLamberty/status/702900605862473728" TargetMode="External"/><Relationship Id="rId4305" Type="http://schemas.openxmlformats.org/officeDocument/2006/relationships/hyperlink" Target="https://pbs.twimg.com/profile_images/568067400809984000/MXrq4e8A_normal.jpeg" TargetMode="External"/><Relationship Id="rId5637" Type="http://schemas.openxmlformats.org/officeDocument/2006/relationships/hyperlink" Target="https://pbs.twimg.com/profile_images/700700203309862913/-XiSshsX_normal.jpg" TargetMode="External"/><Relationship Id="rId6968" Type="http://schemas.openxmlformats.org/officeDocument/2006/relationships/hyperlink" Target="https://pbs.twimg.com/profile_images/378800000006571392/4cd81e259ef75bf4b58fe177b8461af0_normal.jpeg" TargetMode="External"/><Relationship Id="rId4304" Type="http://schemas.openxmlformats.org/officeDocument/2006/relationships/hyperlink" Target="https://twitter.com/pa_marais/status/702341021598949376" TargetMode="External"/><Relationship Id="rId5638" Type="http://schemas.openxmlformats.org/officeDocument/2006/relationships/hyperlink" Target="https://twitter.com/kyle_e_walker" TargetMode="External"/><Relationship Id="rId6969" Type="http://schemas.openxmlformats.org/officeDocument/2006/relationships/hyperlink" Target="https://twitter.com/jackiefloyd" TargetMode="External"/><Relationship Id="rId4307" Type="http://schemas.openxmlformats.org/officeDocument/2006/relationships/hyperlink" Target="https://twitter.com/pa_marais/status/702341073625022464" TargetMode="External"/><Relationship Id="rId5635" Type="http://schemas.openxmlformats.org/officeDocument/2006/relationships/hyperlink" Target="https://twitter.com/MorningstarCPA" TargetMode="External"/><Relationship Id="rId6966" Type="http://schemas.openxmlformats.org/officeDocument/2006/relationships/hyperlink" Target="https://twitter.com/patrickshafto" TargetMode="External"/><Relationship Id="rId4306" Type="http://schemas.openxmlformats.org/officeDocument/2006/relationships/hyperlink" Target="https://twitter.com/pa_marais" TargetMode="External"/><Relationship Id="rId5636" Type="http://schemas.openxmlformats.org/officeDocument/2006/relationships/hyperlink" Target="https://twitter.com/MorningstarCPA/status/702603094715006976" TargetMode="External"/><Relationship Id="rId6967" Type="http://schemas.openxmlformats.org/officeDocument/2006/relationships/hyperlink" Target="https://twitter.com/patrickshafto/status/702905799799152640" TargetMode="External"/><Relationship Id="rId4309" Type="http://schemas.openxmlformats.org/officeDocument/2006/relationships/hyperlink" Target="https://twitter.com/archimedino" TargetMode="External"/><Relationship Id="rId4308" Type="http://schemas.openxmlformats.org/officeDocument/2006/relationships/hyperlink" Target="https://pbs.twimg.com/profile_images/568067400809984000/MXrq4e8A_normal.jpeg" TargetMode="External"/><Relationship Id="rId5639" Type="http://schemas.openxmlformats.org/officeDocument/2006/relationships/hyperlink" Target="https://twitter.com/kyle_e_walker/status/702603106190643200" TargetMode="External"/><Relationship Id="rId448" Type="http://schemas.openxmlformats.org/officeDocument/2006/relationships/hyperlink" Target="https://twitter.com/Rbloggers/status/701470310432796672" TargetMode="External"/><Relationship Id="rId447" Type="http://schemas.openxmlformats.org/officeDocument/2006/relationships/hyperlink" Target="https://twitter.com/Rbloggers" TargetMode="External"/><Relationship Id="rId446" Type="http://schemas.openxmlformats.org/officeDocument/2006/relationships/hyperlink" Target="https://pbs.twimg.com/profile_images/502185985786916864/gkdFh-q7_normal.png" TargetMode="External"/><Relationship Id="rId445" Type="http://schemas.openxmlformats.org/officeDocument/2006/relationships/hyperlink" Target="http://r-bloggers.com" TargetMode="External"/><Relationship Id="rId449" Type="http://schemas.openxmlformats.org/officeDocument/2006/relationships/hyperlink" Target="http://r-bloggers.com" TargetMode="External"/><Relationship Id="rId440" Type="http://schemas.openxmlformats.org/officeDocument/2006/relationships/hyperlink" Target="https://twitter.com/Rbloggers/status/701470232519380992" TargetMode="External"/><Relationship Id="rId6960" Type="http://schemas.openxmlformats.org/officeDocument/2006/relationships/hyperlink" Target="http://Flex.io" TargetMode="External"/><Relationship Id="rId5630" Type="http://schemas.openxmlformats.org/officeDocument/2006/relationships/hyperlink" Target="https://twitter.com/datascienceplus/status/702602871213264897" TargetMode="External"/><Relationship Id="rId6961" Type="http://schemas.openxmlformats.org/officeDocument/2006/relationships/hyperlink" Target="https://twitter.com/flexiodata/status/702905414887849984" TargetMode="External"/><Relationship Id="rId444" Type="http://schemas.openxmlformats.org/officeDocument/2006/relationships/hyperlink" Target="https://twitter.com/Rbloggers/status/701470273141211137" TargetMode="External"/><Relationship Id="rId4301" Type="http://schemas.openxmlformats.org/officeDocument/2006/relationships/hyperlink" Target="https://twitter.com/TrestleJeff/status/702339956253941760" TargetMode="External"/><Relationship Id="rId5633" Type="http://schemas.openxmlformats.org/officeDocument/2006/relationships/hyperlink" Target="https://twitter.com/sppitt/status/702603060225384450" TargetMode="External"/><Relationship Id="rId6964" Type="http://schemas.openxmlformats.org/officeDocument/2006/relationships/hyperlink" Target="https://twitter.com/mcxfrank/status/702905607557230592" TargetMode="External"/><Relationship Id="rId443" Type="http://schemas.openxmlformats.org/officeDocument/2006/relationships/hyperlink" Target="https://twitter.com/Rbloggers" TargetMode="External"/><Relationship Id="rId4300" Type="http://schemas.openxmlformats.org/officeDocument/2006/relationships/hyperlink" Target="https://twitter.com/TrestleJeff" TargetMode="External"/><Relationship Id="rId5634" Type="http://schemas.openxmlformats.org/officeDocument/2006/relationships/hyperlink" Target="https://pbs.twimg.com/profile_images/457921779655540736/223eRjPC_normal.jpeg" TargetMode="External"/><Relationship Id="rId6965" Type="http://schemas.openxmlformats.org/officeDocument/2006/relationships/hyperlink" Target="https://pbs.twimg.com/profile_images/378800000187409356/046dbee52b6e61587b41e4ecbbd4a4cf_normal.jpeg" TargetMode="External"/><Relationship Id="rId442" Type="http://schemas.openxmlformats.org/officeDocument/2006/relationships/hyperlink" Target="https://pbs.twimg.com/profile_images/502185985786916864/gkdFh-q7_normal.png" TargetMode="External"/><Relationship Id="rId4303" Type="http://schemas.openxmlformats.org/officeDocument/2006/relationships/hyperlink" Target="https://twitter.com/pa_marais" TargetMode="External"/><Relationship Id="rId5631" Type="http://schemas.openxmlformats.org/officeDocument/2006/relationships/hyperlink" Target="https://pbs.twimg.com/profile_images/630277871538278400/gEjxWtPD_normal.jpg" TargetMode="External"/><Relationship Id="rId6962" Type="http://schemas.openxmlformats.org/officeDocument/2006/relationships/hyperlink" Target="https://pbs.twimg.com/profile_images/494612417981067265/EBSDgGf4_normal.png" TargetMode="External"/><Relationship Id="rId441" Type="http://schemas.openxmlformats.org/officeDocument/2006/relationships/hyperlink" Target="http://r-bloggers.com" TargetMode="External"/><Relationship Id="rId4302" Type="http://schemas.openxmlformats.org/officeDocument/2006/relationships/hyperlink" Target="https://pbs.twimg.com/profile_images/2415591608/wnoj4nzrqyoukm38vj0w_normal.jpeg" TargetMode="External"/><Relationship Id="rId5632" Type="http://schemas.openxmlformats.org/officeDocument/2006/relationships/hyperlink" Target="https://twitter.com/sppitt" TargetMode="External"/><Relationship Id="rId6963" Type="http://schemas.openxmlformats.org/officeDocument/2006/relationships/hyperlink" Target="https://twitter.com/mcxfrank" TargetMode="External"/><Relationship Id="rId5626" Type="http://schemas.openxmlformats.org/officeDocument/2006/relationships/hyperlink" Target="https://twitter.com/Rbloggers/status/702602770663116801" TargetMode="External"/><Relationship Id="rId6957" Type="http://schemas.openxmlformats.org/officeDocument/2006/relationships/hyperlink" Target="https://twitter.com/polesasunder/status/702904850216947712" TargetMode="External"/><Relationship Id="rId5627" Type="http://schemas.openxmlformats.org/officeDocument/2006/relationships/hyperlink" Target="http://r-bloggers.com" TargetMode="External"/><Relationship Id="rId6958" Type="http://schemas.openxmlformats.org/officeDocument/2006/relationships/hyperlink" Target="https://pbs.twimg.com/profile_images/499358811564425216/jiX57F1h_normal.jpeg" TargetMode="External"/><Relationship Id="rId5624" Type="http://schemas.openxmlformats.org/officeDocument/2006/relationships/hyperlink" Target="https://pbs.twimg.com/profile_images/502185985786916864/gkdFh-q7_normal.png" TargetMode="External"/><Relationship Id="rId6955" Type="http://schemas.openxmlformats.org/officeDocument/2006/relationships/hyperlink" Target="https://pbs.twimg.com/profile_images/3515263408/4dcca0278120c97c765cd0a80806d091_normal.jpeg" TargetMode="External"/><Relationship Id="rId5625" Type="http://schemas.openxmlformats.org/officeDocument/2006/relationships/hyperlink" Target="https://twitter.com/Rbloggers" TargetMode="External"/><Relationship Id="rId6956" Type="http://schemas.openxmlformats.org/officeDocument/2006/relationships/hyperlink" Target="https://twitter.com/polesasunder" TargetMode="External"/><Relationship Id="rId5628" Type="http://schemas.openxmlformats.org/officeDocument/2006/relationships/hyperlink" Target="https://pbs.twimg.com/profile_images/502185985786916864/gkdFh-q7_normal.png" TargetMode="External"/><Relationship Id="rId6959" Type="http://schemas.openxmlformats.org/officeDocument/2006/relationships/hyperlink" Target="https://twitter.com/flexiodata" TargetMode="External"/><Relationship Id="rId5629" Type="http://schemas.openxmlformats.org/officeDocument/2006/relationships/hyperlink" Target="https://twitter.com/datascienceplus" TargetMode="External"/><Relationship Id="rId437" Type="http://schemas.openxmlformats.org/officeDocument/2006/relationships/hyperlink" Target="http://r-bloggers.com" TargetMode="External"/><Relationship Id="rId436" Type="http://schemas.openxmlformats.org/officeDocument/2006/relationships/hyperlink" Target="https://twitter.com/Rbloggers/status/701470215440207873" TargetMode="External"/><Relationship Id="rId435" Type="http://schemas.openxmlformats.org/officeDocument/2006/relationships/hyperlink" Target="https://twitter.com/Rbloggers" TargetMode="External"/><Relationship Id="rId434" Type="http://schemas.openxmlformats.org/officeDocument/2006/relationships/hyperlink" Target="https://pbs.twimg.com/profile_images/688434525874073601/B1bLfUke_normal.png" TargetMode="External"/><Relationship Id="rId439" Type="http://schemas.openxmlformats.org/officeDocument/2006/relationships/hyperlink" Target="https://twitter.com/Rbloggers" TargetMode="External"/><Relationship Id="rId438" Type="http://schemas.openxmlformats.org/officeDocument/2006/relationships/hyperlink" Target="https://pbs.twimg.com/profile_images/502185985786916864/gkdFh-q7_normal.png" TargetMode="External"/><Relationship Id="rId6950" Type="http://schemas.openxmlformats.org/officeDocument/2006/relationships/hyperlink" Target="https://twitter.com/desertnaut" TargetMode="External"/><Relationship Id="rId433" Type="http://schemas.openxmlformats.org/officeDocument/2006/relationships/hyperlink" Target="https://twitter.com/sagebiel/status/701470080635375620" TargetMode="External"/><Relationship Id="rId5622" Type="http://schemas.openxmlformats.org/officeDocument/2006/relationships/hyperlink" Target="https://twitter.com/Rbloggers/status/702602697535426560" TargetMode="External"/><Relationship Id="rId6953" Type="http://schemas.openxmlformats.org/officeDocument/2006/relationships/hyperlink" Target="https://twitter.com/desertnaut" TargetMode="External"/><Relationship Id="rId432" Type="http://schemas.openxmlformats.org/officeDocument/2006/relationships/hyperlink" Target="https://twitter.com/sagebiel" TargetMode="External"/><Relationship Id="rId5623" Type="http://schemas.openxmlformats.org/officeDocument/2006/relationships/hyperlink" Target="http://r-bloggers.com" TargetMode="External"/><Relationship Id="rId6954" Type="http://schemas.openxmlformats.org/officeDocument/2006/relationships/hyperlink" Target="https://twitter.com/desertnaut/status/702904403351699456" TargetMode="External"/><Relationship Id="rId431" Type="http://schemas.openxmlformats.org/officeDocument/2006/relationships/hyperlink" Target="https://pbs.twimg.com/profile_images/688291758904586240/D1NfDvX9_normal.png" TargetMode="External"/><Relationship Id="rId5620" Type="http://schemas.openxmlformats.org/officeDocument/2006/relationships/hyperlink" Target="https://pbs.twimg.com/profile_images/502185985786916864/gkdFh-q7_normal.png" TargetMode="External"/><Relationship Id="rId6951" Type="http://schemas.openxmlformats.org/officeDocument/2006/relationships/hyperlink" Target="https://twitter.com/desertnaut/status/702903948643049472" TargetMode="External"/><Relationship Id="rId430" Type="http://schemas.openxmlformats.org/officeDocument/2006/relationships/hyperlink" Target="https://twitter.com/msgbimathbubble/status/701468796704395265" TargetMode="External"/><Relationship Id="rId5621" Type="http://schemas.openxmlformats.org/officeDocument/2006/relationships/hyperlink" Target="https://twitter.com/Rbloggers" TargetMode="External"/><Relationship Id="rId6952" Type="http://schemas.openxmlformats.org/officeDocument/2006/relationships/hyperlink" Target="https://pbs.twimg.com/profile_images/3515263408/4dcca0278120c97c765cd0a80806d091_normal.jpeg" TargetMode="External"/><Relationship Id="rId6108" Type="http://schemas.openxmlformats.org/officeDocument/2006/relationships/hyperlink" Target="https://abs.twimg.com/sticky/default_profile_images/default_profile_2_normal.png" TargetMode="External"/><Relationship Id="rId6109" Type="http://schemas.openxmlformats.org/officeDocument/2006/relationships/hyperlink" Target="https://twitter.com/kentien93" TargetMode="External"/><Relationship Id="rId7439" Type="http://schemas.openxmlformats.org/officeDocument/2006/relationships/hyperlink" Target="https://twitter.com/tripartio/status/702965151352360961" TargetMode="External"/><Relationship Id="rId7430" Type="http://schemas.openxmlformats.org/officeDocument/2006/relationships/hyperlink" Target="https://twitter.com/hadleywickham/status/702964544881061888" TargetMode="External"/><Relationship Id="rId8761" Type="http://schemas.openxmlformats.org/officeDocument/2006/relationships/hyperlink" Target="https://pbs.twimg.com/profile_images/538251729419001857/kIvht2bF_normal.jpeg" TargetMode="External"/><Relationship Id="rId8760" Type="http://schemas.openxmlformats.org/officeDocument/2006/relationships/hyperlink" Target="https://twitter.com/ngamita/status/703221268661858304" TargetMode="External"/><Relationship Id="rId6102" Type="http://schemas.openxmlformats.org/officeDocument/2006/relationships/hyperlink" Target="https://pbs.twimg.com/profile_images/3333104467/a2bb01432221609da135ea7b64e772f8_normal.jpeg" TargetMode="External"/><Relationship Id="rId7434" Type="http://schemas.openxmlformats.org/officeDocument/2006/relationships/hyperlink" Target="https://pbs.twimg.com/profile_images/574060489681989634/mObicl1o_normal.jpeg" TargetMode="External"/><Relationship Id="rId8765" Type="http://schemas.openxmlformats.org/officeDocument/2006/relationships/hyperlink" Target="https://twitter.com/CRANberriesFeed" TargetMode="External"/><Relationship Id="rId6103" Type="http://schemas.openxmlformats.org/officeDocument/2006/relationships/hyperlink" Target="https://twitter.com/Hrishi_kesh" TargetMode="External"/><Relationship Id="rId7433" Type="http://schemas.openxmlformats.org/officeDocument/2006/relationships/hyperlink" Target="https://twitter.com/Old_dusty_/status/702964687000875009" TargetMode="External"/><Relationship Id="rId8764" Type="http://schemas.openxmlformats.org/officeDocument/2006/relationships/hyperlink" Target="https://pbs.twimg.com/profile_images/378800000809810536/f245ca2d284ae20da862971ef93ecc6b_normal.png" TargetMode="External"/><Relationship Id="rId6100" Type="http://schemas.openxmlformats.org/officeDocument/2006/relationships/hyperlink" Target="https://twitter.com/nygreenguy" TargetMode="External"/><Relationship Id="rId7432" Type="http://schemas.openxmlformats.org/officeDocument/2006/relationships/hyperlink" Target="https://twitter.com/Old_dusty_" TargetMode="External"/><Relationship Id="rId8763" Type="http://schemas.openxmlformats.org/officeDocument/2006/relationships/hyperlink" Target="https://twitter.com/Flowfields_/status/703221350626947072" TargetMode="External"/><Relationship Id="rId6101" Type="http://schemas.openxmlformats.org/officeDocument/2006/relationships/hyperlink" Target="https://twitter.com/nygreenguy/status/702677282176016385" TargetMode="External"/><Relationship Id="rId7431" Type="http://schemas.openxmlformats.org/officeDocument/2006/relationships/hyperlink" Target="https://pbs.twimg.com/profile_images/677589103710306304/m56O6Wgf_normal.jpg" TargetMode="External"/><Relationship Id="rId8762" Type="http://schemas.openxmlformats.org/officeDocument/2006/relationships/hyperlink" Target="https://twitter.com/Flowfields_" TargetMode="External"/><Relationship Id="rId6106" Type="http://schemas.openxmlformats.org/officeDocument/2006/relationships/hyperlink" Target="https://twitter.com/VMuraliKRaju" TargetMode="External"/><Relationship Id="rId7438" Type="http://schemas.openxmlformats.org/officeDocument/2006/relationships/hyperlink" Target="https://twitter.com/tripartio" TargetMode="External"/><Relationship Id="rId8769" Type="http://schemas.openxmlformats.org/officeDocument/2006/relationships/hyperlink" Target="https://twitter.com/CRANberriesFeed/status/703221423519756289" TargetMode="External"/><Relationship Id="rId6107" Type="http://schemas.openxmlformats.org/officeDocument/2006/relationships/hyperlink" Target="https://twitter.com/VMuraliKRaju/status/702687043885756416" TargetMode="External"/><Relationship Id="rId7437" Type="http://schemas.openxmlformats.org/officeDocument/2006/relationships/hyperlink" Target="https://pbs.twimg.com/profile_images/529482878543867904/H-UGY1d0_normal.png" TargetMode="External"/><Relationship Id="rId8768" Type="http://schemas.openxmlformats.org/officeDocument/2006/relationships/hyperlink" Target="https://twitter.com/CRANberriesFeed" TargetMode="External"/><Relationship Id="rId6104" Type="http://schemas.openxmlformats.org/officeDocument/2006/relationships/hyperlink" Target="https://twitter.com/Hrishi_kesh/status/702685982332551168" TargetMode="External"/><Relationship Id="rId7436" Type="http://schemas.openxmlformats.org/officeDocument/2006/relationships/hyperlink" Target="https://twitter.com/tripartio/status/702964801320964096" TargetMode="External"/><Relationship Id="rId8767" Type="http://schemas.openxmlformats.org/officeDocument/2006/relationships/hyperlink" Target="https://pbs.twimg.com/profile_images/1222779560/cran1_normal.jpg" TargetMode="External"/><Relationship Id="rId6105" Type="http://schemas.openxmlformats.org/officeDocument/2006/relationships/hyperlink" Target="https://pbs.twimg.com/profile_images/584640941308256257/J8P9dJjq_normal.jpg" TargetMode="External"/><Relationship Id="rId7435" Type="http://schemas.openxmlformats.org/officeDocument/2006/relationships/hyperlink" Target="https://twitter.com/tripartio" TargetMode="External"/><Relationship Id="rId8766" Type="http://schemas.openxmlformats.org/officeDocument/2006/relationships/hyperlink" Target="https://twitter.com/CRANberriesFeed/status/703221402879582208" TargetMode="External"/><Relationship Id="rId7429" Type="http://schemas.openxmlformats.org/officeDocument/2006/relationships/hyperlink" Target="https://twitter.com/hadleywickham" TargetMode="External"/><Relationship Id="rId7428" Type="http://schemas.openxmlformats.org/officeDocument/2006/relationships/hyperlink" Target="https://pbs.twimg.com/profile_images/643803597218541568/3og7H0Xq_normal.jpg" TargetMode="External"/><Relationship Id="rId8759" Type="http://schemas.openxmlformats.org/officeDocument/2006/relationships/hyperlink" Target="https://twitter.com/ngamita" TargetMode="External"/><Relationship Id="rId8750" Type="http://schemas.openxmlformats.org/officeDocument/2006/relationships/hyperlink" Target="https://twitter.com/darinself" TargetMode="External"/><Relationship Id="rId7423" Type="http://schemas.openxmlformats.org/officeDocument/2006/relationships/hyperlink" Target="https://twitter.com/USGS_R" TargetMode="External"/><Relationship Id="rId8754" Type="http://schemas.openxmlformats.org/officeDocument/2006/relationships/hyperlink" Target="https://twitter.com/NUSLinguistics/status/703220706876661760" TargetMode="External"/><Relationship Id="rId7422" Type="http://schemas.openxmlformats.org/officeDocument/2006/relationships/hyperlink" Target="https://pbs.twimg.com/profile_images/543745516727595009/DJsc8TB4_normal.jpeg" TargetMode="External"/><Relationship Id="rId8753" Type="http://schemas.openxmlformats.org/officeDocument/2006/relationships/hyperlink" Target="https://twitter.com/NUSLinguistics" TargetMode="External"/><Relationship Id="rId7421" Type="http://schemas.openxmlformats.org/officeDocument/2006/relationships/hyperlink" Target="https://twitter.com/AmzuIT/status/702964107025195009" TargetMode="External"/><Relationship Id="rId8752" Type="http://schemas.openxmlformats.org/officeDocument/2006/relationships/hyperlink" Target="https://pbs.twimg.com/profile_images/701932214477578240/n5qec4i3_normal.jpg" TargetMode="External"/><Relationship Id="rId7420" Type="http://schemas.openxmlformats.org/officeDocument/2006/relationships/hyperlink" Target="https://twitter.com/AmzuIT" TargetMode="External"/><Relationship Id="rId8751" Type="http://schemas.openxmlformats.org/officeDocument/2006/relationships/hyperlink" Target="https://twitter.com/darinself/status/703220416312123396" TargetMode="External"/><Relationship Id="rId7427" Type="http://schemas.openxmlformats.org/officeDocument/2006/relationships/hyperlink" Target="https://twitter.com/Barkerjas/status/702964461372506112" TargetMode="External"/><Relationship Id="rId8758" Type="http://schemas.openxmlformats.org/officeDocument/2006/relationships/hyperlink" Target="https://pbs.twimg.com/profile_images/622068124599238656/7mJZq698_normal.png" TargetMode="External"/><Relationship Id="rId7426" Type="http://schemas.openxmlformats.org/officeDocument/2006/relationships/hyperlink" Target="https://twitter.com/Barkerjas" TargetMode="External"/><Relationship Id="rId8757" Type="http://schemas.openxmlformats.org/officeDocument/2006/relationships/hyperlink" Target="https://twitter.com/dr_eldersveld/status/703220957167673345" TargetMode="External"/><Relationship Id="rId7425" Type="http://schemas.openxmlformats.org/officeDocument/2006/relationships/hyperlink" Target="https://pbs.twimg.com/profile_images/631488083863584769/gDqhLdAL_normal.png" TargetMode="External"/><Relationship Id="rId8756" Type="http://schemas.openxmlformats.org/officeDocument/2006/relationships/hyperlink" Target="https://twitter.com/dr_eldersveld" TargetMode="External"/><Relationship Id="rId7424" Type="http://schemas.openxmlformats.org/officeDocument/2006/relationships/hyperlink" Target="https://twitter.com/USGS_R/status/702964320687116288" TargetMode="External"/><Relationship Id="rId8755" Type="http://schemas.openxmlformats.org/officeDocument/2006/relationships/hyperlink" Target="https://pbs.twimg.com/profile_images/378800000831118506/5ec7912272a9368c70b1f7ba99296c54_normal.jpeg" TargetMode="External"/><Relationship Id="rId6120" Type="http://schemas.openxmlformats.org/officeDocument/2006/relationships/hyperlink" Target="https://pbs.twimg.com/profile_images/472088432374579201/pTx9F7zb_normal.jpeg" TargetMode="External"/><Relationship Id="rId7452" Type="http://schemas.openxmlformats.org/officeDocument/2006/relationships/hyperlink" Target="https://pbs.twimg.com/profile_images/2198946077/image_normal.jpg" TargetMode="External"/><Relationship Id="rId8783" Type="http://schemas.openxmlformats.org/officeDocument/2006/relationships/hyperlink" Target="https://twitter.com/samphippen" TargetMode="External"/><Relationship Id="rId6121" Type="http://schemas.openxmlformats.org/officeDocument/2006/relationships/hyperlink" Target="https://twitter.com/dabernathy" TargetMode="External"/><Relationship Id="rId7451" Type="http://schemas.openxmlformats.org/officeDocument/2006/relationships/hyperlink" Target="https://twitter.com/timelyportfolio/status/702968575011766277" TargetMode="External"/><Relationship Id="rId8782" Type="http://schemas.openxmlformats.org/officeDocument/2006/relationships/hyperlink" Target="https://pbs.twimg.com/profile_images/580413138891382785/yDJj-8tb_normal.jpg" TargetMode="External"/><Relationship Id="rId7450" Type="http://schemas.openxmlformats.org/officeDocument/2006/relationships/hyperlink" Target="https://twitter.com/timelyportfolio" TargetMode="External"/><Relationship Id="rId8781" Type="http://schemas.openxmlformats.org/officeDocument/2006/relationships/hyperlink" Target="https://twitter.com/julianaseu/status/703222474004156416" TargetMode="External"/><Relationship Id="rId8780" Type="http://schemas.openxmlformats.org/officeDocument/2006/relationships/hyperlink" Target="https://twitter.com/julianaseu" TargetMode="External"/><Relationship Id="rId6124" Type="http://schemas.openxmlformats.org/officeDocument/2006/relationships/hyperlink" Target="https://twitter.com/DataAndDataViz" TargetMode="External"/><Relationship Id="rId7456" Type="http://schemas.openxmlformats.org/officeDocument/2006/relationships/hyperlink" Target="https://twitter.com/Gaming_Dude" TargetMode="External"/><Relationship Id="rId8787" Type="http://schemas.openxmlformats.org/officeDocument/2006/relationships/hyperlink" Target="https://twitter.com/ChCariou/status/703222755337105409" TargetMode="External"/><Relationship Id="rId6125" Type="http://schemas.openxmlformats.org/officeDocument/2006/relationships/hyperlink" Target="https://twitter.com/DataAndDataViz/status/702695398712987649" TargetMode="External"/><Relationship Id="rId7455" Type="http://schemas.openxmlformats.org/officeDocument/2006/relationships/hyperlink" Target="https://pbs.twimg.com/profile_images/2198946077/image_normal.jpg" TargetMode="External"/><Relationship Id="rId8786" Type="http://schemas.openxmlformats.org/officeDocument/2006/relationships/hyperlink" Target="https://twitter.com/ChCariou" TargetMode="External"/><Relationship Id="rId6122" Type="http://schemas.openxmlformats.org/officeDocument/2006/relationships/hyperlink" Target="https://twitter.com/dabernathy/status/702695060425609216" TargetMode="External"/><Relationship Id="rId7454" Type="http://schemas.openxmlformats.org/officeDocument/2006/relationships/hyperlink" Target="https://twitter.com/timelyportfolio/status/702969092706324480" TargetMode="External"/><Relationship Id="rId8785" Type="http://schemas.openxmlformats.org/officeDocument/2006/relationships/hyperlink" Target="https://pbs.twimg.com/profile_images/647307147060084736/j1IJLy7S_normal.jpg" TargetMode="External"/><Relationship Id="rId6123" Type="http://schemas.openxmlformats.org/officeDocument/2006/relationships/hyperlink" Target="https://pbs.twimg.com/profile_images/849272253/abernathy_sign_1__normal.JPG" TargetMode="External"/><Relationship Id="rId7453" Type="http://schemas.openxmlformats.org/officeDocument/2006/relationships/hyperlink" Target="https://twitter.com/timelyportfolio" TargetMode="External"/><Relationship Id="rId8784" Type="http://schemas.openxmlformats.org/officeDocument/2006/relationships/hyperlink" Target="https://twitter.com/samphippen/status/703222752954748928" TargetMode="External"/><Relationship Id="rId6128" Type="http://schemas.openxmlformats.org/officeDocument/2006/relationships/hyperlink" Target="https://twitter.com/herdcats/status/702695667110539265" TargetMode="External"/><Relationship Id="rId6129" Type="http://schemas.openxmlformats.org/officeDocument/2006/relationships/hyperlink" Target="https://pbs.twimg.com/profile_images/2297337180/to5qd8xl4yr4vciu69ed_normal.jpeg" TargetMode="External"/><Relationship Id="rId7459" Type="http://schemas.openxmlformats.org/officeDocument/2006/relationships/hyperlink" Target="https://twitter.com/AUS_2005" TargetMode="External"/><Relationship Id="rId6126" Type="http://schemas.openxmlformats.org/officeDocument/2006/relationships/hyperlink" Target="https://pbs.twimg.com/profile_images/412249095110008832/J_K4--iQ_normal.png" TargetMode="External"/><Relationship Id="rId7458" Type="http://schemas.openxmlformats.org/officeDocument/2006/relationships/hyperlink" Target="https://pbs.twimg.com/profile_images/695667728963735553/Afz2sro2_normal.jpg" TargetMode="External"/><Relationship Id="rId8789" Type="http://schemas.openxmlformats.org/officeDocument/2006/relationships/hyperlink" Target="https://twitter.com/ppiixx" TargetMode="External"/><Relationship Id="rId6127" Type="http://schemas.openxmlformats.org/officeDocument/2006/relationships/hyperlink" Target="https://twitter.com/herdcats" TargetMode="External"/><Relationship Id="rId7457" Type="http://schemas.openxmlformats.org/officeDocument/2006/relationships/hyperlink" Target="https://twitter.com/Gaming_Dude/status/702969383736483842" TargetMode="External"/><Relationship Id="rId8788" Type="http://schemas.openxmlformats.org/officeDocument/2006/relationships/hyperlink" Target="https://pbs.twimg.com/profile_images/646034538691461121/EtcgHvoh_normal.jpg" TargetMode="External"/><Relationship Id="rId6119" Type="http://schemas.openxmlformats.org/officeDocument/2006/relationships/hyperlink" Target="https://twitter.com/RallidaeRule/status/702693154261114880" TargetMode="External"/><Relationship Id="rId7441" Type="http://schemas.openxmlformats.org/officeDocument/2006/relationships/hyperlink" Target="https://twitter.com/MedMen_BeardBoy" TargetMode="External"/><Relationship Id="rId8772" Type="http://schemas.openxmlformats.org/officeDocument/2006/relationships/hyperlink" Target="https://twitter.com/CRANberriesFeed/status/703221468772093952" TargetMode="External"/><Relationship Id="rId6110" Type="http://schemas.openxmlformats.org/officeDocument/2006/relationships/hyperlink" Target="https://twitter.com/kentien93/status/702688805594099712" TargetMode="External"/><Relationship Id="rId7440" Type="http://schemas.openxmlformats.org/officeDocument/2006/relationships/hyperlink" Target="https://pbs.twimg.com/profile_images/529482878543867904/H-UGY1d0_normal.png" TargetMode="External"/><Relationship Id="rId8771" Type="http://schemas.openxmlformats.org/officeDocument/2006/relationships/hyperlink" Target="https://twitter.com/CRANberriesFeed" TargetMode="External"/><Relationship Id="rId8770" Type="http://schemas.openxmlformats.org/officeDocument/2006/relationships/hyperlink" Target="https://pbs.twimg.com/profile_images/1222779560/cran1_normal.jpg" TargetMode="External"/><Relationship Id="rId6113" Type="http://schemas.openxmlformats.org/officeDocument/2006/relationships/hyperlink" Target="https://twitter.com/polesasunder/status/702691674477064193" TargetMode="External"/><Relationship Id="rId7445" Type="http://schemas.openxmlformats.org/officeDocument/2006/relationships/hyperlink" Target="https://twitter.com/atiretoo/status/702967355022790659" TargetMode="External"/><Relationship Id="rId8776" Type="http://schemas.openxmlformats.org/officeDocument/2006/relationships/hyperlink" Target="https://pbs.twimg.com/profile_images/670315479517413376/Kkf5JA8s_normal.png" TargetMode="External"/><Relationship Id="rId6114" Type="http://schemas.openxmlformats.org/officeDocument/2006/relationships/hyperlink" Target="https://pbs.twimg.com/profile_images/499358811564425216/jiX57F1h_normal.jpeg" TargetMode="External"/><Relationship Id="rId7444" Type="http://schemas.openxmlformats.org/officeDocument/2006/relationships/hyperlink" Target="https://twitter.com/atiretoo" TargetMode="External"/><Relationship Id="rId8775" Type="http://schemas.openxmlformats.org/officeDocument/2006/relationships/hyperlink" Target="https://twitter.com/skilloak/status/703221773320323072" TargetMode="External"/><Relationship Id="rId6111" Type="http://schemas.openxmlformats.org/officeDocument/2006/relationships/hyperlink" Target="https://pbs.twimg.com/profile_images/685960068920000512/O2ZAhrdC_normal.png" TargetMode="External"/><Relationship Id="rId7443" Type="http://schemas.openxmlformats.org/officeDocument/2006/relationships/hyperlink" Target="https://pbs.twimg.com/profile_images/596703777828122624/PF2RaSiQ_normal.png" TargetMode="External"/><Relationship Id="rId8774" Type="http://schemas.openxmlformats.org/officeDocument/2006/relationships/hyperlink" Target="https://twitter.com/skilloak" TargetMode="External"/><Relationship Id="rId6112" Type="http://schemas.openxmlformats.org/officeDocument/2006/relationships/hyperlink" Target="https://twitter.com/polesasunder" TargetMode="External"/><Relationship Id="rId7442" Type="http://schemas.openxmlformats.org/officeDocument/2006/relationships/hyperlink" Target="https://twitter.com/MedMen_BeardBoy/status/702966839773523969" TargetMode="External"/><Relationship Id="rId8773" Type="http://schemas.openxmlformats.org/officeDocument/2006/relationships/hyperlink" Target="https://pbs.twimg.com/profile_images/1222779560/cran1_normal.jpg" TargetMode="External"/><Relationship Id="rId6117" Type="http://schemas.openxmlformats.org/officeDocument/2006/relationships/hyperlink" Target="https://pbs.twimg.com/profile_images/686829356220608512/Xvuztyrm_normal.jpg" TargetMode="External"/><Relationship Id="rId7449" Type="http://schemas.openxmlformats.org/officeDocument/2006/relationships/hyperlink" Target="https://pbs.twimg.com/profile_images/584116464392671232/6hJxtC1s_normal.jpg" TargetMode="External"/><Relationship Id="rId6118" Type="http://schemas.openxmlformats.org/officeDocument/2006/relationships/hyperlink" Target="https://twitter.com/RallidaeRule" TargetMode="External"/><Relationship Id="rId7448" Type="http://schemas.openxmlformats.org/officeDocument/2006/relationships/hyperlink" Target="https://twitter.com/ekonometrinedir/status/702967913158991872" TargetMode="External"/><Relationship Id="rId8779" Type="http://schemas.openxmlformats.org/officeDocument/2006/relationships/hyperlink" Target="https://pbs.twimg.com/profile_images/630648570228666368/azCx-w8Z_normal.jpg" TargetMode="External"/><Relationship Id="rId6115" Type="http://schemas.openxmlformats.org/officeDocument/2006/relationships/hyperlink" Target="https://twitter.com/jrdnmdhl" TargetMode="External"/><Relationship Id="rId7447" Type="http://schemas.openxmlformats.org/officeDocument/2006/relationships/hyperlink" Target="https://twitter.com/ekonometrinedir" TargetMode="External"/><Relationship Id="rId8778" Type="http://schemas.openxmlformats.org/officeDocument/2006/relationships/hyperlink" Target="https://twitter.com/ma_salmon/status/703222142310195200" TargetMode="External"/><Relationship Id="rId6116" Type="http://schemas.openxmlformats.org/officeDocument/2006/relationships/hyperlink" Target="https://twitter.com/jrdnmdhl/status/702691825560252416" TargetMode="External"/><Relationship Id="rId7446" Type="http://schemas.openxmlformats.org/officeDocument/2006/relationships/hyperlink" Target="https://pbs.twimg.com/profile_images/591269568506531840/Xk6GaBN0_normal.jpg" TargetMode="External"/><Relationship Id="rId8777" Type="http://schemas.openxmlformats.org/officeDocument/2006/relationships/hyperlink" Target="https://twitter.com/ma_salmon" TargetMode="External"/><Relationship Id="rId8729" Type="http://schemas.openxmlformats.org/officeDocument/2006/relationships/hyperlink" Target="https://twitter.com/rmflight" TargetMode="External"/><Relationship Id="rId8728" Type="http://schemas.openxmlformats.org/officeDocument/2006/relationships/hyperlink" Target="https://pbs.twimg.com/profile_images/3760067162/f59a16505c80bf7292fa74cdc8e8cf7e_normal.jpeg" TargetMode="External"/><Relationship Id="rId8727" Type="http://schemas.openxmlformats.org/officeDocument/2006/relationships/hyperlink" Target="https://twitter.com/CharlesJolyB/status/703217603326701568" TargetMode="External"/><Relationship Id="rId8726" Type="http://schemas.openxmlformats.org/officeDocument/2006/relationships/hyperlink" Target="https://twitter.com/CharlesJolyB" TargetMode="External"/><Relationship Id="rId1" Type="http://schemas.openxmlformats.org/officeDocument/2006/relationships/hyperlink" Target="https://twitter.com/Rbloggers" TargetMode="External"/><Relationship Id="rId2" Type="http://schemas.openxmlformats.org/officeDocument/2006/relationships/hyperlink" Target="https://twitter.com/Rbloggers/status/701285251188785154" TargetMode="External"/><Relationship Id="rId3" Type="http://schemas.openxmlformats.org/officeDocument/2006/relationships/hyperlink" Target="http://r-bloggers.com" TargetMode="External"/><Relationship Id="rId4" Type="http://schemas.openxmlformats.org/officeDocument/2006/relationships/hyperlink" Target="https://pbs.twimg.com/profile_images/502185985786916864/gkdFh-q7_normal.png" TargetMode="External"/><Relationship Id="rId9" Type="http://schemas.openxmlformats.org/officeDocument/2006/relationships/hyperlink" Target="https://twitter.com/matthewgiglia" TargetMode="External"/><Relationship Id="rId8721" Type="http://schemas.openxmlformats.org/officeDocument/2006/relationships/hyperlink" Target="https://twitter.com/bidkarpc/status/703217432735916032" TargetMode="External"/><Relationship Id="rId8720" Type="http://schemas.openxmlformats.org/officeDocument/2006/relationships/hyperlink" Target="https://twitter.com/bidkarpc" TargetMode="External"/><Relationship Id="rId5" Type="http://schemas.openxmlformats.org/officeDocument/2006/relationships/hyperlink" Target="https://twitter.com/RProgramming" TargetMode="External"/><Relationship Id="rId8725" Type="http://schemas.openxmlformats.org/officeDocument/2006/relationships/hyperlink" Target="https://pbs.twimg.com/profile_images/613310175206866944/SgRjdRWL_normal.jpg" TargetMode="External"/><Relationship Id="rId6" Type="http://schemas.openxmlformats.org/officeDocument/2006/relationships/hyperlink" Target="http://RProgramming.net" TargetMode="External"/><Relationship Id="rId8724" Type="http://schemas.openxmlformats.org/officeDocument/2006/relationships/hyperlink" Target="https://twitter.com/Charlotte_WPS/status/703217582405509121" TargetMode="External"/><Relationship Id="rId7" Type="http://schemas.openxmlformats.org/officeDocument/2006/relationships/hyperlink" Target="https://twitter.com/RProgramming/status/701285335037136896" TargetMode="External"/><Relationship Id="rId8723" Type="http://schemas.openxmlformats.org/officeDocument/2006/relationships/hyperlink" Target="https://twitter.com/Charlotte_WPS" TargetMode="External"/><Relationship Id="rId8" Type="http://schemas.openxmlformats.org/officeDocument/2006/relationships/hyperlink" Target="https://pbs.twimg.com/profile_images/696056897560915969/XpPGOuAf_normal.png" TargetMode="External"/><Relationship Id="rId8722" Type="http://schemas.openxmlformats.org/officeDocument/2006/relationships/hyperlink" Target="https://pbs.twimg.com/profile_images/1812999218/usesless_normal.jpg" TargetMode="External"/><Relationship Id="rId8718" Type="http://schemas.openxmlformats.org/officeDocument/2006/relationships/hyperlink" Target="https://twitter.com/MajkWu/status/703217268818354176" TargetMode="External"/><Relationship Id="rId8717" Type="http://schemas.openxmlformats.org/officeDocument/2006/relationships/hyperlink" Target="https://twitter.com/MajkWu" TargetMode="External"/><Relationship Id="rId8716" Type="http://schemas.openxmlformats.org/officeDocument/2006/relationships/hyperlink" Target="https://pbs.twimg.com/profile_images/681923556561666049/XHDxWC8g_normal.png" TargetMode="External"/><Relationship Id="rId8715" Type="http://schemas.openxmlformats.org/officeDocument/2006/relationships/hyperlink" Target="https://twitter.com/chibaf/status/703217105055821824" TargetMode="External"/><Relationship Id="rId8719" Type="http://schemas.openxmlformats.org/officeDocument/2006/relationships/hyperlink" Target="https://pbs.twimg.com/profile_images/678321853786492928/dVngRfhj_normal.png" TargetMode="External"/><Relationship Id="rId8710" Type="http://schemas.openxmlformats.org/officeDocument/2006/relationships/hyperlink" Target="https://pbs.twimg.com/profile_images/3199598780/253af0e6b8fa63bf5b969ccc9a3486e7_normal.jpeg" TargetMode="External"/><Relationship Id="rId8714" Type="http://schemas.openxmlformats.org/officeDocument/2006/relationships/hyperlink" Target="https://twitter.com/chibaf" TargetMode="External"/><Relationship Id="rId8713" Type="http://schemas.openxmlformats.org/officeDocument/2006/relationships/hyperlink" Target="https://pbs.twimg.com/profile_images/643576889806729216/DSH7ge0e_normal.jpg" TargetMode="External"/><Relationship Id="rId8712" Type="http://schemas.openxmlformats.org/officeDocument/2006/relationships/hyperlink" Target="https://twitter.com/markpetersjr/status/703216877775003648" TargetMode="External"/><Relationship Id="rId8711" Type="http://schemas.openxmlformats.org/officeDocument/2006/relationships/hyperlink" Target="https://twitter.com/markpetersjr" TargetMode="External"/><Relationship Id="rId7419" Type="http://schemas.openxmlformats.org/officeDocument/2006/relationships/hyperlink" Target="https://pbs.twimg.com/profile_images/701132303364444161/J2VCa1yo_normal.png" TargetMode="External"/><Relationship Id="rId7418" Type="http://schemas.openxmlformats.org/officeDocument/2006/relationships/hyperlink" Target="https://twitter.com/MedLazhari/status/702963976435531777" TargetMode="External"/><Relationship Id="rId8749" Type="http://schemas.openxmlformats.org/officeDocument/2006/relationships/hyperlink" Target="https://pbs.twimg.com/profile_images/3409396165/3df155436a5f9201830bcc65f7a836f7_normal.jpeg" TargetMode="External"/><Relationship Id="rId7417" Type="http://schemas.openxmlformats.org/officeDocument/2006/relationships/hyperlink" Target="https://twitter.com/MedLazhari" TargetMode="External"/><Relationship Id="rId8748" Type="http://schemas.openxmlformats.org/officeDocument/2006/relationships/hyperlink" Target="https://twitter.com/tylerrinker/status/703219743486976000" TargetMode="External"/><Relationship Id="rId7412" Type="http://schemas.openxmlformats.org/officeDocument/2006/relationships/hyperlink" Target="https://twitter.com/dirk_sch/status/702963139848085504" TargetMode="External"/><Relationship Id="rId8743" Type="http://schemas.openxmlformats.org/officeDocument/2006/relationships/hyperlink" Target="https://pbs.twimg.com/profile_images/698323439174733824/O8bDvbDj_normal.jpg" TargetMode="External"/><Relationship Id="rId7411" Type="http://schemas.openxmlformats.org/officeDocument/2006/relationships/hyperlink" Target="https://twitter.com/dirk_sch" TargetMode="External"/><Relationship Id="rId8742" Type="http://schemas.openxmlformats.org/officeDocument/2006/relationships/hyperlink" Target="https://twitter.com/SP_Keegan/status/703219216367927296" TargetMode="External"/><Relationship Id="rId7410" Type="http://schemas.openxmlformats.org/officeDocument/2006/relationships/hyperlink" Target="https://pbs.twimg.com/profile_images/669461405192593408/oy2EulFW_normal.png" TargetMode="External"/><Relationship Id="rId8741" Type="http://schemas.openxmlformats.org/officeDocument/2006/relationships/hyperlink" Target="https://twitter.com/SP_Keegan" TargetMode="External"/><Relationship Id="rId8740" Type="http://schemas.openxmlformats.org/officeDocument/2006/relationships/hyperlink" Target="https://pbs.twimg.com/profile_images/514240734304546816/fyDpdgci_normal.jpeg" TargetMode="External"/><Relationship Id="rId7416" Type="http://schemas.openxmlformats.org/officeDocument/2006/relationships/hyperlink" Target="https://pbs.twimg.com/profile_images/557938759753166850/O2-Bt_AF_normal.jpeg" TargetMode="External"/><Relationship Id="rId8747" Type="http://schemas.openxmlformats.org/officeDocument/2006/relationships/hyperlink" Target="https://twitter.com/tylerrinker" TargetMode="External"/><Relationship Id="rId7415" Type="http://schemas.openxmlformats.org/officeDocument/2006/relationships/hyperlink" Target="https://twitter.com/precariobecario/status/702963934769373186" TargetMode="External"/><Relationship Id="rId8746" Type="http://schemas.openxmlformats.org/officeDocument/2006/relationships/hyperlink" Target="https://pbs.twimg.com/profile_images/652081177344540672/AudgFCJl_normal.jpg" TargetMode="External"/><Relationship Id="rId7414" Type="http://schemas.openxmlformats.org/officeDocument/2006/relationships/hyperlink" Target="https://twitter.com/precariobecario" TargetMode="External"/><Relationship Id="rId8745" Type="http://schemas.openxmlformats.org/officeDocument/2006/relationships/hyperlink" Target="https://twitter.com/dougashton/status/703219494571868160" TargetMode="External"/><Relationship Id="rId7413" Type="http://schemas.openxmlformats.org/officeDocument/2006/relationships/hyperlink" Target="https://pbs.twimg.com/profile_images/523897658713190400/lLOiqpam_normal.jpeg" TargetMode="External"/><Relationship Id="rId8744" Type="http://schemas.openxmlformats.org/officeDocument/2006/relationships/hyperlink" Target="https://twitter.com/dougashton" TargetMode="External"/><Relationship Id="rId7409" Type="http://schemas.openxmlformats.org/officeDocument/2006/relationships/hyperlink" Target="https://twitter.com/caprazli/status/702962490267848705" TargetMode="External"/><Relationship Id="rId7408" Type="http://schemas.openxmlformats.org/officeDocument/2006/relationships/hyperlink" Target="https://twitter.com/caprazli" TargetMode="External"/><Relationship Id="rId8739" Type="http://schemas.openxmlformats.org/officeDocument/2006/relationships/hyperlink" Target="https://twitter.com/GLEONetwork/status/703218544784310272" TargetMode="External"/><Relationship Id="rId7407" Type="http://schemas.openxmlformats.org/officeDocument/2006/relationships/hyperlink" Target="https://pbs.twimg.com/profile_images/762997434/GionPortrait_normal.jpg" TargetMode="External"/><Relationship Id="rId8738" Type="http://schemas.openxmlformats.org/officeDocument/2006/relationships/hyperlink" Target="https://twitter.com/GLEONetwork" TargetMode="External"/><Relationship Id="rId7406" Type="http://schemas.openxmlformats.org/officeDocument/2006/relationships/hyperlink" Target="https://twitter.com/leeswijzer/status/702962469199876100" TargetMode="External"/><Relationship Id="rId8737" Type="http://schemas.openxmlformats.org/officeDocument/2006/relationships/hyperlink" Target="https://pbs.twimg.com/profile_images/700219041131204608/DZKmHE4-_normal.jpg" TargetMode="External"/><Relationship Id="rId7401" Type="http://schemas.openxmlformats.org/officeDocument/2006/relationships/hyperlink" Target="https://pbs.twimg.com/profile_images/616793252524650496/bQbxJqmz_normal.jpg" TargetMode="External"/><Relationship Id="rId8732" Type="http://schemas.openxmlformats.org/officeDocument/2006/relationships/hyperlink" Target="https://twitter.com/BawnMatt" TargetMode="External"/><Relationship Id="rId7400" Type="http://schemas.openxmlformats.org/officeDocument/2006/relationships/hyperlink" Target="https://twitter.com/BigDataTweetBot/status/702961797779869698" TargetMode="External"/><Relationship Id="rId8731" Type="http://schemas.openxmlformats.org/officeDocument/2006/relationships/hyperlink" Target="https://pbs.twimg.com/profile_images/2150342436/Picture_1_normal.jpg" TargetMode="External"/><Relationship Id="rId8730" Type="http://schemas.openxmlformats.org/officeDocument/2006/relationships/hyperlink" Target="https://twitter.com/rmflight/status/703218048325525504" TargetMode="External"/><Relationship Id="rId7405" Type="http://schemas.openxmlformats.org/officeDocument/2006/relationships/hyperlink" Target="https://twitter.com/leeswijzer" TargetMode="External"/><Relationship Id="rId8736" Type="http://schemas.openxmlformats.org/officeDocument/2006/relationships/hyperlink" Target="https://twitter.com/ErmiaBivatan/status/703218482314346496" TargetMode="External"/><Relationship Id="rId7404" Type="http://schemas.openxmlformats.org/officeDocument/2006/relationships/hyperlink" Target="https://pbs.twimg.com/profile_images/3661250854/1cd620dbf2ba2cd5ddbfdea523561472_normal.jpeg" TargetMode="External"/><Relationship Id="rId8735" Type="http://schemas.openxmlformats.org/officeDocument/2006/relationships/hyperlink" Target="https://twitter.com/ErmiaBivatan" TargetMode="External"/><Relationship Id="rId7403" Type="http://schemas.openxmlformats.org/officeDocument/2006/relationships/hyperlink" Target="https://twitter.com/dipsdd/status/702962276370923521" TargetMode="External"/><Relationship Id="rId8734" Type="http://schemas.openxmlformats.org/officeDocument/2006/relationships/hyperlink" Target="https://pbs.twimg.com/profile_images/462772097593245696/Cr6fAyMs_normal.jpeg" TargetMode="External"/><Relationship Id="rId7402" Type="http://schemas.openxmlformats.org/officeDocument/2006/relationships/hyperlink" Target="https://twitter.com/dipsdd" TargetMode="External"/><Relationship Id="rId8733" Type="http://schemas.openxmlformats.org/officeDocument/2006/relationships/hyperlink" Target="https://twitter.com/BawnMatt/status/703218256686026752" TargetMode="External"/><Relationship Id="rId3911" Type="http://schemas.openxmlformats.org/officeDocument/2006/relationships/hyperlink" Target="https://twitter.com/henrikbengtsson/status/702266485301850112" TargetMode="External"/><Relationship Id="rId3910" Type="http://schemas.openxmlformats.org/officeDocument/2006/relationships/hyperlink" Target="https://twitter.com/henrikbengtsson" TargetMode="External"/><Relationship Id="rId3913" Type="http://schemas.openxmlformats.org/officeDocument/2006/relationships/hyperlink" Target="https://twitter.com/renato_umeton" TargetMode="External"/><Relationship Id="rId3912" Type="http://schemas.openxmlformats.org/officeDocument/2006/relationships/hyperlink" Target="https://pbs.twimg.com/profile_images/614632550988775424/rQn_pk5X_normal.jpg" TargetMode="External"/><Relationship Id="rId3915" Type="http://schemas.openxmlformats.org/officeDocument/2006/relationships/hyperlink" Target="https://pbs.twimg.com/profile_images/701553083537604608/nr8b38eG_normal.jpg" TargetMode="External"/><Relationship Id="rId3914" Type="http://schemas.openxmlformats.org/officeDocument/2006/relationships/hyperlink" Target="https://twitter.com/renato_umeton/status/702266573453713410" TargetMode="External"/><Relationship Id="rId3917" Type="http://schemas.openxmlformats.org/officeDocument/2006/relationships/hyperlink" Target="https://twitter.com/SparkIQ_Labs/status/702267712374845440" TargetMode="External"/><Relationship Id="rId3916" Type="http://schemas.openxmlformats.org/officeDocument/2006/relationships/hyperlink" Target="https://twitter.com/SparkIQ_Labs" TargetMode="External"/><Relationship Id="rId3919" Type="http://schemas.openxmlformats.org/officeDocument/2006/relationships/hyperlink" Target="https://twitter.com/DataWookie" TargetMode="External"/><Relationship Id="rId3918" Type="http://schemas.openxmlformats.org/officeDocument/2006/relationships/hyperlink" Target="https://pbs.twimg.com/profile_images/651885368279568384/JY9VXNaJ_normal.jpg" TargetMode="External"/><Relationship Id="rId6190" Type="http://schemas.openxmlformats.org/officeDocument/2006/relationships/hyperlink" Target="https://pbs.twimg.com/profile_images/2198946077/image_normal.jpg" TargetMode="External"/><Relationship Id="rId6182" Type="http://schemas.openxmlformats.org/officeDocument/2006/relationships/hyperlink" Target="https://twitter.com/timelyportfolio" TargetMode="External"/><Relationship Id="rId6183" Type="http://schemas.openxmlformats.org/officeDocument/2006/relationships/hyperlink" Target="https://twitter.com/timelyportfolio/status/702709853941338112" TargetMode="External"/><Relationship Id="rId6180" Type="http://schemas.openxmlformats.org/officeDocument/2006/relationships/hyperlink" Target="https://twitter.com/timelyportfolio/status/702709776988426240" TargetMode="External"/><Relationship Id="rId6181" Type="http://schemas.openxmlformats.org/officeDocument/2006/relationships/hyperlink" Target="https://pbs.twimg.com/profile_images/2198946077/image_normal.jpg" TargetMode="External"/><Relationship Id="rId6186" Type="http://schemas.openxmlformats.org/officeDocument/2006/relationships/hyperlink" Target="https://twitter.com/dmbcanada/status/702710440107704320" TargetMode="External"/><Relationship Id="rId6187" Type="http://schemas.openxmlformats.org/officeDocument/2006/relationships/hyperlink" Target="https://pbs.twimg.com/profile_images/2932936172/bc261dba53a5a9804b18e9518f8ae0ff_normal.jpeg" TargetMode="External"/><Relationship Id="rId6184" Type="http://schemas.openxmlformats.org/officeDocument/2006/relationships/hyperlink" Target="https://pbs.twimg.com/profile_images/2198946077/image_normal.jpg" TargetMode="External"/><Relationship Id="rId6185" Type="http://schemas.openxmlformats.org/officeDocument/2006/relationships/hyperlink" Target="https://twitter.com/dmbcanada" TargetMode="External"/><Relationship Id="rId6188" Type="http://schemas.openxmlformats.org/officeDocument/2006/relationships/hyperlink" Target="https://twitter.com/timelyportfolio" TargetMode="External"/><Relationship Id="rId6189" Type="http://schemas.openxmlformats.org/officeDocument/2006/relationships/hyperlink" Target="https://twitter.com/timelyportfolio/status/702711213109723136" TargetMode="External"/><Relationship Id="rId3900" Type="http://schemas.openxmlformats.org/officeDocument/2006/relationships/hyperlink" Target="https://twitter.com/Rbloggers" TargetMode="External"/><Relationship Id="rId3902" Type="http://schemas.openxmlformats.org/officeDocument/2006/relationships/hyperlink" Target="http://r-bloggers.com" TargetMode="External"/><Relationship Id="rId3901" Type="http://schemas.openxmlformats.org/officeDocument/2006/relationships/hyperlink" Target="https://twitter.com/Rbloggers/status/702265464802529281" TargetMode="External"/><Relationship Id="rId3904" Type="http://schemas.openxmlformats.org/officeDocument/2006/relationships/hyperlink" Target="https://twitter.com/mariacdangelo" TargetMode="External"/><Relationship Id="rId3903" Type="http://schemas.openxmlformats.org/officeDocument/2006/relationships/hyperlink" Target="https://pbs.twimg.com/profile_images/502185985786916864/gkdFh-q7_normal.png" TargetMode="External"/><Relationship Id="rId3906" Type="http://schemas.openxmlformats.org/officeDocument/2006/relationships/hyperlink" Target="https://pbs.twimg.com/profile_images/697575915430268928/XyVBRxw4_normal.jpg" TargetMode="External"/><Relationship Id="rId3905" Type="http://schemas.openxmlformats.org/officeDocument/2006/relationships/hyperlink" Target="https://twitter.com/mariacdangelo/status/702266103720976385" TargetMode="External"/><Relationship Id="rId3908" Type="http://schemas.openxmlformats.org/officeDocument/2006/relationships/hyperlink" Target="https://twitter.com/mathiaspicker/status/702266361985236992" TargetMode="External"/><Relationship Id="rId3907" Type="http://schemas.openxmlformats.org/officeDocument/2006/relationships/hyperlink" Target="https://twitter.com/mathiaspicker" TargetMode="External"/><Relationship Id="rId3909" Type="http://schemas.openxmlformats.org/officeDocument/2006/relationships/hyperlink" Target="https://pbs.twimg.com/profile_images/121126854/OpenID_normal.jpg" TargetMode="External"/><Relationship Id="rId6171" Type="http://schemas.openxmlformats.org/officeDocument/2006/relationships/hyperlink" Target="http://Paper.li" TargetMode="External"/><Relationship Id="rId6172" Type="http://schemas.openxmlformats.org/officeDocument/2006/relationships/hyperlink" Target="https://pbs.twimg.com/profile_images/524199331365015552/O94t9yIe_normal.jpeg" TargetMode="External"/><Relationship Id="rId6170" Type="http://schemas.openxmlformats.org/officeDocument/2006/relationships/hyperlink" Target="https://twitter.com/jletteboer/status/702708142044520448" TargetMode="External"/><Relationship Id="rId6175" Type="http://schemas.openxmlformats.org/officeDocument/2006/relationships/hyperlink" Target="https://pbs.twimg.com/profile_images/683596582420258816/pBOaeItU_normal.jpg" TargetMode="External"/><Relationship Id="rId6176" Type="http://schemas.openxmlformats.org/officeDocument/2006/relationships/hyperlink" Target="https://twitter.com/the_real_pdf" TargetMode="External"/><Relationship Id="rId6173" Type="http://schemas.openxmlformats.org/officeDocument/2006/relationships/hyperlink" Target="https://twitter.com/datagrokker" TargetMode="External"/><Relationship Id="rId6174" Type="http://schemas.openxmlformats.org/officeDocument/2006/relationships/hyperlink" Target="https://twitter.com/datagrokker/status/702709577637240833" TargetMode="External"/><Relationship Id="rId6179" Type="http://schemas.openxmlformats.org/officeDocument/2006/relationships/hyperlink" Target="https://twitter.com/timelyportfolio" TargetMode="External"/><Relationship Id="rId6177" Type="http://schemas.openxmlformats.org/officeDocument/2006/relationships/hyperlink" Target="https://twitter.com/the_real_pdf/status/702709655978549248" TargetMode="External"/><Relationship Id="rId6178" Type="http://schemas.openxmlformats.org/officeDocument/2006/relationships/hyperlink" Target="https://pbs.twimg.com/profile_images/430148297462775808/m6ZMrd9a_normal.jpeg" TargetMode="External"/><Relationship Id="rId3931" Type="http://schemas.openxmlformats.org/officeDocument/2006/relationships/hyperlink" Target="https://twitter.com/biconnections" TargetMode="External"/><Relationship Id="rId2600" Type="http://schemas.openxmlformats.org/officeDocument/2006/relationships/hyperlink" Target="https://pbs.twimg.com/profile_images/612471608725213184/eXKo2Kmo_normal.jpg" TargetMode="External"/><Relationship Id="rId3930" Type="http://schemas.openxmlformats.org/officeDocument/2006/relationships/hyperlink" Target="https://pbs.twimg.com/profile_images/616793252524650496/bQbxJqmz_normal.jpg" TargetMode="External"/><Relationship Id="rId2601" Type="http://schemas.openxmlformats.org/officeDocument/2006/relationships/hyperlink" Target="https://twitter.com/askdrstats" TargetMode="External"/><Relationship Id="rId3933" Type="http://schemas.openxmlformats.org/officeDocument/2006/relationships/hyperlink" Target="https://pbs.twimg.com/profile_images/1866862979/50519_388209157862059_947380685_n_normal.jpg" TargetMode="External"/><Relationship Id="rId2602" Type="http://schemas.openxmlformats.org/officeDocument/2006/relationships/hyperlink" Target="https://twitter.com/askdrstats/status/701938775035813888" TargetMode="External"/><Relationship Id="rId3932" Type="http://schemas.openxmlformats.org/officeDocument/2006/relationships/hyperlink" Target="https://twitter.com/biconnections/status/702269517657985028" TargetMode="External"/><Relationship Id="rId2603" Type="http://schemas.openxmlformats.org/officeDocument/2006/relationships/hyperlink" Target="https://pbs.twimg.com/profile_images/421032203703701504/tKrivgxy_normal.jpeg" TargetMode="External"/><Relationship Id="rId3935" Type="http://schemas.openxmlformats.org/officeDocument/2006/relationships/hyperlink" Target="https://twitter.com/SparkIQ_Labs/status/702269968646172672" TargetMode="External"/><Relationship Id="rId2604" Type="http://schemas.openxmlformats.org/officeDocument/2006/relationships/hyperlink" Target="https://twitter.com/Kingwulf" TargetMode="External"/><Relationship Id="rId3934" Type="http://schemas.openxmlformats.org/officeDocument/2006/relationships/hyperlink" Target="https://twitter.com/SparkIQ_Labs" TargetMode="External"/><Relationship Id="rId2605" Type="http://schemas.openxmlformats.org/officeDocument/2006/relationships/hyperlink" Target="https://twitter.com/Kingwulf/status/701940436626092032" TargetMode="External"/><Relationship Id="rId3937" Type="http://schemas.openxmlformats.org/officeDocument/2006/relationships/hyperlink" Target="https://twitter.com/lrako" TargetMode="External"/><Relationship Id="rId2606" Type="http://schemas.openxmlformats.org/officeDocument/2006/relationships/hyperlink" Target="https://github.com/hsaputra" TargetMode="External"/><Relationship Id="rId3936" Type="http://schemas.openxmlformats.org/officeDocument/2006/relationships/hyperlink" Target="https://pbs.twimg.com/profile_images/651885368279568384/JY9VXNaJ_normal.jpg" TargetMode="External"/><Relationship Id="rId808" Type="http://schemas.openxmlformats.org/officeDocument/2006/relationships/hyperlink" Target="https://twitter.com/quominus/status/701538307226935296" TargetMode="External"/><Relationship Id="rId2607" Type="http://schemas.openxmlformats.org/officeDocument/2006/relationships/hyperlink" Target="https://pbs.twimg.com/profile_images/378800000479149814/292be66e1ca913684c94f304be60d7f2_normal.jpeg" TargetMode="External"/><Relationship Id="rId3939" Type="http://schemas.openxmlformats.org/officeDocument/2006/relationships/hyperlink" Target="https://pbs.twimg.com/profile_images/1113353588/02082010602_normal.jpg" TargetMode="External"/><Relationship Id="rId807" Type="http://schemas.openxmlformats.org/officeDocument/2006/relationships/hyperlink" Target="https://twitter.com/quominus" TargetMode="External"/><Relationship Id="rId2608" Type="http://schemas.openxmlformats.org/officeDocument/2006/relationships/hyperlink" Target="https://twitter.com/tomkXY" TargetMode="External"/><Relationship Id="rId3938" Type="http://schemas.openxmlformats.org/officeDocument/2006/relationships/hyperlink" Target="https://twitter.com/lrako/status/702272387404996608" TargetMode="External"/><Relationship Id="rId806" Type="http://schemas.openxmlformats.org/officeDocument/2006/relationships/hyperlink" Target="https://pbs.twimg.com/profile_images/3750867816/d61631ed2a31a39d0f80ecd3ae917ea9_normal.png" TargetMode="External"/><Relationship Id="rId2609" Type="http://schemas.openxmlformats.org/officeDocument/2006/relationships/hyperlink" Target="https://twitter.com/tomkXY/status/701942708412092416" TargetMode="External"/><Relationship Id="rId805" Type="http://schemas.openxmlformats.org/officeDocument/2006/relationships/hyperlink" Target="https://twitter.com/hajjihi/status/701537954565586946" TargetMode="External"/><Relationship Id="rId809" Type="http://schemas.openxmlformats.org/officeDocument/2006/relationships/hyperlink" Target="https://pbs.twimg.com/profile_images/689997706752847874/lCoiGcL3_normal.jpg" TargetMode="External"/><Relationship Id="rId800" Type="http://schemas.openxmlformats.org/officeDocument/2006/relationships/hyperlink" Target="https://pbs.twimg.com/profile_images/1133928235/image_normal.jpg" TargetMode="External"/><Relationship Id="rId804" Type="http://schemas.openxmlformats.org/officeDocument/2006/relationships/hyperlink" Target="https://twitter.com/hajjihi" TargetMode="External"/><Relationship Id="rId803" Type="http://schemas.openxmlformats.org/officeDocument/2006/relationships/hyperlink" Target="https://pbs.twimg.com/profile_images/645650110374936580/-oQakt8x_normal.png" TargetMode="External"/><Relationship Id="rId802" Type="http://schemas.openxmlformats.org/officeDocument/2006/relationships/hyperlink" Target="https://twitter.com/homeAIinfo/status/701537652839997441" TargetMode="External"/><Relationship Id="rId801" Type="http://schemas.openxmlformats.org/officeDocument/2006/relationships/hyperlink" Target="https://twitter.com/homeAIinfo" TargetMode="External"/><Relationship Id="rId3920" Type="http://schemas.openxmlformats.org/officeDocument/2006/relationships/hyperlink" Target="https://twitter.com/DataWookie/status/702268598824271872" TargetMode="External"/><Relationship Id="rId3922" Type="http://schemas.openxmlformats.org/officeDocument/2006/relationships/hyperlink" Target="https://twitter.com/DataCamp" TargetMode="External"/><Relationship Id="rId3921" Type="http://schemas.openxmlformats.org/officeDocument/2006/relationships/hyperlink" Target="https://pbs.twimg.com/profile_images/612471608725213184/eXKo2Kmo_normal.jpg" TargetMode="External"/><Relationship Id="rId3924" Type="http://schemas.openxmlformats.org/officeDocument/2006/relationships/hyperlink" Target="https://pbs.twimg.com/profile_images/676442777018834944/Bk-dJvoN_normal.png" TargetMode="External"/><Relationship Id="rId3923" Type="http://schemas.openxmlformats.org/officeDocument/2006/relationships/hyperlink" Target="https://twitter.com/DataCamp/status/702268797563105284" TargetMode="External"/><Relationship Id="rId3926" Type="http://schemas.openxmlformats.org/officeDocument/2006/relationships/hyperlink" Target="https://twitter.com/sentiwire/status/702268802008899584" TargetMode="External"/><Relationship Id="rId3925" Type="http://schemas.openxmlformats.org/officeDocument/2006/relationships/hyperlink" Target="https://twitter.com/sentiwire" TargetMode="External"/><Relationship Id="rId3928" Type="http://schemas.openxmlformats.org/officeDocument/2006/relationships/hyperlink" Target="https://twitter.com/BigDataTweetBot" TargetMode="External"/><Relationship Id="rId3927" Type="http://schemas.openxmlformats.org/officeDocument/2006/relationships/hyperlink" Target="https://pbs.twimg.com/profile_images/686965105473396736/B9V5UtGS_normal.jpg" TargetMode="External"/><Relationship Id="rId3929" Type="http://schemas.openxmlformats.org/officeDocument/2006/relationships/hyperlink" Target="https://twitter.com/BigDataTweetBot/status/702269426620563457" TargetMode="External"/><Relationship Id="rId6193" Type="http://schemas.openxmlformats.org/officeDocument/2006/relationships/hyperlink" Target="https://pbs.twimg.com/profile_images/2138752377/TwittPic_normal.jpg" TargetMode="External"/><Relationship Id="rId6194" Type="http://schemas.openxmlformats.org/officeDocument/2006/relationships/hyperlink" Target="https://twitter.com/atthinks" TargetMode="External"/><Relationship Id="rId6191" Type="http://schemas.openxmlformats.org/officeDocument/2006/relationships/hyperlink" Target="https://twitter.com/atthinks" TargetMode="External"/><Relationship Id="rId6192" Type="http://schemas.openxmlformats.org/officeDocument/2006/relationships/hyperlink" Target="https://twitter.com/atthinks/status/702712095771643904" TargetMode="External"/><Relationship Id="rId6197" Type="http://schemas.openxmlformats.org/officeDocument/2006/relationships/hyperlink" Target="https://twitter.com/atthinks" TargetMode="External"/><Relationship Id="rId6198" Type="http://schemas.openxmlformats.org/officeDocument/2006/relationships/hyperlink" Target="https://twitter.com/atthinks/status/702712166089138176" TargetMode="External"/><Relationship Id="rId6195" Type="http://schemas.openxmlformats.org/officeDocument/2006/relationships/hyperlink" Target="https://twitter.com/atthinks/status/702712153049059329" TargetMode="External"/><Relationship Id="rId6196" Type="http://schemas.openxmlformats.org/officeDocument/2006/relationships/hyperlink" Target="https://pbs.twimg.com/profile_images/2138752377/TwittPic_normal.jpg" TargetMode="External"/><Relationship Id="rId6199" Type="http://schemas.openxmlformats.org/officeDocument/2006/relationships/hyperlink" Target="https://pbs.twimg.com/profile_images/2138752377/TwittPic_normal.jpg" TargetMode="External"/><Relationship Id="rId7470" Type="http://schemas.openxmlformats.org/officeDocument/2006/relationships/hyperlink" Target="https://pbs.twimg.com/profile_images/686829356220608512/Xvuztyrm_normal.jpg" TargetMode="External"/><Relationship Id="rId6142" Type="http://schemas.openxmlformats.org/officeDocument/2006/relationships/hyperlink" Target="https://twitter.com/Hal4" TargetMode="External"/><Relationship Id="rId7474" Type="http://schemas.openxmlformats.org/officeDocument/2006/relationships/hyperlink" Target="https://twitter.com/pdalgd" TargetMode="External"/><Relationship Id="rId6143" Type="http://schemas.openxmlformats.org/officeDocument/2006/relationships/hyperlink" Target="https://twitter.com/Hal4/status/702704170785120256" TargetMode="External"/><Relationship Id="rId7473" Type="http://schemas.openxmlformats.org/officeDocument/2006/relationships/hyperlink" Target="https://pbs.twimg.com/profile_images/686829356220608512/Xvuztyrm_normal.jpg" TargetMode="External"/><Relationship Id="rId6140" Type="http://schemas.openxmlformats.org/officeDocument/2006/relationships/hyperlink" Target="https://twitter.com/ashwinswarup/status/702703441831989248" TargetMode="External"/><Relationship Id="rId7472" Type="http://schemas.openxmlformats.org/officeDocument/2006/relationships/hyperlink" Target="https://twitter.com/jrdnmdhl/status/702971725940715520" TargetMode="External"/><Relationship Id="rId6141" Type="http://schemas.openxmlformats.org/officeDocument/2006/relationships/hyperlink" Target="https://pbs.twimg.com/profile_images/690624026616553472/Jrtvx19B_normal.jpg" TargetMode="External"/><Relationship Id="rId7471" Type="http://schemas.openxmlformats.org/officeDocument/2006/relationships/hyperlink" Target="https://twitter.com/jrdnmdhl" TargetMode="External"/><Relationship Id="rId6146" Type="http://schemas.openxmlformats.org/officeDocument/2006/relationships/hyperlink" Target="https://twitter.com/sfrechette/status/702704576957431808" TargetMode="External"/><Relationship Id="rId7478" Type="http://schemas.openxmlformats.org/officeDocument/2006/relationships/hyperlink" Target="https://twitter.com/drob/status/702972570077777920" TargetMode="External"/><Relationship Id="rId6147" Type="http://schemas.openxmlformats.org/officeDocument/2006/relationships/hyperlink" Target="https://pbs.twimg.com/profile_images/662342111799304192/Xtv8MZ-P_normal.jpg" TargetMode="External"/><Relationship Id="rId7477" Type="http://schemas.openxmlformats.org/officeDocument/2006/relationships/hyperlink" Target="https://twitter.com/drob" TargetMode="External"/><Relationship Id="rId6144" Type="http://schemas.openxmlformats.org/officeDocument/2006/relationships/hyperlink" Target="https://pbs.twimg.com/profile_images/213611399/Tetragrammaton_rebalanced2despeckled_normal.png" TargetMode="External"/><Relationship Id="rId7476" Type="http://schemas.openxmlformats.org/officeDocument/2006/relationships/hyperlink" Target="https://pbs.twimg.com/profile_images/697868587130843136/9uZ8n-eM_normal.png" TargetMode="External"/><Relationship Id="rId6145" Type="http://schemas.openxmlformats.org/officeDocument/2006/relationships/hyperlink" Target="https://twitter.com/sfrechette" TargetMode="External"/><Relationship Id="rId7475" Type="http://schemas.openxmlformats.org/officeDocument/2006/relationships/hyperlink" Target="https://twitter.com/pdalgd/status/702972335847038976" TargetMode="External"/><Relationship Id="rId6148" Type="http://schemas.openxmlformats.org/officeDocument/2006/relationships/hyperlink" Target="https://twitter.com/renato_umeton" TargetMode="External"/><Relationship Id="rId6149" Type="http://schemas.openxmlformats.org/officeDocument/2006/relationships/hyperlink" Target="https://twitter.com/renato_umeton/status/702704666967195648" TargetMode="External"/><Relationship Id="rId7479" Type="http://schemas.openxmlformats.org/officeDocument/2006/relationships/hyperlink" Target="https://pbs.twimg.com/profile_images/777175344/David_Robinson_normal.jpg" TargetMode="External"/><Relationship Id="rId8790" Type="http://schemas.openxmlformats.org/officeDocument/2006/relationships/hyperlink" Target="https://twitter.com/ppiixx/status/703222844688359426" TargetMode="External"/><Relationship Id="rId6131" Type="http://schemas.openxmlformats.org/officeDocument/2006/relationships/hyperlink" Target="https://twitter.com/fendien/status/702696910189162496" TargetMode="External"/><Relationship Id="rId7463" Type="http://schemas.openxmlformats.org/officeDocument/2006/relationships/hyperlink" Target="https://twitter.com/HPDSLab/status/702971223429488640" TargetMode="External"/><Relationship Id="rId8794" Type="http://schemas.openxmlformats.org/officeDocument/2006/relationships/hyperlink" Target="https://pbs.twimg.com/profile_images/2224518169/Screen_shot_2012-05-16_at_22.57.49_normal.png" TargetMode="External"/><Relationship Id="rId6132" Type="http://schemas.openxmlformats.org/officeDocument/2006/relationships/hyperlink" Target="https://pbs.twimg.com/profile_images/702263082576293888/fGDTLN3b_normal.jpg" TargetMode="External"/><Relationship Id="rId7462" Type="http://schemas.openxmlformats.org/officeDocument/2006/relationships/hyperlink" Target="https://twitter.com/HPDSLab" TargetMode="External"/><Relationship Id="rId8793" Type="http://schemas.openxmlformats.org/officeDocument/2006/relationships/hyperlink" Target="https://twitter.com/darachennis/status/703222891815505921" TargetMode="External"/><Relationship Id="rId7461" Type="http://schemas.openxmlformats.org/officeDocument/2006/relationships/hyperlink" Target="https://pbs.twimg.com/profile_images/698434154690523136/jnvUhsjI_normal.jpg" TargetMode="External"/><Relationship Id="rId8792" Type="http://schemas.openxmlformats.org/officeDocument/2006/relationships/hyperlink" Target="https://twitter.com/darachennis" TargetMode="External"/><Relationship Id="rId6130" Type="http://schemas.openxmlformats.org/officeDocument/2006/relationships/hyperlink" Target="https://twitter.com/fendien" TargetMode="External"/><Relationship Id="rId7460" Type="http://schemas.openxmlformats.org/officeDocument/2006/relationships/hyperlink" Target="https://twitter.com/AUS_2005/status/702970598155091968" TargetMode="External"/><Relationship Id="rId8791" Type="http://schemas.openxmlformats.org/officeDocument/2006/relationships/hyperlink" Target="https://pbs.twimg.com/profile_images/1666118242/c7lVUYrl_normal" TargetMode="External"/><Relationship Id="rId6135" Type="http://schemas.openxmlformats.org/officeDocument/2006/relationships/hyperlink" Target="https://pbs.twimg.com/profile_images/680246148762828801/flXTNSKT_normal.jpg" TargetMode="External"/><Relationship Id="rId7467" Type="http://schemas.openxmlformats.org/officeDocument/2006/relationships/hyperlink" Target="https://pbs.twimg.com/profile_images/472056112930254848/vdsQnhyD_normal.png" TargetMode="External"/><Relationship Id="rId8798" Type="http://schemas.openxmlformats.org/officeDocument/2006/relationships/hyperlink" Target="https://twitter.com/JackkStat" TargetMode="External"/><Relationship Id="rId6136" Type="http://schemas.openxmlformats.org/officeDocument/2006/relationships/hyperlink" Target="https://twitter.com/hernangraffe" TargetMode="External"/><Relationship Id="rId7466" Type="http://schemas.openxmlformats.org/officeDocument/2006/relationships/hyperlink" Target="https://twitter.com/sudo_f/status/702971304190861314" TargetMode="External"/><Relationship Id="rId8797" Type="http://schemas.openxmlformats.org/officeDocument/2006/relationships/hyperlink" Target="https://pbs.twimg.com/profile_images/499358811564425216/jiX57F1h_normal.jpeg" TargetMode="External"/><Relationship Id="rId6133" Type="http://schemas.openxmlformats.org/officeDocument/2006/relationships/hyperlink" Target="https://twitter.com/KirkDBorne" TargetMode="External"/><Relationship Id="rId7465" Type="http://schemas.openxmlformats.org/officeDocument/2006/relationships/hyperlink" Target="https://twitter.com/sudo_f" TargetMode="External"/><Relationship Id="rId8796" Type="http://schemas.openxmlformats.org/officeDocument/2006/relationships/hyperlink" Target="https://twitter.com/polesasunder/status/703223042940383232" TargetMode="External"/><Relationship Id="rId6134" Type="http://schemas.openxmlformats.org/officeDocument/2006/relationships/hyperlink" Target="https://twitter.com/KirkDBorne/status/702701720460206081" TargetMode="External"/><Relationship Id="rId7464" Type="http://schemas.openxmlformats.org/officeDocument/2006/relationships/hyperlink" Target="https://pbs.twimg.com/profile_images/608482685124796416/97T29djZ_normal.jpg" TargetMode="External"/><Relationship Id="rId8795" Type="http://schemas.openxmlformats.org/officeDocument/2006/relationships/hyperlink" Target="https://twitter.com/polesasunder" TargetMode="External"/><Relationship Id="rId6139" Type="http://schemas.openxmlformats.org/officeDocument/2006/relationships/hyperlink" Target="https://twitter.com/ashwinswarup" TargetMode="External"/><Relationship Id="rId6137" Type="http://schemas.openxmlformats.org/officeDocument/2006/relationships/hyperlink" Target="https://twitter.com/hernangraffe/status/702701924454428672" TargetMode="External"/><Relationship Id="rId7469" Type="http://schemas.openxmlformats.org/officeDocument/2006/relationships/hyperlink" Target="https://twitter.com/jrdnmdhl/status/702971671876145152" TargetMode="External"/><Relationship Id="rId6138" Type="http://schemas.openxmlformats.org/officeDocument/2006/relationships/hyperlink" Target="https://pbs.twimg.com/profile_images/545739425934606336/BfYP_1F7_normal.jpeg" TargetMode="External"/><Relationship Id="rId7468" Type="http://schemas.openxmlformats.org/officeDocument/2006/relationships/hyperlink" Target="https://twitter.com/jrdnmdhl" TargetMode="External"/><Relationship Id="rId8799" Type="http://schemas.openxmlformats.org/officeDocument/2006/relationships/hyperlink" Target="https://twitter.com/JackkStat/status/703223230685818880" TargetMode="External"/><Relationship Id="rId6160" Type="http://schemas.openxmlformats.org/officeDocument/2006/relationships/hyperlink" Target="https://twitter.com/japalaciosg" TargetMode="External"/><Relationship Id="rId7492" Type="http://schemas.openxmlformats.org/officeDocument/2006/relationships/hyperlink" Target="https://twitter.com/m_cerullo" TargetMode="External"/><Relationship Id="rId6161" Type="http://schemas.openxmlformats.org/officeDocument/2006/relationships/hyperlink" Target="https://twitter.com/japalaciosg/status/702706785631805441" TargetMode="External"/><Relationship Id="rId7491" Type="http://schemas.openxmlformats.org/officeDocument/2006/relationships/hyperlink" Target="https://pbs.twimg.com/profile_images/561511326673944576/5zqhDp1u_normal.png" TargetMode="External"/><Relationship Id="rId7490" Type="http://schemas.openxmlformats.org/officeDocument/2006/relationships/hyperlink" Target="https://twitter.com/fozy81/status/702973371970134016" TargetMode="External"/><Relationship Id="rId6164" Type="http://schemas.openxmlformats.org/officeDocument/2006/relationships/hyperlink" Target="https://twitter.com/InsectEcology/status/702707449250213889" TargetMode="External"/><Relationship Id="rId7496" Type="http://schemas.openxmlformats.org/officeDocument/2006/relationships/hyperlink" Target="https://twitter.com/mrwidmann/status/702975799989825539" TargetMode="External"/><Relationship Id="rId6165" Type="http://schemas.openxmlformats.org/officeDocument/2006/relationships/hyperlink" Target="https://pbs.twimg.com/profile_images/651739925629562880/nRD4e0St_normal.jpg" TargetMode="External"/><Relationship Id="rId7495" Type="http://schemas.openxmlformats.org/officeDocument/2006/relationships/hyperlink" Target="https://twitter.com/mrwidmann" TargetMode="External"/><Relationship Id="rId6162" Type="http://schemas.openxmlformats.org/officeDocument/2006/relationships/hyperlink" Target="https://pbs.twimg.com/profile_images/596724230449930240/Fg3wVDMe_normal.jpg" TargetMode="External"/><Relationship Id="rId7494" Type="http://schemas.openxmlformats.org/officeDocument/2006/relationships/hyperlink" Target="https://pbs.twimg.com/profile_images/592443427364679680/O8dFPfRx_normal.jpg" TargetMode="External"/><Relationship Id="rId6163" Type="http://schemas.openxmlformats.org/officeDocument/2006/relationships/hyperlink" Target="https://twitter.com/InsectEcology" TargetMode="External"/><Relationship Id="rId7493" Type="http://schemas.openxmlformats.org/officeDocument/2006/relationships/hyperlink" Target="https://twitter.com/m_cerullo/status/702974920486227969" TargetMode="External"/><Relationship Id="rId6168" Type="http://schemas.openxmlformats.org/officeDocument/2006/relationships/hyperlink" Target="https://pbs.twimg.com/profile_images/457775762108448768/XmO2C1-E_normal.png" TargetMode="External"/><Relationship Id="rId6169" Type="http://schemas.openxmlformats.org/officeDocument/2006/relationships/hyperlink" Target="https://twitter.com/jletteboer" TargetMode="External"/><Relationship Id="rId7499" Type="http://schemas.openxmlformats.org/officeDocument/2006/relationships/hyperlink" Target="https://twitter.com/millerdl/status/702975853588832256" TargetMode="External"/><Relationship Id="rId6166" Type="http://schemas.openxmlformats.org/officeDocument/2006/relationships/hyperlink" Target="https://twitter.com/AnalyticsVidhya" TargetMode="External"/><Relationship Id="rId7498" Type="http://schemas.openxmlformats.org/officeDocument/2006/relationships/hyperlink" Target="https://twitter.com/millerdl" TargetMode="External"/><Relationship Id="rId6167" Type="http://schemas.openxmlformats.org/officeDocument/2006/relationships/hyperlink" Target="https://twitter.com/AnalyticsVidhya/status/702707760543219712" TargetMode="External"/><Relationship Id="rId7497" Type="http://schemas.openxmlformats.org/officeDocument/2006/relationships/hyperlink" Target="https://pbs.twimg.com/profile_images/690204746066595840/N3OLEoqP_normal.jpg" TargetMode="External"/><Relationship Id="rId7481" Type="http://schemas.openxmlformats.org/officeDocument/2006/relationships/hyperlink" Target="https://twitter.com/Adam_Giambrone/status/702972617100304384" TargetMode="External"/><Relationship Id="rId6150" Type="http://schemas.openxmlformats.org/officeDocument/2006/relationships/hyperlink" Target="https://pbs.twimg.com/profile_images/701553083537604608/nr8b38eG_normal.jpg" TargetMode="External"/><Relationship Id="rId7480" Type="http://schemas.openxmlformats.org/officeDocument/2006/relationships/hyperlink" Target="https://twitter.com/Adam_Giambrone" TargetMode="External"/><Relationship Id="rId6153" Type="http://schemas.openxmlformats.org/officeDocument/2006/relationships/hyperlink" Target="https://pbs.twimg.com/profile_images/1630625652/De_moivre-laplace_normal.gif" TargetMode="External"/><Relationship Id="rId7485" Type="http://schemas.openxmlformats.org/officeDocument/2006/relationships/hyperlink" Target="https://pbs.twimg.com/profile_images/489837974398312448/1_cnxEgN_normal.jpeg" TargetMode="External"/><Relationship Id="rId6154" Type="http://schemas.openxmlformats.org/officeDocument/2006/relationships/hyperlink" Target="https://twitter.com/IvanikSaglietti" TargetMode="External"/><Relationship Id="rId7484" Type="http://schemas.openxmlformats.org/officeDocument/2006/relationships/hyperlink" Target="https://twitter.com/sachsmc/status/702973191204028416" TargetMode="External"/><Relationship Id="rId6151" Type="http://schemas.openxmlformats.org/officeDocument/2006/relationships/hyperlink" Target="https://twitter.com/johnrboles" TargetMode="External"/><Relationship Id="rId7483" Type="http://schemas.openxmlformats.org/officeDocument/2006/relationships/hyperlink" Target="https://twitter.com/sachsmc" TargetMode="External"/><Relationship Id="rId6152" Type="http://schemas.openxmlformats.org/officeDocument/2006/relationships/hyperlink" Target="https://twitter.com/johnrboles/status/702704922026975232" TargetMode="External"/><Relationship Id="rId7482" Type="http://schemas.openxmlformats.org/officeDocument/2006/relationships/hyperlink" Target="https://pbs.twimg.com/profile_images/378800000250822054/b1c379cdfa353fe71fb8666b7aed66ac_normal.jpeg" TargetMode="External"/><Relationship Id="rId6157" Type="http://schemas.openxmlformats.org/officeDocument/2006/relationships/hyperlink" Target="https://twitter.com/DataToValue" TargetMode="External"/><Relationship Id="rId7489" Type="http://schemas.openxmlformats.org/officeDocument/2006/relationships/hyperlink" Target="https://twitter.com/fozy81" TargetMode="External"/><Relationship Id="rId6158" Type="http://schemas.openxmlformats.org/officeDocument/2006/relationships/hyperlink" Target="https://twitter.com/DataToValue/status/702706413710266368" TargetMode="External"/><Relationship Id="rId7488" Type="http://schemas.openxmlformats.org/officeDocument/2006/relationships/hyperlink" Target="https://pbs.twimg.com/profile_images/573919346117861376/NGSVIgr__normal.png" TargetMode="External"/><Relationship Id="rId6155" Type="http://schemas.openxmlformats.org/officeDocument/2006/relationships/hyperlink" Target="https://twitter.com/IvanikSaglietti/status/702705587197493248" TargetMode="External"/><Relationship Id="rId7487" Type="http://schemas.openxmlformats.org/officeDocument/2006/relationships/hyperlink" Target="https://twitter.com/zevross/status/702973362994151424" TargetMode="External"/><Relationship Id="rId6156" Type="http://schemas.openxmlformats.org/officeDocument/2006/relationships/hyperlink" Target="https://pbs.twimg.com/profile_images/378800000824703702/f1a4651981a6b5da181840ceb3570159_normal.jpeg" TargetMode="External"/><Relationship Id="rId7486" Type="http://schemas.openxmlformats.org/officeDocument/2006/relationships/hyperlink" Target="https://twitter.com/zevross" TargetMode="External"/><Relationship Id="rId6159" Type="http://schemas.openxmlformats.org/officeDocument/2006/relationships/hyperlink" Target="https://pbs.twimg.com/profile_images/562555701734547456/mIBOZbQA_normal.jpeg" TargetMode="External"/><Relationship Id="rId1334" Type="http://schemas.openxmlformats.org/officeDocument/2006/relationships/hyperlink" Target="https://twitter.com/LEXsB" TargetMode="External"/><Relationship Id="rId2665" Type="http://schemas.openxmlformats.org/officeDocument/2006/relationships/hyperlink" Target="https://pbs.twimg.com/profile_images/554924936985206786/FBkNWZp8_normal.png" TargetMode="External"/><Relationship Id="rId3997" Type="http://schemas.openxmlformats.org/officeDocument/2006/relationships/hyperlink" Target="https://pbs.twimg.com/profile_images/660978605606875137/s3YrJetD_normal.jpg" TargetMode="External"/><Relationship Id="rId1335" Type="http://schemas.openxmlformats.org/officeDocument/2006/relationships/hyperlink" Target="https://twitter.com/LEXsB/status/701708973565747201" TargetMode="External"/><Relationship Id="rId2666" Type="http://schemas.openxmlformats.org/officeDocument/2006/relationships/hyperlink" Target="https://twitter.com/joshjfink" TargetMode="External"/><Relationship Id="rId3996" Type="http://schemas.openxmlformats.org/officeDocument/2006/relationships/hyperlink" Target="https://twitter.com/JennyBryan/status/702285213955559425" TargetMode="External"/><Relationship Id="rId1336" Type="http://schemas.openxmlformats.org/officeDocument/2006/relationships/hyperlink" Target="https://pbs.twimg.com/profile_images/690511673069850624/YnP_zplS_normal.jpg" TargetMode="External"/><Relationship Id="rId2667" Type="http://schemas.openxmlformats.org/officeDocument/2006/relationships/hyperlink" Target="https://twitter.com/joshjfink/status/701963557701820417" TargetMode="External"/><Relationship Id="rId3999" Type="http://schemas.openxmlformats.org/officeDocument/2006/relationships/hyperlink" Target="https://twitter.com/dynarski/status/702285619209248768" TargetMode="External"/><Relationship Id="rId1337" Type="http://schemas.openxmlformats.org/officeDocument/2006/relationships/hyperlink" Target="https://twitter.com/MangoTheCat" TargetMode="External"/><Relationship Id="rId2668" Type="http://schemas.openxmlformats.org/officeDocument/2006/relationships/hyperlink" Target="https://pbs.twimg.com/profile_images/692071858448011264/IWaYjbkb_normal.png" TargetMode="External"/><Relationship Id="rId3998" Type="http://schemas.openxmlformats.org/officeDocument/2006/relationships/hyperlink" Target="https://twitter.com/dynarski" TargetMode="External"/><Relationship Id="rId1338" Type="http://schemas.openxmlformats.org/officeDocument/2006/relationships/hyperlink" Target="https://twitter.com/MangoTheCat/status/701709273454272512" TargetMode="External"/><Relationship Id="rId2669" Type="http://schemas.openxmlformats.org/officeDocument/2006/relationships/hyperlink" Target="https://twitter.com/timelyportfolio" TargetMode="External"/><Relationship Id="rId1339" Type="http://schemas.openxmlformats.org/officeDocument/2006/relationships/hyperlink" Target="https://pbs.twimg.com/profile_images/641183991077445633/V7VcBpJI_normal.png" TargetMode="External"/><Relationship Id="rId745" Type="http://schemas.openxmlformats.org/officeDocument/2006/relationships/hyperlink" Target="https://twitter.com/alnisb/status/701517929884483584" TargetMode="External"/><Relationship Id="rId744" Type="http://schemas.openxmlformats.org/officeDocument/2006/relationships/hyperlink" Target="https://twitter.com/alnisb" TargetMode="External"/><Relationship Id="rId743" Type="http://schemas.openxmlformats.org/officeDocument/2006/relationships/hyperlink" Target="https://pbs.twimg.com/profile_images/690329387502153728/j7bVA2QG_normal.jpg" TargetMode="External"/><Relationship Id="rId742" Type="http://schemas.openxmlformats.org/officeDocument/2006/relationships/hyperlink" Target="https://twitter.com/_sbr1/status/701517398071902210" TargetMode="External"/><Relationship Id="rId749" Type="http://schemas.openxmlformats.org/officeDocument/2006/relationships/hyperlink" Target="https://pbs.twimg.com/profile_images/676596646226952193/uaAka0eF_normal.jpg" TargetMode="External"/><Relationship Id="rId748" Type="http://schemas.openxmlformats.org/officeDocument/2006/relationships/hyperlink" Target="https://twitter.com/CesarJmz/status/701518395531857920" TargetMode="External"/><Relationship Id="rId747" Type="http://schemas.openxmlformats.org/officeDocument/2006/relationships/hyperlink" Target="https://twitter.com/CesarJmz" TargetMode="External"/><Relationship Id="rId746" Type="http://schemas.openxmlformats.org/officeDocument/2006/relationships/hyperlink" Target="https://pbs.twimg.com/profile_images/635979167264206848/xxcfvIRU_normal.png" TargetMode="External"/><Relationship Id="rId3991" Type="http://schemas.openxmlformats.org/officeDocument/2006/relationships/hyperlink" Target="https://pbs.twimg.com/profile_images/1126641228/twitter_normal.png" TargetMode="External"/><Relationship Id="rId2660" Type="http://schemas.openxmlformats.org/officeDocument/2006/relationships/hyperlink" Target="https://twitter.com/sckottie" TargetMode="External"/><Relationship Id="rId3990" Type="http://schemas.openxmlformats.org/officeDocument/2006/relationships/hyperlink" Target="https://twitter.com/hujk/status/702284007724027906" TargetMode="External"/><Relationship Id="rId741" Type="http://schemas.openxmlformats.org/officeDocument/2006/relationships/hyperlink" Target="https://twitter.com/_sbr1" TargetMode="External"/><Relationship Id="rId1330" Type="http://schemas.openxmlformats.org/officeDocument/2006/relationships/hyperlink" Target="https://pbs.twimg.com/profile_images/641183991077445633/V7VcBpJI_normal.png" TargetMode="External"/><Relationship Id="rId2661" Type="http://schemas.openxmlformats.org/officeDocument/2006/relationships/hyperlink" Target="https://twitter.com/sckottie/status/701962815297327106" TargetMode="External"/><Relationship Id="rId3993" Type="http://schemas.openxmlformats.org/officeDocument/2006/relationships/hyperlink" Target="https://twitter.com/Emaasit/status/702284844940722176" TargetMode="External"/><Relationship Id="rId740" Type="http://schemas.openxmlformats.org/officeDocument/2006/relationships/hyperlink" Target="https://pbs.twimg.com/profile_images/609753456711176193/teJC_NNZ_normal.jpg" TargetMode="External"/><Relationship Id="rId1331" Type="http://schemas.openxmlformats.org/officeDocument/2006/relationships/hyperlink" Target="https://twitter.com/MangoTheCat" TargetMode="External"/><Relationship Id="rId2662" Type="http://schemas.openxmlformats.org/officeDocument/2006/relationships/hyperlink" Target="https://pbs.twimg.com/profile_images/628062474491670529/KOOABG9v_normal.jpg" TargetMode="External"/><Relationship Id="rId3992" Type="http://schemas.openxmlformats.org/officeDocument/2006/relationships/hyperlink" Target="https://twitter.com/Emaasit" TargetMode="External"/><Relationship Id="rId1332" Type="http://schemas.openxmlformats.org/officeDocument/2006/relationships/hyperlink" Target="https://twitter.com/MangoTheCat/status/701708411252113408" TargetMode="External"/><Relationship Id="rId2663" Type="http://schemas.openxmlformats.org/officeDocument/2006/relationships/hyperlink" Target="https://twitter.com/Hoog10HK" TargetMode="External"/><Relationship Id="rId3995" Type="http://schemas.openxmlformats.org/officeDocument/2006/relationships/hyperlink" Target="https://twitter.com/JennyBryan" TargetMode="External"/><Relationship Id="rId1333" Type="http://schemas.openxmlformats.org/officeDocument/2006/relationships/hyperlink" Target="https://pbs.twimg.com/profile_images/641183991077445633/V7VcBpJI_normal.png" TargetMode="External"/><Relationship Id="rId2664" Type="http://schemas.openxmlformats.org/officeDocument/2006/relationships/hyperlink" Target="https://twitter.com/Hoog10HK/status/701962836142981123" TargetMode="External"/><Relationship Id="rId3994" Type="http://schemas.openxmlformats.org/officeDocument/2006/relationships/hyperlink" Target="https://pbs.twimg.com/profile_images/567588045927354370/NN8xp_M5_normal.jpeg" TargetMode="External"/><Relationship Id="rId1323" Type="http://schemas.openxmlformats.org/officeDocument/2006/relationships/hyperlink" Target="https://twitter.com/RadCashew/status/701708225159294976" TargetMode="External"/><Relationship Id="rId2654" Type="http://schemas.openxmlformats.org/officeDocument/2006/relationships/hyperlink" Target="https://twitter.com/wtibrentdubai" TargetMode="External"/><Relationship Id="rId3986" Type="http://schemas.openxmlformats.org/officeDocument/2006/relationships/hyperlink" Target="https://twitter.com/SparkIQ_Labs" TargetMode="External"/><Relationship Id="rId1324" Type="http://schemas.openxmlformats.org/officeDocument/2006/relationships/hyperlink" Target="https://pbs.twimg.com/profile_images/680782491737829376/7T1R6MR6_normal.jpg" TargetMode="External"/><Relationship Id="rId2655" Type="http://schemas.openxmlformats.org/officeDocument/2006/relationships/hyperlink" Target="https://twitter.com/wtibrentdubai/status/701962404528140288" TargetMode="External"/><Relationship Id="rId3985" Type="http://schemas.openxmlformats.org/officeDocument/2006/relationships/hyperlink" Target="https://pbs.twimg.com/profile_images/612471608725213184/eXKo2Kmo_normal.jpg" TargetMode="External"/><Relationship Id="rId1325" Type="http://schemas.openxmlformats.org/officeDocument/2006/relationships/hyperlink" Target="https://twitter.com/earlconf" TargetMode="External"/><Relationship Id="rId2656" Type="http://schemas.openxmlformats.org/officeDocument/2006/relationships/hyperlink" Target="https://pbs.twimg.com/profile_images/670700991906381824/-0POuKFV_normal.jpg" TargetMode="External"/><Relationship Id="rId3988" Type="http://schemas.openxmlformats.org/officeDocument/2006/relationships/hyperlink" Target="https://pbs.twimg.com/profile_images/651885368279568384/JY9VXNaJ_normal.jpg" TargetMode="External"/><Relationship Id="rId1326" Type="http://schemas.openxmlformats.org/officeDocument/2006/relationships/hyperlink" Target="https://twitter.com/earlconf/status/701708263880921088" TargetMode="External"/><Relationship Id="rId2657" Type="http://schemas.openxmlformats.org/officeDocument/2006/relationships/hyperlink" Target="https://twitter.com/wtibrentdubai" TargetMode="External"/><Relationship Id="rId3987" Type="http://schemas.openxmlformats.org/officeDocument/2006/relationships/hyperlink" Target="https://twitter.com/SparkIQ_Labs/status/702283842560757762" TargetMode="External"/><Relationship Id="rId1327" Type="http://schemas.openxmlformats.org/officeDocument/2006/relationships/hyperlink" Target="https://pbs.twimg.com/profile_images/432298122203512833/YDXfWlI__normal.png" TargetMode="External"/><Relationship Id="rId2658" Type="http://schemas.openxmlformats.org/officeDocument/2006/relationships/hyperlink" Target="https://twitter.com/wtibrentdubai/status/701962465869848576" TargetMode="External"/><Relationship Id="rId1328" Type="http://schemas.openxmlformats.org/officeDocument/2006/relationships/hyperlink" Target="https://twitter.com/MangoTheCat" TargetMode="External"/><Relationship Id="rId2659" Type="http://schemas.openxmlformats.org/officeDocument/2006/relationships/hyperlink" Target="https://pbs.twimg.com/profile_images/670700991906381824/-0POuKFV_normal.jpg" TargetMode="External"/><Relationship Id="rId3989" Type="http://schemas.openxmlformats.org/officeDocument/2006/relationships/hyperlink" Target="https://twitter.com/hujk" TargetMode="External"/><Relationship Id="rId1329" Type="http://schemas.openxmlformats.org/officeDocument/2006/relationships/hyperlink" Target="https://twitter.com/MangoTheCat/status/701708362329751552" TargetMode="External"/><Relationship Id="rId739" Type="http://schemas.openxmlformats.org/officeDocument/2006/relationships/hyperlink" Target="https://twitter.com/evanlitsa/status/701516594158116864" TargetMode="External"/><Relationship Id="rId734" Type="http://schemas.openxmlformats.org/officeDocument/2006/relationships/hyperlink" Target="https://pbs.twimg.com/profile_images/2333932980/Image1_normal.gif" TargetMode="External"/><Relationship Id="rId733" Type="http://schemas.openxmlformats.org/officeDocument/2006/relationships/hyperlink" Target="https://twitter.com/TurkerNational/status/701513396609531904" TargetMode="External"/><Relationship Id="rId732" Type="http://schemas.openxmlformats.org/officeDocument/2006/relationships/hyperlink" Target="https://twitter.com/TurkerNational" TargetMode="External"/><Relationship Id="rId731" Type="http://schemas.openxmlformats.org/officeDocument/2006/relationships/hyperlink" Target="https://pbs.twimg.com/profile_images/2887447793/e4d2ce9e051547b581643c2341174021_normal.png" TargetMode="External"/><Relationship Id="rId738" Type="http://schemas.openxmlformats.org/officeDocument/2006/relationships/hyperlink" Target="https://twitter.com/evanlitsa" TargetMode="External"/><Relationship Id="rId737" Type="http://schemas.openxmlformats.org/officeDocument/2006/relationships/hyperlink" Target="https://abs.twimg.com/sticky/default_profile_images/default_profile_1_normal.png" TargetMode="External"/><Relationship Id="rId736" Type="http://schemas.openxmlformats.org/officeDocument/2006/relationships/hyperlink" Target="https://twitter.com/Sunilma99772850/status/701514791412748295" TargetMode="External"/><Relationship Id="rId735" Type="http://schemas.openxmlformats.org/officeDocument/2006/relationships/hyperlink" Target="https://twitter.com/Sunilma99772850" TargetMode="External"/><Relationship Id="rId3980" Type="http://schemas.openxmlformats.org/officeDocument/2006/relationships/hyperlink" Target="https://twitter.com/CjMrcamiel" TargetMode="External"/><Relationship Id="rId730" Type="http://schemas.openxmlformats.org/officeDocument/2006/relationships/hyperlink" Target="https://twitter.com/boomt/status/701513057202212864" TargetMode="External"/><Relationship Id="rId2650" Type="http://schemas.openxmlformats.org/officeDocument/2006/relationships/hyperlink" Target="https://pbs.twimg.com/profile_images/530386276256456704/uFqjnAEM_normal.jpeg" TargetMode="External"/><Relationship Id="rId3982" Type="http://schemas.openxmlformats.org/officeDocument/2006/relationships/hyperlink" Target="https://pbs.twimg.com/profile_images/378800000254021542/887553be439db2d83c346af322b2e8ec_normal.jpeg" TargetMode="External"/><Relationship Id="rId1320" Type="http://schemas.openxmlformats.org/officeDocument/2006/relationships/hyperlink" Target="https://twitter.com/BigDataShift/status/701707247483752449" TargetMode="External"/><Relationship Id="rId2651" Type="http://schemas.openxmlformats.org/officeDocument/2006/relationships/hyperlink" Target="https://twitter.com/ZonoYu" TargetMode="External"/><Relationship Id="rId3981" Type="http://schemas.openxmlformats.org/officeDocument/2006/relationships/hyperlink" Target="https://twitter.com/CjMrcamiel/status/702283468235911169" TargetMode="External"/><Relationship Id="rId1321" Type="http://schemas.openxmlformats.org/officeDocument/2006/relationships/hyperlink" Target="https://pbs.twimg.com/profile_images/599247330089574401/U9oq-jLO_normal.jpg" TargetMode="External"/><Relationship Id="rId2652" Type="http://schemas.openxmlformats.org/officeDocument/2006/relationships/hyperlink" Target="https://twitter.com/ZonoYu/status/701962226060529664" TargetMode="External"/><Relationship Id="rId3984" Type="http://schemas.openxmlformats.org/officeDocument/2006/relationships/hyperlink" Target="https://twitter.com/DataWookie/status/702283641347395584" TargetMode="External"/><Relationship Id="rId1322" Type="http://schemas.openxmlformats.org/officeDocument/2006/relationships/hyperlink" Target="https://twitter.com/RadCashew" TargetMode="External"/><Relationship Id="rId2653" Type="http://schemas.openxmlformats.org/officeDocument/2006/relationships/hyperlink" Target="https://pbs.twimg.com/profile_images/2207905579/WS000000_normal.JPG" TargetMode="External"/><Relationship Id="rId3983" Type="http://schemas.openxmlformats.org/officeDocument/2006/relationships/hyperlink" Target="https://twitter.com/DataWookie" TargetMode="External"/><Relationship Id="rId1356" Type="http://schemas.openxmlformats.org/officeDocument/2006/relationships/hyperlink" Target="https://pbs.twimg.com/profile_images/680782491737829376/7T1R6MR6_normal.jpg" TargetMode="External"/><Relationship Id="rId2687" Type="http://schemas.openxmlformats.org/officeDocument/2006/relationships/hyperlink" Target="https://twitter.com/Akihiro1982" TargetMode="External"/><Relationship Id="rId1357" Type="http://schemas.openxmlformats.org/officeDocument/2006/relationships/hyperlink" Target="https://twitter.com/tomfinch89" TargetMode="External"/><Relationship Id="rId2688" Type="http://schemas.openxmlformats.org/officeDocument/2006/relationships/hyperlink" Target="https://twitter.com/Akihiro1982/status/701968759439826944" TargetMode="External"/><Relationship Id="rId1358" Type="http://schemas.openxmlformats.org/officeDocument/2006/relationships/hyperlink" Target="https://twitter.com/tomfinch89/status/701711239009984512" TargetMode="External"/><Relationship Id="rId2689" Type="http://schemas.openxmlformats.org/officeDocument/2006/relationships/hyperlink" Target="https://pbs.twimg.com/profile_images/416232231972007937/AJ3pesrp_normal.jpeg" TargetMode="External"/><Relationship Id="rId1359" Type="http://schemas.openxmlformats.org/officeDocument/2006/relationships/hyperlink" Target="https://pbs.twimg.com/profile_images/581836268327317504/q4hbk8og_normal.jpg" TargetMode="External"/><Relationship Id="rId767" Type="http://schemas.openxmlformats.org/officeDocument/2006/relationships/hyperlink" Target="https://pbs.twimg.com/profile_images/678982510605295616/tijMdbXn_normal.jpg" TargetMode="External"/><Relationship Id="rId766" Type="http://schemas.openxmlformats.org/officeDocument/2006/relationships/hyperlink" Target="https://twitter.com/_nicolemargaret/status/701524428501286912" TargetMode="External"/><Relationship Id="rId765" Type="http://schemas.openxmlformats.org/officeDocument/2006/relationships/hyperlink" Target="https://twitter.com/_nicolemargaret" TargetMode="External"/><Relationship Id="rId764" Type="http://schemas.openxmlformats.org/officeDocument/2006/relationships/hyperlink" Target="https://pbs.twimg.com/profile_images/301702857/twitpic_normal.jpg" TargetMode="External"/><Relationship Id="rId769" Type="http://schemas.openxmlformats.org/officeDocument/2006/relationships/hyperlink" Target="https://twitter.com/JunMa_MJ/status/701525915847802880" TargetMode="External"/><Relationship Id="rId768" Type="http://schemas.openxmlformats.org/officeDocument/2006/relationships/hyperlink" Target="https://twitter.com/JunMa_MJ" TargetMode="External"/><Relationship Id="rId2680" Type="http://schemas.openxmlformats.org/officeDocument/2006/relationships/hyperlink" Target="https://pbs.twimg.com/profile_images/577960852621393920/ZdSkF_o-_normal.jpeg" TargetMode="External"/><Relationship Id="rId1350" Type="http://schemas.openxmlformats.org/officeDocument/2006/relationships/hyperlink" Target="https://twitter.com/RProgramming" TargetMode="External"/><Relationship Id="rId2681" Type="http://schemas.openxmlformats.org/officeDocument/2006/relationships/hyperlink" Target="https://twitter.com/DataAndDataViz" TargetMode="External"/><Relationship Id="rId1351" Type="http://schemas.openxmlformats.org/officeDocument/2006/relationships/hyperlink" Target="http://RProgramming.net" TargetMode="External"/><Relationship Id="rId2682" Type="http://schemas.openxmlformats.org/officeDocument/2006/relationships/hyperlink" Target="https://twitter.com/DataAndDataViz/status/701965863440797696" TargetMode="External"/><Relationship Id="rId763" Type="http://schemas.openxmlformats.org/officeDocument/2006/relationships/hyperlink" Target="https://twitter.com/davekincaid/status/701522564154265600" TargetMode="External"/><Relationship Id="rId1352" Type="http://schemas.openxmlformats.org/officeDocument/2006/relationships/hyperlink" Target="https://twitter.com/RProgramming/status/701710326513840128" TargetMode="External"/><Relationship Id="rId2683" Type="http://schemas.openxmlformats.org/officeDocument/2006/relationships/hyperlink" Target="https://pbs.twimg.com/profile_images/412249095110008832/J_K4--iQ_normal.png" TargetMode="External"/><Relationship Id="rId762" Type="http://schemas.openxmlformats.org/officeDocument/2006/relationships/hyperlink" Target="https://twitter.com/davekincaid" TargetMode="External"/><Relationship Id="rId1353" Type="http://schemas.openxmlformats.org/officeDocument/2006/relationships/hyperlink" Target="https://pbs.twimg.com/profile_images/696056897560915969/XpPGOuAf_normal.png" TargetMode="External"/><Relationship Id="rId2684" Type="http://schemas.openxmlformats.org/officeDocument/2006/relationships/hyperlink" Target="https://twitter.com/dawnbazely" TargetMode="External"/><Relationship Id="rId761" Type="http://schemas.openxmlformats.org/officeDocument/2006/relationships/hyperlink" Target="https://pbs.twimg.com/profile_images/645650110374936580/-oQakt8x_normal.png" TargetMode="External"/><Relationship Id="rId1354" Type="http://schemas.openxmlformats.org/officeDocument/2006/relationships/hyperlink" Target="https://twitter.com/RadCashew" TargetMode="External"/><Relationship Id="rId2685" Type="http://schemas.openxmlformats.org/officeDocument/2006/relationships/hyperlink" Target="https://twitter.com/dawnbazely/status/701968451087110144" TargetMode="External"/><Relationship Id="rId760" Type="http://schemas.openxmlformats.org/officeDocument/2006/relationships/hyperlink" Target="https://twitter.com/homeAIinfo/status/701522063396368389" TargetMode="External"/><Relationship Id="rId1355" Type="http://schemas.openxmlformats.org/officeDocument/2006/relationships/hyperlink" Target="https://twitter.com/RadCashew/status/701710415601004547" TargetMode="External"/><Relationship Id="rId2686" Type="http://schemas.openxmlformats.org/officeDocument/2006/relationships/hyperlink" Target="https://pbs.twimg.com/profile_images/667706075160809472/TwWSe4qf_normal.png" TargetMode="External"/><Relationship Id="rId1345" Type="http://schemas.openxmlformats.org/officeDocument/2006/relationships/hyperlink" Target="https://pbs.twimg.com/profile_images/577472083665383424/44RUuy3N_normal.jpeg" TargetMode="External"/><Relationship Id="rId2676" Type="http://schemas.openxmlformats.org/officeDocument/2006/relationships/hyperlink" Target="https://twitter.com/awhstin/status/701965123498315777" TargetMode="External"/><Relationship Id="rId1346" Type="http://schemas.openxmlformats.org/officeDocument/2006/relationships/hyperlink" Target="https://twitter.com/Rbloggers" TargetMode="External"/><Relationship Id="rId2677" Type="http://schemas.openxmlformats.org/officeDocument/2006/relationships/hyperlink" Target="https://pbs.twimg.com/profile_images/378800000488404131/ae37bb586ccba5916378953890cfa516_normal.jpeg" TargetMode="External"/><Relationship Id="rId1347" Type="http://schemas.openxmlformats.org/officeDocument/2006/relationships/hyperlink" Target="https://twitter.com/Rbloggers/status/701710108095488000" TargetMode="External"/><Relationship Id="rId2678" Type="http://schemas.openxmlformats.org/officeDocument/2006/relationships/hyperlink" Target="https://twitter.com/DavidGJoyce" TargetMode="External"/><Relationship Id="rId1348" Type="http://schemas.openxmlformats.org/officeDocument/2006/relationships/hyperlink" Target="http://r-bloggers.com" TargetMode="External"/><Relationship Id="rId2679" Type="http://schemas.openxmlformats.org/officeDocument/2006/relationships/hyperlink" Target="https://twitter.com/DavidGJoyce/status/701965755001081856" TargetMode="External"/><Relationship Id="rId1349" Type="http://schemas.openxmlformats.org/officeDocument/2006/relationships/hyperlink" Target="https://pbs.twimg.com/profile_images/502185985786916864/gkdFh-q7_normal.png" TargetMode="External"/><Relationship Id="rId756" Type="http://schemas.openxmlformats.org/officeDocument/2006/relationships/hyperlink" Target="https://twitter.com/QuadmanSWE" TargetMode="External"/><Relationship Id="rId755" Type="http://schemas.openxmlformats.org/officeDocument/2006/relationships/hyperlink" Target="https://pbs.twimg.com/profile_images/378800000463633572/8494361443a9361de1017d497c5ee1f2_normal.jpeg" TargetMode="External"/><Relationship Id="rId754" Type="http://schemas.openxmlformats.org/officeDocument/2006/relationships/hyperlink" Target="https://twitter.com/jornalistavitor/status/701519651763855364" TargetMode="External"/><Relationship Id="rId753" Type="http://schemas.openxmlformats.org/officeDocument/2006/relationships/hyperlink" Target="https://twitter.com/jornalistavitor" TargetMode="External"/><Relationship Id="rId759" Type="http://schemas.openxmlformats.org/officeDocument/2006/relationships/hyperlink" Target="https://twitter.com/homeAIinfo" TargetMode="External"/><Relationship Id="rId758" Type="http://schemas.openxmlformats.org/officeDocument/2006/relationships/hyperlink" Target="https://pbs.twimg.com/profile_images/452764197487513603/Wr-VS-rt_normal.png" TargetMode="External"/><Relationship Id="rId757" Type="http://schemas.openxmlformats.org/officeDocument/2006/relationships/hyperlink" Target="https://twitter.com/QuadmanSWE/status/701520413227098113" TargetMode="External"/><Relationship Id="rId2670" Type="http://schemas.openxmlformats.org/officeDocument/2006/relationships/hyperlink" Target="https://twitter.com/timelyportfolio/status/701963988100390912" TargetMode="External"/><Relationship Id="rId1340" Type="http://schemas.openxmlformats.org/officeDocument/2006/relationships/hyperlink" Target="https://twitter.com/tomhouslay" TargetMode="External"/><Relationship Id="rId2671" Type="http://schemas.openxmlformats.org/officeDocument/2006/relationships/hyperlink" Target="https://pbs.twimg.com/profile_images/2198946077/image_normal.jpg" TargetMode="External"/><Relationship Id="rId752" Type="http://schemas.openxmlformats.org/officeDocument/2006/relationships/hyperlink" Target="https://pbs.twimg.com/profile_images/457775762108448768/XmO2C1-E_normal.png" TargetMode="External"/><Relationship Id="rId1341" Type="http://schemas.openxmlformats.org/officeDocument/2006/relationships/hyperlink" Target="https://twitter.com/tomhouslay/status/701709742385848320" TargetMode="External"/><Relationship Id="rId2672" Type="http://schemas.openxmlformats.org/officeDocument/2006/relationships/hyperlink" Target="https://twitter.com/hrbrmstr" TargetMode="External"/><Relationship Id="rId751" Type="http://schemas.openxmlformats.org/officeDocument/2006/relationships/hyperlink" Target="https://twitter.com/AnalyticsVidhya/status/701519475766665216" TargetMode="External"/><Relationship Id="rId1342" Type="http://schemas.openxmlformats.org/officeDocument/2006/relationships/hyperlink" Target="https://pbs.twimg.com/profile_images/701901513392717824/lUzJ39G2_normal.png" TargetMode="External"/><Relationship Id="rId2673" Type="http://schemas.openxmlformats.org/officeDocument/2006/relationships/hyperlink" Target="https://twitter.com/hrbrmstr/status/701964273807921156" TargetMode="External"/><Relationship Id="rId750" Type="http://schemas.openxmlformats.org/officeDocument/2006/relationships/hyperlink" Target="https://twitter.com/AnalyticsVidhya" TargetMode="External"/><Relationship Id="rId1343" Type="http://schemas.openxmlformats.org/officeDocument/2006/relationships/hyperlink" Target="https://twitter.com/SCISYS_PLC" TargetMode="External"/><Relationship Id="rId2674" Type="http://schemas.openxmlformats.org/officeDocument/2006/relationships/hyperlink" Target="https://pbs.twimg.com/profile_images/557592259298729985/kpCUQWH1_normal.png" TargetMode="External"/><Relationship Id="rId1344" Type="http://schemas.openxmlformats.org/officeDocument/2006/relationships/hyperlink" Target="https://twitter.com/SCISYS_PLC/status/701709838473175040" TargetMode="External"/><Relationship Id="rId2675" Type="http://schemas.openxmlformats.org/officeDocument/2006/relationships/hyperlink" Target="https://twitter.com/awhstin" TargetMode="External"/><Relationship Id="rId2621" Type="http://schemas.openxmlformats.org/officeDocument/2006/relationships/hyperlink" Target="https://twitter.com/ArieSpirgel/status/701946592950165506" TargetMode="External"/><Relationship Id="rId3953" Type="http://schemas.openxmlformats.org/officeDocument/2006/relationships/hyperlink" Target="https://twitter.com/armand_ruiz/status/702277255209230336" TargetMode="External"/><Relationship Id="rId2622" Type="http://schemas.openxmlformats.org/officeDocument/2006/relationships/hyperlink" Target="https://pbs.twimg.com/profile_images/610143686274363392/j1oWKW2b_normal.jpg" TargetMode="External"/><Relationship Id="rId3952" Type="http://schemas.openxmlformats.org/officeDocument/2006/relationships/hyperlink" Target="https://twitter.com/armand_ruiz" TargetMode="External"/><Relationship Id="rId2623" Type="http://schemas.openxmlformats.org/officeDocument/2006/relationships/hyperlink" Target="https://twitter.com/adamson" TargetMode="External"/><Relationship Id="rId3955" Type="http://schemas.openxmlformats.org/officeDocument/2006/relationships/hyperlink" Target="https://twitter.com/Rbloggers" TargetMode="External"/><Relationship Id="rId2624" Type="http://schemas.openxmlformats.org/officeDocument/2006/relationships/hyperlink" Target="https://twitter.com/adamson/status/701950623839813632" TargetMode="External"/><Relationship Id="rId3954" Type="http://schemas.openxmlformats.org/officeDocument/2006/relationships/hyperlink" Target="https://pbs.twimg.com/profile_images/690228586817519616/8EhrPVtw_normal.jpg" TargetMode="External"/><Relationship Id="rId2625" Type="http://schemas.openxmlformats.org/officeDocument/2006/relationships/hyperlink" Target="https://pbs.twimg.com/profile_images/544790599589568512/26tIRo8H_normal.jpeg" TargetMode="External"/><Relationship Id="rId3957" Type="http://schemas.openxmlformats.org/officeDocument/2006/relationships/hyperlink" Target="http://r-bloggers.com" TargetMode="External"/><Relationship Id="rId2626" Type="http://schemas.openxmlformats.org/officeDocument/2006/relationships/hyperlink" Target="https://twitter.com/SHaymondSays" TargetMode="External"/><Relationship Id="rId3956" Type="http://schemas.openxmlformats.org/officeDocument/2006/relationships/hyperlink" Target="https://twitter.com/Rbloggers/status/702279328235585536" TargetMode="External"/><Relationship Id="rId2627" Type="http://schemas.openxmlformats.org/officeDocument/2006/relationships/hyperlink" Target="https://twitter.com/SHaymondSays/status/701954757842247680" TargetMode="External"/><Relationship Id="rId3959" Type="http://schemas.openxmlformats.org/officeDocument/2006/relationships/hyperlink" Target="https://twitter.com/renato_umeton" TargetMode="External"/><Relationship Id="rId2628" Type="http://schemas.openxmlformats.org/officeDocument/2006/relationships/hyperlink" Target="https://pbs.twimg.com/profile_images/599430288423260160/6jvdvVQg_normal.jpg" TargetMode="External"/><Relationship Id="rId3958" Type="http://schemas.openxmlformats.org/officeDocument/2006/relationships/hyperlink" Target="https://pbs.twimg.com/profile_images/502185985786916864/gkdFh-q7_normal.png" TargetMode="External"/><Relationship Id="rId709" Type="http://schemas.openxmlformats.org/officeDocument/2006/relationships/hyperlink" Target="https://twitter.com/sfrechette/status/701510072875294720" TargetMode="External"/><Relationship Id="rId2629" Type="http://schemas.openxmlformats.org/officeDocument/2006/relationships/hyperlink" Target="https://twitter.com/SHaymondSays" TargetMode="External"/><Relationship Id="rId708" Type="http://schemas.openxmlformats.org/officeDocument/2006/relationships/hyperlink" Target="https://twitter.com/sfrechette" TargetMode="External"/><Relationship Id="rId707" Type="http://schemas.openxmlformats.org/officeDocument/2006/relationships/hyperlink" Target="https://pbs.twimg.com/profile_images/413098705378488321/pc7DXom7_normal.jpeg" TargetMode="External"/><Relationship Id="rId706" Type="http://schemas.openxmlformats.org/officeDocument/2006/relationships/hyperlink" Target="https://twitter.com/jbryer/status/701508829956059136" TargetMode="External"/><Relationship Id="rId701" Type="http://schemas.openxmlformats.org/officeDocument/2006/relationships/hyperlink" Target="https://pbs.twimg.com/profile_images/502185985786916864/gkdFh-q7_normal.png" TargetMode="External"/><Relationship Id="rId700" Type="http://schemas.openxmlformats.org/officeDocument/2006/relationships/hyperlink" Target="http://r-bloggers.com" TargetMode="External"/><Relationship Id="rId705" Type="http://schemas.openxmlformats.org/officeDocument/2006/relationships/hyperlink" Target="https://twitter.com/jbryer" TargetMode="External"/><Relationship Id="rId704" Type="http://schemas.openxmlformats.org/officeDocument/2006/relationships/hyperlink" Target="https://pbs.twimg.com/profile_images/657055918488600576/TXYmuW8C_normal.jpg" TargetMode="External"/><Relationship Id="rId703" Type="http://schemas.openxmlformats.org/officeDocument/2006/relationships/hyperlink" Target="https://twitter.com/touchdownbot/status/701507524504195072" TargetMode="External"/><Relationship Id="rId702" Type="http://schemas.openxmlformats.org/officeDocument/2006/relationships/hyperlink" Target="https://twitter.com/touchdownbot" TargetMode="External"/><Relationship Id="rId3951" Type="http://schemas.openxmlformats.org/officeDocument/2006/relationships/hyperlink" Target="https://pbs.twimg.com/profile_images/2368101404/c3e67czm0heofzs30pqp_normal.jpeg" TargetMode="External"/><Relationship Id="rId2620" Type="http://schemas.openxmlformats.org/officeDocument/2006/relationships/hyperlink" Target="https://twitter.com/ArieSpirgel" TargetMode="External"/><Relationship Id="rId3950" Type="http://schemas.openxmlformats.org/officeDocument/2006/relationships/hyperlink" Target="https://twitter.com/andymurray000/status/702276682951032832" TargetMode="External"/><Relationship Id="rId2610" Type="http://schemas.openxmlformats.org/officeDocument/2006/relationships/hyperlink" Target="https://pbs.twimg.com/profile_images/567672223029141505/zYpSqhay_normal.jpeg" TargetMode="External"/><Relationship Id="rId3942" Type="http://schemas.openxmlformats.org/officeDocument/2006/relationships/hyperlink" Target="https://pbs.twimg.com/profile_images/509100899063439361/1xdR38oG_normal.jpeg" TargetMode="External"/><Relationship Id="rId2611" Type="http://schemas.openxmlformats.org/officeDocument/2006/relationships/hyperlink" Target="https://twitter.com/journocode" TargetMode="External"/><Relationship Id="rId3941" Type="http://schemas.openxmlformats.org/officeDocument/2006/relationships/hyperlink" Target="https://twitter.com/zaticwu/status/702273764734599168" TargetMode="External"/><Relationship Id="rId2612" Type="http://schemas.openxmlformats.org/officeDocument/2006/relationships/hyperlink" Target="https://twitter.com/journocode/status/701942921344458753" TargetMode="External"/><Relationship Id="rId3944" Type="http://schemas.openxmlformats.org/officeDocument/2006/relationships/hyperlink" Target="https://twitter.com/AnalyticsVidhya/status/702274296274620416" TargetMode="External"/><Relationship Id="rId2613" Type="http://schemas.openxmlformats.org/officeDocument/2006/relationships/hyperlink" Target="https://pbs.twimg.com/profile_images/663285524162048000/leUzJIIa_normal.png" TargetMode="External"/><Relationship Id="rId3943" Type="http://schemas.openxmlformats.org/officeDocument/2006/relationships/hyperlink" Target="https://twitter.com/AnalyticsVidhya" TargetMode="External"/><Relationship Id="rId2614" Type="http://schemas.openxmlformats.org/officeDocument/2006/relationships/hyperlink" Target="https://twitter.com/tomkXY" TargetMode="External"/><Relationship Id="rId3946" Type="http://schemas.openxmlformats.org/officeDocument/2006/relationships/hyperlink" Target="https://twitter.com/MKrzywinski" TargetMode="External"/><Relationship Id="rId2615" Type="http://schemas.openxmlformats.org/officeDocument/2006/relationships/hyperlink" Target="https://twitter.com/tomkXY/status/701944791316082688" TargetMode="External"/><Relationship Id="rId3945" Type="http://schemas.openxmlformats.org/officeDocument/2006/relationships/hyperlink" Target="https://pbs.twimg.com/profile_images/457775762108448768/XmO2C1-E_normal.png" TargetMode="External"/><Relationship Id="rId2616" Type="http://schemas.openxmlformats.org/officeDocument/2006/relationships/hyperlink" Target="https://pbs.twimg.com/profile_images/567672223029141505/zYpSqhay_normal.jpeg" TargetMode="External"/><Relationship Id="rId3948" Type="http://schemas.openxmlformats.org/officeDocument/2006/relationships/hyperlink" Target="https://pbs.twimg.com/profile_images/1706909550/mk_normal.jpg" TargetMode="External"/><Relationship Id="rId2617" Type="http://schemas.openxmlformats.org/officeDocument/2006/relationships/hyperlink" Target="https://twitter.com/TierneyNicholas" TargetMode="External"/><Relationship Id="rId3947" Type="http://schemas.openxmlformats.org/officeDocument/2006/relationships/hyperlink" Target="https://twitter.com/MKrzywinski/status/702275937950236672" TargetMode="External"/><Relationship Id="rId2618" Type="http://schemas.openxmlformats.org/officeDocument/2006/relationships/hyperlink" Target="https://twitter.com/TierneyNicholas/status/701946090677907456" TargetMode="External"/><Relationship Id="rId2619" Type="http://schemas.openxmlformats.org/officeDocument/2006/relationships/hyperlink" Target="https://pbs.twimg.com/profile_images/699501890866794497/SOjcv46W_normal.png" TargetMode="External"/><Relationship Id="rId3949" Type="http://schemas.openxmlformats.org/officeDocument/2006/relationships/hyperlink" Target="https://twitter.com/andymurray000" TargetMode="External"/><Relationship Id="rId3940" Type="http://schemas.openxmlformats.org/officeDocument/2006/relationships/hyperlink" Target="https://twitter.com/zaticwu" TargetMode="External"/><Relationship Id="rId1312" Type="http://schemas.openxmlformats.org/officeDocument/2006/relationships/hyperlink" Target="https://pbs.twimg.com/profile_images/641183991077445633/V7VcBpJI_normal.png" TargetMode="External"/><Relationship Id="rId2643" Type="http://schemas.openxmlformats.org/officeDocument/2006/relationships/hyperlink" Target="https://twitter.com/theboocock/status/701960330818117632" TargetMode="External"/><Relationship Id="rId3975" Type="http://schemas.openxmlformats.org/officeDocument/2006/relationships/hyperlink" Target="https://twitter.com/JennyBryan/status/702282958208536576" TargetMode="External"/><Relationship Id="rId1313" Type="http://schemas.openxmlformats.org/officeDocument/2006/relationships/hyperlink" Target="https://twitter.com/thomasp85" TargetMode="External"/><Relationship Id="rId2644" Type="http://schemas.openxmlformats.org/officeDocument/2006/relationships/hyperlink" Target="https://pbs.twimg.com/profile_images/567464230673072130/Mi-70bTY_normal.jpeg" TargetMode="External"/><Relationship Id="rId3974" Type="http://schemas.openxmlformats.org/officeDocument/2006/relationships/hyperlink" Target="https://twitter.com/JennyBryan" TargetMode="External"/><Relationship Id="rId1314" Type="http://schemas.openxmlformats.org/officeDocument/2006/relationships/hyperlink" Target="https://twitter.com/thomasp85/status/701704797293047808" TargetMode="External"/><Relationship Id="rId2645" Type="http://schemas.openxmlformats.org/officeDocument/2006/relationships/hyperlink" Target="https://twitter.com/tomkXY" TargetMode="External"/><Relationship Id="rId3977" Type="http://schemas.openxmlformats.org/officeDocument/2006/relationships/hyperlink" Target="https://twitter.com/RallidaeRule" TargetMode="External"/><Relationship Id="rId1315" Type="http://schemas.openxmlformats.org/officeDocument/2006/relationships/hyperlink" Target="https://pbs.twimg.com/profile_images/685178010962505728/m0D-Pvwg_normal.jpg" TargetMode="External"/><Relationship Id="rId2646" Type="http://schemas.openxmlformats.org/officeDocument/2006/relationships/hyperlink" Target="https://twitter.com/tomkXY/status/701960855353569280" TargetMode="External"/><Relationship Id="rId3976" Type="http://schemas.openxmlformats.org/officeDocument/2006/relationships/hyperlink" Target="https://pbs.twimg.com/profile_images/660978605606875137/s3YrJetD_normal.jpg" TargetMode="External"/><Relationship Id="rId1316" Type="http://schemas.openxmlformats.org/officeDocument/2006/relationships/hyperlink" Target="https://twitter.com/learn_lang1" TargetMode="External"/><Relationship Id="rId2647" Type="http://schemas.openxmlformats.org/officeDocument/2006/relationships/hyperlink" Target="https://pbs.twimg.com/profile_images/567672223029141505/zYpSqhay_normal.jpeg" TargetMode="External"/><Relationship Id="rId3979" Type="http://schemas.openxmlformats.org/officeDocument/2006/relationships/hyperlink" Target="https://pbs.twimg.com/profile_images/472088432374579201/pTx9F7zb_normal.jpeg" TargetMode="External"/><Relationship Id="rId1317" Type="http://schemas.openxmlformats.org/officeDocument/2006/relationships/hyperlink" Target="https://twitter.com/learn_lang1/status/701705687181750272" TargetMode="External"/><Relationship Id="rId2648" Type="http://schemas.openxmlformats.org/officeDocument/2006/relationships/hyperlink" Target="https://twitter.com/Physical_Prep" TargetMode="External"/><Relationship Id="rId3978" Type="http://schemas.openxmlformats.org/officeDocument/2006/relationships/hyperlink" Target="https://twitter.com/RallidaeRule/status/702283320290193408" TargetMode="External"/><Relationship Id="rId1318" Type="http://schemas.openxmlformats.org/officeDocument/2006/relationships/hyperlink" Target="https://pbs.twimg.com/profile_images/630112376029843457/DIp7tTzw_normal.jpg" TargetMode="External"/><Relationship Id="rId2649" Type="http://schemas.openxmlformats.org/officeDocument/2006/relationships/hyperlink" Target="https://twitter.com/Physical_Prep/status/701961802259673088" TargetMode="External"/><Relationship Id="rId1319" Type="http://schemas.openxmlformats.org/officeDocument/2006/relationships/hyperlink" Target="https://twitter.com/BigDataShift" TargetMode="External"/><Relationship Id="rId729" Type="http://schemas.openxmlformats.org/officeDocument/2006/relationships/hyperlink" Target="https://twitter.com/boomt" TargetMode="External"/><Relationship Id="rId728" Type="http://schemas.openxmlformats.org/officeDocument/2006/relationships/hyperlink" Target="https://pbs.twimg.com/profile_images/692149742881619975/32FvAwAA_normal.jpg" TargetMode="External"/><Relationship Id="rId723" Type="http://schemas.openxmlformats.org/officeDocument/2006/relationships/hyperlink" Target="https://twitter.com/ZiyadMestour" TargetMode="External"/><Relationship Id="rId722" Type="http://schemas.openxmlformats.org/officeDocument/2006/relationships/hyperlink" Target="https://pbs.twimg.com/profile_images/545612733593313280/zTVXs8A__normal.jpeg" TargetMode="External"/><Relationship Id="rId721" Type="http://schemas.openxmlformats.org/officeDocument/2006/relationships/hyperlink" Target="https://twitter.com/andland/status/701511512863678464" TargetMode="External"/><Relationship Id="rId720" Type="http://schemas.openxmlformats.org/officeDocument/2006/relationships/hyperlink" Target="https://twitter.com/andland" TargetMode="External"/><Relationship Id="rId727" Type="http://schemas.openxmlformats.org/officeDocument/2006/relationships/hyperlink" Target="https://twitter.com/infrahumano/status/701512089194598401" TargetMode="External"/><Relationship Id="rId726" Type="http://schemas.openxmlformats.org/officeDocument/2006/relationships/hyperlink" Target="https://twitter.com/infrahumano" TargetMode="External"/><Relationship Id="rId725" Type="http://schemas.openxmlformats.org/officeDocument/2006/relationships/hyperlink" Target="https://pbs.twimg.com/profile_images/620729104938065920/H5gBNa_p_normal.jpg" TargetMode="External"/><Relationship Id="rId724" Type="http://schemas.openxmlformats.org/officeDocument/2006/relationships/hyperlink" Target="https://twitter.com/ZiyadMestour/status/701511726211190784" TargetMode="External"/><Relationship Id="rId3971" Type="http://schemas.openxmlformats.org/officeDocument/2006/relationships/hyperlink" Target="https://twitter.com/h_okumura" TargetMode="External"/><Relationship Id="rId2640" Type="http://schemas.openxmlformats.org/officeDocument/2006/relationships/hyperlink" Target="https://twitter.com/UKStartupEvents/status/701958688878280705" TargetMode="External"/><Relationship Id="rId3970" Type="http://schemas.openxmlformats.org/officeDocument/2006/relationships/hyperlink" Target="https://pbs.twimg.com/profile_images/503563693058048000/_ISCg-rN_normal.jpeg" TargetMode="External"/><Relationship Id="rId1310" Type="http://schemas.openxmlformats.org/officeDocument/2006/relationships/hyperlink" Target="https://twitter.com/MangoTheCat" TargetMode="External"/><Relationship Id="rId2641" Type="http://schemas.openxmlformats.org/officeDocument/2006/relationships/hyperlink" Target="https://pbs.twimg.com/profile_images/670156125199835136/RYMhziWy_normal.jpg" TargetMode="External"/><Relationship Id="rId3973" Type="http://schemas.openxmlformats.org/officeDocument/2006/relationships/hyperlink" Target="https://pbs.twimg.com/profile_images/3621816458/b159d4051d6a227bcaf7f265e1d92da4_normal.jpeg" TargetMode="External"/><Relationship Id="rId1311" Type="http://schemas.openxmlformats.org/officeDocument/2006/relationships/hyperlink" Target="https://twitter.com/MangoTheCat/status/701704502441865216" TargetMode="External"/><Relationship Id="rId2642" Type="http://schemas.openxmlformats.org/officeDocument/2006/relationships/hyperlink" Target="https://twitter.com/theboocock" TargetMode="External"/><Relationship Id="rId3972" Type="http://schemas.openxmlformats.org/officeDocument/2006/relationships/hyperlink" Target="https://twitter.com/h_okumura/status/702282714007797761" TargetMode="External"/><Relationship Id="rId1301" Type="http://schemas.openxmlformats.org/officeDocument/2006/relationships/hyperlink" Target="https://twitter.com/MangoTheCat" TargetMode="External"/><Relationship Id="rId2632" Type="http://schemas.openxmlformats.org/officeDocument/2006/relationships/hyperlink" Target="https://twitter.com/tvganesh_85" TargetMode="External"/><Relationship Id="rId3964" Type="http://schemas.openxmlformats.org/officeDocument/2006/relationships/hyperlink" Target="https://pbs.twimg.com/profile_images/660978605606875137/s3YrJetD_normal.jpg" TargetMode="External"/><Relationship Id="rId1302" Type="http://schemas.openxmlformats.org/officeDocument/2006/relationships/hyperlink" Target="https://twitter.com/MangoTheCat/status/701700964768550913" TargetMode="External"/><Relationship Id="rId2633" Type="http://schemas.openxmlformats.org/officeDocument/2006/relationships/hyperlink" Target="https://twitter.com/tvganesh_85/status/701955307333939200" TargetMode="External"/><Relationship Id="rId3963" Type="http://schemas.openxmlformats.org/officeDocument/2006/relationships/hyperlink" Target="https://twitter.com/JennyBryan/status/702280957424852993" TargetMode="External"/><Relationship Id="rId1303" Type="http://schemas.openxmlformats.org/officeDocument/2006/relationships/hyperlink" Target="https://pbs.twimg.com/profile_images/641183991077445633/V7VcBpJI_normal.png" TargetMode="External"/><Relationship Id="rId2634" Type="http://schemas.openxmlformats.org/officeDocument/2006/relationships/hyperlink" Target="http://Linkis.com" TargetMode="External"/><Relationship Id="rId3966" Type="http://schemas.openxmlformats.org/officeDocument/2006/relationships/hyperlink" Target="https://twitter.com/CaritoTV/status/702282086128824321" TargetMode="External"/><Relationship Id="rId1304" Type="http://schemas.openxmlformats.org/officeDocument/2006/relationships/hyperlink" Target="https://twitter.com/fmic_" TargetMode="External"/><Relationship Id="rId2635" Type="http://schemas.openxmlformats.org/officeDocument/2006/relationships/hyperlink" Target="https://pbs.twimg.com/profile_images/583269776786477056/kAdkTcwS_normal.jpg" TargetMode="External"/><Relationship Id="rId3965" Type="http://schemas.openxmlformats.org/officeDocument/2006/relationships/hyperlink" Target="https://twitter.com/CaritoTV" TargetMode="External"/><Relationship Id="rId1305" Type="http://schemas.openxmlformats.org/officeDocument/2006/relationships/hyperlink" Target="https://twitter.com/fmic_/status/701701512628715520" TargetMode="External"/><Relationship Id="rId2636" Type="http://schemas.openxmlformats.org/officeDocument/2006/relationships/hyperlink" Target="https://twitter.com/quominus" TargetMode="External"/><Relationship Id="rId3968" Type="http://schemas.openxmlformats.org/officeDocument/2006/relationships/hyperlink" Target="https://twitter.com/alittlestats" TargetMode="External"/><Relationship Id="rId1306" Type="http://schemas.openxmlformats.org/officeDocument/2006/relationships/hyperlink" Target="https://pbs.twimg.com/profile_images/510508726776639489/k5KVm1Bu_normal.jpeg" TargetMode="External"/><Relationship Id="rId2637" Type="http://schemas.openxmlformats.org/officeDocument/2006/relationships/hyperlink" Target="https://twitter.com/quominus/status/701958522385334272" TargetMode="External"/><Relationship Id="rId3967" Type="http://schemas.openxmlformats.org/officeDocument/2006/relationships/hyperlink" Target="https://pbs.twimg.com/profile_images/492813616211451904/ehHa-23P_normal.jpeg" TargetMode="External"/><Relationship Id="rId1307" Type="http://schemas.openxmlformats.org/officeDocument/2006/relationships/hyperlink" Target="https://twitter.com/iyuanwang" TargetMode="External"/><Relationship Id="rId2638" Type="http://schemas.openxmlformats.org/officeDocument/2006/relationships/hyperlink" Target="https://pbs.twimg.com/profile_images/689997706752847874/lCoiGcL3_normal.jpg" TargetMode="External"/><Relationship Id="rId1308" Type="http://schemas.openxmlformats.org/officeDocument/2006/relationships/hyperlink" Target="https://twitter.com/iyuanwang/status/701704304919314432" TargetMode="External"/><Relationship Id="rId2639" Type="http://schemas.openxmlformats.org/officeDocument/2006/relationships/hyperlink" Target="https://twitter.com/UKStartupEvents" TargetMode="External"/><Relationship Id="rId3969" Type="http://schemas.openxmlformats.org/officeDocument/2006/relationships/hyperlink" Target="https://twitter.com/alittlestats/status/702282567979024386" TargetMode="External"/><Relationship Id="rId1309" Type="http://schemas.openxmlformats.org/officeDocument/2006/relationships/hyperlink" Target="https://pbs.twimg.com/profile_images/489255266576105472/Y1rzDql0_normal.jpeg" TargetMode="External"/><Relationship Id="rId719" Type="http://schemas.openxmlformats.org/officeDocument/2006/relationships/hyperlink" Target="https://pbs.twimg.com/profile_images/121126854/OpenID_normal.jpg" TargetMode="External"/><Relationship Id="rId718" Type="http://schemas.openxmlformats.org/officeDocument/2006/relationships/hyperlink" Target="https://twitter.com/mathiaspicker/status/701511490780712960" TargetMode="External"/><Relationship Id="rId717" Type="http://schemas.openxmlformats.org/officeDocument/2006/relationships/hyperlink" Target="https://twitter.com/mathiaspicker" TargetMode="External"/><Relationship Id="rId712" Type="http://schemas.openxmlformats.org/officeDocument/2006/relationships/hyperlink" Target="https://twitter.com/Pvalsfr/status/701510671872172032" TargetMode="External"/><Relationship Id="rId711" Type="http://schemas.openxmlformats.org/officeDocument/2006/relationships/hyperlink" Target="https://twitter.com/Pvalsfr" TargetMode="External"/><Relationship Id="rId710" Type="http://schemas.openxmlformats.org/officeDocument/2006/relationships/hyperlink" Target="https://pbs.twimg.com/profile_images/662342111799304192/Xtv8MZ-P_normal.jpg" TargetMode="External"/><Relationship Id="rId716" Type="http://schemas.openxmlformats.org/officeDocument/2006/relationships/hyperlink" Target="https://pbs.twimg.com/profile_images/443427729099079680/oUomOygH_normal.jpeg" TargetMode="External"/><Relationship Id="rId715" Type="http://schemas.openxmlformats.org/officeDocument/2006/relationships/hyperlink" Target="https://twitter.com/vfmcneill/status/701511090698657794" TargetMode="External"/><Relationship Id="rId714" Type="http://schemas.openxmlformats.org/officeDocument/2006/relationships/hyperlink" Target="https://twitter.com/vfmcneill" TargetMode="External"/><Relationship Id="rId713" Type="http://schemas.openxmlformats.org/officeDocument/2006/relationships/hyperlink" Target="https://abs.twimg.com/sticky/default_profile_images/default_profile_4_normal.png" TargetMode="External"/><Relationship Id="rId3960" Type="http://schemas.openxmlformats.org/officeDocument/2006/relationships/hyperlink" Target="https://twitter.com/renato_umeton/status/702279618246664193" TargetMode="External"/><Relationship Id="rId2630" Type="http://schemas.openxmlformats.org/officeDocument/2006/relationships/hyperlink" Target="https://twitter.com/SHaymondSays/status/701954791841267712" TargetMode="External"/><Relationship Id="rId3962" Type="http://schemas.openxmlformats.org/officeDocument/2006/relationships/hyperlink" Target="https://twitter.com/JennyBryan" TargetMode="External"/><Relationship Id="rId1300" Type="http://schemas.openxmlformats.org/officeDocument/2006/relationships/hyperlink" Target="https://pbs.twimg.com/profile_images/641183991077445633/V7VcBpJI_normal.png" TargetMode="External"/><Relationship Id="rId2631" Type="http://schemas.openxmlformats.org/officeDocument/2006/relationships/hyperlink" Target="https://pbs.twimg.com/profile_images/599430288423260160/6jvdvVQg_normal.jpg" TargetMode="External"/><Relationship Id="rId3961" Type="http://schemas.openxmlformats.org/officeDocument/2006/relationships/hyperlink" Target="https://pbs.twimg.com/profile_images/701553083537604608/nr8b38eG_normal.jpg" TargetMode="External"/><Relationship Id="rId8806" Type="http://schemas.openxmlformats.org/officeDocument/2006/relationships/hyperlink" Target="https://pbs.twimg.com/profile_images/378800000390483857/cc12f079276669c75efe2d29039d6163_normal.jpeg" TargetMode="External"/><Relationship Id="rId8805" Type="http://schemas.openxmlformats.org/officeDocument/2006/relationships/hyperlink" Target="https://twitter.com/JackkStat/status/703223842697646081" TargetMode="External"/><Relationship Id="rId8804" Type="http://schemas.openxmlformats.org/officeDocument/2006/relationships/hyperlink" Target="https://twitter.com/JackkStat" TargetMode="External"/><Relationship Id="rId8803" Type="http://schemas.openxmlformats.org/officeDocument/2006/relationships/hyperlink" Target="https://pbs.twimg.com/profile_images/378800000511160001/69759bcd6f2cde99a57f765358fa3f93_normal.png" TargetMode="External"/><Relationship Id="rId8809" Type="http://schemas.openxmlformats.org/officeDocument/2006/relationships/hyperlink" Target="https://pbs.twimg.com/profile_images/1575535649/HS2_normal.png" TargetMode="External"/><Relationship Id="rId8808" Type="http://schemas.openxmlformats.org/officeDocument/2006/relationships/hyperlink" Target="https://twitter.com/historysquared/status/703224264070139908" TargetMode="External"/><Relationship Id="rId8807" Type="http://schemas.openxmlformats.org/officeDocument/2006/relationships/hyperlink" Target="https://twitter.com/historysquared" TargetMode="External"/><Relationship Id="rId8802" Type="http://schemas.openxmlformats.org/officeDocument/2006/relationships/hyperlink" Target="https://twitter.com/kyeagerKSU/status/703223505286987776" TargetMode="External"/><Relationship Id="rId8801" Type="http://schemas.openxmlformats.org/officeDocument/2006/relationships/hyperlink" Target="https://twitter.com/kyeagerKSU" TargetMode="External"/><Relationship Id="rId8800" Type="http://schemas.openxmlformats.org/officeDocument/2006/relationships/hyperlink" Target="https://pbs.twimg.com/profile_images/378800000390483857/cc12f079276669c75efe2d29039d6163_normal.jpeg" TargetMode="External"/><Relationship Id="rId8828" Type="http://schemas.openxmlformats.org/officeDocument/2006/relationships/hyperlink" Target="https://twitter.com/kristenobacter" TargetMode="External"/><Relationship Id="rId8827" Type="http://schemas.openxmlformats.org/officeDocument/2006/relationships/hyperlink" Target="https://pbs.twimg.com/profile_images/690624026616553472/Jrtvx19B_normal.jpg" TargetMode="External"/><Relationship Id="rId8826" Type="http://schemas.openxmlformats.org/officeDocument/2006/relationships/hyperlink" Target="https://twitter.com/ashwinswarup/status/703226273863241728" TargetMode="External"/><Relationship Id="rId8825" Type="http://schemas.openxmlformats.org/officeDocument/2006/relationships/hyperlink" Target="https://twitter.com/ashwinswarup" TargetMode="External"/><Relationship Id="rId8829" Type="http://schemas.openxmlformats.org/officeDocument/2006/relationships/hyperlink" Target="https://twitter.com/kristenobacter/status/703226425252380672" TargetMode="External"/><Relationship Id="rId8820" Type="http://schemas.openxmlformats.org/officeDocument/2006/relationships/hyperlink" Target="https://twitter.com/KirkDBorne/status/703225485887725568" TargetMode="External"/><Relationship Id="rId8824" Type="http://schemas.openxmlformats.org/officeDocument/2006/relationships/hyperlink" Target="https://pbs.twimg.com/profile_images/567588045927354370/NN8xp_M5_normal.jpeg" TargetMode="External"/><Relationship Id="rId8823" Type="http://schemas.openxmlformats.org/officeDocument/2006/relationships/hyperlink" Target="https://twitter.com/Emaasit/status/703225615130845186" TargetMode="External"/><Relationship Id="rId8822" Type="http://schemas.openxmlformats.org/officeDocument/2006/relationships/hyperlink" Target="https://twitter.com/Emaasit" TargetMode="External"/><Relationship Id="rId8821" Type="http://schemas.openxmlformats.org/officeDocument/2006/relationships/hyperlink" Target="https://pbs.twimg.com/profile_images/680246148762828801/flXTNSKT_normal.jpg" TargetMode="External"/><Relationship Id="rId8817" Type="http://schemas.openxmlformats.org/officeDocument/2006/relationships/hyperlink" Target="https://twitter.com/DataSci4Good/status/703225367318781954" TargetMode="External"/><Relationship Id="rId8816" Type="http://schemas.openxmlformats.org/officeDocument/2006/relationships/hyperlink" Target="https://twitter.com/DataSci4Good" TargetMode="External"/><Relationship Id="rId8815" Type="http://schemas.openxmlformats.org/officeDocument/2006/relationships/hyperlink" Target="https://pbs.twimg.com/profile_images/297743194/My_headshot_normal.png" TargetMode="External"/><Relationship Id="rId8814" Type="http://schemas.openxmlformats.org/officeDocument/2006/relationships/hyperlink" Target="https://twitter.com/carlcarrie/status/703225311480188928" TargetMode="External"/><Relationship Id="rId8819" Type="http://schemas.openxmlformats.org/officeDocument/2006/relationships/hyperlink" Target="https://twitter.com/KirkDBorne" TargetMode="External"/><Relationship Id="rId8818" Type="http://schemas.openxmlformats.org/officeDocument/2006/relationships/hyperlink" Target="https://pbs.twimg.com/profile_images/696543998761115648/ZoCmJRxo_normal.jpg" TargetMode="External"/><Relationship Id="rId8813" Type="http://schemas.openxmlformats.org/officeDocument/2006/relationships/hyperlink" Target="https://twitter.com/carlcarrie" TargetMode="External"/><Relationship Id="rId8812" Type="http://schemas.openxmlformats.org/officeDocument/2006/relationships/hyperlink" Target="https://pbs.twimg.com/profile_images/658091969797836800/PqzBkwPG_normal.jpg" TargetMode="External"/><Relationship Id="rId8811" Type="http://schemas.openxmlformats.org/officeDocument/2006/relationships/hyperlink" Target="https://twitter.com/MannyBernabe/status/703224944268804102" TargetMode="External"/><Relationship Id="rId8810" Type="http://schemas.openxmlformats.org/officeDocument/2006/relationships/hyperlink" Target="https://twitter.com/MannyBernabe" TargetMode="External"/><Relationship Id="rId1378" Type="http://schemas.openxmlformats.org/officeDocument/2006/relationships/hyperlink" Target="https://twitter.com/LewisSpurgin" TargetMode="External"/><Relationship Id="rId1379" Type="http://schemas.openxmlformats.org/officeDocument/2006/relationships/hyperlink" Target="https://twitter.com/LewisSpurgin/status/701715711123660800" TargetMode="External"/><Relationship Id="rId789" Type="http://schemas.openxmlformats.org/officeDocument/2006/relationships/hyperlink" Target="https://twitter.com/yamano357" TargetMode="External"/><Relationship Id="rId788" Type="http://schemas.openxmlformats.org/officeDocument/2006/relationships/hyperlink" Target="https://pbs.twimg.com/profile_images/701490866523807745/UBrdJHBx_normal.png" TargetMode="External"/><Relationship Id="rId787" Type="http://schemas.openxmlformats.org/officeDocument/2006/relationships/hyperlink" Target="https://twitter.com/nicholaraihani/status/701529940345417728" TargetMode="External"/><Relationship Id="rId786" Type="http://schemas.openxmlformats.org/officeDocument/2006/relationships/hyperlink" Target="https://twitter.com/nicholaraihani" TargetMode="External"/><Relationship Id="rId781" Type="http://schemas.openxmlformats.org/officeDocument/2006/relationships/hyperlink" Target="https://twitter.com/politicalmath/status/701527270230339584" TargetMode="External"/><Relationship Id="rId1370" Type="http://schemas.openxmlformats.org/officeDocument/2006/relationships/hyperlink" Target="https://twitter.com/Sudhir_Voleti/status/701714006575226881" TargetMode="External"/><Relationship Id="rId780" Type="http://schemas.openxmlformats.org/officeDocument/2006/relationships/hyperlink" Target="https://twitter.com/politicalmath" TargetMode="External"/><Relationship Id="rId1371" Type="http://schemas.openxmlformats.org/officeDocument/2006/relationships/hyperlink" Target="https://pbs.twimg.com/profile_images/700981182301736961/5yKNjO-i_normal.jpg" TargetMode="External"/><Relationship Id="rId1372" Type="http://schemas.openxmlformats.org/officeDocument/2006/relationships/hyperlink" Target="https://twitter.com/starignus" TargetMode="External"/><Relationship Id="rId1373" Type="http://schemas.openxmlformats.org/officeDocument/2006/relationships/hyperlink" Target="https://twitter.com/starignus/status/701714917175533568" TargetMode="External"/><Relationship Id="rId785" Type="http://schemas.openxmlformats.org/officeDocument/2006/relationships/hyperlink" Target="https://pbs.twimg.com/profile_images/603763620393025536/KBmiiFXC_normal.png" TargetMode="External"/><Relationship Id="rId1374" Type="http://schemas.openxmlformats.org/officeDocument/2006/relationships/hyperlink" Target="https://pbs.twimg.com/profile_images/686871254113071104/RTE8scaj_normal.jpg" TargetMode="External"/><Relationship Id="rId784" Type="http://schemas.openxmlformats.org/officeDocument/2006/relationships/hyperlink" Target="https://twitter.com/yamano357/status/701529434763849728" TargetMode="External"/><Relationship Id="rId1375" Type="http://schemas.openxmlformats.org/officeDocument/2006/relationships/hyperlink" Target="https://twitter.com/MangoTheCat" TargetMode="External"/><Relationship Id="rId783" Type="http://schemas.openxmlformats.org/officeDocument/2006/relationships/hyperlink" Target="https://twitter.com/yamano357" TargetMode="External"/><Relationship Id="rId1376" Type="http://schemas.openxmlformats.org/officeDocument/2006/relationships/hyperlink" Target="https://twitter.com/MangoTheCat/status/701715365999550465" TargetMode="External"/><Relationship Id="rId782" Type="http://schemas.openxmlformats.org/officeDocument/2006/relationships/hyperlink" Target="https://pbs.twimg.com/profile_images/2382058418/y6ldunhflaie7iw4lbw5_normal.png" TargetMode="External"/><Relationship Id="rId1377" Type="http://schemas.openxmlformats.org/officeDocument/2006/relationships/hyperlink" Target="https://pbs.twimg.com/profile_images/641183991077445633/V7VcBpJI_normal.png" TargetMode="External"/><Relationship Id="rId1367" Type="http://schemas.openxmlformats.org/officeDocument/2006/relationships/hyperlink" Target="https://twitter.com/kirstyjean/status/701713694208741380" TargetMode="External"/><Relationship Id="rId2698" Type="http://schemas.openxmlformats.org/officeDocument/2006/relationships/hyperlink" Target="https://pbs.twimg.com/profile_images/658511161034326016/RaFwgtT6_normal.jpg" TargetMode="External"/><Relationship Id="rId1368" Type="http://schemas.openxmlformats.org/officeDocument/2006/relationships/hyperlink" Target="https://pbs.twimg.com/profile_images/626006466063953921/UBSojFv4_normal.jpg" TargetMode="External"/><Relationship Id="rId2699" Type="http://schemas.openxmlformats.org/officeDocument/2006/relationships/hyperlink" Target="https://twitter.com/echolgate" TargetMode="External"/><Relationship Id="rId1369" Type="http://schemas.openxmlformats.org/officeDocument/2006/relationships/hyperlink" Target="https://twitter.com/Sudhir_Voleti" TargetMode="External"/><Relationship Id="rId778" Type="http://schemas.openxmlformats.org/officeDocument/2006/relationships/hyperlink" Target="https://twitter.com/komakusaryama/status/701527178496704513" TargetMode="External"/><Relationship Id="rId777" Type="http://schemas.openxmlformats.org/officeDocument/2006/relationships/hyperlink" Target="https://twitter.com/komakusaryama" TargetMode="External"/><Relationship Id="rId776" Type="http://schemas.openxmlformats.org/officeDocument/2006/relationships/hyperlink" Target="https://pbs.twimg.com/profile_images/544790599589568512/26tIRo8H_normal.jpeg" TargetMode="External"/><Relationship Id="rId775" Type="http://schemas.openxmlformats.org/officeDocument/2006/relationships/hyperlink" Target="https://twitter.com/adamson/status/701526335546662913" TargetMode="External"/><Relationship Id="rId779" Type="http://schemas.openxmlformats.org/officeDocument/2006/relationships/hyperlink" Target="https://pbs.twimg.com/profile_images/3553053117/984554eeaf69e22dde9037f3e0fc2bd4_normal.jpeg" TargetMode="External"/><Relationship Id="rId770" Type="http://schemas.openxmlformats.org/officeDocument/2006/relationships/hyperlink" Target="https://pbs.twimg.com/profile_images/3101002747/a4cb74aa5e937658685288c9bda02203_normal.jpeg" TargetMode="External"/><Relationship Id="rId2690" Type="http://schemas.openxmlformats.org/officeDocument/2006/relationships/hyperlink" Target="https://twitter.com/plotlygraphs" TargetMode="External"/><Relationship Id="rId1360" Type="http://schemas.openxmlformats.org/officeDocument/2006/relationships/hyperlink" Target="https://twitter.com/tz33cu" TargetMode="External"/><Relationship Id="rId2691" Type="http://schemas.openxmlformats.org/officeDocument/2006/relationships/hyperlink" Target="https://twitter.com/plotlygraphs/status/701970936505847808" TargetMode="External"/><Relationship Id="rId1361" Type="http://schemas.openxmlformats.org/officeDocument/2006/relationships/hyperlink" Target="https://twitter.com/tz33cu/status/701711447605256196" TargetMode="External"/><Relationship Id="rId2692" Type="http://schemas.openxmlformats.org/officeDocument/2006/relationships/hyperlink" Target="https://pbs.twimg.com/profile_images/444997350340063232/NSL6tPG3_normal.png" TargetMode="External"/><Relationship Id="rId1362" Type="http://schemas.openxmlformats.org/officeDocument/2006/relationships/hyperlink" Target="https://pbs.twimg.com/profile_images/640243239388246016/yEAuMN4t_normal.jpg" TargetMode="External"/><Relationship Id="rId2693" Type="http://schemas.openxmlformats.org/officeDocument/2006/relationships/hyperlink" Target="https://twitter.com/JennyBryan" TargetMode="External"/><Relationship Id="rId774" Type="http://schemas.openxmlformats.org/officeDocument/2006/relationships/hyperlink" Target="https://twitter.com/adamson" TargetMode="External"/><Relationship Id="rId1363" Type="http://schemas.openxmlformats.org/officeDocument/2006/relationships/hyperlink" Target="https://twitter.com/earlconf" TargetMode="External"/><Relationship Id="rId2694" Type="http://schemas.openxmlformats.org/officeDocument/2006/relationships/hyperlink" Target="https://twitter.com/JennyBryan/status/701973095733547009" TargetMode="External"/><Relationship Id="rId773" Type="http://schemas.openxmlformats.org/officeDocument/2006/relationships/hyperlink" Target="https://pbs.twimg.com/profile_images/689997706752847874/lCoiGcL3_normal.jpg" TargetMode="External"/><Relationship Id="rId1364" Type="http://schemas.openxmlformats.org/officeDocument/2006/relationships/hyperlink" Target="https://twitter.com/earlconf/status/701712289821384704" TargetMode="External"/><Relationship Id="rId2695" Type="http://schemas.openxmlformats.org/officeDocument/2006/relationships/hyperlink" Target="https://pbs.twimg.com/profile_images/660978605606875137/s3YrJetD_normal.jpg" TargetMode="External"/><Relationship Id="rId772" Type="http://schemas.openxmlformats.org/officeDocument/2006/relationships/hyperlink" Target="https://twitter.com/quominus/status/701525949444132865" TargetMode="External"/><Relationship Id="rId1365" Type="http://schemas.openxmlformats.org/officeDocument/2006/relationships/hyperlink" Target="https://pbs.twimg.com/profile_images/432298122203512833/YDXfWlI__normal.png" TargetMode="External"/><Relationship Id="rId2696" Type="http://schemas.openxmlformats.org/officeDocument/2006/relationships/hyperlink" Target="https://twitter.com/souravc83" TargetMode="External"/><Relationship Id="rId771" Type="http://schemas.openxmlformats.org/officeDocument/2006/relationships/hyperlink" Target="https://twitter.com/quominus" TargetMode="External"/><Relationship Id="rId1366" Type="http://schemas.openxmlformats.org/officeDocument/2006/relationships/hyperlink" Target="https://twitter.com/kirstyjean" TargetMode="External"/><Relationship Id="rId2697" Type="http://schemas.openxmlformats.org/officeDocument/2006/relationships/hyperlink" Target="https://twitter.com/souravc83/status/701973282522664962" TargetMode="External"/><Relationship Id="rId1390" Type="http://schemas.openxmlformats.org/officeDocument/2006/relationships/hyperlink" Target="https://twitter.com/ittookten" TargetMode="External"/><Relationship Id="rId1391" Type="http://schemas.openxmlformats.org/officeDocument/2006/relationships/hyperlink" Target="https://twitter.com/ittookten/status/701717464024010752" TargetMode="External"/><Relationship Id="rId1392" Type="http://schemas.openxmlformats.org/officeDocument/2006/relationships/hyperlink" Target="https://pbs.twimg.com/profile_images/686570859587190784/ceX6tp6o_normal.jpg" TargetMode="External"/><Relationship Id="rId1393" Type="http://schemas.openxmlformats.org/officeDocument/2006/relationships/hyperlink" Target="https://twitter.com/DataWookie" TargetMode="External"/><Relationship Id="rId1394" Type="http://schemas.openxmlformats.org/officeDocument/2006/relationships/hyperlink" Target="https://twitter.com/DataWookie/status/701717742508871681" TargetMode="External"/><Relationship Id="rId1395" Type="http://schemas.openxmlformats.org/officeDocument/2006/relationships/hyperlink" Target="https://pbs.twimg.com/profile_images/612471608725213184/eXKo2Kmo_normal.jpg" TargetMode="External"/><Relationship Id="rId1396" Type="http://schemas.openxmlformats.org/officeDocument/2006/relationships/hyperlink" Target="https://twitter.com/tomhouslay" TargetMode="External"/><Relationship Id="rId1397" Type="http://schemas.openxmlformats.org/officeDocument/2006/relationships/hyperlink" Target="https://twitter.com/tomhouslay/status/701718860974710785" TargetMode="External"/><Relationship Id="rId1398" Type="http://schemas.openxmlformats.org/officeDocument/2006/relationships/hyperlink" Target="https://pbs.twimg.com/profile_images/701901513392717824/lUzJ39G2_normal.png" TargetMode="External"/><Relationship Id="rId1399" Type="http://schemas.openxmlformats.org/officeDocument/2006/relationships/hyperlink" Target="https://twitter.com/PRstatistics" TargetMode="External"/><Relationship Id="rId1389" Type="http://schemas.openxmlformats.org/officeDocument/2006/relationships/hyperlink" Target="https://pbs.twimg.com/profile_images/612471608725213184/eXKo2Kmo_normal.jpg" TargetMode="External"/><Relationship Id="rId799" Type="http://schemas.openxmlformats.org/officeDocument/2006/relationships/hyperlink" Target="https://twitter.com/benakiva/status/701535615045738497" TargetMode="External"/><Relationship Id="rId798" Type="http://schemas.openxmlformats.org/officeDocument/2006/relationships/hyperlink" Target="https://twitter.com/benakiva" TargetMode="External"/><Relationship Id="rId797" Type="http://schemas.openxmlformats.org/officeDocument/2006/relationships/hyperlink" Target="https://pbs.twimg.com/profile_images/504686786526732289/0xznuzHy_normal.jpeg" TargetMode="External"/><Relationship Id="rId1380" Type="http://schemas.openxmlformats.org/officeDocument/2006/relationships/hyperlink" Target="https://pbs.twimg.com/profile_images/697055714603372544/5_eawi5a_normal.png" TargetMode="External"/><Relationship Id="rId792" Type="http://schemas.openxmlformats.org/officeDocument/2006/relationships/hyperlink" Target="https://twitter.com/tomhouslay" TargetMode="External"/><Relationship Id="rId1381" Type="http://schemas.openxmlformats.org/officeDocument/2006/relationships/hyperlink" Target="https://twitter.com/earlconf" TargetMode="External"/><Relationship Id="rId791" Type="http://schemas.openxmlformats.org/officeDocument/2006/relationships/hyperlink" Target="https://pbs.twimg.com/profile_images/603763620393025536/KBmiiFXC_normal.png" TargetMode="External"/><Relationship Id="rId1382" Type="http://schemas.openxmlformats.org/officeDocument/2006/relationships/hyperlink" Target="https://twitter.com/earlconf/status/701717070770122752" TargetMode="External"/><Relationship Id="rId790" Type="http://schemas.openxmlformats.org/officeDocument/2006/relationships/hyperlink" Target="https://twitter.com/yamano357/status/701530020032831489" TargetMode="External"/><Relationship Id="rId1383" Type="http://schemas.openxmlformats.org/officeDocument/2006/relationships/hyperlink" Target="https://pbs.twimg.com/profile_images/432298122203512833/YDXfWlI__normal.png" TargetMode="External"/><Relationship Id="rId1384" Type="http://schemas.openxmlformats.org/officeDocument/2006/relationships/hyperlink" Target="https://twitter.com/MangoTheCat" TargetMode="External"/><Relationship Id="rId796" Type="http://schemas.openxmlformats.org/officeDocument/2006/relationships/hyperlink" Target="https://twitter.com/chverdon/status/701534458386759680" TargetMode="External"/><Relationship Id="rId1385" Type="http://schemas.openxmlformats.org/officeDocument/2006/relationships/hyperlink" Target="https://twitter.com/MangoTheCat/status/701717323569205248" TargetMode="External"/><Relationship Id="rId795" Type="http://schemas.openxmlformats.org/officeDocument/2006/relationships/hyperlink" Target="https://twitter.com/chverdon" TargetMode="External"/><Relationship Id="rId1386" Type="http://schemas.openxmlformats.org/officeDocument/2006/relationships/hyperlink" Target="https://pbs.twimg.com/profile_images/641183991077445633/V7VcBpJI_normal.png" TargetMode="External"/><Relationship Id="rId794" Type="http://schemas.openxmlformats.org/officeDocument/2006/relationships/hyperlink" Target="https://pbs.twimg.com/profile_images/701901513392717824/lUzJ39G2_normal.png" TargetMode="External"/><Relationship Id="rId1387" Type="http://schemas.openxmlformats.org/officeDocument/2006/relationships/hyperlink" Target="https://twitter.com/DataWookie" TargetMode="External"/><Relationship Id="rId793" Type="http://schemas.openxmlformats.org/officeDocument/2006/relationships/hyperlink" Target="https://twitter.com/tomhouslay/status/701533279984492545" TargetMode="External"/><Relationship Id="rId1388" Type="http://schemas.openxmlformats.org/officeDocument/2006/relationships/hyperlink" Target="https://twitter.com/DataWookie/status/701717458126639104" TargetMode="External"/><Relationship Id="rId6229" Type="http://schemas.openxmlformats.org/officeDocument/2006/relationships/hyperlink" Target="https://twitter.com/itknowingness/status/702726004314349569" TargetMode="External"/><Relationship Id="rId7551" Type="http://schemas.openxmlformats.org/officeDocument/2006/relationships/hyperlink" Target="https://pbs.twimg.com/profile_images/700442221154140160/SbLvUNQG_normal.jpg" TargetMode="External"/><Relationship Id="rId8882" Type="http://schemas.openxmlformats.org/officeDocument/2006/relationships/hyperlink" Target="https://pbs.twimg.com/profile_images/699125339264569344/xOJ82wQq_normal.jpg" TargetMode="External"/><Relationship Id="rId6220" Type="http://schemas.openxmlformats.org/officeDocument/2006/relationships/hyperlink" Target="https://pbs.twimg.com/profile_images/571506248055398400/NlgYe8s8_normal.jpeg" TargetMode="External"/><Relationship Id="rId7550" Type="http://schemas.openxmlformats.org/officeDocument/2006/relationships/hyperlink" Target="https://twitter.com/devalpandya/status/702980308069515264" TargetMode="External"/><Relationship Id="rId8881" Type="http://schemas.openxmlformats.org/officeDocument/2006/relationships/hyperlink" Target="https://twitter.com/SunitJain/status/703234579444998144" TargetMode="External"/><Relationship Id="rId8880" Type="http://schemas.openxmlformats.org/officeDocument/2006/relationships/hyperlink" Target="https://twitter.com/SunitJain" TargetMode="External"/><Relationship Id="rId6223" Type="http://schemas.openxmlformats.org/officeDocument/2006/relationships/hyperlink" Target="https://pbs.twimg.com/profile_images/571506248055398400/NlgYe8s8_normal.jpeg" TargetMode="External"/><Relationship Id="rId7555" Type="http://schemas.openxmlformats.org/officeDocument/2006/relationships/hyperlink" Target="https://twitter.com/hildug" TargetMode="External"/><Relationship Id="rId8886" Type="http://schemas.openxmlformats.org/officeDocument/2006/relationships/hyperlink" Target="https://twitter.com/joeharris76" TargetMode="External"/><Relationship Id="rId6224" Type="http://schemas.openxmlformats.org/officeDocument/2006/relationships/hyperlink" Target="https://twitter.com/Rbloggers" TargetMode="External"/><Relationship Id="rId7554" Type="http://schemas.openxmlformats.org/officeDocument/2006/relationships/hyperlink" Target="https://pbs.twimg.com/profile_images/598126722920361984/HdS1NWXJ_normal.png" TargetMode="External"/><Relationship Id="rId8885" Type="http://schemas.openxmlformats.org/officeDocument/2006/relationships/hyperlink" Target="https://pbs.twimg.com/profile_images/674700358166388736/pWBofWfu_normal.jpg" TargetMode="External"/><Relationship Id="rId6221" Type="http://schemas.openxmlformats.org/officeDocument/2006/relationships/hyperlink" Target="https://twitter.com/ClarkGRichards" TargetMode="External"/><Relationship Id="rId7553" Type="http://schemas.openxmlformats.org/officeDocument/2006/relationships/hyperlink" Target="https://twitter.com/dataandme/status/702980658545688576" TargetMode="External"/><Relationship Id="rId8884" Type="http://schemas.openxmlformats.org/officeDocument/2006/relationships/hyperlink" Target="https://twitter.com/eFe_Gil/status/703234777328050177" TargetMode="External"/><Relationship Id="rId6222" Type="http://schemas.openxmlformats.org/officeDocument/2006/relationships/hyperlink" Target="https://twitter.com/ClarkGRichards/status/702723820143005696" TargetMode="External"/><Relationship Id="rId7552" Type="http://schemas.openxmlformats.org/officeDocument/2006/relationships/hyperlink" Target="https://twitter.com/dataandme" TargetMode="External"/><Relationship Id="rId8883" Type="http://schemas.openxmlformats.org/officeDocument/2006/relationships/hyperlink" Target="https://twitter.com/eFe_Gil" TargetMode="External"/><Relationship Id="rId6227" Type="http://schemas.openxmlformats.org/officeDocument/2006/relationships/hyperlink" Target="https://pbs.twimg.com/profile_images/502185985786916864/gkdFh-q7_normal.png" TargetMode="External"/><Relationship Id="rId7559" Type="http://schemas.openxmlformats.org/officeDocument/2006/relationships/hyperlink" Target="https://twitter.com/LovedeepSG/status/702981048758509568" TargetMode="External"/><Relationship Id="rId6228" Type="http://schemas.openxmlformats.org/officeDocument/2006/relationships/hyperlink" Target="https://twitter.com/itknowingness" TargetMode="External"/><Relationship Id="rId7558" Type="http://schemas.openxmlformats.org/officeDocument/2006/relationships/hyperlink" Target="https://twitter.com/LovedeepSG" TargetMode="External"/><Relationship Id="rId8889" Type="http://schemas.openxmlformats.org/officeDocument/2006/relationships/hyperlink" Target="https://twitter.com/canerturkmen" TargetMode="External"/><Relationship Id="rId6225" Type="http://schemas.openxmlformats.org/officeDocument/2006/relationships/hyperlink" Target="https://twitter.com/Rbloggers/status/702726001713741824" TargetMode="External"/><Relationship Id="rId7557" Type="http://schemas.openxmlformats.org/officeDocument/2006/relationships/hyperlink" Target="https://pbs.twimg.com/profile_images/430492278902095873/x5JOIrDb_normal.jpeg" TargetMode="External"/><Relationship Id="rId8888" Type="http://schemas.openxmlformats.org/officeDocument/2006/relationships/hyperlink" Target="https://pbs.twimg.com/profile_images/692392377760243713/jrU17yZ9_normal.jpg" TargetMode="External"/><Relationship Id="rId6226" Type="http://schemas.openxmlformats.org/officeDocument/2006/relationships/hyperlink" Target="http://r-bloggers.com" TargetMode="External"/><Relationship Id="rId7556" Type="http://schemas.openxmlformats.org/officeDocument/2006/relationships/hyperlink" Target="https://twitter.com/hildug/status/702980845590556672" TargetMode="External"/><Relationship Id="rId8887" Type="http://schemas.openxmlformats.org/officeDocument/2006/relationships/hyperlink" Target="https://twitter.com/joeharris76/status/703234790179397633" TargetMode="External"/><Relationship Id="rId6218" Type="http://schemas.openxmlformats.org/officeDocument/2006/relationships/hyperlink" Target="https://twitter.com/ClarkGRichards" TargetMode="External"/><Relationship Id="rId6219" Type="http://schemas.openxmlformats.org/officeDocument/2006/relationships/hyperlink" Target="https://twitter.com/ClarkGRichards/status/702723679596077056" TargetMode="External"/><Relationship Id="rId7549" Type="http://schemas.openxmlformats.org/officeDocument/2006/relationships/hyperlink" Target="https://twitter.com/devalpandya" TargetMode="External"/><Relationship Id="rId7540" Type="http://schemas.openxmlformats.org/officeDocument/2006/relationships/hyperlink" Target="https://twitter.com/MusiCog" TargetMode="External"/><Relationship Id="rId8871" Type="http://schemas.openxmlformats.org/officeDocument/2006/relationships/hyperlink" Target="https://twitter.com/AntoViral/status/703233282465521664" TargetMode="External"/><Relationship Id="rId8870" Type="http://schemas.openxmlformats.org/officeDocument/2006/relationships/hyperlink" Target="https://twitter.com/AntoViral" TargetMode="External"/><Relationship Id="rId6212" Type="http://schemas.openxmlformats.org/officeDocument/2006/relationships/hyperlink" Target="https://twitter.com/DataAndDataViz" TargetMode="External"/><Relationship Id="rId7544" Type="http://schemas.openxmlformats.org/officeDocument/2006/relationships/hyperlink" Target="https://twitter.com/CRANberriesFeed/status/702979898827214849" TargetMode="External"/><Relationship Id="rId8875" Type="http://schemas.openxmlformats.org/officeDocument/2006/relationships/hyperlink" Target="https://pbs.twimg.com/profile_images/1174545663/SharonMachlis_sm2_normal.jpg" TargetMode="External"/><Relationship Id="rId6213" Type="http://schemas.openxmlformats.org/officeDocument/2006/relationships/hyperlink" Target="https://twitter.com/DataAndDataViz/status/702719820933021696" TargetMode="External"/><Relationship Id="rId7543" Type="http://schemas.openxmlformats.org/officeDocument/2006/relationships/hyperlink" Target="https://twitter.com/CRANberriesFeed" TargetMode="External"/><Relationship Id="rId8874" Type="http://schemas.openxmlformats.org/officeDocument/2006/relationships/hyperlink" Target="https://twitter.com/sharon000/status/703233779872227328" TargetMode="External"/><Relationship Id="rId6210" Type="http://schemas.openxmlformats.org/officeDocument/2006/relationships/hyperlink" Target="https://twitter.com/WebScraperDB/status/702715970842992641" TargetMode="External"/><Relationship Id="rId7542" Type="http://schemas.openxmlformats.org/officeDocument/2006/relationships/hyperlink" Target="https://pbs.twimg.com/profile_images/675253871913103360/IH_6oloe_normal.jpg" TargetMode="External"/><Relationship Id="rId8873" Type="http://schemas.openxmlformats.org/officeDocument/2006/relationships/hyperlink" Target="https://twitter.com/sharon000" TargetMode="External"/><Relationship Id="rId6211" Type="http://schemas.openxmlformats.org/officeDocument/2006/relationships/hyperlink" Target="https://pbs.twimg.com/profile_images/699545598450606080/s8CU8cVg_normal.png" TargetMode="External"/><Relationship Id="rId7541" Type="http://schemas.openxmlformats.org/officeDocument/2006/relationships/hyperlink" Target="https://twitter.com/MusiCog/status/702979749124161536" TargetMode="External"/><Relationship Id="rId8872" Type="http://schemas.openxmlformats.org/officeDocument/2006/relationships/hyperlink" Target="https://pbs.twimg.com/profile_images/378800000794889152/545ea4ed01fbb17969822e1ee9b0f3fa_normal.jpeg" TargetMode="External"/><Relationship Id="rId6216" Type="http://schemas.openxmlformats.org/officeDocument/2006/relationships/hyperlink" Target="https://twitter.com/souravc83/status/702720673462943745" TargetMode="External"/><Relationship Id="rId7548" Type="http://schemas.openxmlformats.org/officeDocument/2006/relationships/hyperlink" Target="https://pbs.twimg.com/profile_images/700442221154140160/SbLvUNQG_normal.jpg" TargetMode="External"/><Relationship Id="rId8879" Type="http://schemas.openxmlformats.org/officeDocument/2006/relationships/hyperlink" Target="https://pbs.twimg.com/profile_images/502185985786916864/gkdFh-q7_normal.png" TargetMode="External"/><Relationship Id="rId6217" Type="http://schemas.openxmlformats.org/officeDocument/2006/relationships/hyperlink" Target="https://pbs.twimg.com/profile_images/658511161034326016/RaFwgtT6_normal.jpg" TargetMode="External"/><Relationship Id="rId7547" Type="http://schemas.openxmlformats.org/officeDocument/2006/relationships/hyperlink" Target="https://twitter.com/devalpandya/status/702980267842019328" TargetMode="External"/><Relationship Id="rId8878" Type="http://schemas.openxmlformats.org/officeDocument/2006/relationships/hyperlink" Target="http://r-bloggers.com" TargetMode="External"/><Relationship Id="rId6214" Type="http://schemas.openxmlformats.org/officeDocument/2006/relationships/hyperlink" Target="https://pbs.twimg.com/profile_images/412249095110008832/J_K4--iQ_normal.png" TargetMode="External"/><Relationship Id="rId7546" Type="http://schemas.openxmlformats.org/officeDocument/2006/relationships/hyperlink" Target="https://twitter.com/devalpandya" TargetMode="External"/><Relationship Id="rId8877" Type="http://schemas.openxmlformats.org/officeDocument/2006/relationships/hyperlink" Target="https://twitter.com/Rbloggers/status/703234401111379968" TargetMode="External"/><Relationship Id="rId6215" Type="http://schemas.openxmlformats.org/officeDocument/2006/relationships/hyperlink" Target="https://twitter.com/souravc83" TargetMode="External"/><Relationship Id="rId7545" Type="http://schemas.openxmlformats.org/officeDocument/2006/relationships/hyperlink" Target="https://pbs.twimg.com/profile_images/1222779560/cran1_normal.jpg" TargetMode="External"/><Relationship Id="rId8876" Type="http://schemas.openxmlformats.org/officeDocument/2006/relationships/hyperlink" Target="https://twitter.com/Rbloggers" TargetMode="External"/><Relationship Id="rId6241" Type="http://schemas.openxmlformats.org/officeDocument/2006/relationships/hyperlink" Target="https://twitter.com/gvillejoubert/status/702732984521195520" TargetMode="External"/><Relationship Id="rId7573" Type="http://schemas.openxmlformats.org/officeDocument/2006/relationships/hyperlink" Target="https://twitter.com/MalthusThemonk" TargetMode="External"/><Relationship Id="rId6242" Type="http://schemas.openxmlformats.org/officeDocument/2006/relationships/hyperlink" Target="https://pbs.twimg.com/profile_images/505411254538608640/7Lho30gO_normal.jpeg" TargetMode="External"/><Relationship Id="rId7572" Type="http://schemas.openxmlformats.org/officeDocument/2006/relationships/hyperlink" Target="https://pbs.twimg.com/profile_images/1583419713/istvan_normal.jpg" TargetMode="External"/><Relationship Id="rId7571" Type="http://schemas.openxmlformats.org/officeDocument/2006/relationships/hyperlink" Target="https://twitter.com/IstvanHajnal/status/702982877181517824" TargetMode="External"/><Relationship Id="rId6240" Type="http://schemas.openxmlformats.org/officeDocument/2006/relationships/hyperlink" Target="https://twitter.com/gvillejoubert" TargetMode="External"/><Relationship Id="rId7570" Type="http://schemas.openxmlformats.org/officeDocument/2006/relationships/hyperlink" Target="https://twitter.com/IstvanHajnal" TargetMode="External"/><Relationship Id="rId6245" Type="http://schemas.openxmlformats.org/officeDocument/2006/relationships/hyperlink" Target="https://pbs.twimg.com/profile_images/606270191744352256/Kkr2vXBj_normal.jpg" TargetMode="External"/><Relationship Id="rId7577" Type="http://schemas.openxmlformats.org/officeDocument/2006/relationships/hyperlink" Target="https://twitter.com/GaborCsardi/status/702984499945152513" TargetMode="External"/><Relationship Id="rId6246" Type="http://schemas.openxmlformats.org/officeDocument/2006/relationships/hyperlink" Target="https://twitter.com/cadastreng" TargetMode="External"/><Relationship Id="rId7576" Type="http://schemas.openxmlformats.org/officeDocument/2006/relationships/hyperlink" Target="https://twitter.com/GaborCsardi" TargetMode="External"/><Relationship Id="rId6243" Type="http://schemas.openxmlformats.org/officeDocument/2006/relationships/hyperlink" Target="https://twitter.com/hwu76" TargetMode="External"/><Relationship Id="rId7575" Type="http://schemas.openxmlformats.org/officeDocument/2006/relationships/hyperlink" Target="https://pbs.twimg.com/profile_images/689977607627083778/VZOxwhDb_normal.jpg" TargetMode="External"/><Relationship Id="rId6244" Type="http://schemas.openxmlformats.org/officeDocument/2006/relationships/hyperlink" Target="https://twitter.com/hwu76/status/702734662007828483" TargetMode="External"/><Relationship Id="rId7574" Type="http://schemas.openxmlformats.org/officeDocument/2006/relationships/hyperlink" Target="https://twitter.com/MalthusThemonk/status/702983251850231809" TargetMode="External"/><Relationship Id="rId6249" Type="http://schemas.openxmlformats.org/officeDocument/2006/relationships/hyperlink" Target="https://twitter.com/CRANberriesFeed" TargetMode="External"/><Relationship Id="rId6247" Type="http://schemas.openxmlformats.org/officeDocument/2006/relationships/hyperlink" Target="https://twitter.com/cadastreng/status/702735731614228480" TargetMode="External"/><Relationship Id="rId7579" Type="http://schemas.openxmlformats.org/officeDocument/2006/relationships/hyperlink" Target="https://twitter.com/sidquan" TargetMode="External"/><Relationship Id="rId6248" Type="http://schemas.openxmlformats.org/officeDocument/2006/relationships/hyperlink" Target="https://pbs.twimg.com/profile_images/674300933216542721/4T1urMcw_normal.png" TargetMode="External"/><Relationship Id="rId7578" Type="http://schemas.openxmlformats.org/officeDocument/2006/relationships/hyperlink" Target="https://pbs.twimg.com/profile_images/531100851721363456/razj1N5f_normal.jpeg" TargetMode="External"/><Relationship Id="rId6230" Type="http://schemas.openxmlformats.org/officeDocument/2006/relationships/hyperlink" Target="https://pbs.twimg.com/profile_images/1164716874/favicon-triada-azul_normal.png" TargetMode="External"/><Relationship Id="rId7562" Type="http://schemas.openxmlformats.org/officeDocument/2006/relationships/hyperlink" Target="https://twitter.com/DerFredo/status/702981547054518272" TargetMode="External"/><Relationship Id="rId8893" Type="http://schemas.openxmlformats.org/officeDocument/2006/relationships/hyperlink" Target="https://twitter.com/hadleywickham/status/703235044383420419" TargetMode="External"/><Relationship Id="rId6231" Type="http://schemas.openxmlformats.org/officeDocument/2006/relationships/hyperlink" Target="https://twitter.com/renato_umeton" TargetMode="External"/><Relationship Id="rId7561" Type="http://schemas.openxmlformats.org/officeDocument/2006/relationships/hyperlink" Target="https://twitter.com/DerFredo" TargetMode="External"/><Relationship Id="rId8892" Type="http://schemas.openxmlformats.org/officeDocument/2006/relationships/hyperlink" Target="https://twitter.com/hadleywickham" TargetMode="External"/><Relationship Id="rId7560" Type="http://schemas.openxmlformats.org/officeDocument/2006/relationships/hyperlink" Target="https://pbs.twimg.com/profile_images/378800000059126288/17d4fa184bbd13c1e64465a3cc234efc_normal.jpeg" TargetMode="External"/><Relationship Id="rId8891" Type="http://schemas.openxmlformats.org/officeDocument/2006/relationships/hyperlink" Target="https://pbs.twimg.com/profile_images/857813342/twitter_av_normal.jpg" TargetMode="External"/><Relationship Id="rId8890" Type="http://schemas.openxmlformats.org/officeDocument/2006/relationships/hyperlink" Target="https://twitter.com/canerturkmen/status/703235032530489344" TargetMode="External"/><Relationship Id="rId6234" Type="http://schemas.openxmlformats.org/officeDocument/2006/relationships/hyperlink" Target="https://twitter.com/DataWookie" TargetMode="External"/><Relationship Id="rId7566" Type="http://schemas.openxmlformats.org/officeDocument/2006/relationships/hyperlink" Target="https://pbs.twimg.com/profile_images/641184002724855808/U_9q6u1h_normal.jpg" TargetMode="External"/><Relationship Id="rId8897" Type="http://schemas.openxmlformats.org/officeDocument/2006/relationships/hyperlink" Target="https://abs.twimg.com/sticky/default_profile_images/default_profile_6_normal.png" TargetMode="External"/><Relationship Id="rId6235" Type="http://schemas.openxmlformats.org/officeDocument/2006/relationships/hyperlink" Target="https://twitter.com/DataWookie/status/702729248306429952" TargetMode="External"/><Relationship Id="rId7565" Type="http://schemas.openxmlformats.org/officeDocument/2006/relationships/hyperlink" Target="https://twitter.com/NoraPlethora/status/702981851682623488" TargetMode="External"/><Relationship Id="rId8896" Type="http://schemas.openxmlformats.org/officeDocument/2006/relationships/hyperlink" Target="https://twitter.com/bertvar/status/703235413452972032" TargetMode="External"/><Relationship Id="rId6232" Type="http://schemas.openxmlformats.org/officeDocument/2006/relationships/hyperlink" Target="https://twitter.com/renato_umeton/status/702726884568780800" TargetMode="External"/><Relationship Id="rId7564" Type="http://schemas.openxmlformats.org/officeDocument/2006/relationships/hyperlink" Target="https://twitter.com/NoraPlethora" TargetMode="External"/><Relationship Id="rId8895" Type="http://schemas.openxmlformats.org/officeDocument/2006/relationships/hyperlink" Target="https://twitter.com/bertvar" TargetMode="External"/><Relationship Id="rId6233" Type="http://schemas.openxmlformats.org/officeDocument/2006/relationships/hyperlink" Target="https://pbs.twimg.com/profile_images/701553083537604608/nr8b38eG_normal.jpg" TargetMode="External"/><Relationship Id="rId7563" Type="http://schemas.openxmlformats.org/officeDocument/2006/relationships/hyperlink" Target="https://pbs.twimg.com/profile_images/702262401882718208/LQ3N9NUM_normal.png" TargetMode="External"/><Relationship Id="rId8894" Type="http://schemas.openxmlformats.org/officeDocument/2006/relationships/hyperlink" Target="https://pbs.twimg.com/profile_images/677589103710306304/m56O6Wgf_normal.jpg" TargetMode="External"/><Relationship Id="rId6238" Type="http://schemas.openxmlformats.org/officeDocument/2006/relationships/hyperlink" Target="https://twitter.com/DataWookie/status/702729550724091904" TargetMode="External"/><Relationship Id="rId6239" Type="http://schemas.openxmlformats.org/officeDocument/2006/relationships/hyperlink" Target="https://pbs.twimg.com/profile_images/612471608725213184/eXKo2Kmo_normal.jpg" TargetMode="External"/><Relationship Id="rId7569" Type="http://schemas.openxmlformats.org/officeDocument/2006/relationships/hyperlink" Target="https://pbs.twimg.com/profile_images/526107369772564481/glIi9hz7_normal.jpeg" TargetMode="External"/><Relationship Id="rId6236" Type="http://schemas.openxmlformats.org/officeDocument/2006/relationships/hyperlink" Target="https://pbs.twimg.com/profile_images/612471608725213184/eXKo2Kmo_normal.jpg" TargetMode="External"/><Relationship Id="rId7568" Type="http://schemas.openxmlformats.org/officeDocument/2006/relationships/hyperlink" Target="https://twitter.com/RVirginiaPolar/status/702982202217381888" TargetMode="External"/><Relationship Id="rId8899" Type="http://schemas.openxmlformats.org/officeDocument/2006/relationships/hyperlink" Target="https://twitter.com/gpavolini/status/703235475755167744" TargetMode="External"/><Relationship Id="rId6237" Type="http://schemas.openxmlformats.org/officeDocument/2006/relationships/hyperlink" Target="https://twitter.com/DataWookie" TargetMode="External"/><Relationship Id="rId7567" Type="http://schemas.openxmlformats.org/officeDocument/2006/relationships/hyperlink" Target="https://twitter.com/RVirginiaPolar" TargetMode="External"/><Relationship Id="rId8898" Type="http://schemas.openxmlformats.org/officeDocument/2006/relationships/hyperlink" Target="https://twitter.com/gpavolini" TargetMode="External"/><Relationship Id="rId7519" Type="http://schemas.openxmlformats.org/officeDocument/2006/relationships/hyperlink" Target="https://twitter.com/renato_umeton" TargetMode="External"/><Relationship Id="rId7518" Type="http://schemas.openxmlformats.org/officeDocument/2006/relationships/hyperlink" Target="https://pbs.twimg.com/profile_images/502185985786916864/gkdFh-q7_normal.png" TargetMode="External"/><Relationship Id="rId8849" Type="http://schemas.openxmlformats.org/officeDocument/2006/relationships/hyperlink" Target="https://twitter.com/DougW09" TargetMode="External"/><Relationship Id="rId7517" Type="http://schemas.openxmlformats.org/officeDocument/2006/relationships/hyperlink" Target="http://r-bloggers.com" TargetMode="External"/><Relationship Id="rId8848" Type="http://schemas.openxmlformats.org/officeDocument/2006/relationships/hyperlink" Target="https://pbs.twimg.com/profile_images/532927951407296512/HYhSzJ3U_normal.jpeg" TargetMode="External"/><Relationship Id="rId7516" Type="http://schemas.openxmlformats.org/officeDocument/2006/relationships/hyperlink" Target="https://twitter.com/Rbloggers/status/702976490154041344" TargetMode="External"/><Relationship Id="rId8847" Type="http://schemas.openxmlformats.org/officeDocument/2006/relationships/hyperlink" Target="https://twitter.com/zerazobz/status/703229139763994624" TargetMode="External"/><Relationship Id="rId7511" Type="http://schemas.openxmlformats.org/officeDocument/2006/relationships/hyperlink" Target="https://twitter.com/Rbloggers" TargetMode="External"/><Relationship Id="rId8842" Type="http://schemas.openxmlformats.org/officeDocument/2006/relationships/hyperlink" Target="https://pbs.twimg.com/profile_images/664006351887069184/Ik2QJ3-4_normal.jpg" TargetMode="External"/><Relationship Id="rId7510" Type="http://schemas.openxmlformats.org/officeDocument/2006/relationships/hyperlink" Target="https://pbs.twimg.com/profile_images/502185985786916864/gkdFh-q7_normal.png" TargetMode="External"/><Relationship Id="rId8841" Type="http://schemas.openxmlformats.org/officeDocument/2006/relationships/hyperlink" Target="https://twitter.com/ekinodermata/status/703227856264962048" TargetMode="External"/><Relationship Id="rId8840" Type="http://schemas.openxmlformats.org/officeDocument/2006/relationships/hyperlink" Target="https://twitter.com/ekinodermata" TargetMode="External"/><Relationship Id="rId7515" Type="http://schemas.openxmlformats.org/officeDocument/2006/relationships/hyperlink" Target="https://twitter.com/Rbloggers" TargetMode="External"/><Relationship Id="rId8846" Type="http://schemas.openxmlformats.org/officeDocument/2006/relationships/hyperlink" Target="https://twitter.com/zerazobz" TargetMode="External"/><Relationship Id="rId7514" Type="http://schemas.openxmlformats.org/officeDocument/2006/relationships/hyperlink" Target="https://pbs.twimg.com/profile_images/502185985786916864/gkdFh-q7_normal.png" TargetMode="External"/><Relationship Id="rId8845" Type="http://schemas.openxmlformats.org/officeDocument/2006/relationships/hyperlink" Target="https://pbs.twimg.com/profile_images/554924936985206786/FBkNWZp8_normal.png" TargetMode="External"/><Relationship Id="rId7513" Type="http://schemas.openxmlformats.org/officeDocument/2006/relationships/hyperlink" Target="http://r-bloggers.com" TargetMode="External"/><Relationship Id="rId8844" Type="http://schemas.openxmlformats.org/officeDocument/2006/relationships/hyperlink" Target="https://twitter.com/Hoog10HK/status/703228497808871424" TargetMode="External"/><Relationship Id="rId7512" Type="http://schemas.openxmlformats.org/officeDocument/2006/relationships/hyperlink" Target="https://twitter.com/Rbloggers/status/702976465441132545" TargetMode="External"/><Relationship Id="rId8843" Type="http://schemas.openxmlformats.org/officeDocument/2006/relationships/hyperlink" Target="https://twitter.com/Hoog10HK" TargetMode="External"/><Relationship Id="rId7508" Type="http://schemas.openxmlformats.org/officeDocument/2006/relationships/hyperlink" Target="https://twitter.com/Rbloggers/status/702976436261380097" TargetMode="External"/><Relationship Id="rId8839" Type="http://schemas.openxmlformats.org/officeDocument/2006/relationships/hyperlink" Target="https://pbs.twimg.com/profile_images/576799609873428480/V8akQ-mi_normal.jpeg" TargetMode="External"/><Relationship Id="rId7507" Type="http://schemas.openxmlformats.org/officeDocument/2006/relationships/hyperlink" Target="https://twitter.com/Rbloggers" TargetMode="External"/><Relationship Id="rId8838" Type="http://schemas.openxmlformats.org/officeDocument/2006/relationships/hyperlink" Target="https://twitter.com/fjalolop000/status/703227177245003776" TargetMode="External"/><Relationship Id="rId7506" Type="http://schemas.openxmlformats.org/officeDocument/2006/relationships/hyperlink" Target="https://pbs.twimg.com/profile_images/638343349523484672/kAVX2NOH_normal.png" TargetMode="External"/><Relationship Id="rId8837" Type="http://schemas.openxmlformats.org/officeDocument/2006/relationships/hyperlink" Target="https://twitter.com/fjalolop000" TargetMode="External"/><Relationship Id="rId7505" Type="http://schemas.openxmlformats.org/officeDocument/2006/relationships/hyperlink" Target="https://twitter.com/piccolomud/status/702976242065100800" TargetMode="External"/><Relationship Id="rId8836" Type="http://schemas.openxmlformats.org/officeDocument/2006/relationships/hyperlink" Target="https://pbs.twimg.com/profile_images/685831005043855360/j6Kz0jei_normal.jpg" TargetMode="External"/><Relationship Id="rId7509" Type="http://schemas.openxmlformats.org/officeDocument/2006/relationships/hyperlink" Target="http://r-bloggers.com" TargetMode="External"/><Relationship Id="rId7500" Type="http://schemas.openxmlformats.org/officeDocument/2006/relationships/hyperlink" Target="https://pbs.twimg.com/profile_images/683731282497552384/a0zG5d-P_normal.jpg" TargetMode="External"/><Relationship Id="rId8831" Type="http://schemas.openxmlformats.org/officeDocument/2006/relationships/hyperlink" Target="https://twitter.com/fjalolop000" TargetMode="External"/><Relationship Id="rId8830" Type="http://schemas.openxmlformats.org/officeDocument/2006/relationships/hyperlink" Target="https://pbs.twimg.com/profile_images/2162349475/KMD_lab_photo2011_normal.jpg" TargetMode="External"/><Relationship Id="rId7504" Type="http://schemas.openxmlformats.org/officeDocument/2006/relationships/hyperlink" Target="https://twitter.com/piccolomud" TargetMode="External"/><Relationship Id="rId8835" Type="http://schemas.openxmlformats.org/officeDocument/2006/relationships/hyperlink" Target="https://twitter.com/kanTulan/status/703227108915605504" TargetMode="External"/><Relationship Id="rId7503" Type="http://schemas.openxmlformats.org/officeDocument/2006/relationships/hyperlink" Target="https://pbs.twimg.com/profile_images/441946214297108480/8IYxGQ3d_normal.jpeg" TargetMode="External"/><Relationship Id="rId8834" Type="http://schemas.openxmlformats.org/officeDocument/2006/relationships/hyperlink" Target="https://twitter.com/kanTulan" TargetMode="External"/><Relationship Id="rId7502" Type="http://schemas.openxmlformats.org/officeDocument/2006/relationships/hyperlink" Target="https://twitter.com/sdwfrost/status/702976184792047616" TargetMode="External"/><Relationship Id="rId8833" Type="http://schemas.openxmlformats.org/officeDocument/2006/relationships/hyperlink" Target="https://pbs.twimg.com/profile_images/576799609873428480/V8akQ-mi_normal.jpeg" TargetMode="External"/><Relationship Id="rId7501" Type="http://schemas.openxmlformats.org/officeDocument/2006/relationships/hyperlink" Target="https://twitter.com/sdwfrost" TargetMode="External"/><Relationship Id="rId8832" Type="http://schemas.openxmlformats.org/officeDocument/2006/relationships/hyperlink" Target="https://twitter.com/fjalolop000/status/703227052175052800" TargetMode="External"/><Relationship Id="rId6209" Type="http://schemas.openxmlformats.org/officeDocument/2006/relationships/hyperlink" Target="https://twitter.com/WebScraperDB" TargetMode="External"/><Relationship Id="rId6207" Type="http://schemas.openxmlformats.org/officeDocument/2006/relationships/hyperlink" Target="https://twitter.com/amang17/status/702712984129314816" TargetMode="External"/><Relationship Id="rId7539" Type="http://schemas.openxmlformats.org/officeDocument/2006/relationships/hyperlink" Target="https://pbs.twimg.com/profile_images/378800000414184426/78a569696661f3ca1cdae3df3595c3f2_normal.jpeg" TargetMode="External"/><Relationship Id="rId6208" Type="http://schemas.openxmlformats.org/officeDocument/2006/relationships/hyperlink" Target="https://pbs.twimg.com/profile_images/700045661882830848/xmZtV-MI_normal.jpg" TargetMode="External"/><Relationship Id="rId7538" Type="http://schemas.openxmlformats.org/officeDocument/2006/relationships/hyperlink" Target="https://twitter.com/RobThomas14/status/702979701648846848" TargetMode="External"/><Relationship Id="rId8869" Type="http://schemas.openxmlformats.org/officeDocument/2006/relationships/hyperlink" Target="https://pbs.twimg.com/profile_images/378800000555272020/702afe1aef40f1afe8f4eb8a4174bbcb_normal.jpeg" TargetMode="External"/><Relationship Id="rId8860" Type="http://schemas.openxmlformats.org/officeDocument/2006/relationships/hyperlink" Target="https://pbs.twimg.com/profile_images/1119885825/brain_normal.png" TargetMode="External"/><Relationship Id="rId6201" Type="http://schemas.openxmlformats.org/officeDocument/2006/relationships/hyperlink" Target="https://twitter.com/aofarre/status/702712633519165442" TargetMode="External"/><Relationship Id="rId7533" Type="http://schemas.openxmlformats.org/officeDocument/2006/relationships/hyperlink" Target="https://pbs.twimg.com/profile_images/670315479517413376/Kkf5JA8s_normal.png" TargetMode="External"/><Relationship Id="rId8864" Type="http://schemas.openxmlformats.org/officeDocument/2006/relationships/hyperlink" Target="https://twitter.com/jwaalaAmarnath" TargetMode="External"/><Relationship Id="rId6202" Type="http://schemas.openxmlformats.org/officeDocument/2006/relationships/hyperlink" Target="https://pbs.twimg.com/profile_images/661510280980119552/orCUoi2g_normal.jpg" TargetMode="External"/><Relationship Id="rId7532" Type="http://schemas.openxmlformats.org/officeDocument/2006/relationships/hyperlink" Target="https://twitter.com/skilloak/status/702978397920571392" TargetMode="External"/><Relationship Id="rId8863" Type="http://schemas.openxmlformats.org/officeDocument/2006/relationships/hyperlink" Target="https://pbs.twimg.com/profile_images/378800000011607901/6e3fde86ba59fe99c0ff178d42ace7b3_normal.jpeg" TargetMode="External"/><Relationship Id="rId7531" Type="http://schemas.openxmlformats.org/officeDocument/2006/relationships/hyperlink" Target="https://twitter.com/skilloak" TargetMode="External"/><Relationship Id="rId8862" Type="http://schemas.openxmlformats.org/officeDocument/2006/relationships/hyperlink" Target="https://twitter.com/TradingTrooper/status/703232811508101120" TargetMode="External"/><Relationship Id="rId6200" Type="http://schemas.openxmlformats.org/officeDocument/2006/relationships/hyperlink" Target="https://twitter.com/aofarre" TargetMode="External"/><Relationship Id="rId7530" Type="http://schemas.openxmlformats.org/officeDocument/2006/relationships/hyperlink" Target="https://pbs.twimg.com/profile_images/422808438649786369/DLftqVnQ_normal.jpeg" TargetMode="External"/><Relationship Id="rId8861" Type="http://schemas.openxmlformats.org/officeDocument/2006/relationships/hyperlink" Target="https://twitter.com/TradingTrooper" TargetMode="External"/><Relationship Id="rId6205" Type="http://schemas.openxmlformats.org/officeDocument/2006/relationships/hyperlink" Target="https://pbs.twimg.com/profile_images/686829356220608512/Xvuztyrm_normal.jpg" TargetMode="External"/><Relationship Id="rId7537" Type="http://schemas.openxmlformats.org/officeDocument/2006/relationships/hyperlink" Target="https://twitter.com/RobThomas14" TargetMode="External"/><Relationship Id="rId8868" Type="http://schemas.openxmlformats.org/officeDocument/2006/relationships/hyperlink" Target="https://twitter.com/catintp/status/703233245190598656" TargetMode="External"/><Relationship Id="rId6206" Type="http://schemas.openxmlformats.org/officeDocument/2006/relationships/hyperlink" Target="https://twitter.com/amang17" TargetMode="External"/><Relationship Id="rId7536" Type="http://schemas.openxmlformats.org/officeDocument/2006/relationships/hyperlink" Target="https://pbs.twimg.com/profile_images/420457609573847040/gXX8yrEU_normal.jpeg" TargetMode="External"/><Relationship Id="rId8867" Type="http://schemas.openxmlformats.org/officeDocument/2006/relationships/hyperlink" Target="https://twitter.com/catintp" TargetMode="External"/><Relationship Id="rId6203" Type="http://schemas.openxmlformats.org/officeDocument/2006/relationships/hyperlink" Target="https://twitter.com/jrdnmdhl" TargetMode="External"/><Relationship Id="rId7535" Type="http://schemas.openxmlformats.org/officeDocument/2006/relationships/hyperlink" Target="https://twitter.com/crude2refined/status/702978919973019648" TargetMode="External"/><Relationship Id="rId8866" Type="http://schemas.openxmlformats.org/officeDocument/2006/relationships/hyperlink" Target="https://abs.twimg.com/sticky/default_profile_images/default_profile_5_normal.png" TargetMode="External"/><Relationship Id="rId6204" Type="http://schemas.openxmlformats.org/officeDocument/2006/relationships/hyperlink" Target="https://twitter.com/jrdnmdhl/status/702712743263117312" TargetMode="External"/><Relationship Id="rId7534" Type="http://schemas.openxmlformats.org/officeDocument/2006/relationships/hyperlink" Target="https://twitter.com/crude2refined" TargetMode="External"/><Relationship Id="rId8865" Type="http://schemas.openxmlformats.org/officeDocument/2006/relationships/hyperlink" Target="https://twitter.com/jwaalaAmarnath/status/703232830046871552" TargetMode="External"/><Relationship Id="rId7529" Type="http://schemas.openxmlformats.org/officeDocument/2006/relationships/hyperlink" Target="https://twitter.com/gshotwell/status/702976585817792513" TargetMode="External"/><Relationship Id="rId7528" Type="http://schemas.openxmlformats.org/officeDocument/2006/relationships/hyperlink" Target="https://twitter.com/gshotwell" TargetMode="External"/><Relationship Id="rId8859" Type="http://schemas.openxmlformats.org/officeDocument/2006/relationships/hyperlink" Target="https://twitter.com/Ardubal/status/703231701925937157" TargetMode="External"/><Relationship Id="rId7527" Type="http://schemas.openxmlformats.org/officeDocument/2006/relationships/hyperlink" Target="https://pbs.twimg.com/profile_images/701553083537604608/nr8b38eG_normal.jpg" TargetMode="External"/><Relationship Id="rId8858" Type="http://schemas.openxmlformats.org/officeDocument/2006/relationships/hyperlink" Target="https://twitter.com/Ardubal" TargetMode="External"/><Relationship Id="rId7522" Type="http://schemas.openxmlformats.org/officeDocument/2006/relationships/hyperlink" Target="https://twitter.com/renato_umeton" TargetMode="External"/><Relationship Id="rId8853" Type="http://schemas.openxmlformats.org/officeDocument/2006/relationships/hyperlink" Target="https://twitter.com/logosity/status/703230616163246081" TargetMode="External"/><Relationship Id="rId7521" Type="http://schemas.openxmlformats.org/officeDocument/2006/relationships/hyperlink" Target="https://pbs.twimg.com/profile_images/701553083537604608/nr8b38eG_normal.jpg" TargetMode="External"/><Relationship Id="rId8852" Type="http://schemas.openxmlformats.org/officeDocument/2006/relationships/hyperlink" Target="https://twitter.com/logosity" TargetMode="External"/><Relationship Id="rId7520" Type="http://schemas.openxmlformats.org/officeDocument/2006/relationships/hyperlink" Target="https://twitter.com/renato_umeton/status/702976573633404928" TargetMode="External"/><Relationship Id="rId8851" Type="http://schemas.openxmlformats.org/officeDocument/2006/relationships/hyperlink" Target="https://pbs.twimg.com/profile_images/195479194/IM000197_normal.jpg" TargetMode="External"/><Relationship Id="rId8850" Type="http://schemas.openxmlformats.org/officeDocument/2006/relationships/hyperlink" Target="https://twitter.com/DougW09/status/703229374640721920" TargetMode="External"/><Relationship Id="rId7526" Type="http://schemas.openxmlformats.org/officeDocument/2006/relationships/hyperlink" Target="https://twitter.com/renato_umeton/status/702976575256596482" TargetMode="External"/><Relationship Id="rId8857" Type="http://schemas.openxmlformats.org/officeDocument/2006/relationships/hyperlink" Target="https://pbs.twimg.com/profile_images/554924936985206786/FBkNWZp8_normal.png" TargetMode="External"/><Relationship Id="rId7525" Type="http://schemas.openxmlformats.org/officeDocument/2006/relationships/hyperlink" Target="https://twitter.com/renato_umeton" TargetMode="External"/><Relationship Id="rId8856" Type="http://schemas.openxmlformats.org/officeDocument/2006/relationships/hyperlink" Target="https://twitter.com/Hoog10HK/status/703231652621778945" TargetMode="External"/><Relationship Id="rId7524" Type="http://schemas.openxmlformats.org/officeDocument/2006/relationships/hyperlink" Target="https://pbs.twimg.com/profile_images/701553083537604608/nr8b38eG_normal.jpg" TargetMode="External"/><Relationship Id="rId8855" Type="http://schemas.openxmlformats.org/officeDocument/2006/relationships/hyperlink" Target="https://twitter.com/Hoog10HK" TargetMode="External"/><Relationship Id="rId7523" Type="http://schemas.openxmlformats.org/officeDocument/2006/relationships/hyperlink" Target="https://twitter.com/renato_umeton/status/702976574400946176" TargetMode="External"/><Relationship Id="rId8854" Type="http://schemas.openxmlformats.org/officeDocument/2006/relationships/hyperlink" Target="https://pbs.twimg.com/profile_images/1329454536/twitter_20110427_normal.jpg" TargetMode="External"/><Relationship Id="rId2700" Type="http://schemas.openxmlformats.org/officeDocument/2006/relationships/hyperlink" Target="https://twitter.com/echolgate/status/701973540451422208" TargetMode="External"/><Relationship Id="rId2701" Type="http://schemas.openxmlformats.org/officeDocument/2006/relationships/hyperlink" Target="https://pbs.twimg.com/profile_images/517240920282894336/NFeAtcFy_normal.jpeg" TargetMode="External"/><Relationship Id="rId2702" Type="http://schemas.openxmlformats.org/officeDocument/2006/relationships/hyperlink" Target="https://twitter.com/Jemus42" TargetMode="External"/><Relationship Id="rId2703" Type="http://schemas.openxmlformats.org/officeDocument/2006/relationships/hyperlink" Target="https://twitter.com/Jemus42/status/701974836189536256" TargetMode="External"/><Relationship Id="rId2704" Type="http://schemas.openxmlformats.org/officeDocument/2006/relationships/hyperlink" Target="https://pbs.twimg.com/profile_images/2442155420/13fr1e3on4dzb9fn7i48_normal.jpeg" TargetMode="External"/><Relationship Id="rId2705" Type="http://schemas.openxmlformats.org/officeDocument/2006/relationships/hyperlink" Target="https://twitter.com/JAlexBranham" TargetMode="External"/><Relationship Id="rId2706" Type="http://schemas.openxmlformats.org/officeDocument/2006/relationships/hyperlink" Target="https://twitter.com/JAlexBranham/status/701974930254999553" TargetMode="External"/><Relationship Id="rId2707" Type="http://schemas.openxmlformats.org/officeDocument/2006/relationships/hyperlink" Target="https://pbs.twimg.com/profile_images/628537702166564864/DrkqoQcc_normal.jpg" TargetMode="External"/><Relationship Id="rId2708" Type="http://schemas.openxmlformats.org/officeDocument/2006/relationships/hyperlink" Target="https://twitter.com/jymyrna" TargetMode="External"/><Relationship Id="rId2709" Type="http://schemas.openxmlformats.org/officeDocument/2006/relationships/hyperlink" Target="https://twitter.com/jymyrna/status/701975193057529856" TargetMode="External"/><Relationship Id="rId6292" Type="http://schemas.openxmlformats.org/officeDocument/2006/relationships/hyperlink" Target="https://twitter.com/souravc83/status/702752931523596288" TargetMode="External"/><Relationship Id="rId6293" Type="http://schemas.openxmlformats.org/officeDocument/2006/relationships/hyperlink" Target="https://pbs.twimg.com/profile_images/658511161034326016/RaFwgtT6_normal.jpg" TargetMode="External"/><Relationship Id="rId6290" Type="http://schemas.openxmlformats.org/officeDocument/2006/relationships/hyperlink" Target="https://abs.twimg.com/sticky/default_profile_images/default_profile_1_normal.png" TargetMode="External"/><Relationship Id="rId6291" Type="http://schemas.openxmlformats.org/officeDocument/2006/relationships/hyperlink" Target="https://twitter.com/souravc83" TargetMode="External"/><Relationship Id="rId6296" Type="http://schemas.openxmlformats.org/officeDocument/2006/relationships/hyperlink" Target="https://pbs.twimg.com/profile_images/1610221178/recent-avigail_normal.jpg" TargetMode="External"/><Relationship Id="rId6297" Type="http://schemas.openxmlformats.org/officeDocument/2006/relationships/hyperlink" Target="https://twitter.com/strengejacke" TargetMode="External"/><Relationship Id="rId6294" Type="http://schemas.openxmlformats.org/officeDocument/2006/relationships/hyperlink" Target="https://twitter.com/avifreedman" TargetMode="External"/><Relationship Id="rId6295" Type="http://schemas.openxmlformats.org/officeDocument/2006/relationships/hyperlink" Target="https://twitter.com/avifreedman/status/702754175961018368" TargetMode="External"/><Relationship Id="rId6298" Type="http://schemas.openxmlformats.org/officeDocument/2006/relationships/hyperlink" Target="https://twitter.com/strengejacke/status/702755110695407616" TargetMode="External"/><Relationship Id="rId6299" Type="http://schemas.openxmlformats.org/officeDocument/2006/relationships/hyperlink" Target="https://pbs.twimg.com/profile_images/761729803/sj_logo_normal.png" TargetMode="External"/><Relationship Id="rId2720" Type="http://schemas.openxmlformats.org/officeDocument/2006/relationships/hyperlink" Target="https://twitter.com/wrathematics" TargetMode="External"/><Relationship Id="rId2721" Type="http://schemas.openxmlformats.org/officeDocument/2006/relationships/hyperlink" Target="https://twitter.com/wrathematics/status/701981480529088512" TargetMode="External"/><Relationship Id="rId2722" Type="http://schemas.openxmlformats.org/officeDocument/2006/relationships/hyperlink" Target="https://pbs.twimg.com/profile_images/3311838112/cd20c9b2a8069d726a60ba97bfd75a61_normal.png" TargetMode="External"/><Relationship Id="rId2723" Type="http://schemas.openxmlformats.org/officeDocument/2006/relationships/hyperlink" Target="https://twitter.com/nekrum" TargetMode="External"/><Relationship Id="rId2724" Type="http://schemas.openxmlformats.org/officeDocument/2006/relationships/hyperlink" Target="https://twitter.com/nekrum/status/701981553497276416" TargetMode="External"/><Relationship Id="rId2725" Type="http://schemas.openxmlformats.org/officeDocument/2006/relationships/hyperlink" Target="https://pbs.twimg.com/profile_images/119769350/logo-azul-blanco_normal.png" TargetMode="External"/><Relationship Id="rId2726" Type="http://schemas.openxmlformats.org/officeDocument/2006/relationships/hyperlink" Target="https://twitter.com/Rbloggers" TargetMode="External"/><Relationship Id="rId2727" Type="http://schemas.openxmlformats.org/officeDocument/2006/relationships/hyperlink" Target="https://twitter.com/Rbloggers/status/701982349936893953" TargetMode="External"/><Relationship Id="rId2728" Type="http://schemas.openxmlformats.org/officeDocument/2006/relationships/hyperlink" Target="http://r-bloggers.com" TargetMode="External"/><Relationship Id="rId2729" Type="http://schemas.openxmlformats.org/officeDocument/2006/relationships/hyperlink" Target="https://pbs.twimg.com/profile_images/502185985786916864/gkdFh-q7_normal.png" TargetMode="External"/><Relationship Id="rId2710" Type="http://schemas.openxmlformats.org/officeDocument/2006/relationships/hyperlink" Target="https://pbs.twimg.com/profile_images/432692802112081921/8bNII6Ly_normal.jpeg" TargetMode="External"/><Relationship Id="rId2711" Type="http://schemas.openxmlformats.org/officeDocument/2006/relationships/hyperlink" Target="https://twitter.com/biobenkj" TargetMode="External"/><Relationship Id="rId2712" Type="http://schemas.openxmlformats.org/officeDocument/2006/relationships/hyperlink" Target="https://twitter.com/biobenkj/status/701976075094458369" TargetMode="External"/><Relationship Id="rId2713" Type="http://schemas.openxmlformats.org/officeDocument/2006/relationships/hyperlink" Target="https://pbs.twimg.com/profile_images/585498183352061956/lXjebLcT_normal.jpg" TargetMode="External"/><Relationship Id="rId2714" Type="http://schemas.openxmlformats.org/officeDocument/2006/relationships/hyperlink" Target="https://twitter.com/reiver" TargetMode="External"/><Relationship Id="rId2715" Type="http://schemas.openxmlformats.org/officeDocument/2006/relationships/hyperlink" Target="https://twitter.com/reiver/status/701979037619466240" TargetMode="External"/><Relationship Id="rId2716" Type="http://schemas.openxmlformats.org/officeDocument/2006/relationships/hyperlink" Target="https://pbs.twimg.com/profile_images/1542967349/reiver-star_normal.png" TargetMode="External"/><Relationship Id="rId2717" Type="http://schemas.openxmlformats.org/officeDocument/2006/relationships/hyperlink" Target="https://twitter.com/sfrechette" TargetMode="External"/><Relationship Id="rId2718" Type="http://schemas.openxmlformats.org/officeDocument/2006/relationships/hyperlink" Target="https://twitter.com/sfrechette/status/701979800592900096" TargetMode="External"/><Relationship Id="rId2719" Type="http://schemas.openxmlformats.org/officeDocument/2006/relationships/hyperlink" Target="https://pbs.twimg.com/profile_images/662342111799304192/Xtv8MZ-P_normal.jpg" TargetMode="External"/><Relationship Id="rId7591" Type="http://schemas.openxmlformats.org/officeDocument/2006/relationships/hyperlink" Target="https://twitter.com/DrAndyPardoe" TargetMode="External"/><Relationship Id="rId6260" Type="http://schemas.openxmlformats.org/officeDocument/2006/relationships/hyperlink" Target="https://pbs.twimg.com/profile_images/2804660822/49b0136cb3e64480fd5a80a2b41da086_normal.jpeg" TargetMode="External"/><Relationship Id="rId7590" Type="http://schemas.openxmlformats.org/officeDocument/2006/relationships/hyperlink" Target="https://pbs.twimg.com/profile_images/494978993955696640/pdaFKe7-_normal.png" TargetMode="External"/><Relationship Id="rId6263" Type="http://schemas.openxmlformats.org/officeDocument/2006/relationships/hyperlink" Target="https://pbs.twimg.com/profile_images/378800000642732779/09bae8f45b0f3e65799dddf1e8d7b350_normal.jpeg" TargetMode="External"/><Relationship Id="rId7595" Type="http://schemas.openxmlformats.org/officeDocument/2006/relationships/hyperlink" Target="https://twitter.com/helenaahmadi/status/702986889209507840" TargetMode="External"/><Relationship Id="rId6264" Type="http://schemas.openxmlformats.org/officeDocument/2006/relationships/hyperlink" Target="https://twitter.com/Flowfields_" TargetMode="External"/><Relationship Id="rId7594" Type="http://schemas.openxmlformats.org/officeDocument/2006/relationships/hyperlink" Target="https://twitter.com/helenaahmadi" TargetMode="External"/><Relationship Id="rId6261" Type="http://schemas.openxmlformats.org/officeDocument/2006/relationships/hyperlink" Target="https://twitter.com/himlohiya" TargetMode="External"/><Relationship Id="rId7593" Type="http://schemas.openxmlformats.org/officeDocument/2006/relationships/hyperlink" Target="https://pbs.twimg.com/profile_images/485766134268837889/t4PLhSfT_normal.jpeg" TargetMode="External"/><Relationship Id="rId6262" Type="http://schemas.openxmlformats.org/officeDocument/2006/relationships/hyperlink" Target="https://twitter.com/himlohiya/status/702745089756430337" TargetMode="External"/><Relationship Id="rId7592" Type="http://schemas.openxmlformats.org/officeDocument/2006/relationships/hyperlink" Target="https://twitter.com/DrAndyPardoe/status/702986325788643328" TargetMode="External"/><Relationship Id="rId6267" Type="http://schemas.openxmlformats.org/officeDocument/2006/relationships/hyperlink" Target="https://twitter.com/UURSAH" TargetMode="External"/><Relationship Id="rId7599" Type="http://schemas.openxmlformats.org/officeDocument/2006/relationships/hyperlink" Target="https://pbs.twimg.com/profile_images/487405357321711616/5r3jBsx2_normal.jpeg" TargetMode="External"/><Relationship Id="rId6268" Type="http://schemas.openxmlformats.org/officeDocument/2006/relationships/hyperlink" Target="https://twitter.com/UURSAH/status/702746829268475904" TargetMode="External"/><Relationship Id="rId7598" Type="http://schemas.openxmlformats.org/officeDocument/2006/relationships/hyperlink" Target="https://twitter.com/Anas_ET/status/702988116466999298" TargetMode="External"/><Relationship Id="rId6265" Type="http://schemas.openxmlformats.org/officeDocument/2006/relationships/hyperlink" Target="https://twitter.com/Flowfields_/status/702746190488723456" TargetMode="External"/><Relationship Id="rId7597" Type="http://schemas.openxmlformats.org/officeDocument/2006/relationships/hyperlink" Target="https://twitter.com/Anas_ET" TargetMode="External"/><Relationship Id="rId6266" Type="http://schemas.openxmlformats.org/officeDocument/2006/relationships/hyperlink" Target="https://pbs.twimg.com/profile_images/378800000809810536/f245ca2d284ae20da862971ef93ecc6b_normal.png" TargetMode="External"/><Relationship Id="rId7596" Type="http://schemas.openxmlformats.org/officeDocument/2006/relationships/hyperlink" Target="https://pbs.twimg.com/profile_images/655704725829124096/0-CQ7K0P_normal.jpg" TargetMode="External"/><Relationship Id="rId6269" Type="http://schemas.openxmlformats.org/officeDocument/2006/relationships/hyperlink" Target="https://pbs.twimg.com/profile_images/344513261584675227/5f91a38a8407c38a1f4bf3068498cdda_normal.jpeg" TargetMode="External"/><Relationship Id="rId7580" Type="http://schemas.openxmlformats.org/officeDocument/2006/relationships/hyperlink" Target="https://twitter.com/sidquan/status/702985178344370176" TargetMode="External"/><Relationship Id="rId6252" Type="http://schemas.openxmlformats.org/officeDocument/2006/relationships/hyperlink" Target="https://twitter.com/DailyRpackage" TargetMode="External"/><Relationship Id="rId7584" Type="http://schemas.openxmlformats.org/officeDocument/2006/relationships/hyperlink" Target="https://pbs.twimg.com/profile_images/2183224884/image_normal.jpg" TargetMode="External"/><Relationship Id="rId6253" Type="http://schemas.openxmlformats.org/officeDocument/2006/relationships/hyperlink" Target="https://twitter.com/DailyRpackage/status/702742327337590784" TargetMode="External"/><Relationship Id="rId7583" Type="http://schemas.openxmlformats.org/officeDocument/2006/relationships/hyperlink" Target="https://twitter.com/ezbrooks/status/702985240848023552" TargetMode="External"/><Relationship Id="rId6250" Type="http://schemas.openxmlformats.org/officeDocument/2006/relationships/hyperlink" Target="https://twitter.com/CRANberriesFeed/status/702738210301022208" TargetMode="External"/><Relationship Id="rId7582" Type="http://schemas.openxmlformats.org/officeDocument/2006/relationships/hyperlink" Target="https://twitter.com/ezbrooks" TargetMode="External"/><Relationship Id="rId6251" Type="http://schemas.openxmlformats.org/officeDocument/2006/relationships/hyperlink" Target="https://pbs.twimg.com/profile_images/1222779560/cran1_normal.jpg" TargetMode="External"/><Relationship Id="rId7581" Type="http://schemas.openxmlformats.org/officeDocument/2006/relationships/hyperlink" Target="https://pbs.twimg.com/profile_images/1554910841/tux_and_chicken_normal.jpg" TargetMode="External"/><Relationship Id="rId6256" Type="http://schemas.openxmlformats.org/officeDocument/2006/relationships/hyperlink" Target="https://twitter.com/BigBetAnalytics/status/702744045995462657" TargetMode="External"/><Relationship Id="rId7588" Type="http://schemas.openxmlformats.org/officeDocument/2006/relationships/hyperlink" Target="https://twitter.com/PD_value" TargetMode="External"/><Relationship Id="rId6257" Type="http://schemas.openxmlformats.org/officeDocument/2006/relationships/hyperlink" Target="https://pbs.twimg.com/profile_images/378800000737229616/91a31fe7b5ffbd53051b8cc210b0f6ac_normal.jpeg" TargetMode="External"/><Relationship Id="rId7587" Type="http://schemas.openxmlformats.org/officeDocument/2006/relationships/hyperlink" Target="https://pbs.twimg.com/profile_images/1760147526/Wisdon_Quadrants_normal.gif" TargetMode="External"/><Relationship Id="rId6254" Type="http://schemas.openxmlformats.org/officeDocument/2006/relationships/hyperlink" Target="https://pbs.twimg.com/profile_images/3438004205/66da7270714af4309d185b958c4bb8be_normal.jpeg" TargetMode="External"/><Relationship Id="rId7586" Type="http://schemas.openxmlformats.org/officeDocument/2006/relationships/hyperlink" Target="https://twitter.com/camilo_pmo/status/702985451578236928" TargetMode="External"/><Relationship Id="rId6255" Type="http://schemas.openxmlformats.org/officeDocument/2006/relationships/hyperlink" Target="https://twitter.com/BigBetAnalytics" TargetMode="External"/><Relationship Id="rId7585" Type="http://schemas.openxmlformats.org/officeDocument/2006/relationships/hyperlink" Target="https://twitter.com/camilo_pmo" TargetMode="External"/><Relationship Id="rId6258" Type="http://schemas.openxmlformats.org/officeDocument/2006/relationships/hyperlink" Target="https://twitter.com/paulpeton" TargetMode="External"/><Relationship Id="rId6259" Type="http://schemas.openxmlformats.org/officeDocument/2006/relationships/hyperlink" Target="https://twitter.com/paulpeton/status/702745086522744832" TargetMode="External"/><Relationship Id="rId7589" Type="http://schemas.openxmlformats.org/officeDocument/2006/relationships/hyperlink" Target="https://twitter.com/PD_value/status/702985720902918144" TargetMode="External"/><Relationship Id="rId6281" Type="http://schemas.openxmlformats.org/officeDocument/2006/relationships/hyperlink" Target="https://pbs.twimg.com/profile_images/2880816053/94de58e88a685464e3a7936b1f5288e7_normal.jpeg" TargetMode="External"/><Relationship Id="rId6282" Type="http://schemas.openxmlformats.org/officeDocument/2006/relationships/hyperlink" Target="https://twitter.com/mattmcd" TargetMode="External"/><Relationship Id="rId6280" Type="http://schemas.openxmlformats.org/officeDocument/2006/relationships/hyperlink" Target="https://twitter.com/DataJunkie/status/702749239537831936" TargetMode="External"/><Relationship Id="rId6285" Type="http://schemas.openxmlformats.org/officeDocument/2006/relationships/hyperlink" Target="https://twitter.com/AntoViral" TargetMode="External"/><Relationship Id="rId6286" Type="http://schemas.openxmlformats.org/officeDocument/2006/relationships/hyperlink" Target="https://twitter.com/AntoViral/status/702750382787858432" TargetMode="External"/><Relationship Id="rId6283" Type="http://schemas.openxmlformats.org/officeDocument/2006/relationships/hyperlink" Target="https://twitter.com/mattmcd/status/702749871040831488" TargetMode="External"/><Relationship Id="rId6284" Type="http://schemas.openxmlformats.org/officeDocument/2006/relationships/hyperlink" Target="https://pbs.twimg.com/profile_images/1401189383/me_skecth_no2_dark_800x800_normal.jpg" TargetMode="External"/><Relationship Id="rId6289" Type="http://schemas.openxmlformats.org/officeDocument/2006/relationships/hyperlink" Target="https://twitter.com/kudzaka/status/702751394890125312" TargetMode="External"/><Relationship Id="rId6287" Type="http://schemas.openxmlformats.org/officeDocument/2006/relationships/hyperlink" Target="https://pbs.twimg.com/profile_images/378800000794889152/545ea4ed01fbb17969822e1ee9b0f3fa_normal.jpeg" TargetMode="External"/><Relationship Id="rId6288" Type="http://schemas.openxmlformats.org/officeDocument/2006/relationships/hyperlink" Target="https://twitter.com/kudzaka" TargetMode="External"/><Relationship Id="rId6270" Type="http://schemas.openxmlformats.org/officeDocument/2006/relationships/hyperlink" Target="https://twitter.com/pacehrb" TargetMode="External"/><Relationship Id="rId6271" Type="http://schemas.openxmlformats.org/officeDocument/2006/relationships/hyperlink" Target="https://twitter.com/pacehrb/status/702747450847592448" TargetMode="External"/><Relationship Id="rId6274" Type="http://schemas.openxmlformats.org/officeDocument/2006/relationships/hyperlink" Target="https://twitter.com/kstate_bigdata/status/702748181113626624" TargetMode="External"/><Relationship Id="rId6275" Type="http://schemas.openxmlformats.org/officeDocument/2006/relationships/hyperlink" Target="https://pbs.twimg.com/profile_images/461406200110665728/u6qzKhIg_normal.png" TargetMode="External"/><Relationship Id="rId6272" Type="http://schemas.openxmlformats.org/officeDocument/2006/relationships/hyperlink" Target="https://pbs.twimg.com/profile_images/1144625930/hanmant_normal.jpg" TargetMode="External"/><Relationship Id="rId6273" Type="http://schemas.openxmlformats.org/officeDocument/2006/relationships/hyperlink" Target="https://twitter.com/kstate_bigdata" TargetMode="External"/><Relationship Id="rId6278" Type="http://schemas.openxmlformats.org/officeDocument/2006/relationships/hyperlink" Target="https://pbs.twimg.com/profile_images/664998127364128768/8m1nUusT_normal.jpg" TargetMode="External"/><Relationship Id="rId6279" Type="http://schemas.openxmlformats.org/officeDocument/2006/relationships/hyperlink" Target="https://twitter.com/DataJunkie" TargetMode="External"/><Relationship Id="rId6276" Type="http://schemas.openxmlformats.org/officeDocument/2006/relationships/hyperlink" Target="https://twitter.com/iPredictt" TargetMode="External"/><Relationship Id="rId6277" Type="http://schemas.openxmlformats.org/officeDocument/2006/relationships/hyperlink" Target="https://twitter.com/iPredictt/status/702748670786191360" TargetMode="External"/><Relationship Id="rId1455" Type="http://schemas.openxmlformats.org/officeDocument/2006/relationships/hyperlink" Target="https://pbs.twimg.com/profile_images/1524160506/yo_normal.jpg" TargetMode="External"/><Relationship Id="rId2786" Type="http://schemas.openxmlformats.org/officeDocument/2006/relationships/hyperlink" Target="https://twitter.com/kwbroman/status/701995394297757698" TargetMode="External"/><Relationship Id="rId1456" Type="http://schemas.openxmlformats.org/officeDocument/2006/relationships/hyperlink" Target="https://twitter.com/convalytics" TargetMode="External"/><Relationship Id="rId2787" Type="http://schemas.openxmlformats.org/officeDocument/2006/relationships/hyperlink" Target="https://pbs.twimg.com/profile_images/680796333460959232/CzoFZb76_normal.jpg" TargetMode="External"/><Relationship Id="rId1457" Type="http://schemas.openxmlformats.org/officeDocument/2006/relationships/hyperlink" Target="https://twitter.com/convalytics/status/701736886168068096" TargetMode="External"/><Relationship Id="rId2788" Type="http://schemas.openxmlformats.org/officeDocument/2006/relationships/hyperlink" Target="https://twitter.com/AnalyticsVidhya" TargetMode="External"/><Relationship Id="rId1458" Type="http://schemas.openxmlformats.org/officeDocument/2006/relationships/hyperlink" Target="https://pbs.twimg.com/profile_images/1222782010/Jason-Green_normal.jpg" TargetMode="External"/><Relationship Id="rId2789" Type="http://schemas.openxmlformats.org/officeDocument/2006/relationships/hyperlink" Target="https://twitter.com/AnalyticsVidhya/status/701997377725591552" TargetMode="External"/><Relationship Id="rId1459" Type="http://schemas.openxmlformats.org/officeDocument/2006/relationships/hyperlink" Target="https://twitter.com/jeniferjones" TargetMode="External"/><Relationship Id="rId629" Type="http://schemas.openxmlformats.org/officeDocument/2006/relationships/hyperlink" Target="https://twitter.com/anthonytowry" TargetMode="External"/><Relationship Id="rId624" Type="http://schemas.openxmlformats.org/officeDocument/2006/relationships/hyperlink" Target="https://twitter.com/thefactmachine1/status/701495355410526208" TargetMode="External"/><Relationship Id="rId623" Type="http://schemas.openxmlformats.org/officeDocument/2006/relationships/hyperlink" Target="https://twitter.com/thefactmachine1" TargetMode="External"/><Relationship Id="rId622" Type="http://schemas.openxmlformats.org/officeDocument/2006/relationships/hyperlink" Target="https://pbs.twimg.com/profile_images/609253696418017280/E5FXbUoG_normal.jpg" TargetMode="External"/><Relationship Id="rId621" Type="http://schemas.openxmlformats.org/officeDocument/2006/relationships/hyperlink" Target="https://twitter.com/kellettboy1/status/701495304391155712" TargetMode="External"/><Relationship Id="rId628" Type="http://schemas.openxmlformats.org/officeDocument/2006/relationships/hyperlink" Target="https://pbs.twimg.com/profile_images/677933424796000256/B2yIg_mE_normal.jpg" TargetMode="External"/><Relationship Id="rId627" Type="http://schemas.openxmlformats.org/officeDocument/2006/relationships/hyperlink" Target="https://twitter.com/PiotrTompalski/status/701495641885667328" TargetMode="External"/><Relationship Id="rId626" Type="http://schemas.openxmlformats.org/officeDocument/2006/relationships/hyperlink" Target="https://twitter.com/PiotrTompalski" TargetMode="External"/><Relationship Id="rId625" Type="http://schemas.openxmlformats.org/officeDocument/2006/relationships/hyperlink" Target="https://pbs.twimg.com/profile_images/2280522937/78dqr3lthevalzio6sjt_normal.jpeg" TargetMode="External"/><Relationship Id="rId2780" Type="http://schemas.openxmlformats.org/officeDocument/2006/relationships/hyperlink" Target="https://twitter.com/JoergSteinkamp/status/701990533158281217" TargetMode="External"/><Relationship Id="rId1450" Type="http://schemas.openxmlformats.org/officeDocument/2006/relationships/hyperlink" Target="https://twitter.com/AdiePrestone" TargetMode="External"/><Relationship Id="rId2781" Type="http://schemas.openxmlformats.org/officeDocument/2006/relationships/hyperlink" Target="https://pbs.twimg.com/profile_images/646915048934404096/f2KeJ3eX_normal.jpg" TargetMode="External"/><Relationship Id="rId620" Type="http://schemas.openxmlformats.org/officeDocument/2006/relationships/hyperlink" Target="https://twitter.com/kellettboy1" TargetMode="External"/><Relationship Id="rId1451" Type="http://schemas.openxmlformats.org/officeDocument/2006/relationships/hyperlink" Target="https://twitter.com/AdiePrestone/status/701736043096252420" TargetMode="External"/><Relationship Id="rId2782" Type="http://schemas.openxmlformats.org/officeDocument/2006/relationships/hyperlink" Target="https://twitter.com/tanmoy77" TargetMode="External"/><Relationship Id="rId1452" Type="http://schemas.openxmlformats.org/officeDocument/2006/relationships/hyperlink" Target="https://pbs.twimg.com/profile_images/685318018793127936/9LH8YuIT_normal.jpg" TargetMode="External"/><Relationship Id="rId2783" Type="http://schemas.openxmlformats.org/officeDocument/2006/relationships/hyperlink" Target="https://twitter.com/tanmoy77/status/701991139126042625" TargetMode="External"/><Relationship Id="rId1453" Type="http://schemas.openxmlformats.org/officeDocument/2006/relationships/hyperlink" Target="https://twitter.com/Legasquare90" TargetMode="External"/><Relationship Id="rId2784" Type="http://schemas.openxmlformats.org/officeDocument/2006/relationships/hyperlink" Target="https://pbs.twimg.com/profile_images/1657129202/bum_normal.png" TargetMode="External"/><Relationship Id="rId1454" Type="http://schemas.openxmlformats.org/officeDocument/2006/relationships/hyperlink" Target="https://twitter.com/Legasquare90/status/701736614440075264" TargetMode="External"/><Relationship Id="rId2785" Type="http://schemas.openxmlformats.org/officeDocument/2006/relationships/hyperlink" Target="https://twitter.com/kwbroman" TargetMode="External"/><Relationship Id="rId1444" Type="http://schemas.openxmlformats.org/officeDocument/2006/relationships/hyperlink" Target="https://twitter.com/CarinaDSLR" TargetMode="External"/><Relationship Id="rId2775" Type="http://schemas.openxmlformats.org/officeDocument/2006/relationships/hyperlink" Target="https://pbs.twimg.com/profile_images/436371993756045312/GLPHgaoV_normal.png" TargetMode="External"/><Relationship Id="rId1445" Type="http://schemas.openxmlformats.org/officeDocument/2006/relationships/hyperlink" Target="https://twitter.com/CarinaDSLR/status/701733785986064384" TargetMode="External"/><Relationship Id="rId2776" Type="http://schemas.openxmlformats.org/officeDocument/2006/relationships/hyperlink" Target="https://twitter.com/SmithMattC" TargetMode="External"/><Relationship Id="rId1446" Type="http://schemas.openxmlformats.org/officeDocument/2006/relationships/hyperlink" Target="https://pbs.twimg.com/profile_images/536856141754417152/tN5pZV-E_normal.jpeg" TargetMode="External"/><Relationship Id="rId2777" Type="http://schemas.openxmlformats.org/officeDocument/2006/relationships/hyperlink" Target="https://twitter.com/SmithMattC/status/701990049584295936" TargetMode="External"/><Relationship Id="rId1447" Type="http://schemas.openxmlformats.org/officeDocument/2006/relationships/hyperlink" Target="https://twitter.com/CarinaDSLR" TargetMode="External"/><Relationship Id="rId2778" Type="http://schemas.openxmlformats.org/officeDocument/2006/relationships/hyperlink" Target="https://pbs.twimg.com/profile_images/683812007171080192/WwK6GuMH_normal.jpg" TargetMode="External"/><Relationship Id="rId1448" Type="http://schemas.openxmlformats.org/officeDocument/2006/relationships/hyperlink" Target="https://twitter.com/CarinaDSLR/status/701733809935536130" TargetMode="External"/><Relationship Id="rId2779" Type="http://schemas.openxmlformats.org/officeDocument/2006/relationships/hyperlink" Target="https://twitter.com/JoergSteinkamp" TargetMode="External"/><Relationship Id="rId1449" Type="http://schemas.openxmlformats.org/officeDocument/2006/relationships/hyperlink" Target="https://pbs.twimg.com/profile_images/536856141754417152/tN5pZV-E_normal.jpeg" TargetMode="External"/><Relationship Id="rId619" Type="http://schemas.openxmlformats.org/officeDocument/2006/relationships/hyperlink" Target="https://pbs.twimg.com/profile_images/680796333460959232/CzoFZb76_normal.jpg" TargetMode="External"/><Relationship Id="rId618" Type="http://schemas.openxmlformats.org/officeDocument/2006/relationships/hyperlink" Target="https://twitter.com/kwbroman/status/701495083816787968" TargetMode="External"/><Relationship Id="rId613" Type="http://schemas.openxmlformats.org/officeDocument/2006/relationships/hyperlink" Target="https://pbs.twimg.com/profile_images/702599433402322947/Rda4kptZ_normal.jpg" TargetMode="External"/><Relationship Id="rId612" Type="http://schemas.openxmlformats.org/officeDocument/2006/relationships/hyperlink" Target="https://twitter.com/thosjleeper/status/701494847795027970" TargetMode="External"/><Relationship Id="rId611" Type="http://schemas.openxmlformats.org/officeDocument/2006/relationships/hyperlink" Target="https://twitter.com/thosjleeper" TargetMode="External"/><Relationship Id="rId610" Type="http://schemas.openxmlformats.org/officeDocument/2006/relationships/hyperlink" Target="https://pbs.twimg.com/profile_images/660154810289754112/K6Yp_cKR_normal.png" TargetMode="External"/><Relationship Id="rId617" Type="http://schemas.openxmlformats.org/officeDocument/2006/relationships/hyperlink" Target="https://twitter.com/kwbroman" TargetMode="External"/><Relationship Id="rId616" Type="http://schemas.openxmlformats.org/officeDocument/2006/relationships/hyperlink" Target="https://pbs.twimg.com/profile_images/677589103710306304/m56O6Wgf_normal.jpg" TargetMode="External"/><Relationship Id="rId615" Type="http://schemas.openxmlformats.org/officeDocument/2006/relationships/hyperlink" Target="https://twitter.com/hadleywickham/status/701495013931241472" TargetMode="External"/><Relationship Id="rId614" Type="http://schemas.openxmlformats.org/officeDocument/2006/relationships/hyperlink" Target="https://twitter.com/hadleywickham" TargetMode="External"/><Relationship Id="rId2770" Type="http://schemas.openxmlformats.org/officeDocument/2006/relationships/hyperlink" Target="https://twitter.com/DataWookie" TargetMode="External"/><Relationship Id="rId1440" Type="http://schemas.openxmlformats.org/officeDocument/2006/relationships/hyperlink" Target="https://pbs.twimg.com/profile_images/413726952130744320/sEc11Q6-_normal.jpeg" TargetMode="External"/><Relationship Id="rId2771" Type="http://schemas.openxmlformats.org/officeDocument/2006/relationships/hyperlink" Target="https://twitter.com/DataWookie/status/701989237718016000" TargetMode="External"/><Relationship Id="rId1441" Type="http://schemas.openxmlformats.org/officeDocument/2006/relationships/hyperlink" Target="https://twitter.com/matthias31000" TargetMode="External"/><Relationship Id="rId2772" Type="http://schemas.openxmlformats.org/officeDocument/2006/relationships/hyperlink" Target="https://pbs.twimg.com/profile_images/612471608725213184/eXKo2Kmo_normal.jpg" TargetMode="External"/><Relationship Id="rId1442" Type="http://schemas.openxmlformats.org/officeDocument/2006/relationships/hyperlink" Target="https://twitter.com/matthias31000/status/701733341008105472" TargetMode="External"/><Relationship Id="rId2773" Type="http://schemas.openxmlformats.org/officeDocument/2006/relationships/hyperlink" Target="https://twitter.com/aneomatrix" TargetMode="External"/><Relationship Id="rId1443" Type="http://schemas.openxmlformats.org/officeDocument/2006/relationships/hyperlink" Target="https://pbs.twimg.com/profile_images/653156490744885249/Sb3VJNKH_normal.jpg" TargetMode="External"/><Relationship Id="rId2774" Type="http://schemas.openxmlformats.org/officeDocument/2006/relationships/hyperlink" Target="https://twitter.com/aneomatrix/status/701989272191021056" TargetMode="External"/><Relationship Id="rId1477" Type="http://schemas.openxmlformats.org/officeDocument/2006/relationships/hyperlink" Target="https://twitter.com/JacobyDave" TargetMode="External"/><Relationship Id="rId1478" Type="http://schemas.openxmlformats.org/officeDocument/2006/relationships/hyperlink" Target="https://twitter.com/JacobyDave/status/701740356178546688" TargetMode="External"/><Relationship Id="rId1479" Type="http://schemas.openxmlformats.org/officeDocument/2006/relationships/hyperlink" Target="https://pbs.twimg.com/profile_images/703082089911066624/VbC44206_normal.png" TargetMode="External"/><Relationship Id="rId646" Type="http://schemas.openxmlformats.org/officeDocument/2006/relationships/hyperlink" Target="https://pbs.twimg.com/profile_images/690329387502153728/j7bVA2QG_normal.jpg" TargetMode="External"/><Relationship Id="rId645" Type="http://schemas.openxmlformats.org/officeDocument/2006/relationships/hyperlink" Target="https://twitter.com/_sbr1/status/701497646494588928" TargetMode="External"/><Relationship Id="rId644" Type="http://schemas.openxmlformats.org/officeDocument/2006/relationships/hyperlink" Target="https://twitter.com/_sbr1" TargetMode="External"/><Relationship Id="rId643" Type="http://schemas.openxmlformats.org/officeDocument/2006/relationships/hyperlink" Target="https://pbs.twimg.com/profile_images/682757887261818880/Q5--Prn6_normal.jpg" TargetMode="External"/><Relationship Id="rId649" Type="http://schemas.openxmlformats.org/officeDocument/2006/relationships/hyperlink" Target="https://pbs.twimg.com/profile_images/526695509356838912/eSvsHAD7_normal.jpeg" TargetMode="External"/><Relationship Id="rId648" Type="http://schemas.openxmlformats.org/officeDocument/2006/relationships/hyperlink" Target="https://twitter.com/Sheffield_R_/status/701498307806420993" TargetMode="External"/><Relationship Id="rId647" Type="http://schemas.openxmlformats.org/officeDocument/2006/relationships/hyperlink" Target="https://twitter.com/Sheffield_R_" TargetMode="External"/><Relationship Id="rId1470" Type="http://schemas.openxmlformats.org/officeDocument/2006/relationships/hyperlink" Target="https://pbs.twimg.com/profile_images/560200880684007426/ajAK9oq1_normal.jpeg" TargetMode="External"/><Relationship Id="rId1471" Type="http://schemas.openxmlformats.org/officeDocument/2006/relationships/hyperlink" Target="https://twitter.com/MozillaScience" TargetMode="External"/><Relationship Id="rId1472" Type="http://schemas.openxmlformats.org/officeDocument/2006/relationships/hyperlink" Target="https://twitter.com/MozillaScience/status/701740166214504449" TargetMode="External"/><Relationship Id="rId642" Type="http://schemas.openxmlformats.org/officeDocument/2006/relationships/hyperlink" Target="https://twitter.com/kevlbass1024/status/701497196609454081" TargetMode="External"/><Relationship Id="rId1473" Type="http://schemas.openxmlformats.org/officeDocument/2006/relationships/hyperlink" Target="https://pbs.twimg.com/profile_images/687287790049034240/lwIk-ZQT_normal.png" TargetMode="External"/><Relationship Id="rId641" Type="http://schemas.openxmlformats.org/officeDocument/2006/relationships/hyperlink" Target="https://twitter.com/kevlbass1024" TargetMode="External"/><Relationship Id="rId1474" Type="http://schemas.openxmlformats.org/officeDocument/2006/relationships/hyperlink" Target="https://twitter.com/AxelBizel" TargetMode="External"/><Relationship Id="rId640" Type="http://schemas.openxmlformats.org/officeDocument/2006/relationships/hyperlink" Target="https://pbs.twimg.com/profile_images/424265489666162688/OSt8nLEe_normal.jpeg" TargetMode="External"/><Relationship Id="rId1475" Type="http://schemas.openxmlformats.org/officeDocument/2006/relationships/hyperlink" Target="https://twitter.com/AxelBizel/status/701740292437770241" TargetMode="External"/><Relationship Id="rId1476" Type="http://schemas.openxmlformats.org/officeDocument/2006/relationships/hyperlink" Target="https://pbs.twimg.com/profile_images/2801502782/6a573e91377a9bae502ad67b6607df97_normal.jpeg" TargetMode="External"/><Relationship Id="rId1466" Type="http://schemas.openxmlformats.org/officeDocument/2006/relationships/hyperlink" Target="https://twitter.com/RelearnML/status/701737444677320704" TargetMode="External"/><Relationship Id="rId2797" Type="http://schemas.openxmlformats.org/officeDocument/2006/relationships/hyperlink" Target="https://twitter.com/ucfagls" TargetMode="External"/><Relationship Id="rId1467" Type="http://schemas.openxmlformats.org/officeDocument/2006/relationships/hyperlink" Target="https://pbs.twimg.com/profile_images/669561390869385220/nA3IwO60_normal.png" TargetMode="External"/><Relationship Id="rId2798" Type="http://schemas.openxmlformats.org/officeDocument/2006/relationships/hyperlink" Target="https://twitter.com/ucfagls/status/702002501067808768" TargetMode="External"/><Relationship Id="rId1468" Type="http://schemas.openxmlformats.org/officeDocument/2006/relationships/hyperlink" Target="https://twitter.com/srchekroud" TargetMode="External"/><Relationship Id="rId2799" Type="http://schemas.openxmlformats.org/officeDocument/2006/relationships/hyperlink" Target="https://pbs.twimg.com/profile_images/564871970454401024/omH5A6W0_normal.png" TargetMode="External"/><Relationship Id="rId1469" Type="http://schemas.openxmlformats.org/officeDocument/2006/relationships/hyperlink" Target="https://twitter.com/srchekroud/status/701739510078504960" TargetMode="External"/><Relationship Id="rId635" Type="http://schemas.openxmlformats.org/officeDocument/2006/relationships/hyperlink" Target="https://twitter.com/2uanta" TargetMode="External"/><Relationship Id="rId634" Type="http://schemas.openxmlformats.org/officeDocument/2006/relationships/hyperlink" Target="https://pbs.twimg.com/profile_images/378800000765262630/02bbb541af9c46aab17e6357a8927557_normal.jpeg" TargetMode="External"/><Relationship Id="rId633" Type="http://schemas.openxmlformats.org/officeDocument/2006/relationships/hyperlink" Target="https://twitter.com/luca_bard/status/701496438572843008" TargetMode="External"/><Relationship Id="rId632" Type="http://schemas.openxmlformats.org/officeDocument/2006/relationships/hyperlink" Target="https://twitter.com/luca_bard" TargetMode="External"/><Relationship Id="rId639" Type="http://schemas.openxmlformats.org/officeDocument/2006/relationships/hyperlink" Target="https://twitter.com/AriLamstein/status/701496927750373380" TargetMode="External"/><Relationship Id="rId638" Type="http://schemas.openxmlformats.org/officeDocument/2006/relationships/hyperlink" Target="https://twitter.com/AriLamstein" TargetMode="External"/><Relationship Id="rId637" Type="http://schemas.openxmlformats.org/officeDocument/2006/relationships/hyperlink" Target="https://pbs.twimg.com/profile_images/1338971985/image_normal.jpg" TargetMode="External"/><Relationship Id="rId636" Type="http://schemas.openxmlformats.org/officeDocument/2006/relationships/hyperlink" Target="https://twitter.com/2uanta/status/701496491941224452" TargetMode="External"/><Relationship Id="rId2790" Type="http://schemas.openxmlformats.org/officeDocument/2006/relationships/hyperlink" Target="https://pbs.twimg.com/profile_images/457775762108448768/XmO2C1-E_normal.png" TargetMode="External"/><Relationship Id="rId1460" Type="http://schemas.openxmlformats.org/officeDocument/2006/relationships/hyperlink" Target="https://twitter.com/jeniferjones/status/701736894036627456" TargetMode="External"/><Relationship Id="rId2791" Type="http://schemas.openxmlformats.org/officeDocument/2006/relationships/hyperlink" Target="https://twitter.com/monkmanmh" TargetMode="External"/><Relationship Id="rId1461" Type="http://schemas.openxmlformats.org/officeDocument/2006/relationships/hyperlink" Target="https://pbs.twimg.com/profile_images/551824464003219458/gVZL97yA_normal.jpeg" TargetMode="External"/><Relationship Id="rId2792" Type="http://schemas.openxmlformats.org/officeDocument/2006/relationships/hyperlink" Target="https://twitter.com/monkmanmh/status/701998286601715712" TargetMode="External"/><Relationship Id="rId631" Type="http://schemas.openxmlformats.org/officeDocument/2006/relationships/hyperlink" Target="https://pbs.twimg.com/profile_images/657660862367440897/UFdg_0AR_normal.jpg" TargetMode="External"/><Relationship Id="rId1462" Type="http://schemas.openxmlformats.org/officeDocument/2006/relationships/hyperlink" Target="https://twitter.com/jeniferjones" TargetMode="External"/><Relationship Id="rId2793" Type="http://schemas.openxmlformats.org/officeDocument/2006/relationships/hyperlink" Target="https://pbs.twimg.com/profile_images/378800000326851690/31a53679fad3e2366222d213ad196573_normal.jpeg" TargetMode="External"/><Relationship Id="rId630" Type="http://schemas.openxmlformats.org/officeDocument/2006/relationships/hyperlink" Target="https://twitter.com/anthonytowry/status/701495656397975552" TargetMode="External"/><Relationship Id="rId1463" Type="http://schemas.openxmlformats.org/officeDocument/2006/relationships/hyperlink" Target="https://twitter.com/jeniferjones/status/701736933148508160" TargetMode="External"/><Relationship Id="rId2794" Type="http://schemas.openxmlformats.org/officeDocument/2006/relationships/hyperlink" Target="https://twitter.com/thomas_sandmann" TargetMode="External"/><Relationship Id="rId1464" Type="http://schemas.openxmlformats.org/officeDocument/2006/relationships/hyperlink" Target="https://pbs.twimg.com/profile_images/551824464003219458/gVZL97yA_normal.jpeg" TargetMode="External"/><Relationship Id="rId2795" Type="http://schemas.openxmlformats.org/officeDocument/2006/relationships/hyperlink" Target="https://twitter.com/thomas_sandmann/status/702002214600970240" TargetMode="External"/><Relationship Id="rId1465" Type="http://schemas.openxmlformats.org/officeDocument/2006/relationships/hyperlink" Target="https://twitter.com/RelearnML" TargetMode="External"/><Relationship Id="rId2796" Type="http://schemas.openxmlformats.org/officeDocument/2006/relationships/hyperlink" Target="https://pbs.twimg.com/profile_images/558072264554319872/u0cDkGE3_normal.jpeg" TargetMode="External"/><Relationship Id="rId1411" Type="http://schemas.openxmlformats.org/officeDocument/2006/relationships/hyperlink" Target="https://twitter.com/carlcarrie" TargetMode="External"/><Relationship Id="rId2742" Type="http://schemas.openxmlformats.org/officeDocument/2006/relationships/hyperlink" Target="https://pbs.twimg.com/profile_images/1858980277/icon2_normal.png" TargetMode="External"/><Relationship Id="rId1412" Type="http://schemas.openxmlformats.org/officeDocument/2006/relationships/hyperlink" Target="https://twitter.com/carlcarrie/status/701722529535303680" TargetMode="External"/><Relationship Id="rId2743" Type="http://schemas.openxmlformats.org/officeDocument/2006/relationships/hyperlink" Target="https://twitter.com/souravc83" TargetMode="External"/><Relationship Id="rId1413" Type="http://schemas.openxmlformats.org/officeDocument/2006/relationships/hyperlink" Target="https://pbs.twimg.com/profile_images/297743194/My_headshot_normal.png" TargetMode="External"/><Relationship Id="rId2744" Type="http://schemas.openxmlformats.org/officeDocument/2006/relationships/hyperlink" Target="https://twitter.com/souravc83/status/701984367279603712" TargetMode="External"/><Relationship Id="rId1414" Type="http://schemas.openxmlformats.org/officeDocument/2006/relationships/hyperlink" Target="https://twitter.com/svaidyar" TargetMode="External"/><Relationship Id="rId2745" Type="http://schemas.openxmlformats.org/officeDocument/2006/relationships/hyperlink" Target="https://pbs.twimg.com/profile_images/658511161034326016/RaFwgtT6_normal.jpg" TargetMode="External"/><Relationship Id="rId1415" Type="http://schemas.openxmlformats.org/officeDocument/2006/relationships/hyperlink" Target="https://twitter.com/svaidyar/status/701723472666370048" TargetMode="External"/><Relationship Id="rId2746" Type="http://schemas.openxmlformats.org/officeDocument/2006/relationships/hyperlink" Target="https://twitter.com/BigDataTweetBot" TargetMode="External"/><Relationship Id="rId1416" Type="http://schemas.openxmlformats.org/officeDocument/2006/relationships/hyperlink" Target="https://abs.twimg.com/sticky/default_profile_images/default_profile_0_normal.png" TargetMode="External"/><Relationship Id="rId2747" Type="http://schemas.openxmlformats.org/officeDocument/2006/relationships/hyperlink" Target="https://twitter.com/BigDataTweetBot/status/701985043795861504" TargetMode="External"/><Relationship Id="rId1417" Type="http://schemas.openxmlformats.org/officeDocument/2006/relationships/hyperlink" Target="https://twitter.com/earlconf" TargetMode="External"/><Relationship Id="rId2748" Type="http://schemas.openxmlformats.org/officeDocument/2006/relationships/hyperlink" Target="https://pbs.twimg.com/profile_images/616793252524650496/bQbxJqmz_normal.jpg" TargetMode="External"/><Relationship Id="rId1418" Type="http://schemas.openxmlformats.org/officeDocument/2006/relationships/hyperlink" Target="https://twitter.com/earlconf/status/701725440382214144" TargetMode="External"/><Relationship Id="rId2749" Type="http://schemas.openxmlformats.org/officeDocument/2006/relationships/hyperlink" Target="https://twitter.com/Pvalsfr" TargetMode="External"/><Relationship Id="rId1419" Type="http://schemas.openxmlformats.org/officeDocument/2006/relationships/hyperlink" Target="https://pbs.twimg.com/profile_images/432298122203512833/YDXfWlI__normal.png" TargetMode="External"/><Relationship Id="rId2740" Type="http://schemas.openxmlformats.org/officeDocument/2006/relationships/hyperlink" Target="https://twitter.com/coolbutuseless" TargetMode="External"/><Relationship Id="rId1410" Type="http://schemas.openxmlformats.org/officeDocument/2006/relationships/hyperlink" Target="https://pbs.twimg.com/profile_images/648812691180666880/GF-kXexI_normal.jpg" TargetMode="External"/><Relationship Id="rId2741" Type="http://schemas.openxmlformats.org/officeDocument/2006/relationships/hyperlink" Target="https://twitter.com/coolbutuseless/status/701984330315206662" TargetMode="External"/><Relationship Id="rId1400" Type="http://schemas.openxmlformats.org/officeDocument/2006/relationships/hyperlink" Target="https://twitter.com/PRstatistics/status/701719141196103680" TargetMode="External"/><Relationship Id="rId2731" Type="http://schemas.openxmlformats.org/officeDocument/2006/relationships/hyperlink" Target="https://twitter.com/nekrum/status/701982474897723392" TargetMode="External"/><Relationship Id="rId1401" Type="http://schemas.openxmlformats.org/officeDocument/2006/relationships/hyperlink" Target="https://pbs.twimg.com/profile_images/670980302014164998/_XLg65Np_normal.jpg" TargetMode="External"/><Relationship Id="rId2732" Type="http://schemas.openxmlformats.org/officeDocument/2006/relationships/hyperlink" Target="https://pbs.twimg.com/profile_images/119769350/logo-azul-blanco_normal.png" TargetMode="External"/><Relationship Id="rId1402" Type="http://schemas.openxmlformats.org/officeDocument/2006/relationships/hyperlink" Target="https://twitter.com/tomhouslay" TargetMode="External"/><Relationship Id="rId2733" Type="http://schemas.openxmlformats.org/officeDocument/2006/relationships/hyperlink" Target="https://twitter.com/wtibrentdubai" TargetMode="External"/><Relationship Id="rId1403" Type="http://schemas.openxmlformats.org/officeDocument/2006/relationships/hyperlink" Target="https://twitter.com/tomhouslay/status/701720399395090432" TargetMode="External"/><Relationship Id="rId2734" Type="http://schemas.openxmlformats.org/officeDocument/2006/relationships/hyperlink" Target="https://twitter.com/wtibrentdubai/status/701983275640758272" TargetMode="External"/><Relationship Id="rId1404" Type="http://schemas.openxmlformats.org/officeDocument/2006/relationships/hyperlink" Target="https://pbs.twimg.com/profile_images/701901513392717824/lUzJ39G2_normal.png" TargetMode="External"/><Relationship Id="rId2735" Type="http://schemas.openxmlformats.org/officeDocument/2006/relationships/hyperlink" Target="https://pbs.twimg.com/profile_images/670700991906381824/-0POuKFV_normal.jpg" TargetMode="External"/><Relationship Id="rId1405" Type="http://schemas.openxmlformats.org/officeDocument/2006/relationships/hyperlink" Target="https://twitter.com/tomhouslay" TargetMode="External"/><Relationship Id="rId2736" Type="http://schemas.openxmlformats.org/officeDocument/2006/relationships/hyperlink" Target="https://twitter.com/jletteboer" TargetMode="External"/><Relationship Id="rId1406" Type="http://schemas.openxmlformats.org/officeDocument/2006/relationships/hyperlink" Target="https://twitter.com/tomhouslay/status/701720451513454592" TargetMode="External"/><Relationship Id="rId2737" Type="http://schemas.openxmlformats.org/officeDocument/2006/relationships/hyperlink" Target="https://twitter.com/jletteboer/status/701983327536988160" TargetMode="External"/><Relationship Id="rId1407" Type="http://schemas.openxmlformats.org/officeDocument/2006/relationships/hyperlink" Target="https://pbs.twimg.com/profile_images/701901513392717824/lUzJ39G2_normal.png" TargetMode="External"/><Relationship Id="rId2738" Type="http://schemas.openxmlformats.org/officeDocument/2006/relationships/hyperlink" Target="http://Paper.li" TargetMode="External"/><Relationship Id="rId1408" Type="http://schemas.openxmlformats.org/officeDocument/2006/relationships/hyperlink" Target="https://twitter.com/Meg_Wilmore" TargetMode="External"/><Relationship Id="rId2739" Type="http://schemas.openxmlformats.org/officeDocument/2006/relationships/hyperlink" Target="https://pbs.twimg.com/profile_images/524199331365015552/O94t9yIe_normal.jpeg" TargetMode="External"/><Relationship Id="rId1409" Type="http://schemas.openxmlformats.org/officeDocument/2006/relationships/hyperlink" Target="https://twitter.com/Meg_Wilmore/status/701721003769131008" TargetMode="External"/><Relationship Id="rId2730" Type="http://schemas.openxmlformats.org/officeDocument/2006/relationships/hyperlink" Target="https://twitter.com/nekrum" TargetMode="External"/><Relationship Id="rId1433" Type="http://schemas.openxmlformats.org/officeDocument/2006/relationships/hyperlink" Target="https://twitter.com/SSCMeeting/status/701729241768005632" TargetMode="External"/><Relationship Id="rId2764" Type="http://schemas.openxmlformats.org/officeDocument/2006/relationships/hyperlink" Target="https://twitter.com/aneomatrix" TargetMode="External"/><Relationship Id="rId1434" Type="http://schemas.openxmlformats.org/officeDocument/2006/relationships/hyperlink" Target="https://pbs.twimg.com/profile_images/1623759747/SSC_normal.jpg" TargetMode="External"/><Relationship Id="rId2765" Type="http://schemas.openxmlformats.org/officeDocument/2006/relationships/hyperlink" Target="https://twitter.com/aneomatrix/status/701988960017346560" TargetMode="External"/><Relationship Id="rId1435" Type="http://schemas.openxmlformats.org/officeDocument/2006/relationships/hyperlink" Target="https://twitter.com/BestCourses_" TargetMode="External"/><Relationship Id="rId2766" Type="http://schemas.openxmlformats.org/officeDocument/2006/relationships/hyperlink" Target="https://pbs.twimg.com/profile_images/436371993756045312/GLPHgaoV_normal.png" TargetMode="External"/><Relationship Id="rId1436" Type="http://schemas.openxmlformats.org/officeDocument/2006/relationships/hyperlink" Target="https://twitter.com/BestCourses_/status/701731344288710656" TargetMode="External"/><Relationship Id="rId2767" Type="http://schemas.openxmlformats.org/officeDocument/2006/relationships/hyperlink" Target="https://twitter.com/albinocoffee" TargetMode="External"/><Relationship Id="rId1437" Type="http://schemas.openxmlformats.org/officeDocument/2006/relationships/hyperlink" Target="https://pbs.twimg.com/profile_images/655401968802861056/yuPEMhy3_normal.jpg" TargetMode="External"/><Relationship Id="rId2768" Type="http://schemas.openxmlformats.org/officeDocument/2006/relationships/hyperlink" Target="https://twitter.com/albinocoffee/status/701989188359487488" TargetMode="External"/><Relationship Id="rId1438" Type="http://schemas.openxmlformats.org/officeDocument/2006/relationships/hyperlink" Target="https://twitter.com/filipelenfers" TargetMode="External"/><Relationship Id="rId2769" Type="http://schemas.openxmlformats.org/officeDocument/2006/relationships/hyperlink" Target="https://pbs.twimg.com/profile_images/496705251294986240/4-grQY-j_normal.jpeg" TargetMode="External"/><Relationship Id="rId1439" Type="http://schemas.openxmlformats.org/officeDocument/2006/relationships/hyperlink" Target="https://twitter.com/filipelenfers/status/701733120186458112" TargetMode="External"/><Relationship Id="rId609" Type="http://schemas.openxmlformats.org/officeDocument/2006/relationships/hyperlink" Target="https://twitter.com/lrntto/status/701494124374003712" TargetMode="External"/><Relationship Id="rId608" Type="http://schemas.openxmlformats.org/officeDocument/2006/relationships/hyperlink" Target="https://twitter.com/lrntto" TargetMode="External"/><Relationship Id="rId607" Type="http://schemas.openxmlformats.org/officeDocument/2006/relationships/hyperlink" Target="https://pbs.twimg.com/profile_images/488747633368760320/-q9ovjCZ_normal.jpeg" TargetMode="External"/><Relationship Id="rId602" Type="http://schemas.openxmlformats.org/officeDocument/2006/relationships/hyperlink" Target="https://twitter.com/LamidoAA" TargetMode="External"/><Relationship Id="rId601" Type="http://schemas.openxmlformats.org/officeDocument/2006/relationships/hyperlink" Target="https://pbs.twimg.com/profile_images/598126722920361984/HdS1NWXJ_normal.png" TargetMode="External"/><Relationship Id="rId600" Type="http://schemas.openxmlformats.org/officeDocument/2006/relationships/hyperlink" Target="https://twitter.com/dataandme/status/701493224163164170" TargetMode="External"/><Relationship Id="rId606" Type="http://schemas.openxmlformats.org/officeDocument/2006/relationships/hyperlink" Target="https://twitter.com/AariqScott/status/701493581924737025" TargetMode="External"/><Relationship Id="rId605" Type="http://schemas.openxmlformats.org/officeDocument/2006/relationships/hyperlink" Target="https://twitter.com/AariqScott" TargetMode="External"/><Relationship Id="rId604" Type="http://schemas.openxmlformats.org/officeDocument/2006/relationships/hyperlink" Target="https://pbs.twimg.com/profile_images/1894034948/vj2T909a_normal" TargetMode="External"/><Relationship Id="rId603" Type="http://schemas.openxmlformats.org/officeDocument/2006/relationships/hyperlink" Target="https://twitter.com/LamidoAA/status/701493442564718592" TargetMode="External"/><Relationship Id="rId2760" Type="http://schemas.openxmlformats.org/officeDocument/2006/relationships/hyperlink" Target="https://pbs.twimg.com/profile_images/1289256833/49871_610945537_1407_n_normal.jpg" TargetMode="External"/><Relationship Id="rId1430" Type="http://schemas.openxmlformats.org/officeDocument/2006/relationships/hyperlink" Target="https://twitter.com/colgado_es/status/701728559384174592" TargetMode="External"/><Relationship Id="rId2761" Type="http://schemas.openxmlformats.org/officeDocument/2006/relationships/hyperlink" Target="https://twitter.com/joshjfink" TargetMode="External"/><Relationship Id="rId1431" Type="http://schemas.openxmlformats.org/officeDocument/2006/relationships/hyperlink" Target="https://pbs.twimg.com/profile_images/518139525558583296/Ck6g-QIg_normal.jpeg" TargetMode="External"/><Relationship Id="rId2762" Type="http://schemas.openxmlformats.org/officeDocument/2006/relationships/hyperlink" Target="https://twitter.com/joshjfink/status/701987437464186880" TargetMode="External"/><Relationship Id="rId1432" Type="http://schemas.openxmlformats.org/officeDocument/2006/relationships/hyperlink" Target="https://twitter.com/SSCMeeting" TargetMode="External"/><Relationship Id="rId2763" Type="http://schemas.openxmlformats.org/officeDocument/2006/relationships/hyperlink" Target="https://pbs.twimg.com/profile_images/692071858448011264/IWaYjbkb_normal.png" TargetMode="External"/><Relationship Id="rId1422" Type="http://schemas.openxmlformats.org/officeDocument/2006/relationships/hyperlink" Target="https://pbs.twimg.com/profile_images/432298122203512833/YDXfWlI__normal.png" TargetMode="External"/><Relationship Id="rId2753" Type="http://schemas.openxmlformats.org/officeDocument/2006/relationships/hyperlink" Target="https://twitter.com/NitinMdsu/status/701986020208676865" TargetMode="External"/><Relationship Id="rId1423" Type="http://schemas.openxmlformats.org/officeDocument/2006/relationships/hyperlink" Target="https://twitter.com/earlconf" TargetMode="External"/><Relationship Id="rId2754" Type="http://schemas.openxmlformats.org/officeDocument/2006/relationships/hyperlink" Target="https://pbs.twimg.com/profile_images/658682551184158720/nIwPQKQ3_normal.png" TargetMode="External"/><Relationship Id="rId1424" Type="http://schemas.openxmlformats.org/officeDocument/2006/relationships/hyperlink" Target="https://twitter.com/earlconf/status/701727388195880960" TargetMode="External"/><Relationship Id="rId2755" Type="http://schemas.openxmlformats.org/officeDocument/2006/relationships/hyperlink" Target="https://twitter.com/ErmiaBivatan" TargetMode="External"/><Relationship Id="rId1425" Type="http://schemas.openxmlformats.org/officeDocument/2006/relationships/hyperlink" Target="https://pbs.twimg.com/profile_images/432298122203512833/YDXfWlI__normal.png" TargetMode="External"/><Relationship Id="rId2756" Type="http://schemas.openxmlformats.org/officeDocument/2006/relationships/hyperlink" Target="https://twitter.com/ErmiaBivatan/status/701986526838833152" TargetMode="External"/><Relationship Id="rId1426" Type="http://schemas.openxmlformats.org/officeDocument/2006/relationships/hyperlink" Target="https://twitter.com/asanzdiego" TargetMode="External"/><Relationship Id="rId2757" Type="http://schemas.openxmlformats.org/officeDocument/2006/relationships/hyperlink" Target="https://pbs.twimg.com/profile_images/700219041131204608/DZKmHE4-_normal.jpg" TargetMode="External"/><Relationship Id="rId1427" Type="http://schemas.openxmlformats.org/officeDocument/2006/relationships/hyperlink" Target="https://twitter.com/asanzdiego/status/701728404119416832" TargetMode="External"/><Relationship Id="rId2758" Type="http://schemas.openxmlformats.org/officeDocument/2006/relationships/hyperlink" Target="https://twitter.com/spsarkar" TargetMode="External"/><Relationship Id="rId1428" Type="http://schemas.openxmlformats.org/officeDocument/2006/relationships/hyperlink" Target="https://pbs.twimg.com/profile_images/666289426021117954/ofCOjvYf_normal.jpg" TargetMode="External"/><Relationship Id="rId2759" Type="http://schemas.openxmlformats.org/officeDocument/2006/relationships/hyperlink" Target="https://twitter.com/spsarkar/status/701986987708964864" TargetMode="External"/><Relationship Id="rId1429" Type="http://schemas.openxmlformats.org/officeDocument/2006/relationships/hyperlink" Target="https://twitter.com/colgado_es" TargetMode="External"/><Relationship Id="rId2750" Type="http://schemas.openxmlformats.org/officeDocument/2006/relationships/hyperlink" Target="https://twitter.com/Pvalsfr/status/701985430112223232" TargetMode="External"/><Relationship Id="rId1420" Type="http://schemas.openxmlformats.org/officeDocument/2006/relationships/hyperlink" Target="https://twitter.com/earlconf" TargetMode="External"/><Relationship Id="rId2751" Type="http://schemas.openxmlformats.org/officeDocument/2006/relationships/hyperlink" Target="https://abs.twimg.com/sticky/default_profile_images/default_profile_4_normal.png" TargetMode="External"/><Relationship Id="rId1421" Type="http://schemas.openxmlformats.org/officeDocument/2006/relationships/hyperlink" Target="https://twitter.com/earlconf/status/701725483340324864" TargetMode="External"/><Relationship Id="rId2752" Type="http://schemas.openxmlformats.org/officeDocument/2006/relationships/hyperlink" Target="https://twitter.com/NitinMdsu" TargetMode="External"/><Relationship Id="rId8927" Type="http://schemas.openxmlformats.org/officeDocument/2006/relationships/hyperlink" Target="https://pbs.twimg.com/profile_images/702192820015202306/FO7LL3hU_normal.jpg" TargetMode="External"/><Relationship Id="rId8926" Type="http://schemas.openxmlformats.org/officeDocument/2006/relationships/hyperlink" Target="https://twitter.com/JohanDH2O/status/703236582631985152" TargetMode="External"/><Relationship Id="rId8925" Type="http://schemas.openxmlformats.org/officeDocument/2006/relationships/hyperlink" Target="https://twitter.com/JohanDH2O" TargetMode="External"/><Relationship Id="rId8924" Type="http://schemas.openxmlformats.org/officeDocument/2006/relationships/hyperlink" Target="https://pbs.twimg.com/profile_images/452916682550308864/BrzrjV5i_normal.jpeg" TargetMode="External"/><Relationship Id="rId8929" Type="http://schemas.openxmlformats.org/officeDocument/2006/relationships/hyperlink" Target="https://twitter.com/JohanDH2O/status/703236615892803584" TargetMode="External"/><Relationship Id="rId8928" Type="http://schemas.openxmlformats.org/officeDocument/2006/relationships/hyperlink" Target="https://twitter.com/JohanDH2O" TargetMode="External"/><Relationship Id="rId8923" Type="http://schemas.openxmlformats.org/officeDocument/2006/relationships/hyperlink" Target="https://twitter.com/winston_chang/status/703236431330738176" TargetMode="External"/><Relationship Id="rId8922" Type="http://schemas.openxmlformats.org/officeDocument/2006/relationships/hyperlink" Target="https://twitter.com/winston_chang" TargetMode="External"/><Relationship Id="rId8921" Type="http://schemas.openxmlformats.org/officeDocument/2006/relationships/hyperlink" Target="https://pbs.twimg.com/profile_images/702192820015202306/FO7LL3hU_normal.jpg" TargetMode="External"/><Relationship Id="rId8920" Type="http://schemas.openxmlformats.org/officeDocument/2006/relationships/hyperlink" Target="https://twitter.com/JohanDH2O/status/703236397570904064" TargetMode="External"/><Relationship Id="rId8916" Type="http://schemas.openxmlformats.org/officeDocument/2006/relationships/hyperlink" Target="https://twitter.com/gpavolini" TargetMode="External"/><Relationship Id="rId8915" Type="http://schemas.openxmlformats.org/officeDocument/2006/relationships/hyperlink" Target="https://pbs.twimg.com/profile_images/412126192150401024/BGjaQNXk_normal.jpeg" TargetMode="External"/><Relationship Id="rId8914" Type="http://schemas.openxmlformats.org/officeDocument/2006/relationships/hyperlink" Target="https://twitter.com/ayirpelle/status/703236090665111552" TargetMode="External"/><Relationship Id="rId8913" Type="http://schemas.openxmlformats.org/officeDocument/2006/relationships/hyperlink" Target="https://twitter.com/ayirpelle" TargetMode="External"/><Relationship Id="rId8919" Type="http://schemas.openxmlformats.org/officeDocument/2006/relationships/hyperlink" Target="https://twitter.com/JohanDH2O" TargetMode="External"/><Relationship Id="rId8918" Type="http://schemas.openxmlformats.org/officeDocument/2006/relationships/hyperlink" Target="https://pbs.twimg.com/profile_images/567031757854502913/N0cjg-M-_normal.jpeg" TargetMode="External"/><Relationship Id="rId8917" Type="http://schemas.openxmlformats.org/officeDocument/2006/relationships/hyperlink" Target="https://twitter.com/gpavolini/status/703236396539125760" TargetMode="External"/><Relationship Id="rId699" Type="http://schemas.openxmlformats.org/officeDocument/2006/relationships/hyperlink" Target="https://twitter.com/Rbloggers/status/701506721978519552" TargetMode="External"/><Relationship Id="rId698" Type="http://schemas.openxmlformats.org/officeDocument/2006/relationships/hyperlink" Target="https://twitter.com/Rbloggers" TargetMode="External"/><Relationship Id="rId693" Type="http://schemas.openxmlformats.org/officeDocument/2006/relationships/hyperlink" Target="https://twitter.com/microBrewData/status/701505358578196481" TargetMode="External"/><Relationship Id="rId692" Type="http://schemas.openxmlformats.org/officeDocument/2006/relationships/hyperlink" Target="https://twitter.com/microBrewData" TargetMode="External"/><Relationship Id="rId691" Type="http://schemas.openxmlformats.org/officeDocument/2006/relationships/hyperlink" Target="https://pbs.twimg.com/profile_images/547668263652433920/NEGXTDog_normal.png" TargetMode="External"/><Relationship Id="rId690" Type="http://schemas.openxmlformats.org/officeDocument/2006/relationships/hyperlink" Target="https://twitter.com/sthda_en/status/701504971775340545" TargetMode="External"/><Relationship Id="rId697" Type="http://schemas.openxmlformats.org/officeDocument/2006/relationships/hyperlink" Target="https://pbs.twimg.com/profile_images/458404468350918656/KZ5PmoVY_normal.jpeg" TargetMode="External"/><Relationship Id="rId8912" Type="http://schemas.openxmlformats.org/officeDocument/2006/relationships/hyperlink" Target="https://pbs.twimg.com/profile_images/624030560457850880/17LrFnZt_normal.png" TargetMode="External"/><Relationship Id="rId696" Type="http://schemas.openxmlformats.org/officeDocument/2006/relationships/hyperlink" Target="https://twitter.com/julian_hong/status/701506628852428800" TargetMode="External"/><Relationship Id="rId8911" Type="http://schemas.openxmlformats.org/officeDocument/2006/relationships/hyperlink" Target="https://twitter.com/ContinuumIO/status/703235855775739904" TargetMode="External"/><Relationship Id="rId695" Type="http://schemas.openxmlformats.org/officeDocument/2006/relationships/hyperlink" Target="https://twitter.com/julian_hong" TargetMode="External"/><Relationship Id="rId8910" Type="http://schemas.openxmlformats.org/officeDocument/2006/relationships/hyperlink" Target="https://twitter.com/ContinuumIO" TargetMode="External"/><Relationship Id="rId694" Type="http://schemas.openxmlformats.org/officeDocument/2006/relationships/hyperlink" Target="https://pbs.twimg.com/profile_images/676117427927703552/dTZAl5TR_normal.jpg" TargetMode="External"/><Relationship Id="rId7618" Type="http://schemas.openxmlformats.org/officeDocument/2006/relationships/hyperlink" Target="https://twitter.com/EnrikeLopez" TargetMode="External"/><Relationship Id="rId8949" Type="http://schemas.openxmlformats.org/officeDocument/2006/relationships/hyperlink" Target="https://twitter.com/eFe_Gil" TargetMode="External"/><Relationship Id="rId7617" Type="http://schemas.openxmlformats.org/officeDocument/2006/relationships/hyperlink" Target="https://pbs.twimg.com/profile_images/474249917565636608/XjM9GUjo_normal.jpeg" TargetMode="External"/><Relationship Id="rId8948" Type="http://schemas.openxmlformats.org/officeDocument/2006/relationships/hyperlink" Target="https://pbs.twimg.com/profile_images/702192820015202306/FO7LL3hU_normal.jpg" TargetMode="External"/><Relationship Id="rId7616" Type="http://schemas.openxmlformats.org/officeDocument/2006/relationships/hyperlink" Target="https://twitter.com/EnrikeLopez/status/702989856348176384" TargetMode="External"/><Relationship Id="rId8947" Type="http://schemas.openxmlformats.org/officeDocument/2006/relationships/hyperlink" Target="https://twitter.com/JohanDH2O/status/703237617123516418" TargetMode="External"/><Relationship Id="rId7615" Type="http://schemas.openxmlformats.org/officeDocument/2006/relationships/hyperlink" Target="https://twitter.com/EnrikeLopez" TargetMode="External"/><Relationship Id="rId8946" Type="http://schemas.openxmlformats.org/officeDocument/2006/relationships/hyperlink" Target="https://twitter.com/JohanDH2O" TargetMode="External"/><Relationship Id="rId7619" Type="http://schemas.openxmlformats.org/officeDocument/2006/relationships/hyperlink" Target="https://twitter.com/EnrikeLopez/status/702989880855543808" TargetMode="External"/><Relationship Id="rId7610" Type="http://schemas.openxmlformats.org/officeDocument/2006/relationships/hyperlink" Target="https://twitter.com/EnrikeLopez/status/702989824412819456" TargetMode="External"/><Relationship Id="rId8941" Type="http://schemas.openxmlformats.org/officeDocument/2006/relationships/hyperlink" Target="https://twitter.com/jnricaldi/status/703237150565859329" TargetMode="External"/><Relationship Id="rId8940" Type="http://schemas.openxmlformats.org/officeDocument/2006/relationships/hyperlink" Target="https://twitter.com/jnricaldi" TargetMode="External"/><Relationship Id="rId7614" Type="http://schemas.openxmlformats.org/officeDocument/2006/relationships/hyperlink" Target="https://pbs.twimg.com/profile_images/474249917565636608/XjM9GUjo_normal.jpeg" TargetMode="External"/><Relationship Id="rId8945" Type="http://schemas.openxmlformats.org/officeDocument/2006/relationships/hyperlink" Target="https://pbs.twimg.com/profile_images/670315479517413376/Kkf5JA8s_normal.png" TargetMode="External"/><Relationship Id="rId7613" Type="http://schemas.openxmlformats.org/officeDocument/2006/relationships/hyperlink" Target="https://twitter.com/EnrikeLopez/status/702989841248722944" TargetMode="External"/><Relationship Id="rId8944" Type="http://schemas.openxmlformats.org/officeDocument/2006/relationships/hyperlink" Target="https://twitter.com/skilloak/status/703237342656536577" TargetMode="External"/><Relationship Id="rId7612" Type="http://schemas.openxmlformats.org/officeDocument/2006/relationships/hyperlink" Target="https://twitter.com/EnrikeLopez" TargetMode="External"/><Relationship Id="rId8943" Type="http://schemas.openxmlformats.org/officeDocument/2006/relationships/hyperlink" Target="https://twitter.com/skilloak" TargetMode="External"/><Relationship Id="rId7611" Type="http://schemas.openxmlformats.org/officeDocument/2006/relationships/hyperlink" Target="https://pbs.twimg.com/profile_images/474249917565636608/XjM9GUjo_normal.jpeg" TargetMode="External"/><Relationship Id="rId8942" Type="http://schemas.openxmlformats.org/officeDocument/2006/relationships/hyperlink" Target="https://pbs.twimg.com/profile_images/499604998804623361/SeflMNAI_normal.jpeg" TargetMode="External"/><Relationship Id="rId7607" Type="http://schemas.openxmlformats.org/officeDocument/2006/relationships/hyperlink" Target="https://twitter.com/JMBenavente/status/702989705458098176" TargetMode="External"/><Relationship Id="rId8938" Type="http://schemas.openxmlformats.org/officeDocument/2006/relationships/hyperlink" Target="https://twitter.com/DataAndDataViz/status/703236971515256833" TargetMode="External"/><Relationship Id="rId7606" Type="http://schemas.openxmlformats.org/officeDocument/2006/relationships/hyperlink" Target="https://twitter.com/JMBenavente" TargetMode="External"/><Relationship Id="rId8937" Type="http://schemas.openxmlformats.org/officeDocument/2006/relationships/hyperlink" Target="https://twitter.com/DataAndDataViz" TargetMode="External"/><Relationship Id="rId7605" Type="http://schemas.openxmlformats.org/officeDocument/2006/relationships/hyperlink" Target="https://pbs.twimg.com/profile_images/474249917565636608/XjM9GUjo_normal.jpeg" TargetMode="External"/><Relationship Id="rId8936" Type="http://schemas.openxmlformats.org/officeDocument/2006/relationships/hyperlink" Target="https://pbs.twimg.com/profile_images/696065224101728256/rWXmSpUS_normal.jpg" TargetMode="External"/><Relationship Id="rId7604" Type="http://schemas.openxmlformats.org/officeDocument/2006/relationships/hyperlink" Target="https://twitter.com/EnrikeLopez/status/702989544543678464" TargetMode="External"/><Relationship Id="rId8935" Type="http://schemas.openxmlformats.org/officeDocument/2006/relationships/hyperlink" Target="https://twitter.com/rmn0001/status/703236808595914752" TargetMode="External"/><Relationship Id="rId7609" Type="http://schemas.openxmlformats.org/officeDocument/2006/relationships/hyperlink" Target="https://twitter.com/EnrikeLopez" TargetMode="External"/><Relationship Id="rId7608" Type="http://schemas.openxmlformats.org/officeDocument/2006/relationships/hyperlink" Target="https://pbs.twimg.com/profile_images/378800000159826392/058e1297acc9127d1d4590fef5d9ed87_normal.jpeg" TargetMode="External"/><Relationship Id="rId8939" Type="http://schemas.openxmlformats.org/officeDocument/2006/relationships/hyperlink" Target="https://pbs.twimg.com/profile_images/412249095110008832/J_K4--iQ_normal.png" TargetMode="External"/><Relationship Id="rId8930" Type="http://schemas.openxmlformats.org/officeDocument/2006/relationships/hyperlink" Target="https://pbs.twimg.com/profile_images/702192820015202306/FO7LL3hU_normal.jpg" TargetMode="External"/><Relationship Id="rId7603" Type="http://schemas.openxmlformats.org/officeDocument/2006/relationships/hyperlink" Target="https://twitter.com/EnrikeLopez" TargetMode="External"/><Relationship Id="rId8934" Type="http://schemas.openxmlformats.org/officeDocument/2006/relationships/hyperlink" Target="https://twitter.com/rmn0001" TargetMode="External"/><Relationship Id="rId7602" Type="http://schemas.openxmlformats.org/officeDocument/2006/relationships/hyperlink" Target="https://pbs.twimg.com/profile_images/3212894266/18133d38ffd7c042588b27ea15b3cd16_normal.jpeg" TargetMode="External"/><Relationship Id="rId8933" Type="http://schemas.openxmlformats.org/officeDocument/2006/relationships/hyperlink" Target="https://pbs.twimg.com/profile_images/412126192150401024/BGjaQNXk_normal.jpeg" TargetMode="External"/><Relationship Id="rId7601" Type="http://schemas.openxmlformats.org/officeDocument/2006/relationships/hyperlink" Target="https://twitter.com/antbarros/status/702989524704600064" TargetMode="External"/><Relationship Id="rId8932" Type="http://schemas.openxmlformats.org/officeDocument/2006/relationships/hyperlink" Target="https://twitter.com/ayirpelle/status/703236740295725056" TargetMode="External"/><Relationship Id="rId7600" Type="http://schemas.openxmlformats.org/officeDocument/2006/relationships/hyperlink" Target="https://twitter.com/antbarros" TargetMode="External"/><Relationship Id="rId8931" Type="http://schemas.openxmlformats.org/officeDocument/2006/relationships/hyperlink" Target="https://twitter.com/ayirpelle" TargetMode="External"/><Relationship Id="rId1499" Type="http://schemas.openxmlformats.org/officeDocument/2006/relationships/hyperlink" Target="https://twitter.com/timelyportfolio/status/701747872560189441" TargetMode="External"/><Relationship Id="rId668" Type="http://schemas.openxmlformats.org/officeDocument/2006/relationships/hyperlink" Target="https://twitter.com/stat_sam" TargetMode="External"/><Relationship Id="rId667" Type="http://schemas.openxmlformats.org/officeDocument/2006/relationships/hyperlink" Target="https://pbs.twimg.com/profile_images/1222779560/cran1_normal.jpg" TargetMode="External"/><Relationship Id="rId666" Type="http://schemas.openxmlformats.org/officeDocument/2006/relationships/hyperlink" Target="https://twitter.com/CRANberriesFeed/status/701500033380782084" TargetMode="External"/><Relationship Id="rId665" Type="http://schemas.openxmlformats.org/officeDocument/2006/relationships/hyperlink" Target="https://twitter.com/CRANberriesFeed" TargetMode="External"/><Relationship Id="rId669" Type="http://schemas.openxmlformats.org/officeDocument/2006/relationships/hyperlink" Target="https://twitter.com/stat_sam/status/701500062929657856" TargetMode="External"/><Relationship Id="rId1490" Type="http://schemas.openxmlformats.org/officeDocument/2006/relationships/hyperlink" Target="https://twitter.com/diegovalle/status/701746225356238848" TargetMode="External"/><Relationship Id="rId660" Type="http://schemas.openxmlformats.org/officeDocument/2006/relationships/hyperlink" Target="https://twitter.com/lucselzer/status/701499051573977088" TargetMode="External"/><Relationship Id="rId1491" Type="http://schemas.openxmlformats.org/officeDocument/2006/relationships/hyperlink" Target="https://pbs.twimg.com/profile_images/2589309770/9nslz60vob1qkif8s43v_normal.png" TargetMode="External"/><Relationship Id="rId1492" Type="http://schemas.openxmlformats.org/officeDocument/2006/relationships/hyperlink" Target="https://twitter.com/sfrechette" TargetMode="External"/><Relationship Id="rId1493" Type="http://schemas.openxmlformats.org/officeDocument/2006/relationships/hyperlink" Target="https://twitter.com/sfrechette/status/701746904540045312" TargetMode="External"/><Relationship Id="rId1494" Type="http://schemas.openxmlformats.org/officeDocument/2006/relationships/hyperlink" Target="https://pbs.twimg.com/profile_images/662342111799304192/Xtv8MZ-P_normal.jpg" TargetMode="External"/><Relationship Id="rId664" Type="http://schemas.openxmlformats.org/officeDocument/2006/relationships/hyperlink" Target="https://pbs.twimg.com/profile_images/572437618894200832/nRZGi2bN_normal.png" TargetMode="External"/><Relationship Id="rId1495" Type="http://schemas.openxmlformats.org/officeDocument/2006/relationships/hyperlink" Target="https://twitter.com/abxda" TargetMode="External"/><Relationship Id="rId663" Type="http://schemas.openxmlformats.org/officeDocument/2006/relationships/hyperlink" Target="https://twitter.com/CMU_Stats/status/701499985267920897" TargetMode="External"/><Relationship Id="rId1496" Type="http://schemas.openxmlformats.org/officeDocument/2006/relationships/hyperlink" Target="https://twitter.com/abxda/status/701747115744100352" TargetMode="External"/><Relationship Id="rId662" Type="http://schemas.openxmlformats.org/officeDocument/2006/relationships/hyperlink" Target="https://twitter.com/CMU_Stats" TargetMode="External"/><Relationship Id="rId1497" Type="http://schemas.openxmlformats.org/officeDocument/2006/relationships/hyperlink" Target="https://pbs.twimg.com/profile_images/378800000488736368/a4c75a45213cf38e228f9c7be9ae6cfd_normal.jpeg" TargetMode="External"/><Relationship Id="rId661" Type="http://schemas.openxmlformats.org/officeDocument/2006/relationships/hyperlink" Target="https://pbs.twimg.com/profile_images/700988765318283264/LoBqG5Dw_normal.jpg" TargetMode="External"/><Relationship Id="rId1498" Type="http://schemas.openxmlformats.org/officeDocument/2006/relationships/hyperlink" Target="https://twitter.com/timelyportfolio" TargetMode="External"/><Relationship Id="rId1488" Type="http://schemas.openxmlformats.org/officeDocument/2006/relationships/hyperlink" Target="https://pbs.twimg.com/profile_images/1222779560/cran1_normal.jpg" TargetMode="External"/><Relationship Id="rId1489" Type="http://schemas.openxmlformats.org/officeDocument/2006/relationships/hyperlink" Target="https://twitter.com/diegovalle" TargetMode="External"/><Relationship Id="rId657" Type="http://schemas.openxmlformats.org/officeDocument/2006/relationships/hyperlink" Target="https://twitter.com/Aousabdo/status/701498952873598976" TargetMode="External"/><Relationship Id="rId656" Type="http://schemas.openxmlformats.org/officeDocument/2006/relationships/hyperlink" Target="https://twitter.com/Aousabdo" TargetMode="External"/><Relationship Id="rId655" Type="http://schemas.openxmlformats.org/officeDocument/2006/relationships/hyperlink" Target="https://pbs.twimg.com/profile_images/570350600382971904/ZW_6-BYj_normal.jpeg" TargetMode="External"/><Relationship Id="rId654" Type="http://schemas.openxmlformats.org/officeDocument/2006/relationships/hyperlink" Target="https://twitter.com/estadisticaUMH/status/701498882174402560" TargetMode="External"/><Relationship Id="rId659" Type="http://schemas.openxmlformats.org/officeDocument/2006/relationships/hyperlink" Target="https://twitter.com/lucselzer" TargetMode="External"/><Relationship Id="rId658" Type="http://schemas.openxmlformats.org/officeDocument/2006/relationships/hyperlink" Target="https://pbs.twimg.com/profile_images/593466244562554880/V9WEt7Hk_normal.jpg" TargetMode="External"/><Relationship Id="rId1480" Type="http://schemas.openxmlformats.org/officeDocument/2006/relationships/hyperlink" Target="https://twitter.com/mmeierer" TargetMode="External"/><Relationship Id="rId1481" Type="http://schemas.openxmlformats.org/officeDocument/2006/relationships/hyperlink" Target="https://twitter.com/mmeierer/status/701740885894107136" TargetMode="External"/><Relationship Id="rId1482" Type="http://schemas.openxmlformats.org/officeDocument/2006/relationships/hyperlink" Target="https://pbs.twimg.com/profile_images/378800000064431810/49d16d6ec2271b0cf7db5d8897ca8b37_normal.jpeg" TargetMode="External"/><Relationship Id="rId1483" Type="http://schemas.openxmlformats.org/officeDocument/2006/relationships/hyperlink" Target="https://twitter.com/opendatadurban" TargetMode="External"/><Relationship Id="rId653" Type="http://schemas.openxmlformats.org/officeDocument/2006/relationships/hyperlink" Target="https://twitter.com/estadisticaUMH" TargetMode="External"/><Relationship Id="rId1484" Type="http://schemas.openxmlformats.org/officeDocument/2006/relationships/hyperlink" Target="https://twitter.com/opendatadurban/status/701741525697482752" TargetMode="External"/><Relationship Id="rId652" Type="http://schemas.openxmlformats.org/officeDocument/2006/relationships/hyperlink" Target="https://pbs.twimg.com/profile_images/681034665923317761/G4LHHc1n_normal.jpg" TargetMode="External"/><Relationship Id="rId1485" Type="http://schemas.openxmlformats.org/officeDocument/2006/relationships/hyperlink" Target="https://pbs.twimg.com/profile_images/691921909458542596/E9NJwlHf_normal.png" TargetMode="External"/><Relationship Id="rId651" Type="http://schemas.openxmlformats.org/officeDocument/2006/relationships/hyperlink" Target="https://twitter.com/big_data_flow/status/701498590963900416" TargetMode="External"/><Relationship Id="rId1486" Type="http://schemas.openxmlformats.org/officeDocument/2006/relationships/hyperlink" Target="https://twitter.com/CRANberriesFeed" TargetMode="External"/><Relationship Id="rId650" Type="http://schemas.openxmlformats.org/officeDocument/2006/relationships/hyperlink" Target="https://twitter.com/big_data_flow" TargetMode="External"/><Relationship Id="rId1487" Type="http://schemas.openxmlformats.org/officeDocument/2006/relationships/hyperlink" Target="https://twitter.com/CRANberriesFeed/status/701741647193837569" TargetMode="External"/><Relationship Id="rId8905" Type="http://schemas.openxmlformats.org/officeDocument/2006/relationships/hyperlink" Target="https://twitter.com/JohanDH2O/status/703235621926600704" TargetMode="External"/><Relationship Id="rId8904" Type="http://schemas.openxmlformats.org/officeDocument/2006/relationships/hyperlink" Target="https://twitter.com/JohanDH2O" TargetMode="External"/><Relationship Id="rId8903" Type="http://schemas.openxmlformats.org/officeDocument/2006/relationships/hyperlink" Target="https://pbs.twimg.com/profile_images/695620608231497728/wCFZOMYh_normal.jpg" TargetMode="External"/><Relationship Id="rId8902" Type="http://schemas.openxmlformats.org/officeDocument/2006/relationships/hyperlink" Target="https://twitter.com/Luca_Parlamento/status/703235489885659137" TargetMode="External"/><Relationship Id="rId8909" Type="http://schemas.openxmlformats.org/officeDocument/2006/relationships/hyperlink" Target="https://pbs.twimg.com/profile_images/701553083537604608/nr8b38eG_normal.jpg" TargetMode="External"/><Relationship Id="rId8908" Type="http://schemas.openxmlformats.org/officeDocument/2006/relationships/hyperlink" Target="https://twitter.com/renato_umeton/status/703235778420281344" TargetMode="External"/><Relationship Id="rId8907" Type="http://schemas.openxmlformats.org/officeDocument/2006/relationships/hyperlink" Target="https://twitter.com/renato_umeton" TargetMode="External"/><Relationship Id="rId8906" Type="http://schemas.openxmlformats.org/officeDocument/2006/relationships/hyperlink" Target="https://pbs.twimg.com/profile_images/702192820015202306/FO7LL3hU_normal.jpg" TargetMode="External"/><Relationship Id="rId689" Type="http://schemas.openxmlformats.org/officeDocument/2006/relationships/hyperlink" Target="https://twitter.com/sthda_en" TargetMode="External"/><Relationship Id="rId688" Type="http://schemas.openxmlformats.org/officeDocument/2006/relationships/hyperlink" Target="https://pbs.twimg.com/profile_images/686361651730223104/sxB0jUTq_normal.jpg" TargetMode="External"/><Relationship Id="rId687" Type="http://schemas.openxmlformats.org/officeDocument/2006/relationships/hyperlink" Target="https://twitter.com/BioMickWatson/status/701504262174601217" TargetMode="External"/><Relationship Id="rId682" Type="http://schemas.openxmlformats.org/officeDocument/2006/relationships/hyperlink" Target="https://pbs.twimg.com/profile_images/674172690849120256/_s6p8Xra_normal.jpg" TargetMode="External"/><Relationship Id="rId681" Type="http://schemas.openxmlformats.org/officeDocument/2006/relationships/hyperlink" Target="https://twitter.com/CmRoycostilla/status/701501868279668736" TargetMode="External"/><Relationship Id="rId680" Type="http://schemas.openxmlformats.org/officeDocument/2006/relationships/hyperlink" Target="https://twitter.com/CmRoycostilla" TargetMode="External"/><Relationship Id="rId686" Type="http://schemas.openxmlformats.org/officeDocument/2006/relationships/hyperlink" Target="https://twitter.com/BioMickWatson" TargetMode="External"/><Relationship Id="rId8901" Type="http://schemas.openxmlformats.org/officeDocument/2006/relationships/hyperlink" Target="https://twitter.com/Luca_Parlamento" TargetMode="External"/><Relationship Id="rId685" Type="http://schemas.openxmlformats.org/officeDocument/2006/relationships/hyperlink" Target="https://pbs.twimg.com/profile_images/603435663619432448/TKHLDDI3_normal.jpg" TargetMode="External"/><Relationship Id="rId8900" Type="http://schemas.openxmlformats.org/officeDocument/2006/relationships/hyperlink" Target="https://pbs.twimg.com/profile_images/567031757854502913/N0cjg-M-_normal.jpeg" TargetMode="External"/><Relationship Id="rId684" Type="http://schemas.openxmlformats.org/officeDocument/2006/relationships/hyperlink" Target="https://twitter.com/GueyeNono/status/701502990004461569" TargetMode="External"/><Relationship Id="rId683" Type="http://schemas.openxmlformats.org/officeDocument/2006/relationships/hyperlink" Target="https://twitter.com/GueyeNono" TargetMode="External"/><Relationship Id="rId679" Type="http://schemas.openxmlformats.org/officeDocument/2006/relationships/hyperlink" Target="https://pbs.twimg.com/profile_images/462694522212741120/MNwdvnsk_normal.jpeg" TargetMode="External"/><Relationship Id="rId678" Type="http://schemas.openxmlformats.org/officeDocument/2006/relationships/hyperlink" Target="https://twitter.com/leojdranoel/status/701501010863333377" TargetMode="External"/><Relationship Id="rId677" Type="http://schemas.openxmlformats.org/officeDocument/2006/relationships/hyperlink" Target="https://twitter.com/leojdranoel" TargetMode="External"/><Relationship Id="rId676" Type="http://schemas.openxmlformats.org/officeDocument/2006/relationships/hyperlink" Target="https://pbs.twimg.com/profile_images/1222779560/cran1_normal.jpg" TargetMode="External"/><Relationship Id="rId671" Type="http://schemas.openxmlformats.org/officeDocument/2006/relationships/hyperlink" Target="https://twitter.com/CRANberriesFeed" TargetMode="External"/><Relationship Id="rId670" Type="http://schemas.openxmlformats.org/officeDocument/2006/relationships/hyperlink" Target="https://pbs.twimg.com/profile_images/1221203036/myname_normal.jpg" TargetMode="External"/><Relationship Id="rId675" Type="http://schemas.openxmlformats.org/officeDocument/2006/relationships/hyperlink" Target="https://twitter.com/CRANberriesFeed/status/701500145716826112" TargetMode="External"/><Relationship Id="rId674" Type="http://schemas.openxmlformats.org/officeDocument/2006/relationships/hyperlink" Target="https://twitter.com/CRANberriesFeed" TargetMode="External"/><Relationship Id="rId673" Type="http://schemas.openxmlformats.org/officeDocument/2006/relationships/hyperlink" Target="https://pbs.twimg.com/profile_images/1222779560/cran1_normal.jpg" TargetMode="External"/><Relationship Id="rId672" Type="http://schemas.openxmlformats.org/officeDocument/2006/relationships/hyperlink" Target="https://twitter.com/CRANberriesFeed/status/701500121792516096" TargetMode="External"/><Relationship Id="rId5019" Type="http://schemas.openxmlformats.org/officeDocument/2006/relationships/hyperlink" Target="https://twitter.com/ph1v3r/status/702521995808923648" TargetMode="External"/><Relationship Id="rId6340" Type="http://schemas.openxmlformats.org/officeDocument/2006/relationships/hyperlink" Target="https://twitter.com/polesasunder" TargetMode="External"/><Relationship Id="rId7672" Type="http://schemas.openxmlformats.org/officeDocument/2006/relationships/hyperlink" Target="https://twitter.com/jenstirrup" TargetMode="External"/><Relationship Id="rId5010" Type="http://schemas.openxmlformats.org/officeDocument/2006/relationships/hyperlink" Target="https://twitter.com/edwindjonge/status/702520292602716160" TargetMode="External"/><Relationship Id="rId6341" Type="http://schemas.openxmlformats.org/officeDocument/2006/relationships/hyperlink" Target="https://twitter.com/polesasunder/status/702757994270838786" TargetMode="External"/><Relationship Id="rId7671" Type="http://schemas.openxmlformats.org/officeDocument/2006/relationships/hyperlink" Target="https://pbs.twimg.com/profile_images/626343671152136192/lJFEe0cX_normal.jpg" TargetMode="External"/><Relationship Id="rId7670" Type="http://schemas.openxmlformats.org/officeDocument/2006/relationships/hyperlink" Target="https://twitter.com/alexander_lex/status/702999005093957632" TargetMode="External"/><Relationship Id="rId5013" Type="http://schemas.openxmlformats.org/officeDocument/2006/relationships/hyperlink" Target="https://twitter.com/kyle_e_walker/status/702520417584488450" TargetMode="External"/><Relationship Id="rId6344" Type="http://schemas.openxmlformats.org/officeDocument/2006/relationships/hyperlink" Target="https://twitter.com/MrLinearAlgebra/status/702758302464282624" TargetMode="External"/><Relationship Id="rId7676" Type="http://schemas.openxmlformats.org/officeDocument/2006/relationships/hyperlink" Target="https://twitter.com/Sergmis/status/703001606388723713" TargetMode="External"/><Relationship Id="rId5014" Type="http://schemas.openxmlformats.org/officeDocument/2006/relationships/hyperlink" Target="https://pbs.twimg.com/profile_images/535539844479332354/CA9doTjY_normal.jpeg" TargetMode="External"/><Relationship Id="rId6345" Type="http://schemas.openxmlformats.org/officeDocument/2006/relationships/hyperlink" Target="https://pbs.twimg.com/profile_images/660145982345187329/qTMLkv-v_normal.png" TargetMode="External"/><Relationship Id="rId7675" Type="http://schemas.openxmlformats.org/officeDocument/2006/relationships/hyperlink" Target="https://twitter.com/Sergmis" TargetMode="External"/><Relationship Id="rId5011" Type="http://schemas.openxmlformats.org/officeDocument/2006/relationships/hyperlink" Target="https://pbs.twimg.com/profile_images/2885910319/315395bcb6ecce9fc9d94ddd95a49679_normal.jpeg" TargetMode="External"/><Relationship Id="rId6342" Type="http://schemas.openxmlformats.org/officeDocument/2006/relationships/hyperlink" Target="https://pbs.twimg.com/profile_images/499358811564425216/jiX57F1h_normal.jpeg" TargetMode="External"/><Relationship Id="rId7674" Type="http://schemas.openxmlformats.org/officeDocument/2006/relationships/hyperlink" Target="https://pbs.twimg.com/profile_images/696103690369949696/EpU6buAs_normal.jpg" TargetMode="External"/><Relationship Id="rId5012" Type="http://schemas.openxmlformats.org/officeDocument/2006/relationships/hyperlink" Target="https://twitter.com/kyle_e_walker" TargetMode="External"/><Relationship Id="rId6343" Type="http://schemas.openxmlformats.org/officeDocument/2006/relationships/hyperlink" Target="https://twitter.com/MrLinearAlgebra" TargetMode="External"/><Relationship Id="rId7673" Type="http://schemas.openxmlformats.org/officeDocument/2006/relationships/hyperlink" Target="https://twitter.com/jenstirrup/status/703000066492121089" TargetMode="External"/><Relationship Id="rId5017" Type="http://schemas.openxmlformats.org/officeDocument/2006/relationships/hyperlink" Target="https://pbs.twimg.com/profile_images/631488083863584769/gDqhLdAL_normal.png" TargetMode="External"/><Relationship Id="rId6348" Type="http://schemas.openxmlformats.org/officeDocument/2006/relationships/hyperlink" Target="https://pbs.twimg.com/profile_images/699148850829905920/G-7CEPSg_normal.jpg" TargetMode="External"/><Relationship Id="rId5018" Type="http://schemas.openxmlformats.org/officeDocument/2006/relationships/hyperlink" Target="https://twitter.com/ph1v3r" TargetMode="External"/><Relationship Id="rId6349" Type="http://schemas.openxmlformats.org/officeDocument/2006/relationships/hyperlink" Target="https://twitter.com/jrdnmdhl" TargetMode="External"/><Relationship Id="rId7679" Type="http://schemas.openxmlformats.org/officeDocument/2006/relationships/hyperlink" Target="https://twitter.com/ByunLab/status/703002904043642880" TargetMode="External"/><Relationship Id="rId5015" Type="http://schemas.openxmlformats.org/officeDocument/2006/relationships/hyperlink" Target="https://twitter.com/USGS_R" TargetMode="External"/><Relationship Id="rId6346" Type="http://schemas.openxmlformats.org/officeDocument/2006/relationships/hyperlink" Target="https://twitter.com/Victpir" TargetMode="External"/><Relationship Id="rId7678" Type="http://schemas.openxmlformats.org/officeDocument/2006/relationships/hyperlink" Target="https://twitter.com/ByunLab" TargetMode="External"/><Relationship Id="rId5016" Type="http://schemas.openxmlformats.org/officeDocument/2006/relationships/hyperlink" Target="https://twitter.com/USGS_R/status/702521882583502848" TargetMode="External"/><Relationship Id="rId6347" Type="http://schemas.openxmlformats.org/officeDocument/2006/relationships/hyperlink" Target="https://twitter.com/Victpir/status/702758541942251520" TargetMode="External"/><Relationship Id="rId7677" Type="http://schemas.openxmlformats.org/officeDocument/2006/relationships/hyperlink" Target="https://pbs.twimg.com/profile_images/653994780599255040/iNVkvtOL_normal.jpg" TargetMode="External"/><Relationship Id="rId5008" Type="http://schemas.openxmlformats.org/officeDocument/2006/relationships/hyperlink" Target="https://pbs.twimg.com/profile_images/526707334945337344/sbnoJ6fU_normal.jpeg" TargetMode="External"/><Relationship Id="rId6339" Type="http://schemas.openxmlformats.org/officeDocument/2006/relationships/hyperlink" Target="https://pbs.twimg.com/profile_images/701553083537604608/nr8b38eG_normal.jpg" TargetMode="External"/><Relationship Id="rId5009" Type="http://schemas.openxmlformats.org/officeDocument/2006/relationships/hyperlink" Target="https://twitter.com/edwindjonge" TargetMode="External"/><Relationship Id="rId7661" Type="http://schemas.openxmlformats.org/officeDocument/2006/relationships/hyperlink" Target="https://twitter.com/ByunLab/status/702997626116042753" TargetMode="External"/><Relationship Id="rId8992" Type="http://schemas.openxmlformats.org/officeDocument/2006/relationships/hyperlink" Target="https://twitter.com/biotweeps/status/703239735695769601" TargetMode="External"/><Relationship Id="rId6330" Type="http://schemas.openxmlformats.org/officeDocument/2006/relationships/hyperlink" Target="https://pbs.twimg.com/profile_images/701553083537604608/nr8b38eG_normal.jpg" TargetMode="External"/><Relationship Id="rId7660" Type="http://schemas.openxmlformats.org/officeDocument/2006/relationships/hyperlink" Target="https://twitter.com/ByunLab" TargetMode="External"/><Relationship Id="rId8991" Type="http://schemas.openxmlformats.org/officeDocument/2006/relationships/hyperlink" Target="https://twitter.com/biotweeps" TargetMode="External"/><Relationship Id="rId8990" Type="http://schemas.openxmlformats.org/officeDocument/2006/relationships/hyperlink" Target="https://pbs.twimg.com/profile_images/669441951192760324/zJylEnJ7_normal.jpg" TargetMode="External"/><Relationship Id="rId5002" Type="http://schemas.openxmlformats.org/officeDocument/2006/relationships/hyperlink" Target="https://pbs.twimg.com/profile_images/526707334945337344/sbnoJ6fU_normal.jpeg" TargetMode="External"/><Relationship Id="rId6333" Type="http://schemas.openxmlformats.org/officeDocument/2006/relationships/hyperlink" Target="https://pbs.twimg.com/profile_images/701553083537604608/nr8b38eG_normal.jpg" TargetMode="External"/><Relationship Id="rId7665" Type="http://schemas.openxmlformats.org/officeDocument/2006/relationships/hyperlink" Target="https://pbs.twimg.com/profile_images/526136532713746434/fykhMbLL_normal.png" TargetMode="External"/><Relationship Id="rId8996" Type="http://schemas.openxmlformats.org/officeDocument/2006/relationships/hyperlink" Target="https://pbs.twimg.com/profile_images/2283864705/eexg47icrs422nvoy034_normal.jpeg" TargetMode="External"/><Relationship Id="rId5003" Type="http://schemas.openxmlformats.org/officeDocument/2006/relationships/hyperlink" Target="https://twitter.com/DataFinest" TargetMode="External"/><Relationship Id="rId6334" Type="http://schemas.openxmlformats.org/officeDocument/2006/relationships/hyperlink" Target="https://twitter.com/renato_umeton" TargetMode="External"/><Relationship Id="rId7664" Type="http://schemas.openxmlformats.org/officeDocument/2006/relationships/hyperlink" Target="https://twitter.com/wissens_werke/status/702997874758565888" TargetMode="External"/><Relationship Id="rId8995" Type="http://schemas.openxmlformats.org/officeDocument/2006/relationships/hyperlink" Target="https://twitter.com/oceansresearch/status/703239763919114240" TargetMode="External"/><Relationship Id="rId5000" Type="http://schemas.openxmlformats.org/officeDocument/2006/relationships/hyperlink" Target="https://twitter.com/nik_dudaev" TargetMode="External"/><Relationship Id="rId6331" Type="http://schemas.openxmlformats.org/officeDocument/2006/relationships/hyperlink" Target="https://twitter.com/renato_umeton" TargetMode="External"/><Relationship Id="rId7663" Type="http://schemas.openxmlformats.org/officeDocument/2006/relationships/hyperlink" Target="https://twitter.com/wissens_werke" TargetMode="External"/><Relationship Id="rId8994" Type="http://schemas.openxmlformats.org/officeDocument/2006/relationships/hyperlink" Target="https://twitter.com/oceansresearch" TargetMode="External"/><Relationship Id="rId5001" Type="http://schemas.openxmlformats.org/officeDocument/2006/relationships/hyperlink" Target="https://twitter.com/nik_dudaev/status/702519592514617349" TargetMode="External"/><Relationship Id="rId6332" Type="http://schemas.openxmlformats.org/officeDocument/2006/relationships/hyperlink" Target="https://twitter.com/renato_umeton/status/702757619220553728" TargetMode="External"/><Relationship Id="rId7662" Type="http://schemas.openxmlformats.org/officeDocument/2006/relationships/hyperlink" Target="https://pbs.twimg.com/profile_images/626230359550627840/2fHlDKlc_normal.png" TargetMode="External"/><Relationship Id="rId8993" Type="http://schemas.openxmlformats.org/officeDocument/2006/relationships/hyperlink" Target="https://pbs.twimg.com/profile_images/701554470900125696/NgOAQWKH_normal.jpg" TargetMode="External"/><Relationship Id="rId5006" Type="http://schemas.openxmlformats.org/officeDocument/2006/relationships/hyperlink" Target="https://twitter.com/nik_dudaev" TargetMode="External"/><Relationship Id="rId6337" Type="http://schemas.openxmlformats.org/officeDocument/2006/relationships/hyperlink" Target="https://twitter.com/renato_umeton" TargetMode="External"/><Relationship Id="rId7669" Type="http://schemas.openxmlformats.org/officeDocument/2006/relationships/hyperlink" Target="https://twitter.com/alexander_lex" TargetMode="External"/><Relationship Id="rId5007" Type="http://schemas.openxmlformats.org/officeDocument/2006/relationships/hyperlink" Target="https://twitter.com/nik_dudaev/status/702519825717923840" TargetMode="External"/><Relationship Id="rId6338" Type="http://schemas.openxmlformats.org/officeDocument/2006/relationships/hyperlink" Target="https://twitter.com/renato_umeton/status/702757620747206657" TargetMode="External"/><Relationship Id="rId7668" Type="http://schemas.openxmlformats.org/officeDocument/2006/relationships/hyperlink" Target="https://pbs.twimg.com/profile_images/643803597218541568/3og7H0Xq_normal.jpg" TargetMode="External"/><Relationship Id="rId8999" Type="http://schemas.openxmlformats.org/officeDocument/2006/relationships/hyperlink" Target="https://abs.twimg.com/sticky/default_profile_images/default_profile_1_normal.png" TargetMode="External"/><Relationship Id="rId5004" Type="http://schemas.openxmlformats.org/officeDocument/2006/relationships/hyperlink" Target="https://twitter.com/DataFinest/status/702519622139039744" TargetMode="External"/><Relationship Id="rId6335" Type="http://schemas.openxmlformats.org/officeDocument/2006/relationships/hyperlink" Target="https://twitter.com/renato_umeton/status/702757619950358528" TargetMode="External"/><Relationship Id="rId7667" Type="http://schemas.openxmlformats.org/officeDocument/2006/relationships/hyperlink" Target="https://twitter.com/Barkerjas/status/702997895755100160" TargetMode="External"/><Relationship Id="rId8998" Type="http://schemas.openxmlformats.org/officeDocument/2006/relationships/hyperlink" Target="https://twitter.com/a_hartikainen/status/703240373058052096" TargetMode="External"/><Relationship Id="rId5005" Type="http://schemas.openxmlformats.org/officeDocument/2006/relationships/hyperlink" Target="https://pbs.twimg.com/profile_images/675225906173124609/xPlpeuKw_normal.png" TargetMode="External"/><Relationship Id="rId6336" Type="http://schemas.openxmlformats.org/officeDocument/2006/relationships/hyperlink" Target="https://pbs.twimg.com/profile_images/701553083537604608/nr8b38eG_normal.jpg" TargetMode="External"/><Relationship Id="rId7666" Type="http://schemas.openxmlformats.org/officeDocument/2006/relationships/hyperlink" Target="https://twitter.com/Barkerjas" TargetMode="External"/><Relationship Id="rId8997" Type="http://schemas.openxmlformats.org/officeDocument/2006/relationships/hyperlink" Target="https://twitter.com/a_hartikainen" TargetMode="External"/><Relationship Id="rId7690" Type="http://schemas.openxmlformats.org/officeDocument/2006/relationships/hyperlink" Target="https://twitter.com/Rbloggers" TargetMode="External"/><Relationship Id="rId5031" Type="http://schemas.openxmlformats.org/officeDocument/2006/relationships/hyperlink" Target="https://twitter.com/timelyportfolio/status/702525821873946627" TargetMode="External"/><Relationship Id="rId6362" Type="http://schemas.openxmlformats.org/officeDocument/2006/relationships/hyperlink" Target="https://twitter.com/Pvalsfr/status/702760863724412928" TargetMode="External"/><Relationship Id="rId7694" Type="http://schemas.openxmlformats.org/officeDocument/2006/relationships/hyperlink" Target="https://twitter.com/renato_umeton" TargetMode="External"/><Relationship Id="rId5032" Type="http://schemas.openxmlformats.org/officeDocument/2006/relationships/hyperlink" Target="https://pbs.twimg.com/profile_images/2198946077/image_normal.jpg" TargetMode="External"/><Relationship Id="rId6363" Type="http://schemas.openxmlformats.org/officeDocument/2006/relationships/hyperlink" Target="https://abs.twimg.com/sticky/default_profile_images/default_profile_4_normal.png" TargetMode="External"/><Relationship Id="rId7693" Type="http://schemas.openxmlformats.org/officeDocument/2006/relationships/hyperlink" Target="https://pbs.twimg.com/profile_images/502185985786916864/gkdFh-q7_normal.png" TargetMode="External"/><Relationship Id="rId6360" Type="http://schemas.openxmlformats.org/officeDocument/2006/relationships/hyperlink" Target="https://abs.twimg.com/sticky/default_profile_images/default_profile_4_normal.png" TargetMode="External"/><Relationship Id="rId7692" Type="http://schemas.openxmlformats.org/officeDocument/2006/relationships/hyperlink" Target="http://r-bloggers.com" TargetMode="External"/><Relationship Id="rId5030" Type="http://schemas.openxmlformats.org/officeDocument/2006/relationships/hyperlink" Target="https://twitter.com/timelyportfolio" TargetMode="External"/><Relationship Id="rId6361" Type="http://schemas.openxmlformats.org/officeDocument/2006/relationships/hyperlink" Target="https://twitter.com/Pvalsfr" TargetMode="External"/><Relationship Id="rId7691" Type="http://schemas.openxmlformats.org/officeDocument/2006/relationships/hyperlink" Target="https://twitter.com/Rbloggers/status/703004094907023360" TargetMode="External"/><Relationship Id="rId5035" Type="http://schemas.openxmlformats.org/officeDocument/2006/relationships/hyperlink" Target="https://pbs.twimg.com/profile_images/1913633871/sean_normal.png" TargetMode="External"/><Relationship Id="rId6366" Type="http://schemas.openxmlformats.org/officeDocument/2006/relationships/hyperlink" Target="https://abs.twimg.com/sticky/default_profile_images/default_profile_4_normal.png" TargetMode="External"/><Relationship Id="rId7698" Type="http://schemas.openxmlformats.org/officeDocument/2006/relationships/hyperlink" Target="https://twitter.com/Sergio_CPS/status/703005064789680128" TargetMode="External"/><Relationship Id="rId5036" Type="http://schemas.openxmlformats.org/officeDocument/2006/relationships/hyperlink" Target="https://twitter.com/CRANberriesFeed" TargetMode="External"/><Relationship Id="rId6367" Type="http://schemas.openxmlformats.org/officeDocument/2006/relationships/hyperlink" Target="https://twitter.com/michcampbell_" TargetMode="External"/><Relationship Id="rId7697" Type="http://schemas.openxmlformats.org/officeDocument/2006/relationships/hyperlink" Target="https://twitter.com/Sergio_CPS" TargetMode="External"/><Relationship Id="rId5033" Type="http://schemas.openxmlformats.org/officeDocument/2006/relationships/hyperlink" Target="https://twitter.com/seandavis12" TargetMode="External"/><Relationship Id="rId6364" Type="http://schemas.openxmlformats.org/officeDocument/2006/relationships/hyperlink" Target="https://twitter.com/Pvalsfr" TargetMode="External"/><Relationship Id="rId7696" Type="http://schemas.openxmlformats.org/officeDocument/2006/relationships/hyperlink" Target="https://pbs.twimg.com/profile_images/701553083537604608/nr8b38eG_normal.jpg" TargetMode="External"/><Relationship Id="rId5034" Type="http://schemas.openxmlformats.org/officeDocument/2006/relationships/hyperlink" Target="https://twitter.com/seandavis12/status/702526114460258306" TargetMode="External"/><Relationship Id="rId6365" Type="http://schemas.openxmlformats.org/officeDocument/2006/relationships/hyperlink" Target="https://twitter.com/Pvalsfr/status/702760872444354560" TargetMode="External"/><Relationship Id="rId7695" Type="http://schemas.openxmlformats.org/officeDocument/2006/relationships/hyperlink" Target="https://twitter.com/renato_umeton/status/703004945348485121" TargetMode="External"/><Relationship Id="rId5039" Type="http://schemas.openxmlformats.org/officeDocument/2006/relationships/hyperlink" Target="https://twitter.com/CRANberriesFeed" TargetMode="External"/><Relationship Id="rId5037" Type="http://schemas.openxmlformats.org/officeDocument/2006/relationships/hyperlink" Target="https://twitter.com/CRANberriesFeed/status/702526793677475845" TargetMode="External"/><Relationship Id="rId6368" Type="http://schemas.openxmlformats.org/officeDocument/2006/relationships/hyperlink" Target="https://twitter.com/michcampbell_/status/702761420438446082" TargetMode="External"/><Relationship Id="rId5038" Type="http://schemas.openxmlformats.org/officeDocument/2006/relationships/hyperlink" Target="https://pbs.twimg.com/profile_images/1222779560/cran1_normal.jpg" TargetMode="External"/><Relationship Id="rId6369" Type="http://schemas.openxmlformats.org/officeDocument/2006/relationships/hyperlink" Target="https://pbs.twimg.com/profile_images/646858441659518976/-7pEtinV_normal.jpg" TargetMode="External"/><Relationship Id="rId7699" Type="http://schemas.openxmlformats.org/officeDocument/2006/relationships/hyperlink" Target="https://pbs.twimg.com/profile_images/672265924184010752/LrKCh_kA_normal.png" TargetMode="External"/><Relationship Id="rId5020" Type="http://schemas.openxmlformats.org/officeDocument/2006/relationships/hyperlink" Target="https://pbs.twimg.com/profile_images/429634814317064192/UGex086Q_normal.png" TargetMode="External"/><Relationship Id="rId6351" Type="http://schemas.openxmlformats.org/officeDocument/2006/relationships/hyperlink" Target="https://pbs.twimg.com/profile_images/686829356220608512/Xvuztyrm_normal.jpg" TargetMode="External"/><Relationship Id="rId7683" Type="http://schemas.openxmlformats.org/officeDocument/2006/relationships/hyperlink" Target="https://pbs.twimg.com/profile_images/509051150398550018/evyrBiq1_normal.jpeg" TargetMode="External"/><Relationship Id="rId5021" Type="http://schemas.openxmlformats.org/officeDocument/2006/relationships/hyperlink" Target="https://twitter.com/statsepi" TargetMode="External"/><Relationship Id="rId6352" Type="http://schemas.openxmlformats.org/officeDocument/2006/relationships/hyperlink" Target="https://twitter.com/Victpir" TargetMode="External"/><Relationship Id="rId7682" Type="http://schemas.openxmlformats.org/officeDocument/2006/relationships/hyperlink" Target="https://twitter.com/AviatorJake/status/703003207128084481" TargetMode="External"/><Relationship Id="rId7681" Type="http://schemas.openxmlformats.org/officeDocument/2006/relationships/hyperlink" Target="https://twitter.com/AviatorJake" TargetMode="External"/><Relationship Id="rId6350" Type="http://schemas.openxmlformats.org/officeDocument/2006/relationships/hyperlink" Target="https://twitter.com/jrdnmdhl/status/702759655395749888" TargetMode="External"/><Relationship Id="rId7680" Type="http://schemas.openxmlformats.org/officeDocument/2006/relationships/hyperlink" Target="https://pbs.twimg.com/profile_images/626230359550627840/2fHlDKlc_normal.png" TargetMode="External"/><Relationship Id="rId5024" Type="http://schemas.openxmlformats.org/officeDocument/2006/relationships/hyperlink" Target="https://twitter.com/seandavis12" TargetMode="External"/><Relationship Id="rId6355" Type="http://schemas.openxmlformats.org/officeDocument/2006/relationships/hyperlink" Target="https://twitter.com/Pvalsfr" TargetMode="External"/><Relationship Id="rId7687" Type="http://schemas.openxmlformats.org/officeDocument/2006/relationships/hyperlink" Target="https://twitter.com/DaphnaHarel" TargetMode="External"/><Relationship Id="rId5025" Type="http://schemas.openxmlformats.org/officeDocument/2006/relationships/hyperlink" Target="https://twitter.com/seandavis12/status/702524128901857284" TargetMode="External"/><Relationship Id="rId6356" Type="http://schemas.openxmlformats.org/officeDocument/2006/relationships/hyperlink" Target="https://twitter.com/Pvalsfr/status/702760846468972544" TargetMode="External"/><Relationship Id="rId7686" Type="http://schemas.openxmlformats.org/officeDocument/2006/relationships/hyperlink" Target="https://pbs.twimg.com/profile_images/662784488049664000/jzomPtvA_normal.jpg" TargetMode="External"/><Relationship Id="rId5022" Type="http://schemas.openxmlformats.org/officeDocument/2006/relationships/hyperlink" Target="https://twitter.com/statsepi/status/702523577707454464" TargetMode="External"/><Relationship Id="rId6353" Type="http://schemas.openxmlformats.org/officeDocument/2006/relationships/hyperlink" Target="https://twitter.com/Victpir/status/702760622824493057" TargetMode="External"/><Relationship Id="rId7685" Type="http://schemas.openxmlformats.org/officeDocument/2006/relationships/hyperlink" Target="https://twitter.com/samkirkham/status/703003280947994624" TargetMode="External"/><Relationship Id="rId5023" Type="http://schemas.openxmlformats.org/officeDocument/2006/relationships/hyperlink" Target="https://pbs.twimg.com/profile_images/693572164323250176/FZ7W62KJ_normal.jpg" TargetMode="External"/><Relationship Id="rId6354" Type="http://schemas.openxmlformats.org/officeDocument/2006/relationships/hyperlink" Target="https://pbs.twimg.com/profile_images/699148850829905920/G-7CEPSg_normal.jpg" TargetMode="External"/><Relationship Id="rId7684" Type="http://schemas.openxmlformats.org/officeDocument/2006/relationships/hyperlink" Target="https://twitter.com/samkirkham" TargetMode="External"/><Relationship Id="rId5028" Type="http://schemas.openxmlformats.org/officeDocument/2006/relationships/hyperlink" Target="https://twitter.com/AvrahamAdler/status/702524506309459968" TargetMode="External"/><Relationship Id="rId6359" Type="http://schemas.openxmlformats.org/officeDocument/2006/relationships/hyperlink" Target="https://twitter.com/Pvalsfr/status/702760854660517888" TargetMode="External"/><Relationship Id="rId5029" Type="http://schemas.openxmlformats.org/officeDocument/2006/relationships/hyperlink" Target="https://pbs.twimg.com/profile_images/378800000300019997/e0cc3d333edd7644c8b566146d92c853_normal.png" TargetMode="External"/><Relationship Id="rId5026" Type="http://schemas.openxmlformats.org/officeDocument/2006/relationships/hyperlink" Target="https://pbs.twimg.com/profile_images/1913633871/sean_normal.png" TargetMode="External"/><Relationship Id="rId6357" Type="http://schemas.openxmlformats.org/officeDocument/2006/relationships/hyperlink" Target="https://abs.twimg.com/sticky/default_profile_images/default_profile_4_normal.png" TargetMode="External"/><Relationship Id="rId7689" Type="http://schemas.openxmlformats.org/officeDocument/2006/relationships/hyperlink" Target="https://pbs.twimg.com/profile_images/2305840282/0281m07079rhmty9khnw_normal.png" TargetMode="External"/><Relationship Id="rId5027" Type="http://schemas.openxmlformats.org/officeDocument/2006/relationships/hyperlink" Target="https://twitter.com/AvrahamAdler" TargetMode="External"/><Relationship Id="rId6358" Type="http://schemas.openxmlformats.org/officeDocument/2006/relationships/hyperlink" Target="https://twitter.com/Pvalsfr" TargetMode="External"/><Relationship Id="rId7688" Type="http://schemas.openxmlformats.org/officeDocument/2006/relationships/hyperlink" Target="https://twitter.com/DaphnaHarel/status/703003435944251392" TargetMode="External"/><Relationship Id="rId6308" Type="http://schemas.openxmlformats.org/officeDocument/2006/relationships/hyperlink" Target="https://twitter.com/Rbloggers/status/702756222189985793" TargetMode="External"/><Relationship Id="rId6309" Type="http://schemas.openxmlformats.org/officeDocument/2006/relationships/hyperlink" Target="http://r-bloggers.com" TargetMode="External"/><Relationship Id="rId7639" Type="http://schemas.openxmlformats.org/officeDocument/2006/relationships/hyperlink" Target="https://twitter.com/LeahAWasser" TargetMode="External"/><Relationship Id="rId6306" Type="http://schemas.openxmlformats.org/officeDocument/2006/relationships/hyperlink" Target="https://pbs.twimg.com/profile_images/502185985786916864/gkdFh-q7_normal.png" TargetMode="External"/><Relationship Id="rId7638" Type="http://schemas.openxmlformats.org/officeDocument/2006/relationships/hyperlink" Target="https://pbs.twimg.com/profile_images/689185089318563840/SHtz3WKg_normal.png" TargetMode="External"/><Relationship Id="rId8969" Type="http://schemas.openxmlformats.org/officeDocument/2006/relationships/hyperlink" Target="https://abs.twimg.com/sticky/default_profile_images/default_profile_4_normal.png" TargetMode="External"/><Relationship Id="rId6307" Type="http://schemas.openxmlformats.org/officeDocument/2006/relationships/hyperlink" Target="https://twitter.com/Rbloggers" TargetMode="External"/><Relationship Id="rId7637" Type="http://schemas.openxmlformats.org/officeDocument/2006/relationships/hyperlink" Target="https://twitter.com/TableauBot/status/702992617685061632" TargetMode="External"/><Relationship Id="rId8968" Type="http://schemas.openxmlformats.org/officeDocument/2006/relationships/hyperlink" Target="https://twitter.com/ahmtkdr/status/703238462984433664" TargetMode="External"/><Relationship Id="rId6300" Type="http://schemas.openxmlformats.org/officeDocument/2006/relationships/hyperlink" Target="https://twitter.com/Ibrahim_Alsayed" TargetMode="External"/><Relationship Id="rId7632" Type="http://schemas.openxmlformats.org/officeDocument/2006/relationships/hyperlink" Target="https://abs.twimg.com/sticky/default_profile_images/default_profile_0_normal.png" TargetMode="External"/><Relationship Id="rId8963" Type="http://schemas.openxmlformats.org/officeDocument/2006/relationships/hyperlink" Target="https://pbs.twimg.com/profile_images/412126192150401024/BGjaQNXk_normal.jpeg" TargetMode="External"/><Relationship Id="rId6301" Type="http://schemas.openxmlformats.org/officeDocument/2006/relationships/hyperlink" Target="https://twitter.com/Ibrahim_Alsayed/status/702755233248776193" TargetMode="External"/><Relationship Id="rId7631" Type="http://schemas.openxmlformats.org/officeDocument/2006/relationships/hyperlink" Target="https://twitter.com/SoroorHediyeh/status/702992089206824961" TargetMode="External"/><Relationship Id="rId8962" Type="http://schemas.openxmlformats.org/officeDocument/2006/relationships/hyperlink" Target="https://twitter.com/ayirpelle/status/703238188882505728" TargetMode="External"/><Relationship Id="rId7630" Type="http://schemas.openxmlformats.org/officeDocument/2006/relationships/hyperlink" Target="https://twitter.com/SoroorHediyeh" TargetMode="External"/><Relationship Id="rId8961" Type="http://schemas.openxmlformats.org/officeDocument/2006/relationships/hyperlink" Target="https://twitter.com/ayirpelle" TargetMode="External"/><Relationship Id="rId8960" Type="http://schemas.openxmlformats.org/officeDocument/2006/relationships/hyperlink" Target="https://pbs.twimg.com/profile_images/507438186746769409/NZnG_h44_normal.jpeg" TargetMode="External"/><Relationship Id="rId6304" Type="http://schemas.openxmlformats.org/officeDocument/2006/relationships/hyperlink" Target="https://twitter.com/Rbloggers/status/702756201474322432" TargetMode="External"/><Relationship Id="rId7636" Type="http://schemas.openxmlformats.org/officeDocument/2006/relationships/hyperlink" Target="https://twitter.com/TableauBot" TargetMode="External"/><Relationship Id="rId8967" Type="http://schemas.openxmlformats.org/officeDocument/2006/relationships/hyperlink" Target="https://twitter.com/ahmtkdr" TargetMode="External"/><Relationship Id="rId6305" Type="http://schemas.openxmlformats.org/officeDocument/2006/relationships/hyperlink" Target="http://r-bloggers.com" TargetMode="External"/><Relationship Id="rId7635" Type="http://schemas.openxmlformats.org/officeDocument/2006/relationships/hyperlink" Target="https://pbs.twimg.com/profile_images/512767465713971202/wCTfTSpp_normal.jpeg" TargetMode="External"/><Relationship Id="rId8966" Type="http://schemas.openxmlformats.org/officeDocument/2006/relationships/hyperlink" Target="https://pbs.twimg.com/profile_images/573703400522706945/iP-c63Fr_normal.jpeg" TargetMode="External"/><Relationship Id="rId6302" Type="http://schemas.openxmlformats.org/officeDocument/2006/relationships/hyperlink" Target="https://pbs.twimg.com/profile_images/2388625148/7dd7c4ec-146a-4a1c-a537-8aa40ae2fa63_normal.png" TargetMode="External"/><Relationship Id="rId7634" Type="http://schemas.openxmlformats.org/officeDocument/2006/relationships/hyperlink" Target="https://twitter.com/DanRMonty/status/702992397525843972" TargetMode="External"/><Relationship Id="rId8965" Type="http://schemas.openxmlformats.org/officeDocument/2006/relationships/hyperlink" Target="https://twitter.com/Gayathri_raj/status/703238231504982016" TargetMode="External"/><Relationship Id="rId6303" Type="http://schemas.openxmlformats.org/officeDocument/2006/relationships/hyperlink" Target="https://twitter.com/Rbloggers" TargetMode="External"/><Relationship Id="rId7633" Type="http://schemas.openxmlformats.org/officeDocument/2006/relationships/hyperlink" Target="https://twitter.com/DanRMonty" TargetMode="External"/><Relationship Id="rId8964" Type="http://schemas.openxmlformats.org/officeDocument/2006/relationships/hyperlink" Target="https://twitter.com/Gayathri_raj" TargetMode="External"/><Relationship Id="rId7629" Type="http://schemas.openxmlformats.org/officeDocument/2006/relationships/hyperlink" Target="https://pbs.twimg.com/profile_images/506894311955243008/0D63lczz_normal.png" TargetMode="External"/><Relationship Id="rId7628" Type="http://schemas.openxmlformats.org/officeDocument/2006/relationships/hyperlink" Target="https://twitter.com/STAT545/status/702991965143470080" TargetMode="External"/><Relationship Id="rId8959" Type="http://schemas.openxmlformats.org/officeDocument/2006/relationships/hyperlink" Target="https://twitter.com/Zahedasghar/status/703238170918395904" TargetMode="External"/><Relationship Id="rId7627" Type="http://schemas.openxmlformats.org/officeDocument/2006/relationships/hyperlink" Target="https://twitter.com/STAT545" TargetMode="External"/><Relationship Id="rId8958" Type="http://schemas.openxmlformats.org/officeDocument/2006/relationships/hyperlink" Target="https://twitter.com/Zahedasghar" TargetMode="External"/><Relationship Id="rId7626" Type="http://schemas.openxmlformats.org/officeDocument/2006/relationships/hyperlink" Target="https://pbs.twimg.com/profile_images/686227049430683649/nzAfht7E_normal.jpg" TargetMode="External"/><Relationship Id="rId8957" Type="http://schemas.openxmlformats.org/officeDocument/2006/relationships/hyperlink" Target="https://pbs.twimg.com/profile_images/570287724578344960/siyYKMC7_normal.png" TargetMode="External"/><Relationship Id="rId7621" Type="http://schemas.openxmlformats.org/officeDocument/2006/relationships/hyperlink" Target="https://twitter.com/TimRadtke" TargetMode="External"/><Relationship Id="rId8952" Type="http://schemas.openxmlformats.org/officeDocument/2006/relationships/hyperlink" Target="https://twitter.com/DominoDataLab" TargetMode="External"/><Relationship Id="rId7620" Type="http://schemas.openxmlformats.org/officeDocument/2006/relationships/hyperlink" Target="https://pbs.twimg.com/profile_images/474249917565636608/XjM9GUjo_normal.jpeg" TargetMode="External"/><Relationship Id="rId8951" Type="http://schemas.openxmlformats.org/officeDocument/2006/relationships/hyperlink" Target="https://pbs.twimg.com/profile_images/674700358166388736/pWBofWfu_normal.jpg" TargetMode="External"/><Relationship Id="rId8950" Type="http://schemas.openxmlformats.org/officeDocument/2006/relationships/hyperlink" Target="https://twitter.com/eFe_Gil/status/703237939124371456" TargetMode="External"/><Relationship Id="rId7625" Type="http://schemas.openxmlformats.org/officeDocument/2006/relationships/hyperlink" Target="https://twitter.com/Agould15/status/702991813917802496" TargetMode="External"/><Relationship Id="rId8956" Type="http://schemas.openxmlformats.org/officeDocument/2006/relationships/hyperlink" Target="https://twitter.com/AnnaOnTheWeb/status/703238117734506496" TargetMode="External"/><Relationship Id="rId7624" Type="http://schemas.openxmlformats.org/officeDocument/2006/relationships/hyperlink" Target="https://twitter.com/Agould15" TargetMode="External"/><Relationship Id="rId8955" Type="http://schemas.openxmlformats.org/officeDocument/2006/relationships/hyperlink" Target="https://twitter.com/AnnaOnTheWeb" TargetMode="External"/><Relationship Id="rId7623" Type="http://schemas.openxmlformats.org/officeDocument/2006/relationships/hyperlink" Target="https://pbs.twimg.com/profile_images/612982755471831042/Die3uFV3_normal.jpg" TargetMode="External"/><Relationship Id="rId8954" Type="http://schemas.openxmlformats.org/officeDocument/2006/relationships/hyperlink" Target="https://pbs.twimg.com/profile_images/671154942380400641/ySYpd-P3_normal.jpg" TargetMode="External"/><Relationship Id="rId7622" Type="http://schemas.openxmlformats.org/officeDocument/2006/relationships/hyperlink" Target="https://twitter.com/TimRadtke/status/702991212085690368" TargetMode="External"/><Relationship Id="rId8953" Type="http://schemas.openxmlformats.org/officeDocument/2006/relationships/hyperlink" Target="https://twitter.com/DominoDataLab/status/703237976113811456" TargetMode="External"/><Relationship Id="rId6328" Type="http://schemas.openxmlformats.org/officeDocument/2006/relationships/hyperlink" Target="https://twitter.com/renato_umeton" TargetMode="External"/><Relationship Id="rId6329" Type="http://schemas.openxmlformats.org/officeDocument/2006/relationships/hyperlink" Target="https://twitter.com/renato_umeton/status/702757618335481856" TargetMode="External"/><Relationship Id="rId7659" Type="http://schemas.openxmlformats.org/officeDocument/2006/relationships/hyperlink" Target="https://pbs.twimg.com/profile_images/195479194/IM000197_normal.jpg" TargetMode="External"/><Relationship Id="rId7650" Type="http://schemas.openxmlformats.org/officeDocument/2006/relationships/hyperlink" Target="https://pbs.twimg.com/profile_images/195479194/IM000197_normal.jpg" TargetMode="External"/><Relationship Id="rId8981" Type="http://schemas.openxmlformats.org/officeDocument/2006/relationships/hyperlink" Target="https://pbs.twimg.com/profile_images/550280885480603648/jye_0y8s_normal.png" TargetMode="External"/><Relationship Id="rId8980" Type="http://schemas.openxmlformats.org/officeDocument/2006/relationships/hyperlink" Target="https://twitter.com/ShinyappsRecent/status/703239374440280064" TargetMode="External"/><Relationship Id="rId6322" Type="http://schemas.openxmlformats.org/officeDocument/2006/relationships/hyperlink" Target="https://twitter.com/kholy" TargetMode="External"/><Relationship Id="rId7654" Type="http://schemas.openxmlformats.org/officeDocument/2006/relationships/hyperlink" Target="https://twitter.com/NumFOCUS" TargetMode="External"/><Relationship Id="rId8985" Type="http://schemas.openxmlformats.org/officeDocument/2006/relationships/hyperlink" Target="https://twitter.com/AriLamstein" TargetMode="External"/><Relationship Id="rId6323" Type="http://schemas.openxmlformats.org/officeDocument/2006/relationships/hyperlink" Target="https://twitter.com/kholy/status/702756974413398016" TargetMode="External"/><Relationship Id="rId7653" Type="http://schemas.openxmlformats.org/officeDocument/2006/relationships/hyperlink" Target="https://pbs.twimg.com/profile_images/195479194/IM000197_normal.jpg" TargetMode="External"/><Relationship Id="rId8984" Type="http://schemas.openxmlformats.org/officeDocument/2006/relationships/hyperlink" Target="https://pbs.twimg.com/profile_images/665573957467160576/A9JW4dde_normal.jpg" TargetMode="External"/><Relationship Id="rId6320" Type="http://schemas.openxmlformats.org/officeDocument/2006/relationships/hyperlink" Target="https://twitter.com/datennutzen/status/702756450293125120" TargetMode="External"/><Relationship Id="rId7652" Type="http://schemas.openxmlformats.org/officeDocument/2006/relationships/hyperlink" Target="https://twitter.com/DougW09/status/702996205098258432" TargetMode="External"/><Relationship Id="rId8983" Type="http://schemas.openxmlformats.org/officeDocument/2006/relationships/hyperlink" Target="https://twitter.com/PlethodoNick/status/703239401896329216" TargetMode="External"/><Relationship Id="rId6321" Type="http://schemas.openxmlformats.org/officeDocument/2006/relationships/hyperlink" Target="https://pbs.twimg.com/profile_images/1746090001/Logo_bullet_normal.jpg" TargetMode="External"/><Relationship Id="rId7651" Type="http://schemas.openxmlformats.org/officeDocument/2006/relationships/hyperlink" Target="https://twitter.com/DougW09" TargetMode="External"/><Relationship Id="rId8982" Type="http://schemas.openxmlformats.org/officeDocument/2006/relationships/hyperlink" Target="https://twitter.com/PlethodoNick" TargetMode="External"/><Relationship Id="rId6326" Type="http://schemas.openxmlformats.org/officeDocument/2006/relationships/hyperlink" Target="https://twitter.com/DMR_Rosaria/status/702757160053243904" TargetMode="External"/><Relationship Id="rId7658" Type="http://schemas.openxmlformats.org/officeDocument/2006/relationships/hyperlink" Target="https://twitter.com/DougW09/status/702997208359022592" TargetMode="External"/><Relationship Id="rId8989" Type="http://schemas.openxmlformats.org/officeDocument/2006/relationships/hyperlink" Target="https://twitter.com/abresler/status/703239670969331713" TargetMode="External"/><Relationship Id="rId6327" Type="http://schemas.openxmlformats.org/officeDocument/2006/relationships/hyperlink" Target="https://pbs.twimg.com/profile_images/627012655769878528/LbxxuM6F_normal.jpg" TargetMode="External"/><Relationship Id="rId7657" Type="http://schemas.openxmlformats.org/officeDocument/2006/relationships/hyperlink" Target="https://twitter.com/DougW09" TargetMode="External"/><Relationship Id="rId8988" Type="http://schemas.openxmlformats.org/officeDocument/2006/relationships/hyperlink" Target="https://twitter.com/abresler" TargetMode="External"/><Relationship Id="rId6324" Type="http://schemas.openxmlformats.org/officeDocument/2006/relationships/hyperlink" Target="https://pbs.twimg.com/profile_images/630780248389369856/N7l87r-V_normal.png" TargetMode="External"/><Relationship Id="rId7656" Type="http://schemas.openxmlformats.org/officeDocument/2006/relationships/hyperlink" Target="https://pbs.twimg.com/profile_images/702558144958869504/AIKaOGn__normal.png" TargetMode="External"/><Relationship Id="rId8987" Type="http://schemas.openxmlformats.org/officeDocument/2006/relationships/hyperlink" Target="https://pbs.twimg.com/profile_images/424265489666162688/OSt8nLEe_normal.jpeg" TargetMode="External"/><Relationship Id="rId6325" Type="http://schemas.openxmlformats.org/officeDocument/2006/relationships/hyperlink" Target="https://twitter.com/DMR_Rosaria" TargetMode="External"/><Relationship Id="rId7655" Type="http://schemas.openxmlformats.org/officeDocument/2006/relationships/hyperlink" Target="https://twitter.com/NumFOCUS/status/702997150179991552" TargetMode="External"/><Relationship Id="rId8986" Type="http://schemas.openxmlformats.org/officeDocument/2006/relationships/hyperlink" Target="https://twitter.com/AriLamstein/status/703239503687733248" TargetMode="External"/><Relationship Id="rId6319" Type="http://schemas.openxmlformats.org/officeDocument/2006/relationships/hyperlink" Target="https://twitter.com/datennutzen" TargetMode="External"/><Relationship Id="rId6317" Type="http://schemas.openxmlformats.org/officeDocument/2006/relationships/hyperlink" Target="http://r-bloggers.com" TargetMode="External"/><Relationship Id="rId7649" Type="http://schemas.openxmlformats.org/officeDocument/2006/relationships/hyperlink" Target="https://twitter.com/DougW09/status/702996091910754305" TargetMode="External"/><Relationship Id="rId6318" Type="http://schemas.openxmlformats.org/officeDocument/2006/relationships/hyperlink" Target="https://pbs.twimg.com/profile_images/502185985786916864/gkdFh-q7_normal.png" TargetMode="External"/><Relationship Id="rId7648" Type="http://schemas.openxmlformats.org/officeDocument/2006/relationships/hyperlink" Target="https://twitter.com/DougW09" TargetMode="External"/><Relationship Id="rId8979" Type="http://schemas.openxmlformats.org/officeDocument/2006/relationships/hyperlink" Target="https://twitter.com/ShinyappsRecent" TargetMode="External"/><Relationship Id="rId8970" Type="http://schemas.openxmlformats.org/officeDocument/2006/relationships/hyperlink" Target="https://twitter.com/tz33cu" TargetMode="External"/><Relationship Id="rId6311" Type="http://schemas.openxmlformats.org/officeDocument/2006/relationships/hyperlink" Target="https://twitter.com/Rbloggers" TargetMode="External"/><Relationship Id="rId7643" Type="http://schemas.openxmlformats.org/officeDocument/2006/relationships/hyperlink" Target="https://twitter.com/Soccermetric/status/702993886491369472" TargetMode="External"/><Relationship Id="rId8974" Type="http://schemas.openxmlformats.org/officeDocument/2006/relationships/hyperlink" Target="https://twitter.com/datanalitik/status/703238764643160064" TargetMode="External"/><Relationship Id="rId6312" Type="http://schemas.openxmlformats.org/officeDocument/2006/relationships/hyperlink" Target="https://twitter.com/Rbloggers/status/702756262946017281" TargetMode="External"/><Relationship Id="rId7642" Type="http://schemas.openxmlformats.org/officeDocument/2006/relationships/hyperlink" Target="https://twitter.com/Soccermetric" TargetMode="External"/><Relationship Id="rId8973" Type="http://schemas.openxmlformats.org/officeDocument/2006/relationships/hyperlink" Target="https://twitter.com/datanalitik" TargetMode="External"/><Relationship Id="rId7641" Type="http://schemas.openxmlformats.org/officeDocument/2006/relationships/hyperlink" Target="https://pbs.twimg.com/profile_images/633416207165689856/-nZq_x05_normal.jpg" TargetMode="External"/><Relationship Id="rId8972" Type="http://schemas.openxmlformats.org/officeDocument/2006/relationships/hyperlink" Target="https://pbs.twimg.com/profile_images/640243239388246016/yEAuMN4t_normal.jpg" TargetMode="External"/><Relationship Id="rId6310" Type="http://schemas.openxmlformats.org/officeDocument/2006/relationships/hyperlink" Target="https://pbs.twimg.com/profile_images/502185985786916864/gkdFh-q7_normal.png" TargetMode="External"/><Relationship Id="rId7640" Type="http://schemas.openxmlformats.org/officeDocument/2006/relationships/hyperlink" Target="https://twitter.com/LeahAWasser/status/702993328476794880" TargetMode="External"/><Relationship Id="rId8971" Type="http://schemas.openxmlformats.org/officeDocument/2006/relationships/hyperlink" Target="https://twitter.com/tz33cu/status/703238514574491648" TargetMode="External"/><Relationship Id="rId6315" Type="http://schemas.openxmlformats.org/officeDocument/2006/relationships/hyperlink" Target="https://twitter.com/Rbloggers" TargetMode="External"/><Relationship Id="rId7647" Type="http://schemas.openxmlformats.org/officeDocument/2006/relationships/hyperlink" Target="https://pbs.twimg.com/profile_images/412249095110008832/J_K4--iQ_normal.png" TargetMode="External"/><Relationship Id="rId8978" Type="http://schemas.openxmlformats.org/officeDocument/2006/relationships/hyperlink" Target="https://pbs.twimg.com/profile_images/701554470900125696/NgOAQWKH_normal.jpg" TargetMode="External"/><Relationship Id="rId6316" Type="http://schemas.openxmlformats.org/officeDocument/2006/relationships/hyperlink" Target="https://twitter.com/Rbloggers/status/702756299457454081" TargetMode="External"/><Relationship Id="rId7646" Type="http://schemas.openxmlformats.org/officeDocument/2006/relationships/hyperlink" Target="https://twitter.com/DataAndDataViz/status/702995619762327554" TargetMode="External"/><Relationship Id="rId8977" Type="http://schemas.openxmlformats.org/officeDocument/2006/relationships/hyperlink" Target="https://twitter.com/biotweeps/status/703239282023141376" TargetMode="External"/><Relationship Id="rId6313" Type="http://schemas.openxmlformats.org/officeDocument/2006/relationships/hyperlink" Target="http://r-bloggers.com" TargetMode="External"/><Relationship Id="rId7645" Type="http://schemas.openxmlformats.org/officeDocument/2006/relationships/hyperlink" Target="https://twitter.com/DataAndDataViz" TargetMode="External"/><Relationship Id="rId8976" Type="http://schemas.openxmlformats.org/officeDocument/2006/relationships/hyperlink" Target="https://twitter.com/biotweeps" TargetMode="External"/><Relationship Id="rId6314" Type="http://schemas.openxmlformats.org/officeDocument/2006/relationships/hyperlink" Target="https://pbs.twimg.com/profile_images/502185985786916864/gkdFh-q7_normal.png" TargetMode="External"/><Relationship Id="rId7644" Type="http://schemas.openxmlformats.org/officeDocument/2006/relationships/hyperlink" Target="https://pbs.twimg.com/profile_images/510235992091918337/SYHHeJnz_normal.jpeg" TargetMode="External"/><Relationship Id="rId8975" Type="http://schemas.openxmlformats.org/officeDocument/2006/relationships/hyperlink" Target="https://pbs.twimg.com/profile_images/693496731191767040/CRB2hW7r_normal.png" TargetMode="External"/><Relationship Id="rId2820" Type="http://schemas.openxmlformats.org/officeDocument/2006/relationships/hyperlink" Target="https://pbs.twimg.com/profile_images/1617142158/119238737_normal.jpg" TargetMode="External"/><Relationship Id="rId2821" Type="http://schemas.openxmlformats.org/officeDocument/2006/relationships/hyperlink" Target="https://twitter.com/sainathadapa" TargetMode="External"/><Relationship Id="rId2822" Type="http://schemas.openxmlformats.org/officeDocument/2006/relationships/hyperlink" Target="https://twitter.com/sainathadapa/status/702007348915630081" TargetMode="External"/><Relationship Id="rId2823" Type="http://schemas.openxmlformats.org/officeDocument/2006/relationships/hyperlink" Target="https://pbs.twimg.com/profile_images/682881425331236864/zFd7F2uA_normal.jpg" TargetMode="External"/><Relationship Id="rId2824" Type="http://schemas.openxmlformats.org/officeDocument/2006/relationships/hyperlink" Target="https://twitter.com/msonnabaum" TargetMode="External"/><Relationship Id="rId2825" Type="http://schemas.openxmlformats.org/officeDocument/2006/relationships/hyperlink" Target="https://twitter.com/msonnabaum/status/702008373433085952" TargetMode="External"/><Relationship Id="rId2826" Type="http://schemas.openxmlformats.org/officeDocument/2006/relationships/hyperlink" Target="https://pbs.twimg.com/profile_images/2442533464/zudlcvs6ss0cb7zkkb29_normal.jpeg" TargetMode="External"/><Relationship Id="rId2827" Type="http://schemas.openxmlformats.org/officeDocument/2006/relationships/hyperlink" Target="https://twitter.com/souravc83" TargetMode="External"/><Relationship Id="rId2828" Type="http://schemas.openxmlformats.org/officeDocument/2006/relationships/hyperlink" Target="https://twitter.com/souravc83/status/702008990113202176" TargetMode="External"/><Relationship Id="rId2829" Type="http://schemas.openxmlformats.org/officeDocument/2006/relationships/hyperlink" Target="https://pbs.twimg.com/profile_images/658511161034326016/RaFwgtT6_normal.jpg" TargetMode="External"/><Relationship Id="rId5093" Type="http://schemas.openxmlformats.org/officeDocument/2006/relationships/hyperlink" Target="https://twitter.com/seandavis12" TargetMode="External"/><Relationship Id="rId5094" Type="http://schemas.openxmlformats.org/officeDocument/2006/relationships/hyperlink" Target="https://twitter.com/seandavis12/status/702534966920527872" TargetMode="External"/><Relationship Id="rId5091" Type="http://schemas.openxmlformats.org/officeDocument/2006/relationships/hyperlink" Target="https://twitter.com/seandavis12/status/702533752778563589" TargetMode="External"/><Relationship Id="rId5092" Type="http://schemas.openxmlformats.org/officeDocument/2006/relationships/hyperlink" Target="https://pbs.twimg.com/profile_images/1913633871/sean_normal.png" TargetMode="External"/><Relationship Id="rId5097" Type="http://schemas.openxmlformats.org/officeDocument/2006/relationships/hyperlink" Target="https://twitter.com/seandavis12/status/702535230779953152" TargetMode="External"/><Relationship Id="rId5098" Type="http://schemas.openxmlformats.org/officeDocument/2006/relationships/hyperlink" Target="https://pbs.twimg.com/profile_images/1913633871/sean_normal.png" TargetMode="External"/><Relationship Id="rId5095" Type="http://schemas.openxmlformats.org/officeDocument/2006/relationships/hyperlink" Target="https://pbs.twimg.com/profile_images/1913633871/sean_normal.png" TargetMode="External"/><Relationship Id="rId5096" Type="http://schemas.openxmlformats.org/officeDocument/2006/relationships/hyperlink" Target="https://twitter.com/seandavis12" TargetMode="External"/><Relationship Id="rId5099" Type="http://schemas.openxmlformats.org/officeDocument/2006/relationships/hyperlink" Target="https://twitter.com/rbrowne" TargetMode="External"/><Relationship Id="rId2810" Type="http://schemas.openxmlformats.org/officeDocument/2006/relationships/hyperlink" Target="https://twitter.com/quominus/status/702004748287868928" TargetMode="External"/><Relationship Id="rId2811" Type="http://schemas.openxmlformats.org/officeDocument/2006/relationships/hyperlink" Target="https://pbs.twimg.com/profile_images/689997706752847874/lCoiGcL3_normal.jpg" TargetMode="External"/><Relationship Id="rId2812" Type="http://schemas.openxmlformats.org/officeDocument/2006/relationships/hyperlink" Target="https://twitter.com/AvrahamAdler" TargetMode="External"/><Relationship Id="rId2813" Type="http://schemas.openxmlformats.org/officeDocument/2006/relationships/hyperlink" Target="https://twitter.com/AvrahamAdler/status/702004765753012224" TargetMode="External"/><Relationship Id="rId2814" Type="http://schemas.openxmlformats.org/officeDocument/2006/relationships/hyperlink" Target="https://pbs.twimg.com/profile_images/378800000300019997/e0cc3d333edd7644c8b566146d92c853_normal.png" TargetMode="External"/><Relationship Id="rId2815" Type="http://schemas.openxmlformats.org/officeDocument/2006/relationships/hyperlink" Target="https://twitter.com/EmmanuelAnique" TargetMode="External"/><Relationship Id="rId2816" Type="http://schemas.openxmlformats.org/officeDocument/2006/relationships/hyperlink" Target="https://twitter.com/EmmanuelAnique/status/702005534610878464" TargetMode="External"/><Relationship Id="rId2817" Type="http://schemas.openxmlformats.org/officeDocument/2006/relationships/hyperlink" Target="https://pbs.twimg.com/profile_images/662419359093153792/h4uin6bF_normal.jpg" TargetMode="External"/><Relationship Id="rId2818" Type="http://schemas.openxmlformats.org/officeDocument/2006/relationships/hyperlink" Target="https://twitter.com/JeanGobin" TargetMode="External"/><Relationship Id="rId2819" Type="http://schemas.openxmlformats.org/officeDocument/2006/relationships/hyperlink" Target="https://twitter.com/JeanGobin/status/702005803184693249" TargetMode="External"/><Relationship Id="rId5090" Type="http://schemas.openxmlformats.org/officeDocument/2006/relationships/hyperlink" Target="https://twitter.com/seandavis12" TargetMode="External"/><Relationship Id="rId5082" Type="http://schemas.openxmlformats.org/officeDocument/2006/relationships/hyperlink" Target="https://twitter.com/seandavis12/status/702533142196920320" TargetMode="External"/><Relationship Id="rId5083" Type="http://schemas.openxmlformats.org/officeDocument/2006/relationships/hyperlink" Target="https://pbs.twimg.com/profile_images/1913633871/sean_normal.png" TargetMode="External"/><Relationship Id="rId5080" Type="http://schemas.openxmlformats.org/officeDocument/2006/relationships/hyperlink" Target="https://pbs.twimg.com/profile_images/1913633871/sean_normal.png" TargetMode="External"/><Relationship Id="rId5081" Type="http://schemas.openxmlformats.org/officeDocument/2006/relationships/hyperlink" Target="https://twitter.com/seandavis12" TargetMode="External"/><Relationship Id="rId5086" Type="http://schemas.openxmlformats.org/officeDocument/2006/relationships/hyperlink" Target="https://pbs.twimg.com/profile_images/689076690304241664/WqaUMDOJ_normal.jpg" TargetMode="External"/><Relationship Id="rId5087" Type="http://schemas.openxmlformats.org/officeDocument/2006/relationships/hyperlink" Target="https://twitter.com/andyteucher" TargetMode="External"/><Relationship Id="rId5084" Type="http://schemas.openxmlformats.org/officeDocument/2006/relationships/hyperlink" Target="https://twitter.com/JimGrange" TargetMode="External"/><Relationship Id="rId5085" Type="http://schemas.openxmlformats.org/officeDocument/2006/relationships/hyperlink" Target="https://twitter.com/JimGrange/status/702533224300486656" TargetMode="External"/><Relationship Id="rId5088" Type="http://schemas.openxmlformats.org/officeDocument/2006/relationships/hyperlink" Target="https://twitter.com/andyteucher/status/702533246207168512" TargetMode="External"/><Relationship Id="rId5089" Type="http://schemas.openxmlformats.org/officeDocument/2006/relationships/hyperlink" Target="https://pbs.twimg.com/profile_images/509021766979579904/lAjlpu7x_normal.jpeg" TargetMode="External"/><Relationship Id="rId1510" Type="http://schemas.openxmlformats.org/officeDocument/2006/relationships/hyperlink" Target="https://twitter.com/mambrujo" TargetMode="External"/><Relationship Id="rId2841" Type="http://schemas.openxmlformats.org/officeDocument/2006/relationships/hyperlink" Target="https://pbs.twimg.com/profile_images/614557059372023808/kXeL9U1F_normal.jpg" TargetMode="External"/><Relationship Id="rId1511" Type="http://schemas.openxmlformats.org/officeDocument/2006/relationships/hyperlink" Target="https://twitter.com/mambrujo/status/701749378227130369" TargetMode="External"/><Relationship Id="rId2842" Type="http://schemas.openxmlformats.org/officeDocument/2006/relationships/hyperlink" Target="https://twitter.com/XavCompany" TargetMode="External"/><Relationship Id="rId1512" Type="http://schemas.openxmlformats.org/officeDocument/2006/relationships/hyperlink" Target="https://pbs.twimg.com/profile_images/378800000036916427/4ff0dae5d9baced4aa4e172b6cc6c747_normal.jpeg" TargetMode="External"/><Relationship Id="rId2843" Type="http://schemas.openxmlformats.org/officeDocument/2006/relationships/hyperlink" Target="https://twitter.com/XavCompany/status/702013814875799552" TargetMode="External"/><Relationship Id="rId1513" Type="http://schemas.openxmlformats.org/officeDocument/2006/relationships/hyperlink" Target="https://twitter.com/MaxKSchloemer" TargetMode="External"/><Relationship Id="rId2844" Type="http://schemas.openxmlformats.org/officeDocument/2006/relationships/hyperlink" Target="https://pbs.twimg.com/profile_images/645027913193136128/UAbkWa6N_normal.jpg" TargetMode="External"/><Relationship Id="rId1514" Type="http://schemas.openxmlformats.org/officeDocument/2006/relationships/hyperlink" Target="https://twitter.com/MaxKSchloemer/status/701749385290362880" TargetMode="External"/><Relationship Id="rId2845" Type="http://schemas.openxmlformats.org/officeDocument/2006/relationships/hyperlink" Target="https://twitter.com/DailyRpackage" TargetMode="External"/><Relationship Id="rId1515" Type="http://schemas.openxmlformats.org/officeDocument/2006/relationships/hyperlink" Target="https://pbs.twimg.com/profile_images/451874857379053568/5WF9PNNr_normal.jpeg" TargetMode="External"/><Relationship Id="rId2846" Type="http://schemas.openxmlformats.org/officeDocument/2006/relationships/hyperlink" Target="https://twitter.com/DailyRpackage/status/702017551874834432" TargetMode="External"/><Relationship Id="rId1516" Type="http://schemas.openxmlformats.org/officeDocument/2006/relationships/hyperlink" Target="https://twitter.com/cloudtoad" TargetMode="External"/><Relationship Id="rId2847" Type="http://schemas.openxmlformats.org/officeDocument/2006/relationships/hyperlink" Target="https://pbs.twimg.com/profile_images/3438004205/66da7270714af4309d185b958c4bb8be_normal.jpeg" TargetMode="External"/><Relationship Id="rId1517" Type="http://schemas.openxmlformats.org/officeDocument/2006/relationships/hyperlink" Target="https://twitter.com/cloudtoad/status/701749574998687744" TargetMode="External"/><Relationship Id="rId2848" Type="http://schemas.openxmlformats.org/officeDocument/2006/relationships/hyperlink" Target="https://twitter.com/Flowfields_" TargetMode="External"/><Relationship Id="rId1518" Type="http://schemas.openxmlformats.org/officeDocument/2006/relationships/hyperlink" Target="https://pbs.twimg.com/profile_images/591372075182338048/JbeePn6j_normal.jpg" TargetMode="External"/><Relationship Id="rId2849" Type="http://schemas.openxmlformats.org/officeDocument/2006/relationships/hyperlink" Target="https://twitter.com/Flowfields_/status/702018393566814209" TargetMode="External"/><Relationship Id="rId1519" Type="http://schemas.openxmlformats.org/officeDocument/2006/relationships/hyperlink" Target="https://twitter.com/mgwhitfield" TargetMode="External"/><Relationship Id="rId2840" Type="http://schemas.openxmlformats.org/officeDocument/2006/relationships/hyperlink" Target="https://twitter.com/SayoojDas/status/702011359957901312" TargetMode="External"/><Relationship Id="rId2830" Type="http://schemas.openxmlformats.org/officeDocument/2006/relationships/hyperlink" Target="https://twitter.com/Persontyle" TargetMode="External"/><Relationship Id="rId1500" Type="http://schemas.openxmlformats.org/officeDocument/2006/relationships/hyperlink" Target="https://pbs.twimg.com/profile_images/2198946077/image_normal.jpg" TargetMode="External"/><Relationship Id="rId2831" Type="http://schemas.openxmlformats.org/officeDocument/2006/relationships/hyperlink" Target="https://twitter.com/Persontyle/status/702010842523504640" TargetMode="External"/><Relationship Id="rId1501" Type="http://schemas.openxmlformats.org/officeDocument/2006/relationships/hyperlink" Target="https://twitter.com/vexedmuddler" TargetMode="External"/><Relationship Id="rId2832" Type="http://schemas.openxmlformats.org/officeDocument/2006/relationships/hyperlink" Target="https://pbs.twimg.com/profile_images/458771685257121792/n-_-QXc6_normal.png" TargetMode="External"/><Relationship Id="rId1502" Type="http://schemas.openxmlformats.org/officeDocument/2006/relationships/hyperlink" Target="https://twitter.com/vexedmuddler/status/701748259581202438" TargetMode="External"/><Relationship Id="rId2833" Type="http://schemas.openxmlformats.org/officeDocument/2006/relationships/hyperlink" Target="https://twitter.com/sentiwire" TargetMode="External"/><Relationship Id="rId1503" Type="http://schemas.openxmlformats.org/officeDocument/2006/relationships/hyperlink" Target="https://pbs.twimg.com/profile_images/577980387084742656/1d0pWjPy_normal.png" TargetMode="External"/><Relationship Id="rId2834" Type="http://schemas.openxmlformats.org/officeDocument/2006/relationships/hyperlink" Target="https://twitter.com/sentiwire/status/702010846717693952" TargetMode="External"/><Relationship Id="rId1504" Type="http://schemas.openxmlformats.org/officeDocument/2006/relationships/hyperlink" Target="https://twitter.com/leach_jim" TargetMode="External"/><Relationship Id="rId2835" Type="http://schemas.openxmlformats.org/officeDocument/2006/relationships/hyperlink" Target="https://pbs.twimg.com/profile_images/686965105473396736/B9V5UtGS_normal.jpg" TargetMode="External"/><Relationship Id="rId1505" Type="http://schemas.openxmlformats.org/officeDocument/2006/relationships/hyperlink" Target="https://twitter.com/leach_jim/status/701749309130334208" TargetMode="External"/><Relationship Id="rId2836" Type="http://schemas.openxmlformats.org/officeDocument/2006/relationships/hyperlink" Target="https://twitter.com/AaaLee" TargetMode="External"/><Relationship Id="rId1506" Type="http://schemas.openxmlformats.org/officeDocument/2006/relationships/hyperlink" Target="https://pbs.twimg.com/profile_images/606390830874697729/NeUj44E2_normal.jpg" TargetMode="External"/><Relationship Id="rId2837" Type="http://schemas.openxmlformats.org/officeDocument/2006/relationships/hyperlink" Target="https://twitter.com/AaaLee/status/702011197860798464" TargetMode="External"/><Relationship Id="rId1507" Type="http://schemas.openxmlformats.org/officeDocument/2006/relationships/hyperlink" Target="https://twitter.com/rippedwarrior" TargetMode="External"/><Relationship Id="rId2838" Type="http://schemas.openxmlformats.org/officeDocument/2006/relationships/hyperlink" Target="https://pbs.twimg.com/profile_images/550976876554883072/JicFw8pu_normal.png" TargetMode="External"/><Relationship Id="rId1508" Type="http://schemas.openxmlformats.org/officeDocument/2006/relationships/hyperlink" Target="https://twitter.com/rippedwarrior/status/701749374607556608" TargetMode="External"/><Relationship Id="rId2839" Type="http://schemas.openxmlformats.org/officeDocument/2006/relationships/hyperlink" Target="https://twitter.com/SayoojDas" TargetMode="External"/><Relationship Id="rId1509" Type="http://schemas.openxmlformats.org/officeDocument/2006/relationships/hyperlink" Target="https://pbs.twimg.com/profile_images/554069426538958848/IO9GBjBE_normal.jpeg" TargetMode="External"/><Relationship Id="rId6380" Type="http://schemas.openxmlformats.org/officeDocument/2006/relationships/hyperlink" Target="https://twitter.com/nicolascantu8/status/702767031343570944" TargetMode="External"/><Relationship Id="rId5050" Type="http://schemas.openxmlformats.org/officeDocument/2006/relationships/hyperlink" Target="https://pbs.twimg.com/profile_images/424265489666162688/OSt8nLEe_normal.jpeg" TargetMode="External"/><Relationship Id="rId6381" Type="http://schemas.openxmlformats.org/officeDocument/2006/relationships/hyperlink" Target="https://pbs.twimg.com/profile_images/698151797924499456/CjOZZWoA_normal.png" TargetMode="External"/><Relationship Id="rId5053" Type="http://schemas.openxmlformats.org/officeDocument/2006/relationships/hyperlink" Target="https://pbs.twimg.com/profile_images/562349585545170944/FADS_UgG_normal.jpeg" TargetMode="External"/><Relationship Id="rId6384" Type="http://schemas.openxmlformats.org/officeDocument/2006/relationships/hyperlink" Target="https://pbs.twimg.com/profile_images/698169470431469569/DGWdZVTA_normal.png" TargetMode="External"/><Relationship Id="rId5054" Type="http://schemas.openxmlformats.org/officeDocument/2006/relationships/hyperlink" Target="https://twitter.com/RallidaeRule" TargetMode="External"/><Relationship Id="rId6385" Type="http://schemas.openxmlformats.org/officeDocument/2006/relationships/hyperlink" Target="https://twitter.com/thomasp85" TargetMode="External"/><Relationship Id="rId5051" Type="http://schemas.openxmlformats.org/officeDocument/2006/relationships/hyperlink" Target="https://twitter.com/jhollist" TargetMode="External"/><Relationship Id="rId6382" Type="http://schemas.openxmlformats.org/officeDocument/2006/relationships/hyperlink" Target="https://twitter.com/localstories1" TargetMode="External"/><Relationship Id="rId5052" Type="http://schemas.openxmlformats.org/officeDocument/2006/relationships/hyperlink" Target="https://twitter.com/jhollist/status/702528156423553026" TargetMode="External"/><Relationship Id="rId6383" Type="http://schemas.openxmlformats.org/officeDocument/2006/relationships/hyperlink" Target="https://twitter.com/localstories1/status/702767031611953152" TargetMode="External"/><Relationship Id="rId5057" Type="http://schemas.openxmlformats.org/officeDocument/2006/relationships/hyperlink" Target="https://twitter.com/WinVectorLLC" TargetMode="External"/><Relationship Id="rId6388" Type="http://schemas.openxmlformats.org/officeDocument/2006/relationships/hyperlink" Target="https://twitter.com/pasandriani" TargetMode="External"/><Relationship Id="rId5058" Type="http://schemas.openxmlformats.org/officeDocument/2006/relationships/hyperlink" Target="https://twitter.com/WinVectorLLC/status/702528831773478912" TargetMode="External"/><Relationship Id="rId6389" Type="http://schemas.openxmlformats.org/officeDocument/2006/relationships/hyperlink" Target="https://twitter.com/pasandriani/status/702769213732212737" TargetMode="External"/><Relationship Id="rId5055" Type="http://schemas.openxmlformats.org/officeDocument/2006/relationships/hyperlink" Target="https://twitter.com/RallidaeRule/status/702528211964461057" TargetMode="External"/><Relationship Id="rId6386" Type="http://schemas.openxmlformats.org/officeDocument/2006/relationships/hyperlink" Target="https://twitter.com/thomasp85/status/702767154341519360" TargetMode="External"/><Relationship Id="rId5056" Type="http://schemas.openxmlformats.org/officeDocument/2006/relationships/hyperlink" Target="https://pbs.twimg.com/profile_images/472088432374579201/pTx9F7zb_normal.jpeg" TargetMode="External"/><Relationship Id="rId6387" Type="http://schemas.openxmlformats.org/officeDocument/2006/relationships/hyperlink" Target="https://pbs.twimg.com/profile_images/685178010962505728/m0D-Pvwg_normal.jpg" TargetMode="External"/><Relationship Id="rId5059" Type="http://schemas.openxmlformats.org/officeDocument/2006/relationships/hyperlink" Target="https://pbs.twimg.com/profile_images/3471819465/58bf7bfaa29046d181eef07d22477315_normal.png" TargetMode="External"/><Relationship Id="rId6370" Type="http://schemas.openxmlformats.org/officeDocument/2006/relationships/hyperlink" Target="https://twitter.com/WebScraperDB" TargetMode="External"/><Relationship Id="rId5042" Type="http://schemas.openxmlformats.org/officeDocument/2006/relationships/hyperlink" Target="https://twitter.com/CRANberriesFeed" TargetMode="External"/><Relationship Id="rId6373" Type="http://schemas.openxmlformats.org/officeDocument/2006/relationships/hyperlink" Target="https://twitter.com/desertnaut" TargetMode="External"/><Relationship Id="rId5043" Type="http://schemas.openxmlformats.org/officeDocument/2006/relationships/hyperlink" Target="https://twitter.com/CRANberriesFeed/status/702526911294140416" TargetMode="External"/><Relationship Id="rId6374" Type="http://schemas.openxmlformats.org/officeDocument/2006/relationships/hyperlink" Target="https://twitter.com/desertnaut/status/702765181672284160" TargetMode="External"/><Relationship Id="rId5040" Type="http://schemas.openxmlformats.org/officeDocument/2006/relationships/hyperlink" Target="https://twitter.com/CRANberriesFeed/status/702526862153687041" TargetMode="External"/><Relationship Id="rId6371" Type="http://schemas.openxmlformats.org/officeDocument/2006/relationships/hyperlink" Target="https://twitter.com/WebScraperDB/status/702763141365637120" TargetMode="External"/><Relationship Id="rId5041" Type="http://schemas.openxmlformats.org/officeDocument/2006/relationships/hyperlink" Target="https://pbs.twimg.com/profile_images/1222779560/cran1_normal.jpg" TargetMode="External"/><Relationship Id="rId6372" Type="http://schemas.openxmlformats.org/officeDocument/2006/relationships/hyperlink" Target="https://pbs.twimg.com/profile_images/699545598450606080/s8CU8cVg_normal.png" TargetMode="External"/><Relationship Id="rId5046" Type="http://schemas.openxmlformats.org/officeDocument/2006/relationships/hyperlink" Target="https://twitter.com/missmolamola/status/702527283588825088" TargetMode="External"/><Relationship Id="rId6377" Type="http://schemas.openxmlformats.org/officeDocument/2006/relationships/hyperlink" Target="https://twitter.com/_xiiik/status/702766583085543426" TargetMode="External"/><Relationship Id="rId5047" Type="http://schemas.openxmlformats.org/officeDocument/2006/relationships/hyperlink" Target="https://pbs.twimg.com/profile_images/675475253322059776/_hRNE59Q_normal.jpg" TargetMode="External"/><Relationship Id="rId6378" Type="http://schemas.openxmlformats.org/officeDocument/2006/relationships/hyperlink" Target="https://pbs.twimg.com/profile_images/587858415327641603/Gk5KqIhH_normal.jpg" TargetMode="External"/><Relationship Id="rId5044" Type="http://schemas.openxmlformats.org/officeDocument/2006/relationships/hyperlink" Target="https://pbs.twimg.com/profile_images/1222779560/cran1_normal.jpg" TargetMode="External"/><Relationship Id="rId6375" Type="http://schemas.openxmlformats.org/officeDocument/2006/relationships/hyperlink" Target="https://pbs.twimg.com/profile_images/3515263408/4dcca0278120c97c765cd0a80806d091_normal.jpeg" TargetMode="External"/><Relationship Id="rId5045" Type="http://schemas.openxmlformats.org/officeDocument/2006/relationships/hyperlink" Target="https://twitter.com/missmolamola" TargetMode="External"/><Relationship Id="rId6376" Type="http://schemas.openxmlformats.org/officeDocument/2006/relationships/hyperlink" Target="https://twitter.com/_xiiik" TargetMode="External"/><Relationship Id="rId5048" Type="http://schemas.openxmlformats.org/officeDocument/2006/relationships/hyperlink" Target="https://twitter.com/AriLamstein" TargetMode="External"/><Relationship Id="rId6379" Type="http://schemas.openxmlformats.org/officeDocument/2006/relationships/hyperlink" Target="https://twitter.com/nicolascantu8" TargetMode="External"/><Relationship Id="rId5049" Type="http://schemas.openxmlformats.org/officeDocument/2006/relationships/hyperlink" Target="https://twitter.com/AriLamstein/status/702527563818627072" TargetMode="External"/><Relationship Id="rId2800" Type="http://schemas.openxmlformats.org/officeDocument/2006/relationships/hyperlink" Target="https://twitter.com/hspter" TargetMode="External"/><Relationship Id="rId2801" Type="http://schemas.openxmlformats.org/officeDocument/2006/relationships/hyperlink" Target="https://twitter.com/hspter/status/702003968193462273" TargetMode="External"/><Relationship Id="rId2802" Type="http://schemas.openxmlformats.org/officeDocument/2006/relationships/hyperlink" Target="https://pbs.twimg.com/profile_images/611535712710729728/ZrqMrN21_normal.jpg" TargetMode="External"/><Relationship Id="rId2803" Type="http://schemas.openxmlformats.org/officeDocument/2006/relationships/hyperlink" Target="https://twitter.com/oMarceloVentura" TargetMode="External"/><Relationship Id="rId2804" Type="http://schemas.openxmlformats.org/officeDocument/2006/relationships/hyperlink" Target="https://twitter.com/oMarceloVentura/status/702004109122150401" TargetMode="External"/><Relationship Id="rId2805" Type="http://schemas.openxmlformats.org/officeDocument/2006/relationships/hyperlink" Target="https://pbs.twimg.com/profile_images/634928495592914944/FegA0vrf_normal.jpg" TargetMode="External"/><Relationship Id="rId2806" Type="http://schemas.openxmlformats.org/officeDocument/2006/relationships/hyperlink" Target="https://twitter.com/manudellavalle" TargetMode="External"/><Relationship Id="rId2807" Type="http://schemas.openxmlformats.org/officeDocument/2006/relationships/hyperlink" Target="https://twitter.com/manudellavalle/status/702004478308982784" TargetMode="External"/><Relationship Id="rId2808" Type="http://schemas.openxmlformats.org/officeDocument/2006/relationships/hyperlink" Target="https://pbs.twimg.com/profile_images/651465155868495872/0FnSog7t_normal.jpg" TargetMode="External"/><Relationship Id="rId2809" Type="http://schemas.openxmlformats.org/officeDocument/2006/relationships/hyperlink" Target="https://twitter.com/quominus" TargetMode="External"/><Relationship Id="rId5071" Type="http://schemas.openxmlformats.org/officeDocument/2006/relationships/hyperlink" Target="https://pbs.twimg.com/profile_images/1913633871/sean_normal.png" TargetMode="External"/><Relationship Id="rId5072" Type="http://schemas.openxmlformats.org/officeDocument/2006/relationships/hyperlink" Target="https://twitter.com/thatdnaguy" TargetMode="External"/><Relationship Id="rId5070" Type="http://schemas.openxmlformats.org/officeDocument/2006/relationships/hyperlink" Target="https://twitter.com/seandavis12/status/702530887607566336" TargetMode="External"/><Relationship Id="rId5075" Type="http://schemas.openxmlformats.org/officeDocument/2006/relationships/hyperlink" Target="https://twitter.com/ryanpraski" TargetMode="External"/><Relationship Id="rId5076" Type="http://schemas.openxmlformats.org/officeDocument/2006/relationships/hyperlink" Target="https://twitter.com/ryanpraski/status/702531331700498432" TargetMode="External"/><Relationship Id="rId5073" Type="http://schemas.openxmlformats.org/officeDocument/2006/relationships/hyperlink" Target="https://twitter.com/thatdnaguy/status/702530939168165888" TargetMode="External"/><Relationship Id="rId5074" Type="http://schemas.openxmlformats.org/officeDocument/2006/relationships/hyperlink" Target="https://pbs.twimg.com/profile_images/1378906526/B_DNA_normal.png" TargetMode="External"/><Relationship Id="rId5079" Type="http://schemas.openxmlformats.org/officeDocument/2006/relationships/hyperlink" Target="https://twitter.com/seandavis12/status/702532822431571969" TargetMode="External"/><Relationship Id="rId5077" Type="http://schemas.openxmlformats.org/officeDocument/2006/relationships/hyperlink" Target="https://pbs.twimg.com/profile_images/634449864684924928/VtH3s8ip_normal.png" TargetMode="External"/><Relationship Id="rId5078" Type="http://schemas.openxmlformats.org/officeDocument/2006/relationships/hyperlink" Target="https://twitter.com/seandavis12" TargetMode="External"/><Relationship Id="rId5060" Type="http://schemas.openxmlformats.org/officeDocument/2006/relationships/hyperlink" Target="https://twitter.com/sentiwire" TargetMode="External"/><Relationship Id="rId6391" Type="http://schemas.openxmlformats.org/officeDocument/2006/relationships/hyperlink" Target="https://twitter.com/zaticwu" TargetMode="External"/><Relationship Id="rId5061" Type="http://schemas.openxmlformats.org/officeDocument/2006/relationships/hyperlink" Target="https://twitter.com/sentiwire/status/702528836508909568" TargetMode="External"/><Relationship Id="rId6392" Type="http://schemas.openxmlformats.org/officeDocument/2006/relationships/hyperlink" Target="https://twitter.com/zaticwu/status/702769325996789760" TargetMode="External"/><Relationship Id="rId6390" Type="http://schemas.openxmlformats.org/officeDocument/2006/relationships/hyperlink" Target="https://pbs.twimg.com/profile_images/1965488997/309704_2354624192218_1448605327_2658004_1640680099_n_normal.jpg" TargetMode="External"/><Relationship Id="rId5064" Type="http://schemas.openxmlformats.org/officeDocument/2006/relationships/hyperlink" Target="https://twitter.com/jhollist/status/702529239208345601" TargetMode="External"/><Relationship Id="rId6395" Type="http://schemas.openxmlformats.org/officeDocument/2006/relationships/hyperlink" Target="https://twitter.com/pasandriani/status/702769434121920512" TargetMode="External"/><Relationship Id="rId5065" Type="http://schemas.openxmlformats.org/officeDocument/2006/relationships/hyperlink" Target="https://pbs.twimg.com/profile_images/562349585545170944/FADS_UgG_normal.jpeg" TargetMode="External"/><Relationship Id="rId6396" Type="http://schemas.openxmlformats.org/officeDocument/2006/relationships/hyperlink" Target="https://pbs.twimg.com/profile_images/1965488997/309704_2354624192218_1448605327_2658004_1640680099_n_normal.jpg" TargetMode="External"/><Relationship Id="rId5062" Type="http://schemas.openxmlformats.org/officeDocument/2006/relationships/hyperlink" Target="https://pbs.twimg.com/profile_images/686965105473396736/B9V5UtGS_normal.jpg" TargetMode="External"/><Relationship Id="rId6393" Type="http://schemas.openxmlformats.org/officeDocument/2006/relationships/hyperlink" Target="https://pbs.twimg.com/profile_images/509100899063439361/1xdR38oG_normal.jpeg" TargetMode="External"/><Relationship Id="rId5063" Type="http://schemas.openxmlformats.org/officeDocument/2006/relationships/hyperlink" Target="https://twitter.com/jhollist" TargetMode="External"/><Relationship Id="rId6394" Type="http://schemas.openxmlformats.org/officeDocument/2006/relationships/hyperlink" Target="https://twitter.com/pasandriani" TargetMode="External"/><Relationship Id="rId5068" Type="http://schemas.openxmlformats.org/officeDocument/2006/relationships/hyperlink" Target="https://pbs.twimg.com/profile_images/1913633871/sean_normal.png" TargetMode="External"/><Relationship Id="rId6399" Type="http://schemas.openxmlformats.org/officeDocument/2006/relationships/hyperlink" Target="https://pbs.twimg.com/profile_images/509100899063439361/1xdR38oG_normal.jpeg" TargetMode="External"/><Relationship Id="rId5069" Type="http://schemas.openxmlformats.org/officeDocument/2006/relationships/hyperlink" Target="https://twitter.com/seandavis12" TargetMode="External"/><Relationship Id="rId5066" Type="http://schemas.openxmlformats.org/officeDocument/2006/relationships/hyperlink" Target="https://twitter.com/seandavis12" TargetMode="External"/><Relationship Id="rId6397" Type="http://schemas.openxmlformats.org/officeDocument/2006/relationships/hyperlink" Target="https://twitter.com/zaticwu" TargetMode="External"/><Relationship Id="rId5067" Type="http://schemas.openxmlformats.org/officeDocument/2006/relationships/hyperlink" Target="https://twitter.com/seandavis12/status/702530499919659010" TargetMode="External"/><Relationship Id="rId6398" Type="http://schemas.openxmlformats.org/officeDocument/2006/relationships/hyperlink" Target="https://twitter.com/zaticwu/status/702769443999330304" TargetMode="External"/><Relationship Id="rId1576" Type="http://schemas.openxmlformats.org/officeDocument/2006/relationships/hyperlink" Target="https://twitter.com/Pvalsfr" TargetMode="External"/><Relationship Id="rId1577" Type="http://schemas.openxmlformats.org/officeDocument/2006/relationships/hyperlink" Target="https://twitter.com/Pvalsfr/status/701766726699118592" TargetMode="External"/><Relationship Id="rId1578" Type="http://schemas.openxmlformats.org/officeDocument/2006/relationships/hyperlink" Target="https://abs.twimg.com/sticky/default_profile_images/default_profile_4_normal.png" TargetMode="External"/><Relationship Id="rId1579" Type="http://schemas.openxmlformats.org/officeDocument/2006/relationships/hyperlink" Target="https://twitter.com/Cataranea" TargetMode="External"/><Relationship Id="rId987" Type="http://schemas.openxmlformats.org/officeDocument/2006/relationships/hyperlink" Target="https://twitter.com/Rbloggers" TargetMode="External"/><Relationship Id="rId986" Type="http://schemas.openxmlformats.org/officeDocument/2006/relationships/hyperlink" Target="https://pbs.twimg.com/profile_images/502185985786916864/gkdFh-q7_normal.png" TargetMode="External"/><Relationship Id="rId985" Type="http://schemas.openxmlformats.org/officeDocument/2006/relationships/hyperlink" Target="http://r-bloggers.com" TargetMode="External"/><Relationship Id="rId984" Type="http://schemas.openxmlformats.org/officeDocument/2006/relationships/hyperlink" Target="https://twitter.com/Rbloggers/status/701618708930670592" TargetMode="External"/><Relationship Id="rId989" Type="http://schemas.openxmlformats.org/officeDocument/2006/relationships/hyperlink" Target="http://r-bloggers.com" TargetMode="External"/><Relationship Id="rId988" Type="http://schemas.openxmlformats.org/officeDocument/2006/relationships/hyperlink" Target="https://twitter.com/Rbloggers/status/701618723673632768" TargetMode="External"/><Relationship Id="rId1570" Type="http://schemas.openxmlformats.org/officeDocument/2006/relationships/hyperlink" Target="https://twitter.com/bigboardsio" TargetMode="External"/><Relationship Id="rId1571" Type="http://schemas.openxmlformats.org/officeDocument/2006/relationships/hyperlink" Target="https://twitter.com/bigboardsio/status/701766017182257152" TargetMode="External"/><Relationship Id="rId983" Type="http://schemas.openxmlformats.org/officeDocument/2006/relationships/hyperlink" Target="https://twitter.com/Rbloggers" TargetMode="External"/><Relationship Id="rId1572" Type="http://schemas.openxmlformats.org/officeDocument/2006/relationships/hyperlink" Target="https://pbs.twimg.com/profile_images/489375332743409664/P4sYDY1__normal.png" TargetMode="External"/><Relationship Id="rId982" Type="http://schemas.openxmlformats.org/officeDocument/2006/relationships/hyperlink" Target="https://pbs.twimg.com/profile_images/573034054372597760/uU1rGRnE_normal.jpeg" TargetMode="External"/><Relationship Id="rId1573" Type="http://schemas.openxmlformats.org/officeDocument/2006/relationships/hyperlink" Target="https://twitter.com/vexedmuddler" TargetMode="External"/><Relationship Id="rId981" Type="http://schemas.openxmlformats.org/officeDocument/2006/relationships/hyperlink" Target="https://twitter.com/alstated/status/701617559003652096" TargetMode="External"/><Relationship Id="rId1574" Type="http://schemas.openxmlformats.org/officeDocument/2006/relationships/hyperlink" Target="https://twitter.com/vexedmuddler/status/701766262192533505" TargetMode="External"/><Relationship Id="rId980" Type="http://schemas.openxmlformats.org/officeDocument/2006/relationships/hyperlink" Target="https://twitter.com/alstated" TargetMode="External"/><Relationship Id="rId1575" Type="http://schemas.openxmlformats.org/officeDocument/2006/relationships/hyperlink" Target="https://pbs.twimg.com/profile_images/577980387084742656/1d0pWjPy_normal.png" TargetMode="External"/><Relationship Id="rId1565" Type="http://schemas.openxmlformats.org/officeDocument/2006/relationships/hyperlink" Target="https://twitter.com/vbd/status/701765374388396032" TargetMode="External"/><Relationship Id="rId2896" Type="http://schemas.openxmlformats.org/officeDocument/2006/relationships/hyperlink" Target="https://twitter.com/dlavbic" TargetMode="External"/><Relationship Id="rId1566" Type="http://schemas.openxmlformats.org/officeDocument/2006/relationships/hyperlink" Target="https://pbs.twimg.com/profile_images/1983753843/avatar_normal.png" TargetMode="External"/><Relationship Id="rId2897" Type="http://schemas.openxmlformats.org/officeDocument/2006/relationships/hyperlink" Target="https://twitter.com/dlavbic/status/702038033701457920" TargetMode="External"/><Relationship Id="rId1567" Type="http://schemas.openxmlformats.org/officeDocument/2006/relationships/hyperlink" Target="https://twitter.com/Pvalsfr" TargetMode="External"/><Relationship Id="rId2898" Type="http://schemas.openxmlformats.org/officeDocument/2006/relationships/hyperlink" Target="https://pbs.twimg.com/profile_images/655846376614531073/LYU7p-Ut_normal.png" TargetMode="External"/><Relationship Id="rId1568" Type="http://schemas.openxmlformats.org/officeDocument/2006/relationships/hyperlink" Target="https://twitter.com/Pvalsfr/status/701765692178219009" TargetMode="External"/><Relationship Id="rId2899" Type="http://schemas.openxmlformats.org/officeDocument/2006/relationships/hyperlink" Target="https://twitter.com/Abcd_R" TargetMode="External"/><Relationship Id="rId1569" Type="http://schemas.openxmlformats.org/officeDocument/2006/relationships/hyperlink" Target="https://abs.twimg.com/sticky/default_profile_images/default_profile_4_normal.png" TargetMode="External"/><Relationship Id="rId976" Type="http://schemas.openxmlformats.org/officeDocument/2006/relationships/hyperlink" Target="https://pbs.twimg.com/profile_images/573034054372597760/uU1rGRnE_normal.jpeg" TargetMode="External"/><Relationship Id="rId975" Type="http://schemas.openxmlformats.org/officeDocument/2006/relationships/hyperlink" Target="https://twitter.com/alstated/status/701617336298635264" TargetMode="External"/><Relationship Id="rId974" Type="http://schemas.openxmlformats.org/officeDocument/2006/relationships/hyperlink" Target="https://twitter.com/alstated" TargetMode="External"/><Relationship Id="rId973" Type="http://schemas.openxmlformats.org/officeDocument/2006/relationships/hyperlink" Target="https://pbs.twimg.com/profile_images/567672223029141505/zYpSqhay_normal.jpeg" TargetMode="External"/><Relationship Id="rId979" Type="http://schemas.openxmlformats.org/officeDocument/2006/relationships/hyperlink" Target="https://pbs.twimg.com/profile_images/662342111799304192/Xtv8MZ-P_normal.jpg" TargetMode="External"/><Relationship Id="rId978" Type="http://schemas.openxmlformats.org/officeDocument/2006/relationships/hyperlink" Target="https://twitter.com/sfrechette/status/701617414069477377" TargetMode="External"/><Relationship Id="rId977" Type="http://schemas.openxmlformats.org/officeDocument/2006/relationships/hyperlink" Target="https://twitter.com/sfrechette" TargetMode="External"/><Relationship Id="rId2890" Type="http://schemas.openxmlformats.org/officeDocument/2006/relationships/hyperlink" Target="https://twitter.com/Sheffield_R_" TargetMode="External"/><Relationship Id="rId1560" Type="http://schemas.openxmlformats.org/officeDocument/2006/relationships/hyperlink" Target="https://pbs.twimg.com/profile_images/461862990262710272/VqV2sKZR_normal.jpeg" TargetMode="External"/><Relationship Id="rId2891" Type="http://schemas.openxmlformats.org/officeDocument/2006/relationships/hyperlink" Target="https://twitter.com/Sheffield_R_/status/702035663168868352" TargetMode="External"/><Relationship Id="rId972" Type="http://schemas.openxmlformats.org/officeDocument/2006/relationships/hyperlink" Target="https://twitter.com/tomkXY/status/701616629134721025" TargetMode="External"/><Relationship Id="rId1561" Type="http://schemas.openxmlformats.org/officeDocument/2006/relationships/hyperlink" Target="https://twitter.com/PedrorubioCh" TargetMode="External"/><Relationship Id="rId2892" Type="http://schemas.openxmlformats.org/officeDocument/2006/relationships/hyperlink" Target="https://pbs.twimg.com/profile_images/526695509356838912/eSvsHAD7_normal.jpeg" TargetMode="External"/><Relationship Id="rId971" Type="http://schemas.openxmlformats.org/officeDocument/2006/relationships/hyperlink" Target="https://twitter.com/tomkXY" TargetMode="External"/><Relationship Id="rId1562" Type="http://schemas.openxmlformats.org/officeDocument/2006/relationships/hyperlink" Target="https://twitter.com/PedrorubioCh/status/701762680609234946" TargetMode="External"/><Relationship Id="rId2893" Type="http://schemas.openxmlformats.org/officeDocument/2006/relationships/hyperlink" Target="https://twitter.com/TweetingRichy" TargetMode="External"/><Relationship Id="rId970" Type="http://schemas.openxmlformats.org/officeDocument/2006/relationships/hyperlink" Target="https://pbs.twimg.com/profile_images/568067400809984000/MXrq4e8A_normal.jpeg" TargetMode="External"/><Relationship Id="rId1563" Type="http://schemas.openxmlformats.org/officeDocument/2006/relationships/hyperlink" Target="https://pbs.twimg.com/profile_images/378800000077176852/3bf612fea6beb203a81dee0b85679ffb_normal.jpeg" TargetMode="External"/><Relationship Id="rId2894" Type="http://schemas.openxmlformats.org/officeDocument/2006/relationships/hyperlink" Target="https://twitter.com/TweetingRichy/status/702036454495678464" TargetMode="External"/><Relationship Id="rId1564" Type="http://schemas.openxmlformats.org/officeDocument/2006/relationships/hyperlink" Target="https://twitter.com/vbd" TargetMode="External"/><Relationship Id="rId2895" Type="http://schemas.openxmlformats.org/officeDocument/2006/relationships/hyperlink" Target="https://pbs.twimg.com/profile_images/378800000641016153/b7ba6c8170447715156c083b655e7a7d_normal.jpeg" TargetMode="External"/><Relationship Id="rId1598" Type="http://schemas.openxmlformats.org/officeDocument/2006/relationships/hyperlink" Target="https://abs.twimg.com/sticky/default_profile_images/default_profile_0_normal.png" TargetMode="External"/><Relationship Id="rId1599" Type="http://schemas.openxmlformats.org/officeDocument/2006/relationships/hyperlink" Target="https://twitter.com/dataandme" TargetMode="External"/><Relationship Id="rId1590" Type="http://schemas.openxmlformats.org/officeDocument/2006/relationships/hyperlink" Target="https://twitter.com/puneethmishra" TargetMode="External"/><Relationship Id="rId1591" Type="http://schemas.openxmlformats.org/officeDocument/2006/relationships/hyperlink" Target="https://twitter.com/puneethmishra/status/701767263112658948" TargetMode="External"/><Relationship Id="rId1592" Type="http://schemas.openxmlformats.org/officeDocument/2006/relationships/hyperlink" Target="https://pbs.twimg.com/profile_images/297245835/Picture_002_normal.jpg" TargetMode="External"/><Relationship Id="rId1593" Type="http://schemas.openxmlformats.org/officeDocument/2006/relationships/hyperlink" Target="https://twitter.com/nyonenyone" TargetMode="External"/><Relationship Id="rId1594" Type="http://schemas.openxmlformats.org/officeDocument/2006/relationships/hyperlink" Target="https://twitter.com/nyonenyone/status/701767692189982722" TargetMode="External"/><Relationship Id="rId1595" Type="http://schemas.openxmlformats.org/officeDocument/2006/relationships/hyperlink" Target="https://pbs.twimg.com/profile_images/1372030658/KSKandN_normal.JPG" TargetMode="External"/><Relationship Id="rId1596" Type="http://schemas.openxmlformats.org/officeDocument/2006/relationships/hyperlink" Target="https://twitter.com/rusertw95582000" TargetMode="External"/><Relationship Id="rId1597" Type="http://schemas.openxmlformats.org/officeDocument/2006/relationships/hyperlink" Target="https://twitter.com/rusertw95582000/status/701768166796611584" TargetMode="External"/><Relationship Id="rId1587" Type="http://schemas.openxmlformats.org/officeDocument/2006/relationships/hyperlink" Target="https://twitter.com/Rbloggers/status/701767257274212353" TargetMode="External"/><Relationship Id="rId1588" Type="http://schemas.openxmlformats.org/officeDocument/2006/relationships/hyperlink" Target="http://r-bloggers.com" TargetMode="External"/><Relationship Id="rId1589" Type="http://schemas.openxmlformats.org/officeDocument/2006/relationships/hyperlink" Target="https://pbs.twimg.com/profile_images/502185985786916864/gkdFh-q7_normal.png" TargetMode="External"/><Relationship Id="rId998" Type="http://schemas.openxmlformats.org/officeDocument/2006/relationships/hyperlink" Target="https://twitter.com/jatkat45" TargetMode="External"/><Relationship Id="rId997" Type="http://schemas.openxmlformats.org/officeDocument/2006/relationships/hyperlink" Target="https://pbs.twimg.com/profile_images/694004161319292928/Bzu1EMNc_normal.png" TargetMode="External"/><Relationship Id="rId996" Type="http://schemas.openxmlformats.org/officeDocument/2006/relationships/hyperlink" Target="https://twitter.com/cotterw/status/701618980344057856" TargetMode="External"/><Relationship Id="rId995" Type="http://schemas.openxmlformats.org/officeDocument/2006/relationships/hyperlink" Target="https://twitter.com/cotterw" TargetMode="External"/><Relationship Id="rId999" Type="http://schemas.openxmlformats.org/officeDocument/2006/relationships/hyperlink" Target="https://twitter.com/jatkat45/status/701619002423033857" TargetMode="External"/><Relationship Id="rId990" Type="http://schemas.openxmlformats.org/officeDocument/2006/relationships/hyperlink" Target="https://pbs.twimg.com/profile_images/502185985786916864/gkdFh-q7_normal.png" TargetMode="External"/><Relationship Id="rId1580" Type="http://schemas.openxmlformats.org/officeDocument/2006/relationships/hyperlink" Target="https://twitter.com/Cataranea/status/701766765399949313" TargetMode="External"/><Relationship Id="rId1581" Type="http://schemas.openxmlformats.org/officeDocument/2006/relationships/hyperlink" Target="https://pbs.twimg.com/profile_images/701396411796033536/gge6-6QG_normal.jpg" TargetMode="External"/><Relationship Id="rId1582" Type="http://schemas.openxmlformats.org/officeDocument/2006/relationships/hyperlink" Target="https://twitter.com/Rbloggers" TargetMode="External"/><Relationship Id="rId994" Type="http://schemas.openxmlformats.org/officeDocument/2006/relationships/hyperlink" Target="https://pbs.twimg.com/profile_images/502185985786916864/gkdFh-q7_normal.png" TargetMode="External"/><Relationship Id="rId1583" Type="http://schemas.openxmlformats.org/officeDocument/2006/relationships/hyperlink" Target="https://twitter.com/Rbloggers/status/701767215595454464" TargetMode="External"/><Relationship Id="rId993" Type="http://schemas.openxmlformats.org/officeDocument/2006/relationships/hyperlink" Target="http://r-bloggers.com" TargetMode="External"/><Relationship Id="rId1584" Type="http://schemas.openxmlformats.org/officeDocument/2006/relationships/hyperlink" Target="http://r-bloggers.com" TargetMode="External"/><Relationship Id="rId992" Type="http://schemas.openxmlformats.org/officeDocument/2006/relationships/hyperlink" Target="https://twitter.com/Rbloggers/status/701618744422825984" TargetMode="External"/><Relationship Id="rId1585" Type="http://schemas.openxmlformats.org/officeDocument/2006/relationships/hyperlink" Target="https://pbs.twimg.com/profile_images/502185985786916864/gkdFh-q7_normal.png" TargetMode="External"/><Relationship Id="rId991" Type="http://schemas.openxmlformats.org/officeDocument/2006/relationships/hyperlink" Target="https://twitter.com/Rbloggers" TargetMode="External"/><Relationship Id="rId1586" Type="http://schemas.openxmlformats.org/officeDocument/2006/relationships/hyperlink" Target="https://twitter.com/Rbloggers" TargetMode="External"/><Relationship Id="rId1532" Type="http://schemas.openxmlformats.org/officeDocument/2006/relationships/hyperlink" Target="https://twitter.com/iedrulu/status/701752030411489280" TargetMode="External"/><Relationship Id="rId2863" Type="http://schemas.openxmlformats.org/officeDocument/2006/relationships/hyperlink" Target="https://twitter.com/artemklevtsov" TargetMode="External"/><Relationship Id="rId1533" Type="http://schemas.openxmlformats.org/officeDocument/2006/relationships/hyperlink" Target="https://pbs.twimg.com/profile_images/693001348909010945/xakkt-cn_normal.jpg" TargetMode="External"/><Relationship Id="rId2864" Type="http://schemas.openxmlformats.org/officeDocument/2006/relationships/hyperlink" Target="https://twitter.com/artemklevtsov/status/702027807442993152" TargetMode="External"/><Relationship Id="rId1534" Type="http://schemas.openxmlformats.org/officeDocument/2006/relationships/hyperlink" Target="https://twitter.com/HaithamHS" TargetMode="External"/><Relationship Id="rId2865" Type="http://schemas.openxmlformats.org/officeDocument/2006/relationships/hyperlink" Target="https://pbs.twimg.com/profile_images/582945739141058560/m1lDOgFc_normal.png" TargetMode="External"/><Relationship Id="rId1535" Type="http://schemas.openxmlformats.org/officeDocument/2006/relationships/hyperlink" Target="https://twitter.com/HaithamHS/status/701753531020271617" TargetMode="External"/><Relationship Id="rId2866" Type="http://schemas.openxmlformats.org/officeDocument/2006/relationships/hyperlink" Target="https://twitter.com/schooltds" TargetMode="External"/><Relationship Id="rId1536" Type="http://schemas.openxmlformats.org/officeDocument/2006/relationships/hyperlink" Target="https://pbs.twimg.com/profile_images/1797381334/Untitled232_normal.png" TargetMode="External"/><Relationship Id="rId2867" Type="http://schemas.openxmlformats.org/officeDocument/2006/relationships/hyperlink" Target="https://twitter.com/schooltds/status/702031191818559488" TargetMode="External"/><Relationship Id="rId1537" Type="http://schemas.openxmlformats.org/officeDocument/2006/relationships/hyperlink" Target="https://twitter.com/AubreyKCMaseko" TargetMode="External"/><Relationship Id="rId2868" Type="http://schemas.openxmlformats.org/officeDocument/2006/relationships/hyperlink" Target="https://pbs.twimg.com/profile_images/458250716608356352/LFAFfT-Y_normal.png" TargetMode="External"/><Relationship Id="rId1538" Type="http://schemas.openxmlformats.org/officeDocument/2006/relationships/hyperlink" Target="https://twitter.com/AubreyKCMaseko/status/701753735773601792" TargetMode="External"/><Relationship Id="rId2869" Type="http://schemas.openxmlformats.org/officeDocument/2006/relationships/hyperlink" Target="https://twitter.com/ShinyappsRecent" TargetMode="External"/><Relationship Id="rId1539" Type="http://schemas.openxmlformats.org/officeDocument/2006/relationships/hyperlink" Target="https://pbs.twimg.com/profile_images/2619565448/image_normal.jpg" TargetMode="External"/><Relationship Id="rId949" Type="http://schemas.openxmlformats.org/officeDocument/2006/relationships/hyperlink" Target="https://pbs.twimg.com/profile_images/1135754268/chl2bgv2_normal.png" TargetMode="External"/><Relationship Id="rId948" Type="http://schemas.openxmlformats.org/officeDocument/2006/relationships/hyperlink" Target="https://twitter.com/chlalanne/status/701610486723387392" TargetMode="External"/><Relationship Id="rId943" Type="http://schemas.openxmlformats.org/officeDocument/2006/relationships/hyperlink" Target="https://pbs.twimg.com/profile_images/601586590700412928/acECfnbp_normal.jpg" TargetMode="External"/><Relationship Id="rId942" Type="http://schemas.openxmlformats.org/officeDocument/2006/relationships/hyperlink" Target="https://twitter.com/josh_josh_josh1/status/701607920589529088" TargetMode="External"/><Relationship Id="rId941" Type="http://schemas.openxmlformats.org/officeDocument/2006/relationships/hyperlink" Target="https://twitter.com/josh_josh_josh1" TargetMode="External"/><Relationship Id="rId940" Type="http://schemas.openxmlformats.org/officeDocument/2006/relationships/hyperlink" Target="https://pbs.twimg.com/profile_images/669579420231974912/Xq-k2P3d_normal.jpg" TargetMode="External"/><Relationship Id="rId947" Type="http://schemas.openxmlformats.org/officeDocument/2006/relationships/hyperlink" Target="https://twitter.com/chlalanne" TargetMode="External"/><Relationship Id="rId946" Type="http://schemas.openxmlformats.org/officeDocument/2006/relationships/hyperlink" Target="https://pbs.twimg.com/profile_images/485766134268837889/t4PLhSfT_normal.jpeg" TargetMode="External"/><Relationship Id="rId945" Type="http://schemas.openxmlformats.org/officeDocument/2006/relationships/hyperlink" Target="https://twitter.com/DrAndyPardoe/status/701609794067681281" TargetMode="External"/><Relationship Id="rId944" Type="http://schemas.openxmlformats.org/officeDocument/2006/relationships/hyperlink" Target="https://twitter.com/DrAndyPardoe" TargetMode="External"/><Relationship Id="rId2860" Type="http://schemas.openxmlformats.org/officeDocument/2006/relationships/hyperlink" Target="https://twitter.com/znmeb" TargetMode="External"/><Relationship Id="rId1530" Type="http://schemas.openxmlformats.org/officeDocument/2006/relationships/hyperlink" Target="https://pbs.twimg.com/profile_images/3760071618/d215633771a2732f1c5df22f9ecfa54e_normal.jpeg" TargetMode="External"/><Relationship Id="rId2861" Type="http://schemas.openxmlformats.org/officeDocument/2006/relationships/hyperlink" Target="https://twitter.com/znmeb/status/702025491784404992" TargetMode="External"/><Relationship Id="rId1531" Type="http://schemas.openxmlformats.org/officeDocument/2006/relationships/hyperlink" Target="https://twitter.com/iedrulu" TargetMode="External"/><Relationship Id="rId2862" Type="http://schemas.openxmlformats.org/officeDocument/2006/relationships/hyperlink" Target="https://pbs.twimg.com/profile_images/583511400900759552/LYHMK6op_normal.jpg" TargetMode="External"/><Relationship Id="rId1521" Type="http://schemas.openxmlformats.org/officeDocument/2006/relationships/hyperlink" Target="https://pbs.twimg.com/profile_images/583286350151098368/5H4-zEen_normal.jpg" TargetMode="External"/><Relationship Id="rId2852" Type="http://schemas.openxmlformats.org/officeDocument/2006/relationships/hyperlink" Target="https://twitter.com/fperez_org/status/702020783468490752" TargetMode="External"/><Relationship Id="rId1522" Type="http://schemas.openxmlformats.org/officeDocument/2006/relationships/hyperlink" Target="https://twitter.com/R_Graph_Gallery" TargetMode="External"/><Relationship Id="rId2853" Type="http://schemas.openxmlformats.org/officeDocument/2006/relationships/hyperlink" Target="https://pbs.twimg.com/profile_images/1864199033/fperez_photo2_sm_normal.jpg" TargetMode="External"/><Relationship Id="rId1523" Type="http://schemas.openxmlformats.org/officeDocument/2006/relationships/hyperlink" Target="https://twitter.com/R_Graph_Gallery/status/701751547076730880" TargetMode="External"/><Relationship Id="rId2854" Type="http://schemas.openxmlformats.org/officeDocument/2006/relationships/hyperlink" Target="https://twitter.com/Atabey_Kaygun" TargetMode="External"/><Relationship Id="rId1524" Type="http://schemas.openxmlformats.org/officeDocument/2006/relationships/hyperlink" Target="https://pbs.twimg.com/profile_images/701732569944092672/lj__tCoY_normal.jpg" TargetMode="External"/><Relationship Id="rId2855" Type="http://schemas.openxmlformats.org/officeDocument/2006/relationships/hyperlink" Target="https://twitter.com/Atabey_Kaygun/status/702021239326556160" TargetMode="External"/><Relationship Id="rId1525" Type="http://schemas.openxmlformats.org/officeDocument/2006/relationships/hyperlink" Target="https://twitter.com/wrgarciag" TargetMode="External"/><Relationship Id="rId2856" Type="http://schemas.openxmlformats.org/officeDocument/2006/relationships/hyperlink" Target="https://pbs.twimg.com/profile_images/432232353323167745/3ywtK_NO_normal.jpeg" TargetMode="External"/><Relationship Id="rId1526" Type="http://schemas.openxmlformats.org/officeDocument/2006/relationships/hyperlink" Target="https://twitter.com/wrgarciag/status/701751738018222084" TargetMode="External"/><Relationship Id="rId2857" Type="http://schemas.openxmlformats.org/officeDocument/2006/relationships/hyperlink" Target="https://twitter.com/shakamunyi" TargetMode="External"/><Relationship Id="rId1527" Type="http://schemas.openxmlformats.org/officeDocument/2006/relationships/hyperlink" Target="https://pbs.twimg.com/profile_images/548931380541792256/RN_Lg1sS_normal.jpeg" TargetMode="External"/><Relationship Id="rId2858" Type="http://schemas.openxmlformats.org/officeDocument/2006/relationships/hyperlink" Target="https://twitter.com/shakamunyi/status/702025373383581696" TargetMode="External"/><Relationship Id="rId1528" Type="http://schemas.openxmlformats.org/officeDocument/2006/relationships/hyperlink" Target="https://twitter.com/davidmeza1" TargetMode="External"/><Relationship Id="rId2859" Type="http://schemas.openxmlformats.org/officeDocument/2006/relationships/hyperlink" Target="https://pbs.twimg.com/profile_images/598640478657978368/PgSHeCsJ_normal.jpg" TargetMode="External"/><Relationship Id="rId1529" Type="http://schemas.openxmlformats.org/officeDocument/2006/relationships/hyperlink" Target="https://twitter.com/davidmeza1/status/701752021292969984" TargetMode="External"/><Relationship Id="rId939" Type="http://schemas.openxmlformats.org/officeDocument/2006/relationships/hyperlink" Target="https://twitter.com/Sergio_Ibarra/status/701607690116722688" TargetMode="External"/><Relationship Id="rId938" Type="http://schemas.openxmlformats.org/officeDocument/2006/relationships/hyperlink" Target="https://twitter.com/Sergio_Ibarra" TargetMode="External"/><Relationship Id="rId937" Type="http://schemas.openxmlformats.org/officeDocument/2006/relationships/hyperlink" Target="https://pbs.twimg.com/profile_images/119769350/logo-azul-blanco_normal.png" TargetMode="External"/><Relationship Id="rId932" Type="http://schemas.openxmlformats.org/officeDocument/2006/relationships/hyperlink" Target="https://twitter.com/dataandme" TargetMode="External"/><Relationship Id="rId931" Type="http://schemas.openxmlformats.org/officeDocument/2006/relationships/hyperlink" Target="https://pbs.twimg.com/profile_images/647923180795994112/kfRnOF24_normal.jpg" TargetMode="External"/><Relationship Id="rId930" Type="http://schemas.openxmlformats.org/officeDocument/2006/relationships/hyperlink" Target="https://twitter.com/frankwwu/status/701598889137274880" TargetMode="External"/><Relationship Id="rId936" Type="http://schemas.openxmlformats.org/officeDocument/2006/relationships/hyperlink" Target="https://twitter.com/nekrum/status/701607552857952256" TargetMode="External"/><Relationship Id="rId935" Type="http://schemas.openxmlformats.org/officeDocument/2006/relationships/hyperlink" Target="https://twitter.com/nekrum" TargetMode="External"/><Relationship Id="rId934" Type="http://schemas.openxmlformats.org/officeDocument/2006/relationships/hyperlink" Target="https://pbs.twimg.com/profile_images/598126722920361984/HdS1NWXJ_normal.png" TargetMode="External"/><Relationship Id="rId933" Type="http://schemas.openxmlformats.org/officeDocument/2006/relationships/hyperlink" Target="https://twitter.com/dataandme/status/701604648717787136" TargetMode="External"/><Relationship Id="rId2850" Type="http://schemas.openxmlformats.org/officeDocument/2006/relationships/hyperlink" Target="https://pbs.twimg.com/profile_images/378800000809810536/f245ca2d284ae20da862971ef93ecc6b_normal.png" TargetMode="External"/><Relationship Id="rId1520" Type="http://schemas.openxmlformats.org/officeDocument/2006/relationships/hyperlink" Target="https://twitter.com/mgwhitfield/status/701750584853057536" TargetMode="External"/><Relationship Id="rId2851" Type="http://schemas.openxmlformats.org/officeDocument/2006/relationships/hyperlink" Target="https://twitter.com/fperez_org" TargetMode="External"/><Relationship Id="rId1554" Type="http://schemas.openxmlformats.org/officeDocument/2006/relationships/hyperlink" Target="https://pbs.twimg.com/profile_images/511900964924559360/35j4V6VI_normal.png" TargetMode="External"/><Relationship Id="rId2885" Type="http://schemas.openxmlformats.org/officeDocument/2006/relationships/hyperlink" Target="https://twitter.com/ErmiaBivatan/status/702033564381138944" TargetMode="External"/><Relationship Id="rId1555" Type="http://schemas.openxmlformats.org/officeDocument/2006/relationships/hyperlink" Target="https://twitter.com/DataEducationDC" TargetMode="External"/><Relationship Id="rId2886" Type="http://schemas.openxmlformats.org/officeDocument/2006/relationships/hyperlink" Target="https://pbs.twimg.com/profile_images/700219041131204608/DZKmHE4-_normal.jpg" TargetMode="External"/><Relationship Id="rId1556" Type="http://schemas.openxmlformats.org/officeDocument/2006/relationships/hyperlink" Target="https://twitter.com/DataEducationDC/status/701761478714462208" TargetMode="External"/><Relationship Id="rId2887" Type="http://schemas.openxmlformats.org/officeDocument/2006/relationships/hyperlink" Target="https://twitter.com/tomhouslay" TargetMode="External"/><Relationship Id="rId1557" Type="http://schemas.openxmlformats.org/officeDocument/2006/relationships/hyperlink" Target="https://pbs.twimg.com/profile_images/575374629717475328/e5xyoIsT_normal.png" TargetMode="External"/><Relationship Id="rId2888" Type="http://schemas.openxmlformats.org/officeDocument/2006/relationships/hyperlink" Target="https://twitter.com/tomhouslay/status/702033582357934080" TargetMode="External"/><Relationship Id="rId1558" Type="http://schemas.openxmlformats.org/officeDocument/2006/relationships/hyperlink" Target="https://twitter.com/dogvile" TargetMode="External"/><Relationship Id="rId2889" Type="http://schemas.openxmlformats.org/officeDocument/2006/relationships/hyperlink" Target="https://pbs.twimg.com/profile_images/701901513392717824/lUzJ39G2_normal.png" TargetMode="External"/><Relationship Id="rId1559" Type="http://schemas.openxmlformats.org/officeDocument/2006/relationships/hyperlink" Target="https://twitter.com/dogvile/status/701761617248313344" TargetMode="External"/><Relationship Id="rId965" Type="http://schemas.openxmlformats.org/officeDocument/2006/relationships/hyperlink" Target="https://twitter.com/pa_marais" TargetMode="External"/><Relationship Id="rId964" Type="http://schemas.openxmlformats.org/officeDocument/2006/relationships/hyperlink" Target="https://pbs.twimg.com/profile_images/567672223029141505/zYpSqhay_normal.jpeg" TargetMode="External"/><Relationship Id="rId963" Type="http://schemas.openxmlformats.org/officeDocument/2006/relationships/hyperlink" Target="https://twitter.com/tomkXY/status/701615635059515397" TargetMode="External"/><Relationship Id="rId962" Type="http://schemas.openxmlformats.org/officeDocument/2006/relationships/hyperlink" Target="https://twitter.com/tomkXY" TargetMode="External"/><Relationship Id="rId969" Type="http://schemas.openxmlformats.org/officeDocument/2006/relationships/hyperlink" Target="https://twitter.com/pa_marais/status/701616090254860288" TargetMode="External"/><Relationship Id="rId968" Type="http://schemas.openxmlformats.org/officeDocument/2006/relationships/hyperlink" Target="https://twitter.com/pa_marais" TargetMode="External"/><Relationship Id="rId967" Type="http://schemas.openxmlformats.org/officeDocument/2006/relationships/hyperlink" Target="https://pbs.twimg.com/profile_images/568067400809984000/MXrq4e8A_normal.jpeg" TargetMode="External"/><Relationship Id="rId966" Type="http://schemas.openxmlformats.org/officeDocument/2006/relationships/hyperlink" Target="https://twitter.com/pa_marais/status/701616042834055168" TargetMode="External"/><Relationship Id="rId2880" Type="http://schemas.openxmlformats.org/officeDocument/2006/relationships/hyperlink" Target="https://pbs.twimg.com/profile_images/378800000856110283/ca1b515aeb1dca4c69dff0fb385dae78_normal.jpeg" TargetMode="External"/><Relationship Id="rId961" Type="http://schemas.openxmlformats.org/officeDocument/2006/relationships/hyperlink" Target="https://pbs.twimg.com/profile_images/1105063291/Oommen01_normal.jpg" TargetMode="External"/><Relationship Id="rId1550" Type="http://schemas.openxmlformats.org/officeDocument/2006/relationships/hyperlink" Target="https://twitter.com/DataMinerX/status/701757343545950209" TargetMode="External"/><Relationship Id="rId2881" Type="http://schemas.openxmlformats.org/officeDocument/2006/relationships/hyperlink" Target="https://twitter.com/schiesslr" TargetMode="External"/><Relationship Id="rId960" Type="http://schemas.openxmlformats.org/officeDocument/2006/relationships/hyperlink" Target="https://twitter.com/oommen_km/status/701613018799419392" TargetMode="External"/><Relationship Id="rId1551" Type="http://schemas.openxmlformats.org/officeDocument/2006/relationships/hyperlink" Target="https://pbs.twimg.com/profile_images/678987422475018240/zOKqetJt_normal.jpg" TargetMode="External"/><Relationship Id="rId2882" Type="http://schemas.openxmlformats.org/officeDocument/2006/relationships/hyperlink" Target="https://twitter.com/schiesslr/status/702032653009211392" TargetMode="External"/><Relationship Id="rId1552" Type="http://schemas.openxmlformats.org/officeDocument/2006/relationships/hyperlink" Target="https://twitter.com/datacarpentry" TargetMode="External"/><Relationship Id="rId2883" Type="http://schemas.openxmlformats.org/officeDocument/2006/relationships/hyperlink" Target="https://pbs.twimg.com/profile_images/20802812/rup_normal.jpg" TargetMode="External"/><Relationship Id="rId1553" Type="http://schemas.openxmlformats.org/officeDocument/2006/relationships/hyperlink" Target="https://twitter.com/datacarpentry/status/701760558039601152" TargetMode="External"/><Relationship Id="rId2884" Type="http://schemas.openxmlformats.org/officeDocument/2006/relationships/hyperlink" Target="https://twitter.com/ErmiaBivatan" TargetMode="External"/><Relationship Id="rId1543" Type="http://schemas.openxmlformats.org/officeDocument/2006/relationships/hyperlink" Target="https://twitter.com/rlnel" TargetMode="External"/><Relationship Id="rId2874" Type="http://schemas.openxmlformats.org/officeDocument/2006/relationships/hyperlink" Target="https://pbs.twimg.com/profile_images/759276585/2204_normal.jpg" TargetMode="External"/><Relationship Id="rId1544" Type="http://schemas.openxmlformats.org/officeDocument/2006/relationships/hyperlink" Target="https://twitter.com/rlnel/status/701755137568563200" TargetMode="External"/><Relationship Id="rId2875" Type="http://schemas.openxmlformats.org/officeDocument/2006/relationships/hyperlink" Target="https://twitter.com/P_O_Bourge" TargetMode="External"/><Relationship Id="rId1545" Type="http://schemas.openxmlformats.org/officeDocument/2006/relationships/hyperlink" Target="https://pbs.twimg.com/profile_images/632860258545848320/m-EFeAuX_normal.jpg" TargetMode="External"/><Relationship Id="rId2876" Type="http://schemas.openxmlformats.org/officeDocument/2006/relationships/hyperlink" Target="https://twitter.com/P_O_Bourge/status/702032157938737152" TargetMode="External"/><Relationship Id="rId1546" Type="http://schemas.openxmlformats.org/officeDocument/2006/relationships/hyperlink" Target="https://twitter.com/odsc" TargetMode="External"/><Relationship Id="rId2877" Type="http://schemas.openxmlformats.org/officeDocument/2006/relationships/hyperlink" Target="https://pbs.twimg.com/profile_images/628432518551834624/cBpNOX7v_normal.jpg" TargetMode="External"/><Relationship Id="rId1547" Type="http://schemas.openxmlformats.org/officeDocument/2006/relationships/hyperlink" Target="https://twitter.com/odsc/status/701756038383534080" TargetMode="External"/><Relationship Id="rId2878" Type="http://schemas.openxmlformats.org/officeDocument/2006/relationships/hyperlink" Target="https://twitter.com/UrbanDemog" TargetMode="External"/><Relationship Id="rId1548" Type="http://schemas.openxmlformats.org/officeDocument/2006/relationships/hyperlink" Target="https://pbs.twimg.com/profile_images/623923923441348612/HxO7gaZZ_normal.png" TargetMode="External"/><Relationship Id="rId2879" Type="http://schemas.openxmlformats.org/officeDocument/2006/relationships/hyperlink" Target="https://twitter.com/UrbanDemog/status/702032574965796864" TargetMode="External"/><Relationship Id="rId1549" Type="http://schemas.openxmlformats.org/officeDocument/2006/relationships/hyperlink" Target="https://twitter.com/DataMinerX" TargetMode="External"/><Relationship Id="rId959" Type="http://schemas.openxmlformats.org/officeDocument/2006/relationships/hyperlink" Target="https://twitter.com/oommen_km" TargetMode="External"/><Relationship Id="rId954" Type="http://schemas.openxmlformats.org/officeDocument/2006/relationships/hyperlink" Target="https://twitter.com/akudus/status/701611201852145665" TargetMode="External"/><Relationship Id="rId953" Type="http://schemas.openxmlformats.org/officeDocument/2006/relationships/hyperlink" Target="https://twitter.com/akudus" TargetMode="External"/><Relationship Id="rId952" Type="http://schemas.openxmlformats.org/officeDocument/2006/relationships/hyperlink" Target="https://pbs.twimg.com/profile_images/509352548549935105/vUQcEAtE_normal.jpeg" TargetMode="External"/><Relationship Id="rId951" Type="http://schemas.openxmlformats.org/officeDocument/2006/relationships/hyperlink" Target="https://twitter.com/dutchlight360/status/701610545359749120" TargetMode="External"/><Relationship Id="rId958" Type="http://schemas.openxmlformats.org/officeDocument/2006/relationships/hyperlink" Target="https://pbs.twimg.com/profile_images/699255766268555264/SjMMXI1u_normal.jpg" TargetMode="External"/><Relationship Id="rId957" Type="http://schemas.openxmlformats.org/officeDocument/2006/relationships/hyperlink" Target="https://twitter.com/mia_iris_costa/status/701612545917001729" TargetMode="External"/><Relationship Id="rId956" Type="http://schemas.openxmlformats.org/officeDocument/2006/relationships/hyperlink" Target="https://twitter.com/mia_iris_costa" TargetMode="External"/><Relationship Id="rId955" Type="http://schemas.openxmlformats.org/officeDocument/2006/relationships/hyperlink" Target="https://pbs.twimg.com/profile_images/689130957475950592/DxFg5Xl4_normal.jpg" TargetMode="External"/><Relationship Id="rId950" Type="http://schemas.openxmlformats.org/officeDocument/2006/relationships/hyperlink" Target="https://twitter.com/dutchlight360" TargetMode="External"/><Relationship Id="rId2870" Type="http://schemas.openxmlformats.org/officeDocument/2006/relationships/hyperlink" Target="https://twitter.com/ShinyappsRecent/status/702031390842335236" TargetMode="External"/><Relationship Id="rId1540" Type="http://schemas.openxmlformats.org/officeDocument/2006/relationships/hyperlink" Target="https://twitter.com/BillPetti" TargetMode="External"/><Relationship Id="rId2871" Type="http://schemas.openxmlformats.org/officeDocument/2006/relationships/hyperlink" Target="https://pbs.twimg.com/profile_images/550280885480603648/jye_0y8s_normal.png" TargetMode="External"/><Relationship Id="rId1541" Type="http://schemas.openxmlformats.org/officeDocument/2006/relationships/hyperlink" Target="https://twitter.com/BillPetti/status/701755002759598080" TargetMode="External"/><Relationship Id="rId2872" Type="http://schemas.openxmlformats.org/officeDocument/2006/relationships/hyperlink" Target="https://twitter.com/allthenothing" TargetMode="External"/><Relationship Id="rId1542" Type="http://schemas.openxmlformats.org/officeDocument/2006/relationships/hyperlink" Target="https://pbs.twimg.com/profile_images/378800000666016370/4659ea1cf77b789e488e4c6888419315_normal.png" TargetMode="External"/><Relationship Id="rId2873" Type="http://schemas.openxmlformats.org/officeDocument/2006/relationships/hyperlink" Target="https://twitter.com/allthenothing/status/702031894410616836" TargetMode="External"/><Relationship Id="rId7717" Type="http://schemas.openxmlformats.org/officeDocument/2006/relationships/hyperlink" Target="https://pbs.twimg.com/profile_images/647089998743891969/VqrZUMuN_normal.jpg" TargetMode="External"/><Relationship Id="rId7716" Type="http://schemas.openxmlformats.org/officeDocument/2006/relationships/hyperlink" Target="https://twitter.com/LeopoldLabESF/status/703007619284377600" TargetMode="External"/><Relationship Id="rId7715" Type="http://schemas.openxmlformats.org/officeDocument/2006/relationships/hyperlink" Target="https://twitter.com/LeopoldLabESF" TargetMode="External"/><Relationship Id="rId7714" Type="http://schemas.openxmlformats.org/officeDocument/2006/relationships/hyperlink" Target="https://pbs.twimg.com/profile_images/378800000197513149/67cd42127a284a220161c1295a57b65f_normal.jpeg" TargetMode="External"/><Relationship Id="rId7719" Type="http://schemas.openxmlformats.org/officeDocument/2006/relationships/hyperlink" Target="https://twitter.com/MarcosMatabuena/status/703007629090689024" TargetMode="External"/><Relationship Id="rId7718" Type="http://schemas.openxmlformats.org/officeDocument/2006/relationships/hyperlink" Target="https://twitter.com/MarcosMatabuena" TargetMode="External"/><Relationship Id="rId7713" Type="http://schemas.openxmlformats.org/officeDocument/2006/relationships/hyperlink" Target="https://twitter.com/MarcosMatabuena/status/703007241297907712" TargetMode="External"/><Relationship Id="rId7712" Type="http://schemas.openxmlformats.org/officeDocument/2006/relationships/hyperlink" Target="https://twitter.com/MarcosMatabuena" TargetMode="External"/><Relationship Id="rId7711" Type="http://schemas.openxmlformats.org/officeDocument/2006/relationships/hyperlink" Target="https://pbs.twimg.com/profile_images/378800000197513149/67cd42127a284a220161c1295a57b65f_normal.jpeg" TargetMode="External"/><Relationship Id="rId7710" Type="http://schemas.openxmlformats.org/officeDocument/2006/relationships/hyperlink" Target="https://twitter.com/MarcosMatabuena/status/703007040164200448" TargetMode="External"/><Relationship Id="rId7706" Type="http://schemas.openxmlformats.org/officeDocument/2006/relationships/hyperlink" Target="https://twitter.com/MarcosMatabuena" TargetMode="External"/><Relationship Id="rId7705" Type="http://schemas.openxmlformats.org/officeDocument/2006/relationships/hyperlink" Target="https://pbs.twimg.com/profile_images/457775762108448768/XmO2C1-E_normal.png" TargetMode="External"/><Relationship Id="rId7704" Type="http://schemas.openxmlformats.org/officeDocument/2006/relationships/hyperlink" Target="https://twitter.com/AnalyticsVidhya/status/703006756901928960" TargetMode="External"/><Relationship Id="rId7703" Type="http://schemas.openxmlformats.org/officeDocument/2006/relationships/hyperlink" Target="https://twitter.com/AnalyticsVidhya" TargetMode="External"/><Relationship Id="rId7709" Type="http://schemas.openxmlformats.org/officeDocument/2006/relationships/hyperlink" Target="https://twitter.com/MarcosMatabuena" TargetMode="External"/><Relationship Id="rId7708" Type="http://schemas.openxmlformats.org/officeDocument/2006/relationships/hyperlink" Target="https://pbs.twimg.com/profile_images/378800000197513149/67cd42127a284a220161c1295a57b65f_normal.jpeg" TargetMode="External"/><Relationship Id="rId7707" Type="http://schemas.openxmlformats.org/officeDocument/2006/relationships/hyperlink" Target="https://twitter.com/MarcosMatabuena/status/703007028663476224" TargetMode="External"/><Relationship Id="rId7702" Type="http://schemas.openxmlformats.org/officeDocument/2006/relationships/hyperlink" Target="https://pbs.twimg.com/profile_images/691113641186168832/H4FzYREt_normal.jpg" TargetMode="External"/><Relationship Id="rId7701" Type="http://schemas.openxmlformats.org/officeDocument/2006/relationships/hyperlink" Target="https://twitter.com/david_lacho/status/703006613389447168" TargetMode="External"/><Relationship Id="rId7700" Type="http://schemas.openxmlformats.org/officeDocument/2006/relationships/hyperlink" Target="https://twitter.com/david_lacho" TargetMode="External"/><Relationship Id="rId6407" Type="http://schemas.openxmlformats.org/officeDocument/2006/relationships/hyperlink" Target="https://twitter.com/mattmcd/status/702770079688224768" TargetMode="External"/><Relationship Id="rId7739" Type="http://schemas.openxmlformats.org/officeDocument/2006/relationships/hyperlink" Target="https://twitter.com/monfera" TargetMode="External"/><Relationship Id="rId6408" Type="http://schemas.openxmlformats.org/officeDocument/2006/relationships/hyperlink" Target="https://pbs.twimg.com/profile_images/1401189383/me_skecth_no2_dark_800x800_normal.jpg" TargetMode="External"/><Relationship Id="rId7738" Type="http://schemas.openxmlformats.org/officeDocument/2006/relationships/hyperlink" Target="https://pbs.twimg.com/profile_images/640243239388246016/yEAuMN4t_normal.jpg" TargetMode="External"/><Relationship Id="rId6405" Type="http://schemas.openxmlformats.org/officeDocument/2006/relationships/hyperlink" Target="https://pbs.twimg.com/profile_images/687380813172862976/xo2Yxv8Z_normal.jpg" TargetMode="External"/><Relationship Id="rId7737" Type="http://schemas.openxmlformats.org/officeDocument/2006/relationships/hyperlink" Target="https://twitter.com/tz33cu/status/703010483335503874" TargetMode="External"/><Relationship Id="rId6406" Type="http://schemas.openxmlformats.org/officeDocument/2006/relationships/hyperlink" Target="https://twitter.com/mattmcd" TargetMode="External"/><Relationship Id="rId7736" Type="http://schemas.openxmlformats.org/officeDocument/2006/relationships/hyperlink" Target="https://twitter.com/tz33cu" TargetMode="External"/><Relationship Id="rId6409" Type="http://schemas.openxmlformats.org/officeDocument/2006/relationships/hyperlink" Target="https://twitter.com/fjalolop000" TargetMode="External"/><Relationship Id="rId7731" Type="http://schemas.openxmlformats.org/officeDocument/2006/relationships/hyperlink" Target="https://twitter.com/CRANberriesFeed/status/703010024407355393" TargetMode="External"/><Relationship Id="rId6400" Type="http://schemas.openxmlformats.org/officeDocument/2006/relationships/hyperlink" Target="https://twitter.com/zsozdemir" TargetMode="External"/><Relationship Id="rId7730" Type="http://schemas.openxmlformats.org/officeDocument/2006/relationships/hyperlink" Target="https://twitter.com/CRANberriesFeed" TargetMode="External"/><Relationship Id="rId6403" Type="http://schemas.openxmlformats.org/officeDocument/2006/relationships/hyperlink" Target="https://twitter.com/zsozdemir" TargetMode="External"/><Relationship Id="rId7735" Type="http://schemas.openxmlformats.org/officeDocument/2006/relationships/hyperlink" Target="https://pbs.twimg.com/profile_images/1222779560/cran1_normal.jpg" TargetMode="External"/><Relationship Id="rId6404" Type="http://schemas.openxmlformats.org/officeDocument/2006/relationships/hyperlink" Target="https://twitter.com/zsozdemir/status/702769846589726720" TargetMode="External"/><Relationship Id="rId7734" Type="http://schemas.openxmlformats.org/officeDocument/2006/relationships/hyperlink" Target="https://twitter.com/CRANberriesFeed/status/703010041515872258" TargetMode="External"/><Relationship Id="rId6401" Type="http://schemas.openxmlformats.org/officeDocument/2006/relationships/hyperlink" Target="https://twitter.com/zsozdemir/status/702769824204759040" TargetMode="External"/><Relationship Id="rId7733" Type="http://schemas.openxmlformats.org/officeDocument/2006/relationships/hyperlink" Target="https://twitter.com/CRANberriesFeed" TargetMode="External"/><Relationship Id="rId6402" Type="http://schemas.openxmlformats.org/officeDocument/2006/relationships/hyperlink" Target="https://pbs.twimg.com/profile_images/687380813172862976/xo2Yxv8Z_normal.jpg" TargetMode="External"/><Relationship Id="rId7732" Type="http://schemas.openxmlformats.org/officeDocument/2006/relationships/hyperlink" Target="https://pbs.twimg.com/profile_images/1222779560/cran1_normal.jpg" TargetMode="External"/><Relationship Id="rId7728" Type="http://schemas.openxmlformats.org/officeDocument/2006/relationships/hyperlink" Target="https://twitter.com/DataWookie/status/703008736814567424" TargetMode="External"/><Relationship Id="rId7727" Type="http://schemas.openxmlformats.org/officeDocument/2006/relationships/hyperlink" Target="https://twitter.com/DataWookie" TargetMode="External"/><Relationship Id="rId7726" Type="http://schemas.openxmlformats.org/officeDocument/2006/relationships/hyperlink" Target="https://pbs.twimg.com/profile_images/612471608725213184/eXKo2Kmo_normal.jpg" TargetMode="External"/><Relationship Id="rId7725" Type="http://schemas.openxmlformats.org/officeDocument/2006/relationships/hyperlink" Target="https://twitter.com/DataWookie/status/703008543637577728" TargetMode="External"/><Relationship Id="rId7729" Type="http://schemas.openxmlformats.org/officeDocument/2006/relationships/hyperlink" Target="https://pbs.twimg.com/profile_images/612471608725213184/eXKo2Kmo_normal.jpg" TargetMode="External"/><Relationship Id="rId7720" Type="http://schemas.openxmlformats.org/officeDocument/2006/relationships/hyperlink" Target="https://pbs.twimg.com/profile_images/378800000197513149/67cd42127a284a220161c1295a57b65f_normal.jpeg" TargetMode="External"/><Relationship Id="rId7724" Type="http://schemas.openxmlformats.org/officeDocument/2006/relationships/hyperlink" Target="https://twitter.com/DataWookie" TargetMode="External"/><Relationship Id="rId7723" Type="http://schemas.openxmlformats.org/officeDocument/2006/relationships/hyperlink" Target="https://pbs.twimg.com/profile_images/686633360471494656/3xYwMmeV_normal.png" TargetMode="External"/><Relationship Id="rId7722" Type="http://schemas.openxmlformats.org/officeDocument/2006/relationships/hyperlink" Target="https://twitter.com/ScreenSolution_/status/703008290045693952" TargetMode="External"/><Relationship Id="rId7721" Type="http://schemas.openxmlformats.org/officeDocument/2006/relationships/hyperlink" Target="https://twitter.com/ScreenSolution_" TargetMode="External"/><Relationship Id="rId5130" Type="http://schemas.openxmlformats.org/officeDocument/2006/relationships/hyperlink" Target="https://twitter.com/data__wizard/status/702538035229904896" TargetMode="External"/><Relationship Id="rId6461" Type="http://schemas.openxmlformats.org/officeDocument/2006/relationships/hyperlink" Target="https://twitter.com/ilapros/status/702785665998659584" TargetMode="External"/><Relationship Id="rId7793" Type="http://schemas.openxmlformats.org/officeDocument/2006/relationships/hyperlink" Target="https://twitter.com/pete_riessjames" TargetMode="External"/><Relationship Id="rId5131" Type="http://schemas.openxmlformats.org/officeDocument/2006/relationships/hyperlink" Target="https://pbs.twimg.com/profile_images/2325713594/xrtdv5qcn7zqiiwen9l1_normal.jpeg" TargetMode="External"/><Relationship Id="rId6462" Type="http://schemas.openxmlformats.org/officeDocument/2006/relationships/hyperlink" Target="https://pbs.twimg.com/profile_images/524865213846155264/mHlzoYhn_normal.jpeg" TargetMode="External"/><Relationship Id="rId7792" Type="http://schemas.openxmlformats.org/officeDocument/2006/relationships/hyperlink" Target="https://pbs.twimg.com/profile_images/378800000487934457/adcdda012374b5cbe95bb1ee3982857c_normal.png" TargetMode="External"/><Relationship Id="rId7791" Type="http://schemas.openxmlformats.org/officeDocument/2006/relationships/hyperlink" Target="https://twitter.com/ITI_3/status/703021069288910848" TargetMode="External"/><Relationship Id="rId6460" Type="http://schemas.openxmlformats.org/officeDocument/2006/relationships/hyperlink" Target="https://twitter.com/ilapros" TargetMode="External"/><Relationship Id="rId7790" Type="http://schemas.openxmlformats.org/officeDocument/2006/relationships/hyperlink" Target="https://twitter.com/ITI_3" TargetMode="External"/><Relationship Id="rId5134" Type="http://schemas.openxmlformats.org/officeDocument/2006/relationships/hyperlink" Target="https://pbs.twimg.com/profile_images/686965105473396736/B9V5UtGS_normal.jpg" TargetMode="External"/><Relationship Id="rId6465" Type="http://schemas.openxmlformats.org/officeDocument/2006/relationships/hyperlink" Target="https://pbs.twimg.com/profile_images/3425614549/e33550c5911ecf735e54b37550ee6903_normal.jpeg" TargetMode="External"/><Relationship Id="rId7797" Type="http://schemas.openxmlformats.org/officeDocument/2006/relationships/hyperlink" Target="https://twitter.com/AnalyticsVidhya/status/703021748896337920" TargetMode="External"/><Relationship Id="rId5135" Type="http://schemas.openxmlformats.org/officeDocument/2006/relationships/hyperlink" Target="https://twitter.com/DominoDataLab" TargetMode="External"/><Relationship Id="rId6466" Type="http://schemas.openxmlformats.org/officeDocument/2006/relationships/hyperlink" Target="https://twitter.com/takeshou" TargetMode="External"/><Relationship Id="rId7796" Type="http://schemas.openxmlformats.org/officeDocument/2006/relationships/hyperlink" Target="https://twitter.com/AnalyticsVidhya" TargetMode="External"/><Relationship Id="rId5132" Type="http://schemas.openxmlformats.org/officeDocument/2006/relationships/hyperlink" Target="https://twitter.com/sentiwire" TargetMode="External"/><Relationship Id="rId6463" Type="http://schemas.openxmlformats.org/officeDocument/2006/relationships/hyperlink" Target="https://twitter.com/mathz_aragao" TargetMode="External"/><Relationship Id="rId7795" Type="http://schemas.openxmlformats.org/officeDocument/2006/relationships/hyperlink" Target="https://pbs.twimg.com/profile_images/3108248245/77c01f27b813a81c9678678d40218d87_normal.jpeg" TargetMode="External"/><Relationship Id="rId5133" Type="http://schemas.openxmlformats.org/officeDocument/2006/relationships/hyperlink" Target="https://twitter.com/sentiwire/status/702538039168409600" TargetMode="External"/><Relationship Id="rId6464" Type="http://schemas.openxmlformats.org/officeDocument/2006/relationships/hyperlink" Target="https://twitter.com/mathz_aragao/status/702786416204488705" TargetMode="External"/><Relationship Id="rId7794" Type="http://schemas.openxmlformats.org/officeDocument/2006/relationships/hyperlink" Target="https://twitter.com/pete_riessjames/status/703021562249609220" TargetMode="External"/><Relationship Id="rId5138" Type="http://schemas.openxmlformats.org/officeDocument/2006/relationships/hyperlink" Target="https://twitter.com/sjackman" TargetMode="External"/><Relationship Id="rId6469" Type="http://schemas.openxmlformats.org/officeDocument/2006/relationships/hyperlink" Target="https://twitter.com/yannabraham" TargetMode="External"/><Relationship Id="rId5139" Type="http://schemas.openxmlformats.org/officeDocument/2006/relationships/hyperlink" Target="https://twitter.com/sjackman/status/702538993980715009" TargetMode="External"/><Relationship Id="rId5136" Type="http://schemas.openxmlformats.org/officeDocument/2006/relationships/hyperlink" Target="https://twitter.com/DominoDataLab/status/702538913248890881" TargetMode="External"/><Relationship Id="rId6467" Type="http://schemas.openxmlformats.org/officeDocument/2006/relationships/hyperlink" Target="https://twitter.com/takeshou/status/702787866737250305" TargetMode="External"/><Relationship Id="rId7799" Type="http://schemas.openxmlformats.org/officeDocument/2006/relationships/hyperlink" Target="https://twitter.com/QuakerHealth" TargetMode="External"/><Relationship Id="rId5137" Type="http://schemas.openxmlformats.org/officeDocument/2006/relationships/hyperlink" Target="https://pbs.twimg.com/profile_images/671154942380400641/ySYpd-P3_normal.jpg" TargetMode="External"/><Relationship Id="rId6468" Type="http://schemas.openxmlformats.org/officeDocument/2006/relationships/hyperlink" Target="https://pbs.twimg.com/profile_images/53084880/ultra_normal.jpg" TargetMode="External"/><Relationship Id="rId7798" Type="http://schemas.openxmlformats.org/officeDocument/2006/relationships/hyperlink" Target="https://pbs.twimg.com/profile_images/457775762108448768/XmO2C1-E_normal.png" TargetMode="External"/><Relationship Id="rId5129" Type="http://schemas.openxmlformats.org/officeDocument/2006/relationships/hyperlink" Target="https://twitter.com/data__wizard" TargetMode="External"/><Relationship Id="rId6450" Type="http://schemas.openxmlformats.org/officeDocument/2006/relationships/hyperlink" Target="https://pbs.twimg.com/profile_images/412249095110008832/J_K4--iQ_normal.png" TargetMode="External"/><Relationship Id="rId7782" Type="http://schemas.openxmlformats.org/officeDocument/2006/relationships/hyperlink" Target="https://twitter.com/accidental__aRt/status/703019356645675008" TargetMode="External"/><Relationship Id="rId5120" Type="http://schemas.openxmlformats.org/officeDocument/2006/relationships/hyperlink" Target="https://twitter.com/josefslerka" TargetMode="External"/><Relationship Id="rId6451" Type="http://schemas.openxmlformats.org/officeDocument/2006/relationships/hyperlink" Target="https://twitter.com/HeidiBaya" TargetMode="External"/><Relationship Id="rId7781" Type="http://schemas.openxmlformats.org/officeDocument/2006/relationships/hyperlink" Target="https://twitter.com/accidental__aRt" TargetMode="External"/><Relationship Id="rId7780" Type="http://schemas.openxmlformats.org/officeDocument/2006/relationships/hyperlink" Target="https://pbs.twimg.com/profile_images/762997434/GionPortrait_normal.jpg" TargetMode="External"/><Relationship Id="rId5123" Type="http://schemas.openxmlformats.org/officeDocument/2006/relationships/hyperlink" Target="https://twitter.com/SportsTribution" TargetMode="External"/><Relationship Id="rId6454" Type="http://schemas.openxmlformats.org/officeDocument/2006/relationships/hyperlink" Target="https://twitter.com/grssnbchr" TargetMode="External"/><Relationship Id="rId7786" Type="http://schemas.openxmlformats.org/officeDocument/2006/relationships/hyperlink" Target="https://pbs.twimg.com/profile_images/341272651/P1000006_4_normal.JPG" TargetMode="External"/><Relationship Id="rId5124" Type="http://schemas.openxmlformats.org/officeDocument/2006/relationships/hyperlink" Target="https://twitter.com/SportsTribution/status/702537348379242496" TargetMode="External"/><Relationship Id="rId6455" Type="http://schemas.openxmlformats.org/officeDocument/2006/relationships/hyperlink" Target="https://twitter.com/grssnbchr/status/702784224991039488" TargetMode="External"/><Relationship Id="rId7785" Type="http://schemas.openxmlformats.org/officeDocument/2006/relationships/hyperlink" Target="https://twitter.com/simizu706/status/703019969273925632" TargetMode="External"/><Relationship Id="rId5121" Type="http://schemas.openxmlformats.org/officeDocument/2006/relationships/hyperlink" Target="https://twitter.com/josefslerka/status/702537319862149120" TargetMode="External"/><Relationship Id="rId6452" Type="http://schemas.openxmlformats.org/officeDocument/2006/relationships/hyperlink" Target="https://twitter.com/HeidiBaya/status/702784043826466816" TargetMode="External"/><Relationship Id="rId7784" Type="http://schemas.openxmlformats.org/officeDocument/2006/relationships/hyperlink" Target="https://twitter.com/simizu706" TargetMode="External"/><Relationship Id="rId5122" Type="http://schemas.openxmlformats.org/officeDocument/2006/relationships/hyperlink" Target="https://pbs.twimg.com/profile_images/517385985311531009/wvYbiySo_normal.jpeg" TargetMode="External"/><Relationship Id="rId6453" Type="http://schemas.openxmlformats.org/officeDocument/2006/relationships/hyperlink" Target="https://pbs.twimg.com/profile_images/618312466934575104/NaFte4jy_normal.jpg" TargetMode="External"/><Relationship Id="rId7783" Type="http://schemas.openxmlformats.org/officeDocument/2006/relationships/hyperlink" Target="https://pbs.twimg.com/profile_images/378800000657773768/ae5fc36ad6d8648a92f4c588aa295d8e_normal.jpeg" TargetMode="External"/><Relationship Id="rId5127" Type="http://schemas.openxmlformats.org/officeDocument/2006/relationships/hyperlink" Target="https://twitter.com/seandavis12/status/702537489374908416" TargetMode="External"/><Relationship Id="rId6458" Type="http://schemas.openxmlformats.org/officeDocument/2006/relationships/hyperlink" Target="https://twitter.com/MangoTheCat/status/702785609081888768" TargetMode="External"/><Relationship Id="rId5128" Type="http://schemas.openxmlformats.org/officeDocument/2006/relationships/hyperlink" Target="https://pbs.twimg.com/profile_images/1913633871/sean_normal.png" TargetMode="External"/><Relationship Id="rId6459" Type="http://schemas.openxmlformats.org/officeDocument/2006/relationships/hyperlink" Target="https://pbs.twimg.com/profile_images/641183991077445633/V7VcBpJI_normal.png" TargetMode="External"/><Relationship Id="rId7789" Type="http://schemas.openxmlformats.org/officeDocument/2006/relationships/hyperlink" Target="https://pbs.twimg.com/profile_images/2557953204/____normal.jpg" TargetMode="External"/><Relationship Id="rId5125" Type="http://schemas.openxmlformats.org/officeDocument/2006/relationships/hyperlink" Target="https://pbs.twimg.com/profile_images/441921399435689984/H4B3BJX8_normal.png" TargetMode="External"/><Relationship Id="rId6456" Type="http://schemas.openxmlformats.org/officeDocument/2006/relationships/hyperlink" Target="https://pbs.twimg.com/profile_images/495190467550519297/-v5Dqzwc_normal.jpeg" TargetMode="External"/><Relationship Id="rId7788" Type="http://schemas.openxmlformats.org/officeDocument/2006/relationships/hyperlink" Target="https://twitter.com/yoshidamasaaki/status/703020584674791425" TargetMode="External"/><Relationship Id="rId5126" Type="http://schemas.openxmlformats.org/officeDocument/2006/relationships/hyperlink" Target="https://twitter.com/seandavis12" TargetMode="External"/><Relationship Id="rId6457" Type="http://schemas.openxmlformats.org/officeDocument/2006/relationships/hyperlink" Target="https://twitter.com/MangoTheCat" TargetMode="External"/><Relationship Id="rId7787" Type="http://schemas.openxmlformats.org/officeDocument/2006/relationships/hyperlink" Target="https://twitter.com/yoshidamasaaki" TargetMode="External"/><Relationship Id="rId6480" Type="http://schemas.openxmlformats.org/officeDocument/2006/relationships/hyperlink" Target="https://pbs.twimg.com/profile_images/532798437897412608/flHdPUCx_normal.png" TargetMode="External"/><Relationship Id="rId5152" Type="http://schemas.openxmlformats.org/officeDocument/2006/relationships/hyperlink" Target="https://pbs.twimg.com/profile_images/2819444134/79a98b9ad52273eee376359003585a6b_normal.jpeg" TargetMode="External"/><Relationship Id="rId6483" Type="http://schemas.openxmlformats.org/officeDocument/2006/relationships/hyperlink" Target="https://pbs.twimg.com/profile_images/2442155420/13fr1e3on4dzb9fn7i48_normal.jpeg" TargetMode="External"/><Relationship Id="rId5153" Type="http://schemas.openxmlformats.org/officeDocument/2006/relationships/hyperlink" Target="https://twitter.com/RLangTip" TargetMode="External"/><Relationship Id="rId6484" Type="http://schemas.openxmlformats.org/officeDocument/2006/relationships/hyperlink" Target="https://twitter.com/SteffLocke" TargetMode="External"/><Relationship Id="rId5150" Type="http://schemas.openxmlformats.org/officeDocument/2006/relationships/hyperlink" Target="https://twitter.com/denthoven" TargetMode="External"/><Relationship Id="rId6481" Type="http://schemas.openxmlformats.org/officeDocument/2006/relationships/hyperlink" Target="https://twitter.com/Jemus42" TargetMode="External"/><Relationship Id="rId5151" Type="http://schemas.openxmlformats.org/officeDocument/2006/relationships/hyperlink" Target="https://twitter.com/denthoven/status/702539814218780672" TargetMode="External"/><Relationship Id="rId6482" Type="http://schemas.openxmlformats.org/officeDocument/2006/relationships/hyperlink" Target="https://twitter.com/Jemus42/status/702789536959610880" TargetMode="External"/><Relationship Id="rId5156" Type="http://schemas.openxmlformats.org/officeDocument/2006/relationships/hyperlink" Target="https://twitter.com/maxheld" TargetMode="External"/><Relationship Id="rId6487" Type="http://schemas.openxmlformats.org/officeDocument/2006/relationships/hyperlink" Target="https://twitter.com/earlconf" TargetMode="External"/><Relationship Id="rId5157" Type="http://schemas.openxmlformats.org/officeDocument/2006/relationships/hyperlink" Target="https://twitter.com/maxheld/status/702540728933752834" TargetMode="External"/><Relationship Id="rId6488" Type="http://schemas.openxmlformats.org/officeDocument/2006/relationships/hyperlink" Target="https://twitter.com/earlconf/status/702790392484200448" TargetMode="External"/><Relationship Id="rId5154" Type="http://schemas.openxmlformats.org/officeDocument/2006/relationships/hyperlink" Target="https://twitter.com/RLangTip/status/702539987594682368" TargetMode="External"/><Relationship Id="rId6485" Type="http://schemas.openxmlformats.org/officeDocument/2006/relationships/hyperlink" Target="https://twitter.com/SteffLocke/status/702789689506471936" TargetMode="External"/><Relationship Id="rId5155" Type="http://schemas.openxmlformats.org/officeDocument/2006/relationships/hyperlink" Target="https://pbs.twimg.com/profile_images/1344530309/RLangTip_normal.png" TargetMode="External"/><Relationship Id="rId6486" Type="http://schemas.openxmlformats.org/officeDocument/2006/relationships/hyperlink" Target="https://pbs.twimg.com/profile_images/549872383104790528/GzfOw30g_normal.jpeg" TargetMode="External"/><Relationship Id="rId5158" Type="http://schemas.openxmlformats.org/officeDocument/2006/relationships/hyperlink" Target="https://pbs.twimg.com/profile_images/461537032859181058/3raeo4Y__normal.jpeg" TargetMode="External"/><Relationship Id="rId6489" Type="http://schemas.openxmlformats.org/officeDocument/2006/relationships/hyperlink" Target="https://pbs.twimg.com/profile_images/432298122203512833/YDXfWlI__normal.png" TargetMode="External"/><Relationship Id="rId5159" Type="http://schemas.openxmlformats.org/officeDocument/2006/relationships/hyperlink" Target="https://twitter.com/Voovarb" TargetMode="External"/><Relationship Id="rId5141" Type="http://schemas.openxmlformats.org/officeDocument/2006/relationships/hyperlink" Target="https://twitter.com/sjackman" TargetMode="External"/><Relationship Id="rId6472" Type="http://schemas.openxmlformats.org/officeDocument/2006/relationships/hyperlink" Target="https://twitter.com/MangoTheCat" TargetMode="External"/><Relationship Id="rId5142" Type="http://schemas.openxmlformats.org/officeDocument/2006/relationships/hyperlink" Target="https://twitter.com/sjackman/status/702539003384373248" TargetMode="External"/><Relationship Id="rId6473" Type="http://schemas.openxmlformats.org/officeDocument/2006/relationships/hyperlink" Target="https://twitter.com/MangoTheCat/status/702788127568502784" TargetMode="External"/><Relationship Id="rId6470" Type="http://schemas.openxmlformats.org/officeDocument/2006/relationships/hyperlink" Target="https://twitter.com/yannabraham/status/702787895128690688" TargetMode="External"/><Relationship Id="rId5140" Type="http://schemas.openxmlformats.org/officeDocument/2006/relationships/hyperlink" Target="https://pbs.twimg.com/profile_images/1477813716/sdj-headshot-square_normal.jpg" TargetMode="External"/><Relationship Id="rId6471" Type="http://schemas.openxmlformats.org/officeDocument/2006/relationships/hyperlink" Target="https://pbs.twimg.com/profile_images/54359750/spaceman_spiff_2_normal.jpg" TargetMode="External"/><Relationship Id="rId5145" Type="http://schemas.openxmlformats.org/officeDocument/2006/relationships/hyperlink" Target="https://twitter.com/sjackman/status/702539024557174785" TargetMode="External"/><Relationship Id="rId6476" Type="http://schemas.openxmlformats.org/officeDocument/2006/relationships/hyperlink" Target="https://twitter.com/earlconf/status/702789141369483264" TargetMode="External"/><Relationship Id="rId5146" Type="http://schemas.openxmlformats.org/officeDocument/2006/relationships/hyperlink" Target="https://pbs.twimg.com/profile_images/1477813716/sdj-headshot-square_normal.jpg" TargetMode="External"/><Relationship Id="rId6477" Type="http://schemas.openxmlformats.org/officeDocument/2006/relationships/hyperlink" Target="https://pbs.twimg.com/profile_images/432298122203512833/YDXfWlI__normal.png" TargetMode="External"/><Relationship Id="rId5143" Type="http://schemas.openxmlformats.org/officeDocument/2006/relationships/hyperlink" Target="https://pbs.twimg.com/profile_images/1477813716/sdj-headshot-square_normal.jpg" TargetMode="External"/><Relationship Id="rId6474" Type="http://schemas.openxmlformats.org/officeDocument/2006/relationships/hyperlink" Target="https://pbs.twimg.com/profile_images/641183991077445633/V7VcBpJI_normal.png" TargetMode="External"/><Relationship Id="rId5144" Type="http://schemas.openxmlformats.org/officeDocument/2006/relationships/hyperlink" Target="https://twitter.com/sjackman" TargetMode="External"/><Relationship Id="rId6475" Type="http://schemas.openxmlformats.org/officeDocument/2006/relationships/hyperlink" Target="https://twitter.com/earlconf" TargetMode="External"/><Relationship Id="rId5149" Type="http://schemas.openxmlformats.org/officeDocument/2006/relationships/hyperlink" Target="https://pbs.twimg.com/profile_images/570287724578344960/siyYKMC7_normal.png" TargetMode="External"/><Relationship Id="rId5147" Type="http://schemas.openxmlformats.org/officeDocument/2006/relationships/hyperlink" Target="https://twitter.com/AnnaOnTheWeb" TargetMode="External"/><Relationship Id="rId6478" Type="http://schemas.openxmlformats.org/officeDocument/2006/relationships/hyperlink" Target="https://twitter.com/DataAnalyticss" TargetMode="External"/><Relationship Id="rId5148" Type="http://schemas.openxmlformats.org/officeDocument/2006/relationships/hyperlink" Target="https://twitter.com/AnnaOnTheWeb/status/702539209656107009" TargetMode="External"/><Relationship Id="rId6479" Type="http://schemas.openxmlformats.org/officeDocument/2006/relationships/hyperlink" Target="https://twitter.com/DataAnalyticss/status/702789257866452992" TargetMode="External"/><Relationship Id="rId6429" Type="http://schemas.openxmlformats.org/officeDocument/2006/relationships/hyperlink" Target="https://pbs.twimg.com/profile_images/3544413654/17524180a3b5476b3614c7e3cfaa79ca_normal.jpeg" TargetMode="External"/><Relationship Id="rId6427" Type="http://schemas.openxmlformats.org/officeDocument/2006/relationships/hyperlink" Target="https://twitter.com/sjgknight" TargetMode="External"/><Relationship Id="rId7759" Type="http://schemas.openxmlformats.org/officeDocument/2006/relationships/hyperlink" Target="https://pbs.twimg.com/profile_images/2290904674/image_normal.jpg" TargetMode="External"/><Relationship Id="rId6428" Type="http://schemas.openxmlformats.org/officeDocument/2006/relationships/hyperlink" Target="https://twitter.com/sjgknight/status/702776414743822336" TargetMode="External"/><Relationship Id="rId7758" Type="http://schemas.openxmlformats.org/officeDocument/2006/relationships/hyperlink" Target="https://twitter.com/wakuteka/status/703016610466893824" TargetMode="External"/><Relationship Id="rId6421" Type="http://schemas.openxmlformats.org/officeDocument/2006/relationships/hyperlink" Target="https://twitter.com/DamianWidera" TargetMode="External"/><Relationship Id="rId7753" Type="http://schemas.openxmlformats.org/officeDocument/2006/relationships/hyperlink" Target="https://pbs.twimg.com/profile_images/677589103710306304/m56O6Wgf_normal.jpg" TargetMode="External"/><Relationship Id="rId6422" Type="http://schemas.openxmlformats.org/officeDocument/2006/relationships/hyperlink" Target="https://twitter.com/DamianWidera/status/702775931971244032" TargetMode="External"/><Relationship Id="rId7752" Type="http://schemas.openxmlformats.org/officeDocument/2006/relationships/hyperlink" Target="https://twitter.com/hadleywickham/status/703015153176973312" TargetMode="External"/><Relationship Id="rId7751" Type="http://schemas.openxmlformats.org/officeDocument/2006/relationships/hyperlink" Target="https://twitter.com/hadleywickham" TargetMode="External"/><Relationship Id="rId6420" Type="http://schemas.openxmlformats.org/officeDocument/2006/relationships/hyperlink" Target="https://pbs.twimg.com/profile_images/688713141010706433/Mg9-4pvA_normal.jpg" TargetMode="External"/><Relationship Id="rId7750" Type="http://schemas.openxmlformats.org/officeDocument/2006/relationships/hyperlink" Target="https://pbs.twimg.com/profile_images/474603883986042880/RQ69FsUd_normal.jpeg" TargetMode="External"/><Relationship Id="rId6425" Type="http://schemas.openxmlformats.org/officeDocument/2006/relationships/hyperlink" Target="https://twitter.com/Altons/status/702776141564747776" TargetMode="External"/><Relationship Id="rId7757" Type="http://schemas.openxmlformats.org/officeDocument/2006/relationships/hyperlink" Target="https://twitter.com/wakuteka" TargetMode="External"/><Relationship Id="rId6426" Type="http://schemas.openxmlformats.org/officeDocument/2006/relationships/hyperlink" Target="https://pbs.twimg.com/profile_images/472026224416407553/ekVld1IG_normal.jpeg" TargetMode="External"/><Relationship Id="rId7756" Type="http://schemas.openxmlformats.org/officeDocument/2006/relationships/hyperlink" Target="https://pbs.twimg.com/profile_images/567588045927354370/NN8xp_M5_normal.jpeg" TargetMode="External"/><Relationship Id="rId6423" Type="http://schemas.openxmlformats.org/officeDocument/2006/relationships/hyperlink" Target="https://pbs.twimg.com/profile_images/378800000600197280/7d5ef3de3cddcb7631d582e175cfd132_normal.jpeg" TargetMode="External"/><Relationship Id="rId7755" Type="http://schemas.openxmlformats.org/officeDocument/2006/relationships/hyperlink" Target="https://twitter.com/Emaasit/status/703015557407178752" TargetMode="External"/><Relationship Id="rId6424" Type="http://schemas.openxmlformats.org/officeDocument/2006/relationships/hyperlink" Target="https://twitter.com/Altons" TargetMode="External"/><Relationship Id="rId7754" Type="http://schemas.openxmlformats.org/officeDocument/2006/relationships/hyperlink" Target="https://twitter.com/Emaasit" TargetMode="External"/><Relationship Id="rId6418" Type="http://schemas.openxmlformats.org/officeDocument/2006/relationships/hyperlink" Target="https://twitter.com/mgto_org" TargetMode="External"/><Relationship Id="rId6419" Type="http://schemas.openxmlformats.org/officeDocument/2006/relationships/hyperlink" Target="https://twitter.com/mgto_org/status/702775300636155904" TargetMode="External"/><Relationship Id="rId7749" Type="http://schemas.openxmlformats.org/officeDocument/2006/relationships/hyperlink" Target="https://twitter.com/adamgreatkind/status/703013410888241152" TargetMode="External"/><Relationship Id="rId6416" Type="http://schemas.openxmlformats.org/officeDocument/2006/relationships/hyperlink" Target="https://twitter.com/aksingh1985/status/702774129074679810" TargetMode="External"/><Relationship Id="rId7748" Type="http://schemas.openxmlformats.org/officeDocument/2006/relationships/hyperlink" Target="https://twitter.com/adamgreatkind" TargetMode="External"/><Relationship Id="rId6417" Type="http://schemas.openxmlformats.org/officeDocument/2006/relationships/hyperlink" Target="https://pbs.twimg.com/profile_images/603841641254760448/h8G2brJw_normal.jpg" TargetMode="External"/><Relationship Id="rId7747" Type="http://schemas.openxmlformats.org/officeDocument/2006/relationships/hyperlink" Target="https://pbs.twimg.com/profile_images/550280885480603648/jye_0y8s_normal.png" TargetMode="External"/><Relationship Id="rId6410" Type="http://schemas.openxmlformats.org/officeDocument/2006/relationships/hyperlink" Target="https://twitter.com/fjalolop000/status/702770101037219840" TargetMode="External"/><Relationship Id="rId7742" Type="http://schemas.openxmlformats.org/officeDocument/2006/relationships/hyperlink" Target="https://twitter.com/robertstats" TargetMode="External"/><Relationship Id="rId6411" Type="http://schemas.openxmlformats.org/officeDocument/2006/relationships/hyperlink" Target="https://pbs.twimg.com/profile_images/576799609873428480/V8akQ-mi_normal.jpeg" TargetMode="External"/><Relationship Id="rId7741" Type="http://schemas.openxmlformats.org/officeDocument/2006/relationships/hyperlink" Target="https://pbs.twimg.com/profile_images/457561558722179072/kW-IUcCh_normal.jpeg" TargetMode="External"/><Relationship Id="rId7740" Type="http://schemas.openxmlformats.org/officeDocument/2006/relationships/hyperlink" Target="https://twitter.com/monfera/status/703011683883720704" TargetMode="External"/><Relationship Id="rId6414" Type="http://schemas.openxmlformats.org/officeDocument/2006/relationships/hyperlink" Target="https://pbs.twimg.com/profile_images/670787809049907200/nIOAaZJZ_normal.jpg" TargetMode="External"/><Relationship Id="rId7746" Type="http://schemas.openxmlformats.org/officeDocument/2006/relationships/hyperlink" Target="https://twitter.com/ShinyappsRecent/status/703012885622992896" TargetMode="External"/><Relationship Id="rId6415" Type="http://schemas.openxmlformats.org/officeDocument/2006/relationships/hyperlink" Target="https://twitter.com/aksingh1985" TargetMode="External"/><Relationship Id="rId7745" Type="http://schemas.openxmlformats.org/officeDocument/2006/relationships/hyperlink" Target="https://twitter.com/ShinyappsRecent" TargetMode="External"/><Relationship Id="rId6412" Type="http://schemas.openxmlformats.org/officeDocument/2006/relationships/hyperlink" Target="https://twitter.com/Daniero_Pink" TargetMode="External"/><Relationship Id="rId7744" Type="http://schemas.openxmlformats.org/officeDocument/2006/relationships/hyperlink" Target="https://pbs.twimg.com/profile_images/685147968874373121/r_V2hRhj_normal.jpg" TargetMode="External"/><Relationship Id="rId6413" Type="http://schemas.openxmlformats.org/officeDocument/2006/relationships/hyperlink" Target="https://twitter.com/Daniero_Pink/status/702773988422844416" TargetMode="External"/><Relationship Id="rId7743" Type="http://schemas.openxmlformats.org/officeDocument/2006/relationships/hyperlink" Target="https://twitter.com/robertstats/status/703011984577601540" TargetMode="External"/><Relationship Id="rId5118" Type="http://schemas.openxmlformats.org/officeDocument/2006/relationships/hyperlink" Target="https://twitter.com/earino/status/702537306759036928" TargetMode="External"/><Relationship Id="rId6449" Type="http://schemas.openxmlformats.org/officeDocument/2006/relationships/hyperlink" Target="https://twitter.com/DataAndDataViz/status/702782506093973506" TargetMode="External"/><Relationship Id="rId5119" Type="http://schemas.openxmlformats.org/officeDocument/2006/relationships/hyperlink" Target="https://pbs.twimg.com/profile_images/698647905318469632/FrnlP1oe_normal.jpg" TargetMode="External"/><Relationship Id="rId7771" Type="http://schemas.openxmlformats.org/officeDocument/2006/relationships/hyperlink" Target="https://pbs.twimg.com/profile_images/567813755728560129/6Z3P6Fy1_normal.jpeg" TargetMode="External"/><Relationship Id="rId6440" Type="http://schemas.openxmlformats.org/officeDocument/2006/relationships/hyperlink" Target="https://twitter.com/HackathonLovers/status/702780324510617601" TargetMode="External"/><Relationship Id="rId7770" Type="http://schemas.openxmlformats.org/officeDocument/2006/relationships/hyperlink" Target="https://twitter.com/ZukashiT/status/703017801787822080" TargetMode="External"/><Relationship Id="rId5112" Type="http://schemas.openxmlformats.org/officeDocument/2006/relationships/hyperlink" Target="https://twitter.com/drob/status/702536776905195524" TargetMode="External"/><Relationship Id="rId6443" Type="http://schemas.openxmlformats.org/officeDocument/2006/relationships/hyperlink" Target="https://twitter.com/IanCroos/status/702780965345751041" TargetMode="External"/><Relationship Id="rId7775" Type="http://schemas.openxmlformats.org/officeDocument/2006/relationships/hyperlink" Target="https://twitter.com/Jemus42" TargetMode="External"/><Relationship Id="rId5113" Type="http://schemas.openxmlformats.org/officeDocument/2006/relationships/hyperlink" Target="https://pbs.twimg.com/profile_images/777175344/David_Robinson_normal.jpg" TargetMode="External"/><Relationship Id="rId6444" Type="http://schemas.openxmlformats.org/officeDocument/2006/relationships/hyperlink" Target="https://pbs.twimg.com/profile_images/586952830503759872/wqAJlxDf_normal.jpg" TargetMode="External"/><Relationship Id="rId7774" Type="http://schemas.openxmlformats.org/officeDocument/2006/relationships/hyperlink" Target="https://pbs.twimg.com/profile_images/583124965538422784/ZhURDlkF_normal.jpg" TargetMode="External"/><Relationship Id="rId5110" Type="http://schemas.openxmlformats.org/officeDocument/2006/relationships/hyperlink" Target="https://pbs.twimg.com/profile_images/504036355307884545/43rPIK7f_normal.jpeg" TargetMode="External"/><Relationship Id="rId6441" Type="http://schemas.openxmlformats.org/officeDocument/2006/relationships/hyperlink" Target="https://pbs.twimg.com/profile_images/473788630830301184/MlZnwZ9q_normal.png" TargetMode="External"/><Relationship Id="rId7773" Type="http://schemas.openxmlformats.org/officeDocument/2006/relationships/hyperlink" Target="https://twitter.com/kazutan/status/703017809534722048" TargetMode="External"/><Relationship Id="rId5111" Type="http://schemas.openxmlformats.org/officeDocument/2006/relationships/hyperlink" Target="https://twitter.com/drob" TargetMode="External"/><Relationship Id="rId6442" Type="http://schemas.openxmlformats.org/officeDocument/2006/relationships/hyperlink" Target="https://twitter.com/IanCroos" TargetMode="External"/><Relationship Id="rId7772" Type="http://schemas.openxmlformats.org/officeDocument/2006/relationships/hyperlink" Target="https://twitter.com/kazutan" TargetMode="External"/><Relationship Id="rId5116" Type="http://schemas.openxmlformats.org/officeDocument/2006/relationships/hyperlink" Target="https://pbs.twimg.com/profile_images/72873273/100_0702_normal.jpg" TargetMode="External"/><Relationship Id="rId6447" Type="http://schemas.openxmlformats.org/officeDocument/2006/relationships/hyperlink" Target="https://pbs.twimg.com/profile_images/572890250758717440/_YeK0l7U_normal.jpeg" TargetMode="External"/><Relationship Id="rId7779" Type="http://schemas.openxmlformats.org/officeDocument/2006/relationships/hyperlink" Target="https://twitter.com/leeswijzer/status/703018025381961728" TargetMode="External"/><Relationship Id="rId5117" Type="http://schemas.openxmlformats.org/officeDocument/2006/relationships/hyperlink" Target="https://twitter.com/earino" TargetMode="External"/><Relationship Id="rId6448" Type="http://schemas.openxmlformats.org/officeDocument/2006/relationships/hyperlink" Target="https://twitter.com/DataAndDataViz" TargetMode="External"/><Relationship Id="rId7778" Type="http://schemas.openxmlformats.org/officeDocument/2006/relationships/hyperlink" Target="https://twitter.com/leeswijzer" TargetMode="External"/><Relationship Id="rId5114" Type="http://schemas.openxmlformats.org/officeDocument/2006/relationships/hyperlink" Target="https://twitter.com/naupakaz" TargetMode="External"/><Relationship Id="rId6445" Type="http://schemas.openxmlformats.org/officeDocument/2006/relationships/hyperlink" Target="https://twitter.com/jeborsel" TargetMode="External"/><Relationship Id="rId7777" Type="http://schemas.openxmlformats.org/officeDocument/2006/relationships/hyperlink" Target="https://pbs.twimg.com/profile_images/2442155420/13fr1e3on4dzb9fn7i48_normal.jpeg" TargetMode="External"/><Relationship Id="rId5115" Type="http://schemas.openxmlformats.org/officeDocument/2006/relationships/hyperlink" Target="https://twitter.com/naupakaz/status/702536893641035776" TargetMode="External"/><Relationship Id="rId6446" Type="http://schemas.openxmlformats.org/officeDocument/2006/relationships/hyperlink" Target="https://twitter.com/jeborsel/status/702781138188763136" TargetMode="External"/><Relationship Id="rId7776" Type="http://schemas.openxmlformats.org/officeDocument/2006/relationships/hyperlink" Target="https://twitter.com/Jemus42/status/703017904258809856" TargetMode="External"/><Relationship Id="rId5109" Type="http://schemas.openxmlformats.org/officeDocument/2006/relationships/hyperlink" Target="https://twitter.com/robinlovelace/status/702536775214960640" TargetMode="External"/><Relationship Id="rId5107" Type="http://schemas.openxmlformats.org/officeDocument/2006/relationships/hyperlink" Target="https://pbs.twimg.com/profile_images/555037927210614786/h0Xxb-Vr_normal.jpeg" TargetMode="External"/><Relationship Id="rId6438" Type="http://schemas.openxmlformats.org/officeDocument/2006/relationships/hyperlink" Target="https://pbs.twimg.com/profile_images/41647132/cornishflag_normal.png" TargetMode="External"/><Relationship Id="rId5108" Type="http://schemas.openxmlformats.org/officeDocument/2006/relationships/hyperlink" Target="https://twitter.com/robinlovelace" TargetMode="External"/><Relationship Id="rId6439" Type="http://schemas.openxmlformats.org/officeDocument/2006/relationships/hyperlink" Target="https://twitter.com/HackathonLovers" TargetMode="External"/><Relationship Id="rId7769" Type="http://schemas.openxmlformats.org/officeDocument/2006/relationships/hyperlink" Target="https://twitter.com/ZukashiT" TargetMode="External"/><Relationship Id="rId7760" Type="http://schemas.openxmlformats.org/officeDocument/2006/relationships/hyperlink" Target="https://twitter.com/DrJohan81" TargetMode="External"/><Relationship Id="rId5101" Type="http://schemas.openxmlformats.org/officeDocument/2006/relationships/hyperlink" Target="https://pbs.twimg.com/profile_images/378800000726882089/121e8e7f283613e94683c6def431d581_normal.jpeg" TargetMode="External"/><Relationship Id="rId6432" Type="http://schemas.openxmlformats.org/officeDocument/2006/relationships/hyperlink" Target="https://pbs.twimg.com/profile_images/477837951309979649/_Cc9fYWM_normal.jpeg" TargetMode="External"/><Relationship Id="rId7764" Type="http://schemas.openxmlformats.org/officeDocument/2006/relationships/hyperlink" Target="https://twitter.com/R_Linux/status/703017199888236544" TargetMode="External"/><Relationship Id="rId5102" Type="http://schemas.openxmlformats.org/officeDocument/2006/relationships/hyperlink" Target="https://twitter.com/naupakaz" TargetMode="External"/><Relationship Id="rId6433" Type="http://schemas.openxmlformats.org/officeDocument/2006/relationships/hyperlink" Target="https://twitter.com/Corvirtus" TargetMode="External"/><Relationship Id="rId7763" Type="http://schemas.openxmlformats.org/officeDocument/2006/relationships/hyperlink" Target="https://twitter.com/R_Linux" TargetMode="External"/><Relationship Id="rId6430" Type="http://schemas.openxmlformats.org/officeDocument/2006/relationships/hyperlink" Target="https://twitter.com/HoloMarkeD" TargetMode="External"/><Relationship Id="rId7762" Type="http://schemas.openxmlformats.org/officeDocument/2006/relationships/hyperlink" Target="https://pbs.twimg.com/profile_images/463699841298620417/9VAZ5wde_normal.png" TargetMode="External"/><Relationship Id="rId5100" Type="http://schemas.openxmlformats.org/officeDocument/2006/relationships/hyperlink" Target="https://twitter.com/rbrowne/status/702535384396230656" TargetMode="External"/><Relationship Id="rId6431" Type="http://schemas.openxmlformats.org/officeDocument/2006/relationships/hyperlink" Target="https://twitter.com/HoloMarkeD/status/702777233757364224" TargetMode="External"/><Relationship Id="rId7761" Type="http://schemas.openxmlformats.org/officeDocument/2006/relationships/hyperlink" Target="https://twitter.com/DrJohan81/status/703016760987889669" TargetMode="External"/><Relationship Id="rId5105" Type="http://schemas.openxmlformats.org/officeDocument/2006/relationships/hyperlink" Target="https://twitter.com/TiffanyTimbers" TargetMode="External"/><Relationship Id="rId6436" Type="http://schemas.openxmlformats.org/officeDocument/2006/relationships/hyperlink" Target="https://twitter.com/nickholway" TargetMode="External"/><Relationship Id="rId7768" Type="http://schemas.openxmlformats.org/officeDocument/2006/relationships/hyperlink" Target="https://pbs.twimg.com/profile_images/695061351845093376/RLnmpBb3_normal.jpg" TargetMode="External"/><Relationship Id="rId5106" Type="http://schemas.openxmlformats.org/officeDocument/2006/relationships/hyperlink" Target="https://twitter.com/TiffanyTimbers/status/702535775187894273" TargetMode="External"/><Relationship Id="rId6437" Type="http://schemas.openxmlformats.org/officeDocument/2006/relationships/hyperlink" Target="https://twitter.com/nickholway/status/702779881227210752" TargetMode="External"/><Relationship Id="rId7767" Type="http://schemas.openxmlformats.org/officeDocument/2006/relationships/hyperlink" Target="https://twitter.com/wonder_zone/status/703017355597602816" TargetMode="External"/><Relationship Id="rId5103" Type="http://schemas.openxmlformats.org/officeDocument/2006/relationships/hyperlink" Target="https://twitter.com/naupakaz/status/702535744531763200" TargetMode="External"/><Relationship Id="rId6434" Type="http://schemas.openxmlformats.org/officeDocument/2006/relationships/hyperlink" Target="https://twitter.com/Corvirtus/status/702778432086786048" TargetMode="External"/><Relationship Id="rId7766" Type="http://schemas.openxmlformats.org/officeDocument/2006/relationships/hyperlink" Target="https://twitter.com/wonder_zone" TargetMode="External"/><Relationship Id="rId5104" Type="http://schemas.openxmlformats.org/officeDocument/2006/relationships/hyperlink" Target="https://pbs.twimg.com/profile_images/72873273/100_0702_normal.jpg" TargetMode="External"/><Relationship Id="rId6435" Type="http://schemas.openxmlformats.org/officeDocument/2006/relationships/hyperlink" Target="https://pbs.twimg.com/profile_images/664846447695691776/ViHr4HZI_normal.png" TargetMode="External"/><Relationship Id="rId7765" Type="http://schemas.openxmlformats.org/officeDocument/2006/relationships/hyperlink" Target="https://pbs.twimg.com/profile_images/579164201576312833/fsAUfQne_normal.jpg" TargetMode="External"/><Relationship Id="rId2940" Type="http://schemas.openxmlformats.org/officeDocument/2006/relationships/hyperlink" Target="https://twitter.com/symbolic_goods/status/702050970331643904" TargetMode="External"/><Relationship Id="rId1610" Type="http://schemas.openxmlformats.org/officeDocument/2006/relationships/hyperlink" Target="https://pbs.twimg.com/profile_images/3094300984/ff647084431d08fa5d417b0aa682346f_normal.jpeg" TargetMode="External"/><Relationship Id="rId2941" Type="http://schemas.openxmlformats.org/officeDocument/2006/relationships/hyperlink" Target="https://pbs.twimg.com/profile_images/625648094496071681/jy7e4qOE_normal.png" TargetMode="External"/><Relationship Id="rId1611" Type="http://schemas.openxmlformats.org/officeDocument/2006/relationships/hyperlink" Target="https://twitter.com/hrbrmstr" TargetMode="External"/><Relationship Id="rId2942" Type="http://schemas.openxmlformats.org/officeDocument/2006/relationships/hyperlink" Target="https://twitter.com/MatthBogaert" TargetMode="External"/><Relationship Id="rId1612" Type="http://schemas.openxmlformats.org/officeDocument/2006/relationships/hyperlink" Target="https://twitter.com/hrbrmstr/status/701770216372617216" TargetMode="External"/><Relationship Id="rId2943" Type="http://schemas.openxmlformats.org/officeDocument/2006/relationships/hyperlink" Target="https://twitter.com/MatthBogaert/status/702051808978587648" TargetMode="External"/><Relationship Id="rId1613" Type="http://schemas.openxmlformats.org/officeDocument/2006/relationships/hyperlink" Target="https://pbs.twimg.com/profile_images/557592259298729985/kpCUQWH1_normal.png" TargetMode="External"/><Relationship Id="rId2944" Type="http://schemas.openxmlformats.org/officeDocument/2006/relationships/hyperlink" Target="https://pbs.twimg.com/profile_images/536102770873348096/ni0a39Ga_normal.jpeg" TargetMode="External"/><Relationship Id="rId1614" Type="http://schemas.openxmlformats.org/officeDocument/2006/relationships/hyperlink" Target="https://twitter.com/NWU_eResearch" TargetMode="External"/><Relationship Id="rId2945" Type="http://schemas.openxmlformats.org/officeDocument/2006/relationships/hyperlink" Target="https://twitter.com/SHFDigital" TargetMode="External"/><Relationship Id="rId1615" Type="http://schemas.openxmlformats.org/officeDocument/2006/relationships/hyperlink" Target="https://twitter.com/NWU_eResearch/status/701770391052754945" TargetMode="External"/><Relationship Id="rId2946" Type="http://schemas.openxmlformats.org/officeDocument/2006/relationships/hyperlink" Target="https://twitter.com/SHFDigital/status/702054319844171776" TargetMode="External"/><Relationship Id="rId1616" Type="http://schemas.openxmlformats.org/officeDocument/2006/relationships/hyperlink" Target="https://pbs.twimg.com/profile_images/652409152757723136/8k9DcfTJ_normal.png" TargetMode="External"/><Relationship Id="rId2947" Type="http://schemas.openxmlformats.org/officeDocument/2006/relationships/hyperlink" Target="https://pbs.twimg.com/profile_images/688857103990173697/8YrXONVY_normal.png" TargetMode="External"/><Relationship Id="rId907" Type="http://schemas.openxmlformats.org/officeDocument/2006/relationships/hyperlink" Target="https://pbs.twimg.com/profile_images/502185985786916864/gkdFh-q7_normal.png" TargetMode="External"/><Relationship Id="rId1617" Type="http://schemas.openxmlformats.org/officeDocument/2006/relationships/hyperlink" Target="https://twitter.com/fransvandunne" TargetMode="External"/><Relationship Id="rId2948" Type="http://schemas.openxmlformats.org/officeDocument/2006/relationships/hyperlink" Target="https://twitter.com/sjewor" TargetMode="External"/><Relationship Id="rId906" Type="http://schemas.openxmlformats.org/officeDocument/2006/relationships/hyperlink" Target="http://r-bloggers.com" TargetMode="External"/><Relationship Id="rId1618" Type="http://schemas.openxmlformats.org/officeDocument/2006/relationships/hyperlink" Target="https://twitter.com/fransvandunne/status/701770490361196544" TargetMode="External"/><Relationship Id="rId2949" Type="http://schemas.openxmlformats.org/officeDocument/2006/relationships/hyperlink" Target="https://twitter.com/sjewor/status/702054557153673216" TargetMode="External"/><Relationship Id="rId905" Type="http://schemas.openxmlformats.org/officeDocument/2006/relationships/hyperlink" Target="https://twitter.com/Rbloggers/status/701591126738804736" TargetMode="External"/><Relationship Id="rId1619" Type="http://schemas.openxmlformats.org/officeDocument/2006/relationships/hyperlink" Target="https://pbs.twimg.com/profile_images/378800000721730542/505d6a1d163b66987fafe2dc5a5b6c0d_normal.png" TargetMode="External"/><Relationship Id="rId904" Type="http://schemas.openxmlformats.org/officeDocument/2006/relationships/hyperlink" Target="https://twitter.com/Rbloggers" TargetMode="External"/><Relationship Id="rId909" Type="http://schemas.openxmlformats.org/officeDocument/2006/relationships/hyperlink" Target="https://twitter.com/SoroorHediyeh/status/701591198520094720" TargetMode="External"/><Relationship Id="rId908" Type="http://schemas.openxmlformats.org/officeDocument/2006/relationships/hyperlink" Target="https://twitter.com/SoroorHediyeh" TargetMode="External"/><Relationship Id="rId903" Type="http://schemas.openxmlformats.org/officeDocument/2006/relationships/hyperlink" Target="https://pbs.twimg.com/profile_images/502185985786916864/gkdFh-q7_normal.png" TargetMode="External"/><Relationship Id="rId902" Type="http://schemas.openxmlformats.org/officeDocument/2006/relationships/hyperlink" Target="http://r-bloggers.com" TargetMode="External"/><Relationship Id="rId901" Type="http://schemas.openxmlformats.org/officeDocument/2006/relationships/hyperlink" Target="https://twitter.com/Rbloggers/status/701591085454209024" TargetMode="External"/><Relationship Id="rId900" Type="http://schemas.openxmlformats.org/officeDocument/2006/relationships/hyperlink" Target="https://twitter.com/Rbloggers" TargetMode="External"/><Relationship Id="rId2930" Type="http://schemas.openxmlformats.org/officeDocument/2006/relationships/hyperlink" Target="https://twitter.com/Altons" TargetMode="External"/><Relationship Id="rId1600" Type="http://schemas.openxmlformats.org/officeDocument/2006/relationships/hyperlink" Target="https://twitter.com/dataandme/status/701769082937470977" TargetMode="External"/><Relationship Id="rId2931" Type="http://schemas.openxmlformats.org/officeDocument/2006/relationships/hyperlink" Target="https://twitter.com/Altons/status/702043909476761600" TargetMode="External"/><Relationship Id="rId1601" Type="http://schemas.openxmlformats.org/officeDocument/2006/relationships/hyperlink" Target="https://pbs.twimg.com/profile_images/598126722920361984/HdS1NWXJ_normal.png" TargetMode="External"/><Relationship Id="rId2932" Type="http://schemas.openxmlformats.org/officeDocument/2006/relationships/hyperlink" Target="https://pbs.twimg.com/profile_images/472026224416407553/ekVld1IG_normal.jpeg" TargetMode="External"/><Relationship Id="rId1602" Type="http://schemas.openxmlformats.org/officeDocument/2006/relationships/hyperlink" Target="https://twitter.com/supergianinna" TargetMode="External"/><Relationship Id="rId2933" Type="http://schemas.openxmlformats.org/officeDocument/2006/relationships/hyperlink" Target="https://twitter.com/rakeshpala" TargetMode="External"/><Relationship Id="rId1603" Type="http://schemas.openxmlformats.org/officeDocument/2006/relationships/hyperlink" Target="https://twitter.com/supergianinna/status/701769236192964610" TargetMode="External"/><Relationship Id="rId2934" Type="http://schemas.openxmlformats.org/officeDocument/2006/relationships/hyperlink" Target="https://twitter.com/rakeshpala/status/702044787877220352" TargetMode="External"/><Relationship Id="rId1604" Type="http://schemas.openxmlformats.org/officeDocument/2006/relationships/hyperlink" Target="https://pbs.twimg.com/profile_images/624925492013993984/QxYyM8L7_normal.jpg" TargetMode="External"/><Relationship Id="rId2935" Type="http://schemas.openxmlformats.org/officeDocument/2006/relationships/hyperlink" Target="https://pbs.twimg.com/profile_images/620922004/IMG_3875_edtd_normal.jpg" TargetMode="External"/><Relationship Id="rId1605" Type="http://schemas.openxmlformats.org/officeDocument/2006/relationships/hyperlink" Target="https://twitter.com/supergianinna" TargetMode="External"/><Relationship Id="rId2936" Type="http://schemas.openxmlformats.org/officeDocument/2006/relationships/hyperlink" Target="https://twitter.com/DataWookie" TargetMode="External"/><Relationship Id="rId1606" Type="http://schemas.openxmlformats.org/officeDocument/2006/relationships/hyperlink" Target="https://twitter.com/supergianinna/status/701769264135409664" TargetMode="External"/><Relationship Id="rId2937" Type="http://schemas.openxmlformats.org/officeDocument/2006/relationships/hyperlink" Target="https://twitter.com/DataWookie/status/702049866545889280" TargetMode="External"/><Relationship Id="rId1607" Type="http://schemas.openxmlformats.org/officeDocument/2006/relationships/hyperlink" Target="https://pbs.twimg.com/profile_images/624925492013993984/QxYyM8L7_normal.jpg" TargetMode="External"/><Relationship Id="rId2938" Type="http://schemas.openxmlformats.org/officeDocument/2006/relationships/hyperlink" Target="https://pbs.twimg.com/profile_images/612471608725213184/eXKo2Kmo_normal.jpg" TargetMode="External"/><Relationship Id="rId1608" Type="http://schemas.openxmlformats.org/officeDocument/2006/relationships/hyperlink" Target="https://twitter.com/dataJujitsu" TargetMode="External"/><Relationship Id="rId2939" Type="http://schemas.openxmlformats.org/officeDocument/2006/relationships/hyperlink" Target="https://twitter.com/symbolic_goods" TargetMode="External"/><Relationship Id="rId1609" Type="http://schemas.openxmlformats.org/officeDocument/2006/relationships/hyperlink" Target="https://twitter.com/dataJujitsu/status/701769985711075328" TargetMode="External"/><Relationship Id="rId1631" Type="http://schemas.openxmlformats.org/officeDocument/2006/relationships/hyperlink" Target="https://pbs.twimg.com/profile_images/378800000711929469/c6f40d0623b31334f4f55e218c96df23_normal.jpeg" TargetMode="External"/><Relationship Id="rId2962" Type="http://schemas.openxmlformats.org/officeDocument/2006/relationships/hyperlink" Target="https://pbs.twimg.com/profile_images/641183991077445633/V7VcBpJI_normal.png" TargetMode="External"/><Relationship Id="rId1632" Type="http://schemas.openxmlformats.org/officeDocument/2006/relationships/hyperlink" Target="https://twitter.com/artemklevtsov" TargetMode="External"/><Relationship Id="rId2963" Type="http://schemas.openxmlformats.org/officeDocument/2006/relationships/hyperlink" Target="https://twitter.com/soayipm" TargetMode="External"/><Relationship Id="rId1633" Type="http://schemas.openxmlformats.org/officeDocument/2006/relationships/hyperlink" Target="https://twitter.com/artemklevtsov/status/701771288268902404" TargetMode="External"/><Relationship Id="rId2964" Type="http://schemas.openxmlformats.org/officeDocument/2006/relationships/hyperlink" Target="https://twitter.com/soayipm/status/702060670804692992" TargetMode="External"/><Relationship Id="rId1634" Type="http://schemas.openxmlformats.org/officeDocument/2006/relationships/hyperlink" Target="https://pbs.twimg.com/profile_images/582945739141058560/m1lDOgFc_normal.png" TargetMode="External"/><Relationship Id="rId2965" Type="http://schemas.openxmlformats.org/officeDocument/2006/relationships/hyperlink" Target="https://pbs.twimg.com/profile_images/625769383747551232/eILXUdTm_normal.jpg" TargetMode="External"/><Relationship Id="rId1635" Type="http://schemas.openxmlformats.org/officeDocument/2006/relationships/hyperlink" Target="https://twitter.com/Leegarciauk" TargetMode="External"/><Relationship Id="rId2966" Type="http://schemas.openxmlformats.org/officeDocument/2006/relationships/hyperlink" Target="https://twitter.com/MangoTheCat" TargetMode="External"/><Relationship Id="rId1636" Type="http://schemas.openxmlformats.org/officeDocument/2006/relationships/hyperlink" Target="https://twitter.com/Leegarciauk/status/701771818714185733" TargetMode="External"/><Relationship Id="rId2967" Type="http://schemas.openxmlformats.org/officeDocument/2006/relationships/hyperlink" Target="https://twitter.com/MangoTheCat/status/702060833925279744" TargetMode="External"/><Relationship Id="rId1637" Type="http://schemas.openxmlformats.org/officeDocument/2006/relationships/hyperlink" Target="https://pbs.twimg.com/profile_images/593089177048248320/pbA_00NL_normal.jpg" TargetMode="External"/><Relationship Id="rId2968" Type="http://schemas.openxmlformats.org/officeDocument/2006/relationships/hyperlink" Target="https://pbs.twimg.com/profile_images/641183991077445633/V7VcBpJI_normal.png" TargetMode="External"/><Relationship Id="rId1638" Type="http://schemas.openxmlformats.org/officeDocument/2006/relationships/hyperlink" Target="https://twitter.com/CRANberriesFeed" TargetMode="External"/><Relationship Id="rId2969" Type="http://schemas.openxmlformats.org/officeDocument/2006/relationships/hyperlink" Target="https://twitter.com/rjacorreia" TargetMode="External"/><Relationship Id="rId929" Type="http://schemas.openxmlformats.org/officeDocument/2006/relationships/hyperlink" Target="https://twitter.com/frankwwu" TargetMode="External"/><Relationship Id="rId1639" Type="http://schemas.openxmlformats.org/officeDocument/2006/relationships/hyperlink" Target="https://twitter.com/CRANberriesFeed/status/701771887886659584" TargetMode="External"/><Relationship Id="rId928" Type="http://schemas.openxmlformats.org/officeDocument/2006/relationships/hyperlink" Target="https://abs.twimg.com/sticky/default_profile_images/default_profile_2_normal.png" TargetMode="External"/><Relationship Id="rId927" Type="http://schemas.openxmlformats.org/officeDocument/2006/relationships/hyperlink" Target="https://twitter.com/VMuraliKRaju/status/701596085748236288" TargetMode="External"/><Relationship Id="rId926" Type="http://schemas.openxmlformats.org/officeDocument/2006/relationships/hyperlink" Target="https://twitter.com/VMuraliKRaju" TargetMode="External"/><Relationship Id="rId921" Type="http://schemas.openxmlformats.org/officeDocument/2006/relationships/hyperlink" Target="https://twitter.com/renato_umeton/status/701591925913165826" TargetMode="External"/><Relationship Id="rId920" Type="http://schemas.openxmlformats.org/officeDocument/2006/relationships/hyperlink" Target="https://twitter.com/renato_umeton" TargetMode="External"/><Relationship Id="rId925" Type="http://schemas.openxmlformats.org/officeDocument/2006/relationships/hyperlink" Target="https://pbs.twimg.com/profile_images/703210587556188160/P-lYrx_7_normal.jpg" TargetMode="External"/><Relationship Id="rId924" Type="http://schemas.openxmlformats.org/officeDocument/2006/relationships/hyperlink" Target="https://twitter.com/robporterphoto/status/701595231821627393" TargetMode="External"/><Relationship Id="rId923" Type="http://schemas.openxmlformats.org/officeDocument/2006/relationships/hyperlink" Target="https://twitter.com/robporterphoto" TargetMode="External"/><Relationship Id="rId922" Type="http://schemas.openxmlformats.org/officeDocument/2006/relationships/hyperlink" Target="https://pbs.twimg.com/profile_images/701553083537604608/nr8b38eG_normal.jpg" TargetMode="External"/><Relationship Id="rId2960" Type="http://schemas.openxmlformats.org/officeDocument/2006/relationships/hyperlink" Target="https://twitter.com/MangoTheCat" TargetMode="External"/><Relationship Id="rId1630" Type="http://schemas.openxmlformats.org/officeDocument/2006/relationships/hyperlink" Target="https://twitter.com/mdsumner/status/701770945472516096" TargetMode="External"/><Relationship Id="rId2961" Type="http://schemas.openxmlformats.org/officeDocument/2006/relationships/hyperlink" Target="https://twitter.com/MangoTheCat/status/702060043055796224" TargetMode="External"/><Relationship Id="rId1620" Type="http://schemas.openxmlformats.org/officeDocument/2006/relationships/hyperlink" Target="https://twitter.com/Pvalsfr" TargetMode="External"/><Relationship Id="rId2951" Type="http://schemas.openxmlformats.org/officeDocument/2006/relationships/hyperlink" Target="https://twitter.com/guangchuangyu" TargetMode="External"/><Relationship Id="rId1621" Type="http://schemas.openxmlformats.org/officeDocument/2006/relationships/hyperlink" Target="https://twitter.com/Pvalsfr/status/701770528001024000" TargetMode="External"/><Relationship Id="rId2952" Type="http://schemas.openxmlformats.org/officeDocument/2006/relationships/hyperlink" Target="https://twitter.com/guangchuangyu/status/702055338426544129" TargetMode="External"/><Relationship Id="rId1622" Type="http://schemas.openxmlformats.org/officeDocument/2006/relationships/hyperlink" Target="https://abs.twimg.com/sticky/default_profile_images/default_profile_4_normal.png" TargetMode="External"/><Relationship Id="rId2953" Type="http://schemas.openxmlformats.org/officeDocument/2006/relationships/hyperlink" Target="https://pbs.twimg.com/profile_images/611374759310266368/pNbzuTeb_normal.png" TargetMode="External"/><Relationship Id="rId1623" Type="http://schemas.openxmlformats.org/officeDocument/2006/relationships/hyperlink" Target="https://twitter.com/Pvalsfr" TargetMode="External"/><Relationship Id="rId2954" Type="http://schemas.openxmlformats.org/officeDocument/2006/relationships/hyperlink" Target="https://twitter.com/ErmiaBivatan" TargetMode="External"/><Relationship Id="rId1624" Type="http://schemas.openxmlformats.org/officeDocument/2006/relationships/hyperlink" Target="https://twitter.com/Pvalsfr/status/701770538255953920" TargetMode="External"/><Relationship Id="rId2955" Type="http://schemas.openxmlformats.org/officeDocument/2006/relationships/hyperlink" Target="https://twitter.com/ErmiaBivatan/status/702056990978211840" TargetMode="External"/><Relationship Id="rId1625" Type="http://schemas.openxmlformats.org/officeDocument/2006/relationships/hyperlink" Target="https://abs.twimg.com/sticky/default_profile_images/default_profile_4_normal.png" TargetMode="External"/><Relationship Id="rId2956" Type="http://schemas.openxmlformats.org/officeDocument/2006/relationships/hyperlink" Target="https://pbs.twimg.com/profile_images/700219041131204608/DZKmHE4-_normal.jpg" TargetMode="External"/><Relationship Id="rId1626" Type="http://schemas.openxmlformats.org/officeDocument/2006/relationships/hyperlink" Target="https://twitter.com/matthias31000" TargetMode="External"/><Relationship Id="rId2957" Type="http://schemas.openxmlformats.org/officeDocument/2006/relationships/hyperlink" Target="https://twitter.com/ErmiaBivatan" TargetMode="External"/><Relationship Id="rId1627" Type="http://schemas.openxmlformats.org/officeDocument/2006/relationships/hyperlink" Target="https://twitter.com/matthias31000/status/701770646972403712" TargetMode="External"/><Relationship Id="rId2958" Type="http://schemas.openxmlformats.org/officeDocument/2006/relationships/hyperlink" Target="https://twitter.com/ErmiaBivatan/status/702057145970380802" TargetMode="External"/><Relationship Id="rId918" Type="http://schemas.openxmlformats.org/officeDocument/2006/relationships/hyperlink" Target="https://twitter.com/renato_umeton/status/701591925086879744" TargetMode="External"/><Relationship Id="rId1628" Type="http://schemas.openxmlformats.org/officeDocument/2006/relationships/hyperlink" Target="https://pbs.twimg.com/profile_images/653156490744885249/Sb3VJNKH_normal.jpg" TargetMode="External"/><Relationship Id="rId2959" Type="http://schemas.openxmlformats.org/officeDocument/2006/relationships/hyperlink" Target="https://pbs.twimg.com/profile_images/700219041131204608/DZKmHE4-_normal.jpg" TargetMode="External"/><Relationship Id="rId917" Type="http://schemas.openxmlformats.org/officeDocument/2006/relationships/hyperlink" Target="https://twitter.com/renato_umeton" TargetMode="External"/><Relationship Id="rId1629" Type="http://schemas.openxmlformats.org/officeDocument/2006/relationships/hyperlink" Target="https://twitter.com/mdsumner" TargetMode="External"/><Relationship Id="rId916" Type="http://schemas.openxmlformats.org/officeDocument/2006/relationships/hyperlink" Target="https://pbs.twimg.com/profile_images/701553083537604608/nr8b38eG_normal.jpg" TargetMode="External"/><Relationship Id="rId915" Type="http://schemas.openxmlformats.org/officeDocument/2006/relationships/hyperlink" Target="https://twitter.com/renato_umeton/status/701591924285829121" TargetMode="External"/><Relationship Id="rId919" Type="http://schemas.openxmlformats.org/officeDocument/2006/relationships/hyperlink" Target="https://pbs.twimg.com/profile_images/701553083537604608/nr8b38eG_normal.jpg" TargetMode="External"/><Relationship Id="rId910" Type="http://schemas.openxmlformats.org/officeDocument/2006/relationships/hyperlink" Target="https://abs.twimg.com/sticky/default_profile_images/default_profile_0_normal.png" TargetMode="External"/><Relationship Id="rId914" Type="http://schemas.openxmlformats.org/officeDocument/2006/relationships/hyperlink" Target="https://twitter.com/renato_umeton" TargetMode="External"/><Relationship Id="rId913" Type="http://schemas.openxmlformats.org/officeDocument/2006/relationships/hyperlink" Target="https://pbs.twimg.com/profile_images/701553083537604608/nr8b38eG_normal.jpg" TargetMode="External"/><Relationship Id="rId912" Type="http://schemas.openxmlformats.org/officeDocument/2006/relationships/hyperlink" Target="https://twitter.com/renato_umeton/status/701591923421802498" TargetMode="External"/><Relationship Id="rId911" Type="http://schemas.openxmlformats.org/officeDocument/2006/relationships/hyperlink" Target="https://twitter.com/renato_umeton" TargetMode="External"/><Relationship Id="rId2950" Type="http://schemas.openxmlformats.org/officeDocument/2006/relationships/hyperlink" Target="https://pbs.twimg.com/profile_images/497363631021899776/_2dCkhYJ_normal.png" TargetMode="External"/><Relationship Id="rId2900" Type="http://schemas.openxmlformats.org/officeDocument/2006/relationships/hyperlink" Target="https://twitter.com/Abcd_R/status/702038672112283648" TargetMode="External"/><Relationship Id="rId2901" Type="http://schemas.openxmlformats.org/officeDocument/2006/relationships/hyperlink" Target="https://pbs.twimg.com/profile_images/603153255217156096/KoGYjyQT_normal.jpg" TargetMode="External"/><Relationship Id="rId2902" Type="http://schemas.openxmlformats.org/officeDocument/2006/relationships/hyperlink" Target="https://twitter.com/avehtari" TargetMode="External"/><Relationship Id="rId2903" Type="http://schemas.openxmlformats.org/officeDocument/2006/relationships/hyperlink" Target="https://twitter.com/avehtari/status/702039551657820160" TargetMode="External"/><Relationship Id="rId2904" Type="http://schemas.openxmlformats.org/officeDocument/2006/relationships/hyperlink" Target="https://pbs.twimg.com/profile_images/2198377422/Aki2011_normal.jpg" TargetMode="External"/><Relationship Id="rId2905" Type="http://schemas.openxmlformats.org/officeDocument/2006/relationships/hyperlink" Target="https://twitter.com/Rbloggers" TargetMode="External"/><Relationship Id="rId2906" Type="http://schemas.openxmlformats.org/officeDocument/2006/relationships/hyperlink" Target="https://twitter.com/Rbloggers/status/702040262181163008" TargetMode="External"/><Relationship Id="rId2907" Type="http://schemas.openxmlformats.org/officeDocument/2006/relationships/hyperlink" Target="http://r-bloggers.com" TargetMode="External"/><Relationship Id="rId2908" Type="http://schemas.openxmlformats.org/officeDocument/2006/relationships/hyperlink" Target="https://pbs.twimg.com/profile_images/502185985786916864/gkdFh-q7_normal.png" TargetMode="External"/><Relationship Id="rId2909" Type="http://schemas.openxmlformats.org/officeDocument/2006/relationships/hyperlink" Target="https://twitter.com/mathew_hall" TargetMode="External"/><Relationship Id="rId5170" Type="http://schemas.openxmlformats.org/officeDocument/2006/relationships/hyperlink" Target="https://pbs.twimg.com/profile_images/3664179338/a40befbbf560832dd7a22e75c72a1eec_normal.jpeg" TargetMode="External"/><Relationship Id="rId5171" Type="http://schemas.openxmlformats.org/officeDocument/2006/relationships/hyperlink" Target="https://twitter.com/datasciencenote" TargetMode="External"/><Relationship Id="rId5174" Type="http://schemas.openxmlformats.org/officeDocument/2006/relationships/hyperlink" Target="https://twitter.com/visnut" TargetMode="External"/><Relationship Id="rId5175" Type="http://schemas.openxmlformats.org/officeDocument/2006/relationships/hyperlink" Target="https://twitter.com/visnut/status/702542316628619264" TargetMode="External"/><Relationship Id="rId5172" Type="http://schemas.openxmlformats.org/officeDocument/2006/relationships/hyperlink" Target="https://twitter.com/datasciencenote/status/702541978328641536" TargetMode="External"/><Relationship Id="rId5173" Type="http://schemas.openxmlformats.org/officeDocument/2006/relationships/hyperlink" Target="https://pbs.twimg.com/profile_images/601401378854965248/GQrs3iKd_normal.jpg" TargetMode="External"/><Relationship Id="rId5178" Type="http://schemas.openxmlformats.org/officeDocument/2006/relationships/hyperlink" Target="https://twitter.com/StatsInTheWild/status/702542480210862080" TargetMode="External"/><Relationship Id="rId5179" Type="http://schemas.openxmlformats.org/officeDocument/2006/relationships/hyperlink" Target="https://pbs.twimg.com/profile_images/379405941/GolfGregCrop_normal.jpg" TargetMode="External"/><Relationship Id="rId5176" Type="http://schemas.openxmlformats.org/officeDocument/2006/relationships/hyperlink" Target="https://pbs.twimg.com/profile_images/551002016953036800/FsQNJ2yh_normal.jpeg" TargetMode="External"/><Relationship Id="rId5177" Type="http://schemas.openxmlformats.org/officeDocument/2006/relationships/hyperlink" Target="https://twitter.com/StatsInTheWild" TargetMode="External"/><Relationship Id="rId6490" Type="http://schemas.openxmlformats.org/officeDocument/2006/relationships/hyperlink" Target="https://twitter.com/MangoPharma" TargetMode="External"/><Relationship Id="rId5160" Type="http://schemas.openxmlformats.org/officeDocument/2006/relationships/hyperlink" Target="https://twitter.com/Voovarb/status/702541157704699904" TargetMode="External"/><Relationship Id="rId6491" Type="http://schemas.openxmlformats.org/officeDocument/2006/relationships/hyperlink" Target="https://twitter.com/MangoPharma/status/702790893393174529" TargetMode="External"/><Relationship Id="rId5163" Type="http://schemas.openxmlformats.org/officeDocument/2006/relationships/hyperlink" Target="https://twitter.com/sjackman/status/702541311501426689" TargetMode="External"/><Relationship Id="rId6494" Type="http://schemas.openxmlformats.org/officeDocument/2006/relationships/hyperlink" Target="https://twitter.com/ngamita/status/702790919234428928" TargetMode="External"/><Relationship Id="rId5164" Type="http://schemas.openxmlformats.org/officeDocument/2006/relationships/hyperlink" Target="https://pbs.twimg.com/profile_images/1477813716/sdj-headshot-square_normal.jpg" TargetMode="External"/><Relationship Id="rId6495" Type="http://schemas.openxmlformats.org/officeDocument/2006/relationships/hyperlink" Target="https://pbs.twimg.com/profile_images/538251729419001857/kIvht2bF_normal.jpeg" TargetMode="External"/><Relationship Id="rId5161" Type="http://schemas.openxmlformats.org/officeDocument/2006/relationships/hyperlink" Target="https://pbs.twimg.com/profile_images/626808502929899522/nF4A807A_normal.jpg" TargetMode="External"/><Relationship Id="rId6492" Type="http://schemas.openxmlformats.org/officeDocument/2006/relationships/hyperlink" Target="https://pbs.twimg.com/profile_images/702168871437017090/GncGcQIU_normal.png" TargetMode="External"/><Relationship Id="rId5162" Type="http://schemas.openxmlformats.org/officeDocument/2006/relationships/hyperlink" Target="https://twitter.com/sjackman" TargetMode="External"/><Relationship Id="rId6493" Type="http://schemas.openxmlformats.org/officeDocument/2006/relationships/hyperlink" Target="https://twitter.com/ngamita" TargetMode="External"/><Relationship Id="rId5167" Type="http://schemas.openxmlformats.org/officeDocument/2006/relationships/hyperlink" Target="https://pbs.twimg.com/profile_images/3664179338/a40befbbf560832dd7a22e75c72a1eec_normal.jpeg" TargetMode="External"/><Relationship Id="rId6498" Type="http://schemas.openxmlformats.org/officeDocument/2006/relationships/hyperlink" Target="https://pbs.twimg.com/profile_images/3515263408/4dcca0278120c97c765cd0a80806d091_normal.jpeg" TargetMode="External"/><Relationship Id="rId5168" Type="http://schemas.openxmlformats.org/officeDocument/2006/relationships/hyperlink" Target="https://twitter.com/DirtBrew" TargetMode="External"/><Relationship Id="rId6499" Type="http://schemas.openxmlformats.org/officeDocument/2006/relationships/hyperlink" Target="https://twitter.com/johannux" TargetMode="External"/><Relationship Id="rId5165" Type="http://schemas.openxmlformats.org/officeDocument/2006/relationships/hyperlink" Target="https://twitter.com/DirtBrew" TargetMode="External"/><Relationship Id="rId6496" Type="http://schemas.openxmlformats.org/officeDocument/2006/relationships/hyperlink" Target="https://twitter.com/desertnaut" TargetMode="External"/><Relationship Id="rId5166" Type="http://schemas.openxmlformats.org/officeDocument/2006/relationships/hyperlink" Target="https://twitter.com/DirtBrew/status/702541446004367361" TargetMode="External"/><Relationship Id="rId6497" Type="http://schemas.openxmlformats.org/officeDocument/2006/relationships/hyperlink" Target="https://twitter.com/desertnaut/status/702792258685374465" TargetMode="External"/><Relationship Id="rId5169" Type="http://schemas.openxmlformats.org/officeDocument/2006/relationships/hyperlink" Target="https://twitter.com/DirtBrew/status/702541697150877697" TargetMode="External"/><Relationship Id="rId2920" Type="http://schemas.openxmlformats.org/officeDocument/2006/relationships/hyperlink" Target="https://pbs.twimg.com/profile_images/1222779560/cran1_normal.jpg" TargetMode="External"/><Relationship Id="rId2921" Type="http://schemas.openxmlformats.org/officeDocument/2006/relationships/hyperlink" Target="https://twitter.com/CRANberriesFeed" TargetMode="External"/><Relationship Id="rId2922" Type="http://schemas.openxmlformats.org/officeDocument/2006/relationships/hyperlink" Target="https://twitter.com/CRANberriesFeed/status/702043644962983936" TargetMode="External"/><Relationship Id="rId2923" Type="http://schemas.openxmlformats.org/officeDocument/2006/relationships/hyperlink" Target="https://pbs.twimg.com/profile_images/1222779560/cran1_normal.jpg" TargetMode="External"/><Relationship Id="rId2924" Type="http://schemas.openxmlformats.org/officeDocument/2006/relationships/hyperlink" Target="https://twitter.com/CRANberriesFeed" TargetMode="External"/><Relationship Id="rId2925" Type="http://schemas.openxmlformats.org/officeDocument/2006/relationships/hyperlink" Target="https://twitter.com/CRANberriesFeed/status/702043693491027972" TargetMode="External"/><Relationship Id="rId2926" Type="http://schemas.openxmlformats.org/officeDocument/2006/relationships/hyperlink" Target="https://pbs.twimg.com/profile_images/1222779560/cran1_normal.jpg" TargetMode="External"/><Relationship Id="rId2927" Type="http://schemas.openxmlformats.org/officeDocument/2006/relationships/hyperlink" Target="https://twitter.com/CRANberriesFeed" TargetMode="External"/><Relationship Id="rId2928" Type="http://schemas.openxmlformats.org/officeDocument/2006/relationships/hyperlink" Target="https://twitter.com/CRANberriesFeed/status/702043747215929344" TargetMode="External"/><Relationship Id="rId2929" Type="http://schemas.openxmlformats.org/officeDocument/2006/relationships/hyperlink" Target="https://pbs.twimg.com/profile_images/1222779560/cran1_normal.jpg" TargetMode="External"/><Relationship Id="rId5192" Type="http://schemas.openxmlformats.org/officeDocument/2006/relationships/hyperlink" Target="https://twitter.com/tomhouslay" TargetMode="External"/><Relationship Id="rId5193" Type="http://schemas.openxmlformats.org/officeDocument/2006/relationships/hyperlink" Target="https://twitter.com/tomhouslay/status/702543864859643904" TargetMode="External"/><Relationship Id="rId5190" Type="http://schemas.openxmlformats.org/officeDocument/2006/relationships/hyperlink" Target="https://twitter.com/BigDataTweetBot/status/702543720734990336" TargetMode="External"/><Relationship Id="rId5191" Type="http://schemas.openxmlformats.org/officeDocument/2006/relationships/hyperlink" Target="https://pbs.twimg.com/profile_images/616793252524650496/bQbxJqmz_normal.jpg" TargetMode="External"/><Relationship Id="rId5196" Type="http://schemas.openxmlformats.org/officeDocument/2006/relationships/hyperlink" Target="https://twitter.com/evodify/status/702544812151541766" TargetMode="External"/><Relationship Id="rId5197" Type="http://schemas.openxmlformats.org/officeDocument/2006/relationships/hyperlink" Target="https://pbs.twimg.com/profile_images/648178182009581568/S9nBOKJI_normal.jpg" TargetMode="External"/><Relationship Id="rId5194" Type="http://schemas.openxmlformats.org/officeDocument/2006/relationships/hyperlink" Target="https://pbs.twimg.com/profile_images/701901513392717824/lUzJ39G2_normal.png" TargetMode="External"/><Relationship Id="rId5195" Type="http://schemas.openxmlformats.org/officeDocument/2006/relationships/hyperlink" Target="https://twitter.com/evodify" TargetMode="External"/><Relationship Id="rId5198" Type="http://schemas.openxmlformats.org/officeDocument/2006/relationships/hyperlink" Target="https://twitter.com/StatGarrett" TargetMode="External"/><Relationship Id="rId5199" Type="http://schemas.openxmlformats.org/officeDocument/2006/relationships/hyperlink" Target="https://twitter.com/StatGarrett/status/702544943324258305" TargetMode="External"/><Relationship Id="rId2910" Type="http://schemas.openxmlformats.org/officeDocument/2006/relationships/hyperlink" Target="https://twitter.com/mathew_hall/status/702040716155994112" TargetMode="External"/><Relationship Id="rId2911" Type="http://schemas.openxmlformats.org/officeDocument/2006/relationships/hyperlink" Target="https://pbs.twimg.com/profile_images/1241336978/prf_normal.jpg" TargetMode="External"/><Relationship Id="rId2912" Type="http://schemas.openxmlformats.org/officeDocument/2006/relationships/hyperlink" Target="https://twitter.com/fabio_zottele" TargetMode="External"/><Relationship Id="rId2913" Type="http://schemas.openxmlformats.org/officeDocument/2006/relationships/hyperlink" Target="https://twitter.com/fabio_zottele/status/702041519365165056" TargetMode="External"/><Relationship Id="rId2914" Type="http://schemas.openxmlformats.org/officeDocument/2006/relationships/hyperlink" Target="https://pbs.twimg.com/profile_images/1580520395/Nyan_cat_250px_frame_normal.png" TargetMode="External"/><Relationship Id="rId2915" Type="http://schemas.openxmlformats.org/officeDocument/2006/relationships/hyperlink" Target="https://twitter.com/CRANberriesFeed" TargetMode="External"/><Relationship Id="rId2916" Type="http://schemas.openxmlformats.org/officeDocument/2006/relationships/hyperlink" Target="https://twitter.com/CRANberriesFeed/status/702043629066518528" TargetMode="External"/><Relationship Id="rId2917" Type="http://schemas.openxmlformats.org/officeDocument/2006/relationships/hyperlink" Target="https://pbs.twimg.com/profile_images/1222779560/cran1_normal.jpg" TargetMode="External"/><Relationship Id="rId2918" Type="http://schemas.openxmlformats.org/officeDocument/2006/relationships/hyperlink" Target="https://twitter.com/CRANberriesFeed" TargetMode="External"/><Relationship Id="rId2919" Type="http://schemas.openxmlformats.org/officeDocument/2006/relationships/hyperlink" Target="https://twitter.com/CRANberriesFeed/status/702043637539086336" TargetMode="External"/><Relationship Id="rId5181" Type="http://schemas.openxmlformats.org/officeDocument/2006/relationships/hyperlink" Target="https://twitter.com/dataandme/status/702542961553309696" TargetMode="External"/><Relationship Id="rId5182" Type="http://schemas.openxmlformats.org/officeDocument/2006/relationships/hyperlink" Target="https://pbs.twimg.com/profile_images/598126722920361984/HdS1NWXJ_normal.png" TargetMode="External"/><Relationship Id="rId5180" Type="http://schemas.openxmlformats.org/officeDocument/2006/relationships/hyperlink" Target="https://twitter.com/dataandme" TargetMode="External"/><Relationship Id="rId5185" Type="http://schemas.openxmlformats.org/officeDocument/2006/relationships/hyperlink" Target="https://pbs.twimg.com/profile_images/599030723065081856/ghxW9f3E_normal.jpg" TargetMode="External"/><Relationship Id="rId5186" Type="http://schemas.openxmlformats.org/officeDocument/2006/relationships/hyperlink" Target="https://twitter.com/tripartio" TargetMode="External"/><Relationship Id="rId5183" Type="http://schemas.openxmlformats.org/officeDocument/2006/relationships/hyperlink" Target="https://twitter.com/DannyPage" TargetMode="External"/><Relationship Id="rId5184" Type="http://schemas.openxmlformats.org/officeDocument/2006/relationships/hyperlink" Target="https://twitter.com/DannyPage/status/702543506888376322" TargetMode="External"/><Relationship Id="rId5189" Type="http://schemas.openxmlformats.org/officeDocument/2006/relationships/hyperlink" Target="https://twitter.com/BigDataTweetBot" TargetMode="External"/><Relationship Id="rId5187" Type="http://schemas.openxmlformats.org/officeDocument/2006/relationships/hyperlink" Target="https://twitter.com/tripartio/status/702543647242190848" TargetMode="External"/><Relationship Id="rId5188" Type="http://schemas.openxmlformats.org/officeDocument/2006/relationships/hyperlink" Target="https://pbs.twimg.com/profile_images/529482878543867904/H-UGY1d0_normal.png" TargetMode="External"/><Relationship Id="rId1697" Type="http://schemas.openxmlformats.org/officeDocument/2006/relationships/hyperlink" Target="https://pbs.twimg.com/profile_images/1993565463/note_normal.jpg" TargetMode="External"/><Relationship Id="rId1698" Type="http://schemas.openxmlformats.org/officeDocument/2006/relationships/hyperlink" Target="https://twitter.com/frankwwu" TargetMode="External"/><Relationship Id="rId1699" Type="http://schemas.openxmlformats.org/officeDocument/2006/relationships/hyperlink" Target="https://twitter.com/frankwwu/status/701782498016034816" TargetMode="External"/><Relationship Id="rId866" Type="http://schemas.openxmlformats.org/officeDocument/2006/relationships/hyperlink" Target="https://twitter.com/ShinyappsRecent/status/701578428848340993" TargetMode="External"/><Relationship Id="rId865" Type="http://schemas.openxmlformats.org/officeDocument/2006/relationships/hyperlink" Target="https://twitter.com/ShinyappsRecent" TargetMode="External"/><Relationship Id="rId864" Type="http://schemas.openxmlformats.org/officeDocument/2006/relationships/hyperlink" Target="https://pbs.twimg.com/profile_images/701553083537604608/nr8b38eG_normal.jpg" TargetMode="External"/><Relationship Id="rId863" Type="http://schemas.openxmlformats.org/officeDocument/2006/relationships/hyperlink" Target="https://twitter.com/renato_umeton/status/701575565942329345" TargetMode="External"/><Relationship Id="rId869" Type="http://schemas.openxmlformats.org/officeDocument/2006/relationships/hyperlink" Target="https://twitter.com/adamcduncan/status/701579731708354560" TargetMode="External"/><Relationship Id="rId868" Type="http://schemas.openxmlformats.org/officeDocument/2006/relationships/hyperlink" Target="https://twitter.com/adamcduncan" TargetMode="External"/><Relationship Id="rId867" Type="http://schemas.openxmlformats.org/officeDocument/2006/relationships/hyperlink" Target="https://pbs.twimg.com/profile_images/550280885480603648/jye_0y8s_normal.png" TargetMode="External"/><Relationship Id="rId1690" Type="http://schemas.openxmlformats.org/officeDocument/2006/relationships/hyperlink" Target="https://twitter.com/neilcharles_uk/status/701780735640866817" TargetMode="External"/><Relationship Id="rId1691" Type="http://schemas.openxmlformats.org/officeDocument/2006/relationships/hyperlink" Target="https://pbs.twimg.com/profile_images/1598054225/sunset_normal.jpg" TargetMode="External"/><Relationship Id="rId1692" Type="http://schemas.openxmlformats.org/officeDocument/2006/relationships/hyperlink" Target="https://twitter.com/openmylab" TargetMode="External"/><Relationship Id="rId862" Type="http://schemas.openxmlformats.org/officeDocument/2006/relationships/hyperlink" Target="https://twitter.com/renato_umeton" TargetMode="External"/><Relationship Id="rId1693" Type="http://schemas.openxmlformats.org/officeDocument/2006/relationships/hyperlink" Target="https://twitter.com/openmylab/status/701781275791601664" TargetMode="External"/><Relationship Id="rId861" Type="http://schemas.openxmlformats.org/officeDocument/2006/relationships/hyperlink" Target="https://pbs.twimg.com/profile_images/793756409/DSC05967_-_C_pia_normal.JPG" TargetMode="External"/><Relationship Id="rId1694" Type="http://schemas.openxmlformats.org/officeDocument/2006/relationships/hyperlink" Target="https://pbs.twimg.com/profile_images/696226577386852352/yseUYL_3_normal.jpg" TargetMode="External"/><Relationship Id="rId860" Type="http://schemas.openxmlformats.org/officeDocument/2006/relationships/hyperlink" Target="https://twitter.com/caerib/status/701561691432165376" TargetMode="External"/><Relationship Id="rId1695" Type="http://schemas.openxmlformats.org/officeDocument/2006/relationships/hyperlink" Target="https://twitter.com/Bioconductor" TargetMode="External"/><Relationship Id="rId1696" Type="http://schemas.openxmlformats.org/officeDocument/2006/relationships/hyperlink" Target="https://twitter.com/Bioconductor/status/701782447646752770" TargetMode="External"/><Relationship Id="rId1686" Type="http://schemas.openxmlformats.org/officeDocument/2006/relationships/hyperlink" Target="https://twitter.com/homeAIinfo" TargetMode="External"/><Relationship Id="rId1687" Type="http://schemas.openxmlformats.org/officeDocument/2006/relationships/hyperlink" Target="https://twitter.com/homeAIinfo/status/701780703269281793" TargetMode="External"/><Relationship Id="rId1688" Type="http://schemas.openxmlformats.org/officeDocument/2006/relationships/hyperlink" Target="https://pbs.twimg.com/profile_images/645650110374936580/-oQakt8x_normal.png" TargetMode="External"/><Relationship Id="rId1689" Type="http://schemas.openxmlformats.org/officeDocument/2006/relationships/hyperlink" Target="https://twitter.com/neilcharles_uk" TargetMode="External"/><Relationship Id="rId855" Type="http://schemas.openxmlformats.org/officeDocument/2006/relationships/hyperlink" Target="https://pbs.twimg.com/profile_images/659901510000779266/XUTk0yim_normal.jpg" TargetMode="External"/><Relationship Id="rId854" Type="http://schemas.openxmlformats.org/officeDocument/2006/relationships/hyperlink" Target="https://twitter.com/snickolas/status/701560095889555459" TargetMode="External"/><Relationship Id="rId853" Type="http://schemas.openxmlformats.org/officeDocument/2006/relationships/hyperlink" Target="https://twitter.com/snickolas" TargetMode="External"/><Relationship Id="rId852" Type="http://schemas.openxmlformats.org/officeDocument/2006/relationships/hyperlink" Target="https://pbs.twimg.com/profile_images/584886623713816577/ipk4TBQs_normal.jpg" TargetMode="External"/><Relationship Id="rId859" Type="http://schemas.openxmlformats.org/officeDocument/2006/relationships/hyperlink" Target="https://twitter.com/caerib" TargetMode="External"/><Relationship Id="rId858" Type="http://schemas.openxmlformats.org/officeDocument/2006/relationships/hyperlink" Target="https://pbs.twimg.com/profile_images/629651605768564736/M4hQOKUw_normal.jpg" TargetMode="External"/><Relationship Id="rId857" Type="http://schemas.openxmlformats.org/officeDocument/2006/relationships/hyperlink" Target="https://twitter.com/ecsalomon/status/701560371086303232" TargetMode="External"/><Relationship Id="rId856" Type="http://schemas.openxmlformats.org/officeDocument/2006/relationships/hyperlink" Target="https://twitter.com/ecsalomon" TargetMode="External"/><Relationship Id="rId1680" Type="http://schemas.openxmlformats.org/officeDocument/2006/relationships/hyperlink" Target="https://twitter.com/precariobecario" TargetMode="External"/><Relationship Id="rId1681" Type="http://schemas.openxmlformats.org/officeDocument/2006/relationships/hyperlink" Target="https://twitter.com/precariobecario/status/701780632964349953" TargetMode="External"/><Relationship Id="rId851" Type="http://schemas.openxmlformats.org/officeDocument/2006/relationships/hyperlink" Target="https://twitter.com/csukamajolaj/status/701558922944057345" TargetMode="External"/><Relationship Id="rId1682" Type="http://schemas.openxmlformats.org/officeDocument/2006/relationships/hyperlink" Target="https://pbs.twimg.com/profile_images/557938759753166850/O2-Bt_AF_normal.jpeg" TargetMode="External"/><Relationship Id="rId850" Type="http://schemas.openxmlformats.org/officeDocument/2006/relationships/hyperlink" Target="https://twitter.com/csukamajolaj" TargetMode="External"/><Relationship Id="rId1683" Type="http://schemas.openxmlformats.org/officeDocument/2006/relationships/hyperlink" Target="https://twitter.com/homeAIinfo" TargetMode="External"/><Relationship Id="rId1684" Type="http://schemas.openxmlformats.org/officeDocument/2006/relationships/hyperlink" Target="https://twitter.com/homeAIinfo/status/701780702124179460" TargetMode="External"/><Relationship Id="rId1685" Type="http://schemas.openxmlformats.org/officeDocument/2006/relationships/hyperlink" Target="https://pbs.twimg.com/profile_images/645650110374936580/-oQakt8x_normal.png" TargetMode="External"/><Relationship Id="rId888" Type="http://schemas.openxmlformats.org/officeDocument/2006/relationships/hyperlink" Target="https://pbs.twimg.com/profile_images/667834531123208192/UStoYX_o_normal.jpg" TargetMode="External"/><Relationship Id="rId887" Type="http://schemas.openxmlformats.org/officeDocument/2006/relationships/hyperlink" Target="https://twitter.com/BestCoursesEver/status/701587856385507331" TargetMode="External"/><Relationship Id="rId886" Type="http://schemas.openxmlformats.org/officeDocument/2006/relationships/hyperlink" Target="https://twitter.com/BestCoursesEver" TargetMode="External"/><Relationship Id="rId885" Type="http://schemas.openxmlformats.org/officeDocument/2006/relationships/hyperlink" Target="https://pbs.twimg.com/profile_images/436371993756045312/GLPHgaoV_normal.png" TargetMode="External"/><Relationship Id="rId889" Type="http://schemas.openxmlformats.org/officeDocument/2006/relationships/hyperlink" Target="https://twitter.com/CRANberriesFeed" TargetMode="External"/><Relationship Id="rId880" Type="http://schemas.openxmlformats.org/officeDocument/2006/relationships/hyperlink" Target="https://twitter.com/sdwfrost" TargetMode="External"/><Relationship Id="rId884" Type="http://schemas.openxmlformats.org/officeDocument/2006/relationships/hyperlink" Target="https://twitter.com/aneomatrix/status/701583044184911872" TargetMode="External"/><Relationship Id="rId883" Type="http://schemas.openxmlformats.org/officeDocument/2006/relationships/hyperlink" Target="https://twitter.com/aneomatrix" TargetMode="External"/><Relationship Id="rId882" Type="http://schemas.openxmlformats.org/officeDocument/2006/relationships/hyperlink" Target="https://pbs.twimg.com/profile_images/441946214297108480/8IYxGQ3d_normal.jpeg" TargetMode="External"/><Relationship Id="rId881" Type="http://schemas.openxmlformats.org/officeDocument/2006/relationships/hyperlink" Target="https://twitter.com/sdwfrost/status/701582826211119106" TargetMode="External"/><Relationship Id="rId877" Type="http://schemas.openxmlformats.org/officeDocument/2006/relationships/hyperlink" Target="https://twitter.com/JuliaLanguage" TargetMode="External"/><Relationship Id="rId876" Type="http://schemas.openxmlformats.org/officeDocument/2006/relationships/hyperlink" Target="https://pbs.twimg.com/profile_images/613456073979092992/1Bd3LSz1_normal.png" TargetMode="External"/><Relationship Id="rId875" Type="http://schemas.openxmlformats.org/officeDocument/2006/relationships/hyperlink" Target="https://twitter.com/JuliaLangsEs/status/701581314172940290" TargetMode="External"/><Relationship Id="rId874" Type="http://schemas.openxmlformats.org/officeDocument/2006/relationships/hyperlink" Target="https://twitter.com/JuliaLangsEs" TargetMode="External"/><Relationship Id="rId879" Type="http://schemas.openxmlformats.org/officeDocument/2006/relationships/hyperlink" Target="https://pbs.twimg.com/profile_images/3331406046/647b7cf75cb5662b96901bc521968e94_normal.png" TargetMode="External"/><Relationship Id="rId878" Type="http://schemas.openxmlformats.org/officeDocument/2006/relationships/hyperlink" Target="https://twitter.com/JuliaLanguage/status/701581314219073536" TargetMode="External"/><Relationship Id="rId873" Type="http://schemas.openxmlformats.org/officeDocument/2006/relationships/hyperlink" Target="https://pbs.twimg.com/profile_images/643074023430057984/Oh7q-TYL_normal.jpg" TargetMode="External"/><Relationship Id="rId872" Type="http://schemas.openxmlformats.org/officeDocument/2006/relationships/hyperlink" Target="https://twitter.com/ismael_vc/status/701581314114265089" TargetMode="External"/><Relationship Id="rId871" Type="http://schemas.openxmlformats.org/officeDocument/2006/relationships/hyperlink" Target="https://twitter.com/ismael_vc" TargetMode="External"/><Relationship Id="rId870" Type="http://schemas.openxmlformats.org/officeDocument/2006/relationships/hyperlink" Target="https://pbs.twimg.com/profile_images/494810361594261504/QtnGRVL4_normal.jpeg" TargetMode="External"/><Relationship Id="rId1653" Type="http://schemas.openxmlformats.org/officeDocument/2006/relationships/hyperlink" Target="https://twitter.com/Hoog10HK" TargetMode="External"/><Relationship Id="rId2984" Type="http://schemas.openxmlformats.org/officeDocument/2006/relationships/hyperlink" Target="https://twitter.com/sentiwire" TargetMode="External"/><Relationship Id="rId1654" Type="http://schemas.openxmlformats.org/officeDocument/2006/relationships/hyperlink" Target="https://twitter.com/Hoog10HK/status/701776154043273216" TargetMode="External"/><Relationship Id="rId2985" Type="http://schemas.openxmlformats.org/officeDocument/2006/relationships/hyperlink" Target="https://twitter.com/sentiwire/status/702064264811409408" TargetMode="External"/><Relationship Id="rId1655" Type="http://schemas.openxmlformats.org/officeDocument/2006/relationships/hyperlink" Target="https://pbs.twimg.com/profile_images/554924936985206786/FBkNWZp8_normal.png" TargetMode="External"/><Relationship Id="rId2986" Type="http://schemas.openxmlformats.org/officeDocument/2006/relationships/hyperlink" Target="https://pbs.twimg.com/profile_images/686965105473396736/B9V5UtGS_normal.jpg" TargetMode="External"/><Relationship Id="rId1656" Type="http://schemas.openxmlformats.org/officeDocument/2006/relationships/hyperlink" Target="https://twitter.com/earlconf" TargetMode="External"/><Relationship Id="rId2987" Type="http://schemas.openxmlformats.org/officeDocument/2006/relationships/hyperlink" Target="https://twitter.com/NBNTrust" TargetMode="External"/><Relationship Id="rId1657" Type="http://schemas.openxmlformats.org/officeDocument/2006/relationships/hyperlink" Target="https://twitter.com/earlconf/status/701776208510386176" TargetMode="External"/><Relationship Id="rId2988" Type="http://schemas.openxmlformats.org/officeDocument/2006/relationships/hyperlink" Target="https://twitter.com/NBNTrust/status/702065076744933376" TargetMode="External"/><Relationship Id="rId1658" Type="http://schemas.openxmlformats.org/officeDocument/2006/relationships/hyperlink" Target="https://pbs.twimg.com/profile_images/432298122203512833/YDXfWlI__normal.png" TargetMode="External"/><Relationship Id="rId2989" Type="http://schemas.openxmlformats.org/officeDocument/2006/relationships/hyperlink" Target="https://pbs.twimg.com/profile_images/200311699/leaf_normal.jpg" TargetMode="External"/><Relationship Id="rId1659" Type="http://schemas.openxmlformats.org/officeDocument/2006/relationships/hyperlink" Target="https://twitter.com/hrbrmstr" TargetMode="External"/><Relationship Id="rId829" Type="http://schemas.openxmlformats.org/officeDocument/2006/relationships/hyperlink" Target="https://twitter.com/Rbloggers/status/701549497214566401" TargetMode="External"/><Relationship Id="rId828" Type="http://schemas.openxmlformats.org/officeDocument/2006/relationships/hyperlink" Target="https://twitter.com/Rbloggers" TargetMode="External"/><Relationship Id="rId827" Type="http://schemas.openxmlformats.org/officeDocument/2006/relationships/hyperlink" Target="https://pbs.twimg.com/profile_images/529482878543867904/H-UGY1d0_normal.png" TargetMode="External"/><Relationship Id="rId822" Type="http://schemas.openxmlformats.org/officeDocument/2006/relationships/hyperlink" Target="https://twitter.com/_owl_data" TargetMode="External"/><Relationship Id="rId821" Type="http://schemas.openxmlformats.org/officeDocument/2006/relationships/hyperlink" Target="https://pbs.twimg.com/profile_images/693082490307739649/1iKiqumB_normal.jpg" TargetMode="External"/><Relationship Id="rId820" Type="http://schemas.openxmlformats.org/officeDocument/2006/relationships/hyperlink" Target="https://twitter.com/sourcingwhizz/status/701541678394507265" TargetMode="External"/><Relationship Id="rId826" Type="http://schemas.openxmlformats.org/officeDocument/2006/relationships/hyperlink" Target="https://twitter.com/tripartio/status/701546654982254592" TargetMode="External"/><Relationship Id="rId825" Type="http://schemas.openxmlformats.org/officeDocument/2006/relationships/hyperlink" Target="https://twitter.com/tripartio" TargetMode="External"/><Relationship Id="rId824" Type="http://schemas.openxmlformats.org/officeDocument/2006/relationships/hyperlink" Target="https://pbs.twimg.com/profile_images/699043218931982336/lpQIsrVN_normal.jpg" TargetMode="External"/><Relationship Id="rId823" Type="http://schemas.openxmlformats.org/officeDocument/2006/relationships/hyperlink" Target="https://twitter.com/_owl_data/status/701544662851567616" TargetMode="External"/><Relationship Id="rId2980" Type="http://schemas.openxmlformats.org/officeDocument/2006/relationships/hyperlink" Target="https://pbs.twimg.com/profile_images/641183991077445633/V7VcBpJI_normal.png" TargetMode="External"/><Relationship Id="rId1650" Type="http://schemas.openxmlformats.org/officeDocument/2006/relationships/hyperlink" Target="https://twitter.com/segalop" TargetMode="External"/><Relationship Id="rId2981" Type="http://schemas.openxmlformats.org/officeDocument/2006/relationships/hyperlink" Target="https://twitter.com/TeppoTammisto" TargetMode="External"/><Relationship Id="rId1651" Type="http://schemas.openxmlformats.org/officeDocument/2006/relationships/hyperlink" Target="https://twitter.com/segalop/status/701773180269150208" TargetMode="External"/><Relationship Id="rId2982" Type="http://schemas.openxmlformats.org/officeDocument/2006/relationships/hyperlink" Target="https://twitter.com/TeppoTammisto/status/702064258494963712" TargetMode="External"/><Relationship Id="rId1652" Type="http://schemas.openxmlformats.org/officeDocument/2006/relationships/hyperlink" Target="https://pbs.twimg.com/profile_images/470626645083037696/FicOo9YX_normal.jpeg" TargetMode="External"/><Relationship Id="rId2983" Type="http://schemas.openxmlformats.org/officeDocument/2006/relationships/hyperlink" Target="https://pbs.twimg.com/profile_images/601032786233991169/9qzqHUlS_normal.png" TargetMode="External"/><Relationship Id="rId1642" Type="http://schemas.openxmlformats.org/officeDocument/2006/relationships/hyperlink" Target="https://twitter.com/DrAndyPardoe/status/701772193982767104" TargetMode="External"/><Relationship Id="rId2973" Type="http://schemas.openxmlformats.org/officeDocument/2006/relationships/hyperlink" Target="https://twitter.com/earlconf/status/702061158015041536" TargetMode="External"/><Relationship Id="rId1643" Type="http://schemas.openxmlformats.org/officeDocument/2006/relationships/hyperlink" Target="https://pbs.twimg.com/profile_images/485766134268837889/t4PLhSfT_normal.jpeg" TargetMode="External"/><Relationship Id="rId2974" Type="http://schemas.openxmlformats.org/officeDocument/2006/relationships/hyperlink" Target="https://pbs.twimg.com/profile_images/432298122203512833/YDXfWlI__normal.png" TargetMode="External"/><Relationship Id="rId1644" Type="http://schemas.openxmlformats.org/officeDocument/2006/relationships/hyperlink" Target="https://twitter.com/tripartio" TargetMode="External"/><Relationship Id="rId2975" Type="http://schemas.openxmlformats.org/officeDocument/2006/relationships/hyperlink" Target="https://twitter.com/andnewmanGEO" TargetMode="External"/><Relationship Id="rId1645" Type="http://schemas.openxmlformats.org/officeDocument/2006/relationships/hyperlink" Target="https://twitter.com/tripartio/status/701772206792167424" TargetMode="External"/><Relationship Id="rId2976" Type="http://schemas.openxmlformats.org/officeDocument/2006/relationships/hyperlink" Target="https://twitter.com/andnewmanGEO/status/702061712510472192" TargetMode="External"/><Relationship Id="rId1646" Type="http://schemas.openxmlformats.org/officeDocument/2006/relationships/hyperlink" Target="https://pbs.twimg.com/profile_images/529482878543867904/H-UGY1d0_normal.png" TargetMode="External"/><Relationship Id="rId2977" Type="http://schemas.openxmlformats.org/officeDocument/2006/relationships/hyperlink" Target="https://pbs.twimg.com/profile_images/631934716711710720/OHIQvOhz_normal.jpg" TargetMode="External"/><Relationship Id="rId1647" Type="http://schemas.openxmlformats.org/officeDocument/2006/relationships/hyperlink" Target="https://twitter.com/mpotter27" TargetMode="External"/><Relationship Id="rId2978" Type="http://schemas.openxmlformats.org/officeDocument/2006/relationships/hyperlink" Target="https://twitter.com/MangoTheCat" TargetMode="External"/><Relationship Id="rId1648" Type="http://schemas.openxmlformats.org/officeDocument/2006/relationships/hyperlink" Target="https://twitter.com/mpotter27/status/701772636162908160" TargetMode="External"/><Relationship Id="rId2979" Type="http://schemas.openxmlformats.org/officeDocument/2006/relationships/hyperlink" Target="https://twitter.com/MangoTheCat/status/702063351090663424" TargetMode="External"/><Relationship Id="rId1649" Type="http://schemas.openxmlformats.org/officeDocument/2006/relationships/hyperlink" Target="https://pbs.twimg.com/profile_images/687644694768148480/zC3IwoS0_normal.jpg" TargetMode="External"/><Relationship Id="rId819" Type="http://schemas.openxmlformats.org/officeDocument/2006/relationships/hyperlink" Target="https://twitter.com/sourcingwhizz" TargetMode="External"/><Relationship Id="rId818" Type="http://schemas.openxmlformats.org/officeDocument/2006/relationships/hyperlink" Target="https://pbs.twimg.com/profile_images/3544413654/17524180a3b5476b3614c7e3cfaa79ca_normal.jpeg" TargetMode="External"/><Relationship Id="rId817" Type="http://schemas.openxmlformats.org/officeDocument/2006/relationships/hyperlink" Target="https://twitter.com/sjgknight/status/701541366052974593" TargetMode="External"/><Relationship Id="rId816" Type="http://schemas.openxmlformats.org/officeDocument/2006/relationships/hyperlink" Target="https://twitter.com/sjgknight" TargetMode="External"/><Relationship Id="rId811" Type="http://schemas.openxmlformats.org/officeDocument/2006/relationships/hyperlink" Target="https://twitter.com/Irpod5/status/701538456577642498" TargetMode="External"/><Relationship Id="rId810" Type="http://schemas.openxmlformats.org/officeDocument/2006/relationships/hyperlink" Target="https://twitter.com/Irpod5" TargetMode="External"/><Relationship Id="rId815" Type="http://schemas.openxmlformats.org/officeDocument/2006/relationships/hyperlink" Target="https://pbs.twimg.com/profile_images/489375332743409664/P4sYDY1__normal.png" TargetMode="External"/><Relationship Id="rId814" Type="http://schemas.openxmlformats.org/officeDocument/2006/relationships/hyperlink" Target="https://twitter.com/bigboardsio/status/701540423265869827" TargetMode="External"/><Relationship Id="rId813" Type="http://schemas.openxmlformats.org/officeDocument/2006/relationships/hyperlink" Target="https://twitter.com/bigboardsio" TargetMode="External"/><Relationship Id="rId812" Type="http://schemas.openxmlformats.org/officeDocument/2006/relationships/hyperlink" Target="https://pbs.twimg.com/profile_images/1114503787/gb02c_normal.jpg" TargetMode="External"/><Relationship Id="rId2970" Type="http://schemas.openxmlformats.org/officeDocument/2006/relationships/hyperlink" Target="https://twitter.com/rjacorreia/status/702061034442465280" TargetMode="External"/><Relationship Id="rId1640" Type="http://schemas.openxmlformats.org/officeDocument/2006/relationships/hyperlink" Target="https://pbs.twimg.com/profile_images/1222779560/cran1_normal.jpg" TargetMode="External"/><Relationship Id="rId2971" Type="http://schemas.openxmlformats.org/officeDocument/2006/relationships/hyperlink" Target="https://pbs.twimg.com/profile_images/506821568723296256/PL-k_a99_normal.jpeg" TargetMode="External"/><Relationship Id="rId1641" Type="http://schemas.openxmlformats.org/officeDocument/2006/relationships/hyperlink" Target="https://twitter.com/DrAndyPardoe" TargetMode="External"/><Relationship Id="rId2972" Type="http://schemas.openxmlformats.org/officeDocument/2006/relationships/hyperlink" Target="https://twitter.com/earlconf" TargetMode="External"/><Relationship Id="rId1675" Type="http://schemas.openxmlformats.org/officeDocument/2006/relationships/hyperlink" Target="https://twitter.com/Emaasit/status/701779180833275904" TargetMode="External"/><Relationship Id="rId1676" Type="http://schemas.openxmlformats.org/officeDocument/2006/relationships/hyperlink" Target="https://pbs.twimg.com/profile_images/567588045927354370/NN8xp_M5_normal.jpeg" TargetMode="External"/><Relationship Id="rId1677" Type="http://schemas.openxmlformats.org/officeDocument/2006/relationships/hyperlink" Target="https://twitter.com/tripartio" TargetMode="External"/><Relationship Id="rId1678" Type="http://schemas.openxmlformats.org/officeDocument/2006/relationships/hyperlink" Target="https://twitter.com/tripartio/status/701780091039301632" TargetMode="External"/><Relationship Id="rId1679" Type="http://schemas.openxmlformats.org/officeDocument/2006/relationships/hyperlink" Target="https://pbs.twimg.com/profile_images/529482878543867904/H-UGY1d0_normal.png" TargetMode="External"/><Relationship Id="rId849" Type="http://schemas.openxmlformats.org/officeDocument/2006/relationships/hyperlink" Target="https://pbs.twimg.com/profile_images/3621816458/b159d4051d6a227bcaf7f265e1d92da4_normal.jpeg" TargetMode="External"/><Relationship Id="rId844" Type="http://schemas.openxmlformats.org/officeDocument/2006/relationships/hyperlink" Target="https://twitter.com/renato_umeton" TargetMode="External"/><Relationship Id="rId843" Type="http://schemas.openxmlformats.org/officeDocument/2006/relationships/hyperlink" Target="https://pbs.twimg.com/profile_images/3162525909/12583e1550e4f47d6c221a4b5d5fe4b0_normal.png" TargetMode="External"/><Relationship Id="rId842" Type="http://schemas.openxmlformats.org/officeDocument/2006/relationships/hyperlink" Target="https://twitter.com/molcellprot/status/701555141485453316" TargetMode="External"/><Relationship Id="rId841" Type="http://schemas.openxmlformats.org/officeDocument/2006/relationships/hyperlink" Target="https://twitter.com/molcellprot" TargetMode="External"/><Relationship Id="rId848" Type="http://schemas.openxmlformats.org/officeDocument/2006/relationships/hyperlink" Target="https://twitter.com/h_okumura/status/701558406365081600" TargetMode="External"/><Relationship Id="rId847" Type="http://schemas.openxmlformats.org/officeDocument/2006/relationships/hyperlink" Target="https://twitter.com/h_okumura" TargetMode="External"/><Relationship Id="rId846" Type="http://schemas.openxmlformats.org/officeDocument/2006/relationships/hyperlink" Target="https://pbs.twimg.com/profile_images/701553083537604608/nr8b38eG_normal.jpg" TargetMode="External"/><Relationship Id="rId845" Type="http://schemas.openxmlformats.org/officeDocument/2006/relationships/hyperlink" Target="https://twitter.com/renato_umeton/status/701556722859700224" TargetMode="External"/><Relationship Id="rId1670" Type="http://schemas.openxmlformats.org/officeDocument/2006/relationships/hyperlink" Target="https://pbs.twimg.com/profile_images/599898684705374208/CooYcNCz_normal.jpg" TargetMode="External"/><Relationship Id="rId840" Type="http://schemas.openxmlformats.org/officeDocument/2006/relationships/hyperlink" Target="https://pbs.twimg.com/profile_images/612471608725213184/eXKo2Kmo_normal.jpg" TargetMode="External"/><Relationship Id="rId1671" Type="http://schemas.openxmlformats.org/officeDocument/2006/relationships/hyperlink" Target="https://twitter.com/abresler" TargetMode="External"/><Relationship Id="rId1672" Type="http://schemas.openxmlformats.org/officeDocument/2006/relationships/hyperlink" Target="https://twitter.com/abresler/status/701778273576034304" TargetMode="External"/><Relationship Id="rId1673" Type="http://schemas.openxmlformats.org/officeDocument/2006/relationships/hyperlink" Target="https://pbs.twimg.com/profile_images/669441951192760324/zJylEnJ7_normal.jpg" TargetMode="External"/><Relationship Id="rId1674" Type="http://schemas.openxmlformats.org/officeDocument/2006/relationships/hyperlink" Target="https://twitter.com/Emaasit" TargetMode="External"/><Relationship Id="rId1664" Type="http://schemas.openxmlformats.org/officeDocument/2006/relationships/hyperlink" Target="https://pbs.twimg.com/profile_images/699125339264569344/xOJ82wQq_normal.jpg" TargetMode="External"/><Relationship Id="rId2995" Type="http://schemas.openxmlformats.org/officeDocument/2006/relationships/hyperlink" Target="https://twitter.com/Jemus42/status/702065587074240512" TargetMode="External"/><Relationship Id="rId1665" Type="http://schemas.openxmlformats.org/officeDocument/2006/relationships/hyperlink" Target="https://twitter.com/SunitJain" TargetMode="External"/><Relationship Id="rId2996" Type="http://schemas.openxmlformats.org/officeDocument/2006/relationships/hyperlink" Target="https://pbs.twimg.com/profile_images/2442155420/13fr1e3on4dzb9fn7i48_normal.jpeg" TargetMode="External"/><Relationship Id="rId1666" Type="http://schemas.openxmlformats.org/officeDocument/2006/relationships/hyperlink" Target="https://twitter.com/SunitJain/status/701777582472241152" TargetMode="External"/><Relationship Id="rId2997" Type="http://schemas.openxmlformats.org/officeDocument/2006/relationships/hyperlink" Target="https://twitter.com/dirkvandenpoel" TargetMode="External"/><Relationship Id="rId1667" Type="http://schemas.openxmlformats.org/officeDocument/2006/relationships/hyperlink" Target="https://pbs.twimg.com/profile_images/699125339264569344/xOJ82wQq_normal.jpg" TargetMode="External"/><Relationship Id="rId2998" Type="http://schemas.openxmlformats.org/officeDocument/2006/relationships/hyperlink" Target="https://twitter.com/dirkvandenpoel/status/702065897666699264" TargetMode="External"/><Relationship Id="rId1668" Type="http://schemas.openxmlformats.org/officeDocument/2006/relationships/hyperlink" Target="https://twitter.com/rushworth_a" TargetMode="External"/><Relationship Id="rId2999" Type="http://schemas.openxmlformats.org/officeDocument/2006/relationships/hyperlink" Target="https://pbs.twimg.com/profile_images/607095878499856384/Q79FVTv8_normal.png" TargetMode="External"/><Relationship Id="rId1669" Type="http://schemas.openxmlformats.org/officeDocument/2006/relationships/hyperlink" Target="https://twitter.com/rushworth_a/status/701777810122215425" TargetMode="External"/><Relationship Id="rId839" Type="http://schemas.openxmlformats.org/officeDocument/2006/relationships/hyperlink" Target="https://twitter.com/DataWookie/status/701551377244246016" TargetMode="External"/><Relationship Id="rId838" Type="http://schemas.openxmlformats.org/officeDocument/2006/relationships/hyperlink" Target="https://twitter.com/DataWookie" TargetMode="External"/><Relationship Id="rId833" Type="http://schemas.openxmlformats.org/officeDocument/2006/relationships/hyperlink" Target="https://twitter.com/TierneyNicholas/status/701549618941661184" TargetMode="External"/><Relationship Id="rId832" Type="http://schemas.openxmlformats.org/officeDocument/2006/relationships/hyperlink" Target="https://twitter.com/TierneyNicholas" TargetMode="External"/><Relationship Id="rId831" Type="http://schemas.openxmlformats.org/officeDocument/2006/relationships/hyperlink" Target="https://pbs.twimg.com/profile_images/502185985786916864/gkdFh-q7_normal.png" TargetMode="External"/><Relationship Id="rId830" Type="http://schemas.openxmlformats.org/officeDocument/2006/relationships/hyperlink" Target="http://r-bloggers.com" TargetMode="External"/><Relationship Id="rId837" Type="http://schemas.openxmlformats.org/officeDocument/2006/relationships/hyperlink" Target="https://pbs.twimg.com/profile_images/1143255121/ds_1__normal.jpg" TargetMode="External"/><Relationship Id="rId836" Type="http://schemas.openxmlformats.org/officeDocument/2006/relationships/hyperlink" Target="https://twitter.com/MAGISTR_OM/status/701549643092598785" TargetMode="External"/><Relationship Id="rId835" Type="http://schemas.openxmlformats.org/officeDocument/2006/relationships/hyperlink" Target="https://twitter.com/MAGISTR_OM" TargetMode="External"/><Relationship Id="rId834" Type="http://schemas.openxmlformats.org/officeDocument/2006/relationships/hyperlink" Target="https://pbs.twimg.com/profile_images/699501890866794497/SOjcv46W_normal.png" TargetMode="External"/><Relationship Id="rId2990" Type="http://schemas.openxmlformats.org/officeDocument/2006/relationships/hyperlink" Target="https://twitter.com/AymericBds" TargetMode="External"/><Relationship Id="rId1660" Type="http://schemas.openxmlformats.org/officeDocument/2006/relationships/hyperlink" Target="https://twitter.com/hrbrmstr/status/701777067013230592" TargetMode="External"/><Relationship Id="rId2991" Type="http://schemas.openxmlformats.org/officeDocument/2006/relationships/hyperlink" Target="https://twitter.com/AymericBds/status/702065427623649280" TargetMode="External"/><Relationship Id="rId1661" Type="http://schemas.openxmlformats.org/officeDocument/2006/relationships/hyperlink" Target="https://pbs.twimg.com/profile_images/557592259298729985/kpCUQWH1_normal.png" TargetMode="External"/><Relationship Id="rId2992" Type="http://schemas.openxmlformats.org/officeDocument/2006/relationships/hyperlink" Target="http://Scoop.it" TargetMode="External"/><Relationship Id="rId1662" Type="http://schemas.openxmlformats.org/officeDocument/2006/relationships/hyperlink" Target="https://twitter.com/SunitJain" TargetMode="External"/><Relationship Id="rId2993" Type="http://schemas.openxmlformats.org/officeDocument/2006/relationships/hyperlink" Target="https://pbs.twimg.com/profile_images/461477619817402368/fVzYSRh0_normal.png" TargetMode="External"/><Relationship Id="rId1663" Type="http://schemas.openxmlformats.org/officeDocument/2006/relationships/hyperlink" Target="https://twitter.com/SunitJain/status/701777228150001665" TargetMode="External"/><Relationship Id="rId2994" Type="http://schemas.openxmlformats.org/officeDocument/2006/relationships/hyperlink" Target="https://twitter.com/Jemus42" TargetMode="External"/><Relationship Id="rId6506" Type="http://schemas.openxmlformats.org/officeDocument/2006/relationships/hyperlink" Target="https://twitter.com/Rbloggers/status/702793962151505920" TargetMode="External"/><Relationship Id="rId7838" Type="http://schemas.openxmlformats.org/officeDocument/2006/relationships/hyperlink" Target="https://twitter.com/carlcarrie/status/703026855037833216" TargetMode="External"/><Relationship Id="rId6507" Type="http://schemas.openxmlformats.org/officeDocument/2006/relationships/hyperlink" Target="http://r-bloggers.com" TargetMode="External"/><Relationship Id="rId7837" Type="http://schemas.openxmlformats.org/officeDocument/2006/relationships/hyperlink" Target="https://twitter.com/carlcarrie" TargetMode="External"/><Relationship Id="rId6504" Type="http://schemas.openxmlformats.org/officeDocument/2006/relationships/hyperlink" Target="https://pbs.twimg.com/profile_images/1736419404/SAM_7610_normal.JPG" TargetMode="External"/><Relationship Id="rId7836" Type="http://schemas.openxmlformats.org/officeDocument/2006/relationships/hyperlink" Target="https://pbs.twimg.com/profile_images/520574802407350272/Mk_ciE5b_normal.jpeg" TargetMode="External"/><Relationship Id="rId6505" Type="http://schemas.openxmlformats.org/officeDocument/2006/relationships/hyperlink" Target="https://twitter.com/Rbloggers" TargetMode="External"/><Relationship Id="rId7835" Type="http://schemas.openxmlformats.org/officeDocument/2006/relationships/hyperlink" Target="https://twitter.com/mcpasin/status/703026676922519553" TargetMode="External"/><Relationship Id="rId6508" Type="http://schemas.openxmlformats.org/officeDocument/2006/relationships/hyperlink" Target="https://pbs.twimg.com/profile_images/502185985786916864/gkdFh-q7_normal.png" TargetMode="External"/><Relationship Id="rId6509" Type="http://schemas.openxmlformats.org/officeDocument/2006/relationships/hyperlink" Target="https://twitter.com/itknowingness" TargetMode="External"/><Relationship Id="rId7839" Type="http://schemas.openxmlformats.org/officeDocument/2006/relationships/hyperlink" Target="https://pbs.twimg.com/profile_images/297743194/My_headshot_normal.png" TargetMode="External"/><Relationship Id="rId7830" Type="http://schemas.openxmlformats.org/officeDocument/2006/relationships/hyperlink" Target="https://pbs.twimg.com/profile_images/485909826044563456/kVpaTM4B_normal.jpeg" TargetMode="External"/><Relationship Id="rId6502" Type="http://schemas.openxmlformats.org/officeDocument/2006/relationships/hyperlink" Target="https://twitter.com/rowlandm" TargetMode="External"/><Relationship Id="rId7834" Type="http://schemas.openxmlformats.org/officeDocument/2006/relationships/hyperlink" Target="https://twitter.com/mcpasin" TargetMode="External"/><Relationship Id="rId6503" Type="http://schemas.openxmlformats.org/officeDocument/2006/relationships/hyperlink" Target="https://twitter.com/rowlandm/status/702793889044832260" TargetMode="External"/><Relationship Id="rId7833" Type="http://schemas.openxmlformats.org/officeDocument/2006/relationships/hyperlink" Target="https://pbs.twimg.com/profile_images/485909826044563456/kVpaTM4B_normal.jpeg" TargetMode="External"/><Relationship Id="rId6500" Type="http://schemas.openxmlformats.org/officeDocument/2006/relationships/hyperlink" Target="https://twitter.com/johannux/status/702793317168222208" TargetMode="External"/><Relationship Id="rId7832" Type="http://schemas.openxmlformats.org/officeDocument/2006/relationships/hyperlink" Target="https://twitter.com/cornerinsights/status/703026356242636800" TargetMode="External"/><Relationship Id="rId6501" Type="http://schemas.openxmlformats.org/officeDocument/2006/relationships/hyperlink" Target="https://pbs.twimg.com/profile_images/1816525479/New_Picture_normal.jpg" TargetMode="External"/><Relationship Id="rId7831" Type="http://schemas.openxmlformats.org/officeDocument/2006/relationships/hyperlink" Target="https://twitter.com/cornerinsights" TargetMode="External"/><Relationship Id="rId7827" Type="http://schemas.openxmlformats.org/officeDocument/2006/relationships/hyperlink" Target="https://pbs.twimg.com/profile_images/701553083537604608/nr8b38eG_normal.jpg" TargetMode="External"/><Relationship Id="rId7826" Type="http://schemas.openxmlformats.org/officeDocument/2006/relationships/hyperlink" Target="https://twitter.com/renato_umeton/status/703026273543655424" TargetMode="External"/><Relationship Id="rId7825" Type="http://schemas.openxmlformats.org/officeDocument/2006/relationships/hyperlink" Target="https://twitter.com/renato_umeton" TargetMode="External"/><Relationship Id="rId7824" Type="http://schemas.openxmlformats.org/officeDocument/2006/relationships/hyperlink" Target="https://pbs.twimg.com/profile_images/701553083537604608/nr8b38eG_normal.jpg" TargetMode="External"/><Relationship Id="rId7829" Type="http://schemas.openxmlformats.org/officeDocument/2006/relationships/hyperlink" Target="https://twitter.com/cornerinsights/status/703026326169526276" TargetMode="External"/><Relationship Id="rId7828" Type="http://schemas.openxmlformats.org/officeDocument/2006/relationships/hyperlink" Target="https://twitter.com/cornerinsights" TargetMode="External"/><Relationship Id="rId7823" Type="http://schemas.openxmlformats.org/officeDocument/2006/relationships/hyperlink" Target="https://twitter.com/renato_umeton/status/703026272000208896" TargetMode="External"/><Relationship Id="rId7822" Type="http://schemas.openxmlformats.org/officeDocument/2006/relationships/hyperlink" Target="https://twitter.com/renato_umeton" TargetMode="External"/><Relationship Id="rId7821" Type="http://schemas.openxmlformats.org/officeDocument/2006/relationships/hyperlink" Target="https://pbs.twimg.com/profile_images/627205656047669248/Z0aoGAjq_normal.jpg" TargetMode="External"/><Relationship Id="rId7820" Type="http://schemas.openxmlformats.org/officeDocument/2006/relationships/hyperlink" Target="https://twitter.com/Seva_Gumeniuk/status/703025876204724224" TargetMode="External"/><Relationship Id="rId6528" Type="http://schemas.openxmlformats.org/officeDocument/2006/relationships/hyperlink" Target="https://twitter.com/FrederikAust/status/702797872241233920" TargetMode="External"/><Relationship Id="rId6529" Type="http://schemas.openxmlformats.org/officeDocument/2006/relationships/hyperlink" Target="https://pbs.twimg.com/profile_images/530465194451804160/N18Hg1Gl_normal.jpeg" TargetMode="External"/><Relationship Id="rId7859" Type="http://schemas.openxmlformats.org/officeDocument/2006/relationships/hyperlink" Target="https://twitter.com/itknowingness/status/703027790384381952" TargetMode="External"/><Relationship Id="rId6526" Type="http://schemas.openxmlformats.org/officeDocument/2006/relationships/hyperlink" Target="https://pbs.twimg.com/profile_images/615706371481333760/m4H374S6_normal.jpg" TargetMode="External"/><Relationship Id="rId7858" Type="http://schemas.openxmlformats.org/officeDocument/2006/relationships/hyperlink" Target="https://twitter.com/itknowingness" TargetMode="External"/><Relationship Id="rId6527" Type="http://schemas.openxmlformats.org/officeDocument/2006/relationships/hyperlink" Target="https://twitter.com/FrederikAust" TargetMode="External"/><Relationship Id="rId7857" Type="http://schemas.openxmlformats.org/officeDocument/2006/relationships/hyperlink" Target="https://pbs.twimg.com/profile_images/674700358166388736/pWBofWfu_normal.jpg" TargetMode="External"/><Relationship Id="rId6520" Type="http://schemas.openxmlformats.org/officeDocument/2006/relationships/hyperlink" Target="https://pbs.twimg.com/profile_images/701553083537604608/nr8b38eG_normal.jpg" TargetMode="External"/><Relationship Id="rId7852" Type="http://schemas.openxmlformats.org/officeDocument/2006/relationships/hyperlink" Target="https://twitter.com/Emaasit" TargetMode="External"/><Relationship Id="rId6521" Type="http://schemas.openxmlformats.org/officeDocument/2006/relationships/hyperlink" Target="https://twitter.com/DrAndyPardoe" TargetMode="External"/><Relationship Id="rId7851" Type="http://schemas.openxmlformats.org/officeDocument/2006/relationships/hyperlink" Target="https://pbs.twimg.com/profile_images/297743194/My_headshot_normal.png" TargetMode="External"/><Relationship Id="rId7850" Type="http://schemas.openxmlformats.org/officeDocument/2006/relationships/hyperlink" Target="https://twitter.com/carlcarrie/status/703027368995196928" TargetMode="External"/><Relationship Id="rId6524" Type="http://schemas.openxmlformats.org/officeDocument/2006/relationships/hyperlink" Target="https://twitter.com/ApenasSandokhan" TargetMode="External"/><Relationship Id="rId7856" Type="http://schemas.openxmlformats.org/officeDocument/2006/relationships/hyperlink" Target="https://twitter.com/eFe_Gil/status/703027787855237120" TargetMode="External"/><Relationship Id="rId6525" Type="http://schemas.openxmlformats.org/officeDocument/2006/relationships/hyperlink" Target="https://twitter.com/ApenasSandokhan/status/702797093656793088" TargetMode="External"/><Relationship Id="rId7855" Type="http://schemas.openxmlformats.org/officeDocument/2006/relationships/hyperlink" Target="https://twitter.com/eFe_Gil" TargetMode="External"/><Relationship Id="rId6522" Type="http://schemas.openxmlformats.org/officeDocument/2006/relationships/hyperlink" Target="https://twitter.com/DrAndyPardoe/status/702796206951505920" TargetMode="External"/><Relationship Id="rId7854" Type="http://schemas.openxmlformats.org/officeDocument/2006/relationships/hyperlink" Target="https://pbs.twimg.com/profile_images/567588045927354370/NN8xp_M5_normal.jpeg" TargetMode="External"/><Relationship Id="rId6523" Type="http://schemas.openxmlformats.org/officeDocument/2006/relationships/hyperlink" Target="https://pbs.twimg.com/profile_images/485766134268837889/t4PLhSfT_normal.jpeg" TargetMode="External"/><Relationship Id="rId7853" Type="http://schemas.openxmlformats.org/officeDocument/2006/relationships/hyperlink" Target="https://twitter.com/Emaasit/status/703027787536281600" TargetMode="External"/><Relationship Id="rId6517" Type="http://schemas.openxmlformats.org/officeDocument/2006/relationships/hyperlink" Target="https://pbs.twimg.com/profile_images/432298122203512833/YDXfWlI__normal.png" TargetMode="External"/><Relationship Id="rId7849" Type="http://schemas.openxmlformats.org/officeDocument/2006/relationships/hyperlink" Target="https://twitter.com/carlcarrie" TargetMode="External"/><Relationship Id="rId6518" Type="http://schemas.openxmlformats.org/officeDocument/2006/relationships/hyperlink" Target="https://twitter.com/renato_umeton" TargetMode="External"/><Relationship Id="rId7848" Type="http://schemas.openxmlformats.org/officeDocument/2006/relationships/hyperlink" Target="https://pbs.twimg.com/profile_images/592719079020040192/fo0ZVuCh_normal.jpg" TargetMode="External"/><Relationship Id="rId6515" Type="http://schemas.openxmlformats.org/officeDocument/2006/relationships/hyperlink" Target="https://twitter.com/earlconf" TargetMode="External"/><Relationship Id="rId7847" Type="http://schemas.openxmlformats.org/officeDocument/2006/relationships/hyperlink" Target="https://twitter.com/jjv_7/status/703027290595131392" TargetMode="External"/><Relationship Id="rId6516" Type="http://schemas.openxmlformats.org/officeDocument/2006/relationships/hyperlink" Target="https://twitter.com/earlconf/status/702795428350152704" TargetMode="External"/><Relationship Id="rId7846" Type="http://schemas.openxmlformats.org/officeDocument/2006/relationships/hyperlink" Target="https://twitter.com/jjv_7" TargetMode="External"/><Relationship Id="rId6519" Type="http://schemas.openxmlformats.org/officeDocument/2006/relationships/hyperlink" Target="https://twitter.com/renato_umeton/status/702795584462327808" TargetMode="External"/><Relationship Id="rId7841" Type="http://schemas.openxmlformats.org/officeDocument/2006/relationships/hyperlink" Target="https://twitter.com/MrSeanSharma/status/703027043080863744" TargetMode="External"/><Relationship Id="rId6510" Type="http://schemas.openxmlformats.org/officeDocument/2006/relationships/hyperlink" Target="https://twitter.com/itknowingness/status/702793964655656960" TargetMode="External"/><Relationship Id="rId7840" Type="http://schemas.openxmlformats.org/officeDocument/2006/relationships/hyperlink" Target="https://twitter.com/MrSeanSharma" TargetMode="External"/><Relationship Id="rId6513" Type="http://schemas.openxmlformats.org/officeDocument/2006/relationships/hyperlink" Target="https://twitter.com/openscience/status/702795054373597184" TargetMode="External"/><Relationship Id="rId7845" Type="http://schemas.openxmlformats.org/officeDocument/2006/relationships/hyperlink" Target="https://pbs.twimg.com/profile_images/592719079020040192/fo0ZVuCh_normal.jpg" TargetMode="External"/><Relationship Id="rId6514" Type="http://schemas.openxmlformats.org/officeDocument/2006/relationships/hyperlink" Target="https://pbs.twimg.com/profile_images/459933268746317825/wrEyqxhT_normal.png" TargetMode="External"/><Relationship Id="rId7844" Type="http://schemas.openxmlformats.org/officeDocument/2006/relationships/hyperlink" Target="https://twitter.com/jjv_7/status/703027119060717569" TargetMode="External"/><Relationship Id="rId6511" Type="http://schemas.openxmlformats.org/officeDocument/2006/relationships/hyperlink" Target="https://pbs.twimg.com/profile_images/1164716874/favicon-triada-azul_normal.png" TargetMode="External"/><Relationship Id="rId7843" Type="http://schemas.openxmlformats.org/officeDocument/2006/relationships/hyperlink" Target="https://twitter.com/jjv_7" TargetMode="External"/><Relationship Id="rId6512" Type="http://schemas.openxmlformats.org/officeDocument/2006/relationships/hyperlink" Target="https://twitter.com/openscience" TargetMode="External"/><Relationship Id="rId7842" Type="http://schemas.openxmlformats.org/officeDocument/2006/relationships/hyperlink" Target="https://pbs.twimg.com/profile_images/671009613391638530/bZarNHKp_normal.jpg" TargetMode="External"/><Relationship Id="rId899" Type="http://schemas.openxmlformats.org/officeDocument/2006/relationships/hyperlink" Target="https://pbs.twimg.com/profile_images/502185985786916864/gkdFh-q7_normal.png" TargetMode="External"/><Relationship Id="rId898" Type="http://schemas.openxmlformats.org/officeDocument/2006/relationships/hyperlink" Target="http://r-bloggers.com" TargetMode="External"/><Relationship Id="rId897" Type="http://schemas.openxmlformats.org/officeDocument/2006/relationships/hyperlink" Target="https://twitter.com/Rbloggers/status/701591042823290880" TargetMode="External"/><Relationship Id="rId896" Type="http://schemas.openxmlformats.org/officeDocument/2006/relationships/hyperlink" Target="https://twitter.com/Rbloggers" TargetMode="External"/><Relationship Id="rId891" Type="http://schemas.openxmlformats.org/officeDocument/2006/relationships/hyperlink" Target="https://pbs.twimg.com/profile_images/1222779560/cran1_normal.jpg" TargetMode="External"/><Relationship Id="rId890" Type="http://schemas.openxmlformats.org/officeDocument/2006/relationships/hyperlink" Target="https://twitter.com/CRANberriesFeed/status/701590679802220544" TargetMode="External"/><Relationship Id="rId895" Type="http://schemas.openxmlformats.org/officeDocument/2006/relationships/hyperlink" Target="https://pbs.twimg.com/profile_images/502185985786916864/gkdFh-q7_normal.png" TargetMode="External"/><Relationship Id="rId894" Type="http://schemas.openxmlformats.org/officeDocument/2006/relationships/hyperlink" Target="http://r-bloggers.com" TargetMode="External"/><Relationship Id="rId893" Type="http://schemas.openxmlformats.org/officeDocument/2006/relationships/hyperlink" Target="https://twitter.com/Rbloggers/status/701591027308589056" TargetMode="External"/><Relationship Id="rId892" Type="http://schemas.openxmlformats.org/officeDocument/2006/relationships/hyperlink" Target="https://twitter.com/Rbloggers" TargetMode="External"/><Relationship Id="rId7816" Type="http://schemas.openxmlformats.org/officeDocument/2006/relationships/hyperlink" Target="https://twitter.com/Rbloggers/status/703025672143253505" TargetMode="External"/><Relationship Id="rId7815" Type="http://schemas.openxmlformats.org/officeDocument/2006/relationships/hyperlink" Target="https://twitter.com/Rbloggers" TargetMode="External"/><Relationship Id="rId7814" Type="http://schemas.openxmlformats.org/officeDocument/2006/relationships/hyperlink" Target="https://pbs.twimg.com/profile_images/502185985786916864/gkdFh-q7_normal.png" TargetMode="External"/><Relationship Id="rId7813" Type="http://schemas.openxmlformats.org/officeDocument/2006/relationships/hyperlink" Target="http://r-bloggers.com" TargetMode="External"/><Relationship Id="rId7819" Type="http://schemas.openxmlformats.org/officeDocument/2006/relationships/hyperlink" Target="https://twitter.com/Seva_Gumeniuk" TargetMode="External"/><Relationship Id="rId7818" Type="http://schemas.openxmlformats.org/officeDocument/2006/relationships/hyperlink" Target="https://pbs.twimg.com/profile_images/502185985786916864/gkdFh-q7_normal.png" TargetMode="External"/><Relationship Id="rId7817" Type="http://schemas.openxmlformats.org/officeDocument/2006/relationships/hyperlink" Target="http://r-bloggers.com" TargetMode="External"/><Relationship Id="rId7812" Type="http://schemas.openxmlformats.org/officeDocument/2006/relationships/hyperlink" Target="https://twitter.com/Rbloggers/status/703025524554100737" TargetMode="External"/><Relationship Id="rId7811" Type="http://schemas.openxmlformats.org/officeDocument/2006/relationships/hyperlink" Target="https://twitter.com/Rbloggers" TargetMode="External"/><Relationship Id="rId7810" Type="http://schemas.openxmlformats.org/officeDocument/2006/relationships/hyperlink" Target="https://pbs.twimg.com/profile_images/545309149953667072/f3IMwCEc_normal.jpeg" TargetMode="External"/><Relationship Id="rId7805" Type="http://schemas.openxmlformats.org/officeDocument/2006/relationships/hyperlink" Target="https://twitter.com/bennetvoorhees" TargetMode="External"/><Relationship Id="rId7804" Type="http://schemas.openxmlformats.org/officeDocument/2006/relationships/hyperlink" Target="https://pbs.twimg.com/profile_images/572831383300669440/YUst7LDF_normal.jpeg" TargetMode="External"/><Relationship Id="rId7803" Type="http://schemas.openxmlformats.org/officeDocument/2006/relationships/hyperlink" Target="https://twitter.com/bmakescosmo/status/703024396764446721" TargetMode="External"/><Relationship Id="rId7802" Type="http://schemas.openxmlformats.org/officeDocument/2006/relationships/hyperlink" Target="https://twitter.com/bmakescosmo" TargetMode="External"/><Relationship Id="rId7809" Type="http://schemas.openxmlformats.org/officeDocument/2006/relationships/hyperlink" Target="https://twitter.com/ThugMetrics/status/703025138254659584" TargetMode="External"/><Relationship Id="rId7808" Type="http://schemas.openxmlformats.org/officeDocument/2006/relationships/hyperlink" Target="https://twitter.com/ThugMetrics" TargetMode="External"/><Relationship Id="rId7807" Type="http://schemas.openxmlformats.org/officeDocument/2006/relationships/hyperlink" Target="https://pbs.twimg.com/profile_images/433768830310305793/sqPTwdpU_normal.jpeg" TargetMode="External"/><Relationship Id="rId7806" Type="http://schemas.openxmlformats.org/officeDocument/2006/relationships/hyperlink" Target="https://twitter.com/bennetvoorhees/status/703024473671397376" TargetMode="External"/><Relationship Id="rId7801" Type="http://schemas.openxmlformats.org/officeDocument/2006/relationships/hyperlink" Target="https://pbs.twimg.com/profile_images/696812514890379265/BSQGhNai_normal.jpg" TargetMode="External"/><Relationship Id="rId7800" Type="http://schemas.openxmlformats.org/officeDocument/2006/relationships/hyperlink" Target="https://twitter.com/QuakerHealth/status/703023211198418944"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4.43" defaultRowHeight="15.75"/>
  <cols>
    <col customWidth="1" min="1" max="1" width="15.29"/>
    <col customWidth="1" min="3" max="3" width="16.29"/>
    <col customWidth="1" min="4" max="4" width="38.43"/>
    <col customWidth="1" min="5" max="5" width="17.71"/>
    <col customWidth="1" min="6" max="6" width="16.14"/>
    <col customWidth="1" min="7" max="12" width="11.14"/>
    <col customWidth="1" min="14" max="14" width="18.86"/>
    <col customWidth="1" min="15" max="16" width="12.0"/>
  </cols>
  <sheetData>
    <row r="1" ht="25.5" customHeight="1">
      <c r="A1" s="1" t="s">
        <v>0</v>
      </c>
      <c r="G1" s="2" t="s">
        <v>1</v>
      </c>
      <c r="P1" s="3"/>
    </row>
    <row r="2" ht="29.25" customHeight="1">
      <c r="A2" s="4" t="s">
        <v>2</v>
      </c>
      <c r="B2" s="5" t="s">
        <v>3</v>
      </c>
      <c r="C2" s="5" t="s">
        <v>4</v>
      </c>
      <c r="D2" s="5" t="s">
        <v>5</v>
      </c>
      <c r="E2" s="6" t="s">
        <v>6</v>
      </c>
      <c r="F2" s="6" t="s">
        <v>7</v>
      </c>
      <c r="G2" s="5" t="s">
        <v>8</v>
      </c>
      <c r="H2" s="5" t="s">
        <v>9</v>
      </c>
      <c r="I2" s="5" t="s">
        <v>10</v>
      </c>
      <c r="J2" s="5" t="s">
        <v>11</v>
      </c>
      <c r="K2" s="6" t="s">
        <v>12</v>
      </c>
      <c r="L2" s="6" t="s">
        <v>13</v>
      </c>
      <c r="M2" s="6" t="s">
        <v>14</v>
      </c>
      <c r="N2" s="6" t="s">
        <v>15</v>
      </c>
      <c r="O2" s="6" t="s">
        <v>16</v>
      </c>
      <c r="P2" s="6" t="s">
        <v>17</v>
      </c>
    </row>
    <row r="3">
      <c r="A3" s="7">
        <v>42425.00696759259</v>
      </c>
      <c r="B3" s="8" t="str">
        <f>HYPERLINK("https://twitter.com/dulce303","@dulce303")</f>
        <v>@dulce303</v>
      </c>
      <c r="C3" s="9" t="s">
        <v>18</v>
      </c>
      <c r="D3" s="10" t="s">
        <v>19</v>
      </c>
      <c r="E3" s="11" t="str">
        <f>HYPERLINK("https://twitter.com/dulce303/status/702767496776929281","702767496776929281")</f>
        <v>702767496776929281</v>
      </c>
      <c r="F3" s="12" t="s">
        <v>20</v>
      </c>
      <c r="G3" s="13">
        <v>1094.0</v>
      </c>
      <c r="H3" s="13">
        <v>1336.0</v>
      </c>
      <c r="I3" s="13">
        <v>0.0</v>
      </c>
      <c r="J3" s="13">
        <v>3.0</v>
      </c>
      <c r="K3" s="12" t="s">
        <v>21</v>
      </c>
      <c r="L3" s="7">
        <v>39224.43262731482</v>
      </c>
      <c r="M3" s="14" t="s">
        <v>22</v>
      </c>
      <c r="N3" s="14" t="s">
        <v>23</v>
      </c>
      <c r="O3" s="11" t="str">
        <f>HYPERLINK("https://pbs.twimg.com/profile_images/1765389986/eye_2_normal.jpg","View")</f>
        <v>View</v>
      </c>
      <c r="P3" s="15"/>
    </row>
    <row r="4">
      <c r="A4" s="7">
        <v>42425.00702546297</v>
      </c>
      <c r="B4" s="8" t="str">
        <f>HYPERLINK("https://twitter.com/StackDevJobs","@StackDevJobs")</f>
        <v>@StackDevJobs</v>
      </c>
      <c r="C4" s="10" t="s">
        <v>24</v>
      </c>
      <c r="D4" s="10" t="s">
        <v>25</v>
      </c>
      <c r="E4" s="11" t="str">
        <f>HYPERLINK("https://twitter.com/StackDevJobs/status/702767518763651072","702767518763651072")</f>
        <v>702767518763651072</v>
      </c>
      <c r="F4" s="12" t="s">
        <v>26</v>
      </c>
      <c r="G4" s="13">
        <v>12541.0</v>
      </c>
      <c r="H4" s="13">
        <v>327.0</v>
      </c>
      <c r="I4" s="13">
        <v>0.0</v>
      </c>
      <c r="J4" s="13">
        <v>0.0</v>
      </c>
      <c r="K4" s="12" t="s">
        <v>21</v>
      </c>
      <c r="L4" s="7">
        <v>40435.245416666665</v>
      </c>
      <c r="M4" s="16"/>
      <c r="N4" s="14" t="s">
        <v>27</v>
      </c>
      <c r="O4" s="11" t="str">
        <f>HYPERLINK("https://pbs.twimg.com/profile_images/643779014268579840/bRJStj7A_normal.png","View")</f>
        <v>View</v>
      </c>
      <c r="P4" s="15"/>
    </row>
    <row r="5">
      <c r="A5" s="7">
        <v>42425.01096064815</v>
      </c>
      <c r="B5" s="8" t="str">
        <f>HYPERLINK("https://twitter.com/marcel_dmg","@marcel_dmg")</f>
        <v>@marcel_dmg</v>
      </c>
      <c r="C5" s="10" t="s">
        <v>28</v>
      </c>
      <c r="D5" s="10" t="s">
        <v>29</v>
      </c>
      <c r="E5" s="11" t="str">
        <f>HYPERLINK("https://twitter.com/marcel_dmg/status/702768941005979648","702768941005979648")</f>
        <v>702768941005979648</v>
      </c>
      <c r="F5" s="12" t="s">
        <v>20</v>
      </c>
      <c r="G5" s="13">
        <v>881.0</v>
      </c>
      <c r="H5" s="13">
        <v>182.0</v>
      </c>
      <c r="I5" s="13">
        <v>1.0</v>
      </c>
      <c r="J5" s="13">
        <v>4.0</v>
      </c>
      <c r="K5" s="12" t="s">
        <v>21</v>
      </c>
      <c r="L5" s="7">
        <v>40683.530439814815</v>
      </c>
      <c r="M5" s="14" t="s">
        <v>30</v>
      </c>
      <c r="N5" s="14" t="s">
        <v>31</v>
      </c>
      <c r="O5" s="11" t="str">
        <f>HYPERLINK("https://pbs.twimg.com/profile_images/667460854774784001/CzTgu-FS_normal.jpg","View")</f>
        <v>View</v>
      </c>
      <c r="P5" s="15"/>
    </row>
    <row r="6">
      <c r="A6" s="7">
        <v>42425.01150462963</v>
      </c>
      <c r="B6" s="8" t="str">
        <f>HYPERLINK("https://twitter.com/QuantInsti","@QuantInsti")</f>
        <v>@QuantInsti</v>
      </c>
      <c r="C6" s="10" t="s">
        <v>32</v>
      </c>
      <c r="D6" s="10" t="s">
        <v>33</v>
      </c>
      <c r="E6" s="11" t="str">
        <f>HYPERLINK("https://twitter.com/QuantInsti/status/702769139027345408","702769139027345408")</f>
        <v>702769139027345408</v>
      </c>
      <c r="F6" s="12" t="s">
        <v>20</v>
      </c>
      <c r="G6" s="13">
        <v>857.0</v>
      </c>
      <c r="H6" s="13">
        <v>657.0</v>
      </c>
      <c r="I6" s="13">
        <v>0.0</v>
      </c>
      <c r="J6" s="13">
        <v>0.0</v>
      </c>
      <c r="K6" s="12" t="s">
        <v>21</v>
      </c>
      <c r="L6" s="7">
        <v>41191.158530092594</v>
      </c>
      <c r="M6" s="14" t="s">
        <v>34</v>
      </c>
      <c r="N6" s="14" t="s">
        <v>35</v>
      </c>
      <c r="O6" s="11" t="str">
        <f>HYPERLINK("https://pbs.twimg.com/profile_images/3272414315/6100aa5e267d6fc1e2e67b0782d34134_normal.jpeg","View")</f>
        <v>View</v>
      </c>
      <c r="P6" s="15"/>
    </row>
    <row r="7">
      <c r="A7" s="7">
        <v>42425.01341435185</v>
      </c>
      <c r="B7" s="8" t="str">
        <f>HYPERLINK("https://twitter.com/homeAIinfo","@homeAIinfo")</f>
        <v>@homeAIinfo</v>
      </c>
      <c r="C7" s="10" t="s">
        <v>36</v>
      </c>
      <c r="D7" s="10" t="s">
        <v>37</v>
      </c>
      <c r="E7" s="11" t="str">
        <f>HYPERLINK("https://twitter.com/homeAIinfo/status/702769831712571392","702769831712571392")</f>
        <v>702769831712571392</v>
      </c>
      <c r="F7" s="12" t="s">
        <v>38</v>
      </c>
      <c r="G7" s="13">
        <v>52868.0</v>
      </c>
      <c r="H7" s="13">
        <v>1328.0</v>
      </c>
      <c r="I7" s="13">
        <v>8.0</v>
      </c>
      <c r="J7" s="13">
        <v>0.0</v>
      </c>
      <c r="K7" s="12" t="s">
        <v>21</v>
      </c>
      <c r="L7" s="7">
        <v>42133.34662037037</v>
      </c>
      <c r="M7" s="14" t="s">
        <v>39</v>
      </c>
      <c r="N7" s="14" t="s">
        <v>40</v>
      </c>
      <c r="O7" s="11" t="str">
        <f>HYPERLINK("https://pbs.twimg.com/profile_images/645650110374936580/-oQakt8x_normal.png","View")</f>
        <v>View</v>
      </c>
      <c r="P7" s="15"/>
    </row>
    <row r="8">
      <c r="A8" s="7">
        <v>42425.01373842593</v>
      </c>
      <c r="B8" s="8" t="str">
        <f>HYPERLINK("https://twitter.com/Joel_Havermans","@Joel_Havermans")</f>
        <v>@Joel_Havermans</v>
      </c>
      <c r="C8" s="10" t="s">
        <v>41</v>
      </c>
      <c r="D8" s="10" t="s">
        <v>42</v>
      </c>
      <c r="E8" s="11" t="str">
        <f>HYPERLINK("https://twitter.com/Joel_Havermans/status/702769951208300545","702769951208300545")</f>
        <v>702769951208300545</v>
      </c>
      <c r="F8" s="12" t="s">
        <v>20</v>
      </c>
      <c r="G8" s="13">
        <v>700.0</v>
      </c>
      <c r="H8" s="13">
        <v>1510.0</v>
      </c>
      <c r="I8" s="13">
        <v>0.0</v>
      </c>
      <c r="J8" s="13">
        <v>1.0</v>
      </c>
      <c r="K8" s="12" t="s">
        <v>21</v>
      </c>
      <c r="L8" s="7">
        <v>41394.24681712963</v>
      </c>
      <c r="M8" s="14" t="s">
        <v>43</v>
      </c>
      <c r="N8" s="14" t="s">
        <v>44</v>
      </c>
      <c r="O8" s="11" t="str">
        <f>HYPERLINK("https://pbs.twimg.com/profile_images/442957401281413120/IbqH8J2G_normal.jpeg","View")</f>
        <v>View</v>
      </c>
      <c r="P8" s="15"/>
    </row>
    <row r="9">
      <c r="A9" s="7">
        <v>42425.01390046296</v>
      </c>
      <c r="B9" s="8" t="str">
        <f>HYPERLINK("https://twitter.com/Interoute","@Interoute")</f>
        <v>@Interoute</v>
      </c>
      <c r="C9" s="10" t="s">
        <v>45</v>
      </c>
      <c r="D9" s="10" t="s">
        <v>46</v>
      </c>
      <c r="E9" s="11" t="str">
        <f>HYPERLINK("https://twitter.com/Interoute/status/702770006598094848","702770006598094848")</f>
        <v>702770006598094848</v>
      </c>
      <c r="F9" s="12" t="s">
        <v>47</v>
      </c>
      <c r="G9" s="13">
        <v>6626.0</v>
      </c>
      <c r="H9" s="13">
        <v>1309.0</v>
      </c>
      <c r="I9" s="13">
        <v>0.0</v>
      </c>
      <c r="J9" s="13">
        <v>2.0</v>
      </c>
      <c r="K9" s="12" t="s">
        <v>21</v>
      </c>
      <c r="L9" s="7">
        <v>39722.281006944446</v>
      </c>
      <c r="M9" s="14" t="s">
        <v>48</v>
      </c>
      <c r="N9" s="14" t="s">
        <v>49</v>
      </c>
      <c r="O9" s="11" t="str">
        <f>HYPERLINK("https://pbs.twimg.com/profile_images/446585179910332416/CQtGKdxV_normal.png","View")</f>
        <v>View</v>
      </c>
      <c r="P9" s="15"/>
    </row>
    <row r="10">
      <c r="A10" s="7">
        <v>42425.01488425926</v>
      </c>
      <c r="B10" s="8" t="str">
        <f>HYPERLINK("https://twitter.com/tomy_koch","@tomy_koch")</f>
        <v>@tomy_koch</v>
      </c>
      <c r="C10" s="10" t="s">
        <v>50</v>
      </c>
      <c r="D10" s="10" t="s">
        <v>51</v>
      </c>
      <c r="E10" s="11" t="str">
        <f>HYPERLINK("https://twitter.com/tomy_koch/status/702770365169270784","702770365169270784")</f>
        <v>702770365169270784</v>
      </c>
      <c r="F10" s="12" t="s">
        <v>52</v>
      </c>
      <c r="G10" s="13">
        <v>341.0</v>
      </c>
      <c r="H10" s="13">
        <v>478.0</v>
      </c>
      <c r="I10" s="13">
        <v>4.0</v>
      </c>
      <c r="J10" s="13">
        <v>4.0</v>
      </c>
      <c r="K10" s="12" t="s">
        <v>21</v>
      </c>
      <c r="L10" s="7">
        <v>39746.58726851852</v>
      </c>
      <c r="M10" s="14" t="s">
        <v>53</v>
      </c>
      <c r="N10" s="14" t="s">
        <v>54</v>
      </c>
      <c r="O10" s="11" t="str">
        <f>HYPERLINK("https://pbs.twimg.com/profile_images/1049503872/tko-sw-m_normal.jpg","View")</f>
        <v>View</v>
      </c>
      <c r="P10" s="15"/>
    </row>
    <row r="11">
      <c r="A11" s="7">
        <v>42425.0166087963</v>
      </c>
      <c r="B11" s="8" t="str">
        <f>HYPERLINK("https://twitter.com/huzeyfeonal","@huzeyfeonal")</f>
        <v>@huzeyfeonal</v>
      </c>
      <c r="C11" s="10" t="s">
        <v>55</v>
      </c>
      <c r="D11" s="10" t="s">
        <v>56</v>
      </c>
      <c r="E11" s="11" t="str">
        <f>HYPERLINK("https://twitter.com/huzeyfeonal/status/702770988937822208","702770988937822208")</f>
        <v>702770988937822208</v>
      </c>
      <c r="F11" s="12" t="s">
        <v>20</v>
      </c>
      <c r="G11" s="13">
        <v>5195.0</v>
      </c>
      <c r="H11" s="13">
        <v>1057.0</v>
      </c>
      <c r="I11" s="13">
        <v>7.0</v>
      </c>
      <c r="J11" s="13">
        <v>5.0</v>
      </c>
      <c r="K11" s="12" t="s">
        <v>21</v>
      </c>
      <c r="L11" s="7">
        <v>40045.97724537037</v>
      </c>
      <c r="M11" s="14" t="s">
        <v>57</v>
      </c>
      <c r="N11" s="14" t="s">
        <v>58</v>
      </c>
      <c r="O11" s="11" t="str">
        <f>HYPERLINK("https://pbs.twimg.com/profile_images/465443550746791936/8zUYlab9_normal.jpeg","View")</f>
        <v>View</v>
      </c>
      <c r="P11" s="15"/>
    </row>
    <row r="12">
      <c r="A12" s="7">
        <v>42425.01685185185</v>
      </c>
      <c r="B12" s="8" t="str">
        <f>HYPERLINK("https://twitter.com/fpgil","@fpgil")</f>
        <v>@fpgil</v>
      </c>
      <c r="C12" s="10" t="s">
        <v>59</v>
      </c>
      <c r="D12" s="10" t="s">
        <v>60</v>
      </c>
      <c r="E12" s="11" t="str">
        <f>HYPERLINK("https://twitter.com/fpgil/status/702771077097857024","702771077097857024")</f>
        <v>702771077097857024</v>
      </c>
      <c r="F12" s="12" t="s">
        <v>20</v>
      </c>
      <c r="G12" s="13">
        <v>856.0</v>
      </c>
      <c r="H12" s="13">
        <v>961.0</v>
      </c>
      <c r="I12" s="13">
        <v>5.0</v>
      </c>
      <c r="J12" s="13">
        <v>0.0</v>
      </c>
      <c r="K12" s="12" t="s">
        <v>21</v>
      </c>
      <c r="L12" s="7">
        <v>40200.53472222222</v>
      </c>
      <c r="M12" s="14" t="s">
        <v>61</v>
      </c>
      <c r="N12" s="14" t="s">
        <v>62</v>
      </c>
      <c r="O12" s="11" t="str">
        <f>HYPERLINK("https://pbs.twimg.com/profile_images/1612587398/110710_EsriIUC3_normal.png","View")</f>
        <v>View</v>
      </c>
      <c r="P12" s="15"/>
    </row>
    <row r="13">
      <c r="A13" s="7">
        <v>42425.0171412037</v>
      </c>
      <c r="B13" s="8" t="str">
        <f>HYPERLINK("https://twitter.com/hakkiocal","@hakkiocal")</f>
        <v>@hakkiocal</v>
      </c>
      <c r="C13" s="10" t="s">
        <v>63</v>
      </c>
      <c r="D13" s="10" t="s">
        <v>64</v>
      </c>
      <c r="E13" s="11" t="str">
        <f>HYPERLINK("https://twitter.com/hakkiocal/status/702771182823739392","702771182823739392")</f>
        <v>702771182823739392</v>
      </c>
      <c r="F13" s="12" t="s">
        <v>20</v>
      </c>
      <c r="G13" s="13">
        <v>14718.0</v>
      </c>
      <c r="H13" s="13">
        <v>11038.0</v>
      </c>
      <c r="I13" s="13">
        <v>7.0</v>
      </c>
      <c r="J13" s="13">
        <v>0.0</v>
      </c>
      <c r="K13" s="12" t="s">
        <v>21</v>
      </c>
      <c r="L13" s="7">
        <v>39831.360972222225</v>
      </c>
      <c r="M13" s="14" t="s">
        <v>65</v>
      </c>
      <c r="N13" s="14" t="s">
        <v>66</v>
      </c>
      <c r="O13" s="11" t="str">
        <f>HYPERLINK("https://pbs.twimg.com/profile_images/344513261571296504/e794b25c3e4bd37a49717dd7eb32de4e_normal.png","View")</f>
        <v>View</v>
      </c>
      <c r="P13" s="15"/>
    </row>
    <row r="14">
      <c r="A14" s="7">
        <v>42425.019270833334</v>
      </c>
      <c r="B14" s="8" t="str">
        <f>HYPERLINK("https://twitter.com/copyconstruct","@copyconstruct")</f>
        <v>@copyconstruct</v>
      </c>
      <c r="C14" s="10" t="s">
        <v>67</v>
      </c>
      <c r="D14" s="10" t="s">
        <v>68</v>
      </c>
      <c r="E14" s="11" t="str">
        <f>HYPERLINK("https://twitter.com/copyconstruct/status/702771953434660864","702771953434660864")</f>
        <v>702771953434660864</v>
      </c>
      <c r="F14" s="12" t="s">
        <v>52</v>
      </c>
      <c r="G14" s="13">
        <v>152.0</v>
      </c>
      <c r="H14" s="13">
        <v>219.0</v>
      </c>
      <c r="I14" s="13">
        <v>1.0</v>
      </c>
      <c r="J14" s="13">
        <v>1.0</v>
      </c>
      <c r="K14" s="12" t="s">
        <v>21</v>
      </c>
      <c r="L14" s="7">
        <v>40360.24539351852</v>
      </c>
      <c r="M14" s="14" t="s">
        <v>69</v>
      </c>
      <c r="N14" s="14" t="s">
        <v>70</v>
      </c>
      <c r="O14" s="11" t="str">
        <f>HYPERLINK("https://pbs.twimg.com/profile_images/647164275148984320/z27kvl4X_normal.jpg","View")</f>
        <v>View</v>
      </c>
      <c r="P14" s="15"/>
    </row>
    <row r="15">
      <c r="A15" s="7">
        <v>42425.02479166667</v>
      </c>
      <c r="B15" s="8" t="str">
        <f>HYPERLINK("https://twitter.com/konan72000","@konan72000")</f>
        <v>@konan72000</v>
      </c>
      <c r="C15" s="10" t="s">
        <v>71</v>
      </c>
      <c r="D15" s="10" t="s">
        <v>72</v>
      </c>
      <c r="E15" s="11" t="str">
        <f>HYPERLINK("https://twitter.com/konan72000/status/702773955891961856","702773955891961856")</f>
        <v>702773955891961856</v>
      </c>
      <c r="F15" s="12" t="s">
        <v>52</v>
      </c>
      <c r="G15" s="13">
        <v>36.0</v>
      </c>
      <c r="H15" s="13">
        <v>281.0</v>
      </c>
      <c r="I15" s="13">
        <v>89.0</v>
      </c>
      <c r="J15" s="13">
        <v>0.0</v>
      </c>
      <c r="K15" s="12" t="s">
        <v>21</v>
      </c>
      <c r="L15" s="7">
        <v>40263.259097222224</v>
      </c>
      <c r="M15" s="14" t="s">
        <v>73</v>
      </c>
      <c r="N15" s="16"/>
      <c r="O15" s="11" t="str">
        <f>HYPERLINK("https://pbs.twimg.com/profile_images/2751998240/95dda3640d986ef95b32c9848dac30ef_normal.png","View")</f>
        <v>View</v>
      </c>
      <c r="P15" s="15"/>
    </row>
    <row r="16">
      <c r="A16" s="7">
        <v>42425.02511574074</v>
      </c>
      <c r="B16" s="8" t="str">
        <f t="shared" ref="B16:B17" si="1">HYPERLINK("https://twitter.com/artwisanggeni","@artwisanggeni")</f>
        <v>@artwisanggeni</v>
      </c>
      <c r="C16" s="10" t="s">
        <v>74</v>
      </c>
      <c r="D16" s="10" t="s">
        <v>75</v>
      </c>
      <c r="E16" s="11" t="str">
        <f>HYPERLINK("https://twitter.com/artwisanggeni/status/702774071268741120","702774071268741120")</f>
        <v>702774071268741120</v>
      </c>
      <c r="F16" s="17" t="s">
        <v>76</v>
      </c>
      <c r="G16" s="13">
        <v>236.0</v>
      </c>
      <c r="H16" s="13">
        <v>61.0</v>
      </c>
      <c r="I16" s="13">
        <v>0.0</v>
      </c>
      <c r="J16" s="13">
        <v>0.0</v>
      </c>
      <c r="K16" s="12" t="s">
        <v>21</v>
      </c>
      <c r="L16" s="7">
        <v>41218.90608796296</v>
      </c>
      <c r="M16" s="14" t="s">
        <v>77</v>
      </c>
      <c r="N16" s="14" t="s">
        <v>78</v>
      </c>
      <c r="O16" s="11" t="str">
        <f t="shared" ref="O16:O17" si="2">HYPERLINK("https://pbs.twimg.com/profile_images/2813636657/599521f69e2bc210a57323b64d8e39e6_normal.jpeg","View")</f>
        <v>View</v>
      </c>
      <c r="P16" s="15"/>
    </row>
    <row r="17">
      <c r="A17" s="7">
        <v>42425.02512731482</v>
      </c>
      <c r="B17" s="8" t="str">
        <f t="shared" si="1"/>
        <v>@artwisanggeni</v>
      </c>
      <c r="C17" s="10" t="s">
        <v>74</v>
      </c>
      <c r="D17" s="10" t="s">
        <v>79</v>
      </c>
      <c r="E17" s="11" t="str">
        <f>HYPERLINK("https://twitter.com/artwisanggeni/status/702774076322938880","702774076322938880")</f>
        <v>702774076322938880</v>
      </c>
      <c r="F17" s="17" t="s">
        <v>76</v>
      </c>
      <c r="G17" s="13">
        <v>236.0</v>
      </c>
      <c r="H17" s="13">
        <v>61.0</v>
      </c>
      <c r="I17" s="13">
        <v>0.0</v>
      </c>
      <c r="J17" s="13">
        <v>0.0</v>
      </c>
      <c r="K17" s="12" t="s">
        <v>21</v>
      </c>
      <c r="L17" s="7">
        <v>41218.90608796296</v>
      </c>
      <c r="M17" s="14" t="s">
        <v>77</v>
      </c>
      <c r="N17" s="14" t="s">
        <v>78</v>
      </c>
      <c r="O17" s="11" t="str">
        <f t="shared" si="2"/>
        <v>View</v>
      </c>
      <c r="P17" s="15"/>
    </row>
    <row r="18">
      <c r="A18" s="7">
        <v>42425.02658564815</v>
      </c>
      <c r="B18" s="8" t="str">
        <f>HYPERLINK("https://twitter.com/madoz_carmem","@madoz_carmem")</f>
        <v>@madoz_carmem</v>
      </c>
      <c r="C18" s="10" t="s">
        <v>80</v>
      </c>
      <c r="D18" s="10" t="s">
        <v>81</v>
      </c>
      <c r="E18" s="11" t="str">
        <f>HYPERLINK("https://twitter.com/madoz_carmem/status/702774605245759488","702774605245759488")</f>
        <v>702774605245759488</v>
      </c>
      <c r="F18" s="12" t="s">
        <v>52</v>
      </c>
      <c r="G18" s="13">
        <v>420.0</v>
      </c>
      <c r="H18" s="13">
        <v>402.0</v>
      </c>
      <c r="I18" s="13">
        <v>5.0</v>
      </c>
      <c r="J18" s="13">
        <v>0.0</v>
      </c>
      <c r="K18" s="12" t="s">
        <v>21</v>
      </c>
      <c r="L18" s="7">
        <v>41817.148043981484</v>
      </c>
      <c r="M18" s="14" t="s">
        <v>82</v>
      </c>
      <c r="N18" s="16"/>
      <c r="O18" s="11" t="str">
        <f>HYPERLINK("https://pbs.twimg.com/profile_images/693514803697094656/36uF_ALo_normal.jpg","View")</f>
        <v>View</v>
      </c>
      <c r="P18" s="15"/>
    </row>
    <row r="19">
      <c r="A19" s="7">
        <v>42425.026770833334</v>
      </c>
      <c r="B19" s="8" t="str">
        <f>HYPERLINK("https://twitter.com/StackCodeReview","@StackCodeReview")</f>
        <v>@StackCodeReview</v>
      </c>
      <c r="C19" s="10" t="s">
        <v>83</v>
      </c>
      <c r="D19" s="10" t="s">
        <v>84</v>
      </c>
      <c r="E19" s="11" t="str">
        <f>HYPERLINK("https://twitter.com/StackCodeReview/status/702774672077819904","702774672077819904")</f>
        <v>702774672077819904</v>
      </c>
      <c r="F19" s="12" t="s">
        <v>85</v>
      </c>
      <c r="G19" s="13">
        <v>595.0</v>
      </c>
      <c r="H19" s="13">
        <v>0.0</v>
      </c>
      <c r="I19" s="13">
        <v>0.0</v>
      </c>
      <c r="J19" s="13">
        <v>0.0</v>
      </c>
      <c r="K19" s="12" t="s">
        <v>21</v>
      </c>
      <c r="L19" s="7">
        <v>40562.104942129634</v>
      </c>
      <c r="M19" s="14" t="s">
        <v>86</v>
      </c>
      <c r="N19" s="14" t="s">
        <v>87</v>
      </c>
      <c r="O19" s="11" t="str">
        <f>HYPERLINK("https://pbs.twimg.com/profile_images/669613362255282176/8iApenAA_normal.png","View")</f>
        <v>View</v>
      </c>
      <c r="P19" s="15"/>
    </row>
    <row r="20">
      <c r="A20" s="7">
        <v>42425.02800925926</v>
      </c>
      <c r="B20" s="8" t="str">
        <f>HYPERLINK("https://twitter.com/BlueLineTalent","@BlueLineTalent")</f>
        <v>@BlueLineTalent</v>
      </c>
      <c r="C20" s="10" t="s">
        <v>88</v>
      </c>
      <c r="D20" s="10" t="s">
        <v>89</v>
      </c>
      <c r="E20" s="11" t="str">
        <f>HYPERLINK("https://twitter.com/BlueLineTalent/status/702775120444526592","702775120444526592")</f>
        <v>702775120444526592</v>
      </c>
      <c r="F20" s="17" t="s">
        <v>90</v>
      </c>
      <c r="G20" s="13">
        <v>959.0</v>
      </c>
      <c r="H20" s="13">
        <v>1995.0</v>
      </c>
      <c r="I20" s="13">
        <v>0.0</v>
      </c>
      <c r="J20" s="13">
        <v>1.0</v>
      </c>
      <c r="K20" s="12" t="s">
        <v>21</v>
      </c>
      <c r="L20" s="7">
        <v>40001.82782407408</v>
      </c>
      <c r="M20" s="14" t="s">
        <v>91</v>
      </c>
      <c r="N20" s="14" t="s">
        <v>92</v>
      </c>
      <c r="O20" s="11" t="str">
        <f>HYPERLINK("https://pbs.twimg.com/profile_images/555861616516792320/VCml_WiX_normal.jpeg","View")</f>
        <v>View</v>
      </c>
      <c r="P20" s="15"/>
    </row>
    <row r="21">
      <c r="A21" s="7">
        <v>42425.0281712963</v>
      </c>
      <c r="B21" s="8" t="str">
        <f>HYPERLINK("https://twitter.com/NavaTux","@NavaTux")</f>
        <v>@NavaTux</v>
      </c>
      <c r="C21" s="10" t="s">
        <v>93</v>
      </c>
      <c r="D21" s="10" t="s">
        <v>94</v>
      </c>
      <c r="E21" s="11" t="str">
        <f>HYPERLINK("https://twitter.com/NavaTux/status/702775180112715776","702775180112715776")</f>
        <v>702775180112715776</v>
      </c>
      <c r="F21" s="12" t="s">
        <v>20</v>
      </c>
      <c r="G21" s="13">
        <v>281.0</v>
      </c>
      <c r="H21" s="13">
        <v>278.0</v>
      </c>
      <c r="I21" s="13">
        <v>1.0</v>
      </c>
      <c r="J21" s="13">
        <v>2.0</v>
      </c>
      <c r="K21" s="12" t="s">
        <v>21</v>
      </c>
      <c r="L21" s="7">
        <v>40071.37351851852</v>
      </c>
      <c r="M21" s="14" t="s">
        <v>34</v>
      </c>
      <c r="N21" s="14" t="s">
        <v>95</v>
      </c>
      <c r="O21" s="11" t="str">
        <f>HYPERLINK("https://pbs.twimg.com/profile_images/646212805637476352/Y0ZZtU2H_normal.jpg","View")</f>
        <v>View</v>
      </c>
      <c r="P21" s="15"/>
    </row>
    <row r="22">
      <c r="A22" s="7">
        <v>42425.02920138889</v>
      </c>
      <c r="B22" s="8" t="str">
        <f>HYPERLINK("https://twitter.com/vganesh","@vganesh")</f>
        <v>@vganesh</v>
      </c>
      <c r="C22" s="10" t="s">
        <v>96</v>
      </c>
      <c r="D22" s="10" t="s">
        <v>97</v>
      </c>
      <c r="E22" s="11" t="str">
        <f>HYPERLINK("https://twitter.com/vganesh/status/702775555075084289","702775555075084289")</f>
        <v>702775555075084289</v>
      </c>
      <c r="F22" s="12" t="s">
        <v>98</v>
      </c>
      <c r="G22" s="13">
        <v>197.0</v>
      </c>
      <c r="H22" s="13">
        <v>452.0</v>
      </c>
      <c r="I22" s="13">
        <v>0.0</v>
      </c>
      <c r="J22" s="13">
        <v>1.0</v>
      </c>
      <c r="K22" s="12" t="s">
        <v>21</v>
      </c>
      <c r="L22" s="7">
        <v>39404.23039351852</v>
      </c>
      <c r="M22" s="14" t="s">
        <v>99</v>
      </c>
      <c r="N22" s="14" t="s">
        <v>100</v>
      </c>
      <c r="O22" s="11" t="str">
        <f>HYPERLINK("https://pbs.twimg.com/profile_images/488719709697609728/BIjck6I0_normal.jpeg","View")</f>
        <v>View</v>
      </c>
      <c r="P22" s="15"/>
    </row>
    <row r="23">
      <c r="A23" s="7">
        <v>42425.029444444444</v>
      </c>
      <c r="B23" s="8" t="str">
        <f>HYPERLINK("https://twitter.com/JoshuaLongUK","@JoshuaLongUK")</f>
        <v>@JoshuaLongUK</v>
      </c>
      <c r="C23" s="10" t="s">
        <v>101</v>
      </c>
      <c r="D23" s="10" t="s">
        <v>102</v>
      </c>
      <c r="E23" s="11" t="str">
        <f>HYPERLINK("https://twitter.com/JoshuaLongUK/status/702775640945270784","702775640945270784")</f>
        <v>702775640945270784</v>
      </c>
      <c r="F23" s="12" t="s">
        <v>103</v>
      </c>
      <c r="G23" s="13">
        <v>25832.0</v>
      </c>
      <c r="H23" s="13">
        <v>93.0</v>
      </c>
      <c r="I23" s="13">
        <v>0.0</v>
      </c>
      <c r="J23" s="13">
        <v>0.0</v>
      </c>
      <c r="K23" s="12" t="s">
        <v>21</v>
      </c>
      <c r="L23" s="7">
        <v>41149.39659722222</v>
      </c>
      <c r="M23" s="14" t="s">
        <v>104</v>
      </c>
      <c r="N23" s="14" t="s">
        <v>105</v>
      </c>
      <c r="O23" s="11" t="str">
        <f>HYPERLINK("https://pbs.twimg.com/profile_images/627996138403168256/DaASdgVr_normal.jpg","View")</f>
        <v>View</v>
      </c>
      <c r="P23" s="15"/>
    </row>
    <row r="24">
      <c r="A24" s="7">
        <v>42425.03030092592</v>
      </c>
      <c r="B24" s="8" t="str">
        <f>HYPERLINK("https://twitter.com/Mikael_Furesjo","@Mikael_Furesjo")</f>
        <v>@Mikael_Furesjo</v>
      </c>
      <c r="C24" s="10" t="s">
        <v>106</v>
      </c>
      <c r="D24" s="10" t="s">
        <v>107</v>
      </c>
      <c r="E24" s="11" t="str">
        <f>HYPERLINK("https://twitter.com/Mikael_Furesjo/status/702775950770106368","702775950770106368")</f>
        <v>702775950770106368</v>
      </c>
      <c r="F24" s="12" t="s">
        <v>108</v>
      </c>
      <c r="G24" s="13">
        <v>3096.0</v>
      </c>
      <c r="H24" s="13">
        <v>3192.0</v>
      </c>
      <c r="I24" s="13">
        <v>0.0</v>
      </c>
      <c r="J24" s="13">
        <v>0.0</v>
      </c>
      <c r="K24" s="12" t="s">
        <v>21</v>
      </c>
      <c r="L24" s="7">
        <v>41981.281909722224</v>
      </c>
      <c r="M24" s="14" t="s">
        <v>109</v>
      </c>
      <c r="N24" s="14" t="s">
        <v>110</v>
      </c>
      <c r="O24" s="11" t="str">
        <f>HYPERLINK("https://pbs.twimg.com/profile_images/541967225691713536/sEjIUqRQ_normal.jpeg","View")</f>
        <v>View</v>
      </c>
      <c r="P24" s="15"/>
    </row>
    <row r="25">
      <c r="A25" s="7">
        <v>42425.030381944445</v>
      </c>
      <c r="B25" s="8" t="str">
        <f>HYPERLINK("https://twitter.com/bigdickinurgirl","@bigdickinurgirl")</f>
        <v>@bigdickinurgirl</v>
      </c>
      <c r="C25" s="10" t="s">
        <v>111</v>
      </c>
      <c r="D25" s="10" t="s">
        <v>112</v>
      </c>
      <c r="E25" s="11" t="str">
        <f>HYPERLINK("https://twitter.com/bigdickinurgirl/status/702775980956459008","702775980956459008")</f>
        <v>702775980956459008</v>
      </c>
      <c r="F25" s="12" t="s">
        <v>20</v>
      </c>
      <c r="G25" s="13">
        <v>34.0</v>
      </c>
      <c r="H25" s="13">
        <v>0.0</v>
      </c>
      <c r="I25" s="13">
        <v>0.0</v>
      </c>
      <c r="J25" s="13">
        <v>1.0</v>
      </c>
      <c r="K25" s="12" t="s">
        <v>21</v>
      </c>
      <c r="L25" s="7">
        <v>42418.56091435185</v>
      </c>
      <c r="M25" s="14" t="s">
        <v>113</v>
      </c>
      <c r="N25" s="14" t="s">
        <v>114</v>
      </c>
      <c r="O25" s="11" t="str">
        <f>HYPERLINK("https://pbs.twimg.com/profile_images/700958563636682752/Icej50ju_normal.jpg","View")</f>
        <v>View</v>
      </c>
      <c r="P25" s="15"/>
    </row>
    <row r="26">
      <c r="A26" s="7">
        <v>42425.03295138889</v>
      </c>
      <c r="B26" s="8" t="str">
        <f>HYPERLINK("https://twitter.com/thagou","@thagou")</f>
        <v>@thagou</v>
      </c>
      <c r="C26" s="10" t="s">
        <v>115</v>
      </c>
      <c r="D26" s="10" t="s">
        <v>116</v>
      </c>
      <c r="E26" s="11" t="str">
        <f>HYPERLINK("https://twitter.com/thagou/status/702776913656463360","702776913656463360")</f>
        <v>702776913656463360</v>
      </c>
      <c r="F26" s="12" t="s">
        <v>20</v>
      </c>
      <c r="G26" s="13">
        <v>356.0</v>
      </c>
      <c r="H26" s="13">
        <v>278.0</v>
      </c>
      <c r="I26" s="13">
        <v>7.0</v>
      </c>
      <c r="J26" s="13">
        <v>4.0</v>
      </c>
      <c r="K26" s="12" t="s">
        <v>21</v>
      </c>
      <c r="L26" s="7">
        <v>40057.37461805555</v>
      </c>
      <c r="M26" s="14" t="s">
        <v>117</v>
      </c>
      <c r="N26" s="14" t="s">
        <v>118</v>
      </c>
      <c r="O26" s="11" t="str">
        <f>HYPERLINK("https://pbs.twimg.com/profile_images/511540571609911296/06_pzldy_normal.jpeg","View")</f>
        <v>View</v>
      </c>
      <c r="P26" s="15"/>
    </row>
    <row r="27">
      <c r="A27" s="7">
        <v>42425.03340277778</v>
      </c>
      <c r="B27" s="8" t="str">
        <f>HYPERLINK("https://twitter.com/MacThe3rd","@MacThe3rd")</f>
        <v>@MacThe3rd</v>
      </c>
      <c r="C27" s="10" t="s">
        <v>119</v>
      </c>
      <c r="D27" s="10" t="s">
        <v>120</v>
      </c>
      <c r="E27" s="11" t="str">
        <f>HYPERLINK("https://twitter.com/MacThe3rd/status/702777075007156225","702777075007156225")</f>
        <v>702777075007156225</v>
      </c>
      <c r="F27" s="12" t="s">
        <v>20</v>
      </c>
      <c r="G27" s="13">
        <v>314.0</v>
      </c>
      <c r="H27" s="13">
        <v>223.0</v>
      </c>
      <c r="I27" s="13">
        <v>7.0</v>
      </c>
      <c r="J27" s="13">
        <v>0.0</v>
      </c>
      <c r="K27" s="12" t="s">
        <v>21</v>
      </c>
      <c r="L27" s="7">
        <v>39234.44994212963</v>
      </c>
      <c r="M27" s="14" t="s">
        <v>121</v>
      </c>
      <c r="N27" s="14" t="s">
        <v>122</v>
      </c>
      <c r="O27" s="11" t="str">
        <f>HYPERLINK("https://pbs.twimg.com/profile_images/378800000034570189/e16fadad28d1c7cb9780ad3c6f7a9127_normal.jpeg","View")</f>
        <v>View</v>
      </c>
      <c r="P27" s="15"/>
    </row>
    <row r="28">
      <c r="A28" s="7">
        <v>42425.03375</v>
      </c>
      <c r="B28" s="8" t="str">
        <f>HYPERLINK("https://twitter.com/bip_bop","@bip_bop")</f>
        <v>@bip_bop</v>
      </c>
      <c r="C28" s="10" t="s">
        <v>123</v>
      </c>
      <c r="D28" s="10" t="s">
        <v>120</v>
      </c>
      <c r="E28" s="11" t="str">
        <f>HYPERLINK("https://twitter.com/bip_bop/status/702777201532473344","702777201532473344")</f>
        <v>702777201532473344</v>
      </c>
      <c r="F28" s="12" t="s">
        <v>124</v>
      </c>
      <c r="G28" s="13">
        <v>160.0</v>
      </c>
      <c r="H28" s="13">
        <v>337.0</v>
      </c>
      <c r="I28" s="13">
        <v>7.0</v>
      </c>
      <c r="J28" s="13">
        <v>0.0</v>
      </c>
      <c r="K28" s="12" t="s">
        <v>21</v>
      </c>
      <c r="L28" s="7">
        <v>40025.21046296296</v>
      </c>
      <c r="M28" s="14" t="s">
        <v>125</v>
      </c>
      <c r="N28" s="14" t="s">
        <v>126</v>
      </c>
      <c r="O28" s="11" t="str">
        <f>HYPERLINK("https://pbs.twimg.com/profile_images/3634973580/1588dd4e979608a3ddd8f60d9a068da3_normal.jpeg","View")</f>
        <v>View</v>
      </c>
      <c r="P28" s="15"/>
    </row>
    <row r="29">
      <c r="A29" s="7">
        <v>42425.03384259259</v>
      </c>
      <c r="B29" s="8" t="str">
        <f>HYPERLINK("https://twitter.com/orfeomorello","@orfeomorello")</f>
        <v>@orfeomorello</v>
      </c>
      <c r="C29" s="10" t="s">
        <v>127</v>
      </c>
      <c r="D29" s="10" t="s">
        <v>128</v>
      </c>
      <c r="E29" s="11" t="str">
        <f>HYPERLINK("https://twitter.com/orfeomorello/status/702777233421766656","702777233421766656")</f>
        <v>702777233421766656</v>
      </c>
      <c r="F29" s="12" t="s">
        <v>20</v>
      </c>
      <c r="G29" s="13">
        <v>609.0</v>
      </c>
      <c r="H29" s="13">
        <v>1980.0</v>
      </c>
      <c r="I29" s="13">
        <v>0.0</v>
      </c>
      <c r="J29" s="13">
        <v>2.0</v>
      </c>
      <c r="K29" s="12" t="s">
        <v>21</v>
      </c>
      <c r="L29" s="7">
        <v>40163.08168981482</v>
      </c>
      <c r="M29" s="14" t="s">
        <v>129</v>
      </c>
      <c r="N29" s="14" t="s">
        <v>130</v>
      </c>
      <c r="O29" s="11" t="str">
        <f>HYPERLINK("https://pbs.twimg.com/profile_images/552455148987891712/fDzHK3fX_normal.png","View")</f>
        <v>View</v>
      </c>
      <c r="P29" s="15"/>
    </row>
    <row r="30">
      <c r="A30" s="7">
        <v>42425.03549768518</v>
      </c>
      <c r="B30" s="8" t="str">
        <f>HYPERLINK("https://twitter.com/piranade","@piranade")</f>
        <v>@piranade</v>
      </c>
      <c r="C30" s="10" t="s">
        <v>131</v>
      </c>
      <c r="D30" s="10" t="s">
        <v>120</v>
      </c>
      <c r="E30" s="11" t="str">
        <f>HYPERLINK("https://twitter.com/piranade/status/702777834582970368","702777834582970368")</f>
        <v>702777834582970368</v>
      </c>
      <c r="F30" s="12" t="s">
        <v>20</v>
      </c>
      <c r="G30" s="13">
        <v>878.0</v>
      </c>
      <c r="H30" s="13">
        <v>519.0</v>
      </c>
      <c r="I30" s="13">
        <v>7.0</v>
      </c>
      <c r="J30" s="13">
        <v>0.0</v>
      </c>
      <c r="K30" s="12" t="s">
        <v>21</v>
      </c>
      <c r="L30" s="7">
        <v>39900.61788194445</v>
      </c>
      <c r="M30" s="14" t="s">
        <v>132</v>
      </c>
      <c r="N30" s="14" t="s">
        <v>133</v>
      </c>
      <c r="O30" s="11" t="str">
        <f>HYPERLINK("https://pbs.twimg.com/profile_images/507211533785370624/eVvfahHS_normal.jpeg","View")</f>
        <v>View</v>
      </c>
      <c r="P30" s="15"/>
    </row>
    <row r="31">
      <c r="A31" s="7">
        <v>42425.03619212963</v>
      </c>
      <c r="B31" s="8" t="str">
        <f>HYPERLINK("https://twitter.com/sam_et_max","@sam_et_max")</f>
        <v>@sam_et_max</v>
      </c>
      <c r="C31" s="10" t="s">
        <v>134</v>
      </c>
      <c r="D31" s="10" t="s">
        <v>120</v>
      </c>
      <c r="E31" s="11" t="str">
        <f>HYPERLINK("https://twitter.com/sam_et_max/status/702778088346750976","702778088346750976")</f>
        <v>702778088346750976</v>
      </c>
      <c r="F31" s="12" t="s">
        <v>20</v>
      </c>
      <c r="G31" s="13">
        <v>2277.0</v>
      </c>
      <c r="H31" s="13">
        <v>0.0</v>
      </c>
      <c r="I31" s="13">
        <v>7.0</v>
      </c>
      <c r="J31" s="13">
        <v>0.0</v>
      </c>
      <c r="K31" s="12" t="s">
        <v>21</v>
      </c>
      <c r="L31" s="7">
        <v>40967.05353009259</v>
      </c>
      <c r="M31" s="16"/>
      <c r="N31" s="14" t="s">
        <v>135</v>
      </c>
      <c r="O31" s="11" t="str">
        <f>HYPERLINK("https://pbs.twimg.com/profile_images/1859873928/img_Dog-and-rabbit_Thomas-SCHWEIZER_ref_150.001844.00_mode_zoom_normal.jpg","View")</f>
        <v>View</v>
      </c>
      <c r="P31" s="15"/>
    </row>
    <row r="32">
      <c r="A32" s="7">
        <v>42425.037870370375</v>
      </c>
      <c r="B32" s="8" t="str">
        <f>HYPERLINK("https://twitter.com/homeAInews","@homeAInews")</f>
        <v>@homeAInews</v>
      </c>
      <c r="C32" s="10" t="s">
        <v>136</v>
      </c>
      <c r="D32" s="10" t="s">
        <v>137</v>
      </c>
      <c r="E32" s="11" t="str">
        <f>HYPERLINK("https://twitter.com/homeAInews/status/702778696701251584","702778696701251584")</f>
        <v>702778696701251584</v>
      </c>
      <c r="F32" s="12" t="s">
        <v>38</v>
      </c>
      <c r="G32" s="13">
        <v>307.0</v>
      </c>
      <c r="H32" s="13">
        <v>0.0</v>
      </c>
      <c r="I32" s="13">
        <v>1.0</v>
      </c>
      <c r="J32" s="13">
        <v>0.0</v>
      </c>
      <c r="K32" s="12" t="s">
        <v>21</v>
      </c>
      <c r="L32" s="7">
        <v>42264.53649305555</v>
      </c>
      <c r="M32" s="16"/>
      <c r="N32" s="14" t="s">
        <v>138</v>
      </c>
      <c r="O32" s="11" t="str">
        <f>HYPERLINK("https://pbs.twimg.com/profile_images/669260981319704576/H1vV6FFm_normal.png","View")</f>
        <v>View</v>
      </c>
      <c r="P32" s="15"/>
    </row>
    <row r="33">
      <c r="A33" s="7">
        <v>42425.03876157408</v>
      </c>
      <c r="B33" s="8" t="str">
        <f>HYPERLINK("https://twitter.com/insights_js","@insights_js")</f>
        <v>@insights_js</v>
      </c>
      <c r="C33" s="10" t="s">
        <v>139</v>
      </c>
      <c r="D33" s="10" t="s">
        <v>140</v>
      </c>
      <c r="E33" s="11" t="str">
        <f>HYPERLINK("https://twitter.com/insights_js/status/702779017074638848","702779017074638848")</f>
        <v>702779017074638848</v>
      </c>
      <c r="F33" s="12" t="s">
        <v>141</v>
      </c>
      <c r="G33" s="13">
        <v>111.0</v>
      </c>
      <c r="H33" s="13">
        <v>138.0</v>
      </c>
      <c r="I33" s="13">
        <v>4.0</v>
      </c>
      <c r="J33" s="13">
        <v>0.0</v>
      </c>
      <c r="K33" s="12" t="s">
        <v>21</v>
      </c>
      <c r="L33" s="7">
        <v>42381.537870370375</v>
      </c>
      <c r="M33" s="16"/>
      <c r="N33" s="14" t="s">
        <v>142</v>
      </c>
      <c r="O33" s="11" t="str">
        <f>HYPERLINK("https://pbs.twimg.com/profile_images/687381862004715521/lsdcpGUk_normal.png","View")</f>
        <v>View</v>
      </c>
      <c r="P33" s="15"/>
    </row>
    <row r="34">
      <c r="A34" s="7">
        <v>42425.04037037037</v>
      </c>
      <c r="B34" s="8" t="str">
        <f>HYPERLINK("https://twitter.com/mthipparthi","@mthipparthi")</f>
        <v>@mthipparthi</v>
      </c>
      <c r="C34" s="10" t="s">
        <v>143</v>
      </c>
      <c r="D34" s="10" t="s">
        <v>144</v>
      </c>
      <c r="E34" s="11" t="str">
        <f>HYPERLINK("https://twitter.com/mthipparthi/status/702779599122378752","702779599122378752")</f>
        <v>702779599122378752</v>
      </c>
      <c r="F34" s="12" t="s">
        <v>52</v>
      </c>
      <c r="G34" s="13">
        <v>103.0</v>
      </c>
      <c r="H34" s="13">
        <v>536.0</v>
      </c>
      <c r="I34" s="13">
        <v>1.0</v>
      </c>
      <c r="J34" s="13">
        <v>0.0</v>
      </c>
      <c r="K34" s="12" t="s">
        <v>21</v>
      </c>
      <c r="L34" s="7">
        <v>39954.14172453704</v>
      </c>
      <c r="M34" s="14" t="s">
        <v>145</v>
      </c>
      <c r="N34" s="14" t="s">
        <v>146</v>
      </c>
      <c r="O34" s="11" t="str">
        <f>HYPERLINK("https://abs.twimg.com/sticky/default_profile_images/default_profile_3_normal.png","View")</f>
        <v>View</v>
      </c>
      <c r="P34" s="15"/>
    </row>
    <row r="35">
      <c r="A35" s="7">
        <v>42425.04047453703</v>
      </c>
      <c r="B35" s="8" t="str">
        <f>HYPERLINK("https://twitter.com/javascriptSaBOT","@javascriptSaBOT")</f>
        <v>@javascriptSaBOT</v>
      </c>
      <c r="C35" s="10" t="s">
        <v>147</v>
      </c>
      <c r="D35" s="10" t="s">
        <v>120</v>
      </c>
      <c r="E35" s="11" t="str">
        <f>HYPERLINK("https://twitter.com/javascriptSaBOT/status/702779639706492928","702779639706492928")</f>
        <v>702779639706492928</v>
      </c>
      <c r="F35" s="12" t="s">
        <v>148</v>
      </c>
      <c r="G35" s="13">
        <v>168.0</v>
      </c>
      <c r="H35" s="13">
        <v>194.0</v>
      </c>
      <c r="I35" s="13">
        <v>7.0</v>
      </c>
      <c r="J35" s="13">
        <v>0.0</v>
      </c>
      <c r="K35" s="12" t="s">
        <v>21</v>
      </c>
      <c r="L35" s="7">
        <v>42416.8263425926</v>
      </c>
      <c r="M35" s="16"/>
      <c r="N35" s="14" t="s">
        <v>149</v>
      </c>
      <c r="O35" s="11" t="str">
        <f>HYPERLINK("https://pbs.twimg.com/profile_images/699810062752059393/NQQfSM9g_normal.jpg","View")</f>
        <v>View</v>
      </c>
      <c r="P35" s="15"/>
    </row>
    <row r="36">
      <c r="A36" s="7">
        <v>42425.041226851856</v>
      </c>
      <c r="B36" s="8" t="str">
        <f>HYPERLINK("https://twitter.com/omarsar0","@omarsar0")</f>
        <v>@omarsar0</v>
      </c>
      <c r="C36" s="10" t="s">
        <v>150</v>
      </c>
      <c r="D36" s="10" t="s">
        <v>151</v>
      </c>
      <c r="E36" s="11" t="str">
        <f>HYPERLINK("https://twitter.com/omarsar0/status/702779912814358528","702779912814358528")</f>
        <v>702779912814358528</v>
      </c>
      <c r="F36" s="12" t="s">
        <v>152</v>
      </c>
      <c r="G36" s="13">
        <v>98.0</v>
      </c>
      <c r="H36" s="13">
        <v>96.0</v>
      </c>
      <c r="I36" s="13">
        <v>0.0</v>
      </c>
      <c r="J36" s="13">
        <v>2.0</v>
      </c>
      <c r="K36" s="12" t="s">
        <v>21</v>
      </c>
      <c r="L36" s="7">
        <v>42251.24960648148</v>
      </c>
      <c r="M36" s="14" t="s">
        <v>153</v>
      </c>
      <c r="N36" s="14" t="s">
        <v>154</v>
      </c>
      <c r="O36" s="11" t="str">
        <f>HYPERLINK("https://pbs.twimg.com/profile_images/666624055479439360/WqQ1VRPB_normal.jpg","View")</f>
        <v>View</v>
      </c>
      <c r="P36" s="15"/>
    </row>
    <row r="37">
      <c r="A37" s="7">
        <v>42425.04153935185</v>
      </c>
      <c r="B37" s="8" t="str">
        <f>HYPERLINK("https://twitter.com/py_nsk","@py_nsk")</f>
        <v>@py_nsk</v>
      </c>
      <c r="C37" s="10" t="s">
        <v>155</v>
      </c>
      <c r="D37" s="10" t="s">
        <v>156</v>
      </c>
      <c r="E37" s="11" t="str">
        <f>HYPERLINK("https://twitter.com/py_nsk/status/702780024848523264","702780024848523264")</f>
        <v>702780024848523264</v>
      </c>
      <c r="F37" s="12" t="s">
        <v>157</v>
      </c>
      <c r="G37" s="13">
        <v>50.0</v>
      </c>
      <c r="H37" s="13">
        <v>4.0</v>
      </c>
      <c r="I37" s="13">
        <v>0.0</v>
      </c>
      <c r="J37" s="13">
        <v>0.0</v>
      </c>
      <c r="K37" s="12" t="s">
        <v>21</v>
      </c>
      <c r="L37" s="7">
        <v>42174.03638888889</v>
      </c>
      <c r="M37" s="16"/>
      <c r="N37" s="16"/>
      <c r="O37" s="11" t="str">
        <f>HYPERLINK("https://pbs.twimg.com/profile_images/628733919282745345/Nhm3X3iC_normal.png","View")</f>
        <v>View</v>
      </c>
      <c r="P37" s="15"/>
    </row>
    <row r="38">
      <c r="A38" s="7">
        <v>42425.04168981481</v>
      </c>
      <c r="B38" s="8" t="str">
        <f>HYPERLINK("https://twitter.com/tweet_poke_","@tweet_poke_")</f>
        <v>@tweet_poke_</v>
      </c>
      <c r="C38" s="10" t="s">
        <v>158</v>
      </c>
      <c r="D38" s="10" t="s">
        <v>159</v>
      </c>
      <c r="E38" s="11" t="str">
        <f>HYPERLINK("https://twitter.com/tweet_poke_/status/702780080582430722","702780080582430722")</f>
        <v>702780080582430722</v>
      </c>
      <c r="F38" s="12" t="s">
        <v>160</v>
      </c>
      <c r="G38" s="13">
        <v>106.0</v>
      </c>
      <c r="H38" s="13">
        <v>280.0</v>
      </c>
      <c r="I38" s="13">
        <v>1.0</v>
      </c>
      <c r="J38" s="13">
        <v>0.0</v>
      </c>
      <c r="K38" s="12" t="s">
        <v>21</v>
      </c>
      <c r="L38" s="7">
        <v>41758.236655092594</v>
      </c>
      <c r="M38" s="16"/>
      <c r="N38" s="14" t="s">
        <v>161</v>
      </c>
      <c r="O38" s="11" t="str">
        <f>HYPERLINK("https://pbs.twimg.com/profile_images/578537216823144448/GW-4L7Mg_normal.png","View")</f>
        <v>View</v>
      </c>
      <c r="P38" s="15"/>
    </row>
    <row r="39">
      <c r="A39" s="7">
        <v>42425.04274305556</v>
      </c>
      <c r="B39" s="8" t="str">
        <f>HYPERLINK("https://twitter.com/grobaczynski","@grobaczynski")</f>
        <v>@grobaczynski</v>
      </c>
      <c r="C39" s="10" t="s">
        <v>162</v>
      </c>
      <c r="D39" s="10" t="s">
        <v>163</v>
      </c>
      <c r="E39" s="11" t="str">
        <f>HYPERLINK("https://twitter.com/grobaczynski/status/702780462553395200","702780462553395200")</f>
        <v>702780462553395200</v>
      </c>
      <c r="F39" s="12" t="s">
        <v>164</v>
      </c>
      <c r="G39" s="13">
        <v>205.0</v>
      </c>
      <c r="H39" s="13">
        <v>741.0</v>
      </c>
      <c r="I39" s="13">
        <v>1.0</v>
      </c>
      <c r="J39" s="13">
        <v>5.0</v>
      </c>
      <c r="K39" s="12" t="s">
        <v>21</v>
      </c>
      <c r="L39" s="7">
        <v>40562.15883101852</v>
      </c>
      <c r="M39" s="16"/>
      <c r="N39" s="14" t="s">
        <v>165</v>
      </c>
      <c r="O39" s="11" t="str">
        <f>HYPERLINK("https://pbs.twimg.com/profile_images/344513261568829423/5a7d0257036baf58b884dea7a3f5e182_normal.jpeg","View")</f>
        <v>View</v>
      </c>
      <c r="P39" s="15"/>
    </row>
    <row r="40">
      <c r="A40" s="7">
        <v>42425.04372685185</v>
      </c>
      <c r="B40" s="8" t="str">
        <f>HYPERLINK("https://twitter.com/teacheraorg","@teacheraorg")</f>
        <v>@teacheraorg</v>
      </c>
      <c r="C40" s="10" t="s">
        <v>166</v>
      </c>
      <c r="D40" s="10" t="s">
        <v>167</v>
      </c>
      <c r="E40" s="11" t="str">
        <f>HYPERLINK("https://twitter.com/teacheraorg/status/702780818876448768","702780818876448768")</f>
        <v>702780818876448768</v>
      </c>
      <c r="F40" s="12" t="s">
        <v>103</v>
      </c>
      <c r="G40" s="13">
        <v>10.0</v>
      </c>
      <c r="H40" s="13">
        <v>61.0</v>
      </c>
      <c r="I40" s="13">
        <v>0.0</v>
      </c>
      <c r="J40" s="13">
        <v>0.0</v>
      </c>
      <c r="K40" s="12" t="s">
        <v>21</v>
      </c>
      <c r="L40" s="7">
        <v>42327.187372685185</v>
      </c>
      <c r="M40" s="14" t="s">
        <v>168</v>
      </c>
      <c r="N40" s="14" t="s">
        <v>169</v>
      </c>
      <c r="O40" s="11" t="str">
        <f>HYPERLINK("https://pbs.twimg.com/profile_images/667320241102454784/lcRdAWy6_normal.jpg","View")</f>
        <v>View</v>
      </c>
      <c r="P40" s="15"/>
    </row>
    <row r="41">
      <c r="A41" s="7">
        <v>42425.04375</v>
      </c>
      <c r="B41" s="8" t="str">
        <f>HYPERLINK("https://twitter.com/LillianEdmiston","@LillianEdmiston")</f>
        <v>@LillianEdmiston</v>
      </c>
      <c r="C41" s="10" t="s">
        <v>170</v>
      </c>
      <c r="D41" s="10" t="s">
        <v>171</v>
      </c>
      <c r="E41" s="11" t="str">
        <f>HYPERLINK("https://twitter.com/LillianEdmiston/status/702780824865873920","702780824865873920")</f>
        <v>702780824865873920</v>
      </c>
      <c r="F41" s="12" t="s">
        <v>103</v>
      </c>
      <c r="G41" s="13">
        <v>1050.0</v>
      </c>
      <c r="H41" s="13">
        <v>40.0</v>
      </c>
      <c r="I41" s="13">
        <v>3.0</v>
      </c>
      <c r="J41" s="13">
        <v>1.0</v>
      </c>
      <c r="K41" s="12" t="s">
        <v>21</v>
      </c>
      <c r="L41" s="7">
        <v>42293.27416666667</v>
      </c>
      <c r="M41" s="14" t="s">
        <v>172</v>
      </c>
      <c r="N41" s="14" t="s">
        <v>173</v>
      </c>
      <c r="O41" s="11" t="str">
        <f>HYPERLINK("https://pbs.twimg.com/profile_images/655014978101993476/ZpsnJW8B_normal.jpg","View")</f>
        <v>View</v>
      </c>
      <c r="P41" s="15"/>
    </row>
    <row r="42">
      <c r="A42" s="7">
        <v>42425.04375</v>
      </c>
      <c r="B42" s="8" t="str">
        <f>HYPERLINK("https://twitter.com/ameanmbot","@ameanmbot")</f>
        <v>@ameanmbot</v>
      </c>
      <c r="C42" s="10" t="s">
        <v>174</v>
      </c>
      <c r="D42" s="10" t="s">
        <v>175</v>
      </c>
      <c r="E42" s="11" t="str">
        <f>HYPERLINK("https://twitter.com/ameanmbot/status/702780826912755712","702780826912755712")</f>
        <v>702780826912755712</v>
      </c>
      <c r="F42" s="12" t="s">
        <v>176</v>
      </c>
      <c r="G42" s="13">
        <v>3291.0</v>
      </c>
      <c r="H42" s="13">
        <v>1.0</v>
      </c>
      <c r="I42" s="13">
        <v>3.0</v>
      </c>
      <c r="J42" s="13">
        <v>0.0</v>
      </c>
      <c r="K42" s="12" t="s">
        <v>21</v>
      </c>
      <c r="L42" s="7">
        <v>41814.009733796294</v>
      </c>
      <c r="M42" s="16"/>
      <c r="N42" s="14" t="s">
        <v>177</v>
      </c>
      <c r="O42" s="11" t="str">
        <f>HYPERLINK("https://pbs.twimg.com/profile_images/481334978161029120/iu3zZFEk_normal.png","View")</f>
        <v>View</v>
      </c>
      <c r="P42" s="15"/>
    </row>
    <row r="43">
      <c r="A43" s="7">
        <v>42425.0437962963</v>
      </c>
      <c r="B43" s="8" t="str">
        <f>HYPERLINK("https://twitter.com/anioko1","@anioko1")</f>
        <v>@anioko1</v>
      </c>
      <c r="C43" s="10" t="s">
        <v>178</v>
      </c>
      <c r="D43" s="10" t="s">
        <v>179</v>
      </c>
      <c r="E43" s="11" t="str">
        <f>HYPERLINK("https://twitter.com/anioko1/status/702780842289061888","702780842289061888")</f>
        <v>702780842289061888</v>
      </c>
      <c r="F43" s="12" t="s">
        <v>103</v>
      </c>
      <c r="G43" s="13">
        <v>527.0</v>
      </c>
      <c r="H43" s="13">
        <v>1936.0</v>
      </c>
      <c r="I43" s="13">
        <v>0.0</v>
      </c>
      <c r="J43" s="13">
        <v>1.0</v>
      </c>
      <c r="K43" s="12" t="s">
        <v>21</v>
      </c>
      <c r="L43" s="7">
        <v>40367.98541666666</v>
      </c>
      <c r="M43" s="14" t="s">
        <v>180</v>
      </c>
      <c r="N43" s="14" t="s">
        <v>181</v>
      </c>
      <c r="O43" s="11" t="str">
        <f>HYPERLINK("https://pbs.twimg.com/profile_images/695642719948009474/s9J4OUA9_normal.jpg","View")</f>
        <v>View</v>
      </c>
      <c r="P43" s="15"/>
    </row>
    <row r="44">
      <c r="A44" s="7">
        <v>42425.04394675926</v>
      </c>
      <c r="B44" s="8" t="str">
        <f>HYPERLINK("https://twitter.com/sam_et_max","@sam_et_max")</f>
        <v>@sam_et_max</v>
      </c>
      <c r="C44" s="10" t="s">
        <v>134</v>
      </c>
      <c r="D44" s="10" t="s">
        <v>182</v>
      </c>
      <c r="E44" s="11" t="str">
        <f>HYPERLINK("https://twitter.com/sam_et_max/status/702780895435030528","702780895435030528")</f>
        <v>702780895435030528</v>
      </c>
      <c r="F44" s="12" t="s">
        <v>20</v>
      </c>
      <c r="G44" s="13">
        <v>2277.0</v>
      </c>
      <c r="H44" s="13">
        <v>0.0</v>
      </c>
      <c r="I44" s="13">
        <v>4.0</v>
      </c>
      <c r="J44" s="13">
        <v>0.0</v>
      </c>
      <c r="K44" s="12" t="s">
        <v>21</v>
      </c>
      <c r="L44" s="7">
        <v>40967.05353009259</v>
      </c>
      <c r="M44" s="16"/>
      <c r="N44" s="14" t="s">
        <v>135</v>
      </c>
      <c r="O44" s="11" t="str">
        <f>HYPERLINK("https://pbs.twimg.com/profile_images/1859873928/img_Dog-and-rabbit_Thomas-SCHWEIZER_ref_150.001844.00_mode_zoom_normal.jpg","View")</f>
        <v>View</v>
      </c>
      <c r="P44" s="15"/>
    </row>
    <row r="45">
      <c r="A45" s="7">
        <v>42425.044074074074</v>
      </c>
      <c r="B45" s="8" t="str">
        <f>HYPERLINK("https://twitter.com/DengNerd","@DengNerd")</f>
        <v>@DengNerd</v>
      </c>
      <c r="C45" s="10" t="s">
        <v>183</v>
      </c>
      <c r="D45" s="10" t="s">
        <v>175</v>
      </c>
      <c r="E45" s="11" t="str">
        <f>HYPERLINK("https://twitter.com/DengNerd/status/702780943170408448","702780943170408448")</f>
        <v>702780943170408448</v>
      </c>
      <c r="F45" s="12" t="s">
        <v>152</v>
      </c>
      <c r="G45" s="13">
        <v>284.0</v>
      </c>
      <c r="H45" s="13">
        <v>566.0</v>
      </c>
      <c r="I45" s="13">
        <v>3.0</v>
      </c>
      <c r="J45" s="13">
        <v>0.0</v>
      </c>
      <c r="K45" s="12" t="s">
        <v>21</v>
      </c>
      <c r="L45" s="7">
        <v>41598.13453703704</v>
      </c>
      <c r="M45" s="14" t="s">
        <v>184</v>
      </c>
      <c r="N45" s="14" t="s">
        <v>185</v>
      </c>
      <c r="O45" s="11" t="str">
        <f>HYPERLINK("https://pbs.twimg.com/profile_images/697330517964943360/5b0RYntv_normal.jpg","View")</f>
        <v>View</v>
      </c>
      <c r="P45" s="15"/>
    </row>
    <row r="46">
      <c r="A46" s="7">
        <v>42425.04472222222</v>
      </c>
      <c r="B46" s="8" t="str">
        <f>HYPERLINK("https://twitter.com/nkhalasi","@nkhalasi")</f>
        <v>@nkhalasi</v>
      </c>
      <c r="C46" s="10" t="s">
        <v>186</v>
      </c>
      <c r="D46" s="10" t="s">
        <v>187</v>
      </c>
      <c r="E46" s="11" t="str">
        <f>HYPERLINK("https://twitter.com/nkhalasi/status/702781179947122688","702781179947122688")</f>
        <v>702781179947122688</v>
      </c>
      <c r="F46" s="12" t="s">
        <v>20</v>
      </c>
      <c r="G46" s="13">
        <v>146.0</v>
      </c>
      <c r="H46" s="13">
        <v>75.0</v>
      </c>
      <c r="I46" s="13">
        <v>0.0</v>
      </c>
      <c r="J46" s="13">
        <v>2.0</v>
      </c>
      <c r="K46" s="12" t="s">
        <v>21</v>
      </c>
      <c r="L46" s="7">
        <v>39532.333333333336</v>
      </c>
      <c r="M46" s="14" t="s">
        <v>188</v>
      </c>
      <c r="N46" s="14" t="s">
        <v>189</v>
      </c>
      <c r="O46" s="11" t="str">
        <f>HYPERLINK("https://pbs.twimg.com/profile_images/428552027581345794/PGQHBNKX_normal.png","View")</f>
        <v>View</v>
      </c>
      <c r="P46" s="15"/>
    </row>
    <row r="47">
      <c r="A47" s="7">
        <v>42425.04478009259</v>
      </c>
      <c r="B47" s="8" t="str">
        <f>HYPERLINK("https://twitter.com/burakkaracali","@burakkaracali")</f>
        <v>@burakkaracali</v>
      </c>
      <c r="C47" s="10" t="s">
        <v>190</v>
      </c>
      <c r="D47" s="10" t="s">
        <v>64</v>
      </c>
      <c r="E47" s="11" t="str">
        <f>HYPERLINK("https://twitter.com/burakkaracali/status/702781199467552768","702781199467552768")</f>
        <v>702781199467552768</v>
      </c>
      <c r="F47" s="12" t="s">
        <v>52</v>
      </c>
      <c r="G47" s="13">
        <v>180.0</v>
      </c>
      <c r="H47" s="13">
        <v>483.0</v>
      </c>
      <c r="I47" s="13">
        <v>7.0</v>
      </c>
      <c r="J47" s="13">
        <v>0.0</v>
      </c>
      <c r="K47" s="12" t="s">
        <v>21</v>
      </c>
      <c r="L47" s="7">
        <v>41020.6321875</v>
      </c>
      <c r="M47" s="16"/>
      <c r="N47" s="14" t="s">
        <v>191</v>
      </c>
      <c r="O47" s="11" t="str">
        <f>HYPERLINK("https://pbs.twimg.com/profile_images/470586945261686784/wtABZxRg_normal.jpeg","View")</f>
        <v>View</v>
      </c>
      <c r="P47" s="15"/>
    </row>
    <row r="48">
      <c r="A48" s="7">
        <v>42425.045081018514</v>
      </c>
      <c r="B48" s="8" t="str">
        <f>HYPERLINK("https://twitter.com/indizen_corp","@indizen_corp")</f>
        <v>@indizen_corp</v>
      </c>
      <c r="C48" s="10" t="s">
        <v>192</v>
      </c>
      <c r="D48" s="10" t="s">
        <v>193</v>
      </c>
      <c r="E48" s="11" t="str">
        <f>HYPERLINK("https://twitter.com/indizen_corp/status/702781306825023488","702781306825023488")</f>
        <v>702781306825023488</v>
      </c>
      <c r="F48" s="12" t="s">
        <v>20</v>
      </c>
      <c r="G48" s="13">
        <v>254.0</v>
      </c>
      <c r="H48" s="13">
        <v>620.0</v>
      </c>
      <c r="I48" s="13">
        <v>3.0</v>
      </c>
      <c r="J48" s="13">
        <v>1.0</v>
      </c>
      <c r="K48" s="12" t="s">
        <v>21</v>
      </c>
      <c r="L48" s="7">
        <v>41730.14409722222</v>
      </c>
      <c r="M48" s="14" t="s">
        <v>194</v>
      </c>
      <c r="N48" s="14" t="s">
        <v>195</v>
      </c>
      <c r="O48" s="11" t="str">
        <f>HYPERLINK("https://pbs.twimg.com/profile_images/451624128483577856/VZ-6izP7_normal.png","View")</f>
        <v>View</v>
      </c>
      <c r="P48" s="15"/>
    </row>
    <row r="49">
      <c r="A49" s="7">
        <v>42425.04516203704</v>
      </c>
      <c r="B49" s="8" t="str">
        <f>HYPERLINK("https://twitter.com/sagarhan_i","@sagarhan_i")</f>
        <v>@sagarhan_i</v>
      </c>
      <c r="C49" s="10" t="s">
        <v>196</v>
      </c>
      <c r="D49" s="10" t="s">
        <v>197</v>
      </c>
      <c r="E49" s="11" t="str">
        <f>HYPERLINK("https://twitter.com/sagarhan_i/status/702781335958474752","702781335958474752")</f>
        <v>702781335958474752</v>
      </c>
      <c r="F49" s="12" t="s">
        <v>152</v>
      </c>
      <c r="G49" s="13">
        <v>190.0</v>
      </c>
      <c r="H49" s="13">
        <v>349.0</v>
      </c>
      <c r="I49" s="13">
        <v>0.0</v>
      </c>
      <c r="J49" s="13">
        <v>3.0</v>
      </c>
      <c r="K49" s="12" t="s">
        <v>21</v>
      </c>
      <c r="L49" s="7">
        <v>41395.21851851852</v>
      </c>
      <c r="M49" s="14" t="s">
        <v>198</v>
      </c>
      <c r="N49" s="14" t="s">
        <v>199</v>
      </c>
      <c r="O49" s="11" t="str">
        <f>HYPERLINK("https://pbs.twimg.com/profile_images/693179262786891776/PSGan2Hb_normal.jpg","View")</f>
        <v>View</v>
      </c>
      <c r="P49" s="15"/>
    </row>
    <row r="50">
      <c r="A50" s="7">
        <v>42425.04597222222</v>
      </c>
      <c r="B50" s="8" t="str">
        <f>HYPERLINK("https://twitter.com/NoSQLDigest","@NoSQLDigest")</f>
        <v>@NoSQLDigest</v>
      </c>
      <c r="C50" s="10" t="s">
        <v>200</v>
      </c>
      <c r="D50" s="10" t="s">
        <v>201</v>
      </c>
      <c r="E50" s="11" t="str">
        <f>HYPERLINK("https://twitter.com/NoSQLDigest/status/702781628850962432","702781628850962432")</f>
        <v>702781628850962432</v>
      </c>
      <c r="F50" s="12" t="s">
        <v>202</v>
      </c>
      <c r="G50" s="13">
        <v>11375.0</v>
      </c>
      <c r="H50" s="13">
        <v>12.0</v>
      </c>
      <c r="I50" s="13">
        <v>1.0</v>
      </c>
      <c r="J50" s="13">
        <v>0.0</v>
      </c>
      <c r="K50" s="12" t="s">
        <v>21</v>
      </c>
      <c r="L50" s="7">
        <v>41854.421805555554</v>
      </c>
      <c r="M50" s="16"/>
      <c r="N50" s="14" t="s">
        <v>203</v>
      </c>
      <c r="O50" s="11" t="str">
        <f>HYPERLINK("https://pbs.twimg.com/profile_images/499257180009529344/CSWhr7LZ_normal.jpeg","View")</f>
        <v>View</v>
      </c>
      <c r="P50" s="15"/>
    </row>
    <row r="51">
      <c r="A51" s="7">
        <v>42425.046215277776</v>
      </c>
      <c r="B51" s="8" t="str">
        <f>HYPERLINK("https://twitter.com/mthipparthi","@mthipparthi")</f>
        <v>@mthipparthi</v>
      </c>
      <c r="C51" s="10" t="s">
        <v>143</v>
      </c>
      <c r="D51" s="10" t="s">
        <v>204</v>
      </c>
      <c r="E51" s="11" t="str">
        <f>HYPERLINK("https://twitter.com/mthipparthi/status/702781718663532544","702781718663532544")</f>
        <v>702781718663532544</v>
      </c>
      <c r="F51" s="12" t="s">
        <v>52</v>
      </c>
      <c r="G51" s="13">
        <v>103.0</v>
      </c>
      <c r="H51" s="13">
        <v>536.0</v>
      </c>
      <c r="I51" s="13">
        <v>3.0</v>
      </c>
      <c r="J51" s="13">
        <v>0.0</v>
      </c>
      <c r="K51" s="12" t="s">
        <v>21</v>
      </c>
      <c r="L51" s="7">
        <v>39954.14172453704</v>
      </c>
      <c r="M51" s="14" t="s">
        <v>145</v>
      </c>
      <c r="N51" s="14" t="s">
        <v>146</v>
      </c>
      <c r="O51" s="11" t="str">
        <f>HYPERLINK("https://abs.twimg.com/sticky/default_profile_images/default_profile_3_normal.png","View")</f>
        <v>View</v>
      </c>
      <c r="P51" s="15"/>
    </row>
    <row r="52">
      <c r="A52" s="7">
        <v>42425.04664351852</v>
      </c>
      <c r="B52" s="8" t="str">
        <f>HYPERLINK("https://twitter.com/NoSQLDigest","@NoSQLDigest")</f>
        <v>@NoSQLDigest</v>
      </c>
      <c r="C52" s="10" t="s">
        <v>200</v>
      </c>
      <c r="D52" s="10" t="s">
        <v>205</v>
      </c>
      <c r="E52" s="11" t="str">
        <f>HYPERLINK("https://twitter.com/NoSQLDigest/status/702781874528083968","702781874528083968")</f>
        <v>702781874528083968</v>
      </c>
      <c r="F52" s="12" t="s">
        <v>202</v>
      </c>
      <c r="G52" s="13">
        <v>11375.0</v>
      </c>
      <c r="H52" s="13">
        <v>12.0</v>
      </c>
      <c r="I52" s="13">
        <v>2.0</v>
      </c>
      <c r="J52" s="13">
        <v>0.0</v>
      </c>
      <c r="K52" s="12" t="s">
        <v>21</v>
      </c>
      <c r="L52" s="7">
        <v>41854.421805555554</v>
      </c>
      <c r="M52" s="16"/>
      <c r="N52" s="14" t="s">
        <v>203</v>
      </c>
      <c r="O52" s="11" t="str">
        <f>HYPERLINK("https://pbs.twimg.com/profile_images/499257180009529344/CSWhr7LZ_normal.jpeg","View")</f>
        <v>View</v>
      </c>
      <c r="P52" s="15"/>
    </row>
    <row r="53">
      <c r="A53" s="7">
        <v>42425.04699074074</v>
      </c>
      <c r="B53" s="8" t="str">
        <f>HYPERLINK("https://twitter.com/mtasic85","@mtasic85")</f>
        <v>@mtasic85</v>
      </c>
      <c r="C53" s="10" t="s">
        <v>206</v>
      </c>
      <c r="D53" s="10" t="s">
        <v>207</v>
      </c>
      <c r="E53" s="11" t="str">
        <f>HYPERLINK("https://twitter.com/mtasic85/status/702781998339858432","702781998339858432")</f>
        <v>702781998339858432</v>
      </c>
      <c r="F53" s="12" t="s">
        <v>52</v>
      </c>
      <c r="G53" s="13">
        <v>242.0</v>
      </c>
      <c r="H53" s="13">
        <v>603.0</v>
      </c>
      <c r="I53" s="13">
        <v>0.0</v>
      </c>
      <c r="J53" s="13">
        <v>0.0</v>
      </c>
      <c r="K53" s="12" t="s">
        <v>21</v>
      </c>
      <c r="L53" s="7">
        <v>39932.01300925926</v>
      </c>
      <c r="M53" s="14" t="s">
        <v>208</v>
      </c>
      <c r="N53" s="14" t="s">
        <v>209</v>
      </c>
      <c r="O53" s="11" t="str">
        <f>HYPERLINK("https://pbs.twimg.com/profile_images/514918940808450048/A34NDr2J_normal.jpeg","View")</f>
        <v>View</v>
      </c>
      <c r="P53" s="15"/>
    </row>
    <row r="54">
      <c r="A54" s="7">
        <v>42425.04802083333</v>
      </c>
      <c r="B54" s="8" t="str">
        <f t="shared" ref="B54:B61" si="3">HYPERLINK("https://twitter.com/artwisanggeni","@artwisanggeni")</f>
        <v>@artwisanggeni</v>
      </c>
      <c r="C54" s="10" t="s">
        <v>74</v>
      </c>
      <c r="D54" s="10" t="s">
        <v>210</v>
      </c>
      <c r="E54" s="11" t="str">
        <f>HYPERLINK("https://twitter.com/artwisanggeni/status/702782373469945856","702782373469945856")</f>
        <v>702782373469945856</v>
      </c>
      <c r="F54" s="17" t="s">
        <v>76</v>
      </c>
      <c r="G54" s="13">
        <v>236.0</v>
      </c>
      <c r="H54" s="13">
        <v>61.0</v>
      </c>
      <c r="I54" s="13">
        <v>0.0</v>
      </c>
      <c r="J54" s="13">
        <v>0.0</v>
      </c>
      <c r="K54" s="12" t="s">
        <v>21</v>
      </c>
      <c r="L54" s="7">
        <v>41218.90608796296</v>
      </c>
      <c r="M54" s="14" t="s">
        <v>77</v>
      </c>
      <c r="N54" s="14" t="s">
        <v>78</v>
      </c>
      <c r="O54" s="11" t="str">
        <f t="shared" ref="O54:O61" si="4">HYPERLINK("https://pbs.twimg.com/profile_images/2813636657/599521f69e2bc210a57323b64d8e39e6_normal.jpeg","View")</f>
        <v>View</v>
      </c>
      <c r="P54" s="15"/>
    </row>
    <row r="55">
      <c r="A55" s="7">
        <v>42425.04803240741</v>
      </c>
      <c r="B55" s="8" t="str">
        <f t="shared" si="3"/>
        <v>@artwisanggeni</v>
      </c>
      <c r="C55" s="10" t="s">
        <v>74</v>
      </c>
      <c r="D55" s="10" t="s">
        <v>211</v>
      </c>
      <c r="E55" s="11" t="str">
        <f>HYPERLINK("https://twitter.com/artwisanggeni/status/702782377358004224","702782377358004224")</f>
        <v>702782377358004224</v>
      </c>
      <c r="F55" s="17" t="s">
        <v>76</v>
      </c>
      <c r="G55" s="13">
        <v>236.0</v>
      </c>
      <c r="H55" s="13">
        <v>61.0</v>
      </c>
      <c r="I55" s="13">
        <v>0.0</v>
      </c>
      <c r="J55" s="13">
        <v>0.0</v>
      </c>
      <c r="K55" s="12" t="s">
        <v>21</v>
      </c>
      <c r="L55" s="7">
        <v>41218.90608796296</v>
      </c>
      <c r="M55" s="14" t="s">
        <v>77</v>
      </c>
      <c r="N55" s="14" t="s">
        <v>78</v>
      </c>
      <c r="O55" s="11" t="str">
        <f t="shared" si="4"/>
        <v>View</v>
      </c>
      <c r="P55" s="15"/>
    </row>
    <row r="56">
      <c r="A56" s="7">
        <v>42425.048043981486</v>
      </c>
      <c r="B56" s="8" t="str">
        <f t="shared" si="3"/>
        <v>@artwisanggeni</v>
      </c>
      <c r="C56" s="10" t="s">
        <v>74</v>
      </c>
      <c r="D56" s="10" t="s">
        <v>212</v>
      </c>
      <c r="E56" s="11" t="str">
        <f>HYPERLINK("https://twitter.com/artwisanggeni/status/702782381493608448","702782381493608448")</f>
        <v>702782381493608448</v>
      </c>
      <c r="F56" s="17" t="s">
        <v>76</v>
      </c>
      <c r="G56" s="13">
        <v>236.0</v>
      </c>
      <c r="H56" s="13">
        <v>61.0</v>
      </c>
      <c r="I56" s="13">
        <v>0.0</v>
      </c>
      <c r="J56" s="13">
        <v>0.0</v>
      </c>
      <c r="K56" s="12" t="s">
        <v>21</v>
      </c>
      <c r="L56" s="7">
        <v>41218.90608796296</v>
      </c>
      <c r="M56" s="14" t="s">
        <v>77</v>
      </c>
      <c r="N56" s="14" t="s">
        <v>78</v>
      </c>
      <c r="O56" s="11" t="str">
        <f t="shared" si="4"/>
        <v>View</v>
      </c>
      <c r="P56" s="15"/>
    </row>
    <row r="57">
      <c r="A57" s="7">
        <v>42425.048055555555</v>
      </c>
      <c r="B57" s="8" t="str">
        <f t="shared" si="3"/>
        <v>@artwisanggeni</v>
      </c>
      <c r="C57" s="10" t="s">
        <v>74</v>
      </c>
      <c r="D57" s="10" t="s">
        <v>213</v>
      </c>
      <c r="E57" s="11" t="str">
        <f>HYPERLINK("https://twitter.com/artwisanggeni/status/702782384438013952","702782384438013952")</f>
        <v>702782384438013952</v>
      </c>
      <c r="F57" s="17" t="s">
        <v>76</v>
      </c>
      <c r="G57" s="13">
        <v>236.0</v>
      </c>
      <c r="H57" s="13">
        <v>61.0</v>
      </c>
      <c r="I57" s="13">
        <v>0.0</v>
      </c>
      <c r="J57" s="13">
        <v>1.0</v>
      </c>
      <c r="K57" s="12" t="s">
        <v>21</v>
      </c>
      <c r="L57" s="7">
        <v>41218.90608796296</v>
      </c>
      <c r="M57" s="14" t="s">
        <v>77</v>
      </c>
      <c r="N57" s="14" t="s">
        <v>78</v>
      </c>
      <c r="O57" s="11" t="str">
        <f t="shared" si="4"/>
        <v>View</v>
      </c>
      <c r="P57" s="15"/>
    </row>
    <row r="58">
      <c r="A58" s="7">
        <v>42425.048067129625</v>
      </c>
      <c r="B58" s="8" t="str">
        <f t="shared" si="3"/>
        <v>@artwisanggeni</v>
      </c>
      <c r="C58" s="10" t="s">
        <v>74</v>
      </c>
      <c r="D58" s="10" t="s">
        <v>214</v>
      </c>
      <c r="E58" s="11" t="str">
        <f>HYPERLINK("https://twitter.com/artwisanggeni/status/702782387969601536","702782387969601536")</f>
        <v>702782387969601536</v>
      </c>
      <c r="F58" s="17" t="s">
        <v>76</v>
      </c>
      <c r="G58" s="13">
        <v>236.0</v>
      </c>
      <c r="H58" s="13">
        <v>61.0</v>
      </c>
      <c r="I58" s="13">
        <v>0.0</v>
      </c>
      <c r="J58" s="13">
        <v>0.0</v>
      </c>
      <c r="K58" s="12" t="s">
        <v>21</v>
      </c>
      <c r="L58" s="7">
        <v>41218.90608796296</v>
      </c>
      <c r="M58" s="14" t="s">
        <v>77</v>
      </c>
      <c r="N58" s="14" t="s">
        <v>78</v>
      </c>
      <c r="O58" s="11" t="str">
        <f t="shared" si="4"/>
        <v>View</v>
      </c>
      <c r="P58" s="15"/>
    </row>
    <row r="59">
      <c r="A59" s="7">
        <v>42425.048067129625</v>
      </c>
      <c r="B59" s="8" t="str">
        <f t="shared" si="3"/>
        <v>@artwisanggeni</v>
      </c>
      <c r="C59" s="10" t="s">
        <v>74</v>
      </c>
      <c r="D59" s="10" t="s">
        <v>215</v>
      </c>
      <c r="E59" s="11" t="str">
        <f>HYPERLINK("https://twitter.com/artwisanggeni/status/702782391383777280","702782391383777280")</f>
        <v>702782391383777280</v>
      </c>
      <c r="F59" s="17" t="s">
        <v>76</v>
      </c>
      <c r="G59" s="13">
        <v>236.0</v>
      </c>
      <c r="H59" s="13">
        <v>61.0</v>
      </c>
      <c r="I59" s="13">
        <v>0.0</v>
      </c>
      <c r="J59" s="13">
        <v>0.0</v>
      </c>
      <c r="K59" s="12" t="s">
        <v>21</v>
      </c>
      <c r="L59" s="7">
        <v>41218.90608796296</v>
      </c>
      <c r="M59" s="14" t="s">
        <v>77</v>
      </c>
      <c r="N59" s="14" t="s">
        <v>78</v>
      </c>
      <c r="O59" s="11" t="str">
        <f t="shared" si="4"/>
        <v>View</v>
      </c>
      <c r="P59" s="15"/>
    </row>
    <row r="60">
      <c r="A60" s="7">
        <v>42425.04807870371</v>
      </c>
      <c r="B60" s="8" t="str">
        <f t="shared" si="3"/>
        <v>@artwisanggeni</v>
      </c>
      <c r="C60" s="10" t="s">
        <v>74</v>
      </c>
      <c r="D60" s="10" t="s">
        <v>216</v>
      </c>
      <c r="E60" s="11" t="str">
        <f>HYPERLINK("https://twitter.com/artwisanggeni/status/702782394495954944","702782394495954944")</f>
        <v>702782394495954944</v>
      </c>
      <c r="F60" s="17" t="s">
        <v>76</v>
      </c>
      <c r="G60" s="13">
        <v>236.0</v>
      </c>
      <c r="H60" s="13">
        <v>61.0</v>
      </c>
      <c r="I60" s="13">
        <v>0.0</v>
      </c>
      <c r="J60" s="13">
        <v>0.0</v>
      </c>
      <c r="K60" s="12" t="s">
        <v>21</v>
      </c>
      <c r="L60" s="7">
        <v>41218.90608796296</v>
      </c>
      <c r="M60" s="14" t="s">
        <v>77</v>
      </c>
      <c r="N60" s="14" t="s">
        <v>78</v>
      </c>
      <c r="O60" s="11" t="str">
        <f t="shared" si="4"/>
        <v>View</v>
      </c>
      <c r="P60" s="15"/>
    </row>
    <row r="61">
      <c r="A61" s="7">
        <v>42425.04809027778</v>
      </c>
      <c r="B61" s="8" t="str">
        <f t="shared" si="3"/>
        <v>@artwisanggeni</v>
      </c>
      <c r="C61" s="10" t="s">
        <v>74</v>
      </c>
      <c r="D61" s="10" t="s">
        <v>217</v>
      </c>
      <c r="E61" s="11" t="str">
        <f>HYPERLINK("https://twitter.com/artwisanggeni/status/702782397536825344","702782397536825344")</f>
        <v>702782397536825344</v>
      </c>
      <c r="F61" s="17" t="s">
        <v>76</v>
      </c>
      <c r="G61" s="13">
        <v>236.0</v>
      </c>
      <c r="H61" s="13">
        <v>61.0</v>
      </c>
      <c r="I61" s="13">
        <v>0.0</v>
      </c>
      <c r="J61" s="13">
        <v>0.0</v>
      </c>
      <c r="K61" s="12" t="s">
        <v>21</v>
      </c>
      <c r="L61" s="7">
        <v>41218.90608796296</v>
      </c>
      <c r="M61" s="14" t="s">
        <v>77</v>
      </c>
      <c r="N61" s="14" t="s">
        <v>78</v>
      </c>
      <c r="O61" s="11" t="str">
        <f t="shared" si="4"/>
        <v>View</v>
      </c>
      <c r="P61" s="15"/>
    </row>
    <row r="62">
      <c r="A62" s="7">
        <v>42425.0484375</v>
      </c>
      <c r="B62" s="8" t="str">
        <f>HYPERLINK("https://twitter.com/UNickels","@UNickels")</f>
        <v>@UNickels</v>
      </c>
      <c r="C62" s="10" t="s">
        <v>218</v>
      </c>
      <c r="D62" s="10" t="s">
        <v>219</v>
      </c>
      <c r="E62" s="11" t="str">
        <f>HYPERLINK("https://twitter.com/UNickels/status/702782522380390400","702782522380390400")</f>
        <v>702782522380390400</v>
      </c>
      <c r="F62" s="12" t="s">
        <v>20</v>
      </c>
      <c r="G62" s="13">
        <v>888.0</v>
      </c>
      <c r="H62" s="13">
        <v>919.0</v>
      </c>
      <c r="I62" s="13">
        <v>2.0</v>
      </c>
      <c r="J62" s="13">
        <v>0.0</v>
      </c>
      <c r="K62" s="12" t="s">
        <v>21</v>
      </c>
      <c r="L62" s="7">
        <v>39988.21403935185</v>
      </c>
      <c r="M62" s="14" t="s">
        <v>220</v>
      </c>
      <c r="N62" s="14" t="s">
        <v>221</v>
      </c>
      <c r="O62" s="11" t="str">
        <f>HYPERLINK("https://pbs.twimg.com/profile_images/694979435557216257/uW1T5O0d_normal.jpg","View")</f>
        <v>View</v>
      </c>
      <c r="P62" s="15"/>
    </row>
    <row r="63">
      <c r="A63" s="7">
        <v>42425.05027777777</v>
      </c>
      <c r="B63" s="8" t="str">
        <f>HYPERLINK("https://twitter.com/JoshuaLongUK","@JoshuaLongUK")</f>
        <v>@JoshuaLongUK</v>
      </c>
      <c r="C63" s="10" t="s">
        <v>101</v>
      </c>
      <c r="D63" s="10" t="s">
        <v>222</v>
      </c>
      <c r="E63" s="11" t="str">
        <f>HYPERLINK("https://twitter.com/JoshuaLongUK/status/702783189757140992","702783189757140992")</f>
        <v>702783189757140992</v>
      </c>
      <c r="F63" s="12" t="s">
        <v>103</v>
      </c>
      <c r="G63" s="13">
        <v>25832.0</v>
      </c>
      <c r="H63" s="13">
        <v>93.0</v>
      </c>
      <c r="I63" s="13">
        <v>0.0</v>
      </c>
      <c r="J63" s="13">
        <v>0.0</v>
      </c>
      <c r="K63" s="12" t="s">
        <v>21</v>
      </c>
      <c r="L63" s="7">
        <v>41149.39659722222</v>
      </c>
      <c r="M63" s="14" t="s">
        <v>104</v>
      </c>
      <c r="N63" s="14" t="s">
        <v>105</v>
      </c>
      <c r="O63" s="11" t="str">
        <f>HYPERLINK("https://pbs.twimg.com/profile_images/627996138403168256/DaASdgVr_normal.jpg","View")</f>
        <v>View</v>
      </c>
      <c r="P63" s="15"/>
    </row>
    <row r="64">
      <c r="A64" s="7">
        <v>42425.05076388889</v>
      </c>
      <c r="B64" s="8" t="str">
        <f>HYPERLINK("https://twitter.com/avifreedman","@avifreedman")</f>
        <v>@avifreedman</v>
      </c>
      <c r="C64" s="10" t="s">
        <v>223</v>
      </c>
      <c r="D64" s="10" t="s">
        <v>224</v>
      </c>
      <c r="E64" s="11" t="str">
        <f>HYPERLINK("https://twitter.com/avifreedman/status/702783366509105152","702783366509105152")</f>
        <v>702783366509105152</v>
      </c>
      <c r="F64" s="12" t="s">
        <v>52</v>
      </c>
      <c r="G64" s="13">
        <v>647.0</v>
      </c>
      <c r="H64" s="13">
        <v>423.0</v>
      </c>
      <c r="I64" s="13">
        <v>1.0</v>
      </c>
      <c r="J64" s="13">
        <v>0.0</v>
      </c>
      <c r="K64" s="12" t="s">
        <v>21</v>
      </c>
      <c r="L64" s="7">
        <v>39780.39068287037</v>
      </c>
      <c r="M64" s="14" t="s">
        <v>69</v>
      </c>
      <c r="N64" s="14" t="s">
        <v>225</v>
      </c>
      <c r="O64" s="11" t="str">
        <f>HYPERLINK("https://pbs.twimg.com/profile_images/1610221178/recent-avigail_normal.jpg","View")</f>
        <v>View</v>
      </c>
      <c r="P64" s="15"/>
    </row>
    <row r="65">
      <c r="A65" s="7">
        <v>42425.050891203704</v>
      </c>
      <c r="B65" s="8" t="str">
        <f>HYPERLINK("https://twitter.com/Newskarnataka","@Newskarnataka")</f>
        <v>@Newskarnataka</v>
      </c>
      <c r="C65" s="10" t="s">
        <v>226</v>
      </c>
      <c r="D65" s="10" t="s">
        <v>227</v>
      </c>
      <c r="E65" s="11" t="str">
        <f>HYPERLINK("https://twitter.com/Newskarnataka/status/702783415301464064","702783415301464064")</f>
        <v>702783415301464064</v>
      </c>
      <c r="F65" s="12" t="s">
        <v>20</v>
      </c>
      <c r="G65" s="13">
        <v>962.0</v>
      </c>
      <c r="H65" s="13">
        <v>371.0</v>
      </c>
      <c r="I65" s="13">
        <v>1.0</v>
      </c>
      <c r="J65" s="13">
        <v>0.0</v>
      </c>
      <c r="K65" s="12" t="s">
        <v>21</v>
      </c>
      <c r="L65" s="7">
        <v>41100.09266203704</v>
      </c>
      <c r="M65" s="14" t="s">
        <v>228</v>
      </c>
      <c r="N65" s="14" t="s">
        <v>229</v>
      </c>
      <c r="O65" s="11" t="str">
        <f>HYPERLINK("https://pbs.twimg.com/profile_images/598055666276663297/hSezgt1P_normal.png","View")</f>
        <v>View</v>
      </c>
      <c r="P65" s="15"/>
    </row>
    <row r="66">
      <c r="A66" s="7">
        <v>42425.05516203704</v>
      </c>
      <c r="B66" s="8" t="str">
        <f>HYPERLINK("https://twitter.com/yapw","@yapw")</f>
        <v>@yapw</v>
      </c>
      <c r="C66" s="10" t="s">
        <v>230</v>
      </c>
      <c r="D66" s="10" t="s">
        <v>231</v>
      </c>
      <c r="E66" s="11" t="str">
        <f>HYPERLINK("https://twitter.com/yapw/status/702784959707279362","702784959707279362")</f>
        <v>702784959707279362</v>
      </c>
      <c r="F66" s="12" t="s">
        <v>152</v>
      </c>
      <c r="G66" s="13">
        <v>99.0</v>
      </c>
      <c r="H66" s="13">
        <v>117.0</v>
      </c>
      <c r="I66" s="13">
        <v>3.0</v>
      </c>
      <c r="J66" s="13">
        <v>0.0</v>
      </c>
      <c r="K66" s="12" t="s">
        <v>21</v>
      </c>
      <c r="L66" s="7">
        <v>39940.47337962963</v>
      </c>
      <c r="M66" s="14" t="s">
        <v>232</v>
      </c>
      <c r="N66" s="14" t="s">
        <v>233</v>
      </c>
      <c r="O66" s="11" t="str">
        <f>HYPERLINK("https://pbs.twimg.com/profile_images/993523587/mig21_normal.jpeg","View")</f>
        <v>View</v>
      </c>
      <c r="P66" s="15"/>
    </row>
    <row r="67">
      <c r="A67" s="7">
        <v>42425.05583333333</v>
      </c>
      <c r="B67" s="8" t="str">
        <f>HYPERLINK("https://twitter.com/CodeSportIO","@CodeSportIO")</f>
        <v>@CodeSportIO</v>
      </c>
      <c r="C67" s="10" t="s">
        <v>234</v>
      </c>
      <c r="D67" s="10" t="s">
        <v>235</v>
      </c>
      <c r="E67" s="11" t="str">
        <f>HYPERLINK("https://twitter.com/CodeSportIO/status/702785204834824192","702785204834824192")</f>
        <v>702785204834824192</v>
      </c>
      <c r="F67" s="12" t="s">
        <v>236</v>
      </c>
      <c r="G67" s="13">
        <v>31.0</v>
      </c>
      <c r="H67" s="13">
        <v>16.0</v>
      </c>
      <c r="I67" s="13">
        <v>0.0</v>
      </c>
      <c r="J67" s="13">
        <v>1.0</v>
      </c>
      <c r="K67" s="12" t="s">
        <v>21</v>
      </c>
      <c r="L67" s="7">
        <v>41298.70696759259</v>
      </c>
      <c r="M67" s="14" t="s">
        <v>237</v>
      </c>
      <c r="N67" s="14" t="s">
        <v>238</v>
      </c>
      <c r="O67" s="11" t="str">
        <f>HYPERLINK("https://pbs.twimg.com/profile_images/664911003805614080/lgGDxakw_normal.png","View")</f>
        <v>View</v>
      </c>
      <c r="P67" s="15"/>
    </row>
    <row r="68">
      <c r="A68" s="7">
        <v>42425.05606481481</v>
      </c>
      <c r="B68" s="8" t="str">
        <f>HYPERLINK("https://twitter.com/Shahor","@Shahor")</f>
        <v>@Shahor</v>
      </c>
      <c r="C68" s="10" t="s">
        <v>239</v>
      </c>
      <c r="D68" s="10" t="s">
        <v>120</v>
      </c>
      <c r="E68" s="11" t="str">
        <f>HYPERLINK("https://twitter.com/Shahor/status/702785288599441408","702785288599441408")</f>
        <v>702785288599441408</v>
      </c>
      <c r="F68" s="12" t="s">
        <v>240</v>
      </c>
      <c r="G68" s="13">
        <v>478.0</v>
      </c>
      <c r="H68" s="13">
        <v>533.0</v>
      </c>
      <c r="I68" s="13">
        <v>7.0</v>
      </c>
      <c r="J68" s="13">
        <v>0.0</v>
      </c>
      <c r="K68" s="12" t="s">
        <v>21</v>
      </c>
      <c r="L68" s="7">
        <v>39982.22678240741</v>
      </c>
      <c r="M68" s="14" t="s">
        <v>241</v>
      </c>
      <c r="N68" s="14" t="s">
        <v>242</v>
      </c>
      <c r="O68" s="11" t="str">
        <f>HYPERLINK("https://pbs.twimg.com/profile_images/577766423025573889/hFkOWr5f_normal.jpeg","View")</f>
        <v>View</v>
      </c>
      <c r="P68" s="15"/>
    </row>
    <row r="69">
      <c r="A69" s="7">
        <v>42425.056342592594</v>
      </c>
      <c r="B69" s="8" t="str">
        <f>HYPERLINK("https://twitter.com/CloudNumNine","@CloudNumNine")</f>
        <v>@CloudNumNine</v>
      </c>
      <c r="C69" s="10" t="s">
        <v>243</v>
      </c>
      <c r="D69" s="10" t="s">
        <v>244</v>
      </c>
      <c r="E69" s="11" t="str">
        <f>HYPERLINK("https://twitter.com/CloudNumNine/status/702785389287739393","702785389287739393")</f>
        <v>702785389287739393</v>
      </c>
      <c r="F69" s="12" t="s">
        <v>20</v>
      </c>
      <c r="G69" s="13">
        <v>69.0</v>
      </c>
      <c r="H69" s="13">
        <v>67.0</v>
      </c>
      <c r="I69" s="13">
        <v>16.0</v>
      </c>
      <c r="J69" s="13">
        <v>0.0</v>
      </c>
      <c r="K69" s="12" t="s">
        <v>21</v>
      </c>
      <c r="L69" s="7">
        <v>42187.28357638889</v>
      </c>
      <c r="M69" s="16"/>
      <c r="N69" s="16"/>
      <c r="O69" s="11" t="str">
        <f>HYPERLINK("https://pbs.twimg.com/profile_images/617386896621182976/t50ecd9s_normal.jpg","View")</f>
        <v>View</v>
      </c>
      <c r="P69" s="15"/>
    </row>
    <row r="70">
      <c r="A70" s="7">
        <v>42425.058483796296</v>
      </c>
      <c r="B70" s="8" t="str">
        <f>HYPERLINK("https://twitter.com/ramalhoorg","@ramalhoorg")</f>
        <v>@ramalhoorg</v>
      </c>
      <c r="C70" s="10" t="s">
        <v>245</v>
      </c>
      <c r="D70" s="10" t="s">
        <v>246</v>
      </c>
      <c r="E70" s="11" t="str">
        <f>HYPERLINK("https://twitter.com/ramalhoorg/status/702786163988406272","702786163988406272")</f>
        <v>702786163988406272</v>
      </c>
      <c r="F70" s="12" t="s">
        <v>20</v>
      </c>
      <c r="G70" s="13">
        <v>3563.0</v>
      </c>
      <c r="H70" s="13">
        <v>589.0</v>
      </c>
      <c r="I70" s="13">
        <v>2.0</v>
      </c>
      <c r="J70" s="13">
        <v>2.0</v>
      </c>
      <c r="K70" s="12" t="s">
        <v>21</v>
      </c>
      <c r="L70" s="7">
        <v>40341.35773148148</v>
      </c>
      <c r="M70" s="14" t="s">
        <v>247</v>
      </c>
      <c r="N70" s="14" t="s">
        <v>248</v>
      </c>
      <c r="O70" s="11" t="str">
        <f>HYPERLINK("https://pbs.twimg.com/profile_images/1965442221/lr-stanford-wider_normal.jpg","View")</f>
        <v>View</v>
      </c>
      <c r="P70" s="15"/>
    </row>
    <row r="71">
      <c r="A71" s="7">
        <v>42425.058854166666</v>
      </c>
      <c r="B71" s="8" t="str">
        <f>HYPERLINK("https://twitter.com/cool_python","@cool_python")</f>
        <v>@cool_python</v>
      </c>
      <c r="C71" s="10" t="s">
        <v>249</v>
      </c>
      <c r="D71" s="10" t="s">
        <v>250</v>
      </c>
      <c r="E71" s="11" t="str">
        <f>HYPERLINK("https://twitter.com/cool_python/status/702786300026482688","702786300026482688")</f>
        <v>702786300026482688</v>
      </c>
      <c r="F71" s="12" t="s">
        <v>251</v>
      </c>
      <c r="G71" s="13">
        <v>235.0</v>
      </c>
      <c r="H71" s="13">
        <v>91.0</v>
      </c>
      <c r="I71" s="13">
        <v>2.0</v>
      </c>
      <c r="J71" s="13">
        <v>0.0</v>
      </c>
      <c r="K71" s="12" t="s">
        <v>21</v>
      </c>
      <c r="L71" s="7">
        <v>42064.325</v>
      </c>
      <c r="M71" s="14" t="s">
        <v>252</v>
      </c>
      <c r="N71" s="14" t="s">
        <v>253</v>
      </c>
      <c r="O71" s="11" t="str">
        <f>HYPERLINK("https://pbs.twimg.com/profile_images/572091631055028224/Pkx__FSB_normal.png","View")</f>
        <v>View</v>
      </c>
      <c r="P71" s="15"/>
    </row>
    <row r="72">
      <c r="A72" s="7">
        <v>42425.05887731482</v>
      </c>
      <c r="B72" s="8" t="str">
        <f>HYPERLINK("https://twitter.com/cclai999","@cclai999")</f>
        <v>@cclai999</v>
      </c>
      <c r="C72" s="10" t="s">
        <v>254</v>
      </c>
      <c r="D72" s="10" t="s">
        <v>255</v>
      </c>
      <c r="E72" s="11" t="str">
        <f>HYPERLINK("https://twitter.com/cclai999/status/702786308410777600","702786308410777600")</f>
        <v>702786308410777600</v>
      </c>
      <c r="F72" s="12" t="s">
        <v>152</v>
      </c>
      <c r="G72" s="13">
        <v>58.0</v>
      </c>
      <c r="H72" s="13">
        <v>174.0</v>
      </c>
      <c r="I72" s="13">
        <v>5.0</v>
      </c>
      <c r="J72" s="13">
        <v>0.0</v>
      </c>
      <c r="K72" s="12" t="s">
        <v>21</v>
      </c>
      <c r="L72" s="7">
        <v>40067.759988425925</v>
      </c>
      <c r="M72" s="14" t="s">
        <v>256</v>
      </c>
      <c r="N72" s="14" t="s">
        <v>257</v>
      </c>
      <c r="O72" s="11" t="str">
        <f>HYPERLINK("https://pbs.twimg.com/profile_images/524123896782409728/ufH2Q-Q4_normal.jpeg","View")</f>
        <v>View</v>
      </c>
      <c r="P72" s="15"/>
    </row>
    <row r="73">
      <c r="A73" s="7">
        <v>42425.05914351852</v>
      </c>
      <c r="B73" s="8" t="str">
        <f>HYPERLINK("https://twitter.com/MorrisAcademy2","@MorrisAcademy2")</f>
        <v>@MorrisAcademy2</v>
      </c>
      <c r="C73" s="10" t="s">
        <v>258</v>
      </c>
      <c r="D73" s="10" t="s">
        <v>259</v>
      </c>
      <c r="E73" s="11" t="str">
        <f>HYPERLINK("https://twitter.com/MorrisAcademy2/status/702786402371641345","702786402371641345")</f>
        <v>702786402371641345</v>
      </c>
      <c r="F73" s="12" t="s">
        <v>20</v>
      </c>
      <c r="G73" s="13">
        <v>104.0</v>
      </c>
      <c r="H73" s="13">
        <v>41.0</v>
      </c>
      <c r="I73" s="13">
        <v>2.0</v>
      </c>
      <c r="J73" s="13">
        <v>0.0</v>
      </c>
      <c r="K73" s="12" t="s">
        <v>21</v>
      </c>
      <c r="L73" s="7">
        <v>42254.461597222224</v>
      </c>
      <c r="M73" s="14" t="s">
        <v>260</v>
      </c>
      <c r="N73" s="14" t="s">
        <v>261</v>
      </c>
      <c r="O73" s="11" t="str">
        <f>HYPERLINK("https://pbs.twimg.com/profile_images/640949770069102592/R0MfPjdL_normal.jpg","View")</f>
        <v>View</v>
      </c>
      <c r="P73" s="15"/>
    </row>
    <row r="74">
      <c r="A74" s="7">
        <v>42425.05982638889</v>
      </c>
      <c r="B74" s="8" t="str">
        <f t="shared" ref="B74:B75" si="5">HYPERLINK("https://twitter.com/programmingncr","@programmingncr")</f>
        <v>@programmingncr</v>
      </c>
      <c r="C74" s="10" t="s">
        <v>262</v>
      </c>
      <c r="D74" s="10" t="s">
        <v>263</v>
      </c>
      <c r="E74" s="11" t="str">
        <f>HYPERLINK("https://twitter.com/programmingncr/status/702786650435403776","702786650435403776")</f>
        <v>702786650435403776</v>
      </c>
      <c r="F74" s="12" t="s">
        <v>103</v>
      </c>
      <c r="G74" s="13">
        <v>328.0</v>
      </c>
      <c r="H74" s="13">
        <v>99.0</v>
      </c>
      <c r="I74" s="13">
        <v>0.0</v>
      </c>
      <c r="J74" s="13">
        <v>0.0</v>
      </c>
      <c r="K74" s="12" t="s">
        <v>21</v>
      </c>
      <c r="L74" s="7">
        <v>42220.86634259259</v>
      </c>
      <c r="M74" s="14" t="s">
        <v>264</v>
      </c>
      <c r="N74" s="14" t="s">
        <v>265</v>
      </c>
      <c r="O74" s="11" t="str">
        <f t="shared" ref="O74:O75" si="6">HYPERLINK("https://pbs.twimg.com/profile_images/662602436222193664/qKuvsfnG_normal.jpg","View")</f>
        <v>View</v>
      </c>
      <c r="P74" s="15"/>
    </row>
    <row r="75">
      <c r="A75" s="7">
        <v>42425.05982638889</v>
      </c>
      <c r="B75" s="8" t="str">
        <f t="shared" si="5"/>
        <v>@programmingncr</v>
      </c>
      <c r="C75" s="10" t="s">
        <v>262</v>
      </c>
      <c r="D75" s="10" t="s">
        <v>266</v>
      </c>
      <c r="E75" s="11" t="str">
        <f>HYPERLINK("https://twitter.com/programmingncr/status/702786651702075392","702786651702075392")</f>
        <v>702786651702075392</v>
      </c>
      <c r="F75" s="12" t="s">
        <v>103</v>
      </c>
      <c r="G75" s="13">
        <v>328.0</v>
      </c>
      <c r="H75" s="13">
        <v>99.0</v>
      </c>
      <c r="I75" s="13">
        <v>0.0</v>
      </c>
      <c r="J75" s="13">
        <v>0.0</v>
      </c>
      <c r="K75" s="12" t="s">
        <v>21</v>
      </c>
      <c r="L75" s="7">
        <v>42220.86634259259</v>
      </c>
      <c r="M75" s="14" t="s">
        <v>264</v>
      </c>
      <c r="N75" s="14" t="s">
        <v>265</v>
      </c>
      <c r="O75" s="11" t="str">
        <f t="shared" si="6"/>
        <v>View</v>
      </c>
      <c r="P75" s="15"/>
    </row>
    <row r="76">
      <c r="A76" s="7">
        <v>42425.05990740741</v>
      </c>
      <c r="B76" s="8" t="str">
        <f>HYPERLINK("https://twitter.com/PythonBooks","@PythonBooks")</f>
        <v>@PythonBooks</v>
      </c>
      <c r="C76" s="10" t="s">
        <v>267</v>
      </c>
      <c r="D76" s="10" t="s">
        <v>268</v>
      </c>
      <c r="E76" s="11" t="str">
        <f>HYPERLINK("https://twitter.com/PythonBooks/status/702786680281894912","702786680281894912")</f>
        <v>702786680281894912</v>
      </c>
      <c r="F76" s="12" t="s">
        <v>20</v>
      </c>
      <c r="G76" s="13">
        <v>20.0</v>
      </c>
      <c r="H76" s="13">
        <v>70.0</v>
      </c>
      <c r="I76" s="13">
        <v>1.0</v>
      </c>
      <c r="J76" s="13">
        <v>0.0</v>
      </c>
      <c r="K76" s="12" t="s">
        <v>21</v>
      </c>
      <c r="L76" s="7">
        <v>42424.13631944444</v>
      </c>
      <c r="M76" s="14" t="s">
        <v>269</v>
      </c>
      <c r="N76" s="14" t="s">
        <v>270</v>
      </c>
      <c r="O76" s="11" t="str">
        <f>HYPERLINK("https://pbs.twimg.com/profile_images/702455638157168640/AeDgtn0C_normal.jpg","View")</f>
        <v>View</v>
      </c>
      <c r="P76" s="15"/>
    </row>
    <row r="77">
      <c r="A77" s="7">
        <v>42425.060266203705</v>
      </c>
      <c r="B77" s="8" t="str">
        <f>HYPERLINK("https://twitter.com/drizzt__dourden","@drizzt__dourden")</f>
        <v>@drizzt__dourden</v>
      </c>
      <c r="C77" s="10" t="s">
        <v>271</v>
      </c>
      <c r="D77" s="10" t="s">
        <v>231</v>
      </c>
      <c r="E77" s="11" t="str">
        <f>HYPERLINK("https://twitter.com/drizzt__dourden/status/702786811425329152","702786811425329152")</f>
        <v>702786811425329152</v>
      </c>
      <c r="F77" s="12" t="s">
        <v>52</v>
      </c>
      <c r="G77" s="13">
        <v>614.0</v>
      </c>
      <c r="H77" s="13">
        <v>402.0</v>
      </c>
      <c r="I77" s="13">
        <v>3.0</v>
      </c>
      <c r="J77" s="13">
        <v>0.0</v>
      </c>
      <c r="K77" s="12" t="s">
        <v>21</v>
      </c>
      <c r="L77" s="7">
        <v>40065.479004629626</v>
      </c>
      <c r="M77" s="14" t="s">
        <v>272</v>
      </c>
      <c r="N77" s="14" t="s">
        <v>273</v>
      </c>
      <c r="O77" s="11" t="str">
        <f>HYPERLINK("https://pbs.twimg.com/profile_images/417063929/250px-DrizztOmnibus.JPG_normal.jpg","View")</f>
        <v>View</v>
      </c>
      <c r="P77" s="15"/>
    </row>
    <row r="78">
      <c r="A78" s="7">
        <v>42425.06045138889</v>
      </c>
      <c r="B78" s="8" t="str">
        <f>HYPERLINK("https://twitter.com/PythonBooks","@PythonBooks")</f>
        <v>@PythonBooks</v>
      </c>
      <c r="C78" s="10" t="s">
        <v>267</v>
      </c>
      <c r="D78" s="10" t="s">
        <v>250</v>
      </c>
      <c r="E78" s="11" t="str">
        <f>HYPERLINK("https://twitter.com/PythonBooks/status/702786876168536064","702786876168536064")</f>
        <v>702786876168536064</v>
      </c>
      <c r="F78" s="12" t="s">
        <v>20</v>
      </c>
      <c r="G78" s="13">
        <v>20.0</v>
      </c>
      <c r="H78" s="13">
        <v>70.0</v>
      </c>
      <c r="I78" s="13">
        <v>2.0</v>
      </c>
      <c r="J78" s="13">
        <v>0.0</v>
      </c>
      <c r="K78" s="12" t="s">
        <v>21</v>
      </c>
      <c r="L78" s="7">
        <v>42424.13631944444</v>
      </c>
      <c r="M78" s="14" t="s">
        <v>269</v>
      </c>
      <c r="N78" s="14" t="s">
        <v>270</v>
      </c>
      <c r="O78" s="11" t="str">
        <f>HYPERLINK("https://pbs.twimg.com/profile_images/702455638157168640/AeDgtn0C_normal.jpg","View")</f>
        <v>View</v>
      </c>
      <c r="P78" s="15"/>
    </row>
    <row r="79">
      <c r="A79" s="7">
        <v>42425.06226851852</v>
      </c>
      <c r="B79" s="8" t="str">
        <f>HYPERLINK("https://twitter.com/Elenotes","@Elenotes")</f>
        <v>@Elenotes</v>
      </c>
      <c r="C79" s="10" t="s">
        <v>274</v>
      </c>
      <c r="D79" s="10" t="s">
        <v>275</v>
      </c>
      <c r="E79" s="11" t="str">
        <f>HYPERLINK("https://twitter.com/Elenotes/status/702787537727782913","702787537727782913")</f>
        <v>702787537727782913</v>
      </c>
      <c r="F79" s="12" t="s">
        <v>20</v>
      </c>
      <c r="G79" s="13">
        <v>236.0</v>
      </c>
      <c r="H79" s="13">
        <v>274.0</v>
      </c>
      <c r="I79" s="13">
        <v>0.0</v>
      </c>
      <c r="J79" s="13">
        <v>0.0</v>
      </c>
      <c r="K79" s="12" t="s">
        <v>21</v>
      </c>
      <c r="L79" s="7">
        <v>40562.05800925926</v>
      </c>
      <c r="M79" s="16"/>
      <c r="N79" s="14" t="s">
        <v>276</v>
      </c>
      <c r="O79" s="11" t="str">
        <f>HYPERLINK("https://pbs.twimg.com/profile_images/504858028060213248/0CIcZzLT_normal.jpeg","View")</f>
        <v>View</v>
      </c>
      <c r="P79" s="15"/>
    </row>
    <row r="80">
      <c r="A80" s="7">
        <v>42425.064247685186</v>
      </c>
      <c r="B80" s="8" t="str">
        <f>HYPERLINK("https://twitter.com/mmmmmmpc","@mmmmmmpc")</f>
        <v>@mmmmmmpc</v>
      </c>
      <c r="C80" s="10" t="s">
        <v>277</v>
      </c>
      <c r="D80" s="10" t="s">
        <v>231</v>
      </c>
      <c r="E80" s="11" t="str">
        <f>HYPERLINK("https://twitter.com/mmmmmmpc/status/702788255633244161","702788255633244161")</f>
        <v>702788255633244161</v>
      </c>
      <c r="F80" s="12" t="s">
        <v>152</v>
      </c>
      <c r="G80" s="13">
        <v>439.0</v>
      </c>
      <c r="H80" s="13">
        <v>621.0</v>
      </c>
      <c r="I80" s="13">
        <v>3.0</v>
      </c>
      <c r="J80" s="13">
        <v>0.0</v>
      </c>
      <c r="K80" s="12" t="s">
        <v>21</v>
      </c>
      <c r="L80" s="7">
        <v>40585.02840277778</v>
      </c>
      <c r="M80" s="14" t="s">
        <v>278</v>
      </c>
      <c r="N80" s="14" t="s">
        <v>279</v>
      </c>
      <c r="O80" s="11" t="str">
        <f>HYPERLINK("https://pbs.twimg.com/profile_images/1840345615/MPC-swadow-square_mini_normal.JPG","View")</f>
        <v>View</v>
      </c>
      <c r="P80" s="15"/>
    </row>
    <row r="81">
      <c r="A81" s="7">
        <v>42425.064513888894</v>
      </c>
      <c r="B81" s="8" t="str">
        <f>HYPERLINK("https://twitter.com/PythonBooks","@PythonBooks")</f>
        <v>@PythonBooks</v>
      </c>
      <c r="C81" s="10" t="s">
        <v>267</v>
      </c>
      <c r="D81" s="10" t="s">
        <v>280</v>
      </c>
      <c r="E81" s="11" t="str">
        <f>HYPERLINK("https://twitter.com/PythonBooks/status/702788349996564480","702788349996564480")</f>
        <v>702788349996564480</v>
      </c>
      <c r="F81" s="12" t="s">
        <v>20</v>
      </c>
      <c r="G81" s="13">
        <v>20.0</v>
      </c>
      <c r="H81" s="13">
        <v>70.0</v>
      </c>
      <c r="I81" s="13">
        <v>4.0</v>
      </c>
      <c r="J81" s="13">
        <v>0.0</v>
      </c>
      <c r="K81" s="12" t="s">
        <v>21</v>
      </c>
      <c r="L81" s="7">
        <v>42424.13631944444</v>
      </c>
      <c r="M81" s="14" t="s">
        <v>269</v>
      </c>
      <c r="N81" s="14" t="s">
        <v>270</v>
      </c>
      <c r="O81" s="11" t="str">
        <f>HYPERLINK("https://pbs.twimg.com/profile_images/702455638157168640/AeDgtn0C_normal.jpg","View")</f>
        <v>View</v>
      </c>
      <c r="P81" s="15"/>
    </row>
    <row r="82">
      <c r="A82" s="7">
        <v>42425.06454861111</v>
      </c>
      <c r="B82" s="8" t="str">
        <f>HYPERLINK("https://twitter.com/FlorenTselai","@FlorenTselai")</f>
        <v>@FlorenTselai</v>
      </c>
      <c r="C82" s="10" t="s">
        <v>281</v>
      </c>
      <c r="D82" s="10" t="s">
        <v>282</v>
      </c>
      <c r="E82" s="11" t="str">
        <f>HYPERLINK("https://twitter.com/FlorenTselai/status/702788363422670852","702788363422670852")</f>
        <v>702788363422670852</v>
      </c>
      <c r="F82" s="12" t="s">
        <v>20</v>
      </c>
      <c r="G82" s="13">
        <v>488.0</v>
      </c>
      <c r="H82" s="13">
        <v>2061.0</v>
      </c>
      <c r="I82" s="13">
        <v>0.0</v>
      </c>
      <c r="J82" s="13">
        <v>2.0</v>
      </c>
      <c r="K82" s="12" t="s">
        <v>21</v>
      </c>
      <c r="L82" s="7">
        <v>40930.459756944445</v>
      </c>
      <c r="M82" s="14" t="s">
        <v>283</v>
      </c>
      <c r="N82" s="14" t="s">
        <v>284</v>
      </c>
      <c r="O82" s="11" t="str">
        <f>HYPERLINK("https://pbs.twimg.com/profile_images/698448827968327680/n_hCbL7N_normal.jpg","View")</f>
        <v>View</v>
      </c>
      <c r="P82" s="15"/>
    </row>
    <row r="83">
      <c r="A83" s="7">
        <v>42425.06525462963</v>
      </c>
      <c r="B83" s="8" t="str">
        <f>HYPERLINK("https://twitter.com/Jodiroga","@Jodiroga")</f>
        <v>@Jodiroga</v>
      </c>
      <c r="C83" s="10" t="s">
        <v>285</v>
      </c>
      <c r="D83" s="10" t="s">
        <v>120</v>
      </c>
      <c r="E83" s="11" t="str">
        <f>HYPERLINK("https://twitter.com/Jodiroga/status/702788620340609024","702788620340609024")</f>
        <v>702788620340609024</v>
      </c>
      <c r="F83" s="12" t="s">
        <v>240</v>
      </c>
      <c r="G83" s="13">
        <v>507.0</v>
      </c>
      <c r="H83" s="13">
        <v>197.0</v>
      </c>
      <c r="I83" s="13">
        <v>7.0</v>
      </c>
      <c r="J83" s="13">
        <v>0.0</v>
      </c>
      <c r="K83" s="12" t="s">
        <v>21</v>
      </c>
      <c r="L83" s="7">
        <v>40027.12231481481</v>
      </c>
      <c r="M83" s="14" t="s">
        <v>286</v>
      </c>
      <c r="N83" s="14" t="s">
        <v>287</v>
      </c>
      <c r="O83" s="11" t="str">
        <f>HYPERLINK("https://pbs.twimg.com/profile_images/600345457794150402/tJ8SN3vY_normal.jpg","View")</f>
        <v>View</v>
      </c>
      <c r="P83" s="15"/>
    </row>
    <row r="84">
      <c r="A84" s="7">
        <v>42425.06532407408</v>
      </c>
      <c r="B84" s="8" t="str">
        <f>HYPERLINK("https://twitter.com/muyiibidun","@muyiibidun")</f>
        <v>@muyiibidun</v>
      </c>
      <c r="C84" s="10" t="s">
        <v>288</v>
      </c>
      <c r="D84" s="10" t="s">
        <v>289</v>
      </c>
      <c r="E84" s="11" t="str">
        <f>HYPERLINK("https://twitter.com/muyiibidun/status/702788642956247040","702788642956247040")</f>
        <v>702788642956247040</v>
      </c>
      <c r="F84" s="12" t="s">
        <v>52</v>
      </c>
      <c r="G84" s="13">
        <v>618.0</v>
      </c>
      <c r="H84" s="13">
        <v>710.0</v>
      </c>
      <c r="I84" s="13">
        <v>13.0</v>
      </c>
      <c r="J84" s="13">
        <v>0.0</v>
      </c>
      <c r="K84" s="12" t="s">
        <v>21</v>
      </c>
      <c r="L84" s="7">
        <v>40039.112534722226</v>
      </c>
      <c r="M84" s="14" t="s">
        <v>290</v>
      </c>
      <c r="N84" s="14" t="s">
        <v>291</v>
      </c>
      <c r="O84" s="11" t="str">
        <f>HYPERLINK("https://pbs.twimg.com/profile_images/695318352932249604/esfVe4Jv_normal.jpg","View")</f>
        <v>View</v>
      </c>
      <c r="P84" s="15"/>
    </row>
    <row r="85">
      <c r="A85" s="7">
        <v>42425.06667824074</v>
      </c>
      <c r="B85" s="8" t="str">
        <f>HYPERLINK("https://twitter.com/ZEEFcom","@ZEEFcom")</f>
        <v>@ZEEFcom</v>
      </c>
      <c r="C85" s="10" t="s">
        <v>292</v>
      </c>
      <c r="D85" s="10" t="s">
        <v>293</v>
      </c>
      <c r="E85" s="11" t="str">
        <f>HYPERLINK("https://twitter.com/ZEEFcom/status/702789132444110848","702789132444110848")</f>
        <v>702789132444110848</v>
      </c>
      <c r="F85" s="12" t="s">
        <v>294</v>
      </c>
      <c r="G85" s="13">
        <v>1632.0</v>
      </c>
      <c r="H85" s="13">
        <v>185.0</v>
      </c>
      <c r="I85" s="13">
        <v>1.0</v>
      </c>
      <c r="J85" s="13">
        <v>4.0</v>
      </c>
      <c r="K85" s="12" t="s">
        <v>21</v>
      </c>
      <c r="L85" s="7">
        <v>41284.36996527778</v>
      </c>
      <c r="M85" s="14" t="s">
        <v>295</v>
      </c>
      <c r="N85" s="14" t="s">
        <v>296</v>
      </c>
      <c r="O85" s="11" t="str">
        <f>HYPERLINK("https://pbs.twimg.com/profile_images/552447349201457152/1cz_gWGz_normal.png","View")</f>
        <v>View</v>
      </c>
      <c r="P85" s="15"/>
    </row>
    <row r="86">
      <c r="A86" s="7">
        <v>42425.06988425926</v>
      </c>
      <c r="B86" s="8" t="str">
        <f>HYPERLINK("https://twitter.com/py3k","@py3k")</f>
        <v>@py3k</v>
      </c>
      <c r="C86" s="10" t="s">
        <v>297</v>
      </c>
      <c r="D86" s="10" t="s">
        <v>298</v>
      </c>
      <c r="E86" s="11" t="str">
        <f>HYPERLINK("https://twitter.com/py3k/status/702790294450921472","702790294450921472")</f>
        <v>702790294450921472</v>
      </c>
      <c r="F86" s="12" t="s">
        <v>299</v>
      </c>
      <c r="G86" s="13">
        <v>1623.0</v>
      </c>
      <c r="H86" s="13">
        <v>676.0</v>
      </c>
      <c r="I86" s="13">
        <v>1.0</v>
      </c>
      <c r="J86" s="13">
        <v>2.0</v>
      </c>
      <c r="K86" s="12" t="s">
        <v>21</v>
      </c>
      <c r="L86" s="7">
        <v>41096.62268518518</v>
      </c>
      <c r="M86" s="16"/>
      <c r="N86" s="14" t="s">
        <v>300</v>
      </c>
      <c r="O86" s="11" t="str">
        <f>HYPERLINK("https://pbs.twimg.com/profile_images/2474433856/p075cerxh0arpea6ceip_normal.png","View")</f>
        <v>View</v>
      </c>
      <c r="P86" s="15"/>
    </row>
    <row r="87">
      <c r="A87" s="7">
        <v>42425.07026620371</v>
      </c>
      <c r="B87" s="8" t="str">
        <f t="shared" ref="B87:B89" si="7">HYPERLINK("https://twitter.com/artwisanggeni","@artwisanggeni")</f>
        <v>@artwisanggeni</v>
      </c>
      <c r="C87" s="10" t="s">
        <v>74</v>
      </c>
      <c r="D87" s="10" t="s">
        <v>301</v>
      </c>
      <c r="E87" s="11" t="str">
        <f>HYPERLINK("https://twitter.com/artwisanggeni/status/702790433991069697","702790433991069697")</f>
        <v>702790433991069697</v>
      </c>
      <c r="F87" s="17" t="s">
        <v>76</v>
      </c>
      <c r="G87" s="13">
        <v>236.0</v>
      </c>
      <c r="H87" s="13">
        <v>61.0</v>
      </c>
      <c r="I87" s="13">
        <v>0.0</v>
      </c>
      <c r="J87" s="13">
        <v>0.0</v>
      </c>
      <c r="K87" s="12" t="s">
        <v>21</v>
      </c>
      <c r="L87" s="7">
        <v>41218.90608796296</v>
      </c>
      <c r="M87" s="14" t="s">
        <v>77</v>
      </c>
      <c r="N87" s="14" t="s">
        <v>78</v>
      </c>
      <c r="O87" s="11" t="str">
        <f t="shared" ref="O87:O89" si="8">HYPERLINK("https://pbs.twimg.com/profile_images/2813636657/599521f69e2bc210a57323b64d8e39e6_normal.jpeg","View")</f>
        <v>View</v>
      </c>
      <c r="P87" s="15"/>
    </row>
    <row r="88">
      <c r="A88" s="7">
        <v>42425.07027777778</v>
      </c>
      <c r="B88" s="8" t="str">
        <f t="shared" si="7"/>
        <v>@artwisanggeni</v>
      </c>
      <c r="C88" s="10" t="s">
        <v>74</v>
      </c>
      <c r="D88" s="10" t="s">
        <v>302</v>
      </c>
      <c r="E88" s="11" t="str">
        <f>HYPERLINK("https://twitter.com/artwisanggeni/status/702790437254201345","702790437254201345")</f>
        <v>702790437254201345</v>
      </c>
      <c r="F88" s="17" t="s">
        <v>76</v>
      </c>
      <c r="G88" s="13">
        <v>236.0</v>
      </c>
      <c r="H88" s="13">
        <v>61.0</v>
      </c>
      <c r="I88" s="13">
        <v>0.0</v>
      </c>
      <c r="J88" s="13">
        <v>0.0</v>
      </c>
      <c r="K88" s="12" t="s">
        <v>21</v>
      </c>
      <c r="L88" s="7">
        <v>41218.90608796296</v>
      </c>
      <c r="M88" s="14" t="s">
        <v>77</v>
      </c>
      <c r="N88" s="14" t="s">
        <v>78</v>
      </c>
      <c r="O88" s="11" t="str">
        <f t="shared" si="8"/>
        <v>View</v>
      </c>
      <c r="P88" s="15"/>
    </row>
    <row r="89">
      <c r="A89" s="7">
        <v>42425.07027777778</v>
      </c>
      <c r="B89" s="8" t="str">
        <f t="shared" si="7"/>
        <v>@artwisanggeni</v>
      </c>
      <c r="C89" s="10" t="s">
        <v>74</v>
      </c>
      <c r="D89" s="10" t="s">
        <v>303</v>
      </c>
      <c r="E89" s="11" t="str">
        <f>HYPERLINK("https://twitter.com/artwisanggeni/status/702790440928477184","702790440928477184")</f>
        <v>702790440928477184</v>
      </c>
      <c r="F89" s="17" t="s">
        <v>76</v>
      </c>
      <c r="G89" s="13">
        <v>236.0</v>
      </c>
      <c r="H89" s="13">
        <v>61.0</v>
      </c>
      <c r="I89" s="13">
        <v>0.0</v>
      </c>
      <c r="J89" s="13">
        <v>0.0</v>
      </c>
      <c r="K89" s="12" t="s">
        <v>21</v>
      </c>
      <c r="L89" s="7">
        <v>41218.90608796296</v>
      </c>
      <c r="M89" s="14" t="s">
        <v>77</v>
      </c>
      <c r="N89" s="14" t="s">
        <v>78</v>
      </c>
      <c r="O89" s="11" t="str">
        <f t="shared" si="8"/>
        <v>View</v>
      </c>
      <c r="P89" s="15"/>
    </row>
    <row r="90">
      <c r="A90" s="7">
        <v>42425.07087962963</v>
      </c>
      <c r="B90" s="8" t="str">
        <f>HYPERLINK("https://twitter.com/tdsnet2015","@tdsnet2015")</f>
        <v>@tdsnet2015</v>
      </c>
      <c r="C90" s="10" t="s">
        <v>304</v>
      </c>
      <c r="D90" s="10" t="s">
        <v>305</v>
      </c>
      <c r="E90" s="11" t="str">
        <f>HYPERLINK("https://twitter.com/tdsnet2015/status/702790657274843140","702790657274843140")</f>
        <v>702790657274843140</v>
      </c>
      <c r="F90" s="12" t="s">
        <v>306</v>
      </c>
      <c r="G90" s="13">
        <v>26.0</v>
      </c>
      <c r="H90" s="13">
        <v>28.0</v>
      </c>
      <c r="I90" s="13">
        <v>0.0</v>
      </c>
      <c r="J90" s="13">
        <v>0.0</v>
      </c>
      <c r="K90" s="12" t="s">
        <v>21</v>
      </c>
      <c r="L90" s="7">
        <v>42360.46430555556</v>
      </c>
      <c r="M90" s="14" t="s">
        <v>307</v>
      </c>
      <c r="N90" s="14" t="s">
        <v>308</v>
      </c>
      <c r="O90" s="11" t="str">
        <f>HYPERLINK("https://pbs.twimg.com/profile_images/686377891911745536/AQFu2YWO_normal.png","View")</f>
        <v>View</v>
      </c>
      <c r="P90" s="15"/>
    </row>
    <row r="91">
      <c r="A91" s="7">
        <v>42425.073171296295</v>
      </c>
      <c r="B91" s="8" t="str">
        <f>HYPERLINK("https://twitter.com/art_control","@art_control")</f>
        <v>@art_control</v>
      </c>
      <c r="C91" s="10" t="s">
        <v>309</v>
      </c>
      <c r="D91" s="10" t="s">
        <v>310</v>
      </c>
      <c r="E91" s="11" t="str">
        <f>HYPERLINK("https://twitter.com/art_control/status/702791486501462016","702791486501462016")</f>
        <v>702791486501462016</v>
      </c>
      <c r="F91" s="12" t="s">
        <v>311</v>
      </c>
      <c r="G91" s="13">
        <v>989.0</v>
      </c>
      <c r="H91" s="13">
        <v>850.0</v>
      </c>
      <c r="I91" s="13">
        <v>0.0</v>
      </c>
      <c r="J91" s="13">
        <v>0.0</v>
      </c>
      <c r="K91" s="12" t="s">
        <v>21</v>
      </c>
      <c r="L91" s="7">
        <v>39896.869675925926</v>
      </c>
      <c r="M91" s="14" t="s">
        <v>312</v>
      </c>
      <c r="N91" s="14" t="s">
        <v>313</v>
      </c>
      <c r="O91" s="11" t="str">
        <f>HYPERLINK("https://pbs.twimg.com/profile_images/649004216690675712/UAcrP6ol_normal.png","View")</f>
        <v>View</v>
      </c>
      <c r="P91" s="15"/>
    </row>
    <row r="92">
      <c r="A92" s="7">
        <v>42425.07340277778</v>
      </c>
      <c r="B92" s="8" t="str">
        <f>HYPERLINK("https://twitter.com/NeuvooNewYork0","@NeuvooNewYork0")</f>
        <v>@NeuvooNewYork0</v>
      </c>
      <c r="C92" s="10" t="s">
        <v>314</v>
      </c>
      <c r="D92" s="10" t="s">
        <v>315</v>
      </c>
      <c r="E92" s="11" t="str">
        <f>HYPERLINK("https://twitter.com/NeuvooNewYork0/status/702791570635022336","702791570635022336")</f>
        <v>702791570635022336</v>
      </c>
      <c r="F92" s="12" t="s">
        <v>316</v>
      </c>
      <c r="G92" s="13">
        <v>2443.0</v>
      </c>
      <c r="H92" s="13">
        <v>1131.0</v>
      </c>
      <c r="I92" s="13">
        <v>0.0</v>
      </c>
      <c r="J92" s="13">
        <v>2.0</v>
      </c>
      <c r="K92" s="12" t="s">
        <v>21</v>
      </c>
      <c r="L92" s="7">
        <v>41988.573495370365</v>
      </c>
      <c r="M92" s="14" t="s">
        <v>317</v>
      </c>
      <c r="N92" s="14" t="s">
        <v>318</v>
      </c>
      <c r="O92" s="11" t="str">
        <f>HYPERLINK("https://pbs.twimg.com/profile_images/698371768269021185/NWsl5goW_normal.png","View")</f>
        <v>View</v>
      </c>
      <c r="P92" s="15"/>
    </row>
    <row r="93">
      <c r="A93" s="7">
        <v>42425.07391203704</v>
      </c>
      <c r="B93" s="8" t="str">
        <f>HYPERLINK("https://twitter.com/brobeur","@brobeur")</f>
        <v>@brobeur</v>
      </c>
      <c r="C93" s="9" t="s">
        <v>319</v>
      </c>
      <c r="D93" s="10" t="s">
        <v>320</v>
      </c>
      <c r="E93" s="11" t="str">
        <f>HYPERLINK("https://twitter.com/brobeur/status/702791756241362944","702791756241362944")</f>
        <v>702791756241362944</v>
      </c>
      <c r="F93" s="12" t="s">
        <v>321</v>
      </c>
      <c r="G93" s="13">
        <v>1097.0</v>
      </c>
      <c r="H93" s="13">
        <v>1945.0</v>
      </c>
      <c r="I93" s="13">
        <v>0.0</v>
      </c>
      <c r="J93" s="13">
        <v>0.0</v>
      </c>
      <c r="K93" s="12" t="s">
        <v>21</v>
      </c>
      <c r="L93" s="7">
        <v>41362.78061342593</v>
      </c>
      <c r="M93" s="14" t="s">
        <v>322</v>
      </c>
      <c r="N93" s="14" t="s">
        <v>323</v>
      </c>
      <c r="O93" s="11" t="str">
        <f>HYPERLINK("https://pbs.twimg.com/profile_images/487211737284739072/HBzP949-_normal.png","View")</f>
        <v>View</v>
      </c>
      <c r="P93" s="15"/>
    </row>
    <row r="94">
      <c r="A94" s="7">
        <v>42425.07471064814</v>
      </c>
      <c r="B94" s="8" t="str">
        <f>HYPERLINK("https://twitter.com/cool_python","@cool_python")</f>
        <v>@cool_python</v>
      </c>
      <c r="C94" s="10" t="s">
        <v>249</v>
      </c>
      <c r="D94" s="10" t="s">
        <v>324</v>
      </c>
      <c r="E94" s="11" t="str">
        <f>HYPERLINK("https://twitter.com/cool_python/status/702792044180344833","702792044180344833")</f>
        <v>702792044180344833</v>
      </c>
      <c r="F94" s="12" t="s">
        <v>251</v>
      </c>
      <c r="G94" s="13">
        <v>235.0</v>
      </c>
      <c r="H94" s="13">
        <v>91.0</v>
      </c>
      <c r="I94" s="13">
        <v>1.0</v>
      </c>
      <c r="J94" s="13">
        <v>0.0</v>
      </c>
      <c r="K94" s="12" t="s">
        <v>21</v>
      </c>
      <c r="L94" s="7">
        <v>42064.325</v>
      </c>
      <c r="M94" s="14" t="s">
        <v>252</v>
      </c>
      <c r="N94" s="14" t="s">
        <v>253</v>
      </c>
      <c r="O94" s="11" t="str">
        <f>HYPERLINK("https://pbs.twimg.com/profile_images/572091631055028224/Pkx__FSB_normal.png","View")</f>
        <v>View</v>
      </c>
      <c r="P94" s="15"/>
    </row>
    <row r="95">
      <c r="A95" s="7">
        <v>42425.075833333336</v>
      </c>
      <c r="B95" s="8" t="str">
        <f>HYPERLINK("https://twitter.com/mkamimura","@mkamimura")</f>
        <v>@mkamimura</v>
      </c>
      <c r="C95" s="10" t="s">
        <v>325</v>
      </c>
      <c r="D95" s="10" t="s">
        <v>326</v>
      </c>
      <c r="E95" s="11" t="str">
        <f>HYPERLINK("https://twitter.com/mkamimura/status/702792450461446144","702792450461446144")</f>
        <v>702792450461446144</v>
      </c>
      <c r="F95" s="12" t="s">
        <v>327</v>
      </c>
      <c r="G95" s="13">
        <v>1773.0</v>
      </c>
      <c r="H95" s="13">
        <v>1083.0</v>
      </c>
      <c r="I95" s="13">
        <v>0.0</v>
      </c>
      <c r="J95" s="13">
        <v>0.0</v>
      </c>
      <c r="K95" s="12" t="s">
        <v>21</v>
      </c>
      <c r="L95" s="7">
        <v>40018.81731481481</v>
      </c>
      <c r="M95" s="14" t="s">
        <v>328</v>
      </c>
      <c r="N95" s="14" t="s">
        <v>329</v>
      </c>
      <c r="O95" s="11" t="str">
        <f>HYPERLINK("https://pbs.twimg.com/profile_images/330877287/k_normal.png","View")</f>
        <v>View</v>
      </c>
      <c r="P95" s="15"/>
    </row>
    <row r="96">
      <c r="A96" s="7">
        <v>42425.07943287037</v>
      </c>
      <c r="B96" s="8" t="str">
        <f>HYPERLINK("https://twitter.com/alejoseb","@alejoseb")</f>
        <v>@alejoseb</v>
      </c>
      <c r="C96" s="10" t="s">
        <v>330</v>
      </c>
      <c r="D96" s="10" t="s">
        <v>331</v>
      </c>
      <c r="E96" s="11" t="str">
        <f>HYPERLINK("https://twitter.com/alejoseb/status/702793754965577728","702793754965577728")</f>
        <v>702793754965577728</v>
      </c>
      <c r="F96" s="12" t="s">
        <v>152</v>
      </c>
      <c r="G96" s="13">
        <v>59.0</v>
      </c>
      <c r="H96" s="13">
        <v>91.0</v>
      </c>
      <c r="I96" s="13">
        <v>0.0</v>
      </c>
      <c r="J96" s="13">
        <v>2.0</v>
      </c>
      <c r="K96" s="12" t="s">
        <v>21</v>
      </c>
      <c r="L96" s="7">
        <v>40360.32165509259</v>
      </c>
      <c r="M96" s="14" t="s">
        <v>332</v>
      </c>
      <c r="N96" s="14" t="s">
        <v>333</v>
      </c>
      <c r="O96" s="11" t="str">
        <f>HYPERLINK("https://pbs.twimg.com/profile_images/596541291376353280/APkWMqMp_normal.jpg","View")</f>
        <v>View</v>
      </c>
      <c r="P96" s="15"/>
    </row>
    <row r="97">
      <c r="A97" s="7">
        <v>42425.07958333333</v>
      </c>
      <c r="B97" s="8" t="str">
        <f>HYPERLINK("https://twitter.com/pymudit","@pymudit")</f>
        <v>@pymudit</v>
      </c>
      <c r="C97" s="10" t="s">
        <v>334</v>
      </c>
      <c r="D97" s="10" t="s">
        <v>335</v>
      </c>
      <c r="E97" s="11" t="str">
        <f>HYPERLINK("https://twitter.com/pymudit/status/702793812574228480","702793812574228480")</f>
        <v>702793812574228480</v>
      </c>
      <c r="F97" s="12" t="s">
        <v>152</v>
      </c>
      <c r="G97" s="13">
        <v>21.0</v>
      </c>
      <c r="H97" s="13">
        <v>86.0</v>
      </c>
      <c r="I97" s="13">
        <v>0.0</v>
      </c>
      <c r="J97" s="13">
        <v>2.0</v>
      </c>
      <c r="K97" s="12" t="s">
        <v>21</v>
      </c>
      <c r="L97" s="7">
        <v>42168.04733796296</v>
      </c>
      <c r="M97" s="16"/>
      <c r="N97" s="14" t="s">
        <v>336</v>
      </c>
      <c r="O97" s="11" t="str">
        <f>HYPERLINK("https://pbs.twimg.com/profile_images/685472404039012352/b2J0JwJq_normal.jpg","View")</f>
        <v>View</v>
      </c>
      <c r="P97" s="15"/>
    </row>
    <row r="98">
      <c r="A98" s="7">
        <v>42425.08148148148</v>
      </c>
      <c r="B98" s="8" t="str">
        <f t="shared" ref="B98:B99" si="9">HYPERLINK("https://twitter.com/PythonBooks","@PythonBooks")</f>
        <v>@PythonBooks</v>
      </c>
      <c r="C98" s="10" t="s">
        <v>267</v>
      </c>
      <c r="D98" s="10" t="s">
        <v>337</v>
      </c>
      <c r="E98" s="11" t="str">
        <f>HYPERLINK("https://twitter.com/PythonBooks/status/702794497940287489","702794497940287489")</f>
        <v>702794497940287489</v>
      </c>
      <c r="F98" s="12" t="s">
        <v>20</v>
      </c>
      <c r="G98" s="13">
        <v>20.0</v>
      </c>
      <c r="H98" s="13">
        <v>70.0</v>
      </c>
      <c r="I98" s="13">
        <v>24.0</v>
      </c>
      <c r="J98" s="13">
        <v>0.0</v>
      </c>
      <c r="K98" s="12" t="s">
        <v>21</v>
      </c>
      <c r="L98" s="7">
        <v>42424.13631944444</v>
      </c>
      <c r="M98" s="14" t="s">
        <v>269</v>
      </c>
      <c r="N98" s="14" t="s">
        <v>270</v>
      </c>
      <c r="O98" s="11" t="str">
        <f t="shared" ref="O98:O99" si="10">HYPERLINK("https://pbs.twimg.com/profile_images/702455638157168640/AeDgtn0C_normal.jpg","View")</f>
        <v>View</v>
      </c>
      <c r="P98" s="15"/>
    </row>
    <row r="99">
      <c r="A99" s="7">
        <v>42425.08159722222</v>
      </c>
      <c r="B99" s="8" t="str">
        <f t="shared" si="9"/>
        <v>@PythonBooks</v>
      </c>
      <c r="C99" s="10" t="s">
        <v>267</v>
      </c>
      <c r="D99" s="10" t="s">
        <v>338</v>
      </c>
      <c r="E99" s="11" t="str">
        <f>HYPERLINK("https://twitter.com/PythonBooks/status/702794539174535168","702794539174535168")</f>
        <v>702794539174535168</v>
      </c>
      <c r="F99" s="12" t="s">
        <v>20</v>
      </c>
      <c r="G99" s="13">
        <v>20.0</v>
      </c>
      <c r="H99" s="13">
        <v>70.0</v>
      </c>
      <c r="I99" s="13">
        <v>27.0</v>
      </c>
      <c r="J99" s="13">
        <v>0.0</v>
      </c>
      <c r="K99" s="12" t="s">
        <v>21</v>
      </c>
      <c r="L99" s="7">
        <v>42424.13631944444</v>
      </c>
      <c r="M99" s="14" t="s">
        <v>269</v>
      </c>
      <c r="N99" s="14" t="s">
        <v>270</v>
      </c>
      <c r="O99" s="11" t="str">
        <f t="shared" si="10"/>
        <v>View</v>
      </c>
      <c r="P99" s="15"/>
    </row>
    <row r="100">
      <c r="A100" s="7">
        <v>42425.08336805555</v>
      </c>
      <c r="B100" s="8" t="str">
        <f>HYPERLINK("https://twitter.com/BountyBot","@BountyBot")</f>
        <v>@BountyBot</v>
      </c>
      <c r="C100" s="10" t="s">
        <v>339</v>
      </c>
      <c r="D100" s="10" t="s">
        <v>340</v>
      </c>
      <c r="E100" s="11" t="str">
        <f>HYPERLINK("https://twitter.com/BountyBot/status/702795184052916224","702795184052916224")</f>
        <v>702795184052916224</v>
      </c>
      <c r="F100" s="12" t="s">
        <v>341</v>
      </c>
      <c r="G100" s="13">
        <v>267.0</v>
      </c>
      <c r="H100" s="13">
        <v>166.0</v>
      </c>
      <c r="I100" s="13">
        <v>0.0</v>
      </c>
      <c r="J100" s="13">
        <v>0.0</v>
      </c>
      <c r="K100" s="12" t="s">
        <v>21</v>
      </c>
      <c r="L100" s="7">
        <v>41336.64271990741</v>
      </c>
      <c r="M100" s="16"/>
      <c r="N100" s="14" t="s">
        <v>342</v>
      </c>
      <c r="O100" s="11" t="str">
        <f>HYPERLINK("https://pbs.twimg.com/profile_images/3337452891/297dea81b90b0f5fb2b7a554d6f931e7_normal.jpeg","View")</f>
        <v>View</v>
      </c>
      <c r="P100" s="15"/>
    </row>
    <row r="101">
      <c r="A101" s="7">
        <v>42425.08347222222</v>
      </c>
      <c r="B101" s="8" t="str">
        <f>HYPERLINK("https://twitter.com/adrop","@adrop")</f>
        <v>@adrop</v>
      </c>
      <c r="C101" s="10" t="s">
        <v>343</v>
      </c>
      <c r="D101" s="10" t="s">
        <v>344</v>
      </c>
      <c r="E101" s="11" t="str">
        <f>HYPERLINK("https://twitter.com/adrop/status/702795218345664512","702795218345664512")</f>
        <v>702795218345664512</v>
      </c>
      <c r="F101" s="12" t="s">
        <v>294</v>
      </c>
      <c r="G101" s="13">
        <v>245.0</v>
      </c>
      <c r="H101" s="13">
        <v>220.0</v>
      </c>
      <c r="I101" s="13">
        <v>0.0</v>
      </c>
      <c r="J101" s="13">
        <v>0.0</v>
      </c>
      <c r="K101" s="12" t="s">
        <v>21</v>
      </c>
      <c r="L101" s="7">
        <v>39790.40451388889</v>
      </c>
      <c r="M101" s="14" t="s">
        <v>345</v>
      </c>
      <c r="N101" s="14" t="s">
        <v>346</v>
      </c>
      <c r="O101" s="11" t="str">
        <f>HYPERLINK("https://pbs.twimg.com/profile_images/531338622/4111117620_c781e1e2b0_o_normal.jpg","View")</f>
        <v>View</v>
      </c>
      <c r="P101" s="15"/>
    </row>
    <row r="102">
      <c r="A102" s="7">
        <v>42425.084074074075</v>
      </c>
      <c r="B102" s="8" t="str">
        <f>HYPERLINK("https://twitter.com/cindygeodev","@cindygeodev")</f>
        <v>@cindygeodev</v>
      </c>
      <c r="C102" s="10" t="s">
        <v>347</v>
      </c>
      <c r="D102" s="10" t="s">
        <v>348</v>
      </c>
      <c r="E102" s="11" t="str">
        <f>HYPERLINK("https://twitter.com/cindygeodev/status/702795438605217793","702795438605217793")</f>
        <v>702795438605217793</v>
      </c>
      <c r="F102" s="17" t="s">
        <v>349</v>
      </c>
      <c r="G102" s="13">
        <v>59.0</v>
      </c>
      <c r="H102" s="13">
        <v>90.0</v>
      </c>
      <c r="I102" s="13">
        <v>0.0</v>
      </c>
      <c r="J102" s="13">
        <v>0.0</v>
      </c>
      <c r="K102" s="12" t="s">
        <v>21</v>
      </c>
      <c r="L102" s="7">
        <v>41913.228159722225</v>
      </c>
      <c r="M102" s="14" t="s">
        <v>350</v>
      </c>
      <c r="N102" s="14" t="s">
        <v>351</v>
      </c>
      <c r="O102" s="11" t="str">
        <f>HYPERLINK("https://pbs.twimg.com/profile_images/532057868682272768/HFZ2YD0V_normal.png","View")</f>
        <v>View</v>
      </c>
      <c r="P102" s="15"/>
    </row>
    <row r="103">
      <c r="A103" s="7">
        <v>42425.08417824074</v>
      </c>
      <c r="B103" s="8" t="str">
        <f>HYPERLINK("https://twitter.com/Boolerang","@Boolerang")</f>
        <v>@Boolerang</v>
      </c>
      <c r="C103" s="9" t="s">
        <v>352</v>
      </c>
      <c r="D103" s="10" t="s">
        <v>353</v>
      </c>
      <c r="E103" s="11" t="str">
        <f>HYPERLINK("https://twitter.com/Boolerang/status/702795474428960768","702795474428960768")</f>
        <v>702795474428960768</v>
      </c>
      <c r="F103" s="12" t="s">
        <v>294</v>
      </c>
      <c r="G103" s="13">
        <v>983.0</v>
      </c>
      <c r="H103" s="13">
        <v>908.0</v>
      </c>
      <c r="I103" s="13">
        <v>0.0</v>
      </c>
      <c r="J103" s="13">
        <v>0.0</v>
      </c>
      <c r="K103" s="12" t="s">
        <v>21</v>
      </c>
      <c r="L103" s="7">
        <v>42289.70659722222</v>
      </c>
      <c r="M103" s="14" t="s">
        <v>354</v>
      </c>
      <c r="N103" s="14" t="s">
        <v>355</v>
      </c>
      <c r="O103" s="11" t="str">
        <f>HYPERLINK("https://pbs.twimg.com/profile_images/703179032125267969/9Y-1Fllk_normal.jpg","View")</f>
        <v>View</v>
      </c>
      <c r="P103" s="15"/>
    </row>
    <row r="104">
      <c r="A104" s="7">
        <v>42425.084282407406</v>
      </c>
      <c r="B104" s="8" t="str">
        <f>HYPERLINK("https://twitter.com/pydatacph","@pydatacph")</f>
        <v>@pydatacph</v>
      </c>
      <c r="C104" s="10" t="s">
        <v>356</v>
      </c>
      <c r="D104" s="10" t="s">
        <v>357</v>
      </c>
      <c r="E104" s="11" t="str">
        <f>HYPERLINK("https://twitter.com/pydatacph/status/702795515822473216","702795515822473216")</f>
        <v>702795515822473216</v>
      </c>
      <c r="F104" s="12" t="s">
        <v>20</v>
      </c>
      <c r="G104" s="13">
        <v>4.0</v>
      </c>
      <c r="H104" s="13">
        <v>38.0</v>
      </c>
      <c r="I104" s="13">
        <v>1.0</v>
      </c>
      <c r="J104" s="13">
        <v>0.0</v>
      </c>
      <c r="K104" s="12" t="s">
        <v>21</v>
      </c>
      <c r="L104" s="7">
        <v>42418.1049537037</v>
      </c>
      <c r="M104" s="16"/>
      <c r="N104" s="16"/>
      <c r="O104" s="11" t="str">
        <f>HYPERLINK("https://pbs.twimg.com/profile_images/700266784356593664/6zwBHG8O_normal.png","View")</f>
        <v>View</v>
      </c>
      <c r="P104" s="15"/>
    </row>
    <row r="105">
      <c r="A105" s="7">
        <v>42425.084398148145</v>
      </c>
      <c r="B105" s="8" t="str">
        <f>HYPERLINK("https://twitter.com/AnuragShukla47","@AnuragShukla47")</f>
        <v>@AnuragShukla47</v>
      </c>
      <c r="C105" s="10" t="s">
        <v>358</v>
      </c>
      <c r="D105" s="10" t="s">
        <v>359</v>
      </c>
      <c r="E105" s="11" t="str">
        <f>HYPERLINK("https://twitter.com/AnuragShukla47/status/702795556804960256","702795556804960256")</f>
        <v>702795556804960256</v>
      </c>
      <c r="F105" s="12" t="s">
        <v>20</v>
      </c>
      <c r="G105" s="13">
        <v>93.0</v>
      </c>
      <c r="H105" s="13">
        <v>132.0</v>
      </c>
      <c r="I105" s="13">
        <v>1.0</v>
      </c>
      <c r="J105" s="13">
        <v>0.0</v>
      </c>
      <c r="K105" s="12" t="s">
        <v>21</v>
      </c>
      <c r="L105" s="7">
        <v>40910.13172453704</v>
      </c>
      <c r="M105" s="16"/>
      <c r="N105" s="14" t="s">
        <v>360</v>
      </c>
      <c r="O105" s="11" t="str">
        <f>HYPERLINK("https://pbs.twimg.com/profile_images/689726234767466496/9eYW3M4I_normal.jpg","View")</f>
        <v>View</v>
      </c>
      <c r="P105" s="15"/>
    </row>
    <row r="106">
      <c r="A106" s="7">
        <v>42425.085740740746</v>
      </c>
      <c r="B106" s="8" t="str">
        <f>HYPERLINK("https://twitter.com/philippe_bchn","@philippe_bchn")</f>
        <v>@philippe_bchn</v>
      </c>
      <c r="C106" s="10" t="s">
        <v>361</v>
      </c>
      <c r="D106" s="10" t="s">
        <v>362</v>
      </c>
      <c r="E106" s="11" t="str">
        <f>HYPERLINK("https://twitter.com/philippe_bchn/status/702796043981889536","702796043981889536")</f>
        <v>702796043981889536</v>
      </c>
      <c r="F106" s="12" t="s">
        <v>20</v>
      </c>
      <c r="G106" s="13">
        <v>88.0</v>
      </c>
      <c r="H106" s="13">
        <v>206.0</v>
      </c>
      <c r="I106" s="13">
        <v>1.0</v>
      </c>
      <c r="J106" s="13">
        <v>1.0</v>
      </c>
      <c r="K106" s="12" t="s">
        <v>21</v>
      </c>
      <c r="L106" s="7">
        <v>40439.57037037037</v>
      </c>
      <c r="M106" s="14" t="s">
        <v>363</v>
      </c>
      <c r="N106" s="14" t="s">
        <v>364</v>
      </c>
      <c r="O106" s="11" t="str">
        <f>HYPERLINK("https://pbs.twimg.com/profile_images/378800000689059413/65ad50ed7954794597e6877d39421e7a_normal.jpeg","View")</f>
        <v>View</v>
      </c>
      <c r="P106" s="15"/>
    </row>
    <row r="107">
      <c r="A107" s="7">
        <v>42425.08579861111</v>
      </c>
      <c r="B107" s="8" t="str">
        <f>HYPERLINK("https://twitter.com/ameanmbot","@ameanmbot")</f>
        <v>@ameanmbot</v>
      </c>
      <c r="C107" s="10" t="s">
        <v>174</v>
      </c>
      <c r="D107" s="10" t="s">
        <v>365</v>
      </c>
      <c r="E107" s="11" t="str">
        <f>HYPERLINK("https://twitter.com/ameanmbot/status/702796064378769408","702796064378769408")</f>
        <v>702796064378769408</v>
      </c>
      <c r="F107" s="12" t="s">
        <v>176</v>
      </c>
      <c r="G107" s="13">
        <v>3291.0</v>
      </c>
      <c r="H107" s="13">
        <v>1.0</v>
      </c>
      <c r="I107" s="13">
        <v>1.0</v>
      </c>
      <c r="J107" s="13">
        <v>0.0</v>
      </c>
      <c r="K107" s="12" t="s">
        <v>21</v>
      </c>
      <c r="L107" s="7">
        <v>41814.009733796294</v>
      </c>
      <c r="M107" s="16"/>
      <c r="N107" s="14" t="s">
        <v>177</v>
      </c>
      <c r="O107" s="11" t="str">
        <f>HYPERLINK("https://pbs.twimg.com/profile_images/481334978161029120/iu3zZFEk_normal.png","View")</f>
        <v>View</v>
      </c>
      <c r="P107" s="15"/>
    </row>
    <row r="108">
      <c r="A108" s="7">
        <v>42425.08719907407</v>
      </c>
      <c r="B108" s="8" t="str">
        <f>HYPERLINK("https://twitter.com/clemensbrunner","@clemensbrunner")</f>
        <v>@clemensbrunner</v>
      </c>
      <c r="C108" s="10" t="s">
        <v>366</v>
      </c>
      <c r="D108" s="10" t="s">
        <v>367</v>
      </c>
      <c r="E108" s="11" t="str">
        <f>HYPERLINK("https://twitter.com/clemensbrunner/status/702796572967497729","702796572967497729")</f>
        <v>702796572967497729</v>
      </c>
      <c r="F108" s="12" t="s">
        <v>98</v>
      </c>
      <c r="G108" s="13">
        <v>41.0</v>
      </c>
      <c r="H108" s="13">
        <v>127.0</v>
      </c>
      <c r="I108" s="13">
        <v>0.0</v>
      </c>
      <c r="J108" s="13">
        <v>1.0</v>
      </c>
      <c r="K108" s="12" t="s">
        <v>21</v>
      </c>
      <c r="L108" s="7">
        <v>41842.017858796295</v>
      </c>
      <c r="M108" s="16"/>
      <c r="N108" s="14" t="s">
        <v>368</v>
      </c>
      <c r="O108" s="11" t="str">
        <f>HYPERLINK("https://pbs.twimg.com/profile_images/524925739984896000/NuB7jIBW_normal.jpeg","View")</f>
        <v>View</v>
      </c>
      <c r="P108" s="15"/>
    </row>
    <row r="109">
      <c r="A109" s="7">
        <v>42425.088379629626</v>
      </c>
      <c r="B109" s="8" t="str">
        <f>HYPERLINK("https://twitter.com/cphftw","@cphftw")</f>
        <v>@cphftw</v>
      </c>
      <c r="C109" s="10" t="s">
        <v>369</v>
      </c>
      <c r="D109" s="10" t="s">
        <v>370</v>
      </c>
      <c r="E109" s="11" t="str">
        <f>HYPERLINK("https://twitter.com/cphftw/status/702796997988904960","702796997988904960")</f>
        <v>702796997988904960</v>
      </c>
      <c r="F109" s="12" t="s">
        <v>38</v>
      </c>
      <c r="G109" s="13">
        <v>3188.0</v>
      </c>
      <c r="H109" s="13">
        <v>0.0</v>
      </c>
      <c r="I109" s="13">
        <v>1.0</v>
      </c>
      <c r="J109" s="13">
        <v>0.0</v>
      </c>
      <c r="K109" s="12" t="s">
        <v>21</v>
      </c>
      <c r="L109" s="7">
        <v>41625.39642361111</v>
      </c>
      <c r="M109" s="14" t="s">
        <v>371</v>
      </c>
      <c r="N109" s="14" t="s">
        <v>372</v>
      </c>
      <c r="O109" s="11" t="str">
        <f>HYPERLINK("https://pbs.twimg.com/profile_images/698122458377883648/ZP8TcGjS_normal.png","View")</f>
        <v>View</v>
      </c>
      <c r="P109" s="15"/>
    </row>
    <row r="110">
      <c r="A110" s="7">
        <v>42425.089317129634</v>
      </c>
      <c r="B110" s="8" t="str">
        <f>HYPERLINK("https://twitter.com/LdnCLC","@LdnCLC")</f>
        <v>@LdnCLC</v>
      </c>
      <c r="C110" s="10" t="s">
        <v>373</v>
      </c>
      <c r="D110" s="10" t="s">
        <v>374</v>
      </c>
      <c r="E110" s="11" t="str">
        <f>HYPERLINK("https://twitter.com/LdnCLC/status/702797337018683392","702797337018683392")</f>
        <v>702797337018683392</v>
      </c>
      <c r="F110" s="12" t="s">
        <v>20</v>
      </c>
      <c r="G110" s="13">
        <v>2485.0</v>
      </c>
      <c r="H110" s="13">
        <v>1773.0</v>
      </c>
      <c r="I110" s="13">
        <v>3.0</v>
      </c>
      <c r="J110" s="13">
        <v>3.0</v>
      </c>
      <c r="K110" s="12" t="s">
        <v>21</v>
      </c>
      <c r="L110" s="7">
        <v>39450.246412037035</v>
      </c>
      <c r="M110" s="14" t="s">
        <v>375</v>
      </c>
      <c r="N110" s="14" t="s">
        <v>376</v>
      </c>
      <c r="O110" s="11" t="str">
        <f>HYPERLINK("https://pbs.twimg.com/profile_images/378800000752426163/ed66b0e795765505178d7a7f0d01ba89_normal.png","View")</f>
        <v>View</v>
      </c>
      <c r="P110" s="15"/>
    </row>
    <row r="111">
      <c r="A111" s="7">
        <v>42425.09025462963</v>
      </c>
      <c r="B111" s="8" t="str">
        <f>HYPERLINK("https://twitter.com/dougsparling","@dougsparling")</f>
        <v>@dougsparling</v>
      </c>
      <c r="C111" s="10" t="s">
        <v>377</v>
      </c>
      <c r="D111" s="10" t="s">
        <v>378</v>
      </c>
      <c r="E111" s="11" t="str">
        <f>HYPERLINK("https://twitter.com/dougsparling/status/702797678510530560","702797678510530560")</f>
        <v>702797678510530560</v>
      </c>
      <c r="F111" s="12" t="s">
        <v>52</v>
      </c>
      <c r="G111" s="13">
        <v>607.0</v>
      </c>
      <c r="H111" s="13">
        <v>1574.0</v>
      </c>
      <c r="I111" s="13">
        <v>1.0</v>
      </c>
      <c r="J111" s="13">
        <v>4.0</v>
      </c>
      <c r="K111" s="12" t="s">
        <v>21</v>
      </c>
      <c r="L111" s="7">
        <v>41068.71974537037</v>
      </c>
      <c r="M111" s="14" t="s">
        <v>379</v>
      </c>
      <c r="N111" s="14" t="s">
        <v>380</v>
      </c>
      <c r="O111" s="11" t="str">
        <f>HYPERLINK("https://pbs.twimg.com/profile_images/490615417660907521/pY_Uea_W_normal.jpeg","View")</f>
        <v>View</v>
      </c>
      <c r="P111" s="15"/>
    </row>
    <row r="112">
      <c r="A112" s="7">
        <v>42425.090266203704</v>
      </c>
      <c r="B112" s="8" t="str">
        <f>HYPERLINK("https://twitter.com/sentiwire","@sentiwire")</f>
        <v>@sentiwire</v>
      </c>
      <c r="C112" s="10" t="s">
        <v>381</v>
      </c>
      <c r="D112" s="10" t="s">
        <v>382</v>
      </c>
      <c r="E112" s="11" t="str">
        <f>HYPERLINK("https://twitter.com/sentiwire/status/702797682260070400","702797682260070400")</f>
        <v>702797682260070400</v>
      </c>
      <c r="F112" s="12" t="s">
        <v>383</v>
      </c>
      <c r="G112" s="13">
        <v>515.0</v>
      </c>
      <c r="H112" s="13">
        <v>1716.0</v>
      </c>
      <c r="I112" s="13">
        <v>1.0</v>
      </c>
      <c r="J112" s="13">
        <v>0.0</v>
      </c>
      <c r="K112" s="12" t="s">
        <v>21</v>
      </c>
      <c r="L112" s="7">
        <v>41422.629641203705</v>
      </c>
      <c r="M112" s="16"/>
      <c r="N112" s="14" t="s">
        <v>384</v>
      </c>
      <c r="O112" s="11" t="str">
        <f>HYPERLINK("https://pbs.twimg.com/profile_images/686965105473396736/B9V5UtGS_normal.jpg","View")</f>
        <v>View</v>
      </c>
      <c r="P112" s="15"/>
    </row>
    <row r="113">
      <c r="A113" s="7">
        <v>42425.091099537036</v>
      </c>
      <c r="B113" s="8" t="str">
        <f>HYPERLINK("https://twitter.com/pydigest","@pydigest")</f>
        <v>@pydigest</v>
      </c>
      <c r="C113" s="10" t="s">
        <v>385</v>
      </c>
      <c r="D113" s="10" t="s">
        <v>386</v>
      </c>
      <c r="E113" s="11" t="str">
        <f>HYPERLINK("https://twitter.com/pydigest/status/702797986238230528","702797986238230528")</f>
        <v>702797986238230528</v>
      </c>
      <c r="F113" s="12" t="s">
        <v>103</v>
      </c>
      <c r="G113" s="13">
        <v>634.0</v>
      </c>
      <c r="H113" s="13">
        <v>22.0</v>
      </c>
      <c r="I113" s="13">
        <v>0.0</v>
      </c>
      <c r="J113" s="13">
        <v>0.0</v>
      </c>
      <c r="K113" s="12" t="s">
        <v>21</v>
      </c>
      <c r="L113" s="7">
        <v>41797.15729166666</v>
      </c>
      <c r="M113" s="16"/>
      <c r="N113" s="14" t="s">
        <v>387</v>
      </c>
      <c r="O113" s="11" t="str">
        <f>HYPERLINK("https://pbs.twimg.com/profile_images/475228702922387457/6gYeuqxD_normal.jpeg","View")</f>
        <v>View</v>
      </c>
      <c r="P113" s="15"/>
    </row>
    <row r="114">
      <c r="A114" s="7">
        <v>42425.09122685185</v>
      </c>
      <c r="B114" s="8" t="str">
        <f>HYPERLINK("https://twitter.com/MundoSQL","@MundoSQL")</f>
        <v>@MundoSQL</v>
      </c>
      <c r="C114" s="10" t="s">
        <v>388</v>
      </c>
      <c r="D114" s="10" t="s">
        <v>389</v>
      </c>
      <c r="E114" s="11" t="str">
        <f>HYPERLINK("https://twitter.com/MundoSQL/status/702798032660783104","702798032660783104")</f>
        <v>702798032660783104</v>
      </c>
      <c r="F114" s="17" t="s">
        <v>349</v>
      </c>
      <c r="G114" s="13">
        <v>131.0</v>
      </c>
      <c r="H114" s="13">
        <v>12.0</v>
      </c>
      <c r="I114" s="13">
        <v>0.0</v>
      </c>
      <c r="J114" s="13">
        <v>0.0</v>
      </c>
      <c r="K114" s="12" t="s">
        <v>21</v>
      </c>
      <c r="L114" s="7">
        <v>42142.89109953704</v>
      </c>
      <c r="M114" s="16"/>
      <c r="N114" s="16"/>
      <c r="O114" s="11" t="str">
        <f>HYPERLINK("https://pbs.twimg.com/profile_images/633894151541686272/biuRvPew_normal.jpg","View")</f>
        <v>View</v>
      </c>
      <c r="P114" s="15"/>
    </row>
    <row r="115">
      <c r="A115" s="7">
        <v>42425.091412037036</v>
      </c>
      <c r="B115" s="8" t="str">
        <f>HYPERLINK("https://twitter.com/kamiljsokolowsk","@kamiljsokolowsk")</f>
        <v>@kamiljsokolowsk</v>
      </c>
      <c r="C115" s="10" t="s">
        <v>390</v>
      </c>
      <c r="D115" s="10" t="s">
        <v>391</v>
      </c>
      <c r="E115" s="11" t="str">
        <f>HYPERLINK("https://twitter.com/kamiljsokolowsk/status/702798098343567360","702798098343567360")</f>
        <v>702798098343567360</v>
      </c>
      <c r="F115" s="12" t="s">
        <v>152</v>
      </c>
      <c r="G115" s="13">
        <v>11.0</v>
      </c>
      <c r="H115" s="13">
        <v>52.0</v>
      </c>
      <c r="I115" s="13">
        <v>0.0</v>
      </c>
      <c r="J115" s="13">
        <v>1.0</v>
      </c>
      <c r="K115" s="12" t="s">
        <v>21</v>
      </c>
      <c r="L115" s="7">
        <v>42382.15236111111</v>
      </c>
      <c r="M115" s="16"/>
      <c r="N115" s="16"/>
      <c r="O115" s="11" t="str">
        <f>HYPERLINK("https://pbs.twimg.com/profile_images/689960396065734656/fLrueKGG_normal.jpg","View")</f>
        <v>View</v>
      </c>
      <c r="P115" s="15"/>
    </row>
    <row r="116">
      <c r="A116" s="7">
        <v>42425.0919212963</v>
      </c>
      <c r="B116" s="8" t="str">
        <f>HYPERLINK("https://twitter.com/JoshuaLongUK","@JoshuaLongUK")</f>
        <v>@JoshuaLongUK</v>
      </c>
      <c r="C116" s="10" t="s">
        <v>101</v>
      </c>
      <c r="D116" s="10" t="s">
        <v>392</v>
      </c>
      <c r="E116" s="11" t="str">
        <f>HYPERLINK("https://twitter.com/JoshuaLongUK/status/702798280804188160","702798280804188160")</f>
        <v>702798280804188160</v>
      </c>
      <c r="F116" s="12" t="s">
        <v>103</v>
      </c>
      <c r="G116" s="13">
        <v>25832.0</v>
      </c>
      <c r="H116" s="13">
        <v>93.0</v>
      </c>
      <c r="I116" s="13">
        <v>0.0</v>
      </c>
      <c r="J116" s="13">
        <v>0.0</v>
      </c>
      <c r="K116" s="12" t="s">
        <v>21</v>
      </c>
      <c r="L116" s="7">
        <v>41149.39659722222</v>
      </c>
      <c r="M116" s="14" t="s">
        <v>104</v>
      </c>
      <c r="N116" s="14" t="s">
        <v>105</v>
      </c>
      <c r="O116" s="11" t="str">
        <f>HYPERLINK("https://pbs.twimg.com/profile_images/627996138403168256/DaASdgVr_normal.jpg","View")</f>
        <v>View</v>
      </c>
      <c r="P116" s="15"/>
    </row>
    <row r="117">
      <c r="A117" s="7">
        <v>42425.093206018515</v>
      </c>
      <c r="B117" s="8" t="str">
        <f t="shared" ref="B117:B126" si="11">HYPERLINK("https://twitter.com/artwisanggeni","@artwisanggeni")</f>
        <v>@artwisanggeni</v>
      </c>
      <c r="C117" s="10" t="s">
        <v>74</v>
      </c>
      <c r="D117" s="10" t="s">
        <v>393</v>
      </c>
      <c r="E117" s="11" t="str">
        <f>HYPERLINK("https://twitter.com/artwisanggeni/status/702798746099146752","702798746099146752")</f>
        <v>702798746099146752</v>
      </c>
      <c r="F117" s="17" t="s">
        <v>76</v>
      </c>
      <c r="G117" s="13">
        <v>236.0</v>
      </c>
      <c r="H117" s="13">
        <v>61.0</v>
      </c>
      <c r="I117" s="13">
        <v>0.0</v>
      </c>
      <c r="J117" s="13">
        <v>0.0</v>
      </c>
      <c r="K117" s="12" t="s">
        <v>21</v>
      </c>
      <c r="L117" s="7">
        <v>41218.90608796296</v>
      </c>
      <c r="M117" s="14" t="s">
        <v>77</v>
      </c>
      <c r="N117" s="14" t="s">
        <v>78</v>
      </c>
      <c r="O117" s="11" t="str">
        <f t="shared" ref="O117:O126" si="12">HYPERLINK("https://pbs.twimg.com/profile_images/2813636657/599521f69e2bc210a57323b64d8e39e6_normal.jpeg","View")</f>
        <v>View</v>
      </c>
      <c r="P117" s="15"/>
    </row>
    <row r="118">
      <c r="A118" s="7">
        <v>42425.09321759259</v>
      </c>
      <c r="B118" s="8" t="str">
        <f t="shared" si="11"/>
        <v>@artwisanggeni</v>
      </c>
      <c r="C118" s="10" t="s">
        <v>74</v>
      </c>
      <c r="D118" s="10" t="s">
        <v>394</v>
      </c>
      <c r="E118" s="11" t="str">
        <f>HYPERLINK("https://twitter.com/artwisanggeni/status/702798750276673536","702798750276673536")</f>
        <v>702798750276673536</v>
      </c>
      <c r="F118" s="17" t="s">
        <v>76</v>
      </c>
      <c r="G118" s="13">
        <v>236.0</v>
      </c>
      <c r="H118" s="13">
        <v>61.0</v>
      </c>
      <c r="I118" s="13">
        <v>0.0</v>
      </c>
      <c r="J118" s="13">
        <v>0.0</v>
      </c>
      <c r="K118" s="12" t="s">
        <v>21</v>
      </c>
      <c r="L118" s="7">
        <v>41218.90608796296</v>
      </c>
      <c r="M118" s="14" t="s">
        <v>77</v>
      </c>
      <c r="N118" s="14" t="s">
        <v>78</v>
      </c>
      <c r="O118" s="11" t="str">
        <f t="shared" si="12"/>
        <v>View</v>
      </c>
      <c r="P118" s="15"/>
    </row>
    <row r="119">
      <c r="A119" s="7">
        <v>42425.09321759259</v>
      </c>
      <c r="B119" s="8" t="str">
        <f t="shared" si="11"/>
        <v>@artwisanggeni</v>
      </c>
      <c r="C119" s="10" t="s">
        <v>74</v>
      </c>
      <c r="D119" s="10" t="s">
        <v>395</v>
      </c>
      <c r="E119" s="11" t="str">
        <f>HYPERLINK("https://twitter.com/artwisanggeni/status/702798753967665152","702798753967665152")</f>
        <v>702798753967665152</v>
      </c>
      <c r="F119" s="17" t="s">
        <v>76</v>
      </c>
      <c r="G119" s="13">
        <v>236.0</v>
      </c>
      <c r="H119" s="13">
        <v>61.0</v>
      </c>
      <c r="I119" s="13">
        <v>0.0</v>
      </c>
      <c r="J119" s="13">
        <v>0.0</v>
      </c>
      <c r="K119" s="12" t="s">
        <v>21</v>
      </c>
      <c r="L119" s="7">
        <v>41218.90608796296</v>
      </c>
      <c r="M119" s="14" t="s">
        <v>77</v>
      </c>
      <c r="N119" s="14" t="s">
        <v>78</v>
      </c>
      <c r="O119" s="11" t="str">
        <f t="shared" si="12"/>
        <v>View</v>
      </c>
      <c r="P119" s="15"/>
    </row>
    <row r="120">
      <c r="A120" s="7">
        <v>42425.09322916667</v>
      </c>
      <c r="B120" s="8" t="str">
        <f t="shared" si="11"/>
        <v>@artwisanggeni</v>
      </c>
      <c r="C120" s="10" t="s">
        <v>74</v>
      </c>
      <c r="D120" s="10" t="s">
        <v>396</v>
      </c>
      <c r="E120" s="11" t="str">
        <f>HYPERLINK("https://twitter.com/artwisanggeni/status/702798757365096449","702798757365096449")</f>
        <v>702798757365096449</v>
      </c>
      <c r="F120" s="17" t="s">
        <v>76</v>
      </c>
      <c r="G120" s="13">
        <v>236.0</v>
      </c>
      <c r="H120" s="13">
        <v>61.0</v>
      </c>
      <c r="I120" s="13">
        <v>0.0</v>
      </c>
      <c r="J120" s="13">
        <v>0.0</v>
      </c>
      <c r="K120" s="12" t="s">
        <v>21</v>
      </c>
      <c r="L120" s="7">
        <v>41218.90608796296</v>
      </c>
      <c r="M120" s="14" t="s">
        <v>77</v>
      </c>
      <c r="N120" s="14" t="s">
        <v>78</v>
      </c>
      <c r="O120" s="11" t="str">
        <f t="shared" si="12"/>
        <v>View</v>
      </c>
      <c r="P120" s="15"/>
    </row>
    <row r="121">
      <c r="A121" s="7">
        <v>42425.09324074074</v>
      </c>
      <c r="B121" s="8" t="str">
        <f t="shared" si="11"/>
        <v>@artwisanggeni</v>
      </c>
      <c r="C121" s="10" t="s">
        <v>74</v>
      </c>
      <c r="D121" s="10" t="s">
        <v>397</v>
      </c>
      <c r="E121" s="11" t="str">
        <f>HYPERLINK("https://twitter.com/artwisanggeni/status/702798761454489600","702798761454489600")</f>
        <v>702798761454489600</v>
      </c>
      <c r="F121" s="17" t="s">
        <v>76</v>
      </c>
      <c r="G121" s="13">
        <v>236.0</v>
      </c>
      <c r="H121" s="13">
        <v>61.0</v>
      </c>
      <c r="I121" s="13">
        <v>0.0</v>
      </c>
      <c r="J121" s="13">
        <v>0.0</v>
      </c>
      <c r="K121" s="12" t="s">
        <v>21</v>
      </c>
      <c r="L121" s="7">
        <v>41218.90608796296</v>
      </c>
      <c r="M121" s="14" t="s">
        <v>77</v>
      </c>
      <c r="N121" s="14" t="s">
        <v>78</v>
      </c>
      <c r="O121" s="11" t="str">
        <f t="shared" si="12"/>
        <v>View</v>
      </c>
      <c r="P121" s="15"/>
    </row>
    <row r="122">
      <c r="A122" s="7">
        <v>42425.093252314815</v>
      </c>
      <c r="B122" s="8" t="str">
        <f t="shared" si="11"/>
        <v>@artwisanggeni</v>
      </c>
      <c r="C122" s="10" t="s">
        <v>74</v>
      </c>
      <c r="D122" s="10" t="s">
        <v>398</v>
      </c>
      <c r="E122" s="11" t="str">
        <f>HYPERLINK("https://twitter.com/artwisanggeni/status/702798765107736576","702798765107736576")</f>
        <v>702798765107736576</v>
      </c>
      <c r="F122" s="17" t="s">
        <v>76</v>
      </c>
      <c r="G122" s="13">
        <v>236.0</v>
      </c>
      <c r="H122" s="13">
        <v>61.0</v>
      </c>
      <c r="I122" s="13">
        <v>0.0</v>
      </c>
      <c r="J122" s="13">
        <v>0.0</v>
      </c>
      <c r="K122" s="12" t="s">
        <v>21</v>
      </c>
      <c r="L122" s="7">
        <v>41218.90608796296</v>
      </c>
      <c r="M122" s="14" t="s">
        <v>77</v>
      </c>
      <c r="N122" s="14" t="s">
        <v>78</v>
      </c>
      <c r="O122" s="11" t="str">
        <f t="shared" si="12"/>
        <v>View</v>
      </c>
      <c r="P122" s="15"/>
    </row>
    <row r="123">
      <c r="A123" s="7">
        <v>42425.09326388889</v>
      </c>
      <c r="B123" s="8" t="str">
        <f t="shared" si="11"/>
        <v>@artwisanggeni</v>
      </c>
      <c r="C123" s="10" t="s">
        <v>74</v>
      </c>
      <c r="D123" s="10" t="s">
        <v>399</v>
      </c>
      <c r="E123" s="11" t="str">
        <f>HYPERLINK("https://twitter.com/artwisanggeni/status/702798768534478848","702798768534478848")</f>
        <v>702798768534478848</v>
      </c>
      <c r="F123" s="17" t="s">
        <v>76</v>
      </c>
      <c r="G123" s="13">
        <v>236.0</v>
      </c>
      <c r="H123" s="13">
        <v>61.0</v>
      </c>
      <c r="I123" s="13">
        <v>0.0</v>
      </c>
      <c r="J123" s="13">
        <v>0.0</v>
      </c>
      <c r="K123" s="12" t="s">
        <v>21</v>
      </c>
      <c r="L123" s="7">
        <v>41218.90608796296</v>
      </c>
      <c r="M123" s="14" t="s">
        <v>77</v>
      </c>
      <c r="N123" s="14" t="s">
        <v>78</v>
      </c>
      <c r="O123" s="11" t="str">
        <f t="shared" si="12"/>
        <v>View</v>
      </c>
      <c r="P123" s="15"/>
    </row>
    <row r="124">
      <c r="A124" s="7">
        <v>42425.09327546296</v>
      </c>
      <c r="B124" s="8" t="str">
        <f t="shared" si="11"/>
        <v>@artwisanggeni</v>
      </c>
      <c r="C124" s="10" t="s">
        <v>74</v>
      </c>
      <c r="D124" s="10" t="s">
        <v>400</v>
      </c>
      <c r="E124" s="11" t="str">
        <f>HYPERLINK("https://twitter.com/artwisanggeni/status/702798771868962816","702798771868962816")</f>
        <v>702798771868962816</v>
      </c>
      <c r="F124" s="17" t="s">
        <v>76</v>
      </c>
      <c r="G124" s="13">
        <v>236.0</v>
      </c>
      <c r="H124" s="13">
        <v>61.0</v>
      </c>
      <c r="I124" s="13">
        <v>0.0</v>
      </c>
      <c r="J124" s="13">
        <v>0.0</v>
      </c>
      <c r="K124" s="12" t="s">
        <v>21</v>
      </c>
      <c r="L124" s="7">
        <v>41218.90608796296</v>
      </c>
      <c r="M124" s="14" t="s">
        <v>77</v>
      </c>
      <c r="N124" s="14" t="s">
        <v>78</v>
      </c>
      <c r="O124" s="11" t="str">
        <f t="shared" si="12"/>
        <v>View</v>
      </c>
      <c r="P124" s="15"/>
    </row>
    <row r="125">
      <c r="A125" s="7">
        <v>42425.09327546296</v>
      </c>
      <c r="B125" s="8" t="str">
        <f t="shared" si="11"/>
        <v>@artwisanggeni</v>
      </c>
      <c r="C125" s="10" t="s">
        <v>74</v>
      </c>
      <c r="D125" s="10" t="s">
        <v>401</v>
      </c>
      <c r="E125" s="11" t="str">
        <f>HYPERLINK("https://twitter.com/artwisanggeni/status/702798774943379456","702798774943379456")</f>
        <v>702798774943379456</v>
      </c>
      <c r="F125" s="17" t="s">
        <v>76</v>
      </c>
      <c r="G125" s="13">
        <v>236.0</v>
      </c>
      <c r="H125" s="13">
        <v>61.0</v>
      </c>
      <c r="I125" s="13">
        <v>0.0</v>
      </c>
      <c r="J125" s="13">
        <v>0.0</v>
      </c>
      <c r="K125" s="12" t="s">
        <v>21</v>
      </c>
      <c r="L125" s="7">
        <v>41218.90608796296</v>
      </c>
      <c r="M125" s="14" t="s">
        <v>77</v>
      </c>
      <c r="N125" s="14" t="s">
        <v>78</v>
      </c>
      <c r="O125" s="11" t="str">
        <f t="shared" si="12"/>
        <v>View</v>
      </c>
      <c r="P125" s="15"/>
    </row>
    <row r="126">
      <c r="A126" s="7">
        <v>42425.09328703704</v>
      </c>
      <c r="B126" s="8" t="str">
        <f t="shared" si="11"/>
        <v>@artwisanggeni</v>
      </c>
      <c r="C126" s="10" t="s">
        <v>74</v>
      </c>
      <c r="D126" s="10" t="s">
        <v>402</v>
      </c>
      <c r="E126" s="11" t="str">
        <f>HYPERLINK("https://twitter.com/artwisanggeni/status/702798778042978304","702798778042978304")</f>
        <v>702798778042978304</v>
      </c>
      <c r="F126" s="17" t="s">
        <v>76</v>
      </c>
      <c r="G126" s="13">
        <v>236.0</v>
      </c>
      <c r="H126" s="13">
        <v>61.0</v>
      </c>
      <c r="I126" s="13">
        <v>1.0</v>
      </c>
      <c r="J126" s="13">
        <v>0.0</v>
      </c>
      <c r="K126" s="12" t="s">
        <v>21</v>
      </c>
      <c r="L126" s="7">
        <v>41218.90608796296</v>
      </c>
      <c r="M126" s="14" t="s">
        <v>77</v>
      </c>
      <c r="N126" s="14" t="s">
        <v>78</v>
      </c>
      <c r="O126" s="11" t="str">
        <f t="shared" si="12"/>
        <v>View</v>
      </c>
      <c r="P126" s="15"/>
    </row>
    <row r="127">
      <c r="A127" s="7">
        <v>42425.09370370371</v>
      </c>
      <c r="B127" s="8" t="str">
        <f>HYPERLINK("https://twitter.com/JackBaldwin16","@JackBaldwin16")</f>
        <v>@JackBaldwin16</v>
      </c>
      <c r="C127" s="10" t="s">
        <v>403</v>
      </c>
      <c r="D127" s="10" t="s">
        <v>404</v>
      </c>
      <c r="E127" s="11" t="str">
        <f>HYPERLINK("https://twitter.com/JackBaldwin16/status/702798926420643840","702798926420643840")</f>
        <v>702798926420643840</v>
      </c>
      <c r="F127" s="12" t="s">
        <v>405</v>
      </c>
      <c r="G127" s="13">
        <v>8839.0</v>
      </c>
      <c r="H127" s="13">
        <v>8638.0</v>
      </c>
      <c r="I127" s="13">
        <v>1.0</v>
      </c>
      <c r="J127" s="13">
        <v>0.0</v>
      </c>
      <c r="K127" s="12" t="s">
        <v>21</v>
      </c>
      <c r="L127" s="7">
        <v>41228.91784722223</v>
      </c>
      <c r="M127" s="14" t="s">
        <v>406</v>
      </c>
      <c r="N127" s="14" t="s">
        <v>407</v>
      </c>
      <c r="O127" s="11" t="str">
        <f>HYPERLINK("https://pbs.twimg.com/profile_images/594870213696294913/oPDQNbOF_normal.jpg","View")</f>
        <v>View</v>
      </c>
      <c r="P127" s="15"/>
    </row>
    <row r="128">
      <c r="A128" s="7">
        <v>42425.09462962963</v>
      </c>
      <c r="B128" s="8" t="str">
        <f>HYPERLINK("https://twitter.com/StackDevJobs","@StackDevJobs")</f>
        <v>@StackDevJobs</v>
      </c>
      <c r="C128" s="10" t="s">
        <v>24</v>
      </c>
      <c r="D128" s="10" t="s">
        <v>408</v>
      </c>
      <c r="E128" s="11" t="str">
        <f>HYPERLINK("https://twitter.com/StackDevJobs/status/702799265513529344","702799265513529344")</f>
        <v>702799265513529344</v>
      </c>
      <c r="F128" s="12" t="s">
        <v>26</v>
      </c>
      <c r="G128" s="13">
        <v>12541.0</v>
      </c>
      <c r="H128" s="13">
        <v>327.0</v>
      </c>
      <c r="I128" s="13">
        <v>0.0</v>
      </c>
      <c r="J128" s="13">
        <v>0.0</v>
      </c>
      <c r="K128" s="12" t="s">
        <v>21</v>
      </c>
      <c r="L128" s="7">
        <v>40435.245416666665</v>
      </c>
      <c r="M128" s="16"/>
      <c r="N128" s="14" t="s">
        <v>27</v>
      </c>
      <c r="O128" s="11" t="str">
        <f>HYPERLINK("https://pbs.twimg.com/profile_images/643779014268579840/bRJStj7A_normal.png","View")</f>
        <v>View</v>
      </c>
      <c r="P128" s="15"/>
    </row>
    <row r="129">
      <c r="A129" s="7">
        <v>42425.095196759255</v>
      </c>
      <c r="B129" s="8" t="str">
        <f>HYPERLINK("https://twitter.com/BestCourses_","@BestCourses_")</f>
        <v>@BestCourses_</v>
      </c>
      <c r="C129" s="10" t="s">
        <v>409</v>
      </c>
      <c r="D129" s="10" t="s">
        <v>410</v>
      </c>
      <c r="E129" s="11" t="str">
        <f>HYPERLINK("https://twitter.com/BestCourses_/status/702799469310550016","702799469310550016")</f>
        <v>702799469310550016</v>
      </c>
      <c r="F129" s="12" t="s">
        <v>103</v>
      </c>
      <c r="G129" s="13">
        <v>528.0</v>
      </c>
      <c r="H129" s="13">
        <v>40.0</v>
      </c>
      <c r="I129" s="13">
        <v>1.0</v>
      </c>
      <c r="J129" s="13">
        <v>0.0</v>
      </c>
      <c r="K129" s="12" t="s">
        <v>21</v>
      </c>
      <c r="L129" s="7">
        <v>42294.333125000005</v>
      </c>
      <c r="M129" s="14" t="s">
        <v>411</v>
      </c>
      <c r="N129" s="14" t="s">
        <v>412</v>
      </c>
      <c r="O129" s="11" t="str">
        <f>HYPERLINK("https://pbs.twimg.com/profile_images/655401968802861056/yuPEMhy3_normal.jpg","View")</f>
        <v>View</v>
      </c>
      <c r="P129" s="15"/>
    </row>
    <row r="130">
      <c r="A130" s="7">
        <v>42425.09585648148</v>
      </c>
      <c r="B130" s="8" t="str">
        <f>HYPERLINK("https://twitter.com/journalduhacker","@journalduhacker")</f>
        <v>@journalduhacker</v>
      </c>
      <c r="C130" s="10" t="s">
        <v>413</v>
      </c>
      <c r="D130" s="10" t="s">
        <v>414</v>
      </c>
      <c r="E130" s="11" t="str">
        <f>HYPERLINK("https://twitter.com/journalduhacker/status/702799708872429569","702799708872429569")</f>
        <v>702799708872429569</v>
      </c>
      <c r="F130" s="12" t="s">
        <v>415</v>
      </c>
      <c r="G130" s="13">
        <v>1121.0</v>
      </c>
      <c r="H130" s="13">
        <v>0.0</v>
      </c>
      <c r="I130" s="13">
        <v>4.0</v>
      </c>
      <c r="J130" s="13">
        <v>0.0</v>
      </c>
      <c r="K130" s="12" t="s">
        <v>21</v>
      </c>
      <c r="L130" s="7">
        <v>42205.245208333334</v>
      </c>
      <c r="M130" s="14" t="s">
        <v>416</v>
      </c>
      <c r="N130" s="14" t="s">
        <v>417</v>
      </c>
      <c r="O130" s="11" t="str">
        <f>HYPERLINK("https://pbs.twimg.com/profile_images/626337909315125248/DyG7yNNm_normal.png","View")</f>
        <v>View</v>
      </c>
      <c r="P130" s="15"/>
    </row>
    <row r="131">
      <c r="A131" s="7">
        <v>42425.096712962964</v>
      </c>
      <c r="B131" s="8" t="str">
        <f>HYPERLINK("https://twitter.com/salvatoremonaco","@salvatoremonaco")</f>
        <v>@salvatoremonaco</v>
      </c>
      <c r="C131" s="10" t="s">
        <v>418</v>
      </c>
      <c r="D131" s="10" t="s">
        <v>419</v>
      </c>
      <c r="E131" s="11" t="str">
        <f>HYPERLINK("https://twitter.com/salvatoremonaco/status/702800017141145600","702800017141145600")</f>
        <v>702800017141145600</v>
      </c>
      <c r="F131" s="12" t="s">
        <v>20</v>
      </c>
      <c r="G131" s="13">
        <v>195.0</v>
      </c>
      <c r="H131" s="13">
        <v>524.0</v>
      </c>
      <c r="I131" s="13">
        <v>0.0</v>
      </c>
      <c r="J131" s="13">
        <v>1.0</v>
      </c>
      <c r="K131" s="12" t="s">
        <v>21</v>
      </c>
      <c r="L131" s="7">
        <v>39971.13170138889</v>
      </c>
      <c r="M131" s="14" t="s">
        <v>420</v>
      </c>
      <c r="N131" s="14" t="s">
        <v>421</v>
      </c>
      <c r="O131" s="11" t="str">
        <f>HYPERLINK("https://pbs.twimg.com/profile_images/1781002900/image_normal.jpg","View")</f>
        <v>View</v>
      </c>
      <c r="P131" s="15"/>
    </row>
    <row r="132">
      <c r="A132" s="7">
        <v>42425.0967824074</v>
      </c>
      <c r="B132" s="8" t="str">
        <f>HYPERLINK("https://twitter.com/KanorUbu","@KanorUbu")</f>
        <v>@KanorUbu</v>
      </c>
      <c r="C132" s="10" t="s">
        <v>422</v>
      </c>
      <c r="D132" s="10" t="s">
        <v>423</v>
      </c>
      <c r="E132" s="11" t="str">
        <f>HYPERLINK("https://twitter.com/KanorUbu/status/702800042533511168","702800042533511168")</f>
        <v>702800042533511168</v>
      </c>
      <c r="F132" s="12" t="s">
        <v>20</v>
      </c>
      <c r="G132" s="13">
        <v>342.0</v>
      </c>
      <c r="H132" s="13">
        <v>1050.0</v>
      </c>
      <c r="I132" s="13">
        <v>7.0</v>
      </c>
      <c r="J132" s="13">
        <v>0.0</v>
      </c>
      <c r="K132" s="12" t="s">
        <v>21</v>
      </c>
      <c r="L132" s="7">
        <v>39706.57627314815</v>
      </c>
      <c r="M132" s="14" t="s">
        <v>424</v>
      </c>
      <c r="N132" s="14" t="s">
        <v>425</v>
      </c>
      <c r="O132" s="11" t="str">
        <f>HYPERLINK("https://pbs.twimg.com/profile_images/378800000797263940/dda00273cce84ef7fff53884f9933fa2_normal.jpeg","View")</f>
        <v>View</v>
      </c>
      <c r="P132" s="15"/>
    </row>
    <row r="133">
      <c r="A133" s="7">
        <v>42425.097037037034</v>
      </c>
      <c r="B133" s="8" t="str">
        <f>HYPERLINK("https://twitter.com/Zilkos","@Zilkos")</f>
        <v>@Zilkos</v>
      </c>
      <c r="C133" s="10" t="s">
        <v>426</v>
      </c>
      <c r="D133" s="10" t="s">
        <v>427</v>
      </c>
      <c r="E133" s="11" t="str">
        <f>HYPERLINK("https://twitter.com/Zilkos/status/702800135319908352","702800135319908352")</f>
        <v>702800135319908352</v>
      </c>
      <c r="F133" s="12" t="s">
        <v>20</v>
      </c>
      <c r="G133" s="13">
        <v>158.0</v>
      </c>
      <c r="H133" s="13">
        <v>341.0</v>
      </c>
      <c r="I133" s="13">
        <v>7.0</v>
      </c>
      <c r="J133" s="13">
        <v>0.0</v>
      </c>
      <c r="K133" s="12" t="s">
        <v>21</v>
      </c>
      <c r="L133" s="7">
        <v>40653.1609375</v>
      </c>
      <c r="M133" s="14">
        <v>79.0</v>
      </c>
      <c r="N133" s="14" t="s">
        <v>428</v>
      </c>
      <c r="O133" s="11" t="str">
        <f>HYPERLINK("https://pbs.twimg.com/profile_images/699966979877113857/lSPpVZyT_normal.png","View")</f>
        <v>View</v>
      </c>
      <c r="P133" s="15"/>
    </row>
    <row r="134">
      <c r="A134" s="7">
        <v>42425.09711805556</v>
      </c>
      <c r="B134" s="8" t="str">
        <f>HYPERLINK("https://twitter.com/furthest_works","@furthest_works")</f>
        <v>@furthest_works</v>
      </c>
      <c r="C134" s="10" t="s">
        <v>429</v>
      </c>
      <c r="D134" s="10" t="s">
        <v>430</v>
      </c>
      <c r="E134" s="11" t="str">
        <f>HYPERLINK("https://twitter.com/furthest_works/status/702800165552443392","702800165552443392")</f>
        <v>702800165552443392</v>
      </c>
      <c r="F134" s="12" t="s">
        <v>431</v>
      </c>
      <c r="G134" s="13">
        <v>2262.0</v>
      </c>
      <c r="H134" s="13">
        <v>536.0</v>
      </c>
      <c r="I134" s="13">
        <v>0.0</v>
      </c>
      <c r="J134" s="13">
        <v>0.0</v>
      </c>
      <c r="K134" s="12" t="s">
        <v>21</v>
      </c>
      <c r="L134" s="7">
        <v>40703.00605324074</v>
      </c>
      <c r="M134" s="14" t="s">
        <v>432</v>
      </c>
      <c r="N134" s="14" t="s">
        <v>433</v>
      </c>
      <c r="O134" s="11" t="str">
        <f>HYPERLINK("https://pbs.twimg.com/profile_images/1388620416/furthest_work1_normal.jpg","View")</f>
        <v>View</v>
      </c>
      <c r="P134" s="15"/>
    </row>
    <row r="135">
      <c r="A135" s="7">
        <v>42425.09793981482</v>
      </c>
      <c r="B135" s="8" t="str">
        <f>HYPERLINK("https://twitter.com/_BarneyStins0n_","@_BarneyStins0n_")</f>
        <v>@_BarneyStins0n_</v>
      </c>
      <c r="C135" s="10" t="s">
        <v>434</v>
      </c>
      <c r="D135" s="10" t="s">
        <v>427</v>
      </c>
      <c r="E135" s="11" t="str">
        <f>HYPERLINK("https://twitter.com/_BarneyStins0n_/status/702800462181965824","702800462181965824")</f>
        <v>702800462181965824</v>
      </c>
      <c r="F135" s="12" t="s">
        <v>52</v>
      </c>
      <c r="G135" s="13">
        <v>423.0</v>
      </c>
      <c r="H135" s="13">
        <v>143.0</v>
      </c>
      <c r="I135" s="13">
        <v>7.0</v>
      </c>
      <c r="J135" s="13">
        <v>0.0</v>
      </c>
      <c r="K135" s="12" t="s">
        <v>21</v>
      </c>
      <c r="L135" s="7">
        <v>40445.626817129625</v>
      </c>
      <c r="M135" s="14" t="s">
        <v>435</v>
      </c>
      <c r="N135" s="14" t="s">
        <v>436</v>
      </c>
      <c r="O135" s="11" t="str">
        <f>HYPERLINK("https://pbs.twimg.com/profile_images/691186937525354496/hPpUzKca_normal.jpg","View")</f>
        <v>View</v>
      </c>
      <c r="P135" s="15"/>
    </row>
    <row r="136">
      <c r="A136" s="7">
        <v>42425.09980324074</v>
      </c>
      <c r="B136" s="8" t="str">
        <f>HYPERLINK("https://twitter.com/vkaltenbronn","@vkaltenbronn")</f>
        <v>@vkaltenbronn</v>
      </c>
      <c r="C136" s="10" t="s">
        <v>437</v>
      </c>
      <c r="D136" s="10" t="s">
        <v>427</v>
      </c>
      <c r="E136" s="11" t="str">
        <f>HYPERLINK("https://twitter.com/vkaltenbronn/status/702801137490124800","702801137490124800")</f>
        <v>702801137490124800</v>
      </c>
      <c r="F136" s="12" t="s">
        <v>152</v>
      </c>
      <c r="G136" s="13">
        <v>360.0</v>
      </c>
      <c r="H136" s="13">
        <v>161.0</v>
      </c>
      <c r="I136" s="13">
        <v>7.0</v>
      </c>
      <c r="J136" s="13">
        <v>0.0</v>
      </c>
      <c r="K136" s="12" t="s">
        <v>21</v>
      </c>
      <c r="L136" s="7">
        <v>40230.48608796296</v>
      </c>
      <c r="M136" s="14" t="s">
        <v>438</v>
      </c>
      <c r="N136" s="14" t="s">
        <v>439</v>
      </c>
      <c r="O136" s="11" t="str">
        <f>HYPERLINK("https://pbs.twimg.com/profile_images/517216990436794369/WKwcCqR8_normal.jpeg","View")</f>
        <v>View</v>
      </c>
      <c r="P136" s="15"/>
    </row>
    <row r="137">
      <c r="A137" s="7">
        <v>42425.10172453704</v>
      </c>
      <c r="B137" s="8" t="str">
        <f>HYPERLINK("https://twitter.com/programmingncr","@programmingncr")</f>
        <v>@programmingncr</v>
      </c>
      <c r="C137" s="10" t="s">
        <v>262</v>
      </c>
      <c r="D137" s="10" t="s">
        <v>440</v>
      </c>
      <c r="E137" s="11" t="str">
        <f>HYPERLINK("https://twitter.com/programmingncr/status/702801836848390144","702801836848390144")</f>
        <v>702801836848390144</v>
      </c>
      <c r="F137" s="12" t="s">
        <v>103</v>
      </c>
      <c r="G137" s="13">
        <v>328.0</v>
      </c>
      <c r="H137" s="13">
        <v>99.0</v>
      </c>
      <c r="I137" s="13">
        <v>0.0</v>
      </c>
      <c r="J137" s="13">
        <v>0.0</v>
      </c>
      <c r="K137" s="12" t="s">
        <v>21</v>
      </c>
      <c r="L137" s="7">
        <v>42220.86634259259</v>
      </c>
      <c r="M137" s="14" t="s">
        <v>264</v>
      </c>
      <c r="N137" s="14" t="s">
        <v>265</v>
      </c>
      <c r="O137" s="11" t="str">
        <f>HYPERLINK("https://pbs.twimg.com/profile_images/662602436222193664/qKuvsfnG_normal.jpg","View")</f>
        <v>View</v>
      </c>
      <c r="P137" s="15"/>
    </row>
    <row r="138">
      <c r="A138" s="7">
        <v>42425.10267361111</v>
      </c>
      <c r="B138" s="8" t="str">
        <f>HYPERLINK("https://twitter.com/WebsiteBits","@WebsiteBits")</f>
        <v>@WebsiteBits</v>
      </c>
      <c r="C138" s="10" t="s">
        <v>441</v>
      </c>
      <c r="D138" s="10" t="s">
        <v>442</v>
      </c>
      <c r="E138" s="11" t="str">
        <f>HYPERLINK("https://twitter.com/WebsiteBits/status/702802180047175680","702802180047175680")</f>
        <v>702802180047175680</v>
      </c>
      <c r="F138" s="12" t="s">
        <v>20</v>
      </c>
      <c r="G138" s="13">
        <v>147.0</v>
      </c>
      <c r="H138" s="13">
        <v>464.0</v>
      </c>
      <c r="I138" s="13">
        <v>3.0</v>
      </c>
      <c r="J138" s="13">
        <v>0.0</v>
      </c>
      <c r="K138" s="12" t="s">
        <v>21</v>
      </c>
      <c r="L138" s="7">
        <v>42408.57135416666</v>
      </c>
      <c r="M138" s="14" t="s">
        <v>443</v>
      </c>
      <c r="N138" s="14" t="s">
        <v>444</v>
      </c>
      <c r="O138" s="11" t="str">
        <f>HYPERLINK("https://pbs.twimg.com/profile_images/696822585112145920/nt36T5Lh_normal.png","View")</f>
        <v>View</v>
      </c>
      <c r="P138" s="15"/>
    </row>
    <row r="139">
      <c r="A139" s="7">
        <v>42425.10329861111</v>
      </c>
      <c r="B139" s="8" t="str">
        <f>HYPERLINK("https://twitter.com/Cryptie_","@Cryptie_")</f>
        <v>@Cryptie_</v>
      </c>
      <c r="C139" s="10" t="s">
        <v>445</v>
      </c>
      <c r="D139" s="10" t="s">
        <v>427</v>
      </c>
      <c r="E139" s="11" t="str">
        <f>HYPERLINK("https://twitter.com/Cryptie_/status/702802406405480448","702802406405480448")</f>
        <v>702802406405480448</v>
      </c>
      <c r="F139" s="12" t="s">
        <v>446</v>
      </c>
      <c r="G139" s="13">
        <v>116.0</v>
      </c>
      <c r="H139" s="13">
        <v>103.0</v>
      </c>
      <c r="I139" s="13">
        <v>7.0</v>
      </c>
      <c r="J139" s="13">
        <v>0.0</v>
      </c>
      <c r="K139" s="12" t="s">
        <v>21</v>
      </c>
      <c r="L139" s="7">
        <v>41577.15619212963</v>
      </c>
      <c r="M139" s="16"/>
      <c r="N139" s="14" t="s">
        <v>447</v>
      </c>
      <c r="O139" s="11" t="str">
        <f>HYPERLINK("https://pbs.twimg.com/profile_images/378800000668771195/417d81d37e2ec238530bc1415bfe5322_normal.png","View")</f>
        <v>View</v>
      </c>
      <c r="P139" s="15"/>
    </row>
    <row r="140">
      <c r="A140" s="7">
        <v>42425.10346064815</v>
      </c>
      <c r="B140" s="8" t="str">
        <f>HYPERLINK("https://twitter.com/Haffina","@Haffina")</f>
        <v>@Haffina</v>
      </c>
      <c r="C140" s="10" t="s">
        <v>448</v>
      </c>
      <c r="D140" s="10" t="s">
        <v>449</v>
      </c>
      <c r="E140" s="11" t="str">
        <f>HYPERLINK("https://twitter.com/Haffina/status/702802463196364800","702802463196364800")</f>
        <v>702802463196364800</v>
      </c>
      <c r="F140" s="12" t="s">
        <v>450</v>
      </c>
      <c r="G140" s="13">
        <v>907.0</v>
      </c>
      <c r="H140" s="13">
        <v>1363.0</v>
      </c>
      <c r="I140" s="13">
        <v>0.0</v>
      </c>
      <c r="J140" s="13">
        <v>0.0</v>
      </c>
      <c r="K140" s="12" t="s">
        <v>21</v>
      </c>
      <c r="L140" s="7">
        <v>39572.93513888889</v>
      </c>
      <c r="M140" s="14" t="s">
        <v>451</v>
      </c>
      <c r="N140" s="14" t="s">
        <v>452</v>
      </c>
      <c r="O140" s="11" t="str">
        <f>HYPERLINK("https://pbs.twimg.com/profile_images/2071908594/GiantButterflyGlass3_250_normal.png","View")</f>
        <v>View</v>
      </c>
      <c r="P140" s="15"/>
    </row>
    <row r="141">
      <c r="A141" s="7">
        <v>42425.10350694445</v>
      </c>
      <c r="B141" s="8" t="str">
        <f>HYPERLINK("https://twitter.com/apcelent","@apcelent")</f>
        <v>@apcelent</v>
      </c>
      <c r="C141" s="10" t="s">
        <v>453</v>
      </c>
      <c r="D141" s="10" t="s">
        <v>454</v>
      </c>
      <c r="E141" s="11" t="str">
        <f>HYPERLINK("https://twitter.com/apcelent/status/702802481470795777","702802481470795777")</f>
        <v>702802481470795777</v>
      </c>
      <c r="F141" s="12" t="s">
        <v>20</v>
      </c>
      <c r="G141" s="13">
        <v>279.0</v>
      </c>
      <c r="H141" s="13">
        <v>987.0</v>
      </c>
      <c r="I141" s="13">
        <v>14.0</v>
      </c>
      <c r="J141" s="13">
        <v>22.0</v>
      </c>
      <c r="K141" s="12" t="s">
        <v>21</v>
      </c>
      <c r="L141" s="7">
        <v>40799.4952662037</v>
      </c>
      <c r="M141" s="16"/>
      <c r="N141" s="14" t="s">
        <v>455</v>
      </c>
      <c r="O141" s="11" t="str">
        <f>HYPERLINK("https://pbs.twimg.com/profile_images/684234090896179200/JwDkkha-_normal.jpg","View")</f>
        <v>View</v>
      </c>
      <c r="P141" s="15"/>
    </row>
    <row r="142">
      <c r="A142" s="7">
        <v>42425.10418981481</v>
      </c>
      <c r="B142" s="8" t="str">
        <f>HYPERLINK("https://twitter.com/carl_chenet","@carl_chenet")</f>
        <v>@carl_chenet</v>
      </c>
      <c r="C142" s="10" t="s">
        <v>456</v>
      </c>
      <c r="D142" s="10" t="s">
        <v>457</v>
      </c>
      <c r="E142" s="11" t="str">
        <f>HYPERLINK("https://twitter.com/carl_chenet/status/702802729526304769","702802729526304769")</f>
        <v>702802729526304769</v>
      </c>
      <c r="F142" s="12" t="s">
        <v>458</v>
      </c>
      <c r="G142" s="13">
        <v>2278.0</v>
      </c>
      <c r="H142" s="13">
        <v>1615.0</v>
      </c>
      <c r="I142" s="13">
        <v>4.0</v>
      </c>
      <c r="J142" s="13">
        <v>0.0</v>
      </c>
      <c r="K142" s="12" t="s">
        <v>21</v>
      </c>
      <c r="L142" s="7">
        <v>40302.095046296294</v>
      </c>
      <c r="M142" s="16"/>
      <c r="N142" s="14" t="s">
        <v>459</v>
      </c>
      <c r="O142" s="11" t="str">
        <f>HYPERLINK("https://pbs.twimg.com/profile_images/2777592657/94d4bcbbb2e59b6849c75e6609851fb6_normal.png","View")</f>
        <v>View</v>
      </c>
      <c r="P142" s="15"/>
    </row>
    <row r="143">
      <c r="A143" s="7">
        <v>42425.10418981481</v>
      </c>
      <c r="B143" s="8" t="str">
        <f>HYPERLINK("https://twitter.com/mytuxfr","@mytuxfr")</f>
        <v>@mytuxfr</v>
      </c>
      <c r="C143" s="10" t="s">
        <v>460</v>
      </c>
      <c r="D143" s="10" t="s">
        <v>457</v>
      </c>
      <c r="E143" s="11" t="str">
        <f>HYPERLINK("https://twitter.com/mytuxfr/status/702802729639546880","702802729639546880")</f>
        <v>702802729639546880</v>
      </c>
      <c r="F143" s="12" t="s">
        <v>461</v>
      </c>
      <c r="G143" s="13">
        <v>211.0</v>
      </c>
      <c r="H143" s="13">
        <v>145.0</v>
      </c>
      <c r="I143" s="13">
        <v>4.0</v>
      </c>
      <c r="J143" s="13">
        <v>0.0</v>
      </c>
      <c r="K143" s="12" t="s">
        <v>21</v>
      </c>
      <c r="L143" s="7">
        <v>41823.28398148148</v>
      </c>
      <c r="M143" s="14" t="s">
        <v>462</v>
      </c>
      <c r="N143" s="14" t="s">
        <v>463</v>
      </c>
      <c r="O143" s="11" t="str">
        <f>HYPERLINK("https://pbs.twimg.com/profile_images/515914961973805057/yDvSo6-3_normal.png","View")</f>
        <v>View</v>
      </c>
      <c r="P143" s="15"/>
    </row>
    <row r="144">
      <c r="A144" s="7">
        <v>42425.105717592596</v>
      </c>
      <c r="B144" s="8" t="str">
        <f>HYPERLINK("https://twitter.com/darkelda","@darkelda")</f>
        <v>@darkelda</v>
      </c>
      <c r="C144" s="10" t="s">
        <v>464</v>
      </c>
      <c r="D144" s="10" t="s">
        <v>465</v>
      </c>
      <c r="E144" s="11" t="str">
        <f>HYPERLINK("https://twitter.com/darkelda/status/702803281240854528","702803281240854528")</f>
        <v>702803281240854528</v>
      </c>
      <c r="F144" s="12" t="s">
        <v>294</v>
      </c>
      <c r="G144" s="13">
        <v>593.0</v>
      </c>
      <c r="H144" s="13">
        <v>646.0</v>
      </c>
      <c r="I144" s="13">
        <v>0.0</v>
      </c>
      <c r="J144" s="13">
        <v>1.0</v>
      </c>
      <c r="K144" s="12" t="s">
        <v>21</v>
      </c>
      <c r="L144" s="7">
        <v>39816.725266203706</v>
      </c>
      <c r="M144" s="14" t="s">
        <v>462</v>
      </c>
      <c r="N144" s="14" t="s">
        <v>466</v>
      </c>
      <c r="O144" s="11" t="str">
        <f>HYPERLINK("https://pbs.twimg.com/profile_images/378800000395732848/280c978f05a649ed1dc8376db6a37a8a_normal.png","View")</f>
        <v>View</v>
      </c>
      <c r="P144" s="15"/>
    </row>
    <row r="145">
      <c r="A145" s="7">
        <v>42425.10586805556</v>
      </c>
      <c r="B145" s="8" t="str">
        <f>HYPERLINK("https://twitter.com/PythonBooks","@PythonBooks")</f>
        <v>@PythonBooks</v>
      </c>
      <c r="C145" s="10" t="s">
        <v>267</v>
      </c>
      <c r="D145" s="10" t="s">
        <v>467</v>
      </c>
      <c r="E145" s="11" t="str">
        <f>HYPERLINK("https://twitter.com/PythonBooks/status/702803334424465408","702803334424465408")</f>
        <v>702803334424465408</v>
      </c>
      <c r="F145" s="12" t="s">
        <v>20</v>
      </c>
      <c r="G145" s="13">
        <v>20.0</v>
      </c>
      <c r="H145" s="13">
        <v>70.0</v>
      </c>
      <c r="I145" s="13">
        <v>9.0</v>
      </c>
      <c r="J145" s="13">
        <v>0.0</v>
      </c>
      <c r="K145" s="12" t="s">
        <v>21</v>
      </c>
      <c r="L145" s="7">
        <v>42424.13631944444</v>
      </c>
      <c r="M145" s="14" t="s">
        <v>269</v>
      </c>
      <c r="N145" s="14" t="s">
        <v>270</v>
      </c>
      <c r="O145" s="11" t="str">
        <f>HYPERLINK("https://pbs.twimg.com/profile_images/702455638157168640/AeDgtn0C_normal.jpg","View")</f>
        <v>View</v>
      </c>
      <c r="P145" s="15"/>
    </row>
    <row r="146">
      <c r="A146" s="7">
        <v>42425.10737268519</v>
      </c>
      <c r="B146" s="8" t="str">
        <f>HYPERLINK("https://twitter.com/AdamSmitht1","@AdamSmitht1")</f>
        <v>@AdamSmitht1</v>
      </c>
      <c r="C146" s="10" t="s">
        <v>468</v>
      </c>
      <c r="D146" s="10" t="s">
        <v>469</v>
      </c>
      <c r="E146" s="11" t="str">
        <f>HYPERLINK("https://twitter.com/AdamSmitht1/status/702803881848340480","702803881848340480")</f>
        <v>702803881848340480</v>
      </c>
      <c r="F146" s="12" t="s">
        <v>103</v>
      </c>
      <c r="G146" s="13">
        <v>849.0</v>
      </c>
      <c r="H146" s="13">
        <v>793.0</v>
      </c>
      <c r="I146" s="13">
        <v>1.0</v>
      </c>
      <c r="J146" s="13">
        <v>2.0</v>
      </c>
      <c r="K146" s="12" t="s">
        <v>21</v>
      </c>
      <c r="L146" s="7">
        <v>42336.12709490741</v>
      </c>
      <c r="M146" s="14" t="s">
        <v>470</v>
      </c>
      <c r="N146" s="14" t="s">
        <v>471</v>
      </c>
      <c r="O146" s="11" t="str">
        <f>HYPERLINK("https://pbs.twimg.com/profile_images/671623862916812800/yGsDKiP4_normal.jpg","View")</f>
        <v>View</v>
      </c>
      <c r="P146" s="15"/>
    </row>
    <row r="147">
      <c r="A147" s="7">
        <v>42425.107581018514</v>
      </c>
      <c r="B147" s="8" t="str">
        <f>HYPERLINK("https://twitter.com/webcuriousanima","@webcuriousanima")</f>
        <v>@webcuriousanima</v>
      </c>
      <c r="C147" s="10" t="s">
        <v>472</v>
      </c>
      <c r="D147" s="10" t="s">
        <v>473</v>
      </c>
      <c r="E147" s="11" t="str">
        <f>HYPERLINK("https://twitter.com/webcuriousanima/status/702803955483602944","702803955483602944")</f>
        <v>702803955483602944</v>
      </c>
      <c r="F147" s="12" t="s">
        <v>20</v>
      </c>
      <c r="G147" s="13">
        <v>1902.0</v>
      </c>
      <c r="H147" s="13">
        <v>1925.0</v>
      </c>
      <c r="I147" s="13">
        <v>1.0</v>
      </c>
      <c r="J147" s="13">
        <v>0.0</v>
      </c>
      <c r="K147" s="12" t="s">
        <v>21</v>
      </c>
      <c r="L147" s="7">
        <v>39615.61547453704</v>
      </c>
      <c r="M147" s="14" t="s">
        <v>474</v>
      </c>
      <c r="N147" s="14" t="s">
        <v>475</v>
      </c>
      <c r="O147" s="11" t="str">
        <f>HYPERLINK("https://pbs.twimg.com/profile_images/577904408/lun_avatar_normal.jpg","View")</f>
        <v>View</v>
      </c>
      <c r="P147" s="15"/>
    </row>
    <row r="148">
      <c r="A148" s="7">
        <v>42425.108449074076</v>
      </c>
      <c r="B148" s="8" t="str">
        <f>HYPERLINK("https://twitter.com/wcmckeedotcom","@wcmckeedotcom")</f>
        <v>@wcmckeedotcom</v>
      </c>
      <c r="C148" s="10" t="s">
        <v>476</v>
      </c>
      <c r="D148" s="10" t="s">
        <v>477</v>
      </c>
      <c r="E148" s="11" t="str">
        <f>HYPERLINK("https://twitter.com/wcmckeedotcom/status/702804272149368833","702804272149368833")</f>
        <v>702804272149368833</v>
      </c>
      <c r="F148" s="12" t="s">
        <v>478</v>
      </c>
      <c r="G148" s="13">
        <v>1011.0</v>
      </c>
      <c r="H148" s="13">
        <v>875.0</v>
      </c>
      <c r="I148" s="13">
        <v>0.0</v>
      </c>
      <c r="J148" s="13">
        <v>0.0</v>
      </c>
      <c r="K148" s="12" t="s">
        <v>21</v>
      </c>
      <c r="L148" s="7">
        <v>41902.048368055555</v>
      </c>
      <c r="M148" s="14" t="s">
        <v>479</v>
      </c>
      <c r="N148" s="14" t="s">
        <v>480</v>
      </c>
      <c r="O148" s="11" t="str">
        <f>HYPERLINK("https://pbs.twimg.com/profile_images/621211385746161664/tGchJstD_normal.jpg","View")</f>
        <v>View</v>
      </c>
      <c r="P148" s="15"/>
    </row>
    <row r="149">
      <c r="A149" s="7">
        <v>42425.11060185185</v>
      </c>
      <c r="B149" s="8" t="str">
        <f>HYPERLINK("https://twitter.com/kusadasideri","@kusadasideri")</f>
        <v>@kusadasideri</v>
      </c>
      <c r="C149" s="10" t="s">
        <v>481</v>
      </c>
      <c r="D149" s="10" t="s">
        <v>482</v>
      </c>
      <c r="E149" s="11" t="str">
        <f>HYPERLINK("https://twitter.com/kusadasideri/status/702805053283897345","702805053283897345")</f>
        <v>702805053283897345</v>
      </c>
      <c r="F149" s="12" t="s">
        <v>450</v>
      </c>
      <c r="G149" s="13">
        <v>487.0</v>
      </c>
      <c r="H149" s="13">
        <v>741.0</v>
      </c>
      <c r="I149" s="13">
        <v>0.0</v>
      </c>
      <c r="J149" s="13">
        <v>0.0</v>
      </c>
      <c r="K149" s="12" t="s">
        <v>21</v>
      </c>
      <c r="L149" s="7">
        <v>40210.55814814815</v>
      </c>
      <c r="M149" s="14" t="s">
        <v>483</v>
      </c>
      <c r="N149" s="14" t="s">
        <v>484</v>
      </c>
      <c r="O149" s="11" t="str">
        <f>HYPERLINK("https://pbs.twimg.com/profile_images/499122504951427073/UISN-0p1_normal.jpeg","View")</f>
        <v>View</v>
      </c>
      <c r="P149" s="11" t="str">
        <f>HYPERLINK("http://ctrlq.org/maps/address/#37.8604672,27.25711472","Map")</f>
        <v>Map</v>
      </c>
    </row>
    <row r="150">
      <c r="A150" s="7">
        <v>42425.11113425926</v>
      </c>
      <c r="B150" s="8" t="str">
        <f>HYPERLINK("https://twitter.com/tweet_poke_","@tweet_poke_")</f>
        <v>@tweet_poke_</v>
      </c>
      <c r="C150" s="10" t="s">
        <v>158</v>
      </c>
      <c r="D150" s="10" t="s">
        <v>485</v>
      </c>
      <c r="E150" s="11" t="str">
        <f>HYPERLINK("https://twitter.com/tweet_poke_/status/702805243671793664","702805243671793664")</f>
        <v>702805243671793664</v>
      </c>
      <c r="F150" s="12" t="s">
        <v>160</v>
      </c>
      <c r="G150" s="13">
        <v>106.0</v>
      </c>
      <c r="H150" s="13">
        <v>280.0</v>
      </c>
      <c r="I150" s="13">
        <v>14.0</v>
      </c>
      <c r="J150" s="13">
        <v>0.0</v>
      </c>
      <c r="K150" s="12" t="s">
        <v>21</v>
      </c>
      <c r="L150" s="7">
        <v>41758.236655092594</v>
      </c>
      <c r="M150" s="16"/>
      <c r="N150" s="14" t="s">
        <v>161</v>
      </c>
      <c r="O150" s="11" t="str">
        <f>HYPERLINK("https://pbs.twimg.com/profile_images/578537216823144448/GW-4L7Mg_normal.png","View")</f>
        <v>View</v>
      </c>
      <c r="P150" s="15"/>
    </row>
    <row r="151">
      <c r="A151" s="7">
        <v>42425.11179398149</v>
      </c>
      <c r="B151" s="8" t="str">
        <f>HYPERLINK("https://twitter.com/cocoacoda","@cocoacoda")</f>
        <v>@cocoacoda</v>
      </c>
      <c r="C151" s="10" t="s">
        <v>486</v>
      </c>
      <c r="D151" s="10" t="s">
        <v>487</v>
      </c>
      <c r="E151" s="11" t="str">
        <f>HYPERLINK("https://twitter.com/cocoacoda/status/702805483271426048","702805483271426048")</f>
        <v>702805483271426048</v>
      </c>
      <c r="F151" s="12" t="s">
        <v>488</v>
      </c>
      <c r="G151" s="13">
        <v>124.0</v>
      </c>
      <c r="H151" s="13">
        <v>142.0</v>
      </c>
      <c r="I151" s="13">
        <v>0.0</v>
      </c>
      <c r="J151" s="13">
        <v>3.0</v>
      </c>
      <c r="K151" s="12" t="s">
        <v>21</v>
      </c>
      <c r="L151" s="7">
        <v>40951.29611111111</v>
      </c>
      <c r="M151" s="14" t="s">
        <v>489</v>
      </c>
      <c r="N151" s="14" t="s">
        <v>490</v>
      </c>
      <c r="O151" s="11" t="str">
        <f>HYPERLINK("https://pbs.twimg.com/profile_images/452064440687423488/nbwrKTwP_normal.jpeg","View")</f>
        <v>View</v>
      </c>
      <c r="P151" s="15"/>
    </row>
    <row r="152">
      <c r="A152" s="7">
        <v>42425.114849537036</v>
      </c>
      <c r="B152" s="8" t="str">
        <f>HYPERLINK("https://twitter.com/PythonBooks","@PythonBooks")</f>
        <v>@PythonBooks</v>
      </c>
      <c r="C152" s="10" t="s">
        <v>267</v>
      </c>
      <c r="D152" s="10" t="s">
        <v>491</v>
      </c>
      <c r="E152" s="11" t="str">
        <f>HYPERLINK("https://twitter.com/PythonBooks/status/702806589602836480","702806589602836480")</f>
        <v>702806589602836480</v>
      </c>
      <c r="F152" s="12" t="s">
        <v>20</v>
      </c>
      <c r="G152" s="13">
        <v>20.0</v>
      </c>
      <c r="H152" s="13">
        <v>70.0</v>
      </c>
      <c r="I152" s="13">
        <v>3.0</v>
      </c>
      <c r="J152" s="13">
        <v>0.0</v>
      </c>
      <c r="K152" s="12" t="s">
        <v>21</v>
      </c>
      <c r="L152" s="7">
        <v>42424.13631944444</v>
      </c>
      <c r="M152" s="14" t="s">
        <v>269</v>
      </c>
      <c r="N152" s="14" t="s">
        <v>270</v>
      </c>
      <c r="O152" s="11" t="str">
        <f>HYPERLINK("https://pbs.twimg.com/profile_images/702455638157168640/AeDgtn0C_normal.jpg","View")</f>
        <v>View</v>
      </c>
      <c r="P152" s="15"/>
    </row>
    <row r="153">
      <c r="A153" s="7">
        <v>42425.115115740744</v>
      </c>
      <c r="B153" s="8" t="str">
        <f>HYPERLINK("https://twitter.com/GetUdemyDeals","@GetUdemyDeals")</f>
        <v>@GetUdemyDeals</v>
      </c>
      <c r="C153" s="10" t="s">
        <v>492</v>
      </c>
      <c r="D153" s="10" t="s">
        <v>493</v>
      </c>
      <c r="E153" s="11" t="str">
        <f>HYPERLINK("https://twitter.com/GetUdemyDeals/status/702806685610549248","702806685610549248")</f>
        <v>702806685610549248</v>
      </c>
      <c r="F153" s="12" t="s">
        <v>494</v>
      </c>
      <c r="G153" s="13">
        <v>187.0</v>
      </c>
      <c r="H153" s="13">
        <v>87.0</v>
      </c>
      <c r="I153" s="13">
        <v>0.0</v>
      </c>
      <c r="J153" s="13">
        <v>0.0</v>
      </c>
      <c r="K153" s="12" t="s">
        <v>21</v>
      </c>
      <c r="L153" s="7">
        <v>41928.48434027778</v>
      </c>
      <c r="M153" s="14" t="s">
        <v>495</v>
      </c>
      <c r="N153" s="14" t="s">
        <v>496</v>
      </c>
      <c r="O153" s="11" t="str">
        <f>HYPERLINK("https://pbs.twimg.com/profile_images/523203529620484096/fzN_Plp5_normal.jpeg","View")</f>
        <v>View</v>
      </c>
      <c r="P153" s="15"/>
    </row>
    <row r="154">
      <c r="A154" s="7">
        <v>42425.11561342592</v>
      </c>
      <c r="B154" s="8" t="str">
        <f>HYPERLINK("https://twitter.com/art_control","@art_control")</f>
        <v>@art_control</v>
      </c>
      <c r="C154" s="10" t="s">
        <v>309</v>
      </c>
      <c r="D154" s="10" t="s">
        <v>497</v>
      </c>
      <c r="E154" s="11" t="str">
        <f>HYPERLINK("https://twitter.com/art_control/status/702806865944649729","702806865944649729")</f>
        <v>702806865944649729</v>
      </c>
      <c r="F154" s="12" t="s">
        <v>311</v>
      </c>
      <c r="G154" s="13">
        <v>989.0</v>
      </c>
      <c r="H154" s="13">
        <v>850.0</v>
      </c>
      <c r="I154" s="13">
        <v>0.0</v>
      </c>
      <c r="J154" s="13">
        <v>0.0</v>
      </c>
      <c r="K154" s="12" t="s">
        <v>21</v>
      </c>
      <c r="L154" s="7">
        <v>39896.869675925926</v>
      </c>
      <c r="M154" s="14" t="s">
        <v>312</v>
      </c>
      <c r="N154" s="14" t="s">
        <v>313</v>
      </c>
      <c r="O154" s="11" t="str">
        <f>HYPERLINK("https://pbs.twimg.com/profile_images/649004216690675712/UAcrP6ol_normal.png","View")</f>
        <v>View</v>
      </c>
      <c r="P154" s="15"/>
    </row>
    <row r="155">
      <c r="A155" s="7">
        <v>42425.12101851852</v>
      </c>
      <c r="B155" s="8" t="str">
        <f>HYPERLINK("https://twitter.com/titibiliki","@titibiliki")</f>
        <v>@titibiliki</v>
      </c>
      <c r="C155" s="10" t="s">
        <v>498</v>
      </c>
      <c r="D155" s="10" t="s">
        <v>499</v>
      </c>
      <c r="E155" s="11" t="str">
        <f>HYPERLINK("https://twitter.com/titibiliki/status/702808825212973056","702808825212973056")</f>
        <v>702808825212973056</v>
      </c>
      <c r="F155" s="12" t="s">
        <v>20</v>
      </c>
      <c r="G155" s="13">
        <v>405.0</v>
      </c>
      <c r="H155" s="13">
        <v>467.0</v>
      </c>
      <c r="I155" s="13">
        <v>0.0</v>
      </c>
      <c r="J155" s="13">
        <v>0.0</v>
      </c>
      <c r="K155" s="12" t="s">
        <v>21</v>
      </c>
      <c r="L155" s="7">
        <v>42208.32947916667</v>
      </c>
      <c r="M155" s="16"/>
      <c r="N155" s="14" t="s">
        <v>500</v>
      </c>
      <c r="O155" s="11" t="str">
        <f>HYPERLINK("https://pbs.twimg.com/profile_images/664425480620257280/tLxow3JG_normal.jpg","View")</f>
        <v>View</v>
      </c>
      <c r="P155" s="15"/>
    </row>
    <row r="156">
      <c r="A156" s="7">
        <v>42425.121817129635</v>
      </c>
      <c r="B156" s="8" t="str">
        <f>HYPERLINK("https://twitter.com/hackmum","@hackmum")</f>
        <v>@hackmum</v>
      </c>
      <c r="C156" s="10" t="s">
        <v>501</v>
      </c>
      <c r="D156" s="10" t="s">
        <v>502</v>
      </c>
      <c r="E156" s="11" t="str">
        <f>HYPERLINK("https://twitter.com/hackmum/status/702809114435432448","702809114435432448")</f>
        <v>702809114435432448</v>
      </c>
      <c r="F156" s="12" t="s">
        <v>236</v>
      </c>
      <c r="G156" s="13">
        <v>162.0</v>
      </c>
      <c r="H156" s="13">
        <v>84.0</v>
      </c>
      <c r="I156" s="13">
        <v>0.0</v>
      </c>
      <c r="J156" s="13">
        <v>1.0</v>
      </c>
      <c r="K156" s="12" t="s">
        <v>21</v>
      </c>
      <c r="L156" s="7">
        <v>41201.372465277775</v>
      </c>
      <c r="M156" s="16"/>
      <c r="N156" s="16"/>
      <c r="O156" s="11" t="str">
        <f>HYPERLINK("https://pbs.twimg.com/profile_images/439453102119206912/i5x3_qmb_normal.png","View")</f>
        <v>View</v>
      </c>
      <c r="P156" s="15"/>
    </row>
    <row r="157">
      <c r="A157" s="7">
        <v>42425.123194444444</v>
      </c>
      <c r="B157" s="8" t="str">
        <f>HYPERLINK("https://twitter.com/HerTurk_","@HerTurk_")</f>
        <v>@HerTurk_</v>
      </c>
      <c r="C157" s="10" t="s">
        <v>503</v>
      </c>
      <c r="D157" s="10" t="s">
        <v>64</v>
      </c>
      <c r="E157" s="11" t="str">
        <f>HYPERLINK("https://twitter.com/HerTurk_/status/702809613687771136","702809613687771136")</f>
        <v>702809613687771136</v>
      </c>
      <c r="F157" s="12" t="s">
        <v>152</v>
      </c>
      <c r="G157" s="13">
        <v>151.0</v>
      </c>
      <c r="H157" s="13">
        <v>116.0</v>
      </c>
      <c r="I157" s="13">
        <v>7.0</v>
      </c>
      <c r="J157" s="13">
        <v>0.0</v>
      </c>
      <c r="K157" s="12" t="s">
        <v>21</v>
      </c>
      <c r="L157" s="7">
        <v>41563.19981481481</v>
      </c>
      <c r="M157" s="14" t="s">
        <v>504</v>
      </c>
      <c r="N157" s="14" t="s">
        <v>505</v>
      </c>
      <c r="O157" s="11" t="str">
        <f>HYPERLINK("https://pbs.twimg.com/profile_images/602900150982434816/m8NhOJEH_normal.jpg","View")</f>
        <v>View</v>
      </c>
      <c r="P157" s="15"/>
    </row>
    <row r="158">
      <c r="A158" s="7">
        <v>42425.12642361112</v>
      </c>
      <c r="B158" s="8" t="str">
        <f>HYPERLINK("https://twitter.com/PythonBooks","@PythonBooks")</f>
        <v>@PythonBooks</v>
      </c>
      <c r="C158" s="10" t="s">
        <v>267</v>
      </c>
      <c r="D158" s="10" t="s">
        <v>506</v>
      </c>
      <c r="E158" s="11" t="str">
        <f>HYPERLINK("https://twitter.com/PythonBooks/status/702810785328697344","702810785328697344")</f>
        <v>702810785328697344</v>
      </c>
      <c r="F158" s="12" t="s">
        <v>20</v>
      </c>
      <c r="G158" s="13">
        <v>20.0</v>
      </c>
      <c r="H158" s="13">
        <v>70.0</v>
      </c>
      <c r="I158" s="13">
        <v>2.0</v>
      </c>
      <c r="J158" s="13">
        <v>0.0</v>
      </c>
      <c r="K158" s="12" t="s">
        <v>21</v>
      </c>
      <c r="L158" s="7">
        <v>42424.13631944444</v>
      </c>
      <c r="M158" s="14" t="s">
        <v>269</v>
      </c>
      <c r="N158" s="14" t="s">
        <v>270</v>
      </c>
      <c r="O158" s="11" t="str">
        <f>HYPERLINK("https://pbs.twimg.com/profile_images/702455638157168640/AeDgtn0C_normal.jpg","View")</f>
        <v>View</v>
      </c>
      <c r="P158" s="15"/>
    </row>
    <row r="159">
      <c r="A159" s="7">
        <v>42425.12670138889</v>
      </c>
      <c r="B159" s="8" t="str">
        <f>HYPERLINK("https://twitter.com/dsracoon","@dsracoon")</f>
        <v>@dsracoon</v>
      </c>
      <c r="C159" s="10" t="s">
        <v>507</v>
      </c>
      <c r="D159" s="10" t="s">
        <v>508</v>
      </c>
      <c r="E159" s="11" t="str">
        <f>HYPERLINK("https://twitter.com/dsracoon/status/702810884087930880","702810884087930880")</f>
        <v>702810884087930880</v>
      </c>
      <c r="F159" s="12" t="s">
        <v>509</v>
      </c>
      <c r="G159" s="13">
        <v>610.0</v>
      </c>
      <c r="H159" s="13">
        <v>242.0</v>
      </c>
      <c r="I159" s="13">
        <v>4.0</v>
      </c>
      <c r="J159" s="13">
        <v>0.0</v>
      </c>
      <c r="K159" s="12" t="s">
        <v>21</v>
      </c>
      <c r="L159" s="7">
        <v>39413.29508101852</v>
      </c>
      <c r="M159" s="14" t="s">
        <v>510</v>
      </c>
      <c r="N159" s="14" t="s">
        <v>511</v>
      </c>
      <c r="O159" s="11" t="str">
        <f>HYPERLINK("https://pbs.twimg.com/profile_images/618107024451178497/Lk8jyvFa_normal.jpg","View")</f>
        <v>View</v>
      </c>
      <c r="P159" s="15"/>
    </row>
    <row r="160">
      <c r="A160" s="7">
        <v>42425.12878472223</v>
      </c>
      <c r="B160" s="8" t="str">
        <f>HYPERLINK("https://twitter.com/101byben","@101byben")</f>
        <v>@101byben</v>
      </c>
      <c r="C160" s="10" t="s">
        <v>512</v>
      </c>
      <c r="D160" s="10" t="s">
        <v>513</v>
      </c>
      <c r="E160" s="11" t="str">
        <f>HYPERLINK("https://twitter.com/101byben/status/702811639066787844","702811639066787844")</f>
        <v>702811639066787844</v>
      </c>
      <c r="F160" s="12" t="s">
        <v>431</v>
      </c>
      <c r="G160" s="13">
        <v>3371.0</v>
      </c>
      <c r="H160" s="13">
        <v>10.0</v>
      </c>
      <c r="I160" s="13">
        <v>0.0</v>
      </c>
      <c r="J160" s="13">
        <v>0.0</v>
      </c>
      <c r="K160" s="12" t="s">
        <v>21</v>
      </c>
      <c r="L160" s="7">
        <v>40822.702256944445</v>
      </c>
      <c r="M160" s="14" t="s">
        <v>514</v>
      </c>
      <c r="N160" s="14" t="s">
        <v>515</v>
      </c>
      <c r="O160" s="11" t="str">
        <f>HYPERLINK("https://pbs.twimg.com/profile_images/1576211833/8_normal.jpg","View")</f>
        <v>View</v>
      </c>
      <c r="P160" s="15"/>
    </row>
    <row r="161">
      <c r="A161" s="7">
        <v>42425.12883101852</v>
      </c>
      <c r="B161" s="8" t="str">
        <f>HYPERLINK("https://twitter.com/CouponTrump","@CouponTrump")</f>
        <v>@CouponTrump</v>
      </c>
      <c r="C161" s="10" t="s">
        <v>516</v>
      </c>
      <c r="D161" s="10" t="s">
        <v>517</v>
      </c>
      <c r="E161" s="11" t="str">
        <f>HYPERLINK("https://twitter.com/CouponTrump/status/702811657010069504","702811657010069504")</f>
        <v>702811657010069504</v>
      </c>
      <c r="F161" s="17" t="s">
        <v>518</v>
      </c>
      <c r="G161" s="13">
        <v>1662.0</v>
      </c>
      <c r="H161" s="13">
        <v>1406.0</v>
      </c>
      <c r="I161" s="13">
        <v>0.0</v>
      </c>
      <c r="J161" s="13">
        <v>0.0</v>
      </c>
      <c r="K161" s="12" t="s">
        <v>21</v>
      </c>
      <c r="L161" s="7">
        <v>41701.08497685185</v>
      </c>
      <c r="M161" s="14" t="s">
        <v>519</v>
      </c>
      <c r="N161" s="14" t="s">
        <v>520</v>
      </c>
      <c r="O161" s="11" t="str">
        <f>HYPERLINK("https://pbs.twimg.com/profile_images/440431681262993408/NQv9HIql_normal.png","View")</f>
        <v>View</v>
      </c>
      <c r="P161" s="15"/>
    </row>
    <row r="162">
      <c r="A162" s="7">
        <v>42425.133831018524</v>
      </c>
      <c r="B162" s="8" t="str">
        <f>HYPERLINK("https://twitter.com/PythonDaily","@PythonDaily")</f>
        <v>@PythonDaily</v>
      </c>
      <c r="C162" s="10" t="s">
        <v>521</v>
      </c>
      <c r="D162" s="10" t="s">
        <v>522</v>
      </c>
      <c r="E162" s="11" t="str">
        <f>HYPERLINK("https://twitter.com/PythonDaily/status/702813470148825088","702813470148825088")</f>
        <v>702813470148825088</v>
      </c>
      <c r="F162" s="12" t="s">
        <v>521</v>
      </c>
      <c r="G162" s="13">
        <v>3329.0</v>
      </c>
      <c r="H162" s="13">
        <v>57.0</v>
      </c>
      <c r="I162" s="13">
        <v>1.0</v>
      </c>
      <c r="J162" s="13">
        <v>2.0</v>
      </c>
      <c r="K162" s="12" t="s">
        <v>21</v>
      </c>
      <c r="L162" s="7">
        <v>41447.56123842593</v>
      </c>
      <c r="M162" s="16"/>
      <c r="N162" s="14" t="s">
        <v>523</v>
      </c>
      <c r="O162" s="11" t="str">
        <f>HYPERLINK("https://pbs.twimg.com/profile_images/378800000030851202/b6bb871a13825bae9004a9aab3a1d726_normal.jpeg","View")</f>
        <v>View</v>
      </c>
      <c r="P162" s="15"/>
    </row>
    <row r="163">
      <c r="A163" s="7">
        <v>42425.134108796294</v>
      </c>
      <c r="B163" s="8" t="str">
        <f>HYPERLINK("https://twitter.com/PythonBooks","@PythonBooks")</f>
        <v>@PythonBooks</v>
      </c>
      <c r="C163" s="10" t="s">
        <v>267</v>
      </c>
      <c r="D163" s="10" t="s">
        <v>524</v>
      </c>
      <c r="E163" s="11" t="str">
        <f>HYPERLINK("https://twitter.com/PythonBooks/status/702813569876754432","702813569876754432")</f>
        <v>702813569876754432</v>
      </c>
      <c r="F163" s="17" t="s">
        <v>76</v>
      </c>
      <c r="G163" s="13">
        <v>20.0</v>
      </c>
      <c r="H163" s="13">
        <v>70.0</v>
      </c>
      <c r="I163" s="13">
        <v>0.0</v>
      </c>
      <c r="J163" s="13">
        <v>2.0</v>
      </c>
      <c r="K163" s="12" t="s">
        <v>21</v>
      </c>
      <c r="L163" s="7">
        <v>42424.13631944444</v>
      </c>
      <c r="M163" s="14" t="s">
        <v>269</v>
      </c>
      <c r="N163" s="14" t="s">
        <v>270</v>
      </c>
      <c r="O163" s="11" t="str">
        <f>HYPERLINK("https://pbs.twimg.com/profile_images/702455638157168640/AeDgtn0C_normal.jpg","View")</f>
        <v>View</v>
      </c>
      <c r="P163" s="15"/>
    </row>
    <row r="164">
      <c r="A164" s="7">
        <v>42425.13541666667</v>
      </c>
      <c r="B164" s="8" t="str">
        <f>HYPERLINK("https://twitter.com/e_sinfonier","@e_sinfonier")</f>
        <v>@e_sinfonier</v>
      </c>
      <c r="C164" s="10" t="s">
        <v>525</v>
      </c>
      <c r="D164" s="10" t="s">
        <v>526</v>
      </c>
      <c r="E164" s="11" t="str">
        <f>HYPERLINK("https://twitter.com/e_sinfonier/status/702814042591731712","702814042591731712")</f>
        <v>702814042591731712</v>
      </c>
      <c r="F164" s="12" t="s">
        <v>20</v>
      </c>
      <c r="G164" s="13">
        <v>530.0</v>
      </c>
      <c r="H164" s="13">
        <v>159.0</v>
      </c>
      <c r="I164" s="13">
        <v>4.0</v>
      </c>
      <c r="J164" s="13">
        <v>0.0</v>
      </c>
      <c r="K164" s="12" t="s">
        <v>21</v>
      </c>
      <c r="L164" s="7">
        <v>41705.07769675926</v>
      </c>
      <c r="M164" s="16"/>
      <c r="N164" s="14" t="s">
        <v>527</v>
      </c>
      <c r="O164" s="11" t="str">
        <f>HYPERLINK("https://pbs.twimg.com/profile_images/660029475451727872/V8dPGiJK_normal.jpg","View")</f>
        <v>View</v>
      </c>
      <c r="P164" s="15"/>
    </row>
    <row r="165">
      <c r="A165" s="7">
        <v>42425.13700231482</v>
      </c>
      <c r="B165" s="8" t="str">
        <f>HYPERLINK("https://twitter.com/py3k","@py3k")</f>
        <v>@py3k</v>
      </c>
      <c r="C165" s="10" t="s">
        <v>297</v>
      </c>
      <c r="D165" s="10" t="s">
        <v>528</v>
      </c>
      <c r="E165" s="11" t="str">
        <f>HYPERLINK("https://twitter.com/py3k/status/702814620701036544","702814620701036544")</f>
        <v>702814620701036544</v>
      </c>
      <c r="F165" s="12" t="s">
        <v>299</v>
      </c>
      <c r="G165" s="13">
        <v>1623.0</v>
      </c>
      <c r="H165" s="13">
        <v>676.0</v>
      </c>
      <c r="I165" s="13">
        <v>2.0</v>
      </c>
      <c r="J165" s="13">
        <v>0.0</v>
      </c>
      <c r="K165" s="12" t="s">
        <v>21</v>
      </c>
      <c r="L165" s="7">
        <v>41096.62268518518</v>
      </c>
      <c r="M165" s="16"/>
      <c r="N165" s="14" t="s">
        <v>300</v>
      </c>
      <c r="O165" s="11" t="str">
        <f>HYPERLINK("https://pbs.twimg.com/profile_images/2474433856/p075cerxh0arpea6ceip_normal.png","View")</f>
        <v>View</v>
      </c>
      <c r="P165" s="15"/>
    </row>
    <row r="166">
      <c r="A166" s="7">
        <v>42425.138136574074</v>
      </c>
      <c r="B166" s="8" t="str">
        <f>HYPERLINK("https://twitter.com/Rehansingh012","@Rehansingh012")</f>
        <v>@Rehansingh012</v>
      </c>
      <c r="C166" s="10" t="s">
        <v>529</v>
      </c>
      <c r="D166" s="10" t="s">
        <v>37</v>
      </c>
      <c r="E166" s="11" t="str">
        <f>HYPERLINK("https://twitter.com/Rehansingh012/status/702815032061497344","702815032061497344")</f>
        <v>702815032061497344</v>
      </c>
      <c r="F166" s="12" t="s">
        <v>20</v>
      </c>
      <c r="G166" s="13">
        <v>1050.0</v>
      </c>
      <c r="H166" s="13">
        <v>1281.0</v>
      </c>
      <c r="I166" s="13">
        <v>8.0</v>
      </c>
      <c r="J166" s="13">
        <v>0.0</v>
      </c>
      <c r="K166" s="12" t="s">
        <v>21</v>
      </c>
      <c r="L166" s="7">
        <v>41513.10078703704</v>
      </c>
      <c r="M166" s="14" t="s">
        <v>530</v>
      </c>
      <c r="N166" s="14" t="s">
        <v>531</v>
      </c>
      <c r="O166" s="11" t="str">
        <f>HYPERLINK("https://pbs.twimg.com/profile_images/545114417776439296/4eABUTJW_normal.jpeg","View")</f>
        <v>View</v>
      </c>
      <c r="P166" s="15"/>
    </row>
    <row r="167">
      <c r="A167" s="7">
        <v>42425.13835648148</v>
      </c>
      <c r="B167" s="8" t="str">
        <f>HYPERLINK("https://twitter.com/artwisanggeni","@artwisanggeni")</f>
        <v>@artwisanggeni</v>
      </c>
      <c r="C167" s="10" t="s">
        <v>74</v>
      </c>
      <c r="D167" s="10" t="s">
        <v>532</v>
      </c>
      <c r="E167" s="11" t="str">
        <f>HYPERLINK("https://twitter.com/artwisanggeni/status/702815109089865729","702815109089865729")</f>
        <v>702815109089865729</v>
      </c>
      <c r="F167" s="17" t="s">
        <v>76</v>
      </c>
      <c r="G167" s="13">
        <v>236.0</v>
      </c>
      <c r="H167" s="13">
        <v>61.0</v>
      </c>
      <c r="I167" s="13">
        <v>0.0</v>
      </c>
      <c r="J167" s="13">
        <v>0.0</v>
      </c>
      <c r="K167" s="12" t="s">
        <v>21</v>
      </c>
      <c r="L167" s="7">
        <v>41218.90608796296</v>
      </c>
      <c r="M167" s="14" t="s">
        <v>77</v>
      </c>
      <c r="N167" s="14" t="s">
        <v>78</v>
      </c>
      <c r="O167" s="11" t="str">
        <f>HYPERLINK("https://pbs.twimg.com/profile_images/2813636657/599521f69e2bc210a57323b64d8e39e6_normal.jpeg","View")</f>
        <v>View</v>
      </c>
      <c r="P167" s="15"/>
    </row>
    <row r="168">
      <c r="A168" s="7">
        <v>42425.13835648148</v>
      </c>
      <c r="B168" s="8" t="str">
        <f>HYPERLINK("https://twitter.com/berecruitment","@berecruitment")</f>
        <v>@berecruitment</v>
      </c>
      <c r="C168" s="9" t="s">
        <v>533</v>
      </c>
      <c r="D168" s="10" t="s">
        <v>534</v>
      </c>
      <c r="E168" s="11" t="str">
        <f>HYPERLINK("https://twitter.com/berecruitment/status/702815111854080000","702815111854080000")</f>
        <v>702815111854080000</v>
      </c>
      <c r="F168" s="12" t="s">
        <v>52</v>
      </c>
      <c r="G168" s="13">
        <v>48.0</v>
      </c>
      <c r="H168" s="13">
        <v>294.0</v>
      </c>
      <c r="I168" s="13">
        <v>0.0</v>
      </c>
      <c r="J168" s="13">
        <v>1.0</v>
      </c>
      <c r="K168" s="12" t="s">
        <v>21</v>
      </c>
      <c r="L168" s="7">
        <v>41396.47101851852</v>
      </c>
      <c r="M168" s="14" t="s">
        <v>535</v>
      </c>
      <c r="N168" s="14" t="s">
        <v>536</v>
      </c>
      <c r="O168" s="11" t="str">
        <f>HYPERLINK("https://pbs.twimg.com/profile_images/560374173327839232/PRMmbRyU_normal.png","View")</f>
        <v>View</v>
      </c>
      <c r="P168" s="15"/>
    </row>
    <row r="169">
      <c r="A169" s="7">
        <v>42425.13836805556</v>
      </c>
      <c r="B169" s="8" t="str">
        <f t="shared" ref="B169:B177" si="13">HYPERLINK("https://twitter.com/artwisanggeni","@artwisanggeni")</f>
        <v>@artwisanggeni</v>
      </c>
      <c r="C169" s="10" t="s">
        <v>74</v>
      </c>
      <c r="D169" s="10" t="s">
        <v>537</v>
      </c>
      <c r="E169" s="11" t="str">
        <f>HYPERLINK("https://twitter.com/artwisanggeni/status/702815113120579584","702815113120579584")</f>
        <v>702815113120579584</v>
      </c>
      <c r="F169" s="17" t="s">
        <v>76</v>
      </c>
      <c r="G169" s="13">
        <v>236.0</v>
      </c>
      <c r="H169" s="13">
        <v>61.0</v>
      </c>
      <c r="I169" s="13">
        <v>0.0</v>
      </c>
      <c r="J169" s="13">
        <v>0.0</v>
      </c>
      <c r="K169" s="12" t="s">
        <v>21</v>
      </c>
      <c r="L169" s="7">
        <v>41218.90608796296</v>
      </c>
      <c r="M169" s="14" t="s">
        <v>77</v>
      </c>
      <c r="N169" s="14" t="s">
        <v>78</v>
      </c>
      <c r="O169" s="11" t="str">
        <f t="shared" ref="O169:O177" si="14">HYPERLINK("https://pbs.twimg.com/profile_images/2813636657/599521f69e2bc210a57323b64d8e39e6_normal.jpeg","View")</f>
        <v>View</v>
      </c>
      <c r="P169" s="15"/>
    </row>
    <row r="170">
      <c r="A170" s="7">
        <v>42425.13837962963</v>
      </c>
      <c r="B170" s="8" t="str">
        <f t="shared" si="13"/>
        <v>@artwisanggeni</v>
      </c>
      <c r="C170" s="10" t="s">
        <v>74</v>
      </c>
      <c r="D170" s="10" t="s">
        <v>538</v>
      </c>
      <c r="E170" s="11" t="str">
        <f>HYPERLINK("https://twitter.com/artwisanggeni/status/702815117356838912","702815117356838912")</f>
        <v>702815117356838912</v>
      </c>
      <c r="F170" s="17" t="s">
        <v>76</v>
      </c>
      <c r="G170" s="13">
        <v>236.0</v>
      </c>
      <c r="H170" s="13">
        <v>61.0</v>
      </c>
      <c r="I170" s="13">
        <v>0.0</v>
      </c>
      <c r="J170" s="13">
        <v>0.0</v>
      </c>
      <c r="K170" s="12" t="s">
        <v>21</v>
      </c>
      <c r="L170" s="7">
        <v>41218.90608796296</v>
      </c>
      <c r="M170" s="14" t="s">
        <v>77</v>
      </c>
      <c r="N170" s="14" t="s">
        <v>78</v>
      </c>
      <c r="O170" s="11" t="str">
        <f t="shared" si="14"/>
        <v>View</v>
      </c>
      <c r="P170" s="15"/>
    </row>
    <row r="171">
      <c r="A171" s="7">
        <v>42425.138391203705</v>
      </c>
      <c r="B171" s="8" t="str">
        <f t="shared" si="13"/>
        <v>@artwisanggeni</v>
      </c>
      <c r="C171" s="10" t="s">
        <v>74</v>
      </c>
      <c r="D171" s="10" t="s">
        <v>539</v>
      </c>
      <c r="E171" s="11" t="str">
        <f>HYPERLINK("https://twitter.com/artwisanggeni/status/702815121244946432","702815121244946432")</f>
        <v>702815121244946432</v>
      </c>
      <c r="F171" s="17" t="s">
        <v>76</v>
      </c>
      <c r="G171" s="13">
        <v>236.0</v>
      </c>
      <c r="H171" s="13">
        <v>61.0</v>
      </c>
      <c r="I171" s="13">
        <v>0.0</v>
      </c>
      <c r="J171" s="13">
        <v>0.0</v>
      </c>
      <c r="K171" s="12" t="s">
        <v>21</v>
      </c>
      <c r="L171" s="7">
        <v>41218.90608796296</v>
      </c>
      <c r="M171" s="14" t="s">
        <v>77</v>
      </c>
      <c r="N171" s="14" t="s">
        <v>78</v>
      </c>
      <c r="O171" s="11" t="str">
        <f t="shared" si="14"/>
        <v>View</v>
      </c>
      <c r="P171" s="15"/>
    </row>
    <row r="172">
      <c r="A172" s="7">
        <v>42425.13840277778</v>
      </c>
      <c r="B172" s="8" t="str">
        <f t="shared" si="13"/>
        <v>@artwisanggeni</v>
      </c>
      <c r="C172" s="10" t="s">
        <v>74</v>
      </c>
      <c r="D172" s="10" t="s">
        <v>540</v>
      </c>
      <c r="E172" s="11" t="str">
        <f>HYPERLINK("https://twitter.com/artwisanggeni/status/702815124466208768","702815124466208768")</f>
        <v>702815124466208768</v>
      </c>
      <c r="F172" s="17" t="s">
        <v>76</v>
      </c>
      <c r="G172" s="13">
        <v>236.0</v>
      </c>
      <c r="H172" s="13">
        <v>61.0</v>
      </c>
      <c r="I172" s="13">
        <v>0.0</v>
      </c>
      <c r="J172" s="13">
        <v>0.0</v>
      </c>
      <c r="K172" s="12" t="s">
        <v>21</v>
      </c>
      <c r="L172" s="7">
        <v>41218.90608796296</v>
      </c>
      <c r="M172" s="14" t="s">
        <v>77</v>
      </c>
      <c r="N172" s="14" t="s">
        <v>78</v>
      </c>
      <c r="O172" s="11" t="str">
        <f t="shared" si="14"/>
        <v>View</v>
      </c>
      <c r="P172" s="15"/>
    </row>
    <row r="173">
      <c r="A173" s="7">
        <v>42425.13840277778</v>
      </c>
      <c r="B173" s="8" t="str">
        <f t="shared" si="13"/>
        <v>@artwisanggeni</v>
      </c>
      <c r="C173" s="10" t="s">
        <v>74</v>
      </c>
      <c r="D173" s="10" t="s">
        <v>541</v>
      </c>
      <c r="E173" s="11" t="str">
        <f>HYPERLINK("https://twitter.com/artwisanggeni/status/702815127876214784","702815127876214784")</f>
        <v>702815127876214784</v>
      </c>
      <c r="F173" s="17" t="s">
        <v>76</v>
      </c>
      <c r="G173" s="13">
        <v>236.0</v>
      </c>
      <c r="H173" s="13">
        <v>61.0</v>
      </c>
      <c r="I173" s="13">
        <v>0.0</v>
      </c>
      <c r="J173" s="13">
        <v>0.0</v>
      </c>
      <c r="K173" s="12" t="s">
        <v>21</v>
      </c>
      <c r="L173" s="7">
        <v>41218.90608796296</v>
      </c>
      <c r="M173" s="14" t="s">
        <v>77</v>
      </c>
      <c r="N173" s="14" t="s">
        <v>78</v>
      </c>
      <c r="O173" s="11" t="str">
        <f t="shared" si="14"/>
        <v>View</v>
      </c>
      <c r="P173" s="15"/>
    </row>
    <row r="174">
      <c r="A174" s="7">
        <v>42425.13841435185</v>
      </c>
      <c r="B174" s="8" t="str">
        <f t="shared" si="13"/>
        <v>@artwisanggeni</v>
      </c>
      <c r="C174" s="10" t="s">
        <v>74</v>
      </c>
      <c r="D174" s="10" t="s">
        <v>542</v>
      </c>
      <c r="E174" s="11" t="str">
        <f>HYPERLINK("https://twitter.com/artwisanggeni/status/702815131676225536","702815131676225536")</f>
        <v>702815131676225536</v>
      </c>
      <c r="F174" s="17" t="s">
        <v>76</v>
      </c>
      <c r="G174" s="13">
        <v>236.0</v>
      </c>
      <c r="H174" s="13">
        <v>61.0</v>
      </c>
      <c r="I174" s="13">
        <v>0.0</v>
      </c>
      <c r="J174" s="13">
        <v>0.0</v>
      </c>
      <c r="K174" s="12" t="s">
        <v>21</v>
      </c>
      <c r="L174" s="7">
        <v>41218.90608796296</v>
      </c>
      <c r="M174" s="14" t="s">
        <v>77</v>
      </c>
      <c r="N174" s="14" t="s">
        <v>78</v>
      </c>
      <c r="O174" s="11" t="str">
        <f t="shared" si="14"/>
        <v>View</v>
      </c>
      <c r="P174" s="15"/>
    </row>
    <row r="175">
      <c r="A175" s="7">
        <v>42425.13842592592</v>
      </c>
      <c r="B175" s="8" t="str">
        <f t="shared" si="13"/>
        <v>@artwisanggeni</v>
      </c>
      <c r="C175" s="10" t="s">
        <v>74</v>
      </c>
      <c r="D175" s="10" t="s">
        <v>543</v>
      </c>
      <c r="E175" s="11" t="str">
        <f>HYPERLINK("https://twitter.com/artwisanggeni/status/702815135778254848","702815135778254848")</f>
        <v>702815135778254848</v>
      </c>
      <c r="F175" s="17" t="s">
        <v>76</v>
      </c>
      <c r="G175" s="13">
        <v>236.0</v>
      </c>
      <c r="H175" s="13">
        <v>61.0</v>
      </c>
      <c r="I175" s="13">
        <v>0.0</v>
      </c>
      <c r="J175" s="13">
        <v>0.0</v>
      </c>
      <c r="K175" s="12" t="s">
        <v>21</v>
      </c>
      <c r="L175" s="7">
        <v>41218.90608796296</v>
      </c>
      <c r="M175" s="14" t="s">
        <v>77</v>
      </c>
      <c r="N175" s="14" t="s">
        <v>78</v>
      </c>
      <c r="O175" s="11" t="str">
        <f t="shared" si="14"/>
        <v>View</v>
      </c>
      <c r="P175" s="15"/>
    </row>
    <row r="176">
      <c r="A176" s="7">
        <v>42425.138437500005</v>
      </c>
      <c r="B176" s="8" t="str">
        <f t="shared" si="13"/>
        <v>@artwisanggeni</v>
      </c>
      <c r="C176" s="10" t="s">
        <v>74</v>
      </c>
      <c r="D176" s="10" t="s">
        <v>544</v>
      </c>
      <c r="E176" s="11" t="str">
        <f>HYPERLINK("https://twitter.com/artwisanggeni/status/702815140706553856","702815140706553856")</f>
        <v>702815140706553856</v>
      </c>
      <c r="F176" s="17" t="s">
        <v>76</v>
      </c>
      <c r="G176" s="13">
        <v>236.0</v>
      </c>
      <c r="H176" s="13">
        <v>61.0</v>
      </c>
      <c r="I176" s="13">
        <v>1.0</v>
      </c>
      <c r="J176" s="13">
        <v>0.0</v>
      </c>
      <c r="K176" s="12" t="s">
        <v>21</v>
      </c>
      <c r="L176" s="7">
        <v>41218.90608796296</v>
      </c>
      <c r="M176" s="14" t="s">
        <v>77</v>
      </c>
      <c r="N176" s="14" t="s">
        <v>78</v>
      </c>
      <c r="O176" s="11" t="str">
        <f t="shared" si="14"/>
        <v>View</v>
      </c>
      <c r="P176" s="15"/>
    </row>
    <row r="177">
      <c r="A177" s="7">
        <v>42425.138449074075</v>
      </c>
      <c r="B177" s="8" t="str">
        <f t="shared" si="13"/>
        <v>@artwisanggeni</v>
      </c>
      <c r="C177" s="10" t="s">
        <v>74</v>
      </c>
      <c r="D177" s="10" t="s">
        <v>545</v>
      </c>
      <c r="E177" s="11" t="str">
        <f>HYPERLINK("https://twitter.com/artwisanggeni/status/702815144624033792","702815144624033792")</f>
        <v>702815144624033792</v>
      </c>
      <c r="F177" s="17" t="s">
        <v>76</v>
      </c>
      <c r="G177" s="13">
        <v>236.0</v>
      </c>
      <c r="H177" s="13">
        <v>61.0</v>
      </c>
      <c r="I177" s="13">
        <v>0.0</v>
      </c>
      <c r="J177" s="13">
        <v>0.0</v>
      </c>
      <c r="K177" s="12" t="s">
        <v>21</v>
      </c>
      <c r="L177" s="7">
        <v>41218.90608796296</v>
      </c>
      <c r="M177" s="14" t="s">
        <v>77</v>
      </c>
      <c r="N177" s="14" t="s">
        <v>78</v>
      </c>
      <c r="O177" s="11" t="str">
        <f t="shared" si="14"/>
        <v>View</v>
      </c>
      <c r="P177" s="15"/>
    </row>
    <row r="178">
      <c r="A178" s="7">
        <v>42425.13893518518</v>
      </c>
      <c r="B178" s="8" t="str">
        <f>HYPERLINK("https://twitter.com/tek_news","@tek_news")</f>
        <v>@tek_news</v>
      </c>
      <c r="C178" s="10" t="s">
        <v>546</v>
      </c>
      <c r="D178" s="10" t="s">
        <v>547</v>
      </c>
      <c r="E178" s="11" t="str">
        <f>HYPERLINK("https://twitter.com/tek_news/status/702815321099472896","702815321099472896")</f>
        <v>702815321099472896</v>
      </c>
      <c r="F178" s="12" t="s">
        <v>548</v>
      </c>
      <c r="G178" s="13">
        <v>1733.0</v>
      </c>
      <c r="H178" s="13">
        <v>0.0</v>
      </c>
      <c r="I178" s="13">
        <v>0.0</v>
      </c>
      <c r="J178" s="13">
        <v>0.0</v>
      </c>
      <c r="K178" s="12" t="s">
        <v>21</v>
      </c>
      <c r="L178" s="7">
        <v>40031.23185185185</v>
      </c>
      <c r="M178" s="14" t="s">
        <v>549</v>
      </c>
      <c r="N178" s="14" t="s">
        <v>550</v>
      </c>
      <c r="O178" s="11" t="str">
        <f>HYPERLINK("https://pbs.twimg.com/profile_images/512625755/icon_normal.gif","View")</f>
        <v>View</v>
      </c>
      <c r="P178" s="15"/>
    </row>
    <row r="179">
      <c r="A179" s="7">
        <v>42425.14027777778</v>
      </c>
      <c r="B179" s="8" t="str">
        <f t="shared" ref="B179:B180" si="15">HYPERLINK("https://twitter.com/brainchatbot","@brainchatbot")</f>
        <v>@brainchatbot</v>
      </c>
      <c r="C179" s="10" t="s">
        <v>551</v>
      </c>
      <c r="D179" s="10" t="s">
        <v>552</v>
      </c>
      <c r="E179" s="11" t="str">
        <f>HYPERLINK("https://twitter.com/brainchatbot/status/702815804488859648","702815804488859648")</f>
        <v>702815804488859648</v>
      </c>
      <c r="F179" s="12" t="s">
        <v>553</v>
      </c>
      <c r="G179" s="13">
        <v>1246.0</v>
      </c>
      <c r="H179" s="13">
        <v>103.0</v>
      </c>
      <c r="I179" s="13">
        <v>1.0</v>
      </c>
      <c r="J179" s="13">
        <v>0.0</v>
      </c>
      <c r="K179" s="12" t="s">
        <v>21</v>
      </c>
      <c r="L179" s="7">
        <v>41603.55284722222</v>
      </c>
      <c r="M179" s="16"/>
      <c r="N179" s="14" t="s">
        <v>554</v>
      </c>
      <c r="O179" s="11" t="str">
        <f t="shared" ref="O179:O180" si="16">HYPERLINK("https://pbs.twimg.com/profile_images/412770462146379777/KKpdNo9U_normal.jpeg","View")</f>
        <v>View</v>
      </c>
      <c r="P179" s="15"/>
    </row>
    <row r="180">
      <c r="A180" s="7">
        <v>42425.14027777778</v>
      </c>
      <c r="B180" s="8" t="str">
        <f t="shared" si="15"/>
        <v>@brainchatbot</v>
      </c>
      <c r="C180" s="10" t="s">
        <v>551</v>
      </c>
      <c r="D180" s="10" t="s">
        <v>555</v>
      </c>
      <c r="E180" s="11" t="str">
        <f>HYPERLINK("https://twitter.com/brainchatbot/status/702815807257059329","702815807257059329")</f>
        <v>702815807257059329</v>
      </c>
      <c r="F180" s="12" t="s">
        <v>553</v>
      </c>
      <c r="G180" s="13">
        <v>1246.0</v>
      </c>
      <c r="H180" s="13">
        <v>103.0</v>
      </c>
      <c r="I180" s="13">
        <v>2.0</v>
      </c>
      <c r="J180" s="13">
        <v>0.0</v>
      </c>
      <c r="K180" s="12" t="s">
        <v>21</v>
      </c>
      <c r="L180" s="7">
        <v>41603.55284722222</v>
      </c>
      <c r="M180" s="16"/>
      <c r="N180" s="14" t="s">
        <v>554</v>
      </c>
      <c r="O180" s="11" t="str">
        <f t="shared" si="16"/>
        <v>View</v>
      </c>
      <c r="P180" s="15"/>
    </row>
    <row r="181">
      <c r="A181" s="7">
        <v>42425.140381944446</v>
      </c>
      <c r="B181" s="8" t="str">
        <f>HYPERLINK("https://twitter.com/grobaczynski","@grobaczynski")</f>
        <v>@grobaczynski</v>
      </c>
      <c r="C181" s="10" t="s">
        <v>162</v>
      </c>
      <c r="D181" s="10" t="s">
        <v>556</v>
      </c>
      <c r="E181" s="11" t="str">
        <f>HYPERLINK("https://twitter.com/grobaczynski/status/702815845387382791","702815845387382791")</f>
        <v>702815845387382791</v>
      </c>
      <c r="F181" s="12" t="s">
        <v>164</v>
      </c>
      <c r="G181" s="13">
        <v>205.0</v>
      </c>
      <c r="H181" s="13">
        <v>741.0</v>
      </c>
      <c r="I181" s="13">
        <v>0.0</v>
      </c>
      <c r="J181" s="13">
        <v>1.0</v>
      </c>
      <c r="K181" s="12" t="s">
        <v>21</v>
      </c>
      <c r="L181" s="7">
        <v>40562.15883101852</v>
      </c>
      <c r="M181" s="16"/>
      <c r="N181" s="14" t="s">
        <v>165</v>
      </c>
      <c r="O181" s="11" t="str">
        <f>HYPERLINK("https://pbs.twimg.com/profile_images/344513261568829423/5a7d0257036baf58b884dea7a3f5e182_normal.jpeg","View")</f>
        <v>View</v>
      </c>
      <c r="P181" s="15"/>
    </row>
    <row r="182">
      <c r="A182" s="7">
        <v>42425.14059027778</v>
      </c>
      <c r="B182" s="8" t="str">
        <f>HYPERLINK("https://twitter.com/osantana","@osantana")</f>
        <v>@osantana</v>
      </c>
      <c r="C182" s="10" t="s">
        <v>557</v>
      </c>
      <c r="D182" s="10" t="s">
        <v>508</v>
      </c>
      <c r="E182" s="11" t="str">
        <f>HYPERLINK("https://twitter.com/osantana/status/702815920528429056","702815920528429056")</f>
        <v>702815920528429056</v>
      </c>
      <c r="F182" s="12" t="s">
        <v>52</v>
      </c>
      <c r="G182" s="13">
        <v>1452.0</v>
      </c>
      <c r="H182" s="13">
        <v>287.0</v>
      </c>
      <c r="I182" s="13">
        <v>4.0</v>
      </c>
      <c r="J182" s="13">
        <v>0.0</v>
      </c>
      <c r="K182" s="12" t="s">
        <v>21</v>
      </c>
      <c r="L182" s="7">
        <v>39290.45155092592</v>
      </c>
      <c r="M182" s="14" t="s">
        <v>510</v>
      </c>
      <c r="N182" s="14" t="s">
        <v>558</v>
      </c>
      <c r="O182" s="11" t="str">
        <f>HYPERLINK("https://pbs.twimg.com/profile_images/2721780582/24f9096111df5297ac42bf30b5352b3b_normal.jpeg","View")</f>
        <v>View</v>
      </c>
      <c r="P182" s="15"/>
    </row>
    <row r="183">
      <c r="A183" s="7">
        <v>42425.140625</v>
      </c>
      <c r="B183" s="8" t="str">
        <f>HYPERLINK("https://twitter.com/gustavohenriq","@gustavohenriq")</f>
        <v>@gustavohenriq</v>
      </c>
      <c r="C183" s="10" t="s">
        <v>559</v>
      </c>
      <c r="D183" s="10" t="s">
        <v>560</v>
      </c>
      <c r="E183" s="11" t="str">
        <f>HYPERLINK("https://twitter.com/gustavohenriq/status/702815931089735680","702815931089735680")</f>
        <v>702815931089735680</v>
      </c>
      <c r="F183" s="12" t="s">
        <v>446</v>
      </c>
      <c r="G183" s="13">
        <v>208.0</v>
      </c>
      <c r="H183" s="13">
        <v>410.0</v>
      </c>
      <c r="I183" s="13">
        <v>0.0</v>
      </c>
      <c r="J183" s="13">
        <v>0.0</v>
      </c>
      <c r="K183" s="12" t="s">
        <v>21</v>
      </c>
      <c r="L183" s="7">
        <v>39760.447592592594</v>
      </c>
      <c r="M183" s="14" t="s">
        <v>561</v>
      </c>
      <c r="N183" s="14" t="s">
        <v>562</v>
      </c>
      <c r="O183" s="11" t="str">
        <f>HYPERLINK("https://pbs.twimg.com/profile_images/622399891550117888/P7JSCH-W_normal.png","View")</f>
        <v>View</v>
      </c>
      <c r="P183" s="15"/>
    </row>
    <row r="184">
      <c r="A184" s="7">
        <v>42425.14103009259</v>
      </c>
      <c r="B184" s="8" t="str">
        <f>HYPERLINK("https://twitter.com/ffranz","@ffranz")</f>
        <v>@ffranz</v>
      </c>
      <c r="C184" s="10" t="s">
        <v>563</v>
      </c>
      <c r="D184" s="10" t="s">
        <v>564</v>
      </c>
      <c r="E184" s="11" t="str">
        <f>HYPERLINK("https://twitter.com/ffranz/status/702816080176267265","702816080176267265")</f>
        <v>702816080176267265</v>
      </c>
      <c r="F184" s="12" t="s">
        <v>152</v>
      </c>
      <c r="G184" s="13">
        <v>621.0</v>
      </c>
      <c r="H184" s="13">
        <v>987.0</v>
      </c>
      <c r="I184" s="13">
        <v>4.0</v>
      </c>
      <c r="J184" s="13">
        <v>0.0</v>
      </c>
      <c r="K184" s="12" t="s">
        <v>21</v>
      </c>
      <c r="L184" s="7">
        <v>39461.05143518519</v>
      </c>
      <c r="M184" s="18" t="s">
        <v>565</v>
      </c>
      <c r="N184" s="14" t="s">
        <v>566</v>
      </c>
      <c r="O184" s="11" t="str">
        <f>HYPERLINK("https://pbs.twimg.com/profile_images/656127186995429376/OmkbFgwI_normal.jpg","View")</f>
        <v>View</v>
      </c>
      <c r="P184" s="15"/>
    </row>
    <row r="185">
      <c r="A185" s="7">
        <v>42425.14109953704</v>
      </c>
      <c r="B185" s="8" t="str">
        <f>HYPERLINK("https://twitter.com/cool_python","@cool_python")</f>
        <v>@cool_python</v>
      </c>
      <c r="C185" s="10" t="s">
        <v>249</v>
      </c>
      <c r="D185" s="10" t="s">
        <v>555</v>
      </c>
      <c r="E185" s="11" t="str">
        <f>HYPERLINK("https://twitter.com/cool_python/status/702816105170145280","702816105170145280")</f>
        <v>702816105170145280</v>
      </c>
      <c r="F185" s="12" t="s">
        <v>251</v>
      </c>
      <c r="G185" s="13">
        <v>235.0</v>
      </c>
      <c r="H185" s="13">
        <v>91.0</v>
      </c>
      <c r="I185" s="13">
        <v>2.0</v>
      </c>
      <c r="J185" s="13">
        <v>0.0</v>
      </c>
      <c r="K185" s="12" t="s">
        <v>21</v>
      </c>
      <c r="L185" s="7">
        <v>42064.325</v>
      </c>
      <c r="M185" s="14" t="s">
        <v>252</v>
      </c>
      <c r="N185" s="14" t="s">
        <v>253</v>
      </c>
      <c r="O185" s="11" t="str">
        <f>HYPERLINK("https://pbs.twimg.com/profile_images/572091631055028224/Pkx__FSB_normal.png","View")</f>
        <v>View</v>
      </c>
      <c r="P185" s="15"/>
    </row>
    <row r="186">
      <c r="A186" s="7">
        <v>42425.14261574074</v>
      </c>
      <c r="B186" s="8" t="str">
        <f>HYPERLINK("https://twitter.com/ukstartupjobs","@ukstartupjobs")</f>
        <v>@ukstartupjobs</v>
      </c>
      <c r="C186" s="10" t="s">
        <v>567</v>
      </c>
      <c r="D186" s="10" t="s">
        <v>568</v>
      </c>
      <c r="E186" s="11" t="str">
        <f>HYPERLINK("https://twitter.com/ukstartupjobs/status/702816652472221696","702816652472221696")</f>
        <v>702816652472221696</v>
      </c>
      <c r="F186" s="12" t="s">
        <v>294</v>
      </c>
      <c r="G186" s="13">
        <v>1076.0</v>
      </c>
      <c r="H186" s="13">
        <v>75.0</v>
      </c>
      <c r="I186" s="13">
        <v>1.0</v>
      </c>
      <c r="J186" s="13">
        <v>3.0</v>
      </c>
      <c r="K186" s="12" t="s">
        <v>21</v>
      </c>
      <c r="L186" s="7">
        <v>40905.54851851852</v>
      </c>
      <c r="M186" s="14" t="s">
        <v>489</v>
      </c>
      <c r="N186" s="14" t="s">
        <v>569</v>
      </c>
      <c r="O186" s="11" t="str">
        <f>HYPERLINK("https://pbs.twimg.com/profile_images/485423511289077760/3_6qLqLv_normal.png","View")</f>
        <v>View</v>
      </c>
      <c r="P186" s="15"/>
    </row>
    <row r="187">
      <c r="A187" s="7">
        <v>42425.14292824074</v>
      </c>
      <c r="B187" s="8" t="str">
        <f>HYPERLINK("https://twitter.com/Ryad45","@Ryad45")</f>
        <v>@Ryad45</v>
      </c>
      <c r="C187" s="10" t="s">
        <v>570</v>
      </c>
      <c r="D187" s="10" t="s">
        <v>571</v>
      </c>
      <c r="E187" s="11" t="str">
        <f>HYPERLINK("https://twitter.com/Ryad45/status/702816767102550016","702816767102550016")</f>
        <v>702816767102550016</v>
      </c>
      <c r="F187" s="12" t="s">
        <v>20</v>
      </c>
      <c r="G187" s="13">
        <v>54.0</v>
      </c>
      <c r="H187" s="13">
        <v>156.0</v>
      </c>
      <c r="I187" s="13">
        <v>0.0</v>
      </c>
      <c r="J187" s="13">
        <v>0.0</v>
      </c>
      <c r="K187" s="12" t="s">
        <v>21</v>
      </c>
      <c r="L187" s="7">
        <v>40814.06254629629</v>
      </c>
      <c r="M187" s="14" t="s">
        <v>572</v>
      </c>
      <c r="N187" s="14" t="s">
        <v>573</v>
      </c>
      <c r="O187" s="11" t="str">
        <f>HYPERLINK("https://pbs.twimg.com/profile_images/469794283453558784/CbA0Ga3v_normal.jpeg","View")</f>
        <v>View</v>
      </c>
      <c r="P187" s="15"/>
    </row>
    <row r="188">
      <c r="A188" s="7">
        <v>42425.14331018519</v>
      </c>
      <c r="B188" s="8" t="str">
        <f>HYPERLINK("https://twitter.com/christianbarra","@christianbarra")</f>
        <v>@christianbarra</v>
      </c>
      <c r="C188" s="10" t="s">
        <v>574</v>
      </c>
      <c r="D188" s="10" t="s">
        <v>575</v>
      </c>
      <c r="E188" s="11" t="str">
        <f>HYPERLINK("https://twitter.com/christianbarra/status/702816905174913024","702816905174913024")</f>
        <v>702816905174913024</v>
      </c>
      <c r="F188" s="12" t="s">
        <v>20</v>
      </c>
      <c r="G188" s="13">
        <v>77.0</v>
      </c>
      <c r="H188" s="13">
        <v>69.0</v>
      </c>
      <c r="I188" s="13">
        <v>0.0</v>
      </c>
      <c r="J188" s="13">
        <v>1.0</v>
      </c>
      <c r="K188" s="12" t="s">
        <v>21</v>
      </c>
      <c r="L188" s="7">
        <v>39909.34054398148</v>
      </c>
      <c r="M188" s="14" t="s">
        <v>576</v>
      </c>
      <c r="N188" s="14" t="s">
        <v>577</v>
      </c>
      <c r="O188" s="11" t="str">
        <f>HYPERLINK("https://pbs.twimg.com/profile_images/589906116924088320/2nYk02hy_normal.jpg","View")</f>
        <v>View</v>
      </c>
      <c r="P188" s="15"/>
    </row>
    <row r="189">
      <c r="A189" s="7">
        <v>42425.14349537037</v>
      </c>
      <c r="B189" s="8" t="str">
        <f>HYPERLINK("https://twitter.com/rekhasi23410549","@rekhasi23410549")</f>
        <v>@rekhasi23410549</v>
      </c>
      <c r="C189" s="10" t="s">
        <v>578</v>
      </c>
      <c r="D189" s="10" t="s">
        <v>37</v>
      </c>
      <c r="E189" s="11" t="str">
        <f>HYPERLINK("https://twitter.com/rekhasi23410549/status/702816969964150785","702816969964150785")</f>
        <v>702816969964150785</v>
      </c>
      <c r="F189" s="12" t="s">
        <v>20</v>
      </c>
      <c r="G189" s="13">
        <v>882.0</v>
      </c>
      <c r="H189" s="13">
        <v>1020.0</v>
      </c>
      <c r="I189" s="13">
        <v>8.0</v>
      </c>
      <c r="J189" s="13">
        <v>0.0</v>
      </c>
      <c r="K189" s="12" t="s">
        <v>21</v>
      </c>
      <c r="L189" s="7">
        <v>41513.01605324074</v>
      </c>
      <c r="M189" s="14" t="s">
        <v>579</v>
      </c>
      <c r="N189" s="14" t="s">
        <v>580</v>
      </c>
      <c r="O189" s="11" t="str">
        <f>HYPERLINK("https://pbs.twimg.com/profile_images/378800000368447504/69584986a3f499eeb5fa2bd4ac263f87_normal.jpeg","View")</f>
        <v>View</v>
      </c>
      <c r="P189" s="15"/>
    </row>
    <row r="190">
      <c r="A190" s="7">
        <v>42425.14387731481</v>
      </c>
      <c r="B190" s="8" t="str">
        <f>HYPERLINK("https://twitter.com/art_control","@art_control")</f>
        <v>@art_control</v>
      </c>
      <c r="C190" s="10" t="s">
        <v>309</v>
      </c>
      <c r="D190" s="10" t="s">
        <v>581</v>
      </c>
      <c r="E190" s="11" t="str">
        <f>HYPERLINK("https://twitter.com/art_control/status/702817110649651200","702817110649651200")</f>
        <v>702817110649651200</v>
      </c>
      <c r="F190" s="12" t="s">
        <v>311</v>
      </c>
      <c r="G190" s="13">
        <v>989.0</v>
      </c>
      <c r="H190" s="13">
        <v>850.0</v>
      </c>
      <c r="I190" s="13">
        <v>0.0</v>
      </c>
      <c r="J190" s="13">
        <v>0.0</v>
      </c>
      <c r="K190" s="12" t="s">
        <v>21</v>
      </c>
      <c r="L190" s="7">
        <v>39896.869675925926</v>
      </c>
      <c r="M190" s="14" t="s">
        <v>312</v>
      </c>
      <c r="N190" s="14" t="s">
        <v>313</v>
      </c>
      <c r="O190" s="11" t="str">
        <f>HYPERLINK("https://pbs.twimg.com/profile_images/649004216690675712/UAcrP6ol_normal.png","View")</f>
        <v>View</v>
      </c>
      <c r="P190" s="15"/>
    </row>
    <row r="191">
      <c r="A191" s="7">
        <v>42425.14506944444</v>
      </c>
      <c r="B191" s="8" t="str">
        <f>HYPERLINK("https://twitter.com/Rosekhan120","@Rosekhan120")</f>
        <v>@Rosekhan120</v>
      </c>
      <c r="C191" s="10" t="s">
        <v>582</v>
      </c>
      <c r="D191" s="10" t="s">
        <v>37</v>
      </c>
      <c r="E191" s="11" t="str">
        <f>HYPERLINK("https://twitter.com/Rosekhan120/status/702817541983309824","702817541983309824")</f>
        <v>702817541983309824</v>
      </c>
      <c r="F191" s="12" t="s">
        <v>20</v>
      </c>
      <c r="G191" s="13">
        <v>723.0</v>
      </c>
      <c r="H191" s="13">
        <v>862.0</v>
      </c>
      <c r="I191" s="13">
        <v>8.0</v>
      </c>
      <c r="J191" s="13">
        <v>0.0</v>
      </c>
      <c r="K191" s="12" t="s">
        <v>21</v>
      </c>
      <c r="L191" s="7">
        <v>41513.114224537036</v>
      </c>
      <c r="M191" s="14" t="s">
        <v>583</v>
      </c>
      <c r="N191" s="14" t="s">
        <v>584</v>
      </c>
      <c r="O191" s="11" t="str">
        <f>HYPERLINK("https://pbs.twimg.com/profile_images/378800000368837082/8338658e87960aeb9d61005713d9c6cd_normal.jpeg","View")</f>
        <v>View</v>
      </c>
      <c r="P191" s="15"/>
    </row>
    <row r="192">
      <c r="A192" s="7">
        <v>42425.14732638889</v>
      </c>
      <c r="B192" s="8" t="str">
        <f>HYPERLINK("https://twitter.com/Arubait","@Arubait")</f>
        <v>@Arubait</v>
      </c>
      <c r="C192" s="10" t="s">
        <v>585</v>
      </c>
      <c r="D192" s="10" t="s">
        <v>586</v>
      </c>
      <c r="E192" s="11" t="str">
        <f>HYPERLINK("https://twitter.com/Arubait/status/702818359428120576","702818359428120576")</f>
        <v>702818359428120576</v>
      </c>
      <c r="F192" s="12" t="s">
        <v>20</v>
      </c>
      <c r="G192" s="13">
        <v>10074.0</v>
      </c>
      <c r="H192" s="13">
        <v>160.0</v>
      </c>
      <c r="I192" s="13">
        <v>0.0</v>
      </c>
      <c r="J192" s="13">
        <v>1.0</v>
      </c>
      <c r="K192" s="12" t="s">
        <v>21</v>
      </c>
      <c r="L192" s="7">
        <v>40661.91537037037</v>
      </c>
      <c r="M192" s="16"/>
      <c r="N192" s="14" t="s">
        <v>587</v>
      </c>
      <c r="O192" s="11" t="str">
        <f>HYPERLINK("https://pbs.twimg.com/profile_images/507063845978787840/if1TgDbt_normal.jpeg","View")</f>
        <v>View</v>
      </c>
      <c r="P192" s="15"/>
    </row>
    <row r="193">
      <c r="A193" s="7">
        <v>42425.14787037037</v>
      </c>
      <c r="B193" s="8" t="str">
        <f>HYPERLINK("https://twitter.com/gt_salles","@gt_salles")</f>
        <v>@gt_salles</v>
      </c>
      <c r="C193" s="10" t="s">
        <v>588</v>
      </c>
      <c r="D193" s="10" t="s">
        <v>508</v>
      </c>
      <c r="E193" s="11" t="str">
        <f>HYPERLINK("https://twitter.com/gt_salles/status/702818556350693376","702818556350693376")</f>
        <v>702818556350693376</v>
      </c>
      <c r="F193" s="12" t="s">
        <v>20</v>
      </c>
      <c r="G193" s="13">
        <v>349.0</v>
      </c>
      <c r="H193" s="13">
        <v>494.0</v>
      </c>
      <c r="I193" s="13">
        <v>4.0</v>
      </c>
      <c r="J193" s="13">
        <v>0.0</v>
      </c>
      <c r="K193" s="12" t="s">
        <v>21</v>
      </c>
      <c r="L193" s="7">
        <v>40303.63780092593</v>
      </c>
      <c r="M193" s="14" t="s">
        <v>589</v>
      </c>
      <c r="N193" s="14" t="s">
        <v>590</v>
      </c>
      <c r="O193" s="11" t="str">
        <f>HYPERLINK("https://pbs.twimg.com/profile_images/378800000543687138/8372129fa3cbd7f2183b70f1c0949804_normal.png","View")</f>
        <v>View</v>
      </c>
      <c r="P193" s="15"/>
    </row>
    <row r="194">
      <c r="A194" s="7">
        <v>42425.148125</v>
      </c>
      <c r="B194" s="8" t="str">
        <f>HYPERLINK("https://twitter.com/clockworkTalent","@clockworkTalent")</f>
        <v>@clockworkTalent</v>
      </c>
      <c r="C194" s="10" t="s">
        <v>591</v>
      </c>
      <c r="D194" s="10" t="s">
        <v>592</v>
      </c>
      <c r="E194" s="11" t="str">
        <f>HYPERLINK("https://twitter.com/clockworkTalent/status/702818649325838336","702818649325838336")</f>
        <v>702818649325838336</v>
      </c>
      <c r="F194" s="12" t="s">
        <v>20</v>
      </c>
      <c r="G194" s="13">
        <v>1859.0</v>
      </c>
      <c r="H194" s="13">
        <v>2627.0</v>
      </c>
      <c r="I194" s="13">
        <v>0.0</v>
      </c>
      <c r="J194" s="13">
        <v>1.0</v>
      </c>
      <c r="K194" s="12" t="s">
        <v>21</v>
      </c>
      <c r="L194" s="7">
        <v>41305.12814814815</v>
      </c>
      <c r="M194" s="14" t="s">
        <v>593</v>
      </c>
      <c r="N194" s="14" t="s">
        <v>594</v>
      </c>
      <c r="O194" s="11" t="str">
        <f>HYPERLINK("https://pbs.twimg.com/profile_images/601659762791550977/ZyOxTkIE_normal.jpg","View")</f>
        <v>View</v>
      </c>
      <c r="P194" s="15"/>
    </row>
    <row r="195">
      <c r="A195" s="7">
        <v>42425.1484375</v>
      </c>
      <c r="B195" s="8" t="str">
        <f>HYPERLINK("https://twitter.com/SowPiano","@SowPiano")</f>
        <v>@SowPiano</v>
      </c>
      <c r="C195" s="10" t="s">
        <v>595</v>
      </c>
      <c r="D195" s="10" t="s">
        <v>596</v>
      </c>
      <c r="E195" s="11" t="str">
        <f>HYPERLINK("https://twitter.com/SowPiano/status/702818763511562240","702818763511562240")</f>
        <v>702818763511562240</v>
      </c>
      <c r="F195" s="12" t="s">
        <v>20</v>
      </c>
      <c r="G195" s="13">
        <v>39.0</v>
      </c>
      <c r="H195" s="13">
        <v>64.0</v>
      </c>
      <c r="I195" s="13">
        <v>0.0</v>
      </c>
      <c r="J195" s="13">
        <v>4.0</v>
      </c>
      <c r="K195" s="12" t="s">
        <v>21</v>
      </c>
      <c r="L195" s="7">
        <v>41987.364166666666</v>
      </c>
      <c r="M195" s="14" t="s">
        <v>597</v>
      </c>
      <c r="N195" s="14" t="s">
        <v>598</v>
      </c>
      <c r="O195" s="11" t="str">
        <f>HYPERLINK("https://pbs.twimg.com/profile_images/601478745128620032/GrGhZw7d_normal.jpg","View")</f>
        <v>View</v>
      </c>
      <c r="P195" s="15"/>
    </row>
    <row r="196">
      <c r="A196" s="7">
        <v>42425.1487037037</v>
      </c>
      <c r="B196" s="8" t="str">
        <f>HYPERLINK("https://twitter.com/Silas_Guilherme","@Silas_Guilherme")</f>
        <v>@Silas_Guilherme</v>
      </c>
      <c r="C196" s="10" t="s">
        <v>599</v>
      </c>
      <c r="D196" s="10" t="s">
        <v>600</v>
      </c>
      <c r="E196" s="11" t="str">
        <f>HYPERLINK("https://twitter.com/Silas_Guilherme/status/702818857946370048","702818857946370048")</f>
        <v>702818857946370048</v>
      </c>
      <c r="F196" s="12" t="s">
        <v>152</v>
      </c>
      <c r="G196" s="13">
        <v>211.0</v>
      </c>
      <c r="H196" s="13">
        <v>285.0</v>
      </c>
      <c r="I196" s="13">
        <v>0.0</v>
      </c>
      <c r="J196" s="13">
        <v>1.0</v>
      </c>
      <c r="K196" s="12" t="s">
        <v>21</v>
      </c>
      <c r="L196" s="7">
        <v>39817.86440972222</v>
      </c>
      <c r="M196" s="14" t="s">
        <v>601</v>
      </c>
      <c r="N196" s="14" t="s">
        <v>602</v>
      </c>
      <c r="O196" s="11" t="str">
        <f>HYPERLINK("https://pbs.twimg.com/profile_images/695645047107284993/J8b6bpZv_normal.jpg","View")</f>
        <v>View</v>
      </c>
      <c r="P196" s="15"/>
    </row>
    <row r="197">
      <c r="A197" s="7">
        <v>42425.149884259255</v>
      </c>
      <c r="B197" s="8" t="str">
        <f>HYPERLINK("https://twitter.com/Devutechboy0073","@Devutechboy0073")</f>
        <v>@Devutechboy0073</v>
      </c>
      <c r="C197" s="10" t="s">
        <v>603</v>
      </c>
      <c r="D197" s="10" t="s">
        <v>37</v>
      </c>
      <c r="E197" s="11" t="str">
        <f>HYPERLINK("https://twitter.com/Devutechboy0073/status/702819285626847232","702819285626847232")</f>
        <v>702819285626847232</v>
      </c>
      <c r="F197" s="12" t="s">
        <v>20</v>
      </c>
      <c r="G197" s="13">
        <v>75.0</v>
      </c>
      <c r="H197" s="13">
        <v>297.0</v>
      </c>
      <c r="I197" s="13">
        <v>8.0</v>
      </c>
      <c r="J197" s="13">
        <v>0.0</v>
      </c>
      <c r="K197" s="12" t="s">
        <v>21</v>
      </c>
      <c r="L197" s="7">
        <v>42381.126817129625</v>
      </c>
      <c r="M197" s="14" t="s">
        <v>604</v>
      </c>
      <c r="N197" s="14" t="s">
        <v>605</v>
      </c>
      <c r="O197" s="11" t="str">
        <f>HYPERLINK("https://pbs.twimg.com/profile_images/686870637273456640/yxHhSOcQ_normal.jpg","View")</f>
        <v>View</v>
      </c>
      <c r="P197" s="15"/>
    </row>
    <row r="198">
      <c r="A198" s="7">
        <v>42425.150243055556</v>
      </c>
      <c r="B198" s="8" t="str">
        <f>HYPERLINK("https://twitter.com/drmcgettigan","@drmcgettigan")</f>
        <v>@drmcgettigan</v>
      </c>
      <c r="C198" s="10" t="s">
        <v>606</v>
      </c>
      <c r="D198" s="10" t="s">
        <v>607</v>
      </c>
      <c r="E198" s="11" t="str">
        <f>HYPERLINK("https://twitter.com/drmcgettigan/status/702819419018436608","702819419018436608")</f>
        <v>702819419018436608</v>
      </c>
      <c r="F198" s="12" t="s">
        <v>52</v>
      </c>
      <c r="G198" s="13">
        <v>4244.0</v>
      </c>
      <c r="H198" s="13">
        <v>2816.0</v>
      </c>
      <c r="I198" s="13">
        <v>1.0</v>
      </c>
      <c r="J198" s="13">
        <v>1.0</v>
      </c>
      <c r="K198" s="12" t="s">
        <v>21</v>
      </c>
      <c r="L198" s="7">
        <v>40376.33635416666</v>
      </c>
      <c r="M198" s="14" t="s">
        <v>608</v>
      </c>
      <c r="N198" s="14" t="s">
        <v>609</v>
      </c>
      <c r="O198" s="11" t="str">
        <f>HYPERLINK("https://pbs.twimg.com/profile_images/1241672994/Chihuly_normal.jpg","View")</f>
        <v>View</v>
      </c>
      <c r="P198" s="15"/>
    </row>
    <row r="199">
      <c r="A199" s="7">
        <v>42425.15054398148</v>
      </c>
      <c r="B199" s="8" t="str">
        <f>HYPERLINK("https://twitter.com/Devutechboy0073","@Devutechboy0073")</f>
        <v>@Devutechboy0073</v>
      </c>
      <c r="C199" s="10" t="s">
        <v>603</v>
      </c>
      <c r="D199" s="10" t="s">
        <v>610</v>
      </c>
      <c r="E199" s="11" t="str">
        <f>HYPERLINK("https://twitter.com/Devutechboy0073/status/702819527365566464","702819527365566464")</f>
        <v>702819527365566464</v>
      </c>
      <c r="F199" s="12" t="s">
        <v>20</v>
      </c>
      <c r="G199" s="13">
        <v>75.0</v>
      </c>
      <c r="H199" s="13">
        <v>297.0</v>
      </c>
      <c r="I199" s="13">
        <v>6.0</v>
      </c>
      <c r="J199" s="13">
        <v>0.0</v>
      </c>
      <c r="K199" s="12" t="s">
        <v>21</v>
      </c>
      <c r="L199" s="7">
        <v>42381.126817129625</v>
      </c>
      <c r="M199" s="14" t="s">
        <v>604</v>
      </c>
      <c r="N199" s="14" t="s">
        <v>605</v>
      </c>
      <c r="O199" s="11" t="str">
        <f>HYPERLINK("https://pbs.twimg.com/profile_images/686870637273456640/yxHhSOcQ_normal.jpg","View")</f>
        <v>View</v>
      </c>
      <c r="P199" s="15"/>
    </row>
    <row r="200">
      <c r="A200" s="7">
        <v>42425.1505787037</v>
      </c>
      <c r="B200" s="8" t="str">
        <f>HYPERLINK("https://twitter.com/davidvujic","@davidvujic")</f>
        <v>@davidvujic</v>
      </c>
      <c r="C200" s="10" t="s">
        <v>611</v>
      </c>
      <c r="D200" s="10" t="s">
        <v>612</v>
      </c>
      <c r="E200" s="11" t="str">
        <f>HYPERLINK("https://twitter.com/davidvujic/status/702819539508133888","702819539508133888")</f>
        <v>702819539508133888</v>
      </c>
      <c r="F200" s="12" t="s">
        <v>20</v>
      </c>
      <c r="G200" s="13">
        <v>315.0</v>
      </c>
      <c r="H200" s="13">
        <v>206.0</v>
      </c>
      <c r="I200" s="13">
        <v>0.0</v>
      </c>
      <c r="J200" s="13">
        <v>3.0</v>
      </c>
      <c r="K200" s="12" t="s">
        <v>21</v>
      </c>
      <c r="L200" s="7">
        <v>39922.2374537037</v>
      </c>
      <c r="M200" s="14" t="s">
        <v>613</v>
      </c>
      <c r="N200" s="14" t="s">
        <v>614</v>
      </c>
      <c r="O200" s="11" t="str">
        <f>HYPERLINK("https://pbs.twimg.com/profile_images/3764096563/603f7a7f21056d2b7f090a37d3f6b83e_normal.jpeg","View")</f>
        <v>View</v>
      </c>
      <c r="P200" s="15"/>
    </row>
    <row r="201">
      <c r="A201" s="7">
        <v>42425.15170138889</v>
      </c>
      <c r="B201" s="8" t="str">
        <f>HYPERLINK("https://twitter.com/kayauls","@kayauls")</f>
        <v>@kayauls</v>
      </c>
      <c r="C201" s="10" t="s">
        <v>615</v>
      </c>
      <c r="D201" s="10" t="s">
        <v>64</v>
      </c>
      <c r="E201" s="11" t="str">
        <f>HYPERLINK("https://twitter.com/kayauls/status/702819945399324672","702819945399324672")</f>
        <v>702819945399324672</v>
      </c>
      <c r="F201" s="12" t="s">
        <v>152</v>
      </c>
      <c r="G201" s="13">
        <v>66.0</v>
      </c>
      <c r="H201" s="13">
        <v>48.0</v>
      </c>
      <c r="I201" s="13">
        <v>7.0</v>
      </c>
      <c r="J201" s="13">
        <v>0.0</v>
      </c>
      <c r="K201" s="12" t="s">
        <v>21</v>
      </c>
      <c r="L201" s="7">
        <v>41623.12287037037</v>
      </c>
      <c r="M201" s="16"/>
      <c r="N201" s="16"/>
      <c r="O201" s="11" t="str">
        <f>HYPERLINK("https://pbs.twimg.com/profile_images/694796235945959424/1UFEWwgu_normal.jpg","View")</f>
        <v>View</v>
      </c>
      <c r="P201" s="15"/>
    </row>
    <row r="202">
      <c r="A202" s="7">
        <v>42425.153449074074</v>
      </c>
      <c r="B202" s="8" t="str">
        <f>HYPERLINK("https://twitter.com/cocoacoda","@cocoacoda")</f>
        <v>@cocoacoda</v>
      </c>
      <c r="C202" s="10" t="s">
        <v>486</v>
      </c>
      <c r="D202" s="10" t="s">
        <v>616</v>
      </c>
      <c r="E202" s="11" t="str">
        <f>HYPERLINK("https://twitter.com/cocoacoda/status/702820579557113856","702820579557113856")</f>
        <v>702820579557113856</v>
      </c>
      <c r="F202" s="12" t="s">
        <v>488</v>
      </c>
      <c r="G202" s="13">
        <v>124.0</v>
      </c>
      <c r="H202" s="13">
        <v>142.0</v>
      </c>
      <c r="I202" s="13">
        <v>0.0</v>
      </c>
      <c r="J202" s="13">
        <v>0.0</v>
      </c>
      <c r="K202" s="12" t="s">
        <v>21</v>
      </c>
      <c r="L202" s="7">
        <v>40951.29611111111</v>
      </c>
      <c r="M202" s="14" t="s">
        <v>489</v>
      </c>
      <c r="N202" s="14" t="s">
        <v>490</v>
      </c>
      <c r="O202" s="11" t="str">
        <f>HYPERLINK("https://pbs.twimg.com/profile_images/452064440687423488/nbwrKTwP_normal.jpeg","View")</f>
        <v>View</v>
      </c>
      <c r="P202" s="15"/>
    </row>
    <row r="203">
      <c r="A203" s="7">
        <v>42425.15409722222</v>
      </c>
      <c r="B203" s="8" t="str">
        <f>HYPERLINK("https://twitter.com/BrianLinuxing","@BrianLinuxing")</f>
        <v>@BrianLinuxing</v>
      </c>
      <c r="C203" s="10" t="s">
        <v>617</v>
      </c>
      <c r="D203" s="10" t="s">
        <v>618</v>
      </c>
      <c r="E203" s="11" t="str">
        <f>HYPERLINK("https://twitter.com/BrianLinuxing/status/702820816006864896","702820816006864896")</f>
        <v>702820816006864896</v>
      </c>
      <c r="F203" s="12" t="s">
        <v>20</v>
      </c>
      <c r="G203" s="13">
        <v>1312.0</v>
      </c>
      <c r="H203" s="13">
        <v>2972.0</v>
      </c>
      <c r="I203" s="13">
        <v>10.0</v>
      </c>
      <c r="J203" s="13">
        <v>0.0</v>
      </c>
      <c r="K203" s="12" t="s">
        <v>21</v>
      </c>
      <c r="L203" s="7">
        <v>40857.3315162037</v>
      </c>
      <c r="M203" s="14" t="s">
        <v>489</v>
      </c>
      <c r="N203" s="14" t="s">
        <v>619</v>
      </c>
      <c r="O203" s="11" t="str">
        <f>HYPERLINK("https://pbs.twimg.com/profile_images/480100549090488321/qjFv-7QM_normal.png","View")</f>
        <v>View</v>
      </c>
      <c r="P203" s="15"/>
    </row>
    <row r="204">
      <c r="A204" s="7">
        <v>42425.15436342593</v>
      </c>
      <c r="B204" s="8" t="str">
        <f>HYPERLINK("https://twitter.com/AydinYakar","@AydinYakar")</f>
        <v>@AydinYakar</v>
      </c>
      <c r="C204" s="10" t="s">
        <v>620</v>
      </c>
      <c r="D204" s="10" t="s">
        <v>64</v>
      </c>
      <c r="E204" s="11" t="str">
        <f>HYPERLINK("https://twitter.com/AydinYakar/status/702820909426540544","702820909426540544")</f>
        <v>702820909426540544</v>
      </c>
      <c r="F204" s="12" t="s">
        <v>152</v>
      </c>
      <c r="G204" s="13">
        <v>206.0</v>
      </c>
      <c r="H204" s="13">
        <v>335.0</v>
      </c>
      <c r="I204" s="13">
        <v>7.0</v>
      </c>
      <c r="J204" s="13">
        <v>0.0</v>
      </c>
      <c r="K204" s="12" t="s">
        <v>21</v>
      </c>
      <c r="L204" s="7">
        <v>40416.51798611111</v>
      </c>
      <c r="M204" s="19">
        <v>4.16E76</v>
      </c>
      <c r="N204" s="14" t="s">
        <v>621</v>
      </c>
      <c r="O204" s="11" t="str">
        <f>HYPERLINK("https://pbs.twimg.com/profile_images/628486610430984192/hAH6OFGV_normal.jpg","View")</f>
        <v>View</v>
      </c>
      <c r="P204" s="15"/>
    </row>
    <row r="205">
      <c r="A205" s="7">
        <v>42425.15755787037</v>
      </c>
      <c r="B205" s="8" t="str">
        <f>HYPERLINK("https://twitter.com/wcmckeedotcom","@wcmckeedotcom")</f>
        <v>@wcmckeedotcom</v>
      </c>
      <c r="C205" s="10" t="s">
        <v>476</v>
      </c>
      <c r="D205" s="10" t="s">
        <v>622</v>
      </c>
      <c r="E205" s="11" t="str">
        <f>HYPERLINK("https://twitter.com/wcmckeedotcom/status/702822069092945920","702822069092945920")</f>
        <v>702822069092945920</v>
      </c>
      <c r="F205" s="12" t="s">
        <v>478</v>
      </c>
      <c r="G205" s="13">
        <v>1011.0</v>
      </c>
      <c r="H205" s="13">
        <v>875.0</v>
      </c>
      <c r="I205" s="13">
        <v>0.0</v>
      </c>
      <c r="J205" s="13">
        <v>0.0</v>
      </c>
      <c r="K205" s="12" t="s">
        <v>21</v>
      </c>
      <c r="L205" s="7">
        <v>41902.048368055555</v>
      </c>
      <c r="M205" s="14" t="s">
        <v>479</v>
      </c>
      <c r="N205" s="14" t="s">
        <v>480</v>
      </c>
      <c r="O205" s="11" t="str">
        <f>HYPERLINK("https://pbs.twimg.com/profile_images/621211385746161664/tGchJstD_normal.jpg","View")</f>
        <v>View</v>
      </c>
      <c r="P205" s="15"/>
    </row>
    <row r="206">
      <c r="A206" s="7">
        <v>42425.15758101852</v>
      </c>
      <c r="B206" s="8" t="str">
        <f>HYPERLINK("https://twitter.com/smartaayu","@smartaayu")</f>
        <v>@smartaayu</v>
      </c>
      <c r="C206" s="10" t="s">
        <v>623</v>
      </c>
      <c r="D206" s="10" t="s">
        <v>37</v>
      </c>
      <c r="E206" s="11" t="str">
        <f>HYPERLINK("https://twitter.com/smartaayu/status/702822076260831232","702822076260831232")</f>
        <v>702822076260831232</v>
      </c>
      <c r="F206" s="12" t="s">
        <v>20</v>
      </c>
      <c r="G206" s="13">
        <v>260.0</v>
      </c>
      <c r="H206" s="13">
        <v>1531.0</v>
      </c>
      <c r="I206" s="13">
        <v>8.0</v>
      </c>
      <c r="J206" s="13">
        <v>0.0</v>
      </c>
      <c r="K206" s="12" t="s">
        <v>21</v>
      </c>
      <c r="L206" s="7">
        <v>42380.13239583334</v>
      </c>
      <c r="M206" s="14" t="s">
        <v>34</v>
      </c>
      <c r="N206" s="14" t="s">
        <v>624</v>
      </c>
      <c r="O206" s="11" t="str">
        <f>HYPERLINK("https://pbs.twimg.com/profile_images/686534394723450880/pEKykTjf_normal.jpg","View")</f>
        <v>View</v>
      </c>
      <c r="P206" s="15"/>
    </row>
    <row r="207">
      <c r="A207" s="7">
        <v>42425.15775462963</v>
      </c>
      <c r="B207" s="8" t="str">
        <f>HYPERLINK("https://twitter.com/mariuscotor","@mariuscotor")</f>
        <v>@mariuscotor</v>
      </c>
      <c r="C207" s="10" t="s">
        <v>625</v>
      </c>
      <c r="D207" s="10" t="s">
        <v>626</v>
      </c>
      <c r="E207" s="11" t="str">
        <f>HYPERLINK("https://twitter.com/mariuscotor/status/702822139267833857","702822139267833857")</f>
        <v>702822139267833857</v>
      </c>
      <c r="F207" s="12" t="s">
        <v>20</v>
      </c>
      <c r="G207" s="13">
        <v>39.0</v>
      </c>
      <c r="H207" s="13">
        <v>77.0</v>
      </c>
      <c r="I207" s="13">
        <v>14.0</v>
      </c>
      <c r="J207" s="13">
        <v>0.0</v>
      </c>
      <c r="K207" s="12" t="s">
        <v>21</v>
      </c>
      <c r="L207" s="7">
        <v>39904.04008101852</v>
      </c>
      <c r="M207" s="16"/>
      <c r="N207" s="16"/>
      <c r="O207" s="11" t="str">
        <f>HYPERLINK("https://pbs.twimg.com/profile_images/552483320349462528/uBfJLmYP_normal.png","View")</f>
        <v>View</v>
      </c>
      <c r="P207" s="15"/>
    </row>
    <row r="208">
      <c r="A208" s="7">
        <v>42425.1580787037</v>
      </c>
      <c r="B208" s="8" t="str">
        <f>HYPERLINK("https://twitter.com/smartaayu","@smartaayu")</f>
        <v>@smartaayu</v>
      </c>
      <c r="C208" s="10" t="s">
        <v>623</v>
      </c>
      <c r="D208" s="10" t="s">
        <v>610</v>
      </c>
      <c r="E208" s="11" t="str">
        <f>HYPERLINK("https://twitter.com/smartaayu/status/702822255936442369","702822255936442369")</f>
        <v>702822255936442369</v>
      </c>
      <c r="F208" s="12" t="s">
        <v>20</v>
      </c>
      <c r="G208" s="13">
        <v>260.0</v>
      </c>
      <c r="H208" s="13">
        <v>1531.0</v>
      </c>
      <c r="I208" s="13">
        <v>6.0</v>
      </c>
      <c r="J208" s="13">
        <v>0.0</v>
      </c>
      <c r="K208" s="12" t="s">
        <v>21</v>
      </c>
      <c r="L208" s="7">
        <v>42380.13239583334</v>
      </c>
      <c r="M208" s="14" t="s">
        <v>34</v>
      </c>
      <c r="N208" s="14" t="s">
        <v>624</v>
      </c>
      <c r="O208" s="11" t="str">
        <f>HYPERLINK("https://pbs.twimg.com/profile_images/686534394723450880/pEKykTjf_normal.jpg","View")</f>
        <v>View</v>
      </c>
      <c r="P208" s="15"/>
    </row>
    <row r="209">
      <c r="A209" s="7">
        <v>42425.15884259259</v>
      </c>
      <c r="B209" s="8" t="str">
        <f>HYPERLINK("https://twitter.com/ajsanchezsanz","@ajsanchezsanz")</f>
        <v>@ajsanchezsanz</v>
      </c>
      <c r="C209" s="10" t="s">
        <v>627</v>
      </c>
      <c r="D209" s="10" t="s">
        <v>564</v>
      </c>
      <c r="E209" s="11" t="str">
        <f>HYPERLINK("https://twitter.com/ajsanchezsanz/status/702822532534149120","702822532534149120")</f>
        <v>702822532534149120</v>
      </c>
      <c r="F209" s="12" t="s">
        <v>20</v>
      </c>
      <c r="G209" s="13">
        <v>494.0</v>
      </c>
      <c r="H209" s="13">
        <v>963.0</v>
      </c>
      <c r="I209" s="13">
        <v>4.0</v>
      </c>
      <c r="J209" s="13">
        <v>0.0</v>
      </c>
      <c r="K209" s="12" t="s">
        <v>21</v>
      </c>
      <c r="L209" s="7">
        <v>40680.24241898148</v>
      </c>
      <c r="M209" s="14" t="s">
        <v>628</v>
      </c>
      <c r="N209" s="14" t="s">
        <v>629</v>
      </c>
      <c r="O209" s="11" t="str">
        <f>HYPERLINK("https://pbs.twimg.com/profile_images/3678592435/c96c2d85edf68256dbea146099a4e262_normal.png","View")</f>
        <v>View</v>
      </c>
      <c r="P209" s="15"/>
    </row>
    <row r="210">
      <c r="A210" s="7">
        <v>42425.159062499995</v>
      </c>
      <c r="B210" s="8" t="str">
        <f>HYPERLINK("https://twitter.com/livecodingtv","@livecodingtv")</f>
        <v>@livecodingtv</v>
      </c>
      <c r="C210" s="9" t="s">
        <v>630</v>
      </c>
      <c r="D210" s="10" t="s">
        <v>631</v>
      </c>
      <c r="E210" s="11" t="str">
        <f>HYPERLINK("https://twitter.com/livecodingtv/status/702822614385844225","702822614385844225")</f>
        <v>702822614385844225</v>
      </c>
      <c r="F210" s="17" t="s">
        <v>632</v>
      </c>
      <c r="G210" s="13">
        <v>4224.0</v>
      </c>
      <c r="H210" s="13">
        <v>1766.0</v>
      </c>
      <c r="I210" s="13">
        <v>0.0</v>
      </c>
      <c r="J210" s="13">
        <v>0.0</v>
      </c>
      <c r="K210" s="12" t="s">
        <v>21</v>
      </c>
      <c r="L210" s="7">
        <v>41919.33319444444</v>
      </c>
      <c r="M210" s="14" t="s">
        <v>69</v>
      </c>
      <c r="N210" s="14" t="s">
        <v>633</v>
      </c>
      <c r="O210" s="11" t="str">
        <f>HYPERLINK("https://pbs.twimg.com/profile_images/539451988929294337/hCieN16A_normal.png","View")</f>
        <v>View</v>
      </c>
      <c r="P210" s="15"/>
    </row>
    <row r="211">
      <c r="A211" s="7">
        <v>42425.16210648148</v>
      </c>
      <c r="B211" s="8" t="str">
        <f>HYPERLINK("https://twitter.com/mesrine_29","@mesrine_29")</f>
        <v>@mesrine_29</v>
      </c>
      <c r="C211" s="10" t="s">
        <v>634</v>
      </c>
      <c r="D211" s="10" t="s">
        <v>635</v>
      </c>
      <c r="E211" s="11" t="str">
        <f>HYPERLINK("https://twitter.com/mesrine_29/status/702823715113988096","702823715113988096")</f>
        <v>702823715113988096</v>
      </c>
      <c r="F211" s="12" t="s">
        <v>152</v>
      </c>
      <c r="G211" s="13">
        <v>87.0</v>
      </c>
      <c r="H211" s="13">
        <v>300.0</v>
      </c>
      <c r="I211" s="13">
        <v>6.0</v>
      </c>
      <c r="J211" s="13">
        <v>0.0</v>
      </c>
      <c r="K211" s="12" t="s">
        <v>21</v>
      </c>
      <c r="L211" s="7">
        <v>40908.39884259259</v>
      </c>
      <c r="M211" s="14" t="s">
        <v>636</v>
      </c>
      <c r="N211" s="14" t="s">
        <v>637</v>
      </c>
      <c r="O211" s="11" t="str">
        <f>HYPERLINK("https://pbs.twimg.com/profile_images/652884954704179200/OqASEDz6_normal.png","View")</f>
        <v>View</v>
      </c>
      <c r="P211" s="15"/>
    </row>
    <row r="212">
      <c r="A212" s="7">
        <v>42425.1640625</v>
      </c>
      <c r="B212" s="8" t="str">
        <f>HYPERLINK("https://twitter.com/smith3471","@smith3471")</f>
        <v>@smith3471</v>
      </c>
      <c r="C212" s="10" t="s">
        <v>638</v>
      </c>
      <c r="D212" s="10" t="s">
        <v>37</v>
      </c>
      <c r="E212" s="11" t="str">
        <f>HYPERLINK("https://twitter.com/smith3471/status/702824425884745728","702824425884745728")</f>
        <v>702824425884745728</v>
      </c>
      <c r="F212" s="12" t="s">
        <v>20</v>
      </c>
      <c r="G212" s="13">
        <v>603.0</v>
      </c>
      <c r="H212" s="13">
        <v>899.0</v>
      </c>
      <c r="I212" s="13">
        <v>8.0</v>
      </c>
      <c r="J212" s="13">
        <v>0.0</v>
      </c>
      <c r="K212" s="12" t="s">
        <v>21</v>
      </c>
      <c r="L212" s="7">
        <v>41955.08188657407</v>
      </c>
      <c r="M212" s="14" t="s">
        <v>639</v>
      </c>
      <c r="N212" s="14" t="s">
        <v>640</v>
      </c>
      <c r="O212" s="11" t="str">
        <f>HYPERLINK("https://pbs.twimg.com/profile_images/543370694457692160/F50_TY0U_normal.jpeg","View")</f>
        <v>View</v>
      </c>
      <c r="P212" s="15"/>
    </row>
    <row r="213">
      <c r="A213" s="7">
        <v>42425.16657407407</v>
      </c>
      <c r="B213" s="8" t="str">
        <f>HYPERLINK("https://twitter.com/StackDevJobs","@StackDevJobs")</f>
        <v>@StackDevJobs</v>
      </c>
      <c r="C213" s="10" t="s">
        <v>24</v>
      </c>
      <c r="D213" s="10" t="s">
        <v>641</v>
      </c>
      <c r="E213" s="11" t="str">
        <f>HYPERLINK("https://twitter.com/StackDevJobs/status/702825333687455745","702825333687455745")</f>
        <v>702825333687455745</v>
      </c>
      <c r="F213" s="12" t="s">
        <v>26</v>
      </c>
      <c r="G213" s="13">
        <v>12541.0</v>
      </c>
      <c r="H213" s="13">
        <v>327.0</v>
      </c>
      <c r="I213" s="13">
        <v>0.0</v>
      </c>
      <c r="J213" s="13">
        <v>0.0</v>
      </c>
      <c r="K213" s="12" t="s">
        <v>21</v>
      </c>
      <c r="L213" s="7">
        <v>40435.245416666665</v>
      </c>
      <c r="M213" s="16"/>
      <c r="N213" s="14" t="s">
        <v>27</v>
      </c>
      <c r="O213" s="11" t="str">
        <f>HYPERLINK("https://pbs.twimg.com/profile_images/643779014268579840/bRJStj7A_normal.png","View")</f>
        <v>View</v>
      </c>
      <c r="P213" s="15"/>
    </row>
    <row r="214">
      <c r="A214" s="7">
        <v>42425.167025462964</v>
      </c>
      <c r="B214" s="8" t="str">
        <f>HYPERLINK("https://twitter.com/AlexMourer","@AlexMourer")</f>
        <v>@AlexMourer</v>
      </c>
      <c r="C214" s="10" t="s">
        <v>642</v>
      </c>
      <c r="D214" s="10" t="s">
        <v>643</v>
      </c>
      <c r="E214" s="11" t="str">
        <f>HYPERLINK("https://twitter.com/AlexMourer/status/702825497353457664","702825497353457664")</f>
        <v>702825497353457664</v>
      </c>
      <c r="F214" s="12" t="s">
        <v>52</v>
      </c>
      <c r="G214" s="13">
        <v>729.0</v>
      </c>
      <c r="H214" s="13">
        <v>1247.0</v>
      </c>
      <c r="I214" s="13">
        <v>0.0</v>
      </c>
      <c r="J214" s="13">
        <v>1.0</v>
      </c>
      <c r="K214" s="12" t="s">
        <v>21</v>
      </c>
      <c r="L214" s="7">
        <v>40966.80144675926</v>
      </c>
      <c r="M214" s="14" t="s">
        <v>644</v>
      </c>
      <c r="N214" s="14" t="s">
        <v>645</v>
      </c>
      <c r="O214" s="11" t="str">
        <f>HYPERLINK("https://pbs.twimg.com/profile_images/694741070035423232/cePb80XM_normal.jpg","View")</f>
        <v>View</v>
      </c>
      <c r="P214" s="15"/>
    </row>
    <row r="215">
      <c r="A215" s="7">
        <v>42425.16899305556</v>
      </c>
      <c r="B215" s="8" t="str">
        <f>HYPERLINK("https://twitter.com/allaboutwebbiz","@allaboutwebbiz")</f>
        <v>@allaboutwebbiz</v>
      </c>
      <c r="C215" s="10" t="s">
        <v>646</v>
      </c>
      <c r="D215" s="10" t="s">
        <v>647</v>
      </c>
      <c r="E215" s="11" t="str">
        <f>HYPERLINK("https://twitter.com/allaboutwebbiz/status/702826213677469696","702826213677469696")</f>
        <v>702826213677469696</v>
      </c>
      <c r="F215" s="12" t="s">
        <v>20</v>
      </c>
      <c r="G215" s="13">
        <v>4357.0</v>
      </c>
      <c r="H215" s="13">
        <v>4402.0</v>
      </c>
      <c r="I215" s="13">
        <v>3.0</v>
      </c>
      <c r="J215" s="13">
        <v>4.0</v>
      </c>
      <c r="K215" s="12" t="s">
        <v>21</v>
      </c>
      <c r="L215" s="7">
        <v>42177.069513888884</v>
      </c>
      <c r="M215" s="14" t="s">
        <v>648</v>
      </c>
      <c r="N215" s="14" t="s">
        <v>649</v>
      </c>
      <c r="O215" s="11" t="str">
        <f>HYPERLINK("https://pbs.twimg.com/profile_images/633624602787246080/gsYUN2QR_normal.png","View")</f>
        <v>View</v>
      </c>
      <c r="P215" s="15"/>
    </row>
    <row r="216">
      <c r="A216" s="7">
        <v>42425.169085648144</v>
      </c>
      <c r="B216" s="8" t="str">
        <f>HYPERLINK("https://twitter.com/anioko1","@anioko1")</f>
        <v>@anioko1</v>
      </c>
      <c r="C216" s="10" t="s">
        <v>178</v>
      </c>
      <c r="D216" s="10" t="s">
        <v>650</v>
      </c>
      <c r="E216" s="11" t="str">
        <f>HYPERLINK("https://twitter.com/anioko1/status/702826244438679552","702826244438679552")</f>
        <v>702826244438679552</v>
      </c>
      <c r="F216" s="12" t="s">
        <v>103</v>
      </c>
      <c r="G216" s="13">
        <v>527.0</v>
      </c>
      <c r="H216" s="13">
        <v>1936.0</v>
      </c>
      <c r="I216" s="13">
        <v>0.0</v>
      </c>
      <c r="J216" s="13">
        <v>0.0</v>
      </c>
      <c r="K216" s="12" t="s">
        <v>21</v>
      </c>
      <c r="L216" s="7">
        <v>40367.98541666666</v>
      </c>
      <c r="M216" s="14" t="s">
        <v>180</v>
      </c>
      <c r="N216" s="14" t="s">
        <v>181</v>
      </c>
      <c r="O216" s="11" t="str">
        <f>HYPERLINK("https://pbs.twimg.com/profile_images/695642719948009474/s9J4OUA9_normal.jpg","View")</f>
        <v>View</v>
      </c>
      <c r="P216" s="15"/>
    </row>
    <row r="217">
      <c r="A217" s="7">
        <v>42425.16956018518</v>
      </c>
      <c r="B217" s="8" t="str">
        <f>HYPERLINK("https://twitter.com/PHLTechEvents","@PHLTechEvents")</f>
        <v>@PHLTechEvents</v>
      </c>
      <c r="C217" s="10" t="s">
        <v>651</v>
      </c>
      <c r="D217" s="10" t="s">
        <v>652</v>
      </c>
      <c r="E217" s="11" t="str">
        <f>HYPERLINK("https://twitter.com/PHLTechEvents/status/702826415553650688","702826415553650688")</f>
        <v>702826415553650688</v>
      </c>
      <c r="F217" s="12" t="s">
        <v>294</v>
      </c>
      <c r="G217" s="13">
        <v>1.0</v>
      </c>
      <c r="H217" s="13">
        <v>0.0</v>
      </c>
      <c r="I217" s="13">
        <v>0.0</v>
      </c>
      <c r="J217" s="13">
        <v>0.0</v>
      </c>
      <c r="K217" s="12" t="s">
        <v>21</v>
      </c>
      <c r="L217" s="7">
        <v>42379.85732638889</v>
      </c>
      <c r="M217" s="16"/>
      <c r="N217" s="16"/>
      <c r="O217" s="11" t="str">
        <f>HYPERLINK("https://abs.twimg.com/sticky/default_profile_images/default_profile_5_normal.png","View")</f>
        <v>View</v>
      </c>
      <c r="P217" s="15"/>
    </row>
    <row r="218">
      <c r="A218" s="7">
        <v>42425.16988425926</v>
      </c>
      <c r="B218" s="8" t="str">
        <f>HYPERLINK("https://twitter.com/zeromq","@zeromq")</f>
        <v>@zeromq</v>
      </c>
      <c r="C218" s="10" t="s">
        <v>653</v>
      </c>
      <c r="D218" s="10" t="s">
        <v>485</v>
      </c>
      <c r="E218" s="11" t="str">
        <f>HYPERLINK("https://twitter.com/zeromq/status/702826533476507648","702826533476507648")</f>
        <v>702826533476507648</v>
      </c>
      <c r="F218" s="12" t="s">
        <v>20</v>
      </c>
      <c r="G218" s="13">
        <v>76.0</v>
      </c>
      <c r="H218" s="13">
        <v>1.0</v>
      </c>
      <c r="I218" s="13">
        <v>14.0</v>
      </c>
      <c r="J218" s="13">
        <v>0.0</v>
      </c>
      <c r="K218" s="12" t="s">
        <v>21</v>
      </c>
      <c r="L218" s="7">
        <v>42397.03277777778</v>
      </c>
      <c r="M218" s="16"/>
      <c r="N218" s="16"/>
      <c r="O218" s="11" t="str">
        <f>HYPERLINK("https://pbs.twimg.com/profile_images/702825976221323265/mGo54er5_normal.png","View")</f>
        <v>View</v>
      </c>
      <c r="P218" s="15"/>
    </row>
    <row r="219">
      <c r="A219" s="7">
        <v>42425.17015046296</v>
      </c>
      <c r="B219" s="8" t="str">
        <f>HYPERLINK("https://twitter.com/hintjens","@hintjens")</f>
        <v>@hintjens</v>
      </c>
      <c r="C219" s="10" t="s">
        <v>654</v>
      </c>
      <c r="D219" s="10" t="s">
        <v>485</v>
      </c>
      <c r="E219" s="11" t="str">
        <f>HYPERLINK("https://twitter.com/hintjens/status/702826630952185858","702826630952185858")</f>
        <v>702826630952185858</v>
      </c>
      <c r="F219" s="12" t="s">
        <v>20</v>
      </c>
      <c r="G219" s="13">
        <v>4324.0</v>
      </c>
      <c r="H219" s="13">
        <v>471.0</v>
      </c>
      <c r="I219" s="13">
        <v>14.0</v>
      </c>
      <c r="J219" s="13">
        <v>0.0</v>
      </c>
      <c r="K219" s="12" t="s">
        <v>21</v>
      </c>
      <c r="L219" s="7">
        <v>39884.51443287037</v>
      </c>
      <c r="M219" s="14" t="s">
        <v>655</v>
      </c>
      <c r="N219" s="14" t="s">
        <v>656</v>
      </c>
      <c r="O219" s="11" t="str">
        <f>HYPERLINK("https://pbs.twimg.com/profile_images/679608317581242369/8xRCcf3q_normal.jpg","View")</f>
        <v>View</v>
      </c>
      <c r="P219" s="15"/>
    </row>
    <row r="220">
      <c r="A220" s="7">
        <v>42425.170219907406</v>
      </c>
      <c r="B220" s="8" t="str">
        <f>HYPERLINK("https://twitter.com/pdipao","@pdipao")</f>
        <v>@pdipao</v>
      </c>
      <c r="C220" s="10" t="s">
        <v>657</v>
      </c>
      <c r="D220" s="10" t="s">
        <v>658</v>
      </c>
      <c r="E220" s="11" t="str">
        <f>HYPERLINK("https://twitter.com/pdipao/status/702826658705903616","702826658705903616")</f>
        <v>702826658705903616</v>
      </c>
      <c r="F220" s="12" t="s">
        <v>659</v>
      </c>
      <c r="G220" s="13">
        <v>2629.0</v>
      </c>
      <c r="H220" s="13">
        <v>1663.0</v>
      </c>
      <c r="I220" s="13">
        <v>0.0</v>
      </c>
      <c r="J220" s="13">
        <v>2.0</v>
      </c>
      <c r="K220" s="12" t="s">
        <v>21</v>
      </c>
      <c r="L220" s="7">
        <v>41079.41190972222</v>
      </c>
      <c r="M220" s="16"/>
      <c r="N220" s="14" t="s">
        <v>660</v>
      </c>
      <c r="O220" s="11" t="str">
        <f>HYPERLINK("https://pbs.twimg.com/profile_images/2323096455/ie6d7zexkb52v6ojptfm_normal.jpeg","View")</f>
        <v>View</v>
      </c>
      <c r="P220" s="15"/>
    </row>
    <row r="221">
      <c r="A221" s="7">
        <v>42425.17048611111</v>
      </c>
      <c r="B221" s="8" t="str">
        <f>HYPERLINK("https://twitter.com/aliostad","@aliostad")</f>
        <v>@aliostad</v>
      </c>
      <c r="C221" s="10" t="s">
        <v>661</v>
      </c>
      <c r="D221" s="10" t="s">
        <v>485</v>
      </c>
      <c r="E221" s="11" t="str">
        <f>HYPERLINK("https://twitter.com/aliostad/status/702826751123169280","702826751123169280")</f>
        <v>702826751123169280</v>
      </c>
      <c r="F221" s="12" t="s">
        <v>20</v>
      </c>
      <c r="G221" s="13">
        <v>771.0</v>
      </c>
      <c r="H221" s="13">
        <v>329.0</v>
      </c>
      <c r="I221" s="13">
        <v>14.0</v>
      </c>
      <c r="J221" s="13">
        <v>0.0</v>
      </c>
      <c r="K221" s="12" t="s">
        <v>21</v>
      </c>
      <c r="L221" s="7">
        <v>39978.73239583333</v>
      </c>
      <c r="M221" s="14" t="s">
        <v>519</v>
      </c>
      <c r="N221" s="14" t="s">
        <v>662</v>
      </c>
      <c r="O221" s="11" t="str">
        <f>HYPERLINK("https://pbs.twimg.com/profile_images/378800000339965509/9c794bcfcd36ed6fc5e3841cddfd1de2_normal.jpeg","View")</f>
        <v>View</v>
      </c>
      <c r="P221" s="15"/>
    </row>
    <row r="222">
      <c r="A222" s="7">
        <v>42425.170578703706</v>
      </c>
      <c r="B222" s="8" t="str">
        <f>HYPERLINK("https://twitter.com/informatcaminos","@informatcaminos")</f>
        <v>@informatcaminos</v>
      </c>
      <c r="C222" s="10" t="s">
        <v>663</v>
      </c>
      <c r="D222" s="10" t="s">
        <v>664</v>
      </c>
      <c r="E222" s="11" t="str">
        <f>HYPERLINK("https://twitter.com/informatcaminos/status/702826784891523072","702826784891523072")</f>
        <v>702826784891523072</v>
      </c>
      <c r="F222" s="12" t="s">
        <v>659</v>
      </c>
      <c r="G222" s="13">
        <v>93.0</v>
      </c>
      <c r="H222" s="13">
        <v>82.0</v>
      </c>
      <c r="I222" s="13">
        <v>0.0</v>
      </c>
      <c r="J222" s="13">
        <v>0.0</v>
      </c>
      <c r="K222" s="12" t="s">
        <v>21</v>
      </c>
      <c r="L222" s="7">
        <v>41970.378125</v>
      </c>
      <c r="M222" s="14" t="s">
        <v>665</v>
      </c>
      <c r="N222" s="14" t="s">
        <v>666</v>
      </c>
      <c r="O222" s="11" t="str">
        <f>HYPERLINK("https://pbs.twimg.com/profile_images/699510500535697408/gRL7SFaE_normal.png","View")</f>
        <v>View</v>
      </c>
      <c r="P222" s="15"/>
    </row>
    <row r="223">
      <c r="A223" s="7">
        <v>42425.17130787037</v>
      </c>
      <c r="B223" s="8" t="str">
        <f>HYPERLINK("https://twitter.com/ohoncharuk","@ohoncharuk")</f>
        <v>@ohoncharuk</v>
      </c>
      <c r="C223" s="10" t="s">
        <v>667</v>
      </c>
      <c r="D223" s="10" t="s">
        <v>485</v>
      </c>
      <c r="E223" s="11" t="str">
        <f>HYPERLINK("https://twitter.com/ohoncharuk/status/702827049010991105","702827049010991105")</f>
        <v>702827049010991105</v>
      </c>
      <c r="F223" s="12" t="s">
        <v>20</v>
      </c>
      <c r="G223" s="13">
        <v>380.0</v>
      </c>
      <c r="H223" s="13">
        <v>318.0</v>
      </c>
      <c r="I223" s="13">
        <v>14.0</v>
      </c>
      <c r="J223" s="13">
        <v>0.0</v>
      </c>
      <c r="K223" s="12" t="s">
        <v>21</v>
      </c>
      <c r="L223" s="7">
        <v>40030.01662037037</v>
      </c>
      <c r="M223" s="14" t="s">
        <v>668</v>
      </c>
      <c r="N223" s="14" t="s">
        <v>669</v>
      </c>
      <c r="O223" s="11" t="str">
        <f>HYPERLINK("https://pbs.twimg.com/profile_images/669808324637011968/lD8VqchD_normal.jpg","View")</f>
        <v>View</v>
      </c>
      <c r="P223" s="15"/>
    </row>
    <row r="224">
      <c r="A224" s="7">
        <v>42425.17256944445</v>
      </c>
      <c r="B224" s="8" t="str">
        <f>HYPERLINK("https://twitter.com/philippebiaut","@philippebiaut")</f>
        <v>@philippebiaut</v>
      </c>
      <c r="C224" s="10" t="s">
        <v>670</v>
      </c>
      <c r="D224" s="10" t="s">
        <v>457</v>
      </c>
      <c r="E224" s="11" t="str">
        <f>HYPERLINK("https://twitter.com/philippebiaut/status/702827507167399936","702827507167399936")</f>
        <v>702827507167399936</v>
      </c>
      <c r="F224" s="12" t="s">
        <v>152</v>
      </c>
      <c r="G224" s="13">
        <v>1087.0</v>
      </c>
      <c r="H224" s="13">
        <v>2501.0</v>
      </c>
      <c r="I224" s="13">
        <v>4.0</v>
      </c>
      <c r="J224" s="13">
        <v>0.0</v>
      </c>
      <c r="K224" s="12" t="s">
        <v>21</v>
      </c>
      <c r="L224" s="7">
        <v>39685.353310185186</v>
      </c>
      <c r="M224" s="14" t="s">
        <v>462</v>
      </c>
      <c r="N224" s="14" t="s">
        <v>671</v>
      </c>
      <c r="O224" s="11" t="str">
        <f>HYPERLINK("https://pbs.twimg.com/profile_images/673638315686543360/Ww1_3Mey_normal.jpg","View")</f>
        <v>View</v>
      </c>
      <c r="P224" s="15"/>
    </row>
    <row r="225">
      <c r="A225" s="7">
        <v>42425.17363425926</v>
      </c>
      <c r="B225" s="8" t="str">
        <f>HYPERLINK("https://twitter.com/ApplyQJobs","@ApplyQJobs")</f>
        <v>@ApplyQJobs</v>
      </c>
      <c r="C225" s="10" t="s">
        <v>672</v>
      </c>
      <c r="D225" s="10" t="s">
        <v>673</v>
      </c>
      <c r="E225" s="11" t="str">
        <f>HYPERLINK("https://twitter.com/ApplyQJobs/status/702827894800834560","702827894800834560")</f>
        <v>702827894800834560</v>
      </c>
      <c r="F225" s="12" t="s">
        <v>674</v>
      </c>
      <c r="G225" s="13">
        <v>4463.0</v>
      </c>
      <c r="H225" s="13">
        <v>520.0</v>
      </c>
      <c r="I225" s="13">
        <v>0.0</v>
      </c>
      <c r="J225" s="13">
        <v>0.0</v>
      </c>
      <c r="K225" s="12" t="s">
        <v>21</v>
      </c>
      <c r="L225" s="7">
        <v>42048.9874074074</v>
      </c>
      <c r="M225" s="16"/>
      <c r="N225" s="14" t="s">
        <v>675</v>
      </c>
      <c r="O225" s="11" t="str">
        <f>HYPERLINK("https://pbs.twimg.com/profile_images/566502746933583875/MhjI4eN7_normal.png","View")</f>
        <v>View</v>
      </c>
      <c r="P225" s="15"/>
    </row>
    <row r="226">
      <c r="A226" s="7">
        <v>42425.174050925925</v>
      </c>
      <c r="B226" s="8" t="str">
        <f>HYPERLINK("https://twitter.com/philippebiaut","@philippebiaut")</f>
        <v>@philippebiaut</v>
      </c>
      <c r="C226" s="10" t="s">
        <v>670</v>
      </c>
      <c r="D226" s="10" t="s">
        <v>676</v>
      </c>
      <c r="E226" s="11" t="str">
        <f>HYPERLINK("https://twitter.com/philippebiaut/status/702828045426663424","702828045426663424")</f>
        <v>702828045426663424</v>
      </c>
      <c r="F226" s="12" t="s">
        <v>152</v>
      </c>
      <c r="G226" s="13">
        <v>1087.0</v>
      </c>
      <c r="H226" s="13">
        <v>2501.0</v>
      </c>
      <c r="I226" s="13">
        <v>2.0</v>
      </c>
      <c r="J226" s="13">
        <v>0.0</v>
      </c>
      <c r="K226" s="12" t="s">
        <v>21</v>
      </c>
      <c r="L226" s="7">
        <v>39685.353310185186</v>
      </c>
      <c r="M226" s="14" t="s">
        <v>462</v>
      </c>
      <c r="N226" s="14" t="s">
        <v>671</v>
      </c>
      <c r="O226" s="11" t="str">
        <f>HYPERLINK("https://pbs.twimg.com/profile_images/673638315686543360/Ww1_3Mey_normal.jpg","View")</f>
        <v>View</v>
      </c>
      <c r="P226" s="15"/>
    </row>
    <row r="227">
      <c r="A227" s="7">
        <v>42425.17512731481</v>
      </c>
      <c r="B227" s="8" t="str">
        <f>HYPERLINK("https://twitter.com/dublin_startups","@dublin_startups")</f>
        <v>@dublin_startups</v>
      </c>
      <c r="C227" s="10" t="s">
        <v>677</v>
      </c>
      <c r="D227" s="10" t="s">
        <v>678</v>
      </c>
      <c r="E227" s="11" t="str">
        <f>HYPERLINK("https://twitter.com/dublin_startups/status/702828433601118208","702828433601118208")</f>
        <v>702828433601118208</v>
      </c>
      <c r="F227" s="12" t="s">
        <v>294</v>
      </c>
      <c r="G227" s="13">
        <v>3948.0</v>
      </c>
      <c r="H227" s="13">
        <v>3648.0</v>
      </c>
      <c r="I227" s="13">
        <v>1.0</v>
      </c>
      <c r="J227" s="13">
        <v>4.0</v>
      </c>
      <c r="K227" s="12" t="s">
        <v>21</v>
      </c>
      <c r="L227" s="7">
        <v>40751.64847222222</v>
      </c>
      <c r="M227" s="14" t="s">
        <v>679</v>
      </c>
      <c r="N227" s="14" t="s">
        <v>680</v>
      </c>
      <c r="O227" s="11" t="str">
        <f>HYPERLINK("https://pbs.twimg.com/profile_images/1532715722/dsj-twitter_normal.png","View")</f>
        <v>View</v>
      </c>
      <c r="P227" s="15"/>
    </row>
    <row r="228">
      <c r="A228" s="7">
        <v>42425.17564814815</v>
      </c>
      <c r="B228" s="8" t="str">
        <f>HYPERLINK("https://twitter.com/Educateyoursel1","@Educateyoursel1")</f>
        <v>@Educateyoursel1</v>
      </c>
      <c r="C228" s="10" t="s">
        <v>681</v>
      </c>
      <c r="D228" s="20" t="s">
        <v>682</v>
      </c>
      <c r="E228" s="11" t="str">
        <f>HYPERLINK("https://twitter.com/Educateyoursel1/status/702828625112989696","702828625112989696")</f>
        <v>702828625112989696</v>
      </c>
      <c r="F228" s="12" t="s">
        <v>152</v>
      </c>
      <c r="G228" s="13">
        <v>595.0</v>
      </c>
      <c r="H228" s="13">
        <v>414.0</v>
      </c>
      <c r="I228" s="13">
        <v>13.0</v>
      </c>
      <c r="J228" s="13">
        <v>0.0</v>
      </c>
      <c r="K228" s="12" t="s">
        <v>21</v>
      </c>
      <c r="L228" s="7">
        <v>42038.19283564815</v>
      </c>
      <c r="M228" s="14" t="s">
        <v>683</v>
      </c>
      <c r="N228" s="21" t="s">
        <v>684</v>
      </c>
      <c r="O228" s="11" t="str">
        <f>HYPERLINK("https://pbs.twimg.com/profile_images/700565212403879936/91jg5oEM_normal.jpg","View")</f>
        <v>View</v>
      </c>
      <c r="P228" s="15"/>
    </row>
    <row r="229">
      <c r="A229" s="7">
        <v>42425.17722222222</v>
      </c>
      <c r="B229" s="8" t="str">
        <f>HYPERLINK("https://twitter.com/coding_jobfeeds","@coding_jobfeeds")</f>
        <v>@coding_jobfeeds</v>
      </c>
      <c r="C229" s="10" t="s">
        <v>685</v>
      </c>
      <c r="D229" s="10" t="s">
        <v>686</v>
      </c>
      <c r="E229" s="11" t="str">
        <f>HYPERLINK("https://twitter.com/coding_jobfeeds/status/702829196339507200","702829196339507200")</f>
        <v>702829196339507200</v>
      </c>
      <c r="F229" s="12" t="s">
        <v>687</v>
      </c>
      <c r="G229" s="13">
        <v>1040.0</v>
      </c>
      <c r="H229" s="13">
        <v>987.0</v>
      </c>
      <c r="I229" s="13">
        <v>0.0</v>
      </c>
      <c r="J229" s="13">
        <v>0.0</v>
      </c>
      <c r="K229" s="12" t="s">
        <v>21</v>
      </c>
      <c r="L229" s="7">
        <v>42173.56387731481</v>
      </c>
      <c r="M229" s="14" t="s">
        <v>519</v>
      </c>
      <c r="N229" s="14" t="s">
        <v>688</v>
      </c>
      <c r="O229" s="11" t="str">
        <f>HYPERLINK("https://pbs.twimg.com/profile_images/611834314586750976/feZ5fZOO_normal.png","View")</f>
        <v>View</v>
      </c>
      <c r="P229" s="15"/>
    </row>
    <row r="230">
      <c r="A230" s="7">
        <v>42425.180243055554</v>
      </c>
      <c r="B230" s="8" t="str">
        <f>HYPERLINK("https://twitter.com/leobiscassi","@leobiscassi")</f>
        <v>@leobiscassi</v>
      </c>
      <c r="C230" s="10" t="s">
        <v>689</v>
      </c>
      <c r="D230" s="10" t="s">
        <v>690</v>
      </c>
      <c r="E230" s="11" t="str">
        <f>HYPERLINK("https://twitter.com/leobiscassi/status/702830288821460992","702830288821460992")</f>
        <v>702830288821460992</v>
      </c>
      <c r="F230" s="12" t="s">
        <v>152</v>
      </c>
      <c r="G230" s="13">
        <v>467.0</v>
      </c>
      <c r="H230" s="13">
        <v>316.0</v>
      </c>
      <c r="I230" s="13">
        <v>46.0</v>
      </c>
      <c r="J230" s="13">
        <v>0.0</v>
      </c>
      <c r="K230" s="12" t="s">
        <v>21</v>
      </c>
      <c r="L230" s="7">
        <v>40005.63111111111</v>
      </c>
      <c r="M230" s="14" t="s">
        <v>691</v>
      </c>
      <c r="N230" s="14" t="s">
        <v>692</v>
      </c>
      <c r="O230" s="11" t="str">
        <f>HYPERLINK("https://pbs.twimg.com/profile_images/693289169595015169/d4cM-r1v_normal.jpg","View")</f>
        <v>View</v>
      </c>
      <c r="P230" s="15"/>
    </row>
    <row r="231">
      <c r="A231" s="7">
        <v>42425.1812037037</v>
      </c>
      <c r="B231" s="8" t="str">
        <f>HYPERLINK("https://twitter.com/apowers411","@apowers411")</f>
        <v>@apowers411</v>
      </c>
      <c r="C231" s="10" t="s">
        <v>693</v>
      </c>
      <c r="D231" s="10" t="s">
        <v>694</v>
      </c>
      <c r="E231" s="11" t="str">
        <f>HYPERLINK("https://twitter.com/apowers411/status/702830638760665089","702830638760665089")</f>
        <v>702830638760665089</v>
      </c>
      <c r="F231" s="12" t="s">
        <v>152</v>
      </c>
      <c r="G231" s="13">
        <v>383.0</v>
      </c>
      <c r="H231" s="13">
        <v>710.0</v>
      </c>
      <c r="I231" s="13">
        <v>0.0</v>
      </c>
      <c r="J231" s="13">
        <v>0.0</v>
      </c>
      <c r="K231" s="12" t="s">
        <v>21</v>
      </c>
      <c r="L231" s="7">
        <v>41003.385254629626</v>
      </c>
      <c r="M231" s="14" t="s">
        <v>695</v>
      </c>
      <c r="N231" s="14" t="s">
        <v>696</v>
      </c>
      <c r="O231" s="11" t="str">
        <f>HYPERLINK("https://pbs.twimg.com/profile_images/547937964936790018/hSKwYqzV_normal.jpeg","View")</f>
        <v>View</v>
      </c>
      <c r="P231" s="15"/>
    </row>
    <row r="232">
      <c r="A232" s="7">
        <v>42425.18309027777</v>
      </c>
      <c r="B232" s="8" t="str">
        <f t="shared" ref="B232:B240" si="17">HYPERLINK("https://twitter.com/artwisanggeni","@artwisanggeni")</f>
        <v>@artwisanggeni</v>
      </c>
      <c r="C232" s="10" t="s">
        <v>74</v>
      </c>
      <c r="D232" s="10" t="s">
        <v>697</v>
      </c>
      <c r="E232" s="11" t="str">
        <f>HYPERLINK("https://twitter.com/artwisanggeni/status/702831320863379456","702831320863379456")</f>
        <v>702831320863379456</v>
      </c>
      <c r="F232" s="17" t="s">
        <v>76</v>
      </c>
      <c r="G232" s="13">
        <v>236.0</v>
      </c>
      <c r="H232" s="13">
        <v>61.0</v>
      </c>
      <c r="I232" s="13">
        <v>0.0</v>
      </c>
      <c r="J232" s="13">
        <v>0.0</v>
      </c>
      <c r="K232" s="12" t="s">
        <v>21</v>
      </c>
      <c r="L232" s="7">
        <v>41218.90608796296</v>
      </c>
      <c r="M232" s="14" t="s">
        <v>77</v>
      </c>
      <c r="N232" s="14" t="s">
        <v>78</v>
      </c>
      <c r="O232" s="11" t="str">
        <f t="shared" ref="O232:O240" si="18">HYPERLINK("https://pbs.twimg.com/profile_images/2813636657/599521f69e2bc210a57323b64d8e39e6_normal.jpeg","View")</f>
        <v>View</v>
      </c>
      <c r="P232" s="15"/>
    </row>
    <row r="233">
      <c r="A233" s="7">
        <v>42425.18310185186</v>
      </c>
      <c r="B233" s="8" t="str">
        <f t="shared" si="17"/>
        <v>@artwisanggeni</v>
      </c>
      <c r="C233" s="10" t="s">
        <v>74</v>
      </c>
      <c r="D233" s="10" t="s">
        <v>698</v>
      </c>
      <c r="E233" s="11" t="str">
        <f>HYPERLINK("https://twitter.com/artwisanggeni/status/702831326093713408","702831326093713408")</f>
        <v>702831326093713408</v>
      </c>
      <c r="F233" s="17" t="s">
        <v>76</v>
      </c>
      <c r="G233" s="13">
        <v>236.0</v>
      </c>
      <c r="H233" s="13">
        <v>61.0</v>
      </c>
      <c r="I233" s="13">
        <v>0.0</v>
      </c>
      <c r="J233" s="13">
        <v>0.0</v>
      </c>
      <c r="K233" s="12" t="s">
        <v>21</v>
      </c>
      <c r="L233" s="7">
        <v>41218.90608796296</v>
      </c>
      <c r="M233" s="14" t="s">
        <v>77</v>
      </c>
      <c r="N233" s="14" t="s">
        <v>78</v>
      </c>
      <c r="O233" s="11" t="str">
        <f t="shared" si="18"/>
        <v>View</v>
      </c>
      <c r="P233" s="15"/>
    </row>
    <row r="234">
      <c r="A234" s="7">
        <v>42425.18311342593</v>
      </c>
      <c r="B234" s="8" t="str">
        <f t="shared" si="17"/>
        <v>@artwisanggeni</v>
      </c>
      <c r="C234" s="10" t="s">
        <v>74</v>
      </c>
      <c r="D234" s="10" t="s">
        <v>699</v>
      </c>
      <c r="E234" s="11" t="str">
        <f>HYPERLINK("https://twitter.com/artwisanggeni/status/702831330657107968","702831330657107968")</f>
        <v>702831330657107968</v>
      </c>
      <c r="F234" s="17" t="s">
        <v>76</v>
      </c>
      <c r="G234" s="13">
        <v>236.0</v>
      </c>
      <c r="H234" s="13">
        <v>61.0</v>
      </c>
      <c r="I234" s="13">
        <v>0.0</v>
      </c>
      <c r="J234" s="13">
        <v>0.0</v>
      </c>
      <c r="K234" s="12" t="s">
        <v>21</v>
      </c>
      <c r="L234" s="7">
        <v>41218.90608796296</v>
      </c>
      <c r="M234" s="14" t="s">
        <v>77</v>
      </c>
      <c r="N234" s="14" t="s">
        <v>78</v>
      </c>
      <c r="O234" s="11" t="str">
        <f t="shared" si="18"/>
        <v>View</v>
      </c>
      <c r="P234" s="15"/>
    </row>
    <row r="235">
      <c r="A235" s="7">
        <v>42425.183124999996</v>
      </c>
      <c r="B235" s="8" t="str">
        <f t="shared" si="17"/>
        <v>@artwisanggeni</v>
      </c>
      <c r="C235" s="10" t="s">
        <v>74</v>
      </c>
      <c r="D235" s="10" t="s">
        <v>700</v>
      </c>
      <c r="E235" s="11" t="str">
        <f>HYPERLINK("https://twitter.com/artwisanggeni/status/702831334629085184","702831334629085184")</f>
        <v>702831334629085184</v>
      </c>
      <c r="F235" s="17" t="s">
        <v>76</v>
      </c>
      <c r="G235" s="13">
        <v>236.0</v>
      </c>
      <c r="H235" s="13">
        <v>61.0</v>
      </c>
      <c r="I235" s="13">
        <v>0.0</v>
      </c>
      <c r="J235" s="13">
        <v>0.0</v>
      </c>
      <c r="K235" s="12" t="s">
        <v>21</v>
      </c>
      <c r="L235" s="7">
        <v>41218.90608796296</v>
      </c>
      <c r="M235" s="14" t="s">
        <v>77</v>
      </c>
      <c r="N235" s="14" t="s">
        <v>78</v>
      </c>
      <c r="O235" s="11" t="str">
        <f t="shared" si="18"/>
        <v>View</v>
      </c>
      <c r="P235" s="15"/>
    </row>
    <row r="236">
      <c r="A236" s="7">
        <v>42425.18313657407</v>
      </c>
      <c r="B236" s="8" t="str">
        <f t="shared" si="17"/>
        <v>@artwisanggeni</v>
      </c>
      <c r="C236" s="10" t="s">
        <v>74</v>
      </c>
      <c r="D236" s="10" t="s">
        <v>701</v>
      </c>
      <c r="E236" s="11" t="str">
        <f>HYPERLINK("https://twitter.com/artwisanggeni/status/702831338659819520","702831338659819520")</f>
        <v>702831338659819520</v>
      </c>
      <c r="F236" s="17" t="s">
        <v>76</v>
      </c>
      <c r="G236" s="13">
        <v>236.0</v>
      </c>
      <c r="H236" s="13">
        <v>61.0</v>
      </c>
      <c r="I236" s="13">
        <v>0.0</v>
      </c>
      <c r="J236" s="13">
        <v>0.0</v>
      </c>
      <c r="K236" s="12" t="s">
        <v>21</v>
      </c>
      <c r="L236" s="7">
        <v>41218.90608796296</v>
      </c>
      <c r="M236" s="14" t="s">
        <v>77</v>
      </c>
      <c r="N236" s="14" t="s">
        <v>78</v>
      </c>
      <c r="O236" s="11" t="str">
        <f t="shared" si="18"/>
        <v>View</v>
      </c>
      <c r="P236" s="15"/>
    </row>
    <row r="237">
      <c r="A237" s="7">
        <v>42425.18314814815</v>
      </c>
      <c r="B237" s="8" t="str">
        <f t="shared" si="17"/>
        <v>@artwisanggeni</v>
      </c>
      <c r="C237" s="10" t="s">
        <v>74</v>
      </c>
      <c r="D237" s="10" t="s">
        <v>702</v>
      </c>
      <c r="E237" s="11" t="str">
        <f>HYPERLINK("https://twitter.com/artwisanggeni/status/702831342640197632","702831342640197632")</f>
        <v>702831342640197632</v>
      </c>
      <c r="F237" s="17" t="s">
        <v>76</v>
      </c>
      <c r="G237" s="13">
        <v>236.0</v>
      </c>
      <c r="H237" s="13">
        <v>61.0</v>
      </c>
      <c r="I237" s="13">
        <v>0.0</v>
      </c>
      <c r="J237" s="13">
        <v>0.0</v>
      </c>
      <c r="K237" s="12" t="s">
        <v>21</v>
      </c>
      <c r="L237" s="7">
        <v>41218.90608796296</v>
      </c>
      <c r="M237" s="14" t="s">
        <v>77</v>
      </c>
      <c r="N237" s="14" t="s">
        <v>78</v>
      </c>
      <c r="O237" s="11" t="str">
        <f t="shared" si="18"/>
        <v>View</v>
      </c>
      <c r="P237" s="15"/>
    </row>
    <row r="238">
      <c r="A238" s="7">
        <v>42425.18315972222</v>
      </c>
      <c r="B238" s="8" t="str">
        <f t="shared" si="17"/>
        <v>@artwisanggeni</v>
      </c>
      <c r="C238" s="10" t="s">
        <v>74</v>
      </c>
      <c r="D238" s="10" t="s">
        <v>703</v>
      </c>
      <c r="E238" s="11" t="str">
        <f>HYPERLINK("https://twitter.com/artwisanggeni/status/702831346733830145","702831346733830145")</f>
        <v>702831346733830145</v>
      </c>
      <c r="F238" s="17" t="s">
        <v>76</v>
      </c>
      <c r="G238" s="13">
        <v>236.0</v>
      </c>
      <c r="H238" s="13">
        <v>61.0</v>
      </c>
      <c r="I238" s="13">
        <v>0.0</v>
      </c>
      <c r="J238" s="13">
        <v>0.0</v>
      </c>
      <c r="K238" s="12" t="s">
        <v>21</v>
      </c>
      <c r="L238" s="7">
        <v>41218.90608796296</v>
      </c>
      <c r="M238" s="14" t="s">
        <v>77</v>
      </c>
      <c r="N238" s="14" t="s">
        <v>78</v>
      </c>
      <c r="O238" s="11" t="str">
        <f t="shared" si="18"/>
        <v>View</v>
      </c>
      <c r="P238" s="15"/>
    </row>
    <row r="239">
      <c r="A239" s="7">
        <v>42425.183171296296</v>
      </c>
      <c r="B239" s="8" t="str">
        <f t="shared" si="17"/>
        <v>@artwisanggeni</v>
      </c>
      <c r="C239" s="10" t="s">
        <v>74</v>
      </c>
      <c r="D239" s="10" t="s">
        <v>704</v>
      </c>
      <c r="E239" s="11" t="str">
        <f>HYPERLINK("https://twitter.com/artwisanggeni/status/702831350894579713","702831350894579713")</f>
        <v>702831350894579713</v>
      </c>
      <c r="F239" s="17" t="s">
        <v>76</v>
      </c>
      <c r="G239" s="13">
        <v>236.0</v>
      </c>
      <c r="H239" s="13">
        <v>61.0</v>
      </c>
      <c r="I239" s="13">
        <v>0.0</v>
      </c>
      <c r="J239" s="13">
        <v>0.0</v>
      </c>
      <c r="K239" s="12" t="s">
        <v>21</v>
      </c>
      <c r="L239" s="7">
        <v>41218.90608796296</v>
      </c>
      <c r="M239" s="14" t="s">
        <v>77</v>
      </c>
      <c r="N239" s="14" t="s">
        <v>78</v>
      </c>
      <c r="O239" s="11" t="str">
        <f t="shared" si="18"/>
        <v>View</v>
      </c>
      <c r="P239" s="15"/>
    </row>
    <row r="240">
      <c r="A240" s="7">
        <v>42425.18318287037</v>
      </c>
      <c r="B240" s="8" t="str">
        <f t="shared" si="17"/>
        <v>@artwisanggeni</v>
      </c>
      <c r="C240" s="10" t="s">
        <v>74</v>
      </c>
      <c r="D240" s="10" t="s">
        <v>705</v>
      </c>
      <c r="E240" s="11" t="str">
        <f>HYPERLINK("https://twitter.com/artwisanggeni/status/702831354392608768","702831354392608768")</f>
        <v>702831354392608768</v>
      </c>
      <c r="F240" s="17" t="s">
        <v>76</v>
      </c>
      <c r="G240" s="13">
        <v>236.0</v>
      </c>
      <c r="H240" s="13">
        <v>61.0</v>
      </c>
      <c r="I240" s="13">
        <v>0.0</v>
      </c>
      <c r="J240" s="13">
        <v>0.0</v>
      </c>
      <c r="K240" s="12" t="s">
        <v>21</v>
      </c>
      <c r="L240" s="7">
        <v>41218.90608796296</v>
      </c>
      <c r="M240" s="14" t="s">
        <v>77</v>
      </c>
      <c r="N240" s="14" t="s">
        <v>78</v>
      </c>
      <c r="O240" s="11" t="str">
        <f t="shared" si="18"/>
        <v>View</v>
      </c>
      <c r="P240" s="15"/>
    </row>
    <row r="241">
      <c r="A241" s="7">
        <v>42425.1856712963</v>
      </c>
      <c r="B241" s="8" t="str">
        <f>HYPERLINK("https://twitter.com/manilakashyapp1","@manilakashyapp1")</f>
        <v>@manilakashyapp1</v>
      </c>
      <c r="C241" s="10" t="s">
        <v>706</v>
      </c>
      <c r="D241" s="10" t="s">
        <v>707</v>
      </c>
      <c r="E241" s="11" t="str">
        <f>HYPERLINK("https://twitter.com/manilakashyapp1/status/702832254582546434","702832254582546434")</f>
        <v>702832254582546434</v>
      </c>
      <c r="F241" s="12" t="s">
        <v>152</v>
      </c>
      <c r="G241" s="13">
        <v>9.0</v>
      </c>
      <c r="H241" s="13">
        <v>1.0</v>
      </c>
      <c r="I241" s="13">
        <v>30.0</v>
      </c>
      <c r="J241" s="13">
        <v>0.0</v>
      </c>
      <c r="K241" s="12" t="s">
        <v>21</v>
      </c>
      <c r="L241" s="7">
        <v>42190.34862268518</v>
      </c>
      <c r="M241" s="16"/>
      <c r="N241" s="16"/>
      <c r="O241" s="11" t="str">
        <f>HYPERLINK("https://abs.twimg.com/sticky/default_profile_images/default_profile_1_normal.png","View")</f>
        <v>View</v>
      </c>
      <c r="P241" s="15"/>
    </row>
    <row r="242">
      <c r="A242" s="7">
        <v>42425.18572916667</v>
      </c>
      <c r="B242" s="8" t="str">
        <f>HYPERLINK("https://twitter.com/BAUDEELODIE","@BAUDEELODIE")</f>
        <v>@BAUDEELODIE</v>
      </c>
      <c r="C242" s="10" t="s">
        <v>708</v>
      </c>
      <c r="D242" s="10" t="s">
        <v>709</v>
      </c>
      <c r="E242" s="11" t="str">
        <f>HYPERLINK("https://twitter.com/BAUDEELODIE/status/702832276661530628","702832276661530628")</f>
        <v>702832276661530628</v>
      </c>
      <c r="F242" s="12" t="s">
        <v>52</v>
      </c>
      <c r="G242" s="13">
        <v>241.0</v>
      </c>
      <c r="H242" s="13">
        <v>755.0</v>
      </c>
      <c r="I242" s="13">
        <v>1.0</v>
      </c>
      <c r="J242" s="13">
        <v>3.0</v>
      </c>
      <c r="K242" s="12" t="s">
        <v>21</v>
      </c>
      <c r="L242" s="7">
        <v>40221.45773148148</v>
      </c>
      <c r="M242" s="14" t="s">
        <v>241</v>
      </c>
      <c r="N242" s="14" t="s">
        <v>710</v>
      </c>
      <c r="O242" s="11" t="str">
        <f>HYPERLINK("https://pbs.twimg.com/profile_images/686674727818104834/KyKOnEwN_normal.jpg","View")</f>
        <v>View</v>
      </c>
      <c r="P242" s="15"/>
    </row>
    <row r="243">
      <c r="A243" s="7">
        <v>42425.1858912037</v>
      </c>
      <c r="B243" s="8" t="str">
        <f>HYPERLINK("https://twitter.com/manilakashyapp1","@manilakashyapp1")</f>
        <v>@manilakashyapp1</v>
      </c>
      <c r="C243" s="10" t="s">
        <v>706</v>
      </c>
      <c r="D243" s="10" t="s">
        <v>711</v>
      </c>
      <c r="E243" s="11" t="str">
        <f>HYPERLINK("https://twitter.com/manilakashyapp1/status/702832335914336256","702832335914336256")</f>
        <v>702832335914336256</v>
      </c>
      <c r="F243" s="12" t="s">
        <v>152</v>
      </c>
      <c r="G243" s="13">
        <v>9.0</v>
      </c>
      <c r="H243" s="13">
        <v>1.0</v>
      </c>
      <c r="I243" s="13">
        <v>30.0</v>
      </c>
      <c r="J243" s="13">
        <v>0.0</v>
      </c>
      <c r="K243" s="12" t="s">
        <v>21</v>
      </c>
      <c r="L243" s="7">
        <v>42190.34862268518</v>
      </c>
      <c r="M243" s="16"/>
      <c r="N243" s="16"/>
      <c r="O243" s="11" t="str">
        <f>HYPERLINK("https://abs.twimg.com/sticky/default_profile_images/default_profile_1_normal.png","View")</f>
        <v>View</v>
      </c>
      <c r="P243" s="15"/>
    </row>
    <row r="244">
      <c r="A244" s="7">
        <v>42425.186747685184</v>
      </c>
      <c r="B244" s="8" t="str">
        <f>HYPERLINK("https://twitter.com/eloisequennevil","@eloisequennevil")</f>
        <v>@eloisequennevil</v>
      </c>
      <c r="C244" s="10" t="s">
        <v>712</v>
      </c>
      <c r="D244" s="10" t="s">
        <v>713</v>
      </c>
      <c r="E244" s="11" t="str">
        <f>HYPERLINK("https://twitter.com/eloisequennevil/status/702832646494228480","702832646494228480")</f>
        <v>702832646494228480</v>
      </c>
      <c r="F244" s="12" t="s">
        <v>103</v>
      </c>
      <c r="G244" s="13">
        <v>622.0</v>
      </c>
      <c r="H244" s="13">
        <v>41.0</v>
      </c>
      <c r="I244" s="13">
        <v>0.0</v>
      </c>
      <c r="J244" s="13">
        <v>1.0</v>
      </c>
      <c r="K244" s="12" t="s">
        <v>21</v>
      </c>
      <c r="L244" s="7">
        <v>42303.867106481484</v>
      </c>
      <c r="M244" s="14" t="s">
        <v>714</v>
      </c>
      <c r="N244" s="14" t="s">
        <v>715</v>
      </c>
      <c r="O244" s="11" t="str">
        <f>HYPERLINK("https://pbs.twimg.com/profile_images/658853009745661954/cvS5RAPM_normal.jpg","View")</f>
        <v>View</v>
      </c>
      <c r="P244" s="15"/>
    </row>
    <row r="245">
      <c r="A245" s="7">
        <v>42425.18752314815</v>
      </c>
      <c r="B245" s="8" t="str">
        <f>HYPERLINK("https://twitter.com/DeepInTheCode","@DeepInTheCode")</f>
        <v>@DeepInTheCode</v>
      </c>
      <c r="C245" s="10" t="s">
        <v>716</v>
      </c>
      <c r="D245" s="10" t="s">
        <v>717</v>
      </c>
      <c r="E245" s="11" t="str">
        <f>HYPERLINK("https://twitter.com/DeepInTheCode/status/702832926044590080","702832926044590080")</f>
        <v>702832926044590080</v>
      </c>
      <c r="F245" s="17" t="s">
        <v>718</v>
      </c>
      <c r="G245" s="13">
        <v>2813.0</v>
      </c>
      <c r="H245" s="13">
        <v>1000.0</v>
      </c>
      <c r="I245" s="13">
        <v>0.0</v>
      </c>
      <c r="J245" s="13">
        <v>0.0</v>
      </c>
      <c r="K245" s="12" t="s">
        <v>21</v>
      </c>
      <c r="L245" s="7">
        <v>40192.37349537037</v>
      </c>
      <c r="M245" s="14" t="s">
        <v>719</v>
      </c>
      <c r="N245" s="14" t="s">
        <v>720</v>
      </c>
      <c r="O245" s="11" t="str">
        <f>HYPERLINK("https://pbs.twimg.com/profile_images/378800000386667255/1ad0c995dc9f694579d374948e6d9923_normal.jpeg","View")</f>
        <v>View</v>
      </c>
      <c r="P245" s="15"/>
    </row>
    <row r="246">
      <c r="A246" s="7">
        <v>42425.18761574074</v>
      </c>
      <c r="B246" s="8" t="str">
        <f>HYPERLINK("https://twitter.com/EltonStoneman","@EltonStoneman")</f>
        <v>@EltonStoneman</v>
      </c>
      <c r="C246" s="10" t="s">
        <v>721</v>
      </c>
      <c r="D246" s="10" t="s">
        <v>722</v>
      </c>
      <c r="E246" s="11" t="str">
        <f>HYPERLINK("https://twitter.com/EltonStoneman/status/702832959460614145","702832959460614145")</f>
        <v>702832959460614145</v>
      </c>
      <c r="F246" s="12" t="s">
        <v>294</v>
      </c>
      <c r="G246" s="13">
        <v>715.0</v>
      </c>
      <c r="H246" s="13">
        <v>77.0</v>
      </c>
      <c r="I246" s="13">
        <v>0.0</v>
      </c>
      <c r="J246" s="13">
        <v>0.0</v>
      </c>
      <c r="K246" s="12" t="s">
        <v>21</v>
      </c>
      <c r="L246" s="7">
        <v>41642.26565972222</v>
      </c>
      <c r="M246" s="14" t="s">
        <v>489</v>
      </c>
      <c r="N246" s="14" t="s">
        <v>723</v>
      </c>
      <c r="O246" s="11" t="str">
        <f>HYPERLINK("https://pbs.twimg.com/profile_images/419929535061049345/2HPdfrWr_normal.jpeg","View")</f>
        <v>View</v>
      </c>
      <c r="P246" s="15"/>
    </row>
    <row r="247">
      <c r="A247" s="7">
        <v>42425.18782407408</v>
      </c>
      <c r="B247" s="8" t="str">
        <f>HYPERLINK("https://twitter.com/darkelda","@darkelda")</f>
        <v>@darkelda</v>
      </c>
      <c r="C247" s="10" t="s">
        <v>464</v>
      </c>
      <c r="D247" s="10" t="s">
        <v>724</v>
      </c>
      <c r="E247" s="11" t="str">
        <f>HYPERLINK("https://twitter.com/darkelda/status/702833035042033665","702833035042033665")</f>
        <v>702833035042033665</v>
      </c>
      <c r="F247" s="12" t="s">
        <v>294</v>
      </c>
      <c r="G247" s="13">
        <v>593.0</v>
      </c>
      <c r="H247" s="13">
        <v>646.0</v>
      </c>
      <c r="I247" s="13">
        <v>7.0</v>
      </c>
      <c r="J247" s="13">
        <v>11.0</v>
      </c>
      <c r="K247" s="12" t="s">
        <v>21</v>
      </c>
      <c r="L247" s="7">
        <v>39816.725266203706</v>
      </c>
      <c r="M247" s="14" t="s">
        <v>462</v>
      </c>
      <c r="N247" s="14" t="s">
        <v>466</v>
      </c>
      <c r="O247" s="11" t="str">
        <f>HYPERLINK("https://pbs.twimg.com/profile_images/378800000395732848/280c978f05a649ed1dc8376db6a37a8a_normal.png","View")</f>
        <v>View</v>
      </c>
      <c r="P247" s="15"/>
    </row>
    <row r="248">
      <c r="A248" s="7">
        <v>42425.1883912037</v>
      </c>
      <c r="B248" s="8" t="str">
        <f t="shared" ref="B248:B249" si="19">HYPERLINK("https://twitter.com/BAUDEParis","@BAUDEParis")</f>
        <v>@BAUDEParis</v>
      </c>
      <c r="C248" s="10" t="s">
        <v>725</v>
      </c>
      <c r="D248" s="10" t="s">
        <v>726</v>
      </c>
      <c r="E248" s="11" t="str">
        <f>HYPERLINK("https://twitter.com/BAUDEParis/status/702833240562933760","702833240562933760")</f>
        <v>702833240562933760</v>
      </c>
      <c r="F248" s="12" t="s">
        <v>152</v>
      </c>
      <c r="G248" s="13">
        <v>373.0</v>
      </c>
      <c r="H248" s="13">
        <v>1935.0</v>
      </c>
      <c r="I248" s="13">
        <v>1.0</v>
      </c>
      <c r="J248" s="13">
        <v>0.0</v>
      </c>
      <c r="K248" s="12" t="s">
        <v>21</v>
      </c>
      <c r="L248" s="7">
        <v>40747.32461805556</v>
      </c>
      <c r="M248" s="14" t="s">
        <v>241</v>
      </c>
      <c r="N248" s="14" t="s">
        <v>727</v>
      </c>
      <c r="O248" s="11" t="str">
        <f t="shared" ref="O248:O249" si="20">HYPERLINK("https://pbs.twimg.com/profile_images/655477101538185216/Bdt3XM3m_normal.jpg","View")</f>
        <v>View</v>
      </c>
      <c r="P248" s="15"/>
    </row>
    <row r="249">
      <c r="A249" s="7">
        <v>42425.1884837963</v>
      </c>
      <c r="B249" s="8" t="str">
        <f t="shared" si="19"/>
        <v>@BAUDEParis</v>
      </c>
      <c r="C249" s="10" t="s">
        <v>725</v>
      </c>
      <c r="D249" s="10" t="s">
        <v>726</v>
      </c>
      <c r="E249" s="11" t="str">
        <f>HYPERLINK("https://twitter.com/BAUDEParis/status/702833277028147200","702833277028147200")</f>
        <v>702833277028147200</v>
      </c>
      <c r="F249" s="12" t="s">
        <v>152</v>
      </c>
      <c r="G249" s="13">
        <v>373.0</v>
      </c>
      <c r="H249" s="13">
        <v>1935.0</v>
      </c>
      <c r="I249" s="13">
        <v>1.0</v>
      </c>
      <c r="J249" s="13">
        <v>0.0</v>
      </c>
      <c r="K249" s="12" t="s">
        <v>21</v>
      </c>
      <c r="L249" s="7">
        <v>40747.32461805556</v>
      </c>
      <c r="M249" s="14" t="s">
        <v>241</v>
      </c>
      <c r="N249" s="14" t="s">
        <v>727</v>
      </c>
      <c r="O249" s="11" t="str">
        <f t="shared" si="20"/>
        <v>View</v>
      </c>
      <c r="P249" s="15"/>
    </row>
    <row r="250">
      <c r="A250" s="7">
        <v>42425.19</v>
      </c>
      <c r="B250" s="8" t="str">
        <f>HYPERLINK("https://twitter.com/pyletter","@pyletter")</f>
        <v>@pyletter</v>
      </c>
      <c r="C250" s="10" t="s">
        <v>728</v>
      </c>
      <c r="D250" s="10" t="s">
        <v>729</v>
      </c>
      <c r="E250" s="11" t="str">
        <f>HYPERLINK("https://twitter.com/pyletter/status/702833825303412737","702833825303412737")</f>
        <v>702833825303412737</v>
      </c>
      <c r="F250" s="12" t="s">
        <v>52</v>
      </c>
      <c r="G250" s="13">
        <v>1912.0</v>
      </c>
      <c r="H250" s="13">
        <v>4336.0</v>
      </c>
      <c r="I250" s="13">
        <v>3.0</v>
      </c>
      <c r="J250" s="13">
        <v>3.0</v>
      </c>
      <c r="K250" s="12" t="s">
        <v>21</v>
      </c>
      <c r="L250" s="7">
        <v>42241.41929398148</v>
      </c>
      <c r="M250" s="16"/>
      <c r="N250" s="14" t="s">
        <v>730</v>
      </c>
      <c r="O250" s="11" t="str">
        <f>HYPERLINK("https://pbs.twimg.com/profile_images/636818185363308544/jPSDHL0m_normal.jpg","View")</f>
        <v>View</v>
      </c>
      <c r="P250" s="15"/>
    </row>
    <row r="251">
      <c r="A251" s="7">
        <v>42425.191030092596</v>
      </c>
      <c r="B251" s="8" t="str">
        <f>HYPERLINK("https://twitter.com/ultrazool","@ultrazool")</f>
        <v>@ultrazool</v>
      </c>
      <c r="C251" s="10" t="s">
        <v>731</v>
      </c>
      <c r="D251" s="10" t="s">
        <v>485</v>
      </c>
      <c r="E251" s="11" t="str">
        <f>HYPERLINK("https://twitter.com/ultrazool/status/702834198504214528","702834198504214528")</f>
        <v>702834198504214528</v>
      </c>
      <c r="F251" s="12" t="s">
        <v>732</v>
      </c>
      <c r="G251" s="13">
        <v>549.0</v>
      </c>
      <c r="H251" s="13">
        <v>712.0</v>
      </c>
      <c r="I251" s="13">
        <v>14.0</v>
      </c>
      <c r="J251" s="13">
        <v>0.0</v>
      </c>
      <c r="K251" s="12" t="s">
        <v>21</v>
      </c>
      <c r="L251" s="7">
        <v>41064.93020833333</v>
      </c>
      <c r="M251" s="14" t="s">
        <v>733</v>
      </c>
      <c r="N251" s="14" t="s">
        <v>734</v>
      </c>
      <c r="O251" s="11" t="str">
        <f>HYPERLINK("https://pbs.twimg.com/profile_images/507082273762455552/Y2vPK3wW_normal.jpeg","View")</f>
        <v>View</v>
      </c>
      <c r="P251" s="15"/>
    </row>
    <row r="252">
      <c r="A252" s="7">
        <v>42425.19131944445</v>
      </c>
      <c r="B252" s="8" t="str">
        <f t="shared" ref="B252:B253" si="21">HYPERLINK("https://twitter.com/SharmaclSharma1","@SharmaclSharma1")</f>
        <v>@SharmaclSharma1</v>
      </c>
      <c r="C252" s="10" t="s">
        <v>735</v>
      </c>
      <c r="D252" s="10" t="s">
        <v>707</v>
      </c>
      <c r="E252" s="11" t="str">
        <f>HYPERLINK("https://twitter.com/SharmaclSharma1/status/702834301767852032","702834301767852032")</f>
        <v>702834301767852032</v>
      </c>
      <c r="F252" s="12" t="s">
        <v>152</v>
      </c>
      <c r="G252" s="13">
        <v>6.0</v>
      </c>
      <c r="H252" s="13">
        <v>1.0</v>
      </c>
      <c r="I252" s="13">
        <v>30.0</v>
      </c>
      <c r="J252" s="13">
        <v>0.0</v>
      </c>
      <c r="K252" s="12" t="s">
        <v>21</v>
      </c>
      <c r="L252" s="7">
        <v>42425.18811342593</v>
      </c>
      <c r="M252" s="16"/>
      <c r="N252" s="16"/>
      <c r="O252" s="11" t="str">
        <f t="shared" ref="O252:O253" si="22">HYPERLINK("https://abs.twimg.com/sticky/default_profile_images/default_profile_3_normal.png","View")</f>
        <v>View</v>
      </c>
      <c r="P252" s="15"/>
    </row>
    <row r="253">
      <c r="A253" s="7">
        <v>42425.19186342593</v>
      </c>
      <c r="B253" s="8" t="str">
        <f t="shared" si="21"/>
        <v>@SharmaclSharma1</v>
      </c>
      <c r="C253" s="10" t="s">
        <v>735</v>
      </c>
      <c r="D253" s="10" t="s">
        <v>711</v>
      </c>
      <c r="E253" s="11" t="str">
        <f>HYPERLINK("https://twitter.com/SharmaclSharma1/status/702834499109785600","702834499109785600")</f>
        <v>702834499109785600</v>
      </c>
      <c r="F253" s="12" t="s">
        <v>152</v>
      </c>
      <c r="G253" s="13">
        <v>6.0</v>
      </c>
      <c r="H253" s="13">
        <v>1.0</v>
      </c>
      <c r="I253" s="13">
        <v>30.0</v>
      </c>
      <c r="J253" s="13">
        <v>0.0</v>
      </c>
      <c r="K253" s="12" t="s">
        <v>21</v>
      </c>
      <c r="L253" s="7">
        <v>42425.18811342593</v>
      </c>
      <c r="M253" s="16"/>
      <c r="N253" s="16"/>
      <c r="O253" s="11" t="str">
        <f t="shared" si="22"/>
        <v>View</v>
      </c>
      <c r="P253" s="15"/>
    </row>
    <row r="254">
      <c r="A254" s="7">
        <v>42425.19236111111</v>
      </c>
      <c r="B254" s="8" t="str">
        <f>HYPERLINK("https://twitter.com/SpalonaSloncem","@SpalonaSloncem")</f>
        <v>@SpalonaSloncem</v>
      </c>
      <c r="C254" s="10" t="s">
        <v>736</v>
      </c>
      <c r="D254" s="10" t="s">
        <v>737</v>
      </c>
      <c r="E254" s="11" t="str">
        <f>HYPERLINK("https://twitter.com/SpalonaSloncem/status/702834679309844480","702834679309844480")</f>
        <v>702834679309844480</v>
      </c>
      <c r="F254" s="12" t="s">
        <v>20</v>
      </c>
      <c r="G254" s="13">
        <v>16.0</v>
      </c>
      <c r="H254" s="13">
        <v>54.0</v>
      </c>
      <c r="I254" s="13">
        <v>0.0</v>
      </c>
      <c r="J254" s="13">
        <v>2.0</v>
      </c>
      <c r="K254" s="12" t="s">
        <v>21</v>
      </c>
      <c r="L254" s="7">
        <v>40892.60649305556</v>
      </c>
      <c r="M254" s="14" t="s">
        <v>738</v>
      </c>
      <c r="N254" s="14" t="s">
        <v>739</v>
      </c>
      <c r="O254" s="11" t="str">
        <f>HYPERLINK("https://pbs.twimg.com/profile_images/1695398097/_MG_0320_normal.jpg","View")</f>
        <v>View</v>
      </c>
      <c r="P254" s="15"/>
    </row>
    <row r="255">
      <c r="A255" s="7">
        <v>42425.19318287037</v>
      </c>
      <c r="B255" s="8" t="str">
        <f>HYPERLINK("https://twitter.com/spara","@spara")</f>
        <v>@spara</v>
      </c>
      <c r="C255" s="10" t="s">
        <v>740</v>
      </c>
      <c r="D255" s="10" t="s">
        <v>485</v>
      </c>
      <c r="E255" s="11" t="str">
        <f>HYPERLINK("https://twitter.com/spara/status/702834977285648384","702834977285648384")</f>
        <v>702834977285648384</v>
      </c>
      <c r="F255" s="12" t="s">
        <v>20</v>
      </c>
      <c r="G255" s="13">
        <v>1307.0</v>
      </c>
      <c r="H255" s="13">
        <v>607.0</v>
      </c>
      <c r="I255" s="13">
        <v>14.0</v>
      </c>
      <c r="J255" s="13">
        <v>0.0</v>
      </c>
      <c r="K255" s="12" t="s">
        <v>21</v>
      </c>
      <c r="L255" s="7">
        <v>39570.51724537037</v>
      </c>
      <c r="M255" s="14" t="s">
        <v>741</v>
      </c>
      <c r="N255" s="14" t="s">
        <v>742</v>
      </c>
      <c r="O255" s="11" t="str">
        <f>HYPERLINK("https://pbs.twimg.com/profile_images/698862438926540800/rEbqDiAl_normal.jpg","View")</f>
        <v>View</v>
      </c>
      <c r="P255" s="15"/>
    </row>
    <row r="256">
      <c r="A256" s="7">
        <v>42425.193865740745</v>
      </c>
      <c r="B256" s="8" t="str">
        <f>HYPERLINK("https://twitter.com/walkops","@walkops")</f>
        <v>@walkops</v>
      </c>
      <c r="C256" s="10" t="s">
        <v>743</v>
      </c>
      <c r="D256" s="10" t="s">
        <v>744</v>
      </c>
      <c r="E256" s="11" t="str">
        <f>HYPERLINK("https://twitter.com/walkops/status/702835226779770880","702835226779770880")</f>
        <v>702835226779770880</v>
      </c>
      <c r="F256" s="12" t="s">
        <v>745</v>
      </c>
      <c r="G256" s="13">
        <v>228.0</v>
      </c>
      <c r="H256" s="13">
        <v>5.0</v>
      </c>
      <c r="I256" s="13">
        <v>0.0</v>
      </c>
      <c r="J256" s="13">
        <v>0.0</v>
      </c>
      <c r="K256" s="12" t="s">
        <v>21</v>
      </c>
      <c r="L256" s="7">
        <v>41278.36125</v>
      </c>
      <c r="M256" s="14" t="s">
        <v>746</v>
      </c>
      <c r="N256" s="14" t="s">
        <v>747</v>
      </c>
      <c r="O256" s="11" t="str">
        <f>HYPERLINK("https://pbs.twimg.com/profile_images/414665160217739264/Vjqlxhz8_normal.jpeg","View")</f>
        <v>View</v>
      </c>
      <c r="P256" s="15"/>
    </row>
    <row r="257">
      <c r="A257" s="7">
        <v>42425.19428240741</v>
      </c>
      <c r="B257" s="8" t="str">
        <f>HYPERLINK("https://twitter.com/DudasProgramar","@DudasProgramar")</f>
        <v>@DudasProgramar</v>
      </c>
      <c r="C257" s="10" t="s">
        <v>748</v>
      </c>
      <c r="D257" s="10" t="s">
        <v>749</v>
      </c>
      <c r="E257" s="11" t="str">
        <f>HYPERLINK("https://twitter.com/DudasProgramar/status/702835377820868608","702835377820868608")</f>
        <v>702835377820868608</v>
      </c>
      <c r="F257" s="12" t="s">
        <v>103</v>
      </c>
      <c r="G257" s="13">
        <v>84.0</v>
      </c>
      <c r="H257" s="13">
        <v>12.0</v>
      </c>
      <c r="I257" s="13">
        <v>0.0</v>
      </c>
      <c r="J257" s="13">
        <v>0.0</v>
      </c>
      <c r="K257" s="12" t="s">
        <v>21</v>
      </c>
      <c r="L257" s="7">
        <v>40490.41527777778</v>
      </c>
      <c r="M257" s="16"/>
      <c r="N257" s="14" t="s">
        <v>750</v>
      </c>
      <c r="O257" s="11" t="str">
        <f>HYPERLINK("https://pbs.twimg.com/profile_images/1162660352/logo_aulambra_normal.png","View")</f>
        <v>View</v>
      </c>
      <c r="P257" s="15"/>
    </row>
    <row r="258">
      <c r="A258" s="7">
        <v>42425.19430555556</v>
      </c>
      <c r="B258" s="8" t="str">
        <f>HYPERLINK("https://twitter.com/ikarius","@ikarius")</f>
        <v>@ikarius</v>
      </c>
      <c r="C258" s="10" t="s">
        <v>751</v>
      </c>
      <c r="D258" s="10" t="s">
        <v>752</v>
      </c>
      <c r="E258" s="11" t="str">
        <f>HYPERLINK("https://twitter.com/ikarius/status/702835383411802112","702835383411802112")</f>
        <v>702835383411802112</v>
      </c>
      <c r="F258" s="12" t="s">
        <v>20</v>
      </c>
      <c r="G258" s="13">
        <v>837.0</v>
      </c>
      <c r="H258" s="13">
        <v>1792.0</v>
      </c>
      <c r="I258" s="13">
        <v>7.0</v>
      </c>
      <c r="J258" s="13">
        <v>0.0</v>
      </c>
      <c r="K258" s="12" t="s">
        <v>21</v>
      </c>
      <c r="L258" s="7">
        <v>39660.05849537037</v>
      </c>
      <c r="M258" s="14" t="s">
        <v>753</v>
      </c>
      <c r="N258" s="14" t="s">
        <v>754</v>
      </c>
      <c r="O258" s="11" t="str">
        <f>HYPERLINK("https://pbs.twimg.com/profile_images/680465592512561155/JRfBwlGN_normal.png","View")</f>
        <v>View</v>
      </c>
      <c r="P258" s="15"/>
    </row>
    <row r="259">
      <c r="A259" s="7">
        <v>42425.194490740745</v>
      </c>
      <c r="B259" s="8" t="str">
        <f>HYPERLINK("https://twitter.com/tek_news","@tek_news")</f>
        <v>@tek_news</v>
      </c>
      <c r="C259" s="10" t="s">
        <v>546</v>
      </c>
      <c r="D259" s="10" t="s">
        <v>755</v>
      </c>
      <c r="E259" s="11" t="str">
        <f>HYPERLINK("https://twitter.com/tek_news/status/702835453439963136","702835453439963136")</f>
        <v>702835453439963136</v>
      </c>
      <c r="F259" s="12" t="s">
        <v>548</v>
      </c>
      <c r="G259" s="13">
        <v>1733.0</v>
      </c>
      <c r="H259" s="13">
        <v>0.0</v>
      </c>
      <c r="I259" s="13">
        <v>0.0</v>
      </c>
      <c r="J259" s="13">
        <v>0.0</v>
      </c>
      <c r="K259" s="12" t="s">
        <v>21</v>
      </c>
      <c r="L259" s="7">
        <v>40031.23185185185</v>
      </c>
      <c r="M259" s="14" t="s">
        <v>549</v>
      </c>
      <c r="N259" s="14" t="s">
        <v>550</v>
      </c>
      <c r="O259" s="11" t="str">
        <f>HYPERLINK("https://pbs.twimg.com/profile_images/512625755/icon_normal.gif","View")</f>
        <v>View</v>
      </c>
      <c r="P259" s="15"/>
    </row>
    <row r="260">
      <c r="A260" s="7">
        <v>42425.195127314815</v>
      </c>
      <c r="B260" s="8" t="str">
        <f>HYPERLINK("https://twitter.com/cocoacoda","@cocoacoda")</f>
        <v>@cocoacoda</v>
      </c>
      <c r="C260" s="10" t="s">
        <v>486</v>
      </c>
      <c r="D260" s="10" t="s">
        <v>756</v>
      </c>
      <c r="E260" s="11" t="str">
        <f>HYPERLINK("https://twitter.com/cocoacoda/status/702835680855064576","702835680855064576")</f>
        <v>702835680855064576</v>
      </c>
      <c r="F260" s="12" t="s">
        <v>488</v>
      </c>
      <c r="G260" s="13">
        <v>124.0</v>
      </c>
      <c r="H260" s="13">
        <v>142.0</v>
      </c>
      <c r="I260" s="13">
        <v>0.0</v>
      </c>
      <c r="J260" s="13">
        <v>0.0</v>
      </c>
      <c r="K260" s="12" t="s">
        <v>21</v>
      </c>
      <c r="L260" s="7">
        <v>40951.29611111111</v>
      </c>
      <c r="M260" s="14" t="s">
        <v>489</v>
      </c>
      <c r="N260" s="14" t="s">
        <v>490</v>
      </c>
      <c r="O260" s="11" t="str">
        <f>HYPERLINK("https://pbs.twimg.com/profile_images/452064440687423488/nbwrKTwP_normal.jpeg","View")</f>
        <v>View</v>
      </c>
      <c r="P260" s="15"/>
    </row>
    <row r="261">
      <c r="A261" s="7">
        <v>42425.19589120371</v>
      </c>
      <c r="B261" s="8" t="str">
        <f>HYPERLINK("https://twitter.com/tdsnet2015","@tdsnet2015")</f>
        <v>@tdsnet2015</v>
      </c>
      <c r="C261" s="10" t="s">
        <v>304</v>
      </c>
      <c r="D261" s="10" t="s">
        <v>757</v>
      </c>
      <c r="E261" s="11" t="str">
        <f>HYPERLINK("https://twitter.com/tdsnet2015/status/702835960602501122","702835960602501122")</f>
        <v>702835960602501122</v>
      </c>
      <c r="F261" s="12" t="s">
        <v>306</v>
      </c>
      <c r="G261" s="13">
        <v>26.0</v>
      </c>
      <c r="H261" s="13">
        <v>28.0</v>
      </c>
      <c r="I261" s="13">
        <v>0.0</v>
      </c>
      <c r="J261" s="13">
        <v>0.0</v>
      </c>
      <c r="K261" s="12" t="s">
        <v>21</v>
      </c>
      <c r="L261" s="7">
        <v>42360.46430555556</v>
      </c>
      <c r="M261" s="14" t="s">
        <v>307</v>
      </c>
      <c r="N261" s="14" t="s">
        <v>308</v>
      </c>
      <c r="O261" s="11" t="str">
        <f>HYPERLINK("https://pbs.twimg.com/profile_images/686377891911745536/AQFu2YWO_normal.png","View")</f>
        <v>View</v>
      </c>
      <c r="P261" s="15"/>
    </row>
    <row r="262">
      <c r="A262" s="7">
        <v>42425.20015046296</v>
      </c>
      <c r="B262" s="8" t="str">
        <f>HYPERLINK("https://twitter.com/walkops","@walkops")</f>
        <v>@walkops</v>
      </c>
      <c r="C262" s="10" t="s">
        <v>743</v>
      </c>
      <c r="D262" s="10" t="s">
        <v>758</v>
      </c>
      <c r="E262" s="11" t="str">
        <f>HYPERLINK("https://twitter.com/walkops/status/702837504400031744","702837504400031744")</f>
        <v>702837504400031744</v>
      </c>
      <c r="F262" s="12" t="s">
        <v>745</v>
      </c>
      <c r="G262" s="13">
        <v>228.0</v>
      </c>
      <c r="H262" s="13">
        <v>5.0</v>
      </c>
      <c r="I262" s="13">
        <v>0.0</v>
      </c>
      <c r="J262" s="13">
        <v>0.0</v>
      </c>
      <c r="K262" s="12" t="s">
        <v>21</v>
      </c>
      <c r="L262" s="7">
        <v>41278.36125</v>
      </c>
      <c r="M262" s="14" t="s">
        <v>746</v>
      </c>
      <c r="N262" s="14" t="s">
        <v>747</v>
      </c>
      <c r="O262" s="11" t="str">
        <f>HYPERLINK("https://pbs.twimg.com/profile_images/414665160217739264/Vjqlxhz8_normal.jpeg","View")</f>
        <v>View</v>
      </c>
      <c r="P262" s="15"/>
    </row>
    <row r="263">
      <c r="A263" s="7">
        <v>42425.2015162037</v>
      </c>
      <c r="B263" s="8" t="str">
        <f>HYPERLINK("https://twitter.com/SarkarEllora","@SarkarEllora")</f>
        <v>@SarkarEllora</v>
      </c>
      <c r="C263" s="10" t="s">
        <v>759</v>
      </c>
      <c r="D263" s="10" t="s">
        <v>760</v>
      </c>
      <c r="E263" s="11" t="str">
        <f>HYPERLINK("https://twitter.com/SarkarEllora/status/702837996706537472","702837996706537472")</f>
        <v>702837996706537472</v>
      </c>
      <c r="F263" s="12" t="s">
        <v>659</v>
      </c>
      <c r="G263" s="13">
        <v>1544.0</v>
      </c>
      <c r="H263" s="13">
        <v>1677.0</v>
      </c>
      <c r="I263" s="13">
        <v>1.0</v>
      </c>
      <c r="J263" s="13">
        <v>2.0</v>
      </c>
      <c r="K263" s="12" t="s">
        <v>21</v>
      </c>
      <c r="L263" s="7">
        <v>42177.19006944445</v>
      </c>
      <c r="M263" s="14" t="s">
        <v>761</v>
      </c>
      <c r="N263" s="14" t="s">
        <v>762</v>
      </c>
      <c r="O263" s="11" t="str">
        <f>HYPERLINK("https://pbs.twimg.com/profile_images/631721808509579264/Vg4qsQuT_normal.jpg","View")</f>
        <v>View</v>
      </c>
      <c r="P263" s="15"/>
    </row>
    <row r="264">
      <c r="A264" s="7">
        <v>42425.20197916667</v>
      </c>
      <c r="B264" s="8" t="str">
        <f>HYPERLINK("https://twitter.com/PeeBeen","@PeeBeen")</f>
        <v>@PeeBeen</v>
      </c>
      <c r="C264" s="10" t="s">
        <v>763</v>
      </c>
      <c r="D264" s="10" t="s">
        <v>764</v>
      </c>
      <c r="E264" s="11" t="str">
        <f>HYPERLINK("https://twitter.com/PeeBeen/status/702838166038978560","702838166038978560")</f>
        <v>702838166038978560</v>
      </c>
      <c r="F264" s="12" t="s">
        <v>52</v>
      </c>
      <c r="G264" s="13">
        <v>24.0</v>
      </c>
      <c r="H264" s="13">
        <v>40.0</v>
      </c>
      <c r="I264" s="13">
        <v>1.0</v>
      </c>
      <c r="J264" s="13">
        <v>0.0</v>
      </c>
      <c r="K264" s="12" t="s">
        <v>21</v>
      </c>
      <c r="L264" s="7">
        <v>40600.49283564815</v>
      </c>
      <c r="M264" s="14" t="s">
        <v>765</v>
      </c>
      <c r="N264" s="14" t="s">
        <v>766</v>
      </c>
      <c r="O264" s="11" t="str">
        <f>HYPERLINK("https://pbs.twimg.com/profile_images/666280197767974912/07oN3R79_normal.jpg","View")</f>
        <v>View</v>
      </c>
      <c r="P264" s="15"/>
    </row>
    <row r="265">
      <c r="A265" s="7">
        <v>42425.202465277776</v>
      </c>
      <c r="B265" s="8" t="str">
        <f>HYPERLINK("https://twitter.com/franckyvall","@franckyvall")</f>
        <v>@franckyvall</v>
      </c>
      <c r="C265" s="10" t="s">
        <v>767</v>
      </c>
      <c r="D265" s="10" t="s">
        <v>768</v>
      </c>
      <c r="E265" s="11" t="str">
        <f>HYPERLINK("https://twitter.com/franckyvall/status/702838342614970368","702838342614970368")</f>
        <v>702838342614970368</v>
      </c>
      <c r="F265" s="12" t="s">
        <v>52</v>
      </c>
      <c r="G265" s="13">
        <v>250.0</v>
      </c>
      <c r="H265" s="13">
        <v>242.0</v>
      </c>
      <c r="I265" s="13">
        <v>1.0</v>
      </c>
      <c r="J265" s="13">
        <v>0.0</v>
      </c>
      <c r="K265" s="12" t="s">
        <v>21</v>
      </c>
      <c r="L265" s="7">
        <v>41254.38354166667</v>
      </c>
      <c r="M265" s="14" t="s">
        <v>769</v>
      </c>
      <c r="N265" s="14" t="s">
        <v>770</v>
      </c>
      <c r="O265" s="11" t="str">
        <f>HYPERLINK("https://pbs.twimg.com/profile_images/554752977441787904/2TvgWf0A_normal.jpeg","View")</f>
        <v>View</v>
      </c>
      <c r="P265" s="15"/>
    </row>
    <row r="266">
      <c r="A266" s="7">
        <v>42425.2034837963</v>
      </c>
      <c r="B266" s="8" t="str">
        <f>HYPERLINK("https://twitter.com/Pvalsfr","@Pvalsfr")</f>
        <v>@Pvalsfr</v>
      </c>
      <c r="C266" s="10" t="s">
        <v>771</v>
      </c>
      <c r="D266" s="10" t="s">
        <v>772</v>
      </c>
      <c r="E266" s="11" t="str">
        <f>HYPERLINK("https://twitter.com/Pvalsfr/status/702838709130018816","702838709130018816")</f>
        <v>702838709130018816</v>
      </c>
      <c r="F266" s="12" t="s">
        <v>152</v>
      </c>
      <c r="G266" s="13">
        <v>1045.0</v>
      </c>
      <c r="H266" s="13">
        <v>1081.0</v>
      </c>
      <c r="I266" s="13">
        <v>3.0</v>
      </c>
      <c r="J266" s="13">
        <v>0.0</v>
      </c>
      <c r="K266" s="12" t="s">
        <v>21</v>
      </c>
      <c r="L266" s="7">
        <v>40867.68900462963</v>
      </c>
      <c r="M266" s="16"/>
      <c r="N266" s="16"/>
      <c r="O266" s="11" t="str">
        <f>HYPERLINK("https://abs.twimg.com/sticky/default_profile_images/default_profile_4_normal.png","View")</f>
        <v>View</v>
      </c>
      <c r="P266" s="15"/>
    </row>
    <row r="267">
      <c r="A267" s="7">
        <v>42425.20373842593</v>
      </c>
      <c r="B267" s="8" t="str">
        <f>HYPERLINK("https://twitter.com/diego_pacheco","@diego_pacheco")</f>
        <v>@diego_pacheco</v>
      </c>
      <c r="C267" s="10" t="s">
        <v>773</v>
      </c>
      <c r="D267" s="10" t="s">
        <v>485</v>
      </c>
      <c r="E267" s="11" t="str">
        <f>HYPERLINK("https://twitter.com/diego_pacheco/status/702838802709143552","702838802709143552")</f>
        <v>702838802709143552</v>
      </c>
      <c r="F267" s="12" t="s">
        <v>52</v>
      </c>
      <c r="G267" s="13">
        <v>875.0</v>
      </c>
      <c r="H267" s="13">
        <v>549.0</v>
      </c>
      <c r="I267" s="13">
        <v>14.0</v>
      </c>
      <c r="J267" s="13">
        <v>0.0</v>
      </c>
      <c r="K267" s="12" t="s">
        <v>21</v>
      </c>
      <c r="L267" s="7">
        <v>39891.85296296296</v>
      </c>
      <c r="M267" s="14" t="s">
        <v>774</v>
      </c>
      <c r="N267" s="14" t="s">
        <v>775</v>
      </c>
      <c r="O267" s="11" t="str">
        <f>HYPERLINK("https://pbs.twimg.com/profile_images/378800000260987222/53b2a49f3f6bc6ffbf2d3689790f7904_normal.png","View")</f>
        <v>View</v>
      </c>
      <c r="P267" s="15"/>
    </row>
    <row r="268">
      <c r="A268" s="7">
        <v>42425.204097222224</v>
      </c>
      <c r="B268" s="8" t="str">
        <f>HYPERLINK("https://twitter.com/dmkavanagh","@dmkavanagh")</f>
        <v>@dmkavanagh</v>
      </c>
      <c r="C268" s="10" t="s">
        <v>776</v>
      </c>
      <c r="D268" s="10" t="s">
        <v>777</v>
      </c>
      <c r="E268" s="11" t="str">
        <f>HYPERLINK("https://twitter.com/dmkavanagh/status/702838932979982336","702838932979982336")</f>
        <v>702838932979982336</v>
      </c>
      <c r="F268" s="12" t="s">
        <v>52</v>
      </c>
      <c r="G268" s="13">
        <v>1150.0</v>
      </c>
      <c r="H268" s="13">
        <v>2456.0</v>
      </c>
      <c r="I268" s="13">
        <v>1.0</v>
      </c>
      <c r="J268" s="13">
        <v>0.0</v>
      </c>
      <c r="K268" s="12" t="s">
        <v>21</v>
      </c>
      <c r="L268" s="7">
        <v>39594.190671296295</v>
      </c>
      <c r="M268" s="14" t="s">
        <v>778</v>
      </c>
      <c r="N268" s="14" t="s">
        <v>779</v>
      </c>
      <c r="O268" s="11" t="str">
        <f>HYPERLINK("https://pbs.twimg.com/profile_images/3229442079/800b5f79bd5ad9c586ce5c2de8dadbed_normal.jpeg","View")</f>
        <v>View</v>
      </c>
      <c r="P268" s="15"/>
    </row>
    <row r="269">
      <c r="A269" s="7">
        <v>42425.20488425926</v>
      </c>
      <c r="B269" s="8" t="str">
        <f>HYPERLINK("https://twitter.com/Russqui","@Russqui")</f>
        <v>@Russqui</v>
      </c>
      <c r="C269" s="10" t="s">
        <v>780</v>
      </c>
      <c r="D269" s="10" t="s">
        <v>781</v>
      </c>
      <c r="E269" s="11" t="str">
        <f>HYPERLINK("https://twitter.com/Russqui/status/702839217743769605","702839217743769605")</f>
        <v>702839217743769605</v>
      </c>
      <c r="F269" s="12" t="s">
        <v>446</v>
      </c>
      <c r="G269" s="13">
        <v>50.0</v>
      </c>
      <c r="H269" s="13">
        <v>27.0</v>
      </c>
      <c r="I269" s="13">
        <v>0.0</v>
      </c>
      <c r="J269" s="13">
        <v>0.0</v>
      </c>
      <c r="K269" s="12" t="s">
        <v>21</v>
      </c>
      <c r="L269" s="7">
        <v>41869.05857638889</v>
      </c>
      <c r="M269" s="16"/>
      <c r="N269" s="16"/>
      <c r="O269" s="11" t="str">
        <f>HYPERLINK("https://pbs.twimg.com/profile_images/553211926004514817/z-2XWl70_normal.jpeg","View")</f>
        <v>View</v>
      </c>
      <c r="P269" s="15"/>
    </row>
    <row r="270">
      <c r="A270" s="7">
        <v>42425.20527777778</v>
      </c>
      <c r="B270" s="8" t="str">
        <f>HYPERLINK("https://twitter.com/HandbagDivas","@HandbagDivas")</f>
        <v>@HandbagDivas</v>
      </c>
      <c r="C270" s="10" t="s">
        <v>782</v>
      </c>
      <c r="D270" s="10" t="s">
        <v>783</v>
      </c>
      <c r="E270" s="11" t="str">
        <f>HYPERLINK("https://twitter.com/HandbagDivas/status/702839360417374208","702839360417374208")</f>
        <v>702839360417374208</v>
      </c>
      <c r="F270" s="12" t="s">
        <v>52</v>
      </c>
      <c r="G270" s="13">
        <v>870.0</v>
      </c>
      <c r="H270" s="13">
        <v>640.0</v>
      </c>
      <c r="I270" s="13">
        <v>0.0</v>
      </c>
      <c r="J270" s="13">
        <v>4.0</v>
      </c>
      <c r="K270" s="12" t="s">
        <v>21</v>
      </c>
      <c r="L270" s="7">
        <v>40736.25271990741</v>
      </c>
      <c r="M270" s="14" t="s">
        <v>784</v>
      </c>
      <c r="N270" s="14" t="s">
        <v>785</v>
      </c>
      <c r="O270" s="11" t="str">
        <f>HYPERLINK("https://pbs.twimg.com/profile_images/3467815557/61b17c929f55ca0ffdd2b68209ea84d1_normal.jpeg","View")</f>
        <v>View</v>
      </c>
      <c r="P270" s="15"/>
    </row>
    <row r="271">
      <c r="A271" s="7">
        <v>42425.20594907408</v>
      </c>
      <c r="B271" s="8" t="str">
        <f t="shared" ref="B271:B276" si="23">HYPERLINK("https://twitter.com/artwisanggeni","@artwisanggeni")</f>
        <v>@artwisanggeni</v>
      </c>
      <c r="C271" s="10" t="s">
        <v>74</v>
      </c>
      <c r="D271" s="10" t="s">
        <v>786</v>
      </c>
      <c r="E271" s="11" t="str">
        <f>HYPERLINK("https://twitter.com/artwisanggeni/status/702839606513799168","702839606513799168")</f>
        <v>702839606513799168</v>
      </c>
      <c r="F271" s="17" t="s">
        <v>76</v>
      </c>
      <c r="G271" s="13">
        <v>236.0</v>
      </c>
      <c r="H271" s="13">
        <v>61.0</v>
      </c>
      <c r="I271" s="13">
        <v>0.0</v>
      </c>
      <c r="J271" s="13">
        <v>0.0</v>
      </c>
      <c r="K271" s="12" t="s">
        <v>21</v>
      </c>
      <c r="L271" s="7">
        <v>41218.90608796296</v>
      </c>
      <c r="M271" s="14" t="s">
        <v>77</v>
      </c>
      <c r="N271" s="14" t="s">
        <v>78</v>
      </c>
      <c r="O271" s="11" t="str">
        <f t="shared" ref="O271:O276" si="24">HYPERLINK("https://pbs.twimg.com/profile_images/2813636657/599521f69e2bc210a57323b64d8e39e6_normal.jpeg","View")</f>
        <v>View</v>
      </c>
      <c r="P271" s="15"/>
    </row>
    <row r="272">
      <c r="A272" s="7">
        <v>42425.20596064815</v>
      </c>
      <c r="B272" s="8" t="str">
        <f t="shared" si="23"/>
        <v>@artwisanggeni</v>
      </c>
      <c r="C272" s="10" t="s">
        <v>74</v>
      </c>
      <c r="D272" s="10" t="s">
        <v>787</v>
      </c>
      <c r="E272" s="11" t="str">
        <f>HYPERLINK("https://twitter.com/artwisanggeni/status/702839609479163904","702839609479163904")</f>
        <v>702839609479163904</v>
      </c>
      <c r="F272" s="17" t="s">
        <v>76</v>
      </c>
      <c r="G272" s="13">
        <v>236.0</v>
      </c>
      <c r="H272" s="13">
        <v>61.0</v>
      </c>
      <c r="I272" s="13">
        <v>0.0</v>
      </c>
      <c r="J272" s="13">
        <v>0.0</v>
      </c>
      <c r="K272" s="12" t="s">
        <v>21</v>
      </c>
      <c r="L272" s="7">
        <v>41218.90608796296</v>
      </c>
      <c r="M272" s="14" t="s">
        <v>77</v>
      </c>
      <c r="N272" s="14" t="s">
        <v>78</v>
      </c>
      <c r="O272" s="11" t="str">
        <f t="shared" si="24"/>
        <v>View</v>
      </c>
      <c r="P272" s="15"/>
    </row>
    <row r="273">
      <c r="A273" s="7">
        <v>42425.20597222222</v>
      </c>
      <c r="B273" s="8" t="str">
        <f t="shared" si="23"/>
        <v>@artwisanggeni</v>
      </c>
      <c r="C273" s="10" t="s">
        <v>74</v>
      </c>
      <c r="D273" s="10" t="s">
        <v>788</v>
      </c>
      <c r="E273" s="11" t="str">
        <f>HYPERLINK("https://twitter.com/artwisanggeni/status/702839612234813440","702839612234813440")</f>
        <v>702839612234813440</v>
      </c>
      <c r="F273" s="17" t="s">
        <v>76</v>
      </c>
      <c r="G273" s="13">
        <v>236.0</v>
      </c>
      <c r="H273" s="13">
        <v>61.0</v>
      </c>
      <c r="I273" s="13">
        <v>0.0</v>
      </c>
      <c r="J273" s="13">
        <v>0.0</v>
      </c>
      <c r="K273" s="12" t="s">
        <v>21</v>
      </c>
      <c r="L273" s="7">
        <v>41218.90608796296</v>
      </c>
      <c r="M273" s="14" t="s">
        <v>77</v>
      </c>
      <c r="N273" s="14" t="s">
        <v>78</v>
      </c>
      <c r="O273" s="11" t="str">
        <f t="shared" si="24"/>
        <v>View</v>
      </c>
      <c r="P273" s="15"/>
    </row>
    <row r="274">
      <c r="A274" s="7">
        <v>42425.20597222222</v>
      </c>
      <c r="B274" s="8" t="str">
        <f t="shared" si="23"/>
        <v>@artwisanggeni</v>
      </c>
      <c r="C274" s="10" t="s">
        <v>74</v>
      </c>
      <c r="D274" s="10" t="s">
        <v>789</v>
      </c>
      <c r="E274" s="11" t="str">
        <f>HYPERLINK("https://twitter.com/artwisanggeni/status/702839614856237056","702839614856237056")</f>
        <v>702839614856237056</v>
      </c>
      <c r="F274" s="17" t="s">
        <v>76</v>
      </c>
      <c r="G274" s="13">
        <v>236.0</v>
      </c>
      <c r="H274" s="13">
        <v>61.0</v>
      </c>
      <c r="I274" s="13">
        <v>0.0</v>
      </c>
      <c r="J274" s="13">
        <v>0.0</v>
      </c>
      <c r="K274" s="12" t="s">
        <v>21</v>
      </c>
      <c r="L274" s="7">
        <v>41218.90608796296</v>
      </c>
      <c r="M274" s="14" t="s">
        <v>77</v>
      </c>
      <c r="N274" s="14" t="s">
        <v>78</v>
      </c>
      <c r="O274" s="11" t="str">
        <f t="shared" si="24"/>
        <v>View</v>
      </c>
      <c r="P274" s="15"/>
    </row>
    <row r="275">
      <c r="A275" s="7">
        <v>42425.205983796295</v>
      </c>
      <c r="B275" s="8" t="str">
        <f t="shared" si="23"/>
        <v>@artwisanggeni</v>
      </c>
      <c r="C275" s="10" t="s">
        <v>74</v>
      </c>
      <c r="D275" s="10" t="s">
        <v>790</v>
      </c>
      <c r="E275" s="11" t="str">
        <f>HYPERLINK("https://twitter.com/artwisanggeni/status/702839617406394368","702839617406394368")</f>
        <v>702839617406394368</v>
      </c>
      <c r="F275" s="17" t="s">
        <v>76</v>
      </c>
      <c r="G275" s="13">
        <v>236.0</v>
      </c>
      <c r="H275" s="13">
        <v>61.0</v>
      </c>
      <c r="I275" s="13">
        <v>0.0</v>
      </c>
      <c r="J275" s="13">
        <v>0.0</v>
      </c>
      <c r="K275" s="12" t="s">
        <v>21</v>
      </c>
      <c r="L275" s="7">
        <v>41218.90608796296</v>
      </c>
      <c r="M275" s="14" t="s">
        <v>77</v>
      </c>
      <c r="N275" s="14" t="s">
        <v>78</v>
      </c>
      <c r="O275" s="11" t="str">
        <f t="shared" si="24"/>
        <v>View</v>
      </c>
      <c r="P275" s="15"/>
    </row>
    <row r="276">
      <c r="A276" s="7">
        <v>42425.20599537037</v>
      </c>
      <c r="B276" s="8" t="str">
        <f t="shared" si="23"/>
        <v>@artwisanggeni</v>
      </c>
      <c r="C276" s="10" t="s">
        <v>74</v>
      </c>
      <c r="D276" s="10" t="s">
        <v>791</v>
      </c>
      <c r="E276" s="11" t="str">
        <f>HYPERLINK("https://twitter.com/artwisanggeni/status/702839619629416452","702839619629416452")</f>
        <v>702839619629416452</v>
      </c>
      <c r="F276" s="17" t="s">
        <v>76</v>
      </c>
      <c r="G276" s="13">
        <v>236.0</v>
      </c>
      <c r="H276" s="13">
        <v>61.0</v>
      </c>
      <c r="I276" s="13">
        <v>0.0</v>
      </c>
      <c r="J276" s="13">
        <v>0.0</v>
      </c>
      <c r="K276" s="12" t="s">
        <v>21</v>
      </c>
      <c r="L276" s="7">
        <v>41218.90608796296</v>
      </c>
      <c r="M276" s="14" t="s">
        <v>77</v>
      </c>
      <c r="N276" s="14" t="s">
        <v>78</v>
      </c>
      <c r="O276" s="11" t="str">
        <f t="shared" si="24"/>
        <v>View</v>
      </c>
      <c r="P276" s="15"/>
    </row>
    <row r="277">
      <c r="A277" s="7">
        <v>42425.206655092596</v>
      </c>
      <c r="B277" s="8" t="str">
        <f>HYPERLINK("https://twitter.com/udemycodecoupon","@udemycodecoupon")</f>
        <v>@udemycodecoupon</v>
      </c>
      <c r="C277" s="10" t="s">
        <v>792</v>
      </c>
      <c r="D277" s="10" t="s">
        <v>793</v>
      </c>
      <c r="E277" s="11" t="str">
        <f>HYPERLINK("https://twitter.com/udemycodecoupon/status/702839862055940096","702839862055940096")</f>
        <v>702839862055940096</v>
      </c>
      <c r="F277" s="12" t="s">
        <v>20</v>
      </c>
      <c r="G277" s="13">
        <v>478.0</v>
      </c>
      <c r="H277" s="13">
        <v>985.0</v>
      </c>
      <c r="I277" s="13">
        <v>1.0</v>
      </c>
      <c r="J277" s="13">
        <v>1.0</v>
      </c>
      <c r="K277" s="12" t="s">
        <v>21</v>
      </c>
      <c r="L277" s="7">
        <v>41708.47719907407</v>
      </c>
      <c r="M277" s="16"/>
      <c r="N277" s="14" t="s">
        <v>794</v>
      </c>
      <c r="O277" s="11" t="str">
        <f>HYPERLINK("https://pbs.twimg.com/profile_images/694181682421719040/2VTezRAS_normal.jpg","View")</f>
        <v>View</v>
      </c>
      <c r="P277" s="15"/>
    </row>
    <row r="278">
      <c r="A278" s="7">
        <v>42425.20833333333</v>
      </c>
      <c r="B278" s="8" t="str">
        <f>HYPERLINK("https://twitter.com/FrameworksM","@FrameworksM")</f>
        <v>@FrameworksM</v>
      </c>
      <c r="C278" s="10" t="s">
        <v>795</v>
      </c>
      <c r="D278" s="10" t="s">
        <v>796</v>
      </c>
      <c r="E278" s="11" t="str">
        <f>HYPERLINK("https://twitter.com/FrameworksM/status/702840470163087360","702840470163087360")</f>
        <v>702840470163087360</v>
      </c>
      <c r="F278" s="12" t="s">
        <v>797</v>
      </c>
      <c r="G278" s="13">
        <v>395.0</v>
      </c>
      <c r="H278" s="13">
        <v>60.0</v>
      </c>
      <c r="I278" s="13">
        <v>0.0</v>
      </c>
      <c r="J278" s="13">
        <v>0.0</v>
      </c>
      <c r="K278" s="12" t="s">
        <v>21</v>
      </c>
      <c r="L278" s="7">
        <v>42067.85611111111</v>
      </c>
      <c r="M278" s="16"/>
      <c r="N278" s="16"/>
      <c r="O278" s="11" t="str">
        <f>HYPERLINK("https://pbs.twimg.com/profile_images/581037724787822593/wTfuZ2Sd_normal.png","View")</f>
        <v>View</v>
      </c>
      <c r="P278" s="15"/>
    </row>
    <row r="279">
      <c r="A279" s="7">
        <v>42425.20836805555</v>
      </c>
      <c r="B279" s="8" t="str">
        <f>HYPERLINK("https://twitter.com/mividriera","@mividriera")</f>
        <v>@mividriera</v>
      </c>
      <c r="C279" s="10" t="s">
        <v>798</v>
      </c>
      <c r="D279" s="10" t="s">
        <v>799</v>
      </c>
      <c r="E279" s="11" t="str">
        <f>HYPERLINK("https://twitter.com/mividriera/status/702840479235203073","702840479235203073")</f>
        <v>702840479235203073</v>
      </c>
      <c r="F279" s="12" t="s">
        <v>798</v>
      </c>
      <c r="G279" s="13">
        <v>319.0</v>
      </c>
      <c r="H279" s="13">
        <v>82.0</v>
      </c>
      <c r="I279" s="13">
        <v>1.0</v>
      </c>
      <c r="J279" s="13">
        <v>0.0</v>
      </c>
      <c r="K279" s="12" t="s">
        <v>21</v>
      </c>
      <c r="L279" s="7">
        <v>41572.58699074074</v>
      </c>
      <c r="M279" s="14" t="s">
        <v>800</v>
      </c>
      <c r="N279" s="14" t="s">
        <v>801</v>
      </c>
      <c r="O279" s="11" t="str">
        <f>HYPERLINK("https://pbs.twimg.com/profile_images/428348675165679616/hv3v-VrP_normal.png","View")</f>
        <v>View</v>
      </c>
      <c r="P279" s="15"/>
    </row>
    <row r="280">
      <c r="A280" s="7">
        <v>42425.20946759259</v>
      </c>
      <c r="B280" s="8" t="str">
        <f>HYPERLINK("https://twitter.com/googletricks19","@googletricks19")</f>
        <v>@googletricks19</v>
      </c>
      <c r="C280" s="10" t="s">
        <v>802</v>
      </c>
      <c r="D280" s="10" t="s">
        <v>803</v>
      </c>
      <c r="E280" s="11" t="str">
        <f>HYPERLINK("https://twitter.com/googletricks19/status/702840880663818240","702840880663818240")</f>
        <v>702840880663818240</v>
      </c>
      <c r="F280" s="12" t="s">
        <v>103</v>
      </c>
      <c r="G280" s="13">
        <v>819.0</v>
      </c>
      <c r="H280" s="13">
        <v>218.0</v>
      </c>
      <c r="I280" s="13">
        <v>1.0</v>
      </c>
      <c r="J280" s="13">
        <v>1.0</v>
      </c>
      <c r="K280" s="12" t="s">
        <v>21</v>
      </c>
      <c r="L280" s="7">
        <v>41974.4943287037</v>
      </c>
      <c r="M280" s="16"/>
      <c r="N280" s="16"/>
      <c r="O280" s="11" t="str">
        <f>HYPERLINK("https://pbs.twimg.com/profile_images/578098320159051776/fZw6-_AW_normal.png","View")</f>
        <v>View</v>
      </c>
      <c r="P280" s="15"/>
    </row>
    <row r="281">
      <c r="A281" s="7">
        <v>42425.20973379629</v>
      </c>
      <c r="B281" s="8" t="str">
        <f>HYPERLINK("https://twitter.com/py3k","@py3k")</f>
        <v>@py3k</v>
      </c>
      <c r="C281" s="10" t="s">
        <v>297</v>
      </c>
      <c r="D281" s="10" t="s">
        <v>804</v>
      </c>
      <c r="E281" s="11" t="str">
        <f>HYPERLINK("https://twitter.com/py3k/status/702840975350218752","702840975350218752")</f>
        <v>702840975350218752</v>
      </c>
      <c r="F281" s="12" t="s">
        <v>299</v>
      </c>
      <c r="G281" s="13">
        <v>1623.0</v>
      </c>
      <c r="H281" s="13">
        <v>676.0</v>
      </c>
      <c r="I281" s="13">
        <v>1.0</v>
      </c>
      <c r="J281" s="13">
        <v>0.0</v>
      </c>
      <c r="K281" s="12" t="s">
        <v>21</v>
      </c>
      <c r="L281" s="7">
        <v>41096.62268518518</v>
      </c>
      <c r="M281" s="16"/>
      <c r="N281" s="14" t="s">
        <v>300</v>
      </c>
      <c r="O281" s="11" t="str">
        <f>HYPERLINK("https://pbs.twimg.com/profile_images/2474433856/p075cerxh0arpea6ceip_normal.png","View")</f>
        <v>View</v>
      </c>
      <c r="P281" s="15"/>
    </row>
    <row r="282">
      <c r="A282" s="7">
        <v>42425.21315972222</v>
      </c>
      <c r="B282" s="8" t="str">
        <f>HYPERLINK("https://twitter.com/cool_python","@cool_python")</f>
        <v>@cool_python</v>
      </c>
      <c r="C282" s="10" t="s">
        <v>249</v>
      </c>
      <c r="D282" s="10" t="s">
        <v>805</v>
      </c>
      <c r="E282" s="11" t="str">
        <f>HYPERLINK("https://twitter.com/cool_python/status/702842218143416320","702842218143416320")</f>
        <v>702842218143416320</v>
      </c>
      <c r="F282" s="12" t="s">
        <v>251</v>
      </c>
      <c r="G282" s="13">
        <v>235.0</v>
      </c>
      <c r="H282" s="13">
        <v>91.0</v>
      </c>
      <c r="I282" s="13">
        <v>1.0</v>
      </c>
      <c r="J282" s="13">
        <v>0.0</v>
      </c>
      <c r="K282" s="12" t="s">
        <v>21</v>
      </c>
      <c r="L282" s="7">
        <v>42064.325</v>
      </c>
      <c r="M282" s="14" t="s">
        <v>252</v>
      </c>
      <c r="N282" s="14" t="s">
        <v>253</v>
      </c>
      <c r="O282" s="11" t="str">
        <f>HYPERLINK("https://pbs.twimg.com/profile_images/572091631055028224/Pkx__FSB_normal.png","View")</f>
        <v>View</v>
      </c>
      <c r="P282" s="15"/>
    </row>
    <row r="283">
      <c r="A283" s="7">
        <v>42425.21579861111</v>
      </c>
      <c r="B283" s="8" t="str">
        <f>HYPERLINK("https://twitter.com/Release_nl","@Release_nl")</f>
        <v>@Release_nl</v>
      </c>
      <c r="C283" s="10" t="s">
        <v>806</v>
      </c>
      <c r="D283" s="10" t="s">
        <v>807</v>
      </c>
      <c r="E283" s="11" t="str">
        <f>HYPERLINK("https://twitter.com/Release_nl/status/702843172792229889","702843172792229889")</f>
        <v>702843172792229889</v>
      </c>
      <c r="F283" s="12" t="s">
        <v>659</v>
      </c>
      <c r="G283" s="13">
        <v>63.0</v>
      </c>
      <c r="H283" s="13">
        <v>240.0</v>
      </c>
      <c r="I283" s="13">
        <v>2.0</v>
      </c>
      <c r="J283" s="13">
        <v>1.0</v>
      </c>
      <c r="K283" s="12" t="s">
        <v>21</v>
      </c>
      <c r="L283" s="7">
        <v>42217.26688657407</v>
      </c>
      <c r="M283" s="14" t="s">
        <v>808</v>
      </c>
      <c r="N283" s="14" t="s">
        <v>809</v>
      </c>
      <c r="O283" s="11" t="str">
        <f>HYPERLINK("https://pbs.twimg.com/profile_images/681128850823245824/OoWZyxZ5_normal.jpg","View")</f>
        <v>View</v>
      </c>
      <c r="P283" s="15"/>
    </row>
    <row r="284">
      <c r="A284" s="7">
        <v>42425.215844907405</v>
      </c>
      <c r="B284" s="8" t="str">
        <f>HYPERLINK("https://twitter.com/Pugliafashion","@Pugliafashion")</f>
        <v>@Pugliafashion</v>
      </c>
      <c r="C284" s="10" t="s">
        <v>810</v>
      </c>
      <c r="D284" s="10" t="s">
        <v>811</v>
      </c>
      <c r="E284" s="11" t="str">
        <f>HYPERLINK("https://twitter.com/Pugliafashion/status/702843192547397632","702843192547397632")</f>
        <v>702843192547397632</v>
      </c>
      <c r="F284" s="12" t="s">
        <v>103</v>
      </c>
      <c r="G284" s="13">
        <v>772.0</v>
      </c>
      <c r="H284" s="13">
        <v>478.0</v>
      </c>
      <c r="I284" s="13">
        <v>0.0</v>
      </c>
      <c r="J284" s="13">
        <v>0.0</v>
      </c>
      <c r="K284" s="12" t="s">
        <v>21</v>
      </c>
      <c r="L284" s="7">
        <v>41924.31827546297</v>
      </c>
      <c r="M284" s="16"/>
      <c r="N284" s="14" t="s">
        <v>812</v>
      </c>
      <c r="O284" s="11" t="str">
        <f>HYPERLINK("https://pbs.twimg.com/profile_images/521311951553449984/hS9lIdSa_normal.png","View")</f>
        <v>View</v>
      </c>
      <c r="P284" s="15"/>
    </row>
    <row r="285">
      <c r="A285" s="7">
        <v>42425.21599537037</v>
      </c>
      <c r="B285" s="8" t="str">
        <f>HYPERLINK("https://twitter.com/IEBigData","@IEBigData")</f>
        <v>@IEBigData</v>
      </c>
      <c r="C285" s="10" t="s">
        <v>813</v>
      </c>
      <c r="D285" s="10" t="s">
        <v>814</v>
      </c>
      <c r="E285" s="11" t="str">
        <f>HYPERLINK("https://twitter.com/IEBigData/status/702843244762284037","702843244762284037")</f>
        <v>702843244762284037</v>
      </c>
      <c r="F285" s="12" t="s">
        <v>20</v>
      </c>
      <c r="G285" s="13">
        <v>185.0</v>
      </c>
      <c r="H285" s="13">
        <v>134.0</v>
      </c>
      <c r="I285" s="13">
        <v>1.0</v>
      </c>
      <c r="J285" s="13">
        <v>2.0</v>
      </c>
      <c r="K285" s="12" t="s">
        <v>21</v>
      </c>
      <c r="L285" s="7">
        <v>41985.669965277775</v>
      </c>
      <c r="M285" s="14" t="s">
        <v>815</v>
      </c>
      <c r="N285" s="14" t="s">
        <v>816</v>
      </c>
      <c r="O285" s="11" t="str">
        <f>HYPERLINK("https://pbs.twimg.com/profile_images/555070506706018304/C1G_eHqC_normal.jpeg","View")</f>
        <v>View</v>
      </c>
      <c r="P285" s="15"/>
    </row>
    <row r="286">
      <c r="A286" s="7">
        <v>42425.21608796297</v>
      </c>
      <c r="B286" s="8" t="str">
        <f>HYPERLINK("https://twitter.com/pydigest","@pydigest")</f>
        <v>@pydigest</v>
      </c>
      <c r="C286" s="10" t="s">
        <v>385</v>
      </c>
      <c r="D286" s="10" t="s">
        <v>817</v>
      </c>
      <c r="E286" s="11" t="str">
        <f>HYPERLINK("https://twitter.com/pydigest/status/702843278627106816","702843278627106816")</f>
        <v>702843278627106816</v>
      </c>
      <c r="F286" s="12" t="s">
        <v>103</v>
      </c>
      <c r="G286" s="13">
        <v>634.0</v>
      </c>
      <c r="H286" s="13">
        <v>22.0</v>
      </c>
      <c r="I286" s="13">
        <v>0.0</v>
      </c>
      <c r="J286" s="13">
        <v>1.0</v>
      </c>
      <c r="K286" s="12" t="s">
        <v>21</v>
      </c>
      <c r="L286" s="7">
        <v>41797.15729166666</v>
      </c>
      <c r="M286" s="16"/>
      <c r="N286" s="14" t="s">
        <v>387</v>
      </c>
      <c r="O286" s="11" t="str">
        <f>HYPERLINK("https://pbs.twimg.com/profile_images/475228702922387457/6gYeuqxD_normal.jpeg","View")</f>
        <v>View</v>
      </c>
      <c r="P286" s="15"/>
    </row>
    <row r="287">
      <c r="A287" s="7">
        <v>42425.21753472222</v>
      </c>
      <c r="B287" s="8" t="str">
        <f>HYPERLINK("https://twitter.com/EdTechPatty","@EdTechPatty")</f>
        <v>@EdTechPatty</v>
      </c>
      <c r="C287" s="10" t="s">
        <v>818</v>
      </c>
      <c r="D287" s="10" t="s">
        <v>819</v>
      </c>
      <c r="E287" s="11" t="str">
        <f>HYPERLINK("https://twitter.com/EdTechPatty/status/702843801409298433","702843801409298433")</f>
        <v>702843801409298433</v>
      </c>
      <c r="F287" s="12" t="s">
        <v>20</v>
      </c>
      <c r="G287" s="13">
        <v>89.0</v>
      </c>
      <c r="H287" s="13">
        <v>50.0</v>
      </c>
      <c r="I287" s="13">
        <v>0.0</v>
      </c>
      <c r="J287" s="13">
        <v>2.0</v>
      </c>
      <c r="K287" s="12" t="s">
        <v>21</v>
      </c>
      <c r="L287" s="7">
        <v>41293.229097222225</v>
      </c>
      <c r="M287" s="16"/>
      <c r="N287" s="14" t="s">
        <v>820</v>
      </c>
      <c r="O287" s="11" t="str">
        <f>HYPERLINK("https://pbs.twimg.com/profile_images/520993831274049536/POynJoPN_normal.jpeg","View")</f>
        <v>View</v>
      </c>
      <c r="P287" s="15"/>
    </row>
    <row r="288">
      <c r="A288" s="7">
        <v>42425.21796296297</v>
      </c>
      <c r="B288" s="8" t="str">
        <f>HYPERLINK("https://twitter.com/sensinum","@sensinum")</f>
        <v>@sensinum</v>
      </c>
      <c r="C288" s="10" t="s">
        <v>821</v>
      </c>
      <c r="D288" s="10" t="s">
        <v>37</v>
      </c>
      <c r="E288" s="11" t="str">
        <f>HYPERLINK("https://twitter.com/sensinum/status/702843958423121920","702843958423121920")</f>
        <v>702843958423121920</v>
      </c>
      <c r="F288" s="12" t="s">
        <v>20</v>
      </c>
      <c r="G288" s="13">
        <v>579.0</v>
      </c>
      <c r="H288" s="13">
        <v>2784.0</v>
      </c>
      <c r="I288" s="13">
        <v>8.0</v>
      </c>
      <c r="J288" s="13">
        <v>0.0</v>
      </c>
      <c r="K288" s="12" t="s">
        <v>21</v>
      </c>
      <c r="L288" s="7">
        <v>42055.251296296294</v>
      </c>
      <c r="M288" s="14" t="s">
        <v>822</v>
      </c>
      <c r="N288" s="14" t="s">
        <v>823</v>
      </c>
      <c r="O288" s="11" t="str">
        <f>HYPERLINK("https://pbs.twimg.com/profile_images/568832444233555968/ckatBsdG_normal.jpeg","View")</f>
        <v>View</v>
      </c>
      <c r="P288" s="15"/>
    </row>
    <row r="289">
      <c r="A289" s="7">
        <v>42425.21898148148</v>
      </c>
      <c r="B289" s="8" t="str">
        <f>HYPERLINK("https://twitter.com/ImaokaE","@ImaokaE")</f>
        <v>@ImaokaE</v>
      </c>
      <c r="C289" s="10" t="s">
        <v>824</v>
      </c>
      <c r="D289" s="10" t="s">
        <v>485</v>
      </c>
      <c r="E289" s="11" t="str">
        <f>HYPERLINK("https://twitter.com/ImaokaE/status/702844326770974720","702844326770974720")</f>
        <v>702844326770974720</v>
      </c>
      <c r="F289" s="12" t="s">
        <v>52</v>
      </c>
      <c r="G289" s="13">
        <v>45.0</v>
      </c>
      <c r="H289" s="13">
        <v>80.0</v>
      </c>
      <c r="I289" s="13">
        <v>14.0</v>
      </c>
      <c r="J289" s="13">
        <v>0.0</v>
      </c>
      <c r="K289" s="12" t="s">
        <v>21</v>
      </c>
      <c r="L289" s="7">
        <v>42385.423113425924</v>
      </c>
      <c r="M289" s="16"/>
      <c r="N289" s="14" t="s">
        <v>825</v>
      </c>
      <c r="O289" s="11" t="str">
        <f>HYPERLINK("https://pbs.twimg.com/profile_images/690711150564999168/xOrO6c_y_normal.jpg","View")</f>
        <v>View</v>
      </c>
      <c r="P289" s="15"/>
    </row>
    <row r="290">
      <c r="A290" s="7">
        <v>42425.2205787037</v>
      </c>
      <c r="B290" s="8" t="str">
        <f>HYPERLINK("https://twitter.com/vagrant_destroy","@vagrant_destroy")</f>
        <v>@vagrant_destroy</v>
      </c>
      <c r="C290" s="10" t="s">
        <v>826</v>
      </c>
      <c r="D290" s="10" t="s">
        <v>827</v>
      </c>
      <c r="E290" s="11" t="str">
        <f>HYPERLINK("https://twitter.com/vagrant_destroy/status/702844904930734080","702844904930734080")</f>
        <v>702844904930734080</v>
      </c>
      <c r="F290" s="12" t="s">
        <v>20</v>
      </c>
      <c r="G290" s="13">
        <v>80.0</v>
      </c>
      <c r="H290" s="13">
        <v>384.0</v>
      </c>
      <c r="I290" s="13">
        <v>0.0</v>
      </c>
      <c r="J290" s="13">
        <v>1.0</v>
      </c>
      <c r="K290" s="12" t="s">
        <v>21</v>
      </c>
      <c r="L290" s="7">
        <v>42285.28939814815</v>
      </c>
      <c r="M290" s="14" t="s">
        <v>828</v>
      </c>
      <c r="N290" s="16"/>
      <c r="O290" s="11" t="str">
        <f>HYPERLINK("https://pbs.twimg.com/profile_images/694917721415258112/xHniutom_normal.jpg","View")</f>
        <v>View</v>
      </c>
      <c r="P290" s="15"/>
    </row>
    <row r="291">
      <c r="A291" s="7">
        <v>42425.220937499995</v>
      </c>
      <c r="B291" s="8" t="str">
        <f>HYPERLINK("https://twitter.com/FredericPierron","@FredericPierron")</f>
        <v>@FredericPierron</v>
      </c>
      <c r="C291" s="10" t="s">
        <v>829</v>
      </c>
      <c r="D291" s="10" t="s">
        <v>830</v>
      </c>
      <c r="E291" s="11" t="str">
        <f>HYPERLINK("https://twitter.com/FredericPierron/status/702845038120845312","702845038120845312")</f>
        <v>702845038120845312</v>
      </c>
      <c r="F291" s="12" t="s">
        <v>98</v>
      </c>
      <c r="G291" s="13">
        <v>284.0</v>
      </c>
      <c r="H291" s="13">
        <v>239.0</v>
      </c>
      <c r="I291" s="13">
        <v>0.0</v>
      </c>
      <c r="J291" s="13">
        <v>0.0</v>
      </c>
      <c r="K291" s="12" t="s">
        <v>21</v>
      </c>
      <c r="L291" s="7">
        <v>40057.21063657408</v>
      </c>
      <c r="M291" s="14" t="s">
        <v>241</v>
      </c>
      <c r="N291" s="14" t="s">
        <v>831</v>
      </c>
      <c r="O291" s="11" t="str">
        <f>HYPERLINK("https://pbs.twimg.com/profile_images/537978102140268545/QR1g8zVL_normal.jpeg","View")</f>
        <v>View</v>
      </c>
      <c r="P291" s="15"/>
    </row>
    <row r="292">
      <c r="A292" s="7">
        <v>42425.22296296296</v>
      </c>
      <c r="B292" s="8" t="str">
        <f>HYPERLINK("https://twitter.com/py3k","@py3k")</f>
        <v>@py3k</v>
      </c>
      <c r="C292" s="10" t="s">
        <v>297</v>
      </c>
      <c r="D292" s="10" t="s">
        <v>832</v>
      </c>
      <c r="E292" s="11" t="str">
        <f>HYPERLINK("https://twitter.com/py3k/status/702845768567230464","702845768567230464")</f>
        <v>702845768567230464</v>
      </c>
      <c r="F292" s="12" t="s">
        <v>299</v>
      </c>
      <c r="G292" s="13">
        <v>1623.0</v>
      </c>
      <c r="H292" s="13">
        <v>676.0</v>
      </c>
      <c r="I292" s="13">
        <v>1.0</v>
      </c>
      <c r="J292" s="13">
        <v>0.0</v>
      </c>
      <c r="K292" s="12" t="s">
        <v>21</v>
      </c>
      <c r="L292" s="7">
        <v>41096.62268518518</v>
      </c>
      <c r="M292" s="16"/>
      <c r="N292" s="14" t="s">
        <v>300</v>
      </c>
      <c r="O292" s="11" t="str">
        <f>HYPERLINK("https://pbs.twimg.com/profile_images/2474433856/p075cerxh0arpea6ceip_normal.png","View")</f>
        <v>View</v>
      </c>
      <c r="P292" s="15"/>
    </row>
    <row r="293">
      <c r="A293" s="7">
        <v>42425.223750000005</v>
      </c>
      <c r="B293" s="8" t="str">
        <f>HYPERLINK("https://twitter.com/SeiichiShiga","@SeiichiShiga")</f>
        <v>@SeiichiShiga</v>
      </c>
      <c r="C293" s="10" t="s">
        <v>833</v>
      </c>
      <c r="D293" s="10" t="s">
        <v>834</v>
      </c>
      <c r="E293" s="11" t="str">
        <f>HYPERLINK("https://twitter.com/SeiichiShiga/status/702846053591089152","702846053591089152")</f>
        <v>702846053591089152</v>
      </c>
      <c r="F293" s="12" t="s">
        <v>20</v>
      </c>
      <c r="G293" s="13">
        <v>1215.0</v>
      </c>
      <c r="H293" s="13">
        <v>2729.0</v>
      </c>
      <c r="I293" s="13">
        <v>0.0</v>
      </c>
      <c r="J293" s="13">
        <v>1.0</v>
      </c>
      <c r="K293" s="12" t="s">
        <v>21</v>
      </c>
      <c r="L293" s="7">
        <v>42307.67229166666</v>
      </c>
      <c r="M293" s="14" t="s">
        <v>328</v>
      </c>
      <c r="N293" s="14" t="s">
        <v>835</v>
      </c>
      <c r="O293" s="11" t="str">
        <f>HYPERLINK("https://pbs.twimg.com/profile_images/678592301489242113/Sfm3y8Po_normal.jpg","View")</f>
        <v>View</v>
      </c>
      <c r="P293" s="15"/>
    </row>
    <row r="294">
      <c r="A294" s="7">
        <v>42425.22582175926</v>
      </c>
      <c r="B294" s="8" t="str">
        <f>HYPERLINK("https://twitter.com/GERSolar","@GERSolar")</f>
        <v>@GERSolar</v>
      </c>
      <c r="C294" s="10" t="s">
        <v>836</v>
      </c>
      <c r="D294" s="10" t="s">
        <v>837</v>
      </c>
      <c r="E294" s="11" t="str">
        <f>HYPERLINK("https://twitter.com/GERSolar/status/702846807336996869","702846807336996869")</f>
        <v>702846807336996869</v>
      </c>
      <c r="F294" s="12" t="s">
        <v>838</v>
      </c>
      <c r="G294" s="13">
        <v>23.0</v>
      </c>
      <c r="H294" s="13">
        <v>5.0</v>
      </c>
      <c r="I294" s="13">
        <v>0.0</v>
      </c>
      <c r="J294" s="13">
        <v>0.0</v>
      </c>
      <c r="K294" s="12" t="s">
        <v>21</v>
      </c>
      <c r="L294" s="7">
        <v>41617.237175925926</v>
      </c>
      <c r="M294" s="14" t="s">
        <v>839</v>
      </c>
      <c r="N294" s="14" t="s">
        <v>840</v>
      </c>
      <c r="O294" s="11" t="str">
        <f>HYPERLINK("https://pbs.twimg.com/profile_images/524534389690994688/O2Q5bLyo_normal.png","View")</f>
        <v>View</v>
      </c>
      <c r="P294" s="15"/>
    </row>
    <row r="295">
      <c r="A295" s="7">
        <v>42425.22655092593</v>
      </c>
      <c r="B295" s="8" t="str">
        <f>HYPERLINK("https://twitter.com/programmingncr","@programmingncr")</f>
        <v>@programmingncr</v>
      </c>
      <c r="C295" s="10" t="s">
        <v>262</v>
      </c>
      <c r="D295" s="10" t="s">
        <v>841</v>
      </c>
      <c r="E295" s="11" t="str">
        <f>HYPERLINK("https://twitter.com/programmingncr/status/702847068436566016","702847068436566016")</f>
        <v>702847068436566016</v>
      </c>
      <c r="F295" s="12" t="s">
        <v>103</v>
      </c>
      <c r="G295" s="13">
        <v>328.0</v>
      </c>
      <c r="H295" s="13">
        <v>99.0</v>
      </c>
      <c r="I295" s="13">
        <v>0.0</v>
      </c>
      <c r="J295" s="13">
        <v>0.0</v>
      </c>
      <c r="K295" s="12" t="s">
        <v>21</v>
      </c>
      <c r="L295" s="7">
        <v>42220.86634259259</v>
      </c>
      <c r="M295" s="14" t="s">
        <v>264</v>
      </c>
      <c r="N295" s="14" t="s">
        <v>265</v>
      </c>
      <c r="O295" s="11" t="str">
        <f>HYPERLINK("https://pbs.twimg.com/profile_images/662602436222193664/qKuvsfnG_normal.jpg","View")</f>
        <v>View</v>
      </c>
      <c r="P295" s="15"/>
    </row>
    <row r="296">
      <c r="A296" s="7">
        <v>42425.2268287037</v>
      </c>
      <c r="B296" s="8" t="str">
        <f>HYPERLINK("https://twitter.com/HartwigMicheal","@HartwigMicheal")</f>
        <v>@HartwigMicheal</v>
      </c>
      <c r="C296" s="10" t="s">
        <v>842</v>
      </c>
      <c r="D296" s="10" t="s">
        <v>843</v>
      </c>
      <c r="E296" s="11" t="str">
        <f>HYPERLINK("https://twitter.com/HartwigMicheal/status/702847171742322688","702847171742322688")</f>
        <v>702847171742322688</v>
      </c>
      <c r="F296" s="12" t="s">
        <v>103</v>
      </c>
      <c r="G296" s="13">
        <v>541.0</v>
      </c>
      <c r="H296" s="13">
        <v>830.0</v>
      </c>
      <c r="I296" s="13">
        <v>0.0</v>
      </c>
      <c r="J296" s="13">
        <v>0.0</v>
      </c>
      <c r="K296" s="12" t="s">
        <v>21</v>
      </c>
      <c r="L296" s="7">
        <v>42362.00148148148</v>
      </c>
      <c r="M296" s="14" t="s">
        <v>844</v>
      </c>
      <c r="N296" s="14" t="s">
        <v>845</v>
      </c>
      <c r="O296" s="11" t="str">
        <f>HYPERLINK("https://pbs.twimg.com/profile_images/679948461953781761/pDo9356K_normal.jpg","View")</f>
        <v>View</v>
      </c>
      <c r="P296" s="15"/>
    </row>
    <row r="297">
      <c r="A297" s="7">
        <v>42425.226875</v>
      </c>
      <c r="B297" s="8" t="str">
        <f>HYPERLINK("https://twitter.com/cool_python","@cool_python")</f>
        <v>@cool_python</v>
      </c>
      <c r="C297" s="10" t="s">
        <v>249</v>
      </c>
      <c r="D297" s="10" t="s">
        <v>846</v>
      </c>
      <c r="E297" s="11" t="str">
        <f>HYPERLINK("https://twitter.com/cool_python/status/702847188590694402","702847188590694402")</f>
        <v>702847188590694402</v>
      </c>
      <c r="F297" s="12" t="s">
        <v>251</v>
      </c>
      <c r="G297" s="13">
        <v>235.0</v>
      </c>
      <c r="H297" s="13">
        <v>91.0</v>
      </c>
      <c r="I297" s="13">
        <v>1.0</v>
      </c>
      <c r="J297" s="13">
        <v>0.0</v>
      </c>
      <c r="K297" s="12" t="s">
        <v>21</v>
      </c>
      <c r="L297" s="7">
        <v>42064.325</v>
      </c>
      <c r="M297" s="14" t="s">
        <v>252</v>
      </c>
      <c r="N297" s="14" t="s">
        <v>253</v>
      </c>
      <c r="O297" s="11" t="str">
        <f>HYPERLINK("https://pbs.twimg.com/profile_images/572091631055028224/Pkx__FSB_normal.png","View")</f>
        <v>View</v>
      </c>
      <c r="P297" s="15"/>
    </row>
    <row r="298">
      <c r="A298" s="7">
        <v>42425.22770833333</v>
      </c>
      <c r="B298" s="8" t="str">
        <f>HYPERLINK("https://twitter.com/JoshuaLongUK","@JoshuaLongUK")</f>
        <v>@JoshuaLongUK</v>
      </c>
      <c r="C298" s="10" t="s">
        <v>101</v>
      </c>
      <c r="D298" s="10" t="s">
        <v>847</v>
      </c>
      <c r="E298" s="11" t="str">
        <f>HYPERLINK("https://twitter.com/JoshuaLongUK/status/702847491595698176","702847491595698176")</f>
        <v>702847491595698176</v>
      </c>
      <c r="F298" s="12" t="s">
        <v>103</v>
      </c>
      <c r="G298" s="13">
        <v>25832.0</v>
      </c>
      <c r="H298" s="13">
        <v>93.0</v>
      </c>
      <c r="I298" s="13">
        <v>0.0</v>
      </c>
      <c r="J298" s="13">
        <v>0.0</v>
      </c>
      <c r="K298" s="12" t="s">
        <v>21</v>
      </c>
      <c r="L298" s="7">
        <v>41149.39659722222</v>
      </c>
      <c r="M298" s="14" t="s">
        <v>104</v>
      </c>
      <c r="N298" s="14" t="s">
        <v>105</v>
      </c>
      <c r="O298" s="11" t="str">
        <f>HYPERLINK("https://pbs.twimg.com/profile_images/627996138403168256/DaASdgVr_normal.jpg","View")</f>
        <v>View</v>
      </c>
      <c r="P298" s="15"/>
    </row>
    <row r="299">
      <c r="A299" s="7">
        <v>42425.22791666667</v>
      </c>
      <c r="B299" s="8" t="str">
        <f>HYPERLINK("https://twitter.com/MTotolrahaman","@MTotolrahaman")</f>
        <v>@MTotolrahaman</v>
      </c>
      <c r="C299" s="10" t="s">
        <v>848</v>
      </c>
      <c r="D299" s="10" t="s">
        <v>849</v>
      </c>
      <c r="E299" s="11" t="str">
        <f>HYPERLINK("https://twitter.com/MTotolrahaman/status/702847563658043393","702847563658043393")</f>
        <v>702847563658043393</v>
      </c>
      <c r="F299" s="12" t="s">
        <v>103</v>
      </c>
      <c r="G299" s="13">
        <v>766.0</v>
      </c>
      <c r="H299" s="13">
        <v>846.0</v>
      </c>
      <c r="I299" s="13">
        <v>0.0</v>
      </c>
      <c r="J299" s="13">
        <v>0.0</v>
      </c>
      <c r="K299" s="12" t="s">
        <v>21</v>
      </c>
      <c r="L299" s="7">
        <v>42355.250798611116</v>
      </c>
      <c r="M299" s="14" t="s">
        <v>850</v>
      </c>
      <c r="N299" s="14" t="s">
        <v>851</v>
      </c>
      <c r="O299" s="11" t="str">
        <f>HYPERLINK("https://pbs.twimg.com/profile_images/677493910256484352/-EdVaVPl_normal.jpg","View")</f>
        <v>View</v>
      </c>
      <c r="P299" s="15"/>
    </row>
    <row r="300">
      <c r="A300" s="7">
        <v>42425.22871527778</v>
      </c>
      <c r="B300" s="8" t="str">
        <f t="shared" ref="B300:B309" si="25">HYPERLINK("https://twitter.com/artwisanggeni","@artwisanggeni")</f>
        <v>@artwisanggeni</v>
      </c>
      <c r="C300" s="10" t="s">
        <v>74</v>
      </c>
      <c r="D300" s="10" t="s">
        <v>852</v>
      </c>
      <c r="E300" s="11" t="str">
        <f>HYPERLINK("https://twitter.com/artwisanggeni/status/702847856516857856","702847856516857856")</f>
        <v>702847856516857856</v>
      </c>
      <c r="F300" s="17" t="s">
        <v>76</v>
      </c>
      <c r="G300" s="13">
        <v>236.0</v>
      </c>
      <c r="H300" s="13">
        <v>61.0</v>
      </c>
      <c r="I300" s="13">
        <v>0.0</v>
      </c>
      <c r="J300" s="13">
        <v>0.0</v>
      </c>
      <c r="K300" s="12" t="s">
        <v>21</v>
      </c>
      <c r="L300" s="7">
        <v>41218.90608796296</v>
      </c>
      <c r="M300" s="14" t="s">
        <v>77</v>
      </c>
      <c r="N300" s="14" t="s">
        <v>78</v>
      </c>
      <c r="O300" s="11" t="str">
        <f t="shared" ref="O300:O309" si="26">HYPERLINK("https://pbs.twimg.com/profile_images/2813636657/599521f69e2bc210a57323b64d8e39e6_normal.jpeg","View")</f>
        <v>View</v>
      </c>
      <c r="P300" s="15"/>
    </row>
    <row r="301">
      <c r="A301" s="7">
        <v>42425.228738425925</v>
      </c>
      <c r="B301" s="8" t="str">
        <f t="shared" si="25"/>
        <v>@artwisanggeni</v>
      </c>
      <c r="C301" s="10" t="s">
        <v>74</v>
      </c>
      <c r="D301" s="10" t="s">
        <v>853</v>
      </c>
      <c r="E301" s="11" t="str">
        <f>HYPERLINK("https://twitter.com/artwisanggeni/status/702847861688434688","702847861688434688")</f>
        <v>702847861688434688</v>
      </c>
      <c r="F301" s="17" t="s">
        <v>76</v>
      </c>
      <c r="G301" s="13">
        <v>236.0</v>
      </c>
      <c r="H301" s="13">
        <v>61.0</v>
      </c>
      <c r="I301" s="13">
        <v>0.0</v>
      </c>
      <c r="J301" s="13">
        <v>0.0</v>
      </c>
      <c r="K301" s="12" t="s">
        <v>21</v>
      </c>
      <c r="L301" s="7">
        <v>41218.90608796296</v>
      </c>
      <c r="M301" s="14" t="s">
        <v>77</v>
      </c>
      <c r="N301" s="14" t="s">
        <v>78</v>
      </c>
      <c r="O301" s="11" t="str">
        <f t="shared" si="26"/>
        <v>View</v>
      </c>
      <c r="P301" s="15"/>
    </row>
    <row r="302">
      <c r="A302" s="7">
        <v>42425.228749999995</v>
      </c>
      <c r="B302" s="8" t="str">
        <f t="shared" si="25"/>
        <v>@artwisanggeni</v>
      </c>
      <c r="C302" s="10" t="s">
        <v>74</v>
      </c>
      <c r="D302" s="10" t="s">
        <v>854</v>
      </c>
      <c r="E302" s="11" t="str">
        <f>HYPERLINK("https://twitter.com/artwisanggeni/status/702847868176957440","702847868176957440")</f>
        <v>702847868176957440</v>
      </c>
      <c r="F302" s="17" t="s">
        <v>76</v>
      </c>
      <c r="G302" s="13">
        <v>236.0</v>
      </c>
      <c r="H302" s="13">
        <v>61.0</v>
      </c>
      <c r="I302" s="13">
        <v>0.0</v>
      </c>
      <c r="J302" s="13">
        <v>0.0</v>
      </c>
      <c r="K302" s="12" t="s">
        <v>21</v>
      </c>
      <c r="L302" s="7">
        <v>41218.90608796296</v>
      </c>
      <c r="M302" s="14" t="s">
        <v>77</v>
      </c>
      <c r="N302" s="14" t="s">
        <v>78</v>
      </c>
      <c r="O302" s="11" t="str">
        <f t="shared" si="26"/>
        <v>View</v>
      </c>
      <c r="P302" s="15"/>
    </row>
    <row r="303">
      <c r="A303" s="7">
        <v>42425.22877314815</v>
      </c>
      <c r="B303" s="8" t="str">
        <f t="shared" si="25"/>
        <v>@artwisanggeni</v>
      </c>
      <c r="C303" s="10" t="s">
        <v>74</v>
      </c>
      <c r="D303" s="10" t="s">
        <v>855</v>
      </c>
      <c r="E303" s="11" t="str">
        <f>HYPERLINK("https://twitter.com/artwisanggeni/status/702847873969364992","702847873969364992")</f>
        <v>702847873969364992</v>
      </c>
      <c r="F303" s="17" t="s">
        <v>76</v>
      </c>
      <c r="G303" s="13">
        <v>236.0</v>
      </c>
      <c r="H303" s="13">
        <v>61.0</v>
      </c>
      <c r="I303" s="13">
        <v>0.0</v>
      </c>
      <c r="J303" s="13">
        <v>0.0</v>
      </c>
      <c r="K303" s="12" t="s">
        <v>21</v>
      </c>
      <c r="L303" s="7">
        <v>41218.90608796296</v>
      </c>
      <c r="M303" s="14" t="s">
        <v>77</v>
      </c>
      <c r="N303" s="14" t="s">
        <v>78</v>
      </c>
      <c r="O303" s="11" t="str">
        <f t="shared" si="26"/>
        <v>View</v>
      </c>
      <c r="P303" s="15"/>
    </row>
    <row r="304">
      <c r="A304" s="7">
        <v>42425.22878472222</v>
      </c>
      <c r="B304" s="8" t="str">
        <f t="shared" si="25"/>
        <v>@artwisanggeni</v>
      </c>
      <c r="C304" s="10" t="s">
        <v>74</v>
      </c>
      <c r="D304" s="10" t="s">
        <v>856</v>
      </c>
      <c r="E304" s="11" t="str">
        <f>HYPERLINK("https://twitter.com/artwisanggeni/status/702847878746624000","702847878746624000")</f>
        <v>702847878746624000</v>
      </c>
      <c r="F304" s="17" t="s">
        <v>76</v>
      </c>
      <c r="G304" s="13">
        <v>236.0</v>
      </c>
      <c r="H304" s="13">
        <v>61.0</v>
      </c>
      <c r="I304" s="13">
        <v>0.0</v>
      </c>
      <c r="J304" s="13">
        <v>0.0</v>
      </c>
      <c r="K304" s="12" t="s">
        <v>21</v>
      </c>
      <c r="L304" s="7">
        <v>41218.90608796296</v>
      </c>
      <c r="M304" s="14" t="s">
        <v>77</v>
      </c>
      <c r="N304" s="14" t="s">
        <v>78</v>
      </c>
      <c r="O304" s="11" t="str">
        <f t="shared" si="26"/>
        <v>View</v>
      </c>
      <c r="P304" s="15"/>
    </row>
    <row r="305">
      <c r="A305" s="7">
        <v>42425.228796296295</v>
      </c>
      <c r="B305" s="8" t="str">
        <f t="shared" si="25"/>
        <v>@artwisanggeni</v>
      </c>
      <c r="C305" s="10" t="s">
        <v>74</v>
      </c>
      <c r="D305" s="10" t="s">
        <v>857</v>
      </c>
      <c r="E305" s="11" t="str">
        <f>HYPERLINK("https://twitter.com/artwisanggeni/status/702847883880505344","702847883880505344")</f>
        <v>702847883880505344</v>
      </c>
      <c r="F305" s="17" t="s">
        <v>76</v>
      </c>
      <c r="G305" s="13">
        <v>236.0</v>
      </c>
      <c r="H305" s="13">
        <v>61.0</v>
      </c>
      <c r="I305" s="13">
        <v>0.0</v>
      </c>
      <c r="J305" s="13">
        <v>0.0</v>
      </c>
      <c r="K305" s="12" t="s">
        <v>21</v>
      </c>
      <c r="L305" s="7">
        <v>41218.90608796296</v>
      </c>
      <c r="M305" s="14" t="s">
        <v>77</v>
      </c>
      <c r="N305" s="14" t="s">
        <v>78</v>
      </c>
      <c r="O305" s="11" t="str">
        <f t="shared" si="26"/>
        <v>View</v>
      </c>
      <c r="P305" s="15"/>
    </row>
    <row r="306">
      <c r="A306" s="7">
        <v>42425.22880787037</v>
      </c>
      <c r="B306" s="8" t="str">
        <f t="shared" si="25"/>
        <v>@artwisanggeni</v>
      </c>
      <c r="C306" s="10" t="s">
        <v>74</v>
      </c>
      <c r="D306" s="10" t="s">
        <v>858</v>
      </c>
      <c r="E306" s="11" t="str">
        <f>HYPERLINK("https://twitter.com/artwisanggeni/status/702847889987383300","702847889987383300")</f>
        <v>702847889987383300</v>
      </c>
      <c r="F306" s="17" t="s">
        <v>76</v>
      </c>
      <c r="G306" s="13">
        <v>236.0</v>
      </c>
      <c r="H306" s="13">
        <v>61.0</v>
      </c>
      <c r="I306" s="13">
        <v>0.0</v>
      </c>
      <c r="J306" s="13">
        <v>0.0</v>
      </c>
      <c r="K306" s="12" t="s">
        <v>21</v>
      </c>
      <c r="L306" s="7">
        <v>41218.90608796296</v>
      </c>
      <c r="M306" s="14" t="s">
        <v>77</v>
      </c>
      <c r="N306" s="14" t="s">
        <v>78</v>
      </c>
      <c r="O306" s="11" t="str">
        <f t="shared" si="26"/>
        <v>View</v>
      </c>
      <c r="P306" s="15"/>
    </row>
    <row r="307">
      <c r="A307" s="7">
        <v>42425.22883101852</v>
      </c>
      <c r="B307" s="8" t="str">
        <f t="shared" si="25"/>
        <v>@artwisanggeni</v>
      </c>
      <c r="C307" s="10" t="s">
        <v>74</v>
      </c>
      <c r="D307" s="10" t="s">
        <v>859</v>
      </c>
      <c r="E307" s="11" t="str">
        <f>HYPERLINK("https://twitter.com/artwisanggeni/status/702847894567583744","702847894567583744")</f>
        <v>702847894567583744</v>
      </c>
      <c r="F307" s="17" t="s">
        <v>76</v>
      </c>
      <c r="G307" s="13">
        <v>236.0</v>
      </c>
      <c r="H307" s="13">
        <v>61.0</v>
      </c>
      <c r="I307" s="13">
        <v>0.0</v>
      </c>
      <c r="J307" s="13">
        <v>0.0</v>
      </c>
      <c r="K307" s="12" t="s">
        <v>21</v>
      </c>
      <c r="L307" s="7">
        <v>41218.90608796296</v>
      </c>
      <c r="M307" s="14" t="s">
        <v>77</v>
      </c>
      <c r="N307" s="14" t="s">
        <v>78</v>
      </c>
      <c r="O307" s="11" t="str">
        <f t="shared" si="26"/>
        <v>View</v>
      </c>
      <c r="P307" s="15"/>
    </row>
    <row r="308">
      <c r="A308" s="7">
        <v>42425.22883101852</v>
      </c>
      <c r="B308" s="8" t="str">
        <f t="shared" si="25"/>
        <v>@artwisanggeni</v>
      </c>
      <c r="C308" s="10" t="s">
        <v>74</v>
      </c>
      <c r="D308" s="10" t="s">
        <v>860</v>
      </c>
      <c r="E308" s="11" t="str">
        <f>HYPERLINK("https://twitter.com/artwisanggeni/status/702847898673770496","702847898673770496")</f>
        <v>702847898673770496</v>
      </c>
      <c r="F308" s="17" t="s">
        <v>76</v>
      </c>
      <c r="G308" s="13">
        <v>236.0</v>
      </c>
      <c r="H308" s="13">
        <v>61.0</v>
      </c>
      <c r="I308" s="13">
        <v>0.0</v>
      </c>
      <c r="J308" s="13">
        <v>0.0</v>
      </c>
      <c r="K308" s="12" t="s">
        <v>21</v>
      </c>
      <c r="L308" s="7">
        <v>41218.90608796296</v>
      </c>
      <c r="M308" s="14" t="s">
        <v>77</v>
      </c>
      <c r="N308" s="14" t="s">
        <v>78</v>
      </c>
      <c r="O308" s="11" t="str">
        <f t="shared" si="26"/>
        <v>View</v>
      </c>
      <c r="P308" s="15"/>
    </row>
    <row r="309">
      <c r="A309" s="7">
        <v>42425.228854166664</v>
      </c>
      <c r="B309" s="8" t="str">
        <f t="shared" si="25"/>
        <v>@artwisanggeni</v>
      </c>
      <c r="C309" s="10" t="s">
        <v>74</v>
      </c>
      <c r="D309" s="10" t="s">
        <v>861</v>
      </c>
      <c r="E309" s="11" t="str">
        <f>HYPERLINK("https://twitter.com/artwisanggeni/status/702847906923937795","702847906923937795")</f>
        <v>702847906923937795</v>
      </c>
      <c r="F309" s="17" t="s">
        <v>76</v>
      </c>
      <c r="G309" s="13">
        <v>236.0</v>
      </c>
      <c r="H309" s="13">
        <v>61.0</v>
      </c>
      <c r="I309" s="13">
        <v>0.0</v>
      </c>
      <c r="J309" s="13">
        <v>0.0</v>
      </c>
      <c r="K309" s="12" t="s">
        <v>21</v>
      </c>
      <c r="L309" s="7">
        <v>41218.90608796296</v>
      </c>
      <c r="M309" s="14" t="s">
        <v>77</v>
      </c>
      <c r="N309" s="14" t="s">
        <v>78</v>
      </c>
      <c r="O309" s="11" t="str">
        <f t="shared" si="26"/>
        <v>View</v>
      </c>
      <c r="P309" s="15"/>
    </row>
    <row r="310">
      <c r="A310" s="7">
        <v>42425.22922453703</v>
      </c>
      <c r="B310" s="8" t="str">
        <f>HYPERLINK("https://twitter.com/darkelda","@darkelda")</f>
        <v>@darkelda</v>
      </c>
      <c r="C310" s="10" t="s">
        <v>464</v>
      </c>
      <c r="D310" s="10" t="s">
        <v>862</v>
      </c>
      <c r="E310" s="11" t="str">
        <f>HYPERLINK("https://twitter.com/darkelda/status/702848040898568194","702848040898568194")</f>
        <v>702848040898568194</v>
      </c>
      <c r="F310" s="12" t="s">
        <v>294</v>
      </c>
      <c r="G310" s="13">
        <v>593.0</v>
      </c>
      <c r="H310" s="13">
        <v>646.0</v>
      </c>
      <c r="I310" s="13">
        <v>0.0</v>
      </c>
      <c r="J310" s="13">
        <v>0.0</v>
      </c>
      <c r="K310" s="12" t="s">
        <v>21</v>
      </c>
      <c r="L310" s="7">
        <v>39816.725266203706</v>
      </c>
      <c r="M310" s="14" t="s">
        <v>462</v>
      </c>
      <c r="N310" s="14" t="s">
        <v>466</v>
      </c>
      <c r="O310" s="11" t="str">
        <f>HYPERLINK("https://pbs.twimg.com/profile_images/378800000395732848/280c978f05a649ed1dc8376db6a37a8a_normal.png","View")</f>
        <v>View</v>
      </c>
      <c r="P310" s="15"/>
    </row>
    <row r="311">
      <c r="A311" s="7">
        <v>42425.22939814815</v>
      </c>
      <c r="B311" s="8" t="str">
        <f>HYPERLINK("https://twitter.com/sablobsimus","@sablobsimus")</f>
        <v>@sablobsimus</v>
      </c>
      <c r="C311" s="10" t="s">
        <v>863</v>
      </c>
      <c r="D311" s="10" t="s">
        <v>864</v>
      </c>
      <c r="E311" s="11" t="str">
        <f>HYPERLINK("https://twitter.com/sablobsimus/status/702848102366121985","702848102366121985")</f>
        <v>702848102366121985</v>
      </c>
      <c r="F311" s="12" t="s">
        <v>152</v>
      </c>
      <c r="G311" s="13">
        <v>35.0</v>
      </c>
      <c r="H311" s="13">
        <v>124.0</v>
      </c>
      <c r="I311" s="13">
        <v>0.0</v>
      </c>
      <c r="J311" s="13">
        <v>2.0</v>
      </c>
      <c r="K311" s="12" t="s">
        <v>21</v>
      </c>
      <c r="L311" s="7">
        <v>39813.86993055556</v>
      </c>
      <c r="M311" s="14" t="s">
        <v>865</v>
      </c>
      <c r="N311" s="14" t="s">
        <v>866</v>
      </c>
      <c r="O311" s="11" t="str">
        <f>HYPERLINK("https://pbs.twimg.com/profile_images/462354379/reflx01_normal.png","View")</f>
        <v>View</v>
      </c>
      <c r="P311" s="15"/>
    </row>
    <row r="312">
      <c r="A312" s="7">
        <v>42425.23068287037</v>
      </c>
      <c r="B312" s="8" t="str">
        <f>HYPERLINK("https://twitter.com/anubhav1691","@anubhav1691")</f>
        <v>@anubhav1691</v>
      </c>
      <c r="C312" s="10" t="s">
        <v>867</v>
      </c>
      <c r="D312" s="10" t="s">
        <v>868</v>
      </c>
      <c r="E312" s="11" t="str">
        <f>HYPERLINK("https://twitter.com/anubhav1691/status/702848567648636930","702848567648636930")</f>
        <v>702848567648636930</v>
      </c>
      <c r="F312" s="12" t="s">
        <v>20</v>
      </c>
      <c r="G312" s="13">
        <v>245.0</v>
      </c>
      <c r="H312" s="13">
        <v>102.0</v>
      </c>
      <c r="I312" s="13">
        <v>0.0</v>
      </c>
      <c r="J312" s="13">
        <v>3.0</v>
      </c>
      <c r="K312" s="12" t="s">
        <v>21</v>
      </c>
      <c r="L312" s="7">
        <v>40602.23038194444</v>
      </c>
      <c r="M312" s="14" t="s">
        <v>34</v>
      </c>
      <c r="N312" s="14" t="s">
        <v>869</v>
      </c>
      <c r="O312" s="11" t="str">
        <f>HYPERLINK("https://pbs.twimg.com/profile_images/669412401880702976/wHvz5pPD_normal.jpg","View")</f>
        <v>View</v>
      </c>
      <c r="P312" s="15"/>
    </row>
    <row r="313">
      <c r="A313" s="7">
        <v>42425.2319675926</v>
      </c>
      <c r="B313" s="8" t="str">
        <f t="shared" ref="B313:B317" si="27">HYPERLINK("https://twitter.com/mkshpandian","@mkshpandian")</f>
        <v>@mkshpandian</v>
      </c>
      <c r="C313" s="10" t="s">
        <v>870</v>
      </c>
      <c r="D313" s="10" t="s">
        <v>871</v>
      </c>
      <c r="E313" s="11" t="str">
        <f>HYPERLINK("https://twitter.com/mkshpandian/status/702849033291739136","702849033291739136")</f>
        <v>702849033291739136</v>
      </c>
      <c r="F313" s="12" t="s">
        <v>20</v>
      </c>
      <c r="G313" s="13">
        <v>4391.0</v>
      </c>
      <c r="H313" s="13">
        <v>4289.0</v>
      </c>
      <c r="I313" s="13">
        <v>3.0</v>
      </c>
      <c r="J313" s="13">
        <v>0.0</v>
      </c>
      <c r="K313" s="12" t="s">
        <v>21</v>
      </c>
      <c r="L313" s="7">
        <v>42179.298680555556</v>
      </c>
      <c r="M313" s="14" t="s">
        <v>761</v>
      </c>
      <c r="N313" s="14" t="s">
        <v>872</v>
      </c>
      <c r="O313" s="11" t="str">
        <f t="shared" ref="O313:O317" si="28">HYPERLINK("https://pbs.twimg.com/profile_images/633179249176801280/F-VEJzR8_normal.jpg","View")</f>
        <v>View</v>
      </c>
      <c r="P313" s="15"/>
    </row>
    <row r="314">
      <c r="A314" s="7">
        <v>42425.232141203705</v>
      </c>
      <c r="B314" s="8" t="str">
        <f t="shared" si="27"/>
        <v>@mkshpandian</v>
      </c>
      <c r="C314" s="10" t="s">
        <v>870</v>
      </c>
      <c r="D314" s="10" t="s">
        <v>873</v>
      </c>
      <c r="E314" s="11" t="str">
        <f>HYPERLINK("https://twitter.com/mkshpandian/status/702849094620807168","702849094620807168")</f>
        <v>702849094620807168</v>
      </c>
      <c r="F314" s="12" t="s">
        <v>20</v>
      </c>
      <c r="G314" s="13">
        <v>4391.0</v>
      </c>
      <c r="H314" s="13">
        <v>4289.0</v>
      </c>
      <c r="I314" s="13">
        <v>6.0</v>
      </c>
      <c r="J314" s="13">
        <v>0.0</v>
      </c>
      <c r="K314" s="12" t="s">
        <v>21</v>
      </c>
      <c r="L314" s="7">
        <v>42179.298680555556</v>
      </c>
      <c r="M314" s="14" t="s">
        <v>761</v>
      </c>
      <c r="N314" s="14" t="s">
        <v>872</v>
      </c>
      <c r="O314" s="11" t="str">
        <f t="shared" si="28"/>
        <v>View</v>
      </c>
      <c r="P314" s="15"/>
    </row>
    <row r="315">
      <c r="A315" s="7">
        <v>42425.23217592592</v>
      </c>
      <c r="B315" s="8" t="str">
        <f t="shared" si="27"/>
        <v>@mkshpandian</v>
      </c>
      <c r="C315" s="10" t="s">
        <v>870</v>
      </c>
      <c r="D315" s="10" t="s">
        <v>874</v>
      </c>
      <c r="E315" s="11" t="str">
        <f>HYPERLINK("https://twitter.com/mkshpandian/status/702849109523234816","702849109523234816")</f>
        <v>702849109523234816</v>
      </c>
      <c r="F315" s="12" t="s">
        <v>20</v>
      </c>
      <c r="G315" s="13">
        <v>4391.0</v>
      </c>
      <c r="H315" s="13">
        <v>4289.0</v>
      </c>
      <c r="I315" s="13">
        <v>1.0</v>
      </c>
      <c r="J315" s="13">
        <v>0.0</v>
      </c>
      <c r="K315" s="12" t="s">
        <v>21</v>
      </c>
      <c r="L315" s="7">
        <v>42179.298680555556</v>
      </c>
      <c r="M315" s="14" t="s">
        <v>761</v>
      </c>
      <c r="N315" s="14" t="s">
        <v>872</v>
      </c>
      <c r="O315" s="11" t="str">
        <f t="shared" si="28"/>
        <v>View</v>
      </c>
      <c r="P315" s="15"/>
    </row>
    <row r="316">
      <c r="A316" s="7">
        <v>42425.23229166667</v>
      </c>
      <c r="B316" s="8" t="str">
        <f t="shared" si="27"/>
        <v>@mkshpandian</v>
      </c>
      <c r="C316" s="10" t="s">
        <v>870</v>
      </c>
      <c r="D316" s="10" t="s">
        <v>875</v>
      </c>
      <c r="E316" s="11" t="str">
        <f>HYPERLINK("https://twitter.com/mkshpandian/status/702849149528440832","702849149528440832")</f>
        <v>702849149528440832</v>
      </c>
      <c r="F316" s="12" t="s">
        <v>20</v>
      </c>
      <c r="G316" s="13">
        <v>4391.0</v>
      </c>
      <c r="H316" s="13">
        <v>4289.0</v>
      </c>
      <c r="I316" s="13">
        <v>4.0</v>
      </c>
      <c r="J316" s="13">
        <v>0.0</v>
      </c>
      <c r="K316" s="12" t="s">
        <v>21</v>
      </c>
      <c r="L316" s="7">
        <v>42179.298680555556</v>
      </c>
      <c r="M316" s="14" t="s">
        <v>761</v>
      </c>
      <c r="N316" s="14" t="s">
        <v>872</v>
      </c>
      <c r="O316" s="11" t="str">
        <f t="shared" si="28"/>
        <v>View</v>
      </c>
      <c r="P316" s="15"/>
    </row>
    <row r="317">
      <c r="A317" s="7">
        <v>42425.23233796297</v>
      </c>
      <c r="B317" s="8" t="str">
        <f t="shared" si="27"/>
        <v>@mkshpandian</v>
      </c>
      <c r="C317" s="10" t="s">
        <v>870</v>
      </c>
      <c r="D317" s="10" t="s">
        <v>876</v>
      </c>
      <c r="E317" s="11" t="str">
        <f>HYPERLINK("https://twitter.com/mkshpandian/status/702849169250123777","702849169250123777")</f>
        <v>702849169250123777</v>
      </c>
      <c r="F317" s="12" t="s">
        <v>20</v>
      </c>
      <c r="G317" s="13">
        <v>4391.0</v>
      </c>
      <c r="H317" s="13">
        <v>4289.0</v>
      </c>
      <c r="I317" s="13">
        <v>6.0</v>
      </c>
      <c r="J317" s="13">
        <v>0.0</v>
      </c>
      <c r="K317" s="12" t="s">
        <v>21</v>
      </c>
      <c r="L317" s="7">
        <v>42179.298680555556</v>
      </c>
      <c r="M317" s="14" t="s">
        <v>761</v>
      </c>
      <c r="N317" s="14" t="s">
        <v>872</v>
      </c>
      <c r="O317" s="11" t="str">
        <f t="shared" si="28"/>
        <v>View</v>
      </c>
      <c r="P317" s="15"/>
    </row>
    <row r="318">
      <c r="A318" s="7">
        <v>42425.23267361111</v>
      </c>
      <c r="B318" s="8" t="str">
        <f>HYPERLINK("https://twitter.com/tek_news","@tek_news")</f>
        <v>@tek_news</v>
      </c>
      <c r="C318" s="10" t="s">
        <v>546</v>
      </c>
      <c r="D318" s="10" t="s">
        <v>877</v>
      </c>
      <c r="E318" s="11" t="str">
        <f>HYPERLINK("https://twitter.com/tek_news/status/702849290935341056","702849290935341056")</f>
        <v>702849290935341056</v>
      </c>
      <c r="F318" s="12" t="s">
        <v>548</v>
      </c>
      <c r="G318" s="13">
        <v>1733.0</v>
      </c>
      <c r="H318" s="13">
        <v>0.0</v>
      </c>
      <c r="I318" s="13">
        <v>0.0</v>
      </c>
      <c r="J318" s="13">
        <v>0.0</v>
      </c>
      <c r="K318" s="12" t="s">
        <v>21</v>
      </c>
      <c r="L318" s="7">
        <v>40031.23185185185</v>
      </c>
      <c r="M318" s="14" t="s">
        <v>549</v>
      </c>
      <c r="N318" s="14" t="s">
        <v>550</v>
      </c>
      <c r="O318" s="11" t="str">
        <f>HYPERLINK("https://pbs.twimg.com/profile_images/512625755/icon_normal.gif","View")</f>
        <v>View</v>
      </c>
      <c r="P318" s="15"/>
    </row>
    <row r="319">
      <c r="A319" s="7">
        <v>42425.23365740741</v>
      </c>
      <c r="B319" s="8" t="str">
        <f>HYPERLINK("https://twitter.com/pvergain","@pvergain")</f>
        <v>@pvergain</v>
      </c>
      <c r="C319" s="10" t="s">
        <v>878</v>
      </c>
      <c r="D319" s="10" t="s">
        <v>772</v>
      </c>
      <c r="E319" s="11" t="str">
        <f>HYPERLINK("https://twitter.com/pvergain/status/702849643634421762","702849643634421762")</f>
        <v>702849643634421762</v>
      </c>
      <c r="F319" s="12" t="s">
        <v>20</v>
      </c>
      <c r="G319" s="13">
        <v>909.0</v>
      </c>
      <c r="H319" s="13">
        <v>1654.0</v>
      </c>
      <c r="I319" s="13">
        <v>3.0</v>
      </c>
      <c r="J319" s="13">
        <v>0.0</v>
      </c>
      <c r="K319" s="12" t="s">
        <v>21</v>
      </c>
      <c r="L319" s="7">
        <v>40003.974375</v>
      </c>
      <c r="M319" s="14" t="s">
        <v>879</v>
      </c>
      <c r="N319" s="14" t="s">
        <v>880</v>
      </c>
      <c r="O319" s="11" t="str">
        <f>HYPERLINK("https://pbs.twimg.com/profile_images/528272392766779392/5AeOFtlc_normal.jpeg","View")</f>
        <v>View</v>
      </c>
      <c r="P319" s="15"/>
    </row>
    <row r="320">
      <c r="A320" s="7">
        <v>42425.23395833334</v>
      </c>
      <c r="B320" s="8" t="str">
        <f t="shared" ref="B320:B321" si="29">HYPERLINK("https://twitter.com/adiverrec","@adiverrec")</f>
        <v>@adiverrec</v>
      </c>
      <c r="C320" s="10" t="s">
        <v>881</v>
      </c>
      <c r="D320" s="10" t="s">
        <v>882</v>
      </c>
      <c r="E320" s="11" t="str">
        <f>HYPERLINK("https://twitter.com/adiverrec/status/702849755299385344","702849755299385344")</f>
        <v>702849755299385344</v>
      </c>
      <c r="F320" s="12" t="s">
        <v>152</v>
      </c>
      <c r="G320" s="13">
        <v>64.0</v>
      </c>
      <c r="H320" s="13">
        <v>217.0</v>
      </c>
      <c r="I320" s="13">
        <v>1.0</v>
      </c>
      <c r="J320" s="13">
        <v>0.0</v>
      </c>
      <c r="K320" s="12" t="s">
        <v>21</v>
      </c>
      <c r="L320" s="7">
        <v>42124.30918981481</v>
      </c>
      <c r="M320" s="14" t="s">
        <v>883</v>
      </c>
      <c r="N320" s="14" t="s">
        <v>884</v>
      </c>
      <c r="O320" s="11" t="str">
        <f t="shared" ref="O320:O321" si="30">HYPERLINK("https://pbs.twimg.com/profile_images/689552240554700800/Ac4SEGSJ_normal.jpg","View")</f>
        <v>View</v>
      </c>
      <c r="P320" s="15"/>
    </row>
    <row r="321">
      <c r="A321" s="7">
        <v>42425.23405092592</v>
      </c>
      <c r="B321" s="8" t="str">
        <f t="shared" si="29"/>
        <v>@adiverrec</v>
      </c>
      <c r="C321" s="10" t="s">
        <v>881</v>
      </c>
      <c r="D321" s="10" t="s">
        <v>885</v>
      </c>
      <c r="E321" s="11" t="str">
        <f>HYPERLINK("https://twitter.com/adiverrec/status/702849786676961280","702849786676961280")</f>
        <v>702849786676961280</v>
      </c>
      <c r="F321" s="12" t="s">
        <v>152</v>
      </c>
      <c r="G321" s="13">
        <v>64.0</v>
      </c>
      <c r="H321" s="13">
        <v>217.0</v>
      </c>
      <c r="I321" s="13">
        <v>1.0</v>
      </c>
      <c r="J321" s="13">
        <v>0.0</v>
      </c>
      <c r="K321" s="12" t="s">
        <v>21</v>
      </c>
      <c r="L321" s="7">
        <v>42124.30918981481</v>
      </c>
      <c r="M321" s="14" t="s">
        <v>883</v>
      </c>
      <c r="N321" s="14" t="s">
        <v>884</v>
      </c>
      <c r="O321" s="11" t="str">
        <f t="shared" si="30"/>
        <v>View</v>
      </c>
      <c r="P321" s="15"/>
    </row>
    <row r="322">
      <c r="A322" s="7">
        <v>42425.23584490741</v>
      </c>
      <c r="B322" s="8" t="str">
        <f t="shared" ref="B322:B325" si="31">HYPERLINK("https://twitter.com/MurthyPankaj","@MurthyPankaj")</f>
        <v>@MurthyPankaj</v>
      </c>
      <c r="C322" s="10" t="s">
        <v>886</v>
      </c>
      <c r="D322" s="10" t="s">
        <v>871</v>
      </c>
      <c r="E322" s="11" t="str">
        <f>HYPERLINK("https://twitter.com/MurthyPankaj/status/702850436638715908","702850436638715908")</f>
        <v>702850436638715908</v>
      </c>
      <c r="F322" s="12" t="s">
        <v>20</v>
      </c>
      <c r="G322" s="13">
        <v>4505.0</v>
      </c>
      <c r="H322" s="13">
        <v>4395.0</v>
      </c>
      <c r="I322" s="13">
        <v>3.0</v>
      </c>
      <c r="J322" s="13">
        <v>0.0</v>
      </c>
      <c r="K322" s="12" t="s">
        <v>21</v>
      </c>
      <c r="L322" s="7">
        <v>42180.132314814815</v>
      </c>
      <c r="M322" s="14" t="s">
        <v>761</v>
      </c>
      <c r="N322" s="14" t="s">
        <v>887</v>
      </c>
      <c r="O322" s="11" t="str">
        <f t="shared" ref="O322:O325" si="32">HYPERLINK("https://pbs.twimg.com/profile_images/633180535104212992/bQKzeYJE_normal.jpg","View")</f>
        <v>View</v>
      </c>
      <c r="P322" s="15"/>
    </row>
    <row r="323">
      <c r="A323" s="7">
        <v>42425.2359837963</v>
      </c>
      <c r="B323" s="8" t="str">
        <f t="shared" si="31"/>
        <v>@MurthyPankaj</v>
      </c>
      <c r="C323" s="10" t="s">
        <v>886</v>
      </c>
      <c r="D323" s="10" t="s">
        <v>873</v>
      </c>
      <c r="E323" s="11" t="str">
        <f>HYPERLINK("https://twitter.com/MurthyPankaj/status/702850490749431809","702850490749431809")</f>
        <v>702850490749431809</v>
      </c>
      <c r="F323" s="12" t="s">
        <v>20</v>
      </c>
      <c r="G323" s="13">
        <v>4505.0</v>
      </c>
      <c r="H323" s="13">
        <v>4395.0</v>
      </c>
      <c r="I323" s="13">
        <v>6.0</v>
      </c>
      <c r="J323" s="13">
        <v>0.0</v>
      </c>
      <c r="K323" s="12" t="s">
        <v>21</v>
      </c>
      <c r="L323" s="7">
        <v>42180.132314814815</v>
      </c>
      <c r="M323" s="14" t="s">
        <v>761</v>
      </c>
      <c r="N323" s="14" t="s">
        <v>887</v>
      </c>
      <c r="O323" s="11" t="str">
        <f t="shared" si="32"/>
        <v>View</v>
      </c>
      <c r="P323" s="15"/>
    </row>
    <row r="324">
      <c r="A324" s="7">
        <v>42425.236122685186</v>
      </c>
      <c r="B324" s="8" t="str">
        <f t="shared" si="31"/>
        <v>@MurthyPankaj</v>
      </c>
      <c r="C324" s="10" t="s">
        <v>886</v>
      </c>
      <c r="D324" s="10" t="s">
        <v>875</v>
      </c>
      <c r="E324" s="11" t="str">
        <f>HYPERLINK("https://twitter.com/MurthyPankaj/status/702850539818594304","702850539818594304")</f>
        <v>702850539818594304</v>
      </c>
      <c r="F324" s="12" t="s">
        <v>20</v>
      </c>
      <c r="G324" s="13">
        <v>4505.0</v>
      </c>
      <c r="H324" s="13">
        <v>4395.0</v>
      </c>
      <c r="I324" s="13">
        <v>4.0</v>
      </c>
      <c r="J324" s="13">
        <v>0.0</v>
      </c>
      <c r="K324" s="12" t="s">
        <v>21</v>
      </c>
      <c r="L324" s="7">
        <v>42180.132314814815</v>
      </c>
      <c r="M324" s="14" t="s">
        <v>761</v>
      </c>
      <c r="N324" s="14" t="s">
        <v>887</v>
      </c>
      <c r="O324" s="11" t="str">
        <f t="shared" si="32"/>
        <v>View</v>
      </c>
      <c r="P324" s="15"/>
    </row>
    <row r="325">
      <c r="A325" s="7">
        <v>42425.236168981486</v>
      </c>
      <c r="B325" s="8" t="str">
        <f t="shared" si="31"/>
        <v>@MurthyPankaj</v>
      </c>
      <c r="C325" s="10" t="s">
        <v>886</v>
      </c>
      <c r="D325" s="10" t="s">
        <v>876</v>
      </c>
      <c r="E325" s="11" t="str">
        <f>HYPERLINK("https://twitter.com/MurthyPankaj/status/702850557665419264","702850557665419264")</f>
        <v>702850557665419264</v>
      </c>
      <c r="F325" s="12" t="s">
        <v>20</v>
      </c>
      <c r="G325" s="13">
        <v>4505.0</v>
      </c>
      <c r="H325" s="13">
        <v>4395.0</v>
      </c>
      <c r="I325" s="13">
        <v>6.0</v>
      </c>
      <c r="J325" s="13">
        <v>0.0</v>
      </c>
      <c r="K325" s="12" t="s">
        <v>21</v>
      </c>
      <c r="L325" s="7">
        <v>42180.132314814815</v>
      </c>
      <c r="M325" s="14" t="s">
        <v>761</v>
      </c>
      <c r="N325" s="14" t="s">
        <v>887</v>
      </c>
      <c r="O325" s="11" t="str">
        <f t="shared" si="32"/>
        <v>View</v>
      </c>
      <c r="P325" s="15"/>
    </row>
    <row r="326">
      <c r="A326" s="7">
        <v>42425.236388888894</v>
      </c>
      <c r="B326" s="8" t="str">
        <f>HYPERLINK("https://twitter.com/SeiichiShiga","@SeiichiShiga")</f>
        <v>@SeiichiShiga</v>
      </c>
      <c r="C326" s="10" t="s">
        <v>833</v>
      </c>
      <c r="D326" s="10" t="s">
        <v>888</v>
      </c>
      <c r="E326" s="11" t="str">
        <f>HYPERLINK("https://twitter.com/SeiichiShiga/status/702850636220493824","702850636220493824")</f>
        <v>702850636220493824</v>
      </c>
      <c r="F326" s="12" t="s">
        <v>20</v>
      </c>
      <c r="G326" s="13">
        <v>1215.0</v>
      </c>
      <c r="H326" s="13">
        <v>2729.0</v>
      </c>
      <c r="I326" s="13">
        <v>0.0</v>
      </c>
      <c r="J326" s="13">
        <v>0.0</v>
      </c>
      <c r="K326" s="12" t="s">
        <v>21</v>
      </c>
      <c r="L326" s="7">
        <v>42307.67229166666</v>
      </c>
      <c r="M326" s="14" t="s">
        <v>328</v>
      </c>
      <c r="N326" s="14" t="s">
        <v>835</v>
      </c>
      <c r="O326" s="11" t="str">
        <f>HYPERLINK("https://pbs.twimg.com/profile_images/678592301489242113/Sfm3y8Po_normal.jpg","View")</f>
        <v>View</v>
      </c>
      <c r="P326" s="15"/>
    </row>
    <row r="327">
      <c r="A327" s="7">
        <v>42425.23675925926</v>
      </c>
      <c r="B327" s="8" t="str">
        <f>HYPERLINK("https://twitter.com/alterway","@alterway")</f>
        <v>@alterway</v>
      </c>
      <c r="C327" s="10" t="s">
        <v>889</v>
      </c>
      <c r="D327" s="10" t="s">
        <v>890</v>
      </c>
      <c r="E327" s="11" t="str">
        <f>HYPERLINK("https://twitter.com/alterway/status/702850769410723840","702850769410723840")</f>
        <v>702850769410723840</v>
      </c>
      <c r="F327" s="12" t="s">
        <v>20</v>
      </c>
      <c r="G327" s="13">
        <v>1040.0</v>
      </c>
      <c r="H327" s="13">
        <v>822.0</v>
      </c>
      <c r="I327" s="13">
        <v>3.0</v>
      </c>
      <c r="J327" s="13">
        <v>1.0</v>
      </c>
      <c r="K327" s="12" t="s">
        <v>21</v>
      </c>
      <c r="L327" s="7">
        <v>40067.58244212963</v>
      </c>
      <c r="M327" s="14" t="s">
        <v>891</v>
      </c>
      <c r="N327" s="14" t="s">
        <v>892</v>
      </c>
      <c r="O327" s="11" t="str">
        <f>HYPERLINK("https://pbs.twimg.com/profile_images/616248033827782657/j7IKYfm1_normal.png","View")</f>
        <v>View</v>
      </c>
      <c r="P327" s="15"/>
    </row>
    <row r="328">
      <c r="A328" s="7">
        <v>42425.23743055556</v>
      </c>
      <c r="B328" s="8" t="str">
        <f>HYPERLINK("https://twitter.com/HartwigMicheal","@HartwigMicheal")</f>
        <v>@HartwigMicheal</v>
      </c>
      <c r="C328" s="10" t="s">
        <v>842</v>
      </c>
      <c r="D328" s="10" t="s">
        <v>893</v>
      </c>
      <c r="E328" s="11" t="str">
        <f>HYPERLINK("https://twitter.com/HartwigMicheal/status/702851014542680064","702851014542680064")</f>
        <v>702851014542680064</v>
      </c>
      <c r="F328" s="12" t="s">
        <v>103</v>
      </c>
      <c r="G328" s="13">
        <v>541.0</v>
      </c>
      <c r="H328" s="13">
        <v>830.0</v>
      </c>
      <c r="I328" s="13">
        <v>0.0</v>
      </c>
      <c r="J328" s="13">
        <v>0.0</v>
      </c>
      <c r="K328" s="12" t="s">
        <v>21</v>
      </c>
      <c r="L328" s="7">
        <v>42362.00148148148</v>
      </c>
      <c r="M328" s="14" t="s">
        <v>844</v>
      </c>
      <c r="N328" s="14" t="s">
        <v>845</v>
      </c>
      <c r="O328" s="11" t="str">
        <f>HYPERLINK("https://pbs.twimg.com/profile_images/679948461953781761/pDo9356K_normal.jpg","View")</f>
        <v>View</v>
      </c>
      <c r="P328" s="15"/>
    </row>
    <row r="329">
      <c r="A329" s="7">
        <v>42425.23762731481</v>
      </c>
      <c r="B329" s="8" t="str">
        <f>HYPERLINK("https://twitter.com/AdWordsJobs","@AdWordsJobs")</f>
        <v>@AdWordsJobs</v>
      </c>
      <c r="C329" s="10" t="s">
        <v>894</v>
      </c>
      <c r="D329" s="10" t="s">
        <v>895</v>
      </c>
      <c r="E329" s="11" t="str">
        <f>HYPERLINK("https://twitter.com/AdWordsJobs/status/702851083685593089","702851083685593089")</f>
        <v>702851083685593089</v>
      </c>
      <c r="F329" s="17" t="s">
        <v>76</v>
      </c>
      <c r="G329" s="13">
        <v>238.0</v>
      </c>
      <c r="H329" s="13">
        <v>12.0</v>
      </c>
      <c r="I329" s="13">
        <v>0.0</v>
      </c>
      <c r="J329" s="13">
        <v>0.0</v>
      </c>
      <c r="K329" s="12" t="s">
        <v>21</v>
      </c>
      <c r="L329" s="7">
        <v>41412.57059027778</v>
      </c>
      <c r="M329" s="16"/>
      <c r="N329" s="14" t="s">
        <v>896</v>
      </c>
      <c r="O329" s="11" t="str">
        <f>HYPERLINK("https://abs.twimg.com/sticky/default_profile_images/default_profile_1_normal.png","View")</f>
        <v>View</v>
      </c>
      <c r="P329" s="15"/>
    </row>
    <row r="330">
      <c r="A330" s="7">
        <v>42425.23809027778</v>
      </c>
      <c r="B330" s="8" t="str">
        <f>HYPERLINK("https://twitter.com/MTotolrahaman","@MTotolrahaman")</f>
        <v>@MTotolrahaman</v>
      </c>
      <c r="C330" s="10" t="s">
        <v>848</v>
      </c>
      <c r="D330" s="10" t="s">
        <v>897</v>
      </c>
      <c r="E330" s="11" t="str">
        <f>HYPERLINK("https://twitter.com/MTotolrahaman/status/702851251529191425","702851251529191425")</f>
        <v>702851251529191425</v>
      </c>
      <c r="F330" s="12" t="s">
        <v>103</v>
      </c>
      <c r="G330" s="13">
        <v>766.0</v>
      </c>
      <c r="H330" s="13">
        <v>846.0</v>
      </c>
      <c r="I330" s="13">
        <v>0.0</v>
      </c>
      <c r="J330" s="13">
        <v>0.0</v>
      </c>
      <c r="K330" s="12" t="s">
        <v>21</v>
      </c>
      <c r="L330" s="7">
        <v>42355.250798611116</v>
      </c>
      <c r="M330" s="14" t="s">
        <v>850</v>
      </c>
      <c r="N330" s="14" t="s">
        <v>851</v>
      </c>
      <c r="O330" s="11" t="str">
        <f>HYPERLINK("https://pbs.twimg.com/profile_images/677493910256484352/-EdVaVPl_normal.jpg","View")</f>
        <v>View</v>
      </c>
      <c r="P330" s="15"/>
    </row>
    <row r="331">
      <c r="A331" s="7">
        <v>42425.23868055556</v>
      </c>
      <c r="B331" s="8" t="str">
        <f>HYPERLINK("https://twitter.com/SeiichiShiga","@SeiichiShiga")</f>
        <v>@SeiichiShiga</v>
      </c>
      <c r="C331" s="10" t="s">
        <v>833</v>
      </c>
      <c r="D331" s="10" t="s">
        <v>898</v>
      </c>
      <c r="E331" s="11" t="str">
        <f>HYPERLINK("https://twitter.com/SeiichiShiga/status/702851466369740801","702851466369740801")</f>
        <v>702851466369740801</v>
      </c>
      <c r="F331" s="12" t="s">
        <v>20</v>
      </c>
      <c r="G331" s="13">
        <v>1215.0</v>
      </c>
      <c r="H331" s="13">
        <v>2729.0</v>
      </c>
      <c r="I331" s="13">
        <v>0.0</v>
      </c>
      <c r="J331" s="13">
        <v>2.0</v>
      </c>
      <c r="K331" s="12" t="s">
        <v>21</v>
      </c>
      <c r="L331" s="7">
        <v>42307.67229166666</v>
      </c>
      <c r="M331" s="14" t="s">
        <v>328</v>
      </c>
      <c r="N331" s="14" t="s">
        <v>835</v>
      </c>
      <c r="O331" s="11" t="str">
        <f>HYPERLINK("https://pbs.twimg.com/profile_images/678592301489242113/Sfm3y8Po_normal.jpg","View")</f>
        <v>View</v>
      </c>
      <c r="P331" s="15"/>
    </row>
    <row r="332">
      <c r="A332" s="7">
        <v>42425.23873842593</v>
      </c>
      <c r="B332" s="8" t="str">
        <f>HYPERLINK("https://twitter.com/taniapaz","@taniapaz")</f>
        <v>@taniapaz</v>
      </c>
      <c r="C332" s="10" t="s">
        <v>899</v>
      </c>
      <c r="D332" s="10" t="s">
        <v>900</v>
      </c>
      <c r="E332" s="11" t="str">
        <f>HYPERLINK("https://twitter.com/taniapaz/status/702851488696156161","702851488696156161")</f>
        <v>702851488696156161</v>
      </c>
      <c r="F332" s="12" t="s">
        <v>20</v>
      </c>
      <c r="G332" s="13">
        <v>587.0</v>
      </c>
      <c r="H332" s="13">
        <v>762.0</v>
      </c>
      <c r="I332" s="13">
        <v>0.0</v>
      </c>
      <c r="J332" s="13">
        <v>0.0</v>
      </c>
      <c r="K332" s="12" t="s">
        <v>21</v>
      </c>
      <c r="L332" s="7">
        <v>39762.617210648146</v>
      </c>
      <c r="M332" s="14" t="s">
        <v>901</v>
      </c>
      <c r="N332" s="14" t="s">
        <v>902</v>
      </c>
      <c r="O332" s="11" t="str">
        <f>HYPERLINK("https://pbs.twimg.com/profile_images/2289120803/klh434t6fs1svswctb5u_normal.jpeg","View")</f>
        <v>View</v>
      </c>
      <c r="P332" s="15"/>
    </row>
    <row r="333">
      <c r="A333" s="7">
        <v>42425.24023148148</v>
      </c>
      <c r="B333" s="8" t="str">
        <f>HYPERLINK("https://twitter.com/pythonz_net","@pythonz_net")</f>
        <v>@pythonz_net</v>
      </c>
      <c r="C333" s="10" t="s">
        <v>903</v>
      </c>
      <c r="D333" s="10" t="s">
        <v>904</v>
      </c>
      <c r="E333" s="11" t="str">
        <f>HYPERLINK("https://twitter.com/pythonz_net/status/702852029266444288","702852029266444288")</f>
        <v>702852029266444288</v>
      </c>
      <c r="F333" s="12" t="s">
        <v>903</v>
      </c>
      <c r="G333" s="13">
        <v>36.0</v>
      </c>
      <c r="H333" s="13">
        <v>2.0</v>
      </c>
      <c r="I333" s="13">
        <v>0.0</v>
      </c>
      <c r="J333" s="13">
        <v>0.0</v>
      </c>
      <c r="K333" s="12" t="s">
        <v>21</v>
      </c>
      <c r="L333" s="7">
        <v>41585.24549768519</v>
      </c>
      <c r="M333" s="14" t="s">
        <v>905</v>
      </c>
      <c r="N333" s="14" t="s">
        <v>906</v>
      </c>
      <c r="O333" s="11" t="str">
        <f>HYPERLINK("https://pbs.twimg.com/profile_images/482561147074129920/Opt5Ssac_normal.png","View")</f>
        <v>View</v>
      </c>
      <c r="P333" s="15"/>
    </row>
    <row r="334">
      <c r="A334" s="7">
        <v>42425.240266203706</v>
      </c>
      <c r="B334" s="8" t="str">
        <f>HYPERLINK("https://twitter.com/Ibertech_RRHH","@Ibertech_RRHH")</f>
        <v>@Ibertech_RRHH</v>
      </c>
      <c r="C334" s="10" t="s">
        <v>907</v>
      </c>
      <c r="D334" s="10" t="s">
        <v>908</v>
      </c>
      <c r="E334" s="11" t="str">
        <f>HYPERLINK("https://twitter.com/Ibertech_RRHH/status/702852042700750848","702852042700750848")</f>
        <v>702852042700750848</v>
      </c>
      <c r="F334" s="12" t="s">
        <v>659</v>
      </c>
      <c r="G334" s="13">
        <v>1545.0</v>
      </c>
      <c r="H334" s="13">
        <v>1581.0</v>
      </c>
      <c r="I334" s="13">
        <v>0.0</v>
      </c>
      <c r="J334" s="13">
        <v>3.0</v>
      </c>
      <c r="K334" s="12" t="s">
        <v>21</v>
      </c>
      <c r="L334" s="7">
        <v>41372.34689814815</v>
      </c>
      <c r="M334" s="16"/>
      <c r="N334" s="14" t="s">
        <v>909</v>
      </c>
      <c r="O334" s="11" t="str">
        <f>HYPERLINK("https://pbs.twimg.com/profile_images/458985797819973632/5TGWNw8I_normal.jpeg","View")</f>
        <v>View</v>
      </c>
      <c r="P334" s="15"/>
    </row>
    <row r="335">
      <c r="A335" s="7">
        <v>42425.24052083334</v>
      </c>
      <c r="B335" s="8" t="str">
        <f>HYPERLINK("https://twitter.com/FreeWebTutor","@FreeWebTutor")</f>
        <v>@FreeWebTutor</v>
      </c>
      <c r="C335" s="10" t="s">
        <v>910</v>
      </c>
      <c r="D335" s="10" t="s">
        <v>911</v>
      </c>
      <c r="E335" s="11" t="str">
        <f>HYPERLINK("https://twitter.com/FreeWebTutor/status/702852131456491524","702852131456491524")</f>
        <v>702852131456491524</v>
      </c>
      <c r="F335" s="12" t="s">
        <v>912</v>
      </c>
      <c r="G335" s="13">
        <v>1228.0</v>
      </c>
      <c r="H335" s="13">
        <v>495.0</v>
      </c>
      <c r="I335" s="13">
        <v>0.0</v>
      </c>
      <c r="J335" s="13">
        <v>1.0</v>
      </c>
      <c r="K335" s="12" t="s">
        <v>21</v>
      </c>
      <c r="L335" s="7">
        <v>42082.352534722224</v>
      </c>
      <c r="M335" s="14" t="s">
        <v>913</v>
      </c>
      <c r="N335" s="14" t="s">
        <v>914</v>
      </c>
      <c r="O335" s="11" t="str">
        <f>HYPERLINK("https://pbs.twimg.com/profile_images/578678371208450048/UWr5BDUJ_normal.png","View")</f>
        <v>View</v>
      </c>
      <c r="P335" s="15"/>
    </row>
    <row r="336">
      <c r="A336" s="7">
        <v>42425.24056712963</v>
      </c>
      <c r="B336" s="8" t="str">
        <f>HYPERLINK("https://twitter.com/kentenglish","@kentenglish")</f>
        <v>@kentenglish</v>
      </c>
      <c r="C336" s="10" t="s">
        <v>915</v>
      </c>
      <c r="D336" s="10" t="s">
        <v>916</v>
      </c>
      <c r="E336" s="11" t="str">
        <f>HYPERLINK("https://twitter.com/kentenglish/status/702852149080956928","702852149080956928")</f>
        <v>702852149080956928</v>
      </c>
      <c r="F336" s="12" t="s">
        <v>20</v>
      </c>
      <c r="G336" s="13">
        <v>294.0</v>
      </c>
      <c r="H336" s="13">
        <v>283.0</v>
      </c>
      <c r="I336" s="13">
        <v>0.0</v>
      </c>
      <c r="J336" s="13">
        <v>2.0</v>
      </c>
      <c r="K336" s="12" t="s">
        <v>21</v>
      </c>
      <c r="L336" s="7">
        <v>40211.57298611111</v>
      </c>
      <c r="M336" s="14" t="s">
        <v>917</v>
      </c>
      <c r="N336" s="14" t="s">
        <v>918</v>
      </c>
      <c r="O336" s="11" t="str">
        <f>HYPERLINK("https://pbs.twimg.com/profile_images/378800000833064827/ee40e2fe8dc4dbecb0ebd23e25f47e54_normal.jpeg","View")</f>
        <v>View</v>
      </c>
      <c r="P336" s="15"/>
    </row>
    <row r="337">
      <c r="A337" s="7">
        <v>42425.24118055556</v>
      </c>
      <c r="B337" s="8" t="str">
        <f>HYPERLINK("https://twitter.com/anioko1","@anioko1")</f>
        <v>@anioko1</v>
      </c>
      <c r="C337" s="10" t="s">
        <v>178</v>
      </c>
      <c r="D337" s="10" t="s">
        <v>919</v>
      </c>
      <c r="E337" s="11" t="str">
        <f>HYPERLINK("https://twitter.com/anioko1/status/702852371374841856","702852371374841856")</f>
        <v>702852371374841856</v>
      </c>
      <c r="F337" s="12" t="s">
        <v>103</v>
      </c>
      <c r="G337" s="13">
        <v>527.0</v>
      </c>
      <c r="H337" s="13">
        <v>1936.0</v>
      </c>
      <c r="I337" s="13">
        <v>0.0</v>
      </c>
      <c r="J337" s="13">
        <v>1.0</v>
      </c>
      <c r="K337" s="12" t="s">
        <v>21</v>
      </c>
      <c r="L337" s="7">
        <v>40367.98541666666</v>
      </c>
      <c r="M337" s="14" t="s">
        <v>180</v>
      </c>
      <c r="N337" s="14" t="s">
        <v>181</v>
      </c>
      <c r="O337" s="11" t="str">
        <f>HYPERLINK("https://pbs.twimg.com/profile_images/695642719948009474/s9J4OUA9_normal.jpg","View")</f>
        <v>View</v>
      </c>
      <c r="P337" s="15"/>
    </row>
    <row r="338">
      <c r="A338" s="7">
        <v>42425.2412037037</v>
      </c>
      <c r="B338" s="8" t="str">
        <f t="shared" ref="B338:B340" si="33">HYPERLINK("https://twitter.com/pujitkaul","@pujitkaul")</f>
        <v>@pujitkaul</v>
      </c>
      <c r="C338" s="10" t="s">
        <v>920</v>
      </c>
      <c r="D338" s="10" t="s">
        <v>871</v>
      </c>
      <c r="E338" s="11" t="str">
        <f>HYPERLINK("https://twitter.com/pujitkaul/status/702852378366603265","702852378366603265")</f>
        <v>702852378366603265</v>
      </c>
      <c r="F338" s="12" t="s">
        <v>20</v>
      </c>
      <c r="G338" s="13">
        <v>3650.0</v>
      </c>
      <c r="H338" s="13">
        <v>3591.0</v>
      </c>
      <c r="I338" s="13">
        <v>3.0</v>
      </c>
      <c r="J338" s="13">
        <v>0.0</v>
      </c>
      <c r="K338" s="12" t="s">
        <v>21</v>
      </c>
      <c r="L338" s="7">
        <v>42177.14251157407</v>
      </c>
      <c r="M338" s="14" t="s">
        <v>761</v>
      </c>
      <c r="N338" s="14" t="s">
        <v>921</v>
      </c>
      <c r="O338" s="11" t="str">
        <f t="shared" ref="O338:O340" si="34">HYPERLINK("https://pbs.twimg.com/profile_images/633196986930364416/yQXv8I2l_normal.jpg","View")</f>
        <v>View</v>
      </c>
      <c r="P338" s="15"/>
    </row>
    <row r="339">
      <c r="A339" s="7">
        <v>42425.241377314815</v>
      </c>
      <c r="B339" s="8" t="str">
        <f t="shared" si="33"/>
        <v>@pujitkaul</v>
      </c>
      <c r="C339" s="10" t="s">
        <v>920</v>
      </c>
      <c r="D339" s="10" t="s">
        <v>873</v>
      </c>
      <c r="E339" s="11" t="str">
        <f>HYPERLINK("https://twitter.com/pujitkaul/status/702852442082258944","702852442082258944")</f>
        <v>702852442082258944</v>
      </c>
      <c r="F339" s="12" t="s">
        <v>20</v>
      </c>
      <c r="G339" s="13">
        <v>3650.0</v>
      </c>
      <c r="H339" s="13">
        <v>3591.0</v>
      </c>
      <c r="I339" s="13">
        <v>6.0</v>
      </c>
      <c r="J339" s="13">
        <v>0.0</v>
      </c>
      <c r="K339" s="12" t="s">
        <v>21</v>
      </c>
      <c r="L339" s="7">
        <v>42177.14251157407</v>
      </c>
      <c r="M339" s="14" t="s">
        <v>761</v>
      </c>
      <c r="N339" s="14" t="s">
        <v>921</v>
      </c>
      <c r="O339" s="11" t="str">
        <f t="shared" si="34"/>
        <v>View</v>
      </c>
      <c r="P339" s="15"/>
    </row>
    <row r="340">
      <c r="A340" s="7">
        <v>42425.24150462963</v>
      </c>
      <c r="B340" s="8" t="str">
        <f t="shared" si="33"/>
        <v>@pujitkaul</v>
      </c>
      <c r="C340" s="10" t="s">
        <v>920</v>
      </c>
      <c r="D340" s="10" t="s">
        <v>875</v>
      </c>
      <c r="E340" s="11" t="str">
        <f>HYPERLINK("https://twitter.com/pujitkaul/status/702852488240566273","702852488240566273")</f>
        <v>702852488240566273</v>
      </c>
      <c r="F340" s="12" t="s">
        <v>20</v>
      </c>
      <c r="G340" s="13">
        <v>3650.0</v>
      </c>
      <c r="H340" s="13">
        <v>3591.0</v>
      </c>
      <c r="I340" s="13">
        <v>4.0</v>
      </c>
      <c r="J340" s="13">
        <v>0.0</v>
      </c>
      <c r="K340" s="12" t="s">
        <v>21</v>
      </c>
      <c r="L340" s="7">
        <v>42177.14251157407</v>
      </c>
      <c r="M340" s="14" t="s">
        <v>761</v>
      </c>
      <c r="N340" s="14" t="s">
        <v>921</v>
      </c>
      <c r="O340" s="11" t="str">
        <f t="shared" si="34"/>
        <v>View</v>
      </c>
      <c r="P340" s="15"/>
    </row>
    <row r="341">
      <c r="A341" s="7">
        <v>42425.24159722222</v>
      </c>
      <c r="B341" s="8" t="str">
        <f>HYPERLINK("https://twitter.com/taniapaz","@taniapaz")</f>
        <v>@taniapaz</v>
      </c>
      <c r="C341" s="10" t="s">
        <v>899</v>
      </c>
      <c r="D341" s="10" t="s">
        <v>922</v>
      </c>
      <c r="E341" s="11" t="str">
        <f>HYPERLINK("https://twitter.com/taniapaz/status/702852523166662656","702852523166662656")</f>
        <v>702852523166662656</v>
      </c>
      <c r="F341" s="12" t="s">
        <v>20</v>
      </c>
      <c r="G341" s="13">
        <v>587.0</v>
      </c>
      <c r="H341" s="13">
        <v>762.0</v>
      </c>
      <c r="I341" s="13">
        <v>0.0</v>
      </c>
      <c r="J341" s="13">
        <v>0.0</v>
      </c>
      <c r="K341" s="12" t="s">
        <v>21</v>
      </c>
      <c r="L341" s="7">
        <v>39762.617210648146</v>
      </c>
      <c r="M341" s="14" t="s">
        <v>901</v>
      </c>
      <c r="N341" s="14" t="s">
        <v>902</v>
      </c>
      <c r="O341" s="11" t="str">
        <f>HYPERLINK("https://pbs.twimg.com/profile_images/2289120803/klh434t6fs1svswctb5u_normal.jpeg","View")</f>
        <v>View</v>
      </c>
      <c r="P341" s="15"/>
    </row>
    <row r="342">
      <c r="A342" s="7">
        <v>42425.2419212963</v>
      </c>
      <c r="B342" s="8" t="str">
        <f>HYPERLINK("https://twitter.com/LillianEdmiston","@LillianEdmiston")</f>
        <v>@LillianEdmiston</v>
      </c>
      <c r="C342" s="10" t="s">
        <v>170</v>
      </c>
      <c r="D342" s="10" t="s">
        <v>923</v>
      </c>
      <c r="E342" s="11" t="str">
        <f>HYPERLINK("https://twitter.com/LillianEdmiston/status/702852638606544896","702852638606544896")</f>
        <v>702852638606544896</v>
      </c>
      <c r="F342" s="12" t="s">
        <v>103</v>
      </c>
      <c r="G342" s="13">
        <v>1050.0</v>
      </c>
      <c r="H342" s="13">
        <v>40.0</v>
      </c>
      <c r="I342" s="13">
        <v>0.0</v>
      </c>
      <c r="J342" s="13">
        <v>1.0</v>
      </c>
      <c r="K342" s="12" t="s">
        <v>21</v>
      </c>
      <c r="L342" s="7">
        <v>42293.27416666667</v>
      </c>
      <c r="M342" s="14" t="s">
        <v>172</v>
      </c>
      <c r="N342" s="14" t="s">
        <v>173</v>
      </c>
      <c r="O342" s="11" t="str">
        <f>HYPERLINK("https://pbs.twimg.com/profile_images/655014978101993476/ZpsnJW8B_normal.jpg","View")</f>
        <v>View</v>
      </c>
      <c r="P342" s="15"/>
    </row>
    <row r="343">
      <c r="A343" s="7">
        <v>42425.24594907407</v>
      </c>
      <c r="B343" s="8" t="str">
        <f>HYPERLINK("https://twitter.com/albertzeyer","@albertzeyer")</f>
        <v>@albertzeyer</v>
      </c>
      <c r="C343" s="10" t="s">
        <v>924</v>
      </c>
      <c r="D343" s="10" t="s">
        <v>925</v>
      </c>
      <c r="E343" s="11" t="str">
        <f>HYPERLINK("https://twitter.com/albertzeyer/status/702854098056568832","702854098056568832")</f>
        <v>702854098056568832</v>
      </c>
      <c r="F343" s="12" t="s">
        <v>20</v>
      </c>
      <c r="G343" s="13">
        <v>97.0</v>
      </c>
      <c r="H343" s="13">
        <v>60.0</v>
      </c>
      <c r="I343" s="13">
        <v>0.0</v>
      </c>
      <c r="J343" s="13">
        <v>2.0</v>
      </c>
      <c r="K343" s="12" t="s">
        <v>21</v>
      </c>
      <c r="L343" s="7">
        <v>39985.37136574074</v>
      </c>
      <c r="M343" s="16"/>
      <c r="N343" s="14" t="s">
        <v>926</v>
      </c>
      <c r="O343" s="11" t="str">
        <f>HYPERLINK("https://pbs.twimg.com/profile_images/1282944419/future.low_normal.jpg","View")</f>
        <v>View</v>
      </c>
      <c r="P343" s="15"/>
    </row>
    <row r="344">
      <c r="A344" s="7">
        <v>42425.246354166666</v>
      </c>
      <c r="B344" s="8" t="str">
        <f>HYPERLINK("https://twitter.com/arupdey22","@arupdey22")</f>
        <v>@arupdey22</v>
      </c>
      <c r="C344" s="10" t="s">
        <v>927</v>
      </c>
      <c r="D344" s="10" t="s">
        <v>928</v>
      </c>
      <c r="E344" s="11" t="str">
        <f>HYPERLINK("https://twitter.com/arupdey22/status/702854245364535297","702854245364535297")</f>
        <v>702854245364535297</v>
      </c>
      <c r="F344" s="12" t="s">
        <v>20</v>
      </c>
      <c r="G344" s="13">
        <v>234.0</v>
      </c>
      <c r="H344" s="13">
        <v>139.0</v>
      </c>
      <c r="I344" s="13">
        <v>0.0</v>
      </c>
      <c r="J344" s="13">
        <v>3.0</v>
      </c>
      <c r="K344" s="12" t="s">
        <v>21</v>
      </c>
      <c r="L344" s="7">
        <v>40248.169953703706</v>
      </c>
      <c r="M344" s="14" t="s">
        <v>929</v>
      </c>
      <c r="N344" s="14" t="s">
        <v>930</v>
      </c>
      <c r="O344" s="11" t="str">
        <f>HYPERLINK("https://pbs.twimg.com/profile_images/685799923451707393/-9M78pAG_normal.jpg","View")</f>
        <v>View</v>
      </c>
      <c r="P344" s="15"/>
    </row>
    <row r="345">
      <c r="A345" s="7">
        <v>42425.24787037037</v>
      </c>
      <c r="B345" s="8" t="str">
        <f>HYPERLINK("https://twitter.com/pythonz_net","@pythonz_net")</f>
        <v>@pythonz_net</v>
      </c>
      <c r="C345" s="10" t="s">
        <v>903</v>
      </c>
      <c r="D345" s="10" t="s">
        <v>931</v>
      </c>
      <c r="E345" s="11" t="str">
        <f>HYPERLINK("https://twitter.com/pythonz_net/status/702854795720323073","702854795720323073")</f>
        <v>702854795720323073</v>
      </c>
      <c r="F345" s="12" t="s">
        <v>903</v>
      </c>
      <c r="G345" s="13">
        <v>36.0</v>
      </c>
      <c r="H345" s="13">
        <v>2.0</v>
      </c>
      <c r="I345" s="13">
        <v>0.0</v>
      </c>
      <c r="J345" s="13">
        <v>0.0</v>
      </c>
      <c r="K345" s="12" t="s">
        <v>21</v>
      </c>
      <c r="L345" s="7">
        <v>41585.24549768519</v>
      </c>
      <c r="M345" s="14" t="s">
        <v>905</v>
      </c>
      <c r="N345" s="14" t="s">
        <v>906</v>
      </c>
      <c r="O345" s="11" t="str">
        <f>HYPERLINK("https://pbs.twimg.com/profile_images/482561147074129920/Opt5Ssac_normal.png","View")</f>
        <v>View</v>
      </c>
      <c r="P345" s="15"/>
    </row>
    <row r="346">
      <c r="A346" s="7">
        <v>42425.2484375</v>
      </c>
      <c r="B346" s="8" t="str">
        <f>HYPERLINK("https://twitter.com/JoshuaLongUK","@JoshuaLongUK")</f>
        <v>@JoshuaLongUK</v>
      </c>
      <c r="C346" s="10" t="s">
        <v>101</v>
      </c>
      <c r="D346" s="10" t="s">
        <v>932</v>
      </c>
      <c r="E346" s="11" t="str">
        <f>HYPERLINK("https://twitter.com/JoshuaLongUK/status/702855001014669313","702855001014669313")</f>
        <v>702855001014669313</v>
      </c>
      <c r="F346" s="12" t="s">
        <v>103</v>
      </c>
      <c r="G346" s="13">
        <v>25832.0</v>
      </c>
      <c r="H346" s="13">
        <v>93.0</v>
      </c>
      <c r="I346" s="13">
        <v>0.0</v>
      </c>
      <c r="J346" s="13">
        <v>0.0</v>
      </c>
      <c r="K346" s="12" t="s">
        <v>21</v>
      </c>
      <c r="L346" s="7">
        <v>41149.39659722222</v>
      </c>
      <c r="M346" s="14" t="s">
        <v>104</v>
      </c>
      <c r="N346" s="14" t="s">
        <v>105</v>
      </c>
      <c r="O346" s="11" t="str">
        <f>HYPERLINK("https://pbs.twimg.com/profile_images/627996138403168256/DaASdgVr_normal.jpg","View")</f>
        <v>View</v>
      </c>
      <c r="P346" s="15"/>
    </row>
    <row r="347">
      <c r="A347" s="7">
        <v>42425.248877314814</v>
      </c>
      <c r="B347" s="8" t="str">
        <f>HYPERLINK("https://twitter.com/jonasl","@jonasl")</f>
        <v>@jonasl</v>
      </c>
      <c r="C347" s="10" t="s">
        <v>933</v>
      </c>
      <c r="D347" s="10" t="s">
        <v>934</v>
      </c>
      <c r="E347" s="11" t="str">
        <f>HYPERLINK("https://twitter.com/jonasl/status/702855159425081344","702855159425081344")</f>
        <v>702855159425081344</v>
      </c>
      <c r="F347" s="12" t="s">
        <v>446</v>
      </c>
      <c r="G347" s="13">
        <v>30622.0</v>
      </c>
      <c r="H347" s="13">
        <v>9185.0</v>
      </c>
      <c r="I347" s="13">
        <v>0.0</v>
      </c>
      <c r="J347" s="13">
        <v>2.0</v>
      </c>
      <c r="K347" s="12" t="s">
        <v>21</v>
      </c>
      <c r="L347" s="7">
        <v>39553.255370370374</v>
      </c>
      <c r="M347" s="14" t="s">
        <v>109</v>
      </c>
      <c r="N347" s="14" t="s">
        <v>935</v>
      </c>
      <c r="O347" s="11" t="str">
        <f>HYPERLINK("https://pbs.twimg.com/profile_images/482041073795993600/igCQriPW_normal.jpeg","View")</f>
        <v>View</v>
      </c>
      <c r="P347" s="15"/>
    </row>
    <row r="348">
      <c r="A348" s="7">
        <v>42425.249340277776</v>
      </c>
      <c r="B348" s="8" t="str">
        <f>HYPERLINK("https://twitter.com/oliver_frietsch","@oliver_frietsch")</f>
        <v>@oliver_frietsch</v>
      </c>
      <c r="C348" s="10" t="s">
        <v>936</v>
      </c>
      <c r="D348" s="10" t="s">
        <v>937</v>
      </c>
      <c r="E348" s="11" t="str">
        <f>HYPERLINK("https://twitter.com/oliver_frietsch/status/702855328401104896","702855328401104896")</f>
        <v>702855328401104896</v>
      </c>
      <c r="F348" s="12" t="s">
        <v>152</v>
      </c>
      <c r="G348" s="13">
        <v>53.0</v>
      </c>
      <c r="H348" s="13">
        <v>28.0</v>
      </c>
      <c r="I348" s="13">
        <v>4.0</v>
      </c>
      <c r="J348" s="13">
        <v>0.0</v>
      </c>
      <c r="K348" s="12" t="s">
        <v>21</v>
      </c>
      <c r="L348" s="7">
        <v>40971.50269675926</v>
      </c>
      <c r="M348" s="14" t="s">
        <v>938</v>
      </c>
      <c r="N348" s="14" t="s">
        <v>939</v>
      </c>
      <c r="O348" s="11" t="str">
        <f>HYPERLINK("https://pbs.twimg.com/profile_images/700580992507969537/DtSbmhkX_normal.jpg","View")</f>
        <v>View</v>
      </c>
      <c r="P348" s="15"/>
    </row>
    <row r="349">
      <c r="A349" s="7">
        <v>42425.24957175926</v>
      </c>
      <c r="B349" s="8" t="str">
        <f>HYPERLINK("https://twitter.com/wraybowling","@wraybowling")</f>
        <v>@wraybowling</v>
      </c>
      <c r="C349" s="10" t="s">
        <v>940</v>
      </c>
      <c r="D349" s="10" t="s">
        <v>941</v>
      </c>
      <c r="E349" s="11" t="str">
        <f>HYPERLINK("https://twitter.com/wraybowling/status/702855412786307072","702855412786307072")</f>
        <v>702855412786307072</v>
      </c>
      <c r="F349" s="12" t="s">
        <v>20</v>
      </c>
      <c r="G349" s="13">
        <v>234.0</v>
      </c>
      <c r="H349" s="13">
        <v>176.0</v>
      </c>
      <c r="I349" s="13">
        <v>125.0</v>
      </c>
      <c r="J349" s="13">
        <v>0.0</v>
      </c>
      <c r="K349" s="12" t="s">
        <v>21</v>
      </c>
      <c r="L349" s="7">
        <v>39998.31275462963</v>
      </c>
      <c r="M349" s="14" t="s">
        <v>942</v>
      </c>
      <c r="N349" s="14" t="s">
        <v>943</v>
      </c>
      <c r="O349" s="11" t="str">
        <f>HYPERLINK("https://pbs.twimg.com/profile_images/2815354094/5ef76183f09c66930e3d89590f881df9_normal.png","View")</f>
        <v>View</v>
      </c>
      <c r="P349" s="15"/>
    </row>
    <row r="350">
      <c r="A350" s="7">
        <v>42425.25053240741</v>
      </c>
      <c r="B350" s="8" t="str">
        <f>HYPERLINK("https://twitter.com/JobHero_io","@JobHero_io")</f>
        <v>@JobHero_io</v>
      </c>
      <c r="C350" s="9" t="s">
        <v>944</v>
      </c>
      <c r="D350" s="10" t="s">
        <v>945</v>
      </c>
      <c r="E350" s="11" t="str">
        <f>HYPERLINK("https://twitter.com/JobHero_io/status/702855759198089217","702855759198089217")</f>
        <v>702855759198089217</v>
      </c>
      <c r="F350" s="12" t="s">
        <v>294</v>
      </c>
      <c r="G350" s="13">
        <v>6512.0</v>
      </c>
      <c r="H350" s="13">
        <v>2486.0</v>
      </c>
      <c r="I350" s="13">
        <v>1.0</v>
      </c>
      <c r="J350" s="13">
        <v>0.0</v>
      </c>
      <c r="K350" s="12" t="s">
        <v>21</v>
      </c>
      <c r="L350" s="7">
        <v>41057.667650462965</v>
      </c>
      <c r="M350" s="14" t="s">
        <v>946</v>
      </c>
      <c r="N350" s="14" t="s">
        <v>947</v>
      </c>
      <c r="O350" s="11" t="str">
        <f>HYPERLINK("https://pbs.twimg.com/profile_images/609201325046280192/WqwLYJNg_normal.jpg","View")</f>
        <v>View</v>
      </c>
      <c r="P350" s="15"/>
    </row>
    <row r="351">
      <c r="A351" s="7">
        <v>42425.251122685186</v>
      </c>
      <c r="B351" s="8" t="str">
        <f>HYPERLINK("https://twitter.com/PythonWeekly","@PythonWeekly")</f>
        <v>@PythonWeekly</v>
      </c>
      <c r="C351" s="10" t="s">
        <v>948</v>
      </c>
      <c r="D351" s="10" t="s">
        <v>949</v>
      </c>
      <c r="E351" s="11" t="str">
        <f>HYPERLINK("https://twitter.com/PythonWeekly/status/702855975884234752","702855975884234752")</f>
        <v>702855975884234752</v>
      </c>
      <c r="F351" s="12" t="s">
        <v>294</v>
      </c>
      <c r="G351" s="13">
        <v>15565.0</v>
      </c>
      <c r="H351" s="13">
        <v>0.0</v>
      </c>
      <c r="I351" s="13">
        <v>11.0</v>
      </c>
      <c r="J351" s="13">
        <v>20.0</v>
      </c>
      <c r="K351" s="12" t="s">
        <v>21</v>
      </c>
      <c r="L351" s="7">
        <v>40800.65934027778</v>
      </c>
      <c r="M351" s="16"/>
      <c r="N351" s="14" t="s">
        <v>950</v>
      </c>
      <c r="O351" s="11" t="str">
        <f>HYPERLINK("https://pbs.twimg.com/profile_images/1554238582/python_normal.jpg","View")</f>
        <v>View</v>
      </c>
      <c r="P351" s="15"/>
    </row>
    <row r="352">
      <c r="A352" s="7">
        <v>42425.2515625</v>
      </c>
      <c r="B352" s="8" t="str">
        <f t="shared" ref="B352:B361" si="35">HYPERLINK("https://twitter.com/artwisanggeni","@artwisanggeni")</f>
        <v>@artwisanggeni</v>
      </c>
      <c r="C352" s="10" t="s">
        <v>74</v>
      </c>
      <c r="D352" s="10" t="s">
        <v>951</v>
      </c>
      <c r="E352" s="11" t="str">
        <f>HYPERLINK("https://twitter.com/artwisanggeni/status/702856135569645568","702856135569645568")</f>
        <v>702856135569645568</v>
      </c>
      <c r="F352" s="17" t="s">
        <v>76</v>
      </c>
      <c r="G352" s="13">
        <v>236.0</v>
      </c>
      <c r="H352" s="13">
        <v>61.0</v>
      </c>
      <c r="I352" s="13">
        <v>0.0</v>
      </c>
      <c r="J352" s="13">
        <v>0.0</v>
      </c>
      <c r="K352" s="12" t="s">
        <v>21</v>
      </c>
      <c r="L352" s="7">
        <v>41218.90608796296</v>
      </c>
      <c r="M352" s="14" t="s">
        <v>77</v>
      </c>
      <c r="N352" s="14" t="s">
        <v>78</v>
      </c>
      <c r="O352" s="11" t="str">
        <f t="shared" ref="O352:O361" si="36">HYPERLINK("https://pbs.twimg.com/profile_images/2813636657/599521f69e2bc210a57323b64d8e39e6_normal.jpeg","View")</f>
        <v>View</v>
      </c>
      <c r="P352" s="15"/>
    </row>
    <row r="353">
      <c r="A353" s="7">
        <v>42425.25157407408</v>
      </c>
      <c r="B353" s="8" t="str">
        <f t="shared" si="35"/>
        <v>@artwisanggeni</v>
      </c>
      <c r="C353" s="10" t="s">
        <v>74</v>
      </c>
      <c r="D353" s="10" t="s">
        <v>952</v>
      </c>
      <c r="E353" s="11" t="str">
        <f>HYPERLINK("https://twitter.com/artwisanggeni/status/702856138572713984","702856138572713984")</f>
        <v>702856138572713984</v>
      </c>
      <c r="F353" s="17" t="s">
        <v>76</v>
      </c>
      <c r="G353" s="13">
        <v>236.0</v>
      </c>
      <c r="H353" s="13">
        <v>61.0</v>
      </c>
      <c r="I353" s="13">
        <v>0.0</v>
      </c>
      <c r="J353" s="13">
        <v>0.0</v>
      </c>
      <c r="K353" s="12" t="s">
        <v>21</v>
      </c>
      <c r="L353" s="7">
        <v>41218.90608796296</v>
      </c>
      <c r="M353" s="14" t="s">
        <v>77</v>
      </c>
      <c r="N353" s="14" t="s">
        <v>78</v>
      </c>
      <c r="O353" s="11" t="str">
        <f t="shared" si="36"/>
        <v>View</v>
      </c>
      <c r="P353" s="15"/>
    </row>
    <row r="354">
      <c r="A354" s="7">
        <v>42425.25158564815</v>
      </c>
      <c r="B354" s="8" t="str">
        <f t="shared" si="35"/>
        <v>@artwisanggeni</v>
      </c>
      <c r="C354" s="10" t="s">
        <v>74</v>
      </c>
      <c r="D354" s="10" t="s">
        <v>953</v>
      </c>
      <c r="E354" s="11" t="str">
        <f>HYPERLINK("https://twitter.com/artwisanggeni/status/702856142179807232","702856142179807232")</f>
        <v>702856142179807232</v>
      </c>
      <c r="F354" s="17" t="s">
        <v>76</v>
      </c>
      <c r="G354" s="13">
        <v>236.0</v>
      </c>
      <c r="H354" s="13">
        <v>61.0</v>
      </c>
      <c r="I354" s="13">
        <v>0.0</v>
      </c>
      <c r="J354" s="13">
        <v>0.0</v>
      </c>
      <c r="K354" s="12" t="s">
        <v>21</v>
      </c>
      <c r="L354" s="7">
        <v>41218.90608796296</v>
      </c>
      <c r="M354" s="14" t="s">
        <v>77</v>
      </c>
      <c r="N354" s="14" t="s">
        <v>78</v>
      </c>
      <c r="O354" s="11" t="str">
        <f t="shared" si="36"/>
        <v>View</v>
      </c>
      <c r="P354" s="15"/>
    </row>
    <row r="355">
      <c r="A355" s="7">
        <v>42425.25159722222</v>
      </c>
      <c r="B355" s="8" t="str">
        <f t="shared" si="35"/>
        <v>@artwisanggeni</v>
      </c>
      <c r="C355" s="10" t="s">
        <v>74</v>
      </c>
      <c r="D355" s="10" t="s">
        <v>954</v>
      </c>
      <c r="E355" s="11" t="str">
        <f>HYPERLINK("https://twitter.com/artwisanggeni/status/702856144901898240","702856144901898240")</f>
        <v>702856144901898240</v>
      </c>
      <c r="F355" s="17" t="s">
        <v>76</v>
      </c>
      <c r="G355" s="13">
        <v>236.0</v>
      </c>
      <c r="H355" s="13">
        <v>61.0</v>
      </c>
      <c r="I355" s="13">
        <v>0.0</v>
      </c>
      <c r="J355" s="13">
        <v>0.0</v>
      </c>
      <c r="K355" s="12" t="s">
        <v>21</v>
      </c>
      <c r="L355" s="7">
        <v>41218.90608796296</v>
      </c>
      <c r="M355" s="14" t="s">
        <v>77</v>
      </c>
      <c r="N355" s="14" t="s">
        <v>78</v>
      </c>
      <c r="O355" s="11" t="str">
        <f t="shared" si="36"/>
        <v>View</v>
      </c>
      <c r="P355" s="15"/>
    </row>
    <row r="356">
      <c r="A356" s="7">
        <v>42425.25159722222</v>
      </c>
      <c r="B356" s="8" t="str">
        <f t="shared" si="35"/>
        <v>@artwisanggeni</v>
      </c>
      <c r="C356" s="10" t="s">
        <v>74</v>
      </c>
      <c r="D356" s="10" t="s">
        <v>955</v>
      </c>
      <c r="E356" s="11" t="str">
        <f>HYPERLINK("https://twitter.com/artwisanggeni/status/702856148005711872","702856148005711872")</f>
        <v>702856148005711872</v>
      </c>
      <c r="F356" s="17" t="s">
        <v>76</v>
      </c>
      <c r="G356" s="13">
        <v>236.0</v>
      </c>
      <c r="H356" s="13">
        <v>61.0</v>
      </c>
      <c r="I356" s="13">
        <v>0.0</v>
      </c>
      <c r="J356" s="13">
        <v>0.0</v>
      </c>
      <c r="K356" s="12" t="s">
        <v>21</v>
      </c>
      <c r="L356" s="7">
        <v>41218.90608796296</v>
      </c>
      <c r="M356" s="14" t="s">
        <v>77</v>
      </c>
      <c r="N356" s="14" t="s">
        <v>78</v>
      </c>
      <c r="O356" s="11" t="str">
        <f t="shared" si="36"/>
        <v>View</v>
      </c>
      <c r="P356" s="15"/>
    </row>
    <row r="357">
      <c r="A357" s="7">
        <v>42425.2516087963</v>
      </c>
      <c r="B357" s="8" t="str">
        <f t="shared" si="35"/>
        <v>@artwisanggeni</v>
      </c>
      <c r="C357" s="10" t="s">
        <v>74</v>
      </c>
      <c r="D357" s="10" t="s">
        <v>956</v>
      </c>
      <c r="E357" s="11" t="str">
        <f>HYPERLINK("https://twitter.com/artwisanggeni/status/702856151428235264","702856151428235264")</f>
        <v>702856151428235264</v>
      </c>
      <c r="F357" s="17" t="s">
        <v>76</v>
      </c>
      <c r="G357" s="13">
        <v>236.0</v>
      </c>
      <c r="H357" s="13">
        <v>61.0</v>
      </c>
      <c r="I357" s="13">
        <v>0.0</v>
      </c>
      <c r="J357" s="13">
        <v>0.0</v>
      </c>
      <c r="K357" s="12" t="s">
        <v>21</v>
      </c>
      <c r="L357" s="7">
        <v>41218.90608796296</v>
      </c>
      <c r="M357" s="14" t="s">
        <v>77</v>
      </c>
      <c r="N357" s="14" t="s">
        <v>78</v>
      </c>
      <c r="O357" s="11" t="str">
        <f t="shared" si="36"/>
        <v>View</v>
      </c>
      <c r="P357" s="15"/>
    </row>
    <row r="358">
      <c r="A358" s="7">
        <v>42425.25162037037</v>
      </c>
      <c r="B358" s="8" t="str">
        <f t="shared" si="35"/>
        <v>@artwisanggeni</v>
      </c>
      <c r="C358" s="10" t="s">
        <v>74</v>
      </c>
      <c r="D358" s="10" t="s">
        <v>957</v>
      </c>
      <c r="E358" s="11" t="str">
        <f>HYPERLINK("https://twitter.com/artwisanggeni/status/702856154926321664","702856154926321664")</f>
        <v>702856154926321664</v>
      </c>
      <c r="F358" s="17" t="s">
        <v>76</v>
      </c>
      <c r="G358" s="13">
        <v>236.0</v>
      </c>
      <c r="H358" s="13">
        <v>61.0</v>
      </c>
      <c r="I358" s="13">
        <v>0.0</v>
      </c>
      <c r="J358" s="13">
        <v>0.0</v>
      </c>
      <c r="K358" s="12" t="s">
        <v>21</v>
      </c>
      <c r="L358" s="7">
        <v>41218.90608796296</v>
      </c>
      <c r="M358" s="14" t="s">
        <v>77</v>
      </c>
      <c r="N358" s="14" t="s">
        <v>78</v>
      </c>
      <c r="O358" s="11" t="str">
        <f t="shared" si="36"/>
        <v>View</v>
      </c>
      <c r="P358" s="15"/>
    </row>
    <row r="359">
      <c r="A359" s="7">
        <v>42425.25163194444</v>
      </c>
      <c r="B359" s="8" t="str">
        <f t="shared" si="35"/>
        <v>@artwisanggeni</v>
      </c>
      <c r="C359" s="10" t="s">
        <v>74</v>
      </c>
      <c r="D359" s="10" t="s">
        <v>958</v>
      </c>
      <c r="E359" s="11" t="str">
        <f>HYPERLINK("https://twitter.com/artwisanggeni/status/702856158113992705","702856158113992705")</f>
        <v>702856158113992705</v>
      </c>
      <c r="F359" s="17" t="s">
        <v>76</v>
      </c>
      <c r="G359" s="13">
        <v>236.0</v>
      </c>
      <c r="H359" s="13">
        <v>61.0</v>
      </c>
      <c r="I359" s="13">
        <v>0.0</v>
      </c>
      <c r="J359" s="13">
        <v>0.0</v>
      </c>
      <c r="K359" s="12" t="s">
        <v>21</v>
      </c>
      <c r="L359" s="7">
        <v>41218.90608796296</v>
      </c>
      <c r="M359" s="14" t="s">
        <v>77</v>
      </c>
      <c r="N359" s="14" t="s">
        <v>78</v>
      </c>
      <c r="O359" s="11" t="str">
        <f t="shared" si="36"/>
        <v>View</v>
      </c>
      <c r="P359" s="15"/>
    </row>
    <row r="360">
      <c r="A360" s="7">
        <v>42425.25163194444</v>
      </c>
      <c r="B360" s="8" t="str">
        <f t="shared" si="35"/>
        <v>@artwisanggeni</v>
      </c>
      <c r="C360" s="10" t="s">
        <v>74</v>
      </c>
      <c r="D360" s="10" t="s">
        <v>959</v>
      </c>
      <c r="E360" s="11" t="str">
        <f>HYPERLINK("https://twitter.com/artwisanggeni/status/702856160735416320","702856160735416320")</f>
        <v>702856160735416320</v>
      </c>
      <c r="F360" s="17" t="s">
        <v>76</v>
      </c>
      <c r="G360" s="13">
        <v>236.0</v>
      </c>
      <c r="H360" s="13">
        <v>61.0</v>
      </c>
      <c r="I360" s="13">
        <v>0.0</v>
      </c>
      <c r="J360" s="13">
        <v>0.0</v>
      </c>
      <c r="K360" s="12" t="s">
        <v>21</v>
      </c>
      <c r="L360" s="7">
        <v>41218.90608796296</v>
      </c>
      <c r="M360" s="14" t="s">
        <v>77</v>
      </c>
      <c r="N360" s="14" t="s">
        <v>78</v>
      </c>
      <c r="O360" s="11" t="str">
        <f t="shared" si="36"/>
        <v>View</v>
      </c>
      <c r="P360" s="15"/>
    </row>
    <row r="361">
      <c r="A361" s="7">
        <v>42425.25164351852</v>
      </c>
      <c r="B361" s="8" t="str">
        <f t="shared" si="35"/>
        <v>@artwisanggeni</v>
      </c>
      <c r="C361" s="10" t="s">
        <v>74</v>
      </c>
      <c r="D361" s="10" t="s">
        <v>960</v>
      </c>
      <c r="E361" s="11" t="str">
        <f>HYPERLINK("https://twitter.com/artwisanggeni/status/702856163918938115","702856163918938115")</f>
        <v>702856163918938115</v>
      </c>
      <c r="F361" s="17" t="s">
        <v>76</v>
      </c>
      <c r="G361" s="13">
        <v>236.0</v>
      </c>
      <c r="H361" s="13">
        <v>61.0</v>
      </c>
      <c r="I361" s="13">
        <v>0.0</v>
      </c>
      <c r="J361" s="13">
        <v>0.0</v>
      </c>
      <c r="K361" s="12" t="s">
        <v>21</v>
      </c>
      <c r="L361" s="7">
        <v>41218.90608796296</v>
      </c>
      <c r="M361" s="14" t="s">
        <v>77</v>
      </c>
      <c r="N361" s="14" t="s">
        <v>78</v>
      </c>
      <c r="O361" s="11" t="str">
        <f t="shared" si="36"/>
        <v>View</v>
      </c>
      <c r="P361" s="15"/>
    </row>
    <row r="362">
      <c r="A362" s="7">
        <v>42425.25175925926</v>
      </c>
      <c r="B362" s="8" t="str">
        <f>HYPERLINK("https://twitter.com/WeAreAvion","@WeAreAvion")</f>
        <v>@WeAreAvion</v>
      </c>
      <c r="C362" s="10" t="s">
        <v>961</v>
      </c>
      <c r="D362" s="10" t="s">
        <v>962</v>
      </c>
      <c r="E362" s="11" t="str">
        <f>HYPERLINK("https://twitter.com/WeAreAvion/status/702856207485292545","702856207485292545")</f>
        <v>702856207485292545</v>
      </c>
      <c r="F362" s="12" t="s">
        <v>659</v>
      </c>
      <c r="G362" s="13">
        <v>10.0</v>
      </c>
      <c r="H362" s="13">
        <v>73.0</v>
      </c>
      <c r="I362" s="13">
        <v>0.0</v>
      </c>
      <c r="J362" s="13">
        <v>2.0</v>
      </c>
      <c r="K362" s="12" t="s">
        <v>21</v>
      </c>
      <c r="L362" s="7">
        <v>42418.089224537034</v>
      </c>
      <c r="M362" s="16"/>
      <c r="N362" s="16"/>
      <c r="O362" s="11" t="str">
        <f>HYPERLINK("https://pbs.twimg.com/profile_images/700261485415632896/lEeTauGl_normal.png","View")</f>
        <v>View</v>
      </c>
      <c r="P362" s="15"/>
    </row>
    <row r="363">
      <c r="A363" s="7">
        <v>42425.252337962964</v>
      </c>
      <c r="B363" s="8" t="str">
        <f>HYPERLINK("https://twitter.com/ephes","@ephes")</f>
        <v>@ephes</v>
      </c>
      <c r="C363" s="10" t="s">
        <v>963</v>
      </c>
      <c r="D363" s="10" t="s">
        <v>937</v>
      </c>
      <c r="E363" s="11" t="str">
        <f>HYPERLINK("https://twitter.com/ephes/status/702856415099101184","702856415099101184")</f>
        <v>702856415099101184</v>
      </c>
      <c r="F363" s="12" t="s">
        <v>52</v>
      </c>
      <c r="G363" s="13">
        <v>190.0</v>
      </c>
      <c r="H363" s="13">
        <v>190.0</v>
      </c>
      <c r="I363" s="13">
        <v>4.0</v>
      </c>
      <c r="J363" s="13">
        <v>0.0</v>
      </c>
      <c r="K363" s="12" t="s">
        <v>21</v>
      </c>
      <c r="L363" s="7">
        <v>39867.06841435185</v>
      </c>
      <c r="M363" s="14" t="s">
        <v>964</v>
      </c>
      <c r="N363" s="14" t="s">
        <v>965</v>
      </c>
      <c r="O363" s="11" t="str">
        <f>HYPERLINK("https://pbs.twimg.com/profile_images/86639212/n530289512_145058_5780_normal.jpg","View")</f>
        <v>View</v>
      </c>
      <c r="P363" s="15"/>
    </row>
    <row r="364">
      <c r="A364" s="7">
        <v>42425.25266203703</v>
      </c>
      <c r="B364" s="8" t="str">
        <f>HYPERLINK("https://twitter.com/cool_python","@cool_python")</f>
        <v>@cool_python</v>
      </c>
      <c r="C364" s="10" t="s">
        <v>249</v>
      </c>
      <c r="D364" s="10" t="s">
        <v>966</v>
      </c>
      <c r="E364" s="11" t="str">
        <f>HYPERLINK("https://twitter.com/cool_python/status/702856532766138368","702856532766138368")</f>
        <v>702856532766138368</v>
      </c>
      <c r="F364" s="12" t="s">
        <v>251</v>
      </c>
      <c r="G364" s="13">
        <v>235.0</v>
      </c>
      <c r="H364" s="13">
        <v>91.0</v>
      </c>
      <c r="I364" s="13">
        <v>11.0</v>
      </c>
      <c r="J364" s="13">
        <v>0.0</v>
      </c>
      <c r="K364" s="12" t="s">
        <v>21</v>
      </c>
      <c r="L364" s="7">
        <v>42064.325</v>
      </c>
      <c r="M364" s="14" t="s">
        <v>252</v>
      </c>
      <c r="N364" s="14" t="s">
        <v>253</v>
      </c>
      <c r="O364" s="11" t="str">
        <f>HYPERLINK("https://pbs.twimg.com/profile_images/572091631055028224/Pkx__FSB_normal.png","View")</f>
        <v>View</v>
      </c>
      <c r="P364" s="15"/>
    </row>
    <row r="365">
      <c r="A365" s="7">
        <v>42425.25319444445</v>
      </c>
      <c r="B365" s="8" t="str">
        <f>HYPERLINK("https://twitter.com/Monkylabs","@Monkylabs")</f>
        <v>@Monkylabs</v>
      </c>
      <c r="C365" s="10" t="s">
        <v>967</v>
      </c>
      <c r="D365" s="10" t="s">
        <v>968</v>
      </c>
      <c r="E365" s="11" t="str">
        <f>HYPERLINK("https://twitter.com/Monkylabs/status/702856727012765700","702856727012765700")</f>
        <v>702856727012765700</v>
      </c>
      <c r="F365" s="12" t="s">
        <v>236</v>
      </c>
      <c r="G365" s="13">
        <v>94.0</v>
      </c>
      <c r="H365" s="13">
        <v>122.0</v>
      </c>
      <c r="I365" s="13">
        <v>0.0</v>
      </c>
      <c r="J365" s="13">
        <v>0.0</v>
      </c>
      <c r="K365" s="12" t="s">
        <v>21</v>
      </c>
      <c r="L365" s="7">
        <v>41752.42246527778</v>
      </c>
      <c r="M365" s="14" t="s">
        <v>969</v>
      </c>
      <c r="N365" s="14" t="s">
        <v>970</v>
      </c>
      <c r="O365" s="11" t="str">
        <f>HYPERLINK("https://pbs.twimg.com/profile_images/567429931634667520/WUvoVNNI_normal.png","View")</f>
        <v>View</v>
      </c>
      <c r="P365" s="15"/>
    </row>
    <row r="366">
      <c r="A366" s="7">
        <v>42425.254479166666</v>
      </c>
      <c r="B366" s="8" t="str">
        <f>HYPERLINK("https://twitter.com/pkimber","@pkimber")</f>
        <v>@pkimber</v>
      </c>
      <c r="C366" s="10" t="s">
        <v>971</v>
      </c>
      <c r="D366" s="10" t="s">
        <v>966</v>
      </c>
      <c r="E366" s="11" t="str">
        <f>HYPERLINK("https://twitter.com/pkimber/status/702857192177803264","702857192177803264")</f>
        <v>702857192177803264</v>
      </c>
      <c r="F366" s="12" t="s">
        <v>152</v>
      </c>
      <c r="G366" s="13">
        <v>768.0</v>
      </c>
      <c r="H366" s="13">
        <v>2239.0</v>
      </c>
      <c r="I366" s="13">
        <v>11.0</v>
      </c>
      <c r="J366" s="13">
        <v>0.0</v>
      </c>
      <c r="K366" s="12" t="s">
        <v>21</v>
      </c>
      <c r="L366" s="7">
        <v>39187.39612268518</v>
      </c>
      <c r="M366" s="14" t="s">
        <v>972</v>
      </c>
      <c r="N366" s="14" t="s">
        <v>973</v>
      </c>
      <c r="O366" s="11" t="str">
        <f>HYPERLINK("https://pbs.twimg.com/profile_images/574897631274491904/2wHQnKBd_normal.jpeg","View")</f>
        <v>View</v>
      </c>
      <c r="P366" s="15"/>
    </row>
    <row r="367">
      <c r="A367" s="7">
        <v>42425.254525462966</v>
      </c>
      <c r="B367" s="8" t="str">
        <f>HYPERLINK("https://twitter.com/dswzsd","@dswzsd")</f>
        <v>@dswzsd</v>
      </c>
      <c r="C367" s="10" t="s">
        <v>974</v>
      </c>
      <c r="D367" s="10" t="s">
        <v>966</v>
      </c>
      <c r="E367" s="11" t="str">
        <f>HYPERLINK("https://twitter.com/dswzsd/status/702857209584218113","702857209584218113")</f>
        <v>702857209584218113</v>
      </c>
      <c r="F367" s="12" t="s">
        <v>52</v>
      </c>
      <c r="G367" s="13">
        <v>94.0</v>
      </c>
      <c r="H367" s="13">
        <v>224.0</v>
      </c>
      <c r="I367" s="13">
        <v>11.0</v>
      </c>
      <c r="J367" s="13">
        <v>0.0</v>
      </c>
      <c r="K367" s="12" t="s">
        <v>21</v>
      </c>
      <c r="L367" s="7">
        <v>41562.54652777778</v>
      </c>
      <c r="M367" s="14" t="s">
        <v>975</v>
      </c>
      <c r="N367" s="14" t="s">
        <v>976</v>
      </c>
      <c r="O367" s="11" t="str">
        <f>HYPERLINK("https://pbs.twimg.com/profile_images/695327774530260992/zxoHVn9U_normal.jpg","View")</f>
        <v>View</v>
      </c>
      <c r="P367" s="15"/>
    </row>
    <row r="368">
      <c r="A368" s="7">
        <v>42425.254791666666</v>
      </c>
      <c r="B368" s="8" t="str">
        <f>HYPERLINK("https://twitter.com/BlakeSkuse","@BlakeSkuse")</f>
        <v>@BlakeSkuse</v>
      </c>
      <c r="C368" s="10" t="s">
        <v>977</v>
      </c>
      <c r="D368" s="10" t="s">
        <v>978</v>
      </c>
      <c r="E368" s="11" t="str">
        <f>HYPERLINK("https://twitter.com/BlakeSkuse/status/702857303041536000","702857303041536000")</f>
        <v>702857303041536000</v>
      </c>
      <c r="F368" s="12" t="s">
        <v>52</v>
      </c>
      <c r="G368" s="13">
        <v>49.0</v>
      </c>
      <c r="H368" s="13">
        <v>433.0</v>
      </c>
      <c r="I368" s="13">
        <v>7.0</v>
      </c>
      <c r="J368" s="13">
        <v>18.0</v>
      </c>
      <c r="K368" s="12" t="s">
        <v>21</v>
      </c>
      <c r="L368" s="7">
        <v>40724.29047453704</v>
      </c>
      <c r="M368" s="14" t="s">
        <v>979</v>
      </c>
      <c r="N368" s="14" t="s">
        <v>980</v>
      </c>
      <c r="O368" s="11" t="str">
        <f>HYPERLINK("https://pbs.twimg.com/profile_images/459351433578418176/7gY1j3d5_normal.jpeg","View")</f>
        <v>View</v>
      </c>
      <c r="P368" s="15"/>
    </row>
    <row r="369">
      <c r="A369" s="7">
        <v>42425.25481481482</v>
      </c>
      <c r="B369" s="8" t="str">
        <f>HYPERLINK("https://twitter.com/py3k","@py3k")</f>
        <v>@py3k</v>
      </c>
      <c r="C369" s="10" t="s">
        <v>297</v>
      </c>
      <c r="D369" s="10" t="s">
        <v>981</v>
      </c>
      <c r="E369" s="11" t="str">
        <f>HYPERLINK("https://twitter.com/py3k/status/702857311396691968","702857311396691968")</f>
        <v>702857311396691968</v>
      </c>
      <c r="F369" s="12" t="s">
        <v>299</v>
      </c>
      <c r="G369" s="13">
        <v>1623.0</v>
      </c>
      <c r="H369" s="13">
        <v>676.0</v>
      </c>
      <c r="I369" s="13">
        <v>1.0</v>
      </c>
      <c r="J369" s="13">
        <v>0.0</v>
      </c>
      <c r="K369" s="12" t="s">
        <v>21</v>
      </c>
      <c r="L369" s="7">
        <v>41096.62268518518</v>
      </c>
      <c r="M369" s="16"/>
      <c r="N369" s="14" t="s">
        <v>300</v>
      </c>
      <c r="O369" s="11" t="str">
        <f>HYPERLINK("https://pbs.twimg.com/profile_images/2474433856/p075cerxh0arpea6ceip_normal.png","View")</f>
        <v>View</v>
      </c>
      <c r="P369" s="15"/>
    </row>
    <row r="370">
      <c r="A370" s="7">
        <v>42425.25493055556</v>
      </c>
      <c r="B370" s="8" t="str">
        <f>HYPERLINK("https://twitter.com/dean_anonym","@dean_anonym")</f>
        <v>@dean_anonym</v>
      </c>
      <c r="C370" s="10" t="s">
        <v>982</v>
      </c>
      <c r="D370" s="10" t="s">
        <v>983</v>
      </c>
      <c r="E370" s="11" t="str">
        <f>HYPERLINK("https://twitter.com/dean_anonym/status/702857355386552320","702857355386552320")</f>
        <v>702857355386552320</v>
      </c>
      <c r="F370" s="12" t="s">
        <v>152</v>
      </c>
      <c r="G370" s="13">
        <v>1240.0</v>
      </c>
      <c r="H370" s="13">
        <v>1788.0</v>
      </c>
      <c r="I370" s="13">
        <v>1.0</v>
      </c>
      <c r="J370" s="13">
        <v>0.0</v>
      </c>
      <c r="K370" s="12" t="s">
        <v>21</v>
      </c>
      <c r="L370" s="7">
        <v>42344.478483796294</v>
      </c>
      <c r="M370" s="14" t="s">
        <v>984</v>
      </c>
      <c r="N370" s="14" t="s">
        <v>985</v>
      </c>
      <c r="O370" s="11" t="str">
        <f>HYPERLINK("https://pbs.twimg.com/profile_images/702950881352916992/LblSSTGt_normal.jpg","View")</f>
        <v>View</v>
      </c>
      <c r="P370" s="15"/>
    </row>
    <row r="371">
      <c r="A371" s="7">
        <v>42425.25550925926</v>
      </c>
      <c r="B371" s="8" t="str">
        <f>HYPERLINK("https://twitter.com/pythonz_net","@pythonz_net")</f>
        <v>@pythonz_net</v>
      </c>
      <c r="C371" s="10" t="s">
        <v>903</v>
      </c>
      <c r="D371" s="10" t="s">
        <v>986</v>
      </c>
      <c r="E371" s="11" t="str">
        <f>HYPERLINK("https://twitter.com/pythonz_net/status/702857562962657280","702857562962657280")</f>
        <v>702857562962657280</v>
      </c>
      <c r="F371" s="12" t="s">
        <v>903</v>
      </c>
      <c r="G371" s="13">
        <v>36.0</v>
      </c>
      <c r="H371" s="13">
        <v>2.0</v>
      </c>
      <c r="I371" s="13">
        <v>0.0</v>
      </c>
      <c r="J371" s="13">
        <v>0.0</v>
      </c>
      <c r="K371" s="12" t="s">
        <v>21</v>
      </c>
      <c r="L371" s="7">
        <v>41585.24549768519</v>
      </c>
      <c r="M371" s="14" t="s">
        <v>905</v>
      </c>
      <c r="N371" s="14" t="s">
        <v>906</v>
      </c>
      <c r="O371" s="11" t="str">
        <f>HYPERLINK("https://pbs.twimg.com/profile_images/482561147074129920/Opt5Ssac_normal.png","View")</f>
        <v>View</v>
      </c>
      <c r="P371" s="15"/>
    </row>
    <row r="372">
      <c r="A372" s="7">
        <v>42425.25561342592</v>
      </c>
      <c r="B372" s="8" t="str">
        <f>HYPERLINK("https://twitter.com/DataRobot","@DataRobot")</f>
        <v>@DataRobot</v>
      </c>
      <c r="C372" s="10" t="s">
        <v>987</v>
      </c>
      <c r="D372" s="10" t="s">
        <v>988</v>
      </c>
      <c r="E372" s="11" t="str">
        <f>HYPERLINK("https://twitter.com/DataRobot/status/702857602955350016","702857602955350016")</f>
        <v>702857602955350016</v>
      </c>
      <c r="F372" s="12" t="s">
        <v>294</v>
      </c>
      <c r="G372" s="13">
        <v>4335.0</v>
      </c>
      <c r="H372" s="13">
        <v>894.0</v>
      </c>
      <c r="I372" s="13">
        <v>0.0</v>
      </c>
      <c r="J372" s="13">
        <v>7.0</v>
      </c>
      <c r="K372" s="12" t="s">
        <v>21</v>
      </c>
      <c r="L372" s="7">
        <v>41089.823900462965</v>
      </c>
      <c r="M372" s="14" t="s">
        <v>332</v>
      </c>
      <c r="N372" s="14" t="s">
        <v>989</v>
      </c>
      <c r="O372" s="11" t="str">
        <f>HYPERLINK("https://pbs.twimg.com/profile_images/703235203922272256/eZEm66_z_normal.jpg","View")</f>
        <v>View</v>
      </c>
      <c r="P372" s="15"/>
    </row>
    <row r="373">
      <c r="A373" s="7">
        <v>42425.25623842592</v>
      </c>
      <c r="B373" s="8" t="str">
        <f>HYPERLINK("https://twitter.com/EugeneOskin","@EugeneOskin")</f>
        <v>@EugeneOskin</v>
      </c>
      <c r="C373" s="10" t="s">
        <v>990</v>
      </c>
      <c r="D373" s="10" t="s">
        <v>966</v>
      </c>
      <c r="E373" s="11" t="str">
        <f>HYPERLINK("https://twitter.com/EugeneOskin/status/702857827715571712","702857827715571712")</f>
        <v>702857827715571712</v>
      </c>
      <c r="F373" s="12" t="s">
        <v>991</v>
      </c>
      <c r="G373" s="13">
        <v>40.0</v>
      </c>
      <c r="H373" s="13">
        <v>188.0</v>
      </c>
      <c r="I373" s="13">
        <v>11.0</v>
      </c>
      <c r="J373" s="13">
        <v>0.0</v>
      </c>
      <c r="K373" s="12" t="s">
        <v>21</v>
      </c>
      <c r="L373" s="7">
        <v>42099.04984953704</v>
      </c>
      <c r="M373" s="14" t="s">
        <v>992</v>
      </c>
      <c r="N373" s="16"/>
      <c r="O373" s="11" t="str">
        <f>HYPERLINK("https://pbs.twimg.com/profile_images/662644143181705218/PQiJbvr3_normal.jpg","View")</f>
        <v>View</v>
      </c>
      <c r="P373" s="15"/>
    </row>
    <row r="374">
      <c r="A374" s="7">
        <v>42425.25635416667</v>
      </c>
      <c r="B374" s="8" t="str">
        <f>HYPERLINK("https://twitter.com/oburoni2","@oburoni2")</f>
        <v>@oburoni2</v>
      </c>
      <c r="C374" s="10" t="s">
        <v>993</v>
      </c>
      <c r="D374" s="10" t="s">
        <v>994</v>
      </c>
      <c r="E374" s="11" t="str">
        <f>HYPERLINK("https://twitter.com/oburoni2/status/702857871399190529","702857871399190529")</f>
        <v>702857871399190529</v>
      </c>
      <c r="F374" s="12" t="s">
        <v>20</v>
      </c>
      <c r="G374" s="13">
        <v>38.0</v>
      </c>
      <c r="H374" s="13">
        <v>36.0</v>
      </c>
      <c r="I374" s="13">
        <v>1.0</v>
      </c>
      <c r="J374" s="13">
        <v>3.0</v>
      </c>
      <c r="K374" s="12" t="s">
        <v>21</v>
      </c>
      <c r="L374" s="7">
        <v>42139.361030092594</v>
      </c>
      <c r="M374" s="14" t="s">
        <v>995</v>
      </c>
      <c r="N374" s="14" t="s">
        <v>996</v>
      </c>
      <c r="O374" s="11" t="str">
        <f>HYPERLINK("https://pbs.twimg.com/profile_images/599238942244872193/DpTu63Z__normal.jpg","View")</f>
        <v>View</v>
      </c>
      <c r="P374" s="15"/>
    </row>
    <row r="375">
      <c r="A375" s="7">
        <v>42425.25697916667</v>
      </c>
      <c r="B375" s="8" t="str">
        <f>HYPERLINK("https://twitter.com/FERCHAUprojekte","@FERCHAUprojekte")</f>
        <v>@FERCHAUprojekte</v>
      </c>
      <c r="C375" s="10" t="s">
        <v>997</v>
      </c>
      <c r="D375" s="10" t="s">
        <v>998</v>
      </c>
      <c r="E375" s="11" t="str">
        <f>HYPERLINK("https://twitter.com/FERCHAUprojekte/status/702858095295393792","702858095295393792")</f>
        <v>702858095295393792</v>
      </c>
      <c r="F375" s="12" t="s">
        <v>997</v>
      </c>
      <c r="G375" s="13">
        <v>202.0</v>
      </c>
      <c r="H375" s="13">
        <v>107.0</v>
      </c>
      <c r="I375" s="13">
        <v>0.0</v>
      </c>
      <c r="J375" s="13">
        <v>1.0</v>
      </c>
      <c r="K375" s="12" t="s">
        <v>21</v>
      </c>
      <c r="L375" s="7">
        <v>41569.07623842593</v>
      </c>
      <c r="M375" s="14" t="s">
        <v>999</v>
      </c>
      <c r="N375" s="14" t="s">
        <v>1000</v>
      </c>
      <c r="O375" s="11" t="str">
        <f>HYPERLINK("https://pbs.twimg.com/profile_images/478475970823741440/H78hSvfk_normal.jpeg","View")</f>
        <v>View</v>
      </c>
      <c r="P375" s="11" t="str">
        <f>HYPERLINK("http://ctrlq.org/maps/address/#52.4946,13.3427","Map")</f>
        <v>Map</v>
      </c>
    </row>
    <row r="376">
      <c r="A376" s="7">
        <v>42425.25738425926</v>
      </c>
      <c r="B376" s="8" t="str">
        <f>HYPERLINK("https://twitter.com/clairem70s","@clairem70s")</f>
        <v>@clairem70s</v>
      </c>
      <c r="C376" s="10" t="s">
        <v>1001</v>
      </c>
      <c r="D376" s="10" t="s">
        <v>1002</v>
      </c>
      <c r="E376" s="11" t="str">
        <f>HYPERLINK("https://twitter.com/clairem70s/status/702858245698928640","702858245698928640")</f>
        <v>702858245698928640</v>
      </c>
      <c r="F376" s="12" t="s">
        <v>52</v>
      </c>
      <c r="G376" s="13">
        <v>85.0</v>
      </c>
      <c r="H376" s="13">
        <v>93.0</v>
      </c>
      <c r="I376" s="13">
        <v>3.0</v>
      </c>
      <c r="J376" s="13">
        <v>0.0</v>
      </c>
      <c r="K376" s="12" t="s">
        <v>21</v>
      </c>
      <c r="L376" s="7">
        <v>40981.11703703704</v>
      </c>
      <c r="M376" s="14" t="s">
        <v>241</v>
      </c>
      <c r="N376" s="14" t="s">
        <v>1003</v>
      </c>
      <c r="O376" s="11" t="str">
        <f>HYPERLINK("https://pbs.twimg.com/profile_images/670315632475430913/xy5fXkN9_normal.jpg","View")</f>
        <v>View</v>
      </c>
      <c r="P376" s="15"/>
    </row>
    <row r="377">
      <c r="A377" s="7">
        <v>42425.25839120371</v>
      </c>
      <c r="B377" s="8" t="str">
        <f>HYPERLINK("https://twitter.com/SeiichiShiga","@SeiichiShiga")</f>
        <v>@SeiichiShiga</v>
      </c>
      <c r="C377" s="10" t="s">
        <v>833</v>
      </c>
      <c r="D377" s="10" t="s">
        <v>1004</v>
      </c>
      <c r="E377" s="11" t="str">
        <f>HYPERLINK("https://twitter.com/SeiichiShiga/status/702858610066345984","702858610066345984")</f>
        <v>702858610066345984</v>
      </c>
      <c r="F377" s="12" t="s">
        <v>20</v>
      </c>
      <c r="G377" s="13">
        <v>1215.0</v>
      </c>
      <c r="H377" s="13">
        <v>2729.0</v>
      </c>
      <c r="I377" s="13">
        <v>2.0</v>
      </c>
      <c r="J377" s="13">
        <v>1.0</v>
      </c>
      <c r="K377" s="12" t="s">
        <v>21</v>
      </c>
      <c r="L377" s="7">
        <v>42307.67229166666</v>
      </c>
      <c r="M377" s="14" t="s">
        <v>328</v>
      </c>
      <c r="N377" s="14" t="s">
        <v>835</v>
      </c>
      <c r="O377" s="11" t="str">
        <f>HYPERLINK("https://pbs.twimg.com/profile_images/678592301489242113/Sfm3y8Po_normal.jpg","View")</f>
        <v>View</v>
      </c>
      <c r="P377" s="15"/>
    </row>
    <row r="378">
      <c r="A378" s="7">
        <v>42425.25896990741</v>
      </c>
      <c r="B378" s="8" t="str">
        <f>HYPERLINK("https://twitter.com/natbusa","@natbusa")</f>
        <v>@natbusa</v>
      </c>
      <c r="C378" s="10" t="s">
        <v>1005</v>
      </c>
      <c r="D378" s="10" t="s">
        <v>1006</v>
      </c>
      <c r="E378" s="11" t="str">
        <f>HYPERLINK("https://twitter.com/natbusa/status/702858820394024960","702858820394024960")</f>
        <v>702858820394024960</v>
      </c>
      <c r="F378" s="12" t="s">
        <v>152</v>
      </c>
      <c r="G378" s="13">
        <v>511.0</v>
      </c>
      <c r="H378" s="13">
        <v>593.0</v>
      </c>
      <c r="I378" s="13">
        <v>2.0</v>
      </c>
      <c r="J378" s="13">
        <v>0.0</v>
      </c>
      <c r="K378" s="12" t="s">
        <v>21</v>
      </c>
      <c r="L378" s="7">
        <v>39140.2478587963</v>
      </c>
      <c r="M378" s="14" t="s">
        <v>1007</v>
      </c>
      <c r="N378" s="14" t="s">
        <v>1008</v>
      </c>
      <c r="O378" s="11" t="str">
        <f>HYPERLINK("https://pbs.twimg.com/profile_images/702012434358337536/mOmJ3Buc_normal.jpg","View")</f>
        <v>View</v>
      </c>
      <c r="P378" s="15"/>
    </row>
    <row r="379">
      <c r="A379" s="7">
        <v>42425.25923611112</v>
      </c>
      <c r="B379" s="8" t="str">
        <f>HYPERLINK("https://twitter.com/cool_python","@cool_python")</f>
        <v>@cool_python</v>
      </c>
      <c r="C379" s="10" t="s">
        <v>249</v>
      </c>
      <c r="D379" s="10" t="s">
        <v>1009</v>
      </c>
      <c r="E379" s="11" t="str">
        <f>HYPERLINK("https://twitter.com/cool_python/status/702858916439392258","702858916439392258")</f>
        <v>702858916439392258</v>
      </c>
      <c r="F379" s="12" t="s">
        <v>251</v>
      </c>
      <c r="G379" s="13">
        <v>235.0</v>
      </c>
      <c r="H379" s="13">
        <v>91.0</v>
      </c>
      <c r="I379" s="13">
        <v>1.0</v>
      </c>
      <c r="J379" s="13">
        <v>0.0</v>
      </c>
      <c r="K379" s="12" t="s">
        <v>21</v>
      </c>
      <c r="L379" s="7">
        <v>42064.325</v>
      </c>
      <c r="M379" s="14" t="s">
        <v>252</v>
      </c>
      <c r="N379" s="14" t="s">
        <v>253</v>
      </c>
      <c r="O379" s="11" t="str">
        <f>HYPERLINK("https://pbs.twimg.com/profile_images/572091631055028224/Pkx__FSB_normal.png","View")</f>
        <v>View</v>
      </c>
      <c r="P379" s="15"/>
    </row>
    <row r="380">
      <c r="A380" s="7">
        <v>42425.259722222225</v>
      </c>
      <c r="B380" s="8" t="str">
        <f>HYPERLINK("https://twitter.com/onemonthedu","@onemonthedu")</f>
        <v>@onemonthedu</v>
      </c>
      <c r="C380" s="10" t="s">
        <v>1010</v>
      </c>
      <c r="D380" s="10" t="s">
        <v>1011</v>
      </c>
      <c r="E380" s="11" t="str">
        <f>HYPERLINK("https://twitter.com/onemonthedu/status/702859092503744512","702859092503744512")</f>
        <v>702859092503744512</v>
      </c>
      <c r="F380" s="12" t="s">
        <v>1012</v>
      </c>
      <c r="G380" s="13">
        <v>7204.0</v>
      </c>
      <c r="H380" s="13">
        <v>6334.0</v>
      </c>
      <c r="I380" s="13">
        <v>0.0</v>
      </c>
      <c r="J380" s="13">
        <v>0.0</v>
      </c>
      <c r="K380" s="12" t="s">
        <v>21</v>
      </c>
      <c r="L380" s="7">
        <v>41431.07056712963</v>
      </c>
      <c r="M380" s="14" t="s">
        <v>1013</v>
      </c>
      <c r="N380" s="14" t="s">
        <v>1014</v>
      </c>
      <c r="O380" s="11" t="str">
        <f>HYPERLINK("https://pbs.twimg.com/profile_images/482184049679560704/ViVkHqWS_normal.jpeg","View")</f>
        <v>View</v>
      </c>
      <c r="P380" s="15"/>
    </row>
    <row r="381">
      <c r="A381" s="7">
        <v>42425.26105324074</v>
      </c>
      <c r="B381" s="8" t="str">
        <f>HYPERLINK("https://twitter.com/pythonz_net","@pythonz_net")</f>
        <v>@pythonz_net</v>
      </c>
      <c r="C381" s="10" t="s">
        <v>903</v>
      </c>
      <c r="D381" s="10" t="s">
        <v>1015</v>
      </c>
      <c r="E381" s="11" t="str">
        <f>HYPERLINK("https://twitter.com/pythonz_net/status/702859573397471232","702859573397471232")</f>
        <v>702859573397471232</v>
      </c>
      <c r="F381" s="12" t="s">
        <v>903</v>
      </c>
      <c r="G381" s="13">
        <v>36.0</v>
      </c>
      <c r="H381" s="13">
        <v>2.0</v>
      </c>
      <c r="I381" s="13">
        <v>0.0</v>
      </c>
      <c r="J381" s="13">
        <v>0.0</v>
      </c>
      <c r="K381" s="12" t="s">
        <v>21</v>
      </c>
      <c r="L381" s="7">
        <v>41585.24549768519</v>
      </c>
      <c r="M381" s="14" t="s">
        <v>905</v>
      </c>
      <c r="N381" s="14" t="s">
        <v>906</v>
      </c>
      <c r="O381" s="11" t="str">
        <f>HYPERLINK("https://pbs.twimg.com/profile_images/482561147074129920/Opt5Ssac_normal.png","View")</f>
        <v>View</v>
      </c>
      <c r="P381" s="15"/>
    </row>
    <row r="382">
      <c r="A382" s="7">
        <v>42425.2612037037</v>
      </c>
      <c r="B382" s="8" t="str">
        <f>HYPERLINK("https://twitter.com/NYC_TechEvents","@NYC_TechEvents")</f>
        <v>@NYC_TechEvents</v>
      </c>
      <c r="C382" s="10" t="s">
        <v>1016</v>
      </c>
      <c r="D382" s="10" t="s">
        <v>1017</v>
      </c>
      <c r="E382" s="11" t="str">
        <f>HYPERLINK("https://twitter.com/NYC_TechEvents/status/702859629114564608","702859629114564608")</f>
        <v>702859629114564608</v>
      </c>
      <c r="F382" s="12" t="s">
        <v>294</v>
      </c>
      <c r="G382" s="13">
        <v>14.0</v>
      </c>
      <c r="H382" s="13">
        <v>0.0</v>
      </c>
      <c r="I382" s="13">
        <v>0.0</v>
      </c>
      <c r="J382" s="13">
        <v>0.0</v>
      </c>
      <c r="K382" s="12" t="s">
        <v>21</v>
      </c>
      <c r="L382" s="7">
        <v>42407.571875</v>
      </c>
      <c r="M382" s="14" t="s">
        <v>1018</v>
      </c>
      <c r="N382" s="14" t="s">
        <v>1019</v>
      </c>
      <c r="O382" s="11" t="str">
        <f>HYPERLINK("https://pbs.twimg.com/profile_images/698639359512195072/nmORkXm9_normal.png","View")</f>
        <v>View</v>
      </c>
      <c r="P382" s="15"/>
    </row>
    <row r="383">
      <c r="A383" s="7">
        <v>42425.26262731482</v>
      </c>
      <c r="B383" s="8" t="str">
        <f>HYPERLINK("https://twitter.com/oburoni2","@oburoni2")</f>
        <v>@oburoni2</v>
      </c>
      <c r="C383" s="10" t="s">
        <v>993</v>
      </c>
      <c r="D383" s="10" t="s">
        <v>1020</v>
      </c>
      <c r="E383" s="11" t="str">
        <f>HYPERLINK("https://twitter.com/oburoni2/status/702860144233877505","702860144233877505")</f>
        <v>702860144233877505</v>
      </c>
      <c r="F383" s="12" t="s">
        <v>20</v>
      </c>
      <c r="G383" s="13">
        <v>38.0</v>
      </c>
      <c r="H383" s="13">
        <v>36.0</v>
      </c>
      <c r="I383" s="13">
        <v>0.0</v>
      </c>
      <c r="J383" s="13">
        <v>0.0</v>
      </c>
      <c r="K383" s="12" t="s">
        <v>21</v>
      </c>
      <c r="L383" s="7">
        <v>42139.361030092594</v>
      </c>
      <c r="M383" s="14" t="s">
        <v>995</v>
      </c>
      <c r="N383" s="14" t="s">
        <v>996</v>
      </c>
      <c r="O383" s="11" t="str">
        <f>HYPERLINK("https://pbs.twimg.com/profile_images/599238942244872193/DpTu63Z__normal.jpg","View")</f>
        <v>View</v>
      </c>
      <c r="P383" s="15"/>
    </row>
    <row r="384">
      <c r="A384" s="7">
        <v>42425.26305555555</v>
      </c>
      <c r="B384" s="8" t="str">
        <f>HYPERLINK("https://twitter.com/RealPython","@RealPython")</f>
        <v>@RealPython</v>
      </c>
      <c r="C384" s="9" t="s">
        <v>1021</v>
      </c>
      <c r="D384" s="10" t="s">
        <v>966</v>
      </c>
      <c r="E384" s="11" t="str">
        <f>HYPERLINK("https://twitter.com/RealPython/status/702860300433772545","702860300433772545")</f>
        <v>702860300433772545</v>
      </c>
      <c r="F384" s="12" t="s">
        <v>20</v>
      </c>
      <c r="G384" s="13">
        <v>5088.0</v>
      </c>
      <c r="H384" s="13">
        <v>39.0</v>
      </c>
      <c r="I384" s="13">
        <v>11.0</v>
      </c>
      <c r="J384" s="13">
        <v>0.0</v>
      </c>
      <c r="K384" s="12" t="s">
        <v>21</v>
      </c>
      <c r="L384" s="7">
        <v>41129.57270833333</v>
      </c>
      <c r="M384" s="16"/>
      <c r="N384" s="14" t="s">
        <v>1022</v>
      </c>
      <c r="O384" s="11" t="str">
        <f>HYPERLINK("https://pbs.twimg.com/profile_images/3312468366/129323224633d71286101d517a2f9817_normal.png","View")</f>
        <v>View</v>
      </c>
      <c r="P384" s="15"/>
    </row>
    <row r="385">
      <c r="A385" s="7">
        <v>42425.26329861111</v>
      </c>
      <c r="B385" s="8" t="str">
        <f>HYPERLINK("https://twitter.com/lazy_scientist","@lazy_scientist")</f>
        <v>@lazy_scientist</v>
      </c>
      <c r="C385" s="9" t="s">
        <v>1023</v>
      </c>
      <c r="D385" s="10" t="s">
        <v>1024</v>
      </c>
      <c r="E385" s="11" t="str">
        <f>HYPERLINK("https://twitter.com/lazy_scientist/status/702860388258467840","702860388258467840")</f>
        <v>702860388258467840</v>
      </c>
      <c r="F385" s="12" t="s">
        <v>1025</v>
      </c>
      <c r="G385" s="13">
        <v>995.0</v>
      </c>
      <c r="H385" s="13">
        <v>853.0</v>
      </c>
      <c r="I385" s="13">
        <v>0.0</v>
      </c>
      <c r="J385" s="13">
        <v>1.0</v>
      </c>
      <c r="K385" s="12" t="s">
        <v>21</v>
      </c>
      <c r="L385" s="7">
        <v>40848.686006944445</v>
      </c>
      <c r="M385" s="14" t="s">
        <v>1018</v>
      </c>
      <c r="N385" s="14" t="s">
        <v>1026</v>
      </c>
      <c r="O385" s="11" t="str">
        <f>HYPERLINK("https://pbs.twimg.com/profile_images/662555155863371776/zPAD4WBr_normal.jpg","View")</f>
        <v>View</v>
      </c>
      <c r="P385" s="15"/>
    </row>
    <row r="386">
      <c r="A386" s="7">
        <v>42425.263611111106</v>
      </c>
      <c r="B386" s="8" t="str">
        <f>HYPERLINK("https://twitter.com/MundoSQL","@MundoSQL")</f>
        <v>@MundoSQL</v>
      </c>
      <c r="C386" s="10" t="s">
        <v>388</v>
      </c>
      <c r="D386" s="10" t="s">
        <v>1027</v>
      </c>
      <c r="E386" s="11" t="str">
        <f>HYPERLINK("https://twitter.com/MundoSQL/status/702860501731004416","702860501731004416")</f>
        <v>702860501731004416</v>
      </c>
      <c r="F386" s="17" t="s">
        <v>349</v>
      </c>
      <c r="G386" s="13">
        <v>131.0</v>
      </c>
      <c r="H386" s="13">
        <v>12.0</v>
      </c>
      <c r="I386" s="13">
        <v>0.0</v>
      </c>
      <c r="J386" s="13">
        <v>0.0</v>
      </c>
      <c r="K386" s="12" t="s">
        <v>21</v>
      </c>
      <c r="L386" s="7">
        <v>42142.89109953704</v>
      </c>
      <c r="M386" s="16"/>
      <c r="N386" s="16"/>
      <c r="O386" s="11" t="str">
        <f>HYPERLINK("https://pbs.twimg.com/profile_images/633894151541686272/biuRvPew_normal.jpg","View")</f>
        <v>View</v>
      </c>
      <c r="P386" s="15"/>
    </row>
    <row r="387">
      <c r="A387" s="7">
        <v>42425.2638425926</v>
      </c>
      <c r="B387" s="8" t="str">
        <f>HYPERLINK("https://twitter.com/pythonz_net","@pythonz_net")</f>
        <v>@pythonz_net</v>
      </c>
      <c r="C387" s="10" t="s">
        <v>903</v>
      </c>
      <c r="D387" s="10" t="s">
        <v>1028</v>
      </c>
      <c r="E387" s="11" t="str">
        <f>HYPERLINK("https://twitter.com/pythonz_net/status/702860583301947392","702860583301947392")</f>
        <v>702860583301947392</v>
      </c>
      <c r="F387" s="12" t="s">
        <v>903</v>
      </c>
      <c r="G387" s="13">
        <v>36.0</v>
      </c>
      <c r="H387" s="13">
        <v>2.0</v>
      </c>
      <c r="I387" s="13">
        <v>0.0</v>
      </c>
      <c r="J387" s="13">
        <v>0.0</v>
      </c>
      <c r="K387" s="12" t="s">
        <v>21</v>
      </c>
      <c r="L387" s="7">
        <v>41585.24549768519</v>
      </c>
      <c r="M387" s="14" t="s">
        <v>905</v>
      </c>
      <c r="N387" s="14" t="s">
        <v>906</v>
      </c>
      <c r="O387" s="11" t="str">
        <f>HYPERLINK("https://pbs.twimg.com/profile_images/482561147074129920/Opt5Ssac_normal.png","View")</f>
        <v>View</v>
      </c>
      <c r="P387" s="15"/>
    </row>
    <row r="388">
      <c r="A388" s="7">
        <v>42425.2640625</v>
      </c>
      <c r="B388" s="8" t="str">
        <f>HYPERLINK("https://twitter.com/Kill_Biller","@Kill_Biller")</f>
        <v>@Kill_Biller</v>
      </c>
      <c r="C388" s="10" t="s">
        <v>1029</v>
      </c>
      <c r="D388" s="10" t="s">
        <v>1030</v>
      </c>
      <c r="E388" s="11" t="str">
        <f>HYPERLINK("https://twitter.com/Kill_Biller/status/702860663039913984","702860663039913984")</f>
        <v>702860663039913984</v>
      </c>
      <c r="F388" s="12" t="s">
        <v>52</v>
      </c>
      <c r="G388" s="13">
        <v>1060.0</v>
      </c>
      <c r="H388" s="13">
        <v>1333.0</v>
      </c>
      <c r="I388" s="13">
        <v>1.0</v>
      </c>
      <c r="J388" s="13">
        <v>0.0</v>
      </c>
      <c r="K388" s="12" t="s">
        <v>21</v>
      </c>
      <c r="L388" s="7">
        <v>41454.289930555555</v>
      </c>
      <c r="M388" s="14" t="s">
        <v>1031</v>
      </c>
      <c r="N388" s="14" t="s">
        <v>1032</v>
      </c>
      <c r="O388" s="11" t="str">
        <f>HYPERLINK("https://pbs.twimg.com/profile_images/378800000796860039/dc9114a4851e86192223bfbce90af79e_normal.png","View")</f>
        <v>View</v>
      </c>
      <c r="P388" s="15"/>
    </row>
    <row r="389">
      <c r="A389" s="7">
        <v>42425.26447916667</v>
      </c>
      <c r="B389" s="8" t="str">
        <f>HYPERLINK("https://twitter.com/EricIdle","@EricIdle")</f>
        <v>@EricIdle</v>
      </c>
      <c r="C389" s="10" t="s">
        <v>1033</v>
      </c>
      <c r="D389" s="10" t="s">
        <v>1034</v>
      </c>
      <c r="E389" s="11" t="str">
        <f>HYPERLINK("https://twitter.com/EricIdle/status/702860816152809472","702860816152809472")</f>
        <v>702860816152809472</v>
      </c>
      <c r="F389" s="12" t="s">
        <v>152</v>
      </c>
      <c r="G389" s="13">
        <v>320511.0</v>
      </c>
      <c r="H389" s="13">
        <v>194.0</v>
      </c>
      <c r="I389" s="13">
        <v>7.0</v>
      </c>
      <c r="J389" s="13">
        <v>0.0</v>
      </c>
      <c r="K389" s="12" t="s">
        <v>21</v>
      </c>
      <c r="L389" s="7">
        <v>41186.872557870374</v>
      </c>
      <c r="M389" s="14" t="s">
        <v>1035</v>
      </c>
      <c r="N389" s="14" t="s">
        <v>1036</v>
      </c>
      <c r="O389" s="11" t="str">
        <f>HYPERLINK("https://pbs.twimg.com/profile_images/2798844021/584146be4dce53d8d1a21651a7ac814b_normal.png","View")</f>
        <v>View</v>
      </c>
      <c r="P389" s="15"/>
    </row>
    <row r="390">
      <c r="A390" s="7">
        <v>42425.264560185184</v>
      </c>
      <c r="B390" s="8" t="str">
        <f>HYPERLINK("https://twitter.com/btcplanet","@btcplanet")</f>
        <v>@btcplanet</v>
      </c>
      <c r="C390" s="10" t="s">
        <v>1037</v>
      </c>
      <c r="D390" s="10" t="s">
        <v>966</v>
      </c>
      <c r="E390" s="11" t="str">
        <f>HYPERLINK("https://twitter.com/btcplanet/status/702860846158905345","702860846158905345")</f>
        <v>702860846158905345</v>
      </c>
      <c r="F390" s="12" t="s">
        <v>152</v>
      </c>
      <c r="G390" s="13">
        <v>477.0</v>
      </c>
      <c r="H390" s="13">
        <v>2194.0</v>
      </c>
      <c r="I390" s="13">
        <v>11.0</v>
      </c>
      <c r="J390" s="13">
        <v>0.0</v>
      </c>
      <c r="K390" s="12" t="s">
        <v>21</v>
      </c>
      <c r="L390" s="7">
        <v>41606.9137962963</v>
      </c>
      <c r="M390" s="16"/>
      <c r="N390" s="14" t="s">
        <v>1038</v>
      </c>
      <c r="O390" s="11" t="str">
        <f>HYPERLINK("https://abs.twimg.com/sticky/default_profile_images/default_profile_0_normal.png","View")</f>
        <v>View</v>
      </c>
      <c r="P390" s="15"/>
    </row>
    <row r="391">
      <c r="A391" s="7">
        <v>42425.26523148148</v>
      </c>
      <c r="B391" s="8" t="str">
        <f>HYPERLINK("https://twitter.com/pythonz_net","@pythonz_net")</f>
        <v>@pythonz_net</v>
      </c>
      <c r="C391" s="10" t="s">
        <v>903</v>
      </c>
      <c r="D391" s="10" t="s">
        <v>1039</v>
      </c>
      <c r="E391" s="11" t="str">
        <f>HYPERLINK("https://twitter.com/pythonz_net/status/702861086937186304","702861086937186304")</f>
        <v>702861086937186304</v>
      </c>
      <c r="F391" s="12" t="s">
        <v>903</v>
      </c>
      <c r="G391" s="13">
        <v>36.0</v>
      </c>
      <c r="H391" s="13">
        <v>2.0</v>
      </c>
      <c r="I391" s="13">
        <v>0.0</v>
      </c>
      <c r="J391" s="13">
        <v>0.0</v>
      </c>
      <c r="K391" s="12" t="s">
        <v>21</v>
      </c>
      <c r="L391" s="7">
        <v>41585.24549768519</v>
      </c>
      <c r="M391" s="14" t="s">
        <v>905</v>
      </c>
      <c r="N391" s="14" t="s">
        <v>906</v>
      </c>
      <c r="O391" s="11" t="str">
        <f>HYPERLINK("https://pbs.twimg.com/profile_images/482561147074129920/Opt5Ssac_normal.png","View")</f>
        <v>View</v>
      </c>
      <c r="P391" s="15"/>
    </row>
    <row r="392">
      <c r="A392" s="7">
        <v>42425.26572916667</v>
      </c>
      <c r="B392" s="8" t="str">
        <f>HYPERLINK("https://twitter.com/dasaptaerwin","@dasaptaerwin")</f>
        <v>@dasaptaerwin</v>
      </c>
      <c r="C392" s="10" t="s">
        <v>1040</v>
      </c>
      <c r="D392" s="10" t="s">
        <v>1041</v>
      </c>
      <c r="E392" s="11" t="str">
        <f>HYPERLINK("https://twitter.com/dasaptaerwin/status/702861268651212800","702861268651212800")</f>
        <v>702861268651212800</v>
      </c>
      <c r="F392" s="12" t="s">
        <v>20</v>
      </c>
      <c r="G392" s="13">
        <v>502.0</v>
      </c>
      <c r="H392" s="13">
        <v>347.0</v>
      </c>
      <c r="I392" s="13">
        <v>0.0</v>
      </c>
      <c r="J392" s="13">
        <v>1.0</v>
      </c>
      <c r="K392" s="12" t="s">
        <v>21</v>
      </c>
      <c r="L392" s="7">
        <v>40522.75613425926</v>
      </c>
      <c r="M392" s="18" t="s">
        <v>1042</v>
      </c>
      <c r="N392" s="14" t="s">
        <v>1043</v>
      </c>
      <c r="O392" s="11" t="str">
        <f>HYPERLINK("https://pbs.twimg.com/profile_images/695959239957688320/MJ4p8POC_normal.jpg","View")</f>
        <v>View</v>
      </c>
      <c r="P392" s="15"/>
    </row>
    <row r="393">
      <c r="A393" s="7">
        <v>42425.26585648148</v>
      </c>
      <c r="B393" s="8" t="str">
        <f>HYPERLINK("https://twitter.com/billkimler","@billkimler")</f>
        <v>@billkimler</v>
      </c>
      <c r="C393" s="10" t="s">
        <v>1044</v>
      </c>
      <c r="D393" s="10" t="s">
        <v>1045</v>
      </c>
      <c r="E393" s="11" t="str">
        <f>HYPERLINK("https://twitter.com/billkimler/status/702861316130803713","702861316130803713")</f>
        <v>702861316130803713</v>
      </c>
      <c r="F393" s="12" t="s">
        <v>152</v>
      </c>
      <c r="G393" s="13">
        <v>399.0</v>
      </c>
      <c r="H393" s="13">
        <v>718.0</v>
      </c>
      <c r="I393" s="13">
        <v>0.0</v>
      </c>
      <c r="J393" s="13">
        <v>2.0</v>
      </c>
      <c r="K393" s="12" t="s">
        <v>21</v>
      </c>
      <c r="L393" s="7">
        <v>40426.43892361111</v>
      </c>
      <c r="M393" s="14" t="s">
        <v>1046</v>
      </c>
      <c r="N393" s="14" t="s">
        <v>1047</v>
      </c>
      <c r="O393" s="11" t="str">
        <f>HYPERLINK("https://pbs.twimg.com/profile_images/632586152386654208/4fbtLF5T_normal.jpg","View")</f>
        <v>View</v>
      </c>
      <c r="P393" s="15"/>
    </row>
    <row r="394">
      <c r="A394" s="7">
        <v>42425.26597222222</v>
      </c>
      <c r="B394" s="8" t="str">
        <f>HYPERLINK("https://twitter.com/SeiichiShiga","@SeiichiShiga")</f>
        <v>@SeiichiShiga</v>
      </c>
      <c r="C394" s="10" t="s">
        <v>833</v>
      </c>
      <c r="D394" s="10" t="s">
        <v>1048</v>
      </c>
      <c r="E394" s="11" t="str">
        <f>HYPERLINK("https://twitter.com/SeiichiShiga/status/702861355141849090","702861355141849090")</f>
        <v>702861355141849090</v>
      </c>
      <c r="F394" s="12" t="s">
        <v>20</v>
      </c>
      <c r="G394" s="13">
        <v>1215.0</v>
      </c>
      <c r="H394" s="13">
        <v>2729.0</v>
      </c>
      <c r="I394" s="13">
        <v>1.0</v>
      </c>
      <c r="J394" s="13">
        <v>3.0</v>
      </c>
      <c r="K394" s="12" t="s">
        <v>21</v>
      </c>
      <c r="L394" s="7">
        <v>42307.67229166666</v>
      </c>
      <c r="M394" s="14" t="s">
        <v>328</v>
      </c>
      <c r="N394" s="14" t="s">
        <v>835</v>
      </c>
      <c r="O394" s="11" t="str">
        <f>HYPERLINK("https://pbs.twimg.com/profile_images/678592301489242113/Sfm3y8Po_normal.jpg","View")</f>
        <v>View</v>
      </c>
      <c r="P394" s="15"/>
    </row>
    <row r="395">
      <c r="A395" s="7">
        <v>42425.2659837963</v>
      </c>
      <c r="B395" s="8" t="str">
        <f>HYPERLINK("https://twitter.com/sentiwire","@sentiwire")</f>
        <v>@sentiwire</v>
      </c>
      <c r="C395" s="10" t="s">
        <v>381</v>
      </c>
      <c r="D395" s="10" t="s">
        <v>1049</v>
      </c>
      <c r="E395" s="11" t="str">
        <f>HYPERLINK("https://twitter.com/sentiwire/status/702861359084498944","702861359084498944")</f>
        <v>702861359084498944</v>
      </c>
      <c r="F395" s="12" t="s">
        <v>383</v>
      </c>
      <c r="G395" s="13">
        <v>515.0</v>
      </c>
      <c r="H395" s="13">
        <v>1716.0</v>
      </c>
      <c r="I395" s="13">
        <v>1.0</v>
      </c>
      <c r="J395" s="13">
        <v>0.0</v>
      </c>
      <c r="K395" s="12" t="s">
        <v>21</v>
      </c>
      <c r="L395" s="7">
        <v>41422.629641203705</v>
      </c>
      <c r="M395" s="16"/>
      <c r="N395" s="14" t="s">
        <v>384</v>
      </c>
      <c r="O395" s="11" t="str">
        <f>HYPERLINK("https://pbs.twimg.com/profile_images/686965105473396736/B9V5UtGS_normal.jpg","View")</f>
        <v>View</v>
      </c>
      <c r="P395" s="15"/>
    </row>
    <row r="396">
      <c r="A396" s="7">
        <v>42425.266168981485</v>
      </c>
      <c r="B396" s="8" t="str">
        <f>HYPERLINK("https://twitter.com/kadirsahan","@kadirsahan")</f>
        <v>@kadirsahan</v>
      </c>
      <c r="C396" s="10" t="s">
        <v>1050</v>
      </c>
      <c r="D396" s="10" t="s">
        <v>1051</v>
      </c>
      <c r="E396" s="11" t="str">
        <f>HYPERLINK("https://twitter.com/kadirsahan/status/702861427590209536","702861427590209536")</f>
        <v>702861427590209536</v>
      </c>
      <c r="F396" s="12" t="s">
        <v>20</v>
      </c>
      <c r="G396" s="13">
        <v>248.0</v>
      </c>
      <c r="H396" s="13">
        <v>1208.0</v>
      </c>
      <c r="I396" s="13">
        <v>2.0</v>
      </c>
      <c r="J396" s="13">
        <v>0.0</v>
      </c>
      <c r="K396" s="12" t="s">
        <v>21</v>
      </c>
      <c r="L396" s="7">
        <v>40183.53623842593</v>
      </c>
      <c r="M396" s="16"/>
      <c r="N396" s="16"/>
      <c r="O396" s="11" t="str">
        <f>HYPERLINK("https://pbs.twimg.com/profile_images/378800000849773972/233352e3e00da250ad98e879d20c5344_normal.jpeg","View")</f>
        <v>View</v>
      </c>
      <c r="P396" s="15"/>
    </row>
    <row r="397">
      <c r="A397" s="7">
        <v>42425.26623842593</v>
      </c>
      <c r="B397" s="8" t="str">
        <f>HYPERLINK("https://twitter.com/GaelleTjat","@GaelleTjat")</f>
        <v>@GaelleTjat</v>
      </c>
      <c r="C397" s="10" t="s">
        <v>1052</v>
      </c>
      <c r="D397" s="10" t="s">
        <v>1053</v>
      </c>
      <c r="E397" s="11" t="str">
        <f>HYPERLINK("https://twitter.com/GaelleTjat/status/702861453108383744","702861453108383744")</f>
        <v>702861453108383744</v>
      </c>
      <c r="F397" s="12" t="s">
        <v>152</v>
      </c>
      <c r="G397" s="13">
        <v>2279.0</v>
      </c>
      <c r="H397" s="13">
        <v>374.0</v>
      </c>
      <c r="I397" s="13">
        <v>0.0</v>
      </c>
      <c r="J397" s="13">
        <v>3.0</v>
      </c>
      <c r="K397" s="12" t="s">
        <v>21</v>
      </c>
      <c r="L397" s="7">
        <v>40578.11135416667</v>
      </c>
      <c r="M397" s="14" t="s">
        <v>1054</v>
      </c>
      <c r="N397" s="14" t="s">
        <v>1055</v>
      </c>
      <c r="O397" s="11" t="str">
        <f>HYPERLINK("https://pbs.twimg.com/profile_images/676607760411336705/hmSj7P1M_normal.jpg","View")</f>
        <v>View</v>
      </c>
      <c r="P397" s="15"/>
    </row>
    <row r="398">
      <c r="A398" s="7">
        <v>42425.26629629629</v>
      </c>
      <c r="B398" s="8" t="str">
        <f>HYPERLINK("https://twitter.com/DJSteve8","@DJSteve8")</f>
        <v>@DJSteve8</v>
      </c>
      <c r="C398" s="10" t="s">
        <v>1056</v>
      </c>
      <c r="D398" s="10" t="s">
        <v>1034</v>
      </c>
      <c r="E398" s="11" t="str">
        <f>HYPERLINK("https://twitter.com/DJSteve8/status/702861473039654912","702861473039654912")</f>
        <v>702861473039654912</v>
      </c>
      <c r="F398" s="12" t="s">
        <v>20</v>
      </c>
      <c r="G398" s="13">
        <v>1000.0</v>
      </c>
      <c r="H398" s="13">
        <v>1792.0</v>
      </c>
      <c r="I398" s="13">
        <v>7.0</v>
      </c>
      <c r="J398" s="13">
        <v>0.0</v>
      </c>
      <c r="K398" s="12" t="s">
        <v>21</v>
      </c>
      <c r="L398" s="7">
        <v>41464.09961805555</v>
      </c>
      <c r="M398" s="14" t="s">
        <v>1057</v>
      </c>
      <c r="N398" s="14" t="s">
        <v>1058</v>
      </c>
      <c r="O398" s="11" t="str">
        <f>HYPERLINK("https://pbs.twimg.com/profile_images/378800000109829737/f4a019101e568c3ab157d4b8637033ba_normal.jpeg","View")</f>
        <v>View</v>
      </c>
      <c r="P398" s="15"/>
    </row>
    <row r="399">
      <c r="A399" s="7">
        <v>42425.26871527778</v>
      </c>
      <c r="B399" s="8" t="str">
        <f>HYPERLINK("https://twitter.com/py3k","@py3k")</f>
        <v>@py3k</v>
      </c>
      <c r="C399" s="10" t="s">
        <v>297</v>
      </c>
      <c r="D399" s="10" t="s">
        <v>1059</v>
      </c>
      <c r="E399" s="11" t="str">
        <f>HYPERLINK("https://twitter.com/py3k/status/702862348898455552","702862348898455552")</f>
        <v>702862348898455552</v>
      </c>
      <c r="F399" s="12" t="s">
        <v>299</v>
      </c>
      <c r="G399" s="13">
        <v>1623.0</v>
      </c>
      <c r="H399" s="13">
        <v>676.0</v>
      </c>
      <c r="I399" s="13">
        <v>2.0</v>
      </c>
      <c r="J399" s="13">
        <v>0.0</v>
      </c>
      <c r="K399" s="12" t="s">
        <v>21</v>
      </c>
      <c r="L399" s="7">
        <v>41096.62268518518</v>
      </c>
      <c r="M399" s="16"/>
      <c r="N399" s="14" t="s">
        <v>300</v>
      </c>
      <c r="O399" s="11" t="str">
        <f>HYPERLINK("https://pbs.twimg.com/profile_images/2474433856/p075cerxh0arpea6ceip_normal.png","View")</f>
        <v>View</v>
      </c>
      <c r="P399" s="15"/>
    </row>
    <row r="400">
      <c r="A400" s="7">
        <v>42425.26871527778</v>
      </c>
      <c r="B400" s="8" t="str">
        <f>HYPERLINK("https://twitter.com/StackDevJobs","@StackDevJobs")</f>
        <v>@StackDevJobs</v>
      </c>
      <c r="C400" s="10" t="s">
        <v>24</v>
      </c>
      <c r="D400" s="10" t="s">
        <v>1060</v>
      </c>
      <c r="E400" s="11" t="str">
        <f>HYPERLINK("https://twitter.com/StackDevJobs/status/702862350060273668","702862350060273668")</f>
        <v>702862350060273668</v>
      </c>
      <c r="F400" s="12" t="s">
        <v>26</v>
      </c>
      <c r="G400" s="13">
        <v>12541.0</v>
      </c>
      <c r="H400" s="13">
        <v>327.0</v>
      </c>
      <c r="I400" s="13">
        <v>0.0</v>
      </c>
      <c r="J400" s="13">
        <v>0.0</v>
      </c>
      <c r="K400" s="12" t="s">
        <v>21</v>
      </c>
      <c r="L400" s="7">
        <v>40435.245416666665</v>
      </c>
      <c r="M400" s="16"/>
      <c r="N400" s="14" t="s">
        <v>27</v>
      </c>
      <c r="O400" s="11" t="str">
        <f>HYPERLINK("https://pbs.twimg.com/profile_images/643779014268579840/bRJStj7A_normal.png","View")</f>
        <v>View</v>
      </c>
      <c r="P400" s="15"/>
    </row>
    <row r="401">
      <c r="A401" s="7">
        <v>42425.268784722226</v>
      </c>
      <c r="B401" s="8" t="str">
        <f>HYPERLINK("https://twitter.com/programmingncr","@programmingncr")</f>
        <v>@programmingncr</v>
      </c>
      <c r="C401" s="10" t="s">
        <v>262</v>
      </c>
      <c r="D401" s="10" t="s">
        <v>1061</v>
      </c>
      <c r="E401" s="11" t="str">
        <f>HYPERLINK("https://twitter.com/programmingncr/status/702862374244651008","702862374244651008")</f>
        <v>702862374244651008</v>
      </c>
      <c r="F401" s="12" t="s">
        <v>103</v>
      </c>
      <c r="G401" s="13">
        <v>328.0</v>
      </c>
      <c r="H401" s="13">
        <v>99.0</v>
      </c>
      <c r="I401" s="13">
        <v>0.0</v>
      </c>
      <c r="J401" s="13">
        <v>0.0</v>
      </c>
      <c r="K401" s="12" t="s">
        <v>21</v>
      </c>
      <c r="L401" s="7">
        <v>42220.86634259259</v>
      </c>
      <c r="M401" s="14" t="s">
        <v>264</v>
      </c>
      <c r="N401" s="14" t="s">
        <v>265</v>
      </c>
      <c r="O401" s="11" t="str">
        <f>HYPERLINK("https://pbs.twimg.com/profile_images/662602436222193664/qKuvsfnG_normal.jpg","View")</f>
        <v>View</v>
      </c>
      <c r="P401" s="15"/>
    </row>
    <row r="402">
      <c r="A402" s="7">
        <v>42425.269155092596</v>
      </c>
      <c r="B402" s="8" t="str">
        <f>HYPERLINK("https://twitter.com/andreaesseci","@andreaesseci")</f>
        <v>@andreaesseci</v>
      </c>
      <c r="C402" s="10" t="s">
        <v>1062</v>
      </c>
      <c r="D402" s="10" t="s">
        <v>1063</v>
      </c>
      <c r="E402" s="11" t="str">
        <f>HYPERLINK("https://twitter.com/andreaesseci/status/702862510551130112","702862510551130112")</f>
        <v>702862510551130112</v>
      </c>
      <c r="F402" s="12" t="s">
        <v>20</v>
      </c>
      <c r="G402" s="13">
        <v>870.0</v>
      </c>
      <c r="H402" s="13">
        <v>1214.0</v>
      </c>
      <c r="I402" s="13">
        <v>0.0</v>
      </c>
      <c r="J402" s="13">
        <v>2.0</v>
      </c>
      <c r="K402" s="12" t="s">
        <v>21</v>
      </c>
      <c r="L402" s="7">
        <v>40632.18424768519</v>
      </c>
      <c r="M402" s="14" t="s">
        <v>1064</v>
      </c>
      <c r="N402" s="14" t="s">
        <v>1065</v>
      </c>
      <c r="O402" s="11" t="str">
        <f>HYPERLINK("https://pbs.twimg.com/profile_images/2904232198/b17df8862fed50765f64a435b3ed2abe_normal.jpeg","View")</f>
        <v>View</v>
      </c>
      <c r="P402" s="15"/>
    </row>
    <row r="403">
      <c r="A403" s="7">
        <v>42425.26960648148</v>
      </c>
      <c r="B403" s="8" t="str">
        <f>HYPERLINK("https://twitter.com/limiear","@limiear")</f>
        <v>@limiear</v>
      </c>
      <c r="C403" s="10" t="s">
        <v>1066</v>
      </c>
      <c r="D403" s="10" t="s">
        <v>1067</v>
      </c>
      <c r="E403" s="11" t="str">
        <f>HYPERLINK("https://twitter.com/limiear/status/702862672715448320","702862672715448320")</f>
        <v>702862672715448320</v>
      </c>
      <c r="F403" s="12" t="s">
        <v>1068</v>
      </c>
      <c r="G403" s="13">
        <v>25.0</v>
      </c>
      <c r="H403" s="13">
        <v>8.0</v>
      </c>
      <c r="I403" s="13">
        <v>0.0</v>
      </c>
      <c r="J403" s="13">
        <v>0.0</v>
      </c>
      <c r="K403" s="12" t="s">
        <v>21</v>
      </c>
      <c r="L403" s="7">
        <v>40647.71362268519</v>
      </c>
      <c r="M403" s="14" t="s">
        <v>1069</v>
      </c>
      <c r="N403" s="14" t="s">
        <v>1070</v>
      </c>
      <c r="O403" s="11" t="str">
        <f>HYPERLINK("https://pbs.twimg.com/profile_images/529629909597949953/SVewJVqU_normal.png","View")</f>
        <v>View</v>
      </c>
      <c r="P403" s="15"/>
    </row>
    <row r="404">
      <c r="A404" s="7">
        <v>42425.27012731481</v>
      </c>
      <c r="B404" s="8" t="str">
        <f>HYPERLINK("https://twitter.com/cah_anom","@cah_anom")</f>
        <v>@cah_anom</v>
      </c>
      <c r="C404" s="10" t="s">
        <v>1071</v>
      </c>
      <c r="D404" s="10" t="s">
        <v>772</v>
      </c>
      <c r="E404" s="11" t="str">
        <f>HYPERLINK("https://twitter.com/cah_anom/status/702862862620839936","702862862620839936")</f>
        <v>702862862620839936</v>
      </c>
      <c r="F404" s="12" t="s">
        <v>52</v>
      </c>
      <c r="G404" s="13">
        <v>777.0</v>
      </c>
      <c r="H404" s="13">
        <v>716.0</v>
      </c>
      <c r="I404" s="13">
        <v>3.0</v>
      </c>
      <c r="J404" s="13">
        <v>0.0</v>
      </c>
      <c r="K404" s="12" t="s">
        <v>21</v>
      </c>
      <c r="L404" s="7">
        <v>40525.87648148148</v>
      </c>
      <c r="M404" s="14" t="s">
        <v>1072</v>
      </c>
      <c r="N404" s="14" t="s">
        <v>1073</v>
      </c>
      <c r="O404" s="11" t="str">
        <f>HYPERLINK("https://pbs.twimg.com/profile_images/603265046479642624/EswzTJd1_normal.jpg","View")</f>
        <v>View</v>
      </c>
      <c r="P404" s="15"/>
    </row>
    <row r="405">
      <c r="A405" s="7">
        <v>42425.27017361111</v>
      </c>
      <c r="B405" s="8" t="str">
        <f>HYPERLINK("https://twitter.com/PythonBooks","@PythonBooks")</f>
        <v>@PythonBooks</v>
      </c>
      <c r="C405" s="10" t="s">
        <v>267</v>
      </c>
      <c r="D405" s="10" t="s">
        <v>1074</v>
      </c>
      <c r="E405" s="11" t="str">
        <f>HYPERLINK("https://twitter.com/PythonBooks/status/702862879385481216","702862879385481216")</f>
        <v>702862879385481216</v>
      </c>
      <c r="F405" s="17" t="s">
        <v>76</v>
      </c>
      <c r="G405" s="13">
        <v>20.0</v>
      </c>
      <c r="H405" s="13">
        <v>70.0</v>
      </c>
      <c r="I405" s="13">
        <v>0.0</v>
      </c>
      <c r="J405" s="13">
        <v>0.0</v>
      </c>
      <c r="K405" s="12" t="s">
        <v>21</v>
      </c>
      <c r="L405" s="7">
        <v>42424.13631944444</v>
      </c>
      <c r="M405" s="14" t="s">
        <v>269</v>
      </c>
      <c r="N405" s="14" t="s">
        <v>270</v>
      </c>
      <c r="O405" s="11" t="str">
        <f>HYPERLINK("https://pbs.twimg.com/profile_images/702455638157168640/AeDgtn0C_normal.jpg","View")</f>
        <v>View</v>
      </c>
      <c r="P405" s="15"/>
    </row>
    <row r="406">
      <c r="A406" s="7">
        <v>42425.27061342592</v>
      </c>
      <c r="B406" s="8" t="str">
        <f>HYPERLINK("https://twitter.com/cah_anom","@cah_anom")</f>
        <v>@cah_anom</v>
      </c>
      <c r="C406" s="10" t="s">
        <v>1071</v>
      </c>
      <c r="D406" s="10" t="s">
        <v>1075</v>
      </c>
      <c r="E406" s="11" t="str">
        <f>HYPERLINK("https://twitter.com/cah_anom/status/702863037615607808","702863037615607808")</f>
        <v>702863037615607808</v>
      </c>
      <c r="F406" s="12" t="s">
        <v>52</v>
      </c>
      <c r="G406" s="13">
        <v>777.0</v>
      </c>
      <c r="H406" s="13">
        <v>716.0</v>
      </c>
      <c r="I406" s="13">
        <v>2.0</v>
      </c>
      <c r="J406" s="13">
        <v>0.0</v>
      </c>
      <c r="K406" s="12" t="s">
        <v>21</v>
      </c>
      <c r="L406" s="7">
        <v>40525.87648148148</v>
      </c>
      <c r="M406" s="14" t="s">
        <v>1072</v>
      </c>
      <c r="N406" s="14" t="s">
        <v>1073</v>
      </c>
      <c r="O406" s="11" t="str">
        <f>HYPERLINK("https://pbs.twimg.com/profile_images/603265046479642624/EswzTJd1_normal.jpg","View")</f>
        <v>View</v>
      </c>
      <c r="P406" s="15"/>
    </row>
    <row r="407">
      <c r="A407" s="7">
        <v>42425.27133101852</v>
      </c>
      <c r="B407" s="8" t="str">
        <f>HYPERLINK("https://twitter.com/christof77","@christof77")</f>
        <v>@christof77</v>
      </c>
      <c r="C407" s="10" t="s">
        <v>1076</v>
      </c>
      <c r="D407" s="10" t="s">
        <v>1077</v>
      </c>
      <c r="E407" s="11" t="str">
        <f>HYPERLINK("https://twitter.com/christof77/status/702863299831009280","702863299831009280")</f>
        <v>702863299831009280</v>
      </c>
      <c r="F407" s="12" t="s">
        <v>20</v>
      </c>
      <c r="G407" s="13">
        <v>1499.0</v>
      </c>
      <c r="H407" s="13">
        <v>1430.0</v>
      </c>
      <c r="I407" s="13">
        <v>0.0</v>
      </c>
      <c r="J407" s="13">
        <v>5.0</v>
      </c>
      <c r="K407" s="12" t="s">
        <v>21</v>
      </c>
      <c r="L407" s="7">
        <v>40025.24061342592</v>
      </c>
      <c r="M407" s="14" t="s">
        <v>1078</v>
      </c>
      <c r="N407" s="14" t="s">
        <v>1079</v>
      </c>
      <c r="O407" s="11" t="str">
        <f>HYPERLINK("https://pbs.twimg.com/profile_images/529248661356544001/bVjf0pKs_normal.jpeg","View")</f>
        <v>View</v>
      </c>
      <c r="P407" s="15"/>
    </row>
    <row r="408">
      <c r="A408" s="7">
        <v>42425.27138888889</v>
      </c>
      <c r="B408" s="8" t="str">
        <f>HYPERLINK("https://twitter.com/cah_anom","@cah_anom")</f>
        <v>@cah_anom</v>
      </c>
      <c r="C408" s="10" t="s">
        <v>1071</v>
      </c>
      <c r="D408" s="10" t="s">
        <v>1080</v>
      </c>
      <c r="E408" s="11" t="str">
        <f>HYPERLINK("https://twitter.com/cah_anom/status/702863319275687936","702863319275687936")</f>
        <v>702863319275687936</v>
      </c>
      <c r="F408" s="12" t="s">
        <v>52</v>
      </c>
      <c r="G408" s="13">
        <v>777.0</v>
      </c>
      <c r="H408" s="13">
        <v>716.0</v>
      </c>
      <c r="I408" s="13">
        <v>2.0</v>
      </c>
      <c r="J408" s="13">
        <v>0.0</v>
      </c>
      <c r="K408" s="12" t="s">
        <v>21</v>
      </c>
      <c r="L408" s="7">
        <v>40525.87648148148</v>
      </c>
      <c r="M408" s="14" t="s">
        <v>1072</v>
      </c>
      <c r="N408" s="14" t="s">
        <v>1073</v>
      </c>
      <c r="O408" s="11" t="str">
        <f>HYPERLINK("https://pbs.twimg.com/profile_images/603265046479642624/EswzTJd1_normal.jpg","View")</f>
        <v>View</v>
      </c>
      <c r="P408" s="15"/>
    </row>
    <row r="409">
      <c r="A409" s="7">
        <v>42425.271423611106</v>
      </c>
      <c r="B409" s="8" t="str">
        <f>HYPERLINK("https://twitter.com/taipeipy","@taipeipy")</f>
        <v>@taipeipy</v>
      </c>
      <c r="C409" s="9" t="s">
        <v>1081</v>
      </c>
      <c r="D409" s="10" t="s">
        <v>966</v>
      </c>
      <c r="E409" s="11" t="str">
        <f>HYPERLINK("https://twitter.com/taipeipy/status/702863330977820673","702863330977820673")</f>
        <v>702863330977820673</v>
      </c>
      <c r="F409" s="12" t="s">
        <v>1082</v>
      </c>
      <c r="G409" s="13">
        <v>121.0</v>
      </c>
      <c r="H409" s="13">
        <v>327.0</v>
      </c>
      <c r="I409" s="13">
        <v>11.0</v>
      </c>
      <c r="J409" s="13">
        <v>0.0</v>
      </c>
      <c r="K409" s="12" t="s">
        <v>21</v>
      </c>
      <c r="L409" s="7">
        <v>42242.32099537037</v>
      </c>
      <c r="M409" s="14" t="s">
        <v>1083</v>
      </c>
      <c r="N409" s="14" t="s">
        <v>1084</v>
      </c>
      <c r="O409" s="11" t="str">
        <f>HYPERLINK("https://pbs.twimg.com/profile_images/636549660966961152/qIuIhiO-_normal.png","View")</f>
        <v>View</v>
      </c>
      <c r="P409" s="15"/>
    </row>
    <row r="410">
      <c r="A410" s="7">
        <v>42425.27144675926</v>
      </c>
      <c r="B410" s="8" t="str">
        <f>HYPERLINK("https://twitter.com/prehistoricinc","@prehistoricinc")</f>
        <v>@prehistoricinc</v>
      </c>
      <c r="C410" s="10" t="s">
        <v>1085</v>
      </c>
      <c r="D410" s="10" t="s">
        <v>1086</v>
      </c>
      <c r="E410" s="11" t="str">
        <f>HYPERLINK("https://twitter.com/prehistoricinc/status/702863340914253824","702863340914253824")</f>
        <v>702863340914253824</v>
      </c>
      <c r="F410" s="12" t="s">
        <v>450</v>
      </c>
      <c r="G410" s="13">
        <v>5652.0</v>
      </c>
      <c r="H410" s="13">
        <v>28.0</v>
      </c>
      <c r="I410" s="13">
        <v>0.0</v>
      </c>
      <c r="J410" s="13">
        <v>1.0</v>
      </c>
      <c r="K410" s="12" t="s">
        <v>21</v>
      </c>
      <c r="L410" s="7">
        <v>40051.80396990741</v>
      </c>
      <c r="M410" s="14" t="s">
        <v>1087</v>
      </c>
      <c r="N410" s="16"/>
      <c r="O410" s="11" t="str">
        <f>HYPERLINK("https://pbs.twimg.com/profile_images/1112829450/avatarsm_normal.jpg","View")</f>
        <v>View</v>
      </c>
      <c r="P410" s="11" t="str">
        <f>HYPERLINK("http://ctrlq.org/maps/address/#33.6893349,-117.9538956","Map")</f>
        <v>Map</v>
      </c>
    </row>
    <row r="411">
      <c r="A411" s="7">
        <v>42425.271574074075</v>
      </c>
      <c r="B411" s="8" t="str">
        <f>HYPERLINK("https://twitter.com/ConnectionsNY","@ConnectionsNY")</f>
        <v>@ConnectionsNY</v>
      </c>
      <c r="C411" s="10" t="s">
        <v>1088</v>
      </c>
      <c r="D411" s="10" t="s">
        <v>1089</v>
      </c>
      <c r="E411" s="11" t="str">
        <f>HYPERLINK("https://twitter.com/ConnectionsNY/status/702863387273904128","702863387273904128")</f>
        <v>702863387273904128</v>
      </c>
      <c r="F411" s="12" t="s">
        <v>659</v>
      </c>
      <c r="G411" s="13">
        <v>1272.0</v>
      </c>
      <c r="H411" s="13">
        <v>825.0</v>
      </c>
      <c r="I411" s="13">
        <v>0.0</v>
      </c>
      <c r="J411" s="13">
        <v>0.0</v>
      </c>
      <c r="K411" s="12" t="s">
        <v>21</v>
      </c>
      <c r="L411" s="7">
        <v>39916.460486111115</v>
      </c>
      <c r="M411" s="14" t="s">
        <v>1090</v>
      </c>
      <c r="N411" s="14" t="s">
        <v>1091</v>
      </c>
      <c r="O411" s="11" t="str">
        <f>HYPERLINK("https://pbs.twimg.com/profile_images/646430794391650304/jK6EaLeg_normal.jpg","View")</f>
        <v>View</v>
      </c>
      <c r="P411" s="15"/>
    </row>
    <row r="412">
      <c r="A412" s="7">
        <v>42425.27248842592</v>
      </c>
      <c r="B412" s="8" t="str">
        <f>HYPERLINK("https://twitter.com/cool_python","@cool_python")</f>
        <v>@cool_python</v>
      </c>
      <c r="C412" s="10" t="s">
        <v>249</v>
      </c>
      <c r="D412" s="10" t="s">
        <v>1080</v>
      </c>
      <c r="E412" s="11" t="str">
        <f>HYPERLINK("https://twitter.com/cool_python/status/702863719286644739","702863719286644739")</f>
        <v>702863719286644739</v>
      </c>
      <c r="F412" s="12" t="s">
        <v>251</v>
      </c>
      <c r="G412" s="13">
        <v>235.0</v>
      </c>
      <c r="H412" s="13">
        <v>91.0</v>
      </c>
      <c r="I412" s="13">
        <v>2.0</v>
      </c>
      <c r="J412" s="13">
        <v>0.0</v>
      </c>
      <c r="K412" s="12" t="s">
        <v>21</v>
      </c>
      <c r="L412" s="7">
        <v>42064.325</v>
      </c>
      <c r="M412" s="14" t="s">
        <v>252</v>
      </c>
      <c r="N412" s="14" t="s">
        <v>253</v>
      </c>
      <c r="O412" s="11" t="str">
        <f>HYPERLINK("https://pbs.twimg.com/profile_images/572091631055028224/Pkx__FSB_normal.png","View")</f>
        <v>View</v>
      </c>
      <c r="P412" s="15"/>
    </row>
    <row r="413">
      <c r="A413" s="7">
        <v>42425.27349537037</v>
      </c>
      <c r="B413" s="8" t="str">
        <f>HYPERLINK("https://twitter.com/christhebutcher","@christhebutcher")</f>
        <v>@christhebutcher</v>
      </c>
      <c r="C413" s="10" t="s">
        <v>1092</v>
      </c>
      <c r="D413" s="10" t="s">
        <v>1034</v>
      </c>
      <c r="E413" s="11" t="str">
        <f>HYPERLINK("https://twitter.com/christhebutcher/status/702864084006518784","702864084006518784")</f>
        <v>702864084006518784</v>
      </c>
      <c r="F413" s="12" t="s">
        <v>152</v>
      </c>
      <c r="G413" s="13">
        <v>1271.0</v>
      </c>
      <c r="H413" s="13">
        <v>835.0</v>
      </c>
      <c r="I413" s="13">
        <v>7.0</v>
      </c>
      <c r="J413" s="13">
        <v>0.0</v>
      </c>
      <c r="K413" s="12" t="s">
        <v>21</v>
      </c>
      <c r="L413" s="7">
        <v>39724.41594907407</v>
      </c>
      <c r="M413" s="14" t="s">
        <v>1093</v>
      </c>
      <c r="N413" s="14" t="s">
        <v>1094</v>
      </c>
      <c r="O413" s="11" t="str">
        <f>HYPERLINK("https://pbs.twimg.com/profile_images/608811364379852800/BoI2Unz9_normal.jpg","View")</f>
        <v>View</v>
      </c>
      <c r="P413" s="15"/>
    </row>
    <row r="414">
      <c r="A414" s="7">
        <v>42425.27371527778</v>
      </c>
      <c r="B414" s="8" t="str">
        <f t="shared" ref="B414:B415" si="37">HYPERLINK("https://twitter.com/artwisanggeni","@artwisanggeni")</f>
        <v>@artwisanggeni</v>
      </c>
      <c r="C414" s="10" t="s">
        <v>74</v>
      </c>
      <c r="D414" s="10" t="s">
        <v>1095</v>
      </c>
      <c r="E414" s="11" t="str">
        <f>HYPERLINK("https://twitter.com/artwisanggeni/status/702864162330816512","702864162330816512")</f>
        <v>702864162330816512</v>
      </c>
      <c r="F414" s="17" t="s">
        <v>76</v>
      </c>
      <c r="G414" s="13">
        <v>236.0</v>
      </c>
      <c r="H414" s="13">
        <v>61.0</v>
      </c>
      <c r="I414" s="13">
        <v>0.0</v>
      </c>
      <c r="J414" s="13">
        <v>0.0</v>
      </c>
      <c r="K414" s="12" t="s">
        <v>21</v>
      </c>
      <c r="L414" s="7">
        <v>41218.90608796296</v>
      </c>
      <c r="M414" s="14" t="s">
        <v>77</v>
      </c>
      <c r="N414" s="14" t="s">
        <v>78</v>
      </c>
      <c r="O414" s="11" t="str">
        <f t="shared" ref="O414:O415" si="38">HYPERLINK("https://pbs.twimg.com/profile_images/2813636657/599521f69e2bc210a57323b64d8e39e6_normal.jpeg","View")</f>
        <v>View</v>
      </c>
      <c r="P414" s="15"/>
    </row>
    <row r="415">
      <c r="A415" s="7">
        <v>42425.273726851854</v>
      </c>
      <c r="B415" s="8" t="str">
        <f t="shared" si="37"/>
        <v>@artwisanggeni</v>
      </c>
      <c r="C415" s="10" t="s">
        <v>74</v>
      </c>
      <c r="D415" s="10" t="s">
        <v>1096</v>
      </c>
      <c r="E415" s="11" t="str">
        <f>HYPERLINK("https://twitter.com/artwisanggeni/status/702864168060256256","702864168060256256")</f>
        <v>702864168060256256</v>
      </c>
      <c r="F415" s="17" t="s">
        <v>76</v>
      </c>
      <c r="G415" s="13">
        <v>236.0</v>
      </c>
      <c r="H415" s="13">
        <v>61.0</v>
      </c>
      <c r="I415" s="13">
        <v>0.0</v>
      </c>
      <c r="J415" s="13">
        <v>0.0</v>
      </c>
      <c r="K415" s="12" t="s">
        <v>21</v>
      </c>
      <c r="L415" s="7">
        <v>41218.90608796296</v>
      </c>
      <c r="M415" s="14" t="s">
        <v>77</v>
      </c>
      <c r="N415" s="14" t="s">
        <v>78</v>
      </c>
      <c r="O415" s="11" t="str">
        <f t="shared" si="38"/>
        <v>View</v>
      </c>
      <c r="P415" s="15"/>
    </row>
    <row r="416">
      <c r="A416" s="7">
        <v>42425.27381944444</v>
      </c>
      <c r="B416" s="8" t="str">
        <f>HYPERLINK("https://twitter.com/randal_olson","@randal_olson")</f>
        <v>@randal_olson</v>
      </c>
      <c r="C416" s="10" t="s">
        <v>1097</v>
      </c>
      <c r="D416" s="10" t="s">
        <v>1098</v>
      </c>
      <c r="E416" s="11" t="str">
        <f>HYPERLINK("https://twitter.com/randal_olson/status/702864201375686656","702864201375686656")</f>
        <v>702864201375686656</v>
      </c>
      <c r="F416" s="12" t="s">
        <v>20</v>
      </c>
      <c r="G416" s="13">
        <v>83114.0</v>
      </c>
      <c r="H416" s="13">
        <v>91408.0</v>
      </c>
      <c r="I416" s="13">
        <v>14.0</v>
      </c>
      <c r="J416" s="13">
        <v>25.0</v>
      </c>
      <c r="K416" s="12" t="s">
        <v>21</v>
      </c>
      <c r="L416" s="7">
        <v>39985.55090277777</v>
      </c>
      <c r="M416" s="14" t="s">
        <v>1099</v>
      </c>
      <c r="N416" s="14" t="s">
        <v>1100</v>
      </c>
      <c r="O416" s="11" t="str">
        <f>HYPERLINK("https://pbs.twimg.com/profile_images/618964235779862528/nLQhBWfq_normal.jpg","View")</f>
        <v>View</v>
      </c>
      <c r="P416" s="15"/>
    </row>
    <row r="417">
      <c r="A417" s="7">
        <v>42425.27454861111</v>
      </c>
      <c r="B417" s="8" t="str">
        <f>HYPERLINK("https://twitter.com/jjrennie","@jjrennie")</f>
        <v>@jjrennie</v>
      </c>
      <c r="C417" s="10" t="s">
        <v>1101</v>
      </c>
      <c r="D417" s="10" t="s">
        <v>1102</v>
      </c>
      <c r="E417" s="11" t="str">
        <f>HYPERLINK("https://twitter.com/jjrennie/status/702864465054834688","702864465054834688")</f>
        <v>702864465054834688</v>
      </c>
      <c r="F417" s="12" t="s">
        <v>446</v>
      </c>
      <c r="G417" s="13">
        <v>397.0</v>
      </c>
      <c r="H417" s="13">
        <v>454.0</v>
      </c>
      <c r="I417" s="13">
        <v>14.0</v>
      </c>
      <c r="J417" s="13">
        <v>0.0</v>
      </c>
      <c r="K417" s="12" t="s">
        <v>21</v>
      </c>
      <c r="L417" s="7">
        <v>39900.72038194444</v>
      </c>
      <c r="M417" s="14" t="s">
        <v>1103</v>
      </c>
      <c r="N417" s="14" t="s">
        <v>1104</v>
      </c>
      <c r="O417" s="11" t="str">
        <f>HYPERLINK("https://pbs.twimg.com/profile_images/1116449459/Photo_on_2010-09-03_at_10.06__3_normal.jpg","View")</f>
        <v>View</v>
      </c>
      <c r="P417" s="15"/>
    </row>
    <row r="418">
      <c r="A418" s="7">
        <v>42425.274606481486</v>
      </c>
      <c r="B418" s="8" t="str">
        <f>HYPERLINK("https://twitter.com/RealPython","@RealPython")</f>
        <v>@RealPython</v>
      </c>
      <c r="C418" s="9" t="s">
        <v>1021</v>
      </c>
      <c r="D418" s="10" t="s">
        <v>485</v>
      </c>
      <c r="E418" s="11" t="str">
        <f>HYPERLINK("https://twitter.com/RealPython/status/702864483178250240","702864483178250240")</f>
        <v>702864483178250240</v>
      </c>
      <c r="F418" s="12" t="s">
        <v>20</v>
      </c>
      <c r="G418" s="13">
        <v>5088.0</v>
      </c>
      <c r="H418" s="13">
        <v>39.0</v>
      </c>
      <c r="I418" s="13">
        <v>14.0</v>
      </c>
      <c r="J418" s="13">
        <v>0.0</v>
      </c>
      <c r="K418" s="12" t="s">
        <v>21</v>
      </c>
      <c r="L418" s="7">
        <v>41129.57270833333</v>
      </c>
      <c r="M418" s="16"/>
      <c r="N418" s="14" t="s">
        <v>1022</v>
      </c>
      <c r="O418" s="11" t="str">
        <f>HYPERLINK("https://pbs.twimg.com/profile_images/3312468366/129323224633d71286101d517a2f9817_normal.png","View")</f>
        <v>View</v>
      </c>
      <c r="P418" s="15"/>
    </row>
    <row r="419">
      <c r="A419" s="7">
        <v>42425.27476851852</v>
      </c>
      <c r="B419" s="8" t="str">
        <f>HYPERLINK("https://twitter.com/Zeipt","@Zeipt")</f>
        <v>@Zeipt</v>
      </c>
      <c r="C419" s="10" t="s">
        <v>1105</v>
      </c>
      <c r="D419" s="10" t="s">
        <v>1102</v>
      </c>
      <c r="E419" s="11" t="str">
        <f>HYPERLINK("https://twitter.com/Zeipt/status/702864545438679040","702864545438679040")</f>
        <v>702864545438679040</v>
      </c>
      <c r="F419" s="12" t="s">
        <v>20</v>
      </c>
      <c r="G419" s="13">
        <v>722.0</v>
      </c>
      <c r="H419" s="13">
        <v>312.0</v>
      </c>
      <c r="I419" s="13">
        <v>14.0</v>
      </c>
      <c r="J419" s="13">
        <v>0.0</v>
      </c>
      <c r="K419" s="12" t="s">
        <v>21</v>
      </c>
      <c r="L419" s="7">
        <v>40139.1949537037</v>
      </c>
      <c r="M419" s="14" t="s">
        <v>1106</v>
      </c>
      <c r="N419" s="14" t="s">
        <v>1107</v>
      </c>
      <c r="O419" s="11" t="str">
        <f>HYPERLINK("https://pbs.twimg.com/profile_images/625234880553689088/_HzAIrlk_normal.png","View")</f>
        <v>View</v>
      </c>
      <c r="P419" s="15"/>
    </row>
    <row r="420">
      <c r="A420" s="7">
        <v>42425.27480324074</v>
      </c>
      <c r="B420" s="8" t="str">
        <f>HYPERLINK("https://twitter.com/AnnCalisto","@AnnCalisto")</f>
        <v>@AnnCalisto</v>
      </c>
      <c r="C420" s="10" t="s">
        <v>1108</v>
      </c>
      <c r="D420" s="10" t="s">
        <v>1102</v>
      </c>
      <c r="E420" s="11" t="str">
        <f>HYPERLINK("https://twitter.com/AnnCalisto/status/702864557744771072","702864557744771072")</f>
        <v>702864557744771072</v>
      </c>
      <c r="F420" s="12" t="s">
        <v>38</v>
      </c>
      <c r="G420" s="13">
        <v>2379.0</v>
      </c>
      <c r="H420" s="13">
        <v>3242.0</v>
      </c>
      <c r="I420" s="13">
        <v>14.0</v>
      </c>
      <c r="J420" s="13">
        <v>0.0</v>
      </c>
      <c r="K420" s="12" t="s">
        <v>21</v>
      </c>
      <c r="L420" s="7">
        <v>41534.564421296294</v>
      </c>
      <c r="M420" s="14" t="s">
        <v>850</v>
      </c>
      <c r="N420" s="14" t="s">
        <v>1109</v>
      </c>
      <c r="O420" s="11" t="str">
        <f>HYPERLINK("https://pbs.twimg.com/profile_images/496794351549173761/aZKHXszc_normal.jpeg","View")</f>
        <v>View</v>
      </c>
      <c r="P420" s="15"/>
    </row>
    <row r="421">
      <c r="A421" s="7">
        <v>42425.27663194445</v>
      </c>
      <c r="B421" s="8" t="str">
        <f>HYPERLINK("https://twitter.com/justsostephen","@justsostephen")</f>
        <v>@justsostephen</v>
      </c>
      <c r="C421" s="10" t="s">
        <v>1110</v>
      </c>
      <c r="D421" s="10" t="s">
        <v>1111</v>
      </c>
      <c r="E421" s="11" t="str">
        <f>HYPERLINK("https://twitter.com/justsostephen/status/702865218913882112","702865218913882112")</f>
        <v>702865218913882112</v>
      </c>
      <c r="F421" s="12" t="s">
        <v>52</v>
      </c>
      <c r="G421" s="13">
        <v>88.0</v>
      </c>
      <c r="H421" s="13">
        <v>112.0</v>
      </c>
      <c r="I421" s="13">
        <v>1.0</v>
      </c>
      <c r="J421" s="13">
        <v>2.0</v>
      </c>
      <c r="K421" s="12" t="s">
        <v>21</v>
      </c>
      <c r="L421" s="7">
        <v>41500.549942129626</v>
      </c>
      <c r="M421" s="16"/>
      <c r="N421" s="14" t="s">
        <v>1112</v>
      </c>
      <c r="O421" s="11" t="str">
        <f>HYPERLINK("https://pbs.twimg.com/profile_images/698076082545815552/a79mHF3n_normal.jpg","View")</f>
        <v>View</v>
      </c>
      <c r="P421" s="15"/>
    </row>
    <row r="422">
      <c r="A422" s="7">
        <v>42425.27679398148</v>
      </c>
      <c r="B422" s="8" t="str">
        <f>HYPERLINK("https://twitter.com/santiagobasulto","@santiagobasulto")</f>
        <v>@santiagobasulto</v>
      </c>
      <c r="C422" s="10" t="s">
        <v>1113</v>
      </c>
      <c r="D422" s="10" t="s">
        <v>1114</v>
      </c>
      <c r="E422" s="11" t="str">
        <f>HYPERLINK("https://twitter.com/santiagobasulto/status/702865279135707136","702865279135707136")</f>
        <v>702865279135707136</v>
      </c>
      <c r="F422" s="12" t="s">
        <v>20</v>
      </c>
      <c r="G422" s="13">
        <v>344.0</v>
      </c>
      <c r="H422" s="13">
        <v>1114.0</v>
      </c>
      <c r="I422" s="13">
        <v>0.0</v>
      </c>
      <c r="J422" s="13">
        <v>4.0</v>
      </c>
      <c r="K422" s="12" t="s">
        <v>21</v>
      </c>
      <c r="L422" s="7">
        <v>39900.93929398148</v>
      </c>
      <c r="M422" s="14" t="s">
        <v>1115</v>
      </c>
      <c r="N422" s="14" t="s">
        <v>1116</v>
      </c>
      <c r="O422" s="11" t="str">
        <f>HYPERLINK("https://pbs.twimg.com/profile_images/691909778646376449/NC2PlZO__normal.jpg","View")</f>
        <v>View</v>
      </c>
      <c r="P422" s="15"/>
    </row>
    <row r="423">
      <c r="A423" s="7">
        <v>42425.27831018518</v>
      </c>
      <c r="B423" s="8" t="str">
        <f>HYPERLINK("https://twitter.com/wcmckeedotcom","@wcmckeedotcom")</f>
        <v>@wcmckeedotcom</v>
      </c>
      <c r="C423" s="10" t="s">
        <v>476</v>
      </c>
      <c r="D423" s="10" t="s">
        <v>1117</v>
      </c>
      <c r="E423" s="11" t="str">
        <f>HYPERLINK("https://twitter.com/wcmckeedotcom/status/702865828983775234","702865828983775234")</f>
        <v>702865828983775234</v>
      </c>
      <c r="F423" s="12" t="s">
        <v>478</v>
      </c>
      <c r="G423" s="13">
        <v>1011.0</v>
      </c>
      <c r="H423" s="13">
        <v>875.0</v>
      </c>
      <c r="I423" s="13">
        <v>0.0</v>
      </c>
      <c r="J423" s="13">
        <v>0.0</v>
      </c>
      <c r="K423" s="12" t="s">
        <v>21</v>
      </c>
      <c r="L423" s="7">
        <v>41902.048368055555</v>
      </c>
      <c r="M423" s="14" t="s">
        <v>479</v>
      </c>
      <c r="N423" s="14" t="s">
        <v>480</v>
      </c>
      <c r="O423" s="11" t="str">
        <f>HYPERLINK("https://pbs.twimg.com/profile_images/621211385746161664/tGchJstD_normal.jpg","View")</f>
        <v>View</v>
      </c>
      <c r="P423" s="15"/>
    </row>
    <row r="424">
      <c r="A424" s="7">
        <v>42425.278449074074</v>
      </c>
      <c r="B424" s="8" t="str">
        <f>HYPERLINK("https://twitter.com/cocoacoda","@cocoacoda")</f>
        <v>@cocoacoda</v>
      </c>
      <c r="C424" s="10" t="s">
        <v>486</v>
      </c>
      <c r="D424" s="10" t="s">
        <v>1118</v>
      </c>
      <c r="E424" s="11" t="str">
        <f>HYPERLINK("https://twitter.com/cocoacoda/status/702865878350749697","702865878350749697")</f>
        <v>702865878350749697</v>
      </c>
      <c r="F424" s="12" t="s">
        <v>488</v>
      </c>
      <c r="G424" s="13">
        <v>124.0</v>
      </c>
      <c r="H424" s="13">
        <v>142.0</v>
      </c>
      <c r="I424" s="13">
        <v>0.0</v>
      </c>
      <c r="J424" s="13">
        <v>0.0</v>
      </c>
      <c r="K424" s="12" t="s">
        <v>21</v>
      </c>
      <c r="L424" s="7">
        <v>40951.29611111111</v>
      </c>
      <c r="M424" s="14" t="s">
        <v>489</v>
      </c>
      <c r="N424" s="14" t="s">
        <v>490</v>
      </c>
      <c r="O424" s="11" t="str">
        <f>HYPERLINK("https://pbs.twimg.com/profile_images/452064440687423488/nbwrKTwP_normal.jpeg","View")</f>
        <v>View</v>
      </c>
      <c r="P424" s="15"/>
    </row>
    <row r="425">
      <c r="A425" s="7">
        <v>42425.27862268519</v>
      </c>
      <c r="B425" s="8" t="str">
        <f>HYPERLINK("https://twitter.com/GaelleTjat","@GaelleTjat")</f>
        <v>@GaelleTjat</v>
      </c>
      <c r="C425" s="10" t="s">
        <v>1052</v>
      </c>
      <c r="D425" s="10" t="s">
        <v>1119</v>
      </c>
      <c r="E425" s="11" t="str">
        <f>HYPERLINK("https://twitter.com/GaelleTjat/status/702865939600154625","702865939600154625")</f>
        <v>702865939600154625</v>
      </c>
      <c r="F425" s="12" t="s">
        <v>152</v>
      </c>
      <c r="G425" s="13">
        <v>2279.0</v>
      </c>
      <c r="H425" s="13">
        <v>374.0</v>
      </c>
      <c r="I425" s="13">
        <v>0.0</v>
      </c>
      <c r="J425" s="13">
        <v>0.0</v>
      </c>
      <c r="K425" s="12" t="s">
        <v>21</v>
      </c>
      <c r="L425" s="7">
        <v>40578.11135416667</v>
      </c>
      <c r="M425" s="14" t="s">
        <v>1054</v>
      </c>
      <c r="N425" s="14" t="s">
        <v>1055</v>
      </c>
      <c r="O425" s="11" t="str">
        <f>HYPERLINK("https://pbs.twimg.com/profile_images/676607760411336705/hmSj7P1M_normal.jpg","View")</f>
        <v>View</v>
      </c>
      <c r="P425" s="15"/>
    </row>
    <row r="426">
      <c r="A426" s="7">
        <v>42425.28003472222</v>
      </c>
      <c r="B426" s="8" t="str">
        <f>HYPERLINK("https://twitter.com/Evindj","@Evindj")</f>
        <v>@Evindj</v>
      </c>
      <c r="C426" s="10" t="s">
        <v>1120</v>
      </c>
      <c r="D426" s="10" t="s">
        <v>1121</v>
      </c>
      <c r="E426" s="11" t="str">
        <f>HYPERLINK("https://twitter.com/Evindj/status/702866452555112448","702866452555112448")</f>
        <v>702866452555112448</v>
      </c>
      <c r="F426" s="12" t="s">
        <v>446</v>
      </c>
      <c r="G426" s="13">
        <v>1254.0</v>
      </c>
      <c r="H426" s="13">
        <v>711.0</v>
      </c>
      <c r="I426" s="13">
        <v>0.0</v>
      </c>
      <c r="J426" s="13">
        <v>0.0</v>
      </c>
      <c r="K426" s="12" t="s">
        <v>21</v>
      </c>
      <c r="L426" s="7">
        <v>40366.267546296294</v>
      </c>
      <c r="M426" s="14" t="s">
        <v>1122</v>
      </c>
      <c r="N426" s="14" t="s">
        <v>1123</v>
      </c>
      <c r="O426" s="11" t="str">
        <f>HYPERLINK("https://pbs.twimg.com/profile_images/676845648029749248/Kh96fA5A_normal.png","View")</f>
        <v>View</v>
      </c>
      <c r="P426" s="15"/>
    </row>
    <row r="427">
      <c r="A427" s="7">
        <v>42425.280185185184</v>
      </c>
      <c r="B427" s="8" t="str">
        <f>HYPERLINK("https://twitter.com/amanda_wrigley","@amanda_wrigley")</f>
        <v>@amanda_wrigley</v>
      </c>
      <c r="C427" s="10" t="s">
        <v>1124</v>
      </c>
      <c r="D427" s="10" t="s">
        <v>1125</v>
      </c>
      <c r="E427" s="11" t="str">
        <f>HYPERLINK("https://twitter.com/amanda_wrigley/status/702866508045815808","702866508045815808")</f>
        <v>702866508045815808</v>
      </c>
      <c r="F427" s="12" t="s">
        <v>20</v>
      </c>
      <c r="G427" s="13">
        <v>547.0</v>
      </c>
      <c r="H427" s="13">
        <v>855.0</v>
      </c>
      <c r="I427" s="13">
        <v>4.0</v>
      </c>
      <c r="J427" s="13">
        <v>0.0</v>
      </c>
      <c r="K427" s="12" t="s">
        <v>21</v>
      </c>
      <c r="L427" s="7">
        <v>39835.46949074074</v>
      </c>
      <c r="M427" s="14" t="s">
        <v>1126</v>
      </c>
      <c r="N427" s="14" t="s">
        <v>1127</v>
      </c>
      <c r="O427" s="11" t="str">
        <f>HYPERLINK("https://pbs.twimg.com/profile_images/684559825360011264/4TRAUk_E_normal.jpg","View")</f>
        <v>View</v>
      </c>
      <c r="P427" s="15"/>
    </row>
    <row r="428">
      <c r="A428" s="7">
        <v>42425.28041666667</v>
      </c>
      <c r="B428" s="8" t="str">
        <f>HYPERLINK("https://twitter.com/valdesjo77","@valdesjo77")</f>
        <v>@valdesjo77</v>
      </c>
      <c r="C428" s="10" t="s">
        <v>1128</v>
      </c>
      <c r="D428" s="10" t="s">
        <v>1129</v>
      </c>
      <c r="E428" s="11" t="str">
        <f>HYPERLINK("https://twitter.com/valdesjo77/status/702866589889257472","702866589889257472")</f>
        <v>702866589889257472</v>
      </c>
      <c r="F428" s="12" t="s">
        <v>446</v>
      </c>
      <c r="G428" s="13">
        <v>2572.0</v>
      </c>
      <c r="H428" s="13">
        <v>2199.0</v>
      </c>
      <c r="I428" s="13">
        <v>0.0</v>
      </c>
      <c r="J428" s="13">
        <v>0.0</v>
      </c>
      <c r="K428" s="12" t="s">
        <v>21</v>
      </c>
      <c r="L428" s="7">
        <v>40775.283692129626</v>
      </c>
      <c r="M428" s="14" t="s">
        <v>1130</v>
      </c>
      <c r="N428" s="14" t="s">
        <v>1131</v>
      </c>
      <c r="O428" s="11" t="str">
        <f>HYPERLINK("https://pbs.twimg.com/profile_images/2922359031/c47d44760a8c30cda9fd982a6a53db55_normal.jpeg","View")</f>
        <v>View</v>
      </c>
      <c r="P428" s="15"/>
    </row>
    <row r="429">
      <c r="A429" s="7">
        <v>42425.28050925926</v>
      </c>
      <c r="B429" s="8" t="str">
        <f>HYPERLINK("https://twitter.com/ArthurZ","@ArthurZ")</f>
        <v>@ArthurZ</v>
      </c>
      <c r="C429" s="10" t="s">
        <v>1132</v>
      </c>
      <c r="D429" s="10" t="s">
        <v>1133</v>
      </c>
      <c r="E429" s="11" t="str">
        <f>HYPERLINK("https://twitter.com/ArthurZ/status/702866624857153536","702866624857153536")</f>
        <v>702866624857153536</v>
      </c>
      <c r="F429" s="12" t="s">
        <v>152</v>
      </c>
      <c r="G429" s="13">
        <v>632.0</v>
      </c>
      <c r="H429" s="13">
        <v>1598.0</v>
      </c>
      <c r="I429" s="13">
        <v>12.0</v>
      </c>
      <c r="J429" s="13">
        <v>0.0</v>
      </c>
      <c r="K429" s="12" t="s">
        <v>21</v>
      </c>
      <c r="L429" s="7">
        <v>39664.84560185185</v>
      </c>
      <c r="M429" s="14" t="s">
        <v>1134</v>
      </c>
      <c r="N429" s="14" t="s">
        <v>1135</v>
      </c>
      <c r="O429" s="11" t="str">
        <f>HYPERLINK("https://pbs.twimg.com/profile_images/1595371391/1b1e8df2-0655-4575-a582-da912d083f7b_normal.png","View")</f>
        <v>View</v>
      </c>
      <c r="P429" s="15"/>
    </row>
    <row r="430">
      <c r="A430" s="7">
        <v>42425.2808912037</v>
      </c>
      <c r="B430" s="8" t="str">
        <f>HYPERLINK("https://twitter.com/mikeonline","@mikeonline")</f>
        <v>@mikeonline</v>
      </c>
      <c r="C430" s="10" t="s">
        <v>1136</v>
      </c>
      <c r="D430" s="10" t="s">
        <v>1102</v>
      </c>
      <c r="E430" s="11" t="str">
        <f>HYPERLINK("https://twitter.com/mikeonline/status/702866760978927616","702866760978927616")</f>
        <v>702866760978927616</v>
      </c>
      <c r="F430" s="12" t="s">
        <v>52</v>
      </c>
      <c r="G430" s="13">
        <v>777.0</v>
      </c>
      <c r="H430" s="13">
        <v>800.0</v>
      </c>
      <c r="I430" s="13">
        <v>14.0</v>
      </c>
      <c r="J430" s="13">
        <v>0.0</v>
      </c>
      <c r="K430" s="12" t="s">
        <v>21</v>
      </c>
      <c r="L430" s="7">
        <v>39665.48521990741</v>
      </c>
      <c r="M430" s="14" t="s">
        <v>1137</v>
      </c>
      <c r="N430" s="14" t="s">
        <v>1138</v>
      </c>
      <c r="O430" s="11" t="str">
        <f>HYPERLINK("https://pbs.twimg.com/profile_images/669268886290739200/_vmD-0jz_normal.jpg","View")</f>
        <v>View</v>
      </c>
      <c r="P430" s="15"/>
    </row>
    <row r="431">
      <c r="A431" s="7">
        <v>42425.28197916667</v>
      </c>
      <c r="B431" s="8" t="str">
        <f>HYPERLINK("https://twitter.com/googletricks19","@googletricks19")</f>
        <v>@googletricks19</v>
      </c>
      <c r="C431" s="10" t="s">
        <v>802</v>
      </c>
      <c r="D431" s="10" t="s">
        <v>1139</v>
      </c>
      <c r="E431" s="11" t="str">
        <f>HYPERLINK("https://twitter.com/googletricks19/status/702867155138772993","702867155138772993")</f>
        <v>702867155138772993</v>
      </c>
      <c r="F431" s="12" t="s">
        <v>103</v>
      </c>
      <c r="G431" s="13">
        <v>819.0</v>
      </c>
      <c r="H431" s="13">
        <v>218.0</v>
      </c>
      <c r="I431" s="13">
        <v>1.0</v>
      </c>
      <c r="J431" s="13">
        <v>1.0</v>
      </c>
      <c r="K431" s="12" t="s">
        <v>21</v>
      </c>
      <c r="L431" s="7">
        <v>41974.4943287037</v>
      </c>
      <c r="M431" s="16"/>
      <c r="N431" s="16"/>
      <c r="O431" s="11" t="str">
        <f>HYPERLINK("https://pbs.twimg.com/profile_images/578098320159051776/fZw6-_AW_normal.png","View")</f>
        <v>View</v>
      </c>
      <c r="P431" s="15"/>
    </row>
    <row r="432">
      <c r="A432" s="7">
        <v>42425.28265046296</v>
      </c>
      <c r="B432" s="8" t="str">
        <f>HYPERLINK("https://twitter.com/cesarnogCPS","@cesarnogCPS")</f>
        <v>@cesarnogCPS</v>
      </c>
      <c r="C432" s="10" t="s">
        <v>1140</v>
      </c>
      <c r="D432" s="10" t="s">
        <v>1141</v>
      </c>
      <c r="E432" s="11" t="str">
        <f>HYPERLINK("https://twitter.com/cesarnogCPS/status/702867400048435200","702867400048435200")</f>
        <v>702867400048435200</v>
      </c>
      <c r="F432" s="12" t="s">
        <v>38</v>
      </c>
      <c r="G432" s="13">
        <v>1578.0</v>
      </c>
      <c r="H432" s="13">
        <v>2406.0</v>
      </c>
      <c r="I432" s="13">
        <v>1.0</v>
      </c>
      <c r="J432" s="13">
        <v>0.0</v>
      </c>
      <c r="K432" s="12" t="s">
        <v>21</v>
      </c>
      <c r="L432" s="7">
        <v>40076.82166666667</v>
      </c>
      <c r="M432" s="14" t="s">
        <v>1142</v>
      </c>
      <c r="N432" s="14" t="s">
        <v>1143</v>
      </c>
      <c r="O432" s="11" t="str">
        <f>HYPERLINK("https://pbs.twimg.com/profile_images/682455128805359617/r4Be4Yll_normal.jpg","View")</f>
        <v>View</v>
      </c>
      <c r="P432" s="15"/>
    </row>
    <row r="433">
      <c r="A433" s="7">
        <v>42425.282789351855</v>
      </c>
      <c r="B433" s="8" t="str">
        <f>HYPERLINK("https://twitter.com/Angael_Ubiker","@Angael_Ubiker")</f>
        <v>@Angael_Ubiker</v>
      </c>
      <c r="C433" s="10" t="s">
        <v>1144</v>
      </c>
      <c r="D433" s="10" t="s">
        <v>1145</v>
      </c>
      <c r="E433" s="11" t="str">
        <f>HYPERLINK("https://twitter.com/Angael_Ubiker/status/702867451428675584","702867451428675584")</f>
        <v>702867451428675584</v>
      </c>
      <c r="F433" s="12" t="s">
        <v>152</v>
      </c>
      <c r="G433" s="13">
        <v>29.0</v>
      </c>
      <c r="H433" s="13">
        <v>109.0</v>
      </c>
      <c r="I433" s="13">
        <v>10.0</v>
      </c>
      <c r="J433" s="13">
        <v>0.0</v>
      </c>
      <c r="K433" s="12" t="s">
        <v>21</v>
      </c>
      <c r="L433" s="7">
        <v>42376.44354166667</v>
      </c>
      <c r="M433" s="16"/>
      <c r="N433" s="16"/>
      <c r="O433" s="11" t="str">
        <f>HYPERLINK("https://pbs.twimg.com/profile_images/685699849682038785/t6loQPjC_normal.jpg","View")</f>
        <v>View</v>
      </c>
      <c r="P433" s="15"/>
    </row>
    <row r="434">
      <c r="A434" s="7">
        <v>42425.2828125</v>
      </c>
      <c r="B434" s="8" t="str">
        <f>HYPERLINK("https://twitter.com/SadnessTheory","@SadnessTheory")</f>
        <v>@SadnessTheory</v>
      </c>
      <c r="C434" s="10" t="s">
        <v>1146</v>
      </c>
      <c r="D434" s="10" t="s">
        <v>1147</v>
      </c>
      <c r="E434" s="11" t="str">
        <f>HYPERLINK("https://twitter.com/SadnessTheory/status/702867458223423488","702867458223423488")</f>
        <v>702867458223423488</v>
      </c>
      <c r="F434" s="12" t="s">
        <v>152</v>
      </c>
      <c r="G434" s="13">
        <v>341.0</v>
      </c>
      <c r="H434" s="13">
        <v>337.0</v>
      </c>
      <c r="I434" s="13">
        <v>0.0</v>
      </c>
      <c r="J434" s="13">
        <v>1.0</v>
      </c>
      <c r="K434" s="12" t="s">
        <v>21</v>
      </c>
      <c r="L434" s="7">
        <v>40680.56146990741</v>
      </c>
      <c r="M434" s="14" t="s">
        <v>1148</v>
      </c>
      <c r="N434" s="14" t="s">
        <v>1149</v>
      </c>
      <c r="O434" s="11" t="str">
        <f>HYPERLINK("https://pbs.twimg.com/profile_images/488994393945153537/VpVLs8hi_normal.jpeg","View")</f>
        <v>View</v>
      </c>
      <c r="P434" s="15"/>
    </row>
    <row r="435">
      <c r="A435" s="7">
        <v>42425.282997685186</v>
      </c>
      <c r="B435" s="8" t="str">
        <f>HYPERLINK("https://twitter.com/ryan_sb","@ryan_sb")</f>
        <v>@ryan_sb</v>
      </c>
      <c r="C435" s="10" t="s">
        <v>1150</v>
      </c>
      <c r="D435" s="10" t="s">
        <v>1151</v>
      </c>
      <c r="E435" s="11" t="str">
        <f>HYPERLINK("https://twitter.com/ryan_sb/status/702867526724747264","702867526724747264")</f>
        <v>702867526724747264</v>
      </c>
      <c r="F435" s="12" t="s">
        <v>294</v>
      </c>
      <c r="G435" s="13">
        <v>449.0</v>
      </c>
      <c r="H435" s="13">
        <v>371.0</v>
      </c>
      <c r="I435" s="13">
        <v>4.0</v>
      </c>
      <c r="J435" s="13">
        <v>0.0</v>
      </c>
      <c r="K435" s="12" t="s">
        <v>21</v>
      </c>
      <c r="L435" s="7">
        <v>40369.89623842593</v>
      </c>
      <c r="M435" s="16"/>
      <c r="N435" s="14" t="s">
        <v>1152</v>
      </c>
      <c r="O435" s="11" t="str">
        <f>HYPERLINK("https://pbs.twimg.com/profile_images/3536132938/c49cd8aa1da44366435b56fa5c83675c_normal.jpeg","View")</f>
        <v>View</v>
      </c>
      <c r="P435" s="15"/>
    </row>
    <row r="436">
      <c r="A436" s="7">
        <v>42425.2830787037</v>
      </c>
      <c r="B436" s="8" t="str">
        <f>HYPERLINK("https://twitter.com/michaelsjoberg","@michaelsjoberg")</f>
        <v>@michaelsjoberg</v>
      </c>
      <c r="C436" s="10" t="s">
        <v>1153</v>
      </c>
      <c r="D436" s="10" t="s">
        <v>1102</v>
      </c>
      <c r="E436" s="11" t="str">
        <f>HYPERLINK("https://twitter.com/michaelsjoberg/status/702867554839216128","702867554839216128")</f>
        <v>702867554839216128</v>
      </c>
      <c r="F436" s="12" t="s">
        <v>20</v>
      </c>
      <c r="G436" s="13">
        <v>16610.0</v>
      </c>
      <c r="H436" s="13">
        <v>113.0</v>
      </c>
      <c r="I436" s="13">
        <v>14.0</v>
      </c>
      <c r="J436" s="13">
        <v>0.0</v>
      </c>
      <c r="K436" s="12" t="s">
        <v>21</v>
      </c>
      <c r="L436" s="7">
        <v>40302.76364583333</v>
      </c>
      <c r="M436" s="14" t="s">
        <v>613</v>
      </c>
      <c r="N436" s="14" t="s">
        <v>1154</v>
      </c>
      <c r="O436" s="11" t="str">
        <f>HYPERLINK("https://pbs.twimg.com/profile_images/669285667424333824/VdSyIQUx_normal.jpg","View")</f>
        <v>View</v>
      </c>
      <c r="P436" s="15"/>
    </row>
    <row r="437">
      <c r="A437" s="7">
        <v>42425.28314814815</v>
      </c>
      <c r="B437" s="8" t="str">
        <f>HYPERLINK("https://twitter.com/anuragranj","@anuragranj")</f>
        <v>@anuragranj</v>
      </c>
      <c r="C437" s="10" t="s">
        <v>1155</v>
      </c>
      <c r="D437" s="10" t="s">
        <v>1156</v>
      </c>
      <c r="E437" s="11" t="str">
        <f>HYPERLINK("https://twitter.com/anuragranj/status/702867581342982144","702867581342982144")</f>
        <v>702867581342982144</v>
      </c>
      <c r="F437" s="12" t="s">
        <v>20</v>
      </c>
      <c r="G437" s="13">
        <v>6.0</v>
      </c>
      <c r="H437" s="13">
        <v>35.0</v>
      </c>
      <c r="I437" s="13">
        <v>0.0</v>
      </c>
      <c r="J437" s="13">
        <v>1.0</v>
      </c>
      <c r="K437" s="12" t="s">
        <v>21</v>
      </c>
      <c r="L437" s="7">
        <v>42332.76017361111</v>
      </c>
      <c r="M437" s="16"/>
      <c r="N437" s="16"/>
      <c r="O437" s="11" t="str">
        <f>HYPERLINK("https://abs.twimg.com/sticky/default_profile_images/default_profile_5_normal.png","View")</f>
        <v>View</v>
      </c>
      <c r="P437" s="15"/>
    </row>
    <row r="438">
      <c r="A438" s="7">
        <v>42425.28334490741</v>
      </c>
      <c r="B438" s="8" t="str">
        <f>HYPERLINK("https://twitter.com/nucAmbiguous","@nucAmbiguous")</f>
        <v>@nucAmbiguous</v>
      </c>
      <c r="C438" s="10" t="s">
        <v>1157</v>
      </c>
      <c r="D438" s="10" t="s">
        <v>1102</v>
      </c>
      <c r="E438" s="11" t="str">
        <f>HYPERLINK("https://twitter.com/nucAmbiguous/status/702867652981555200","702867652981555200")</f>
        <v>702867652981555200</v>
      </c>
      <c r="F438" s="12" t="s">
        <v>152</v>
      </c>
      <c r="G438" s="13">
        <v>1354.0</v>
      </c>
      <c r="H438" s="13">
        <v>2171.0</v>
      </c>
      <c r="I438" s="13">
        <v>14.0</v>
      </c>
      <c r="J438" s="13">
        <v>0.0</v>
      </c>
      <c r="K438" s="12" t="s">
        <v>21</v>
      </c>
      <c r="L438" s="7">
        <v>41291.716828703706</v>
      </c>
      <c r="M438" s="14" t="s">
        <v>1158</v>
      </c>
      <c r="N438" s="14" t="s">
        <v>1159</v>
      </c>
      <c r="O438" s="11" t="str">
        <f>HYPERLINK("https://pbs.twimg.com/profile_images/700902391097372672/fJx8iRsJ_normal.jpg","View")</f>
        <v>View</v>
      </c>
      <c r="P438" s="15"/>
    </row>
    <row r="439">
      <c r="A439" s="7">
        <v>42425.28392361111</v>
      </c>
      <c r="B439" s="8" t="str">
        <f>HYPERLINK("https://twitter.com/vigneshpamu","@vigneshpamu")</f>
        <v>@vigneshpamu</v>
      </c>
      <c r="C439" s="10" t="s">
        <v>1160</v>
      </c>
      <c r="D439" s="10" t="s">
        <v>485</v>
      </c>
      <c r="E439" s="11" t="str">
        <f>HYPERLINK("https://twitter.com/vigneshpamu/status/702867862814375937","702867862814375937")</f>
        <v>702867862814375937</v>
      </c>
      <c r="F439" s="12" t="s">
        <v>20</v>
      </c>
      <c r="G439" s="13">
        <v>171.0</v>
      </c>
      <c r="H439" s="13">
        <v>777.0</v>
      </c>
      <c r="I439" s="13">
        <v>14.0</v>
      </c>
      <c r="J439" s="13">
        <v>0.0</v>
      </c>
      <c r="K439" s="12" t="s">
        <v>21</v>
      </c>
      <c r="L439" s="7">
        <v>39960.33142361111</v>
      </c>
      <c r="M439" s="14" t="s">
        <v>1161</v>
      </c>
      <c r="N439" s="14" t="s">
        <v>1162</v>
      </c>
      <c r="O439" s="11" t="str">
        <f>HYPERLINK("https://pbs.twimg.com/profile_images/378800000682733989/a3bf5552e4184981ce4504a794bc7d22_normal.jpeg","View")</f>
        <v>View</v>
      </c>
      <c r="P439" s="15"/>
    </row>
    <row r="440">
      <c r="A440" s="7">
        <v>42425.2840162037</v>
      </c>
      <c r="B440" s="8" t="str">
        <f>HYPERLINK("https://twitter.com/Talaikis","@Talaikis")</f>
        <v>@Talaikis</v>
      </c>
      <c r="C440" s="10" t="s">
        <v>1163</v>
      </c>
      <c r="D440" s="10" t="s">
        <v>1164</v>
      </c>
      <c r="E440" s="11" t="str">
        <f>HYPERLINK("https://twitter.com/Talaikis/status/702867894808391680","702867894808391680")</f>
        <v>702867894808391680</v>
      </c>
      <c r="F440" s="12" t="s">
        <v>1165</v>
      </c>
      <c r="G440" s="13">
        <v>152.0</v>
      </c>
      <c r="H440" s="13">
        <v>113.0</v>
      </c>
      <c r="I440" s="13">
        <v>3.0</v>
      </c>
      <c r="J440" s="13">
        <v>3.0</v>
      </c>
      <c r="K440" s="12" t="s">
        <v>21</v>
      </c>
      <c r="L440" s="7">
        <v>42030.21363425926</v>
      </c>
      <c r="M440" s="14" t="s">
        <v>1166</v>
      </c>
      <c r="N440" s="14" t="s">
        <v>1167</v>
      </c>
      <c r="O440" s="11" t="str">
        <f>HYPERLINK("https://pbs.twimg.com/profile_images/633741904937545728/5M3F0M9m_normal.jpg","View")</f>
        <v>View</v>
      </c>
      <c r="P440" s="15"/>
    </row>
    <row r="441">
      <c r="A441" s="7">
        <v>42425.2840162037</v>
      </c>
      <c r="B441" s="8" t="str">
        <f>HYPERLINK("https://twitter.com/ameanmbot","@ameanmbot")</f>
        <v>@ameanmbot</v>
      </c>
      <c r="C441" s="10" t="s">
        <v>174</v>
      </c>
      <c r="D441" s="10" t="s">
        <v>1168</v>
      </c>
      <c r="E441" s="11" t="str">
        <f>HYPERLINK("https://twitter.com/ameanmbot/status/702867896981200897","702867896981200897")</f>
        <v>702867896981200897</v>
      </c>
      <c r="F441" s="12" t="s">
        <v>176</v>
      </c>
      <c r="G441" s="13">
        <v>3291.0</v>
      </c>
      <c r="H441" s="13">
        <v>1.0</v>
      </c>
      <c r="I441" s="13">
        <v>3.0</v>
      </c>
      <c r="J441" s="13">
        <v>0.0</v>
      </c>
      <c r="K441" s="12" t="s">
        <v>21</v>
      </c>
      <c r="L441" s="7">
        <v>41814.009733796294</v>
      </c>
      <c r="M441" s="16"/>
      <c r="N441" s="14" t="s">
        <v>177</v>
      </c>
      <c r="O441" s="11" t="str">
        <f>HYPERLINK("https://pbs.twimg.com/profile_images/481334978161029120/iu3zZFEk_normal.png","View")</f>
        <v>View</v>
      </c>
      <c r="P441" s="15"/>
    </row>
    <row r="442">
      <c r="A442" s="7">
        <v>42425.284525462965</v>
      </c>
      <c r="B442" s="8" t="str">
        <f>HYPERLINK("https://twitter.com/nightwalker","@nightwalker")</f>
        <v>@nightwalker</v>
      </c>
      <c r="C442" s="10" t="s">
        <v>1169</v>
      </c>
      <c r="D442" s="10" t="s">
        <v>485</v>
      </c>
      <c r="E442" s="11" t="str">
        <f>HYPERLINK("https://twitter.com/nightwalker/status/702868080972566529","702868080972566529")</f>
        <v>702868080972566529</v>
      </c>
      <c r="F442" s="12" t="s">
        <v>52</v>
      </c>
      <c r="G442" s="13">
        <v>159.0</v>
      </c>
      <c r="H442" s="13">
        <v>692.0</v>
      </c>
      <c r="I442" s="13">
        <v>14.0</v>
      </c>
      <c r="J442" s="13">
        <v>0.0</v>
      </c>
      <c r="K442" s="12" t="s">
        <v>21</v>
      </c>
      <c r="L442" s="7">
        <v>39288.179976851854</v>
      </c>
      <c r="M442" s="14" t="s">
        <v>1170</v>
      </c>
      <c r="N442" s="16"/>
      <c r="O442" s="11" t="str">
        <f>HYPERLINK("https://pbs.twimg.com/profile_images/25542182/flickr_icon_20070307_normal.jpg","View")</f>
        <v>View</v>
      </c>
      <c r="P442" s="15"/>
    </row>
    <row r="443">
      <c r="A443" s="7">
        <v>42425.284733796296</v>
      </c>
      <c r="B443" s="8" t="str">
        <f>HYPERLINK("https://twitter.com/RealPython","@RealPython")</f>
        <v>@RealPython</v>
      </c>
      <c r="C443" s="9" t="s">
        <v>1021</v>
      </c>
      <c r="D443" s="10" t="s">
        <v>752</v>
      </c>
      <c r="E443" s="11" t="str">
        <f>HYPERLINK("https://twitter.com/RealPython/status/702868154297356293","702868154297356293")</f>
        <v>702868154297356293</v>
      </c>
      <c r="F443" s="12" t="s">
        <v>20</v>
      </c>
      <c r="G443" s="13">
        <v>5088.0</v>
      </c>
      <c r="H443" s="13">
        <v>39.0</v>
      </c>
      <c r="I443" s="13">
        <v>7.0</v>
      </c>
      <c r="J443" s="13">
        <v>0.0</v>
      </c>
      <c r="K443" s="12" t="s">
        <v>21</v>
      </c>
      <c r="L443" s="7">
        <v>41129.57270833333</v>
      </c>
      <c r="M443" s="16"/>
      <c r="N443" s="14" t="s">
        <v>1022</v>
      </c>
      <c r="O443" s="11" t="str">
        <f>HYPERLINK("https://pbs.twimg.com/profile_images/3312468366/129323224633d71286101d517a2f9817_normal.png","View")</f>
        <v>View</v>
      </c>
      <c r="P443" s="15"/>
    </row>
    <row r="444">
      <c r="A444" s="7">
        <v>42425.28483796296</v>
      </c>
      <c r="B444" s="8" t="str">
        <f>HYPERLINK("https://twitter.com/0_N72","@0_N72")</f>
        <v>@0_N72</v>
      </c>
      <c r="C444" s="10" t="s">
        <v>1171</v>
      </c>
      <c r="D444" s="10" t="s">
        <v>1172</v>
      </c>
      <c r="E444" s="11" t="str">
        <f>HYPERLINK("https://twitter.com/0_N72/status/702868194252480512","702868194252480512")</f>
        <v>702868194252480512</v>
      </c>
      <c r="F444" s="12" t="s">
        <v>20</v>
      </c>
      <c r="G444" s="13">
        <v>87.0</v>
      </c>
      <c r="H444" s="13">
        <v>82.0</v>
      </c>
      <c r="I444" s="13">
        <v>0.0</v>
      </c>
      <c r="J444" s="13">
        <v>0.0</v>
      </c>
      <c r="K444" s="12" t="s">
        <v>21</v>
      </c>
      <c r="L444" s="7">
        <v>40690.19605324074</v>
      </c>
      <c r="M444" s="14" t="s">
        <v>1173</v>
      </c>
      <c r="N444" s="14" t="s">
        <v>1174</v>
      </c>
      <c r="O444" s="11" t="str">
        <f>HYPERLINK("https://pbs.twimg.com/profile_images/696027734359805953/3xZnbWrm_normal.jpg","View")</f>
        <v>View</v>
      </c>
      <c r="P444" s="15"/>
    </row>
    <row r="445">
      <c r="A445" s="7">
        <v>42425.28537037037</v>
      </c>
      <c r="B445" s="8" t="str">
        <f>HYPERLINK("https://twitter.com/ralvaradot","@ralvaradot")</f>
        <v>@ralvaradot</v>
      </c>
      <c r="C445" s="10" t="s">
        <v>1175</v>
      </c>
      <c r="D445" s="10" t="s">
        <v>1176</v>
      </c>
      <c r="E445" s="11" t="str">
        <f>HYPERLINK("https://twitter.com/ralvaradot/status/702868386418728960","702868386418728960")</f>
        <v>702868386418728960</v>
      </c>
      <c r="F445" s="12" t="s">
        <v>446</v>
      </c>
      <c r="G445" s="13">
        <v>2231.0</v>
      </c>
      <c r="H445" s="13">
        <v>1905.0</v>
      </c>
      <c r="I445" s="13">
        <v>7.0</v>
      </c>
      <c r="J445" s="13">
        <v>1.0</v>
      </c>
      <c r="K445" s="12" t="s">
        <v>21</v>
      </c>
      <c r="L445" s="7">
        <v>39911.37886574074</v>
      </c>
      <c r="M445" s="14" t="s">
        <v>1177</v>
      </c>
      <c r="N445" s="14" t="s">
        <v>1178</v>
      </c>
      <c r="O445" s="11" t="str">
        <f>HYPERLINK("https://pbs.twimg.com/profile_images/1222674400/c88efa43-0d98-4ba4-ba7c-9a512aaadccf_normal.png","View")</f>
        <v>View</v>
      </c>
      <c r="P445" s="15"/>
    </row>
    <row r="446">
      <c r="A446" s="7">
        <v>42425.28545138889</v>
      </c>
      <c r="B446" s="8" t="str">
        <f>HYPERLINK("https://twitter.com/BDotNetCol","@BDotNetCol")</f>
        <v>@BDotNetCol</v>
      </c>
      <c r="C446" s="10" t="s">
        <v>1179</v>
      </c>
      <c r="D446" s="10" t="s">
        <v>1180</v>
      </c>
      <c r="E446" s="11" t="str">
        <f>HYPERLINK("https://twitter.com/BDotNetCol/status/702868413459333121","702868413459333121")</f>
        <v>702868413459333121</v>
      </c>
      <c r="F446" s="12" t="s">
        <v>446</v>
      </c>
      <c r="G446" s="13">
        <v>43.0</v>
      </c>
      <c r="H446" s="13">
        <v>26.0</v>
      </c>
      <c r="I446" s="13">
        <v>7.0</v>
      </c>
      <c r="J446" s="13">
        <v>0.0</v>
      </c>
      <c r="K446" s="12" t="s">
        <v>21</v>
      </c>
      <c r="L446" s="7">
        <v>41007.276226851856</v>
      </c>
      <c r="M446" s="16"/>
      <c r="N446" s="16"/>
      <c r="O446" s="11" t="str">
        <f>HYPERLINK("https://abs.twimg.com/sticky/default_profile_images/default_profile_0_normal.png","View")</f>
        <v>View</v>
      </c>
      <c r="P446" s="15"/>
    </row>
    <row r="447">
      <c r="A447" s="7">
        <v>42425.28545138889</v>
      </c>
      <c r="B447" s="8" t="str">
        <f>HYPERLINK("https://twitter.com/ColDesarrollado","@ColDesarrollado")</f>
        <v>@ColDesarrollado</v>
      </c>
      <c r="C447" s="10" t="s">
        <v>1181</v>
      </c>
      <c r="D447" s="10" t="s">
        <v>1180</v>
      </c>
      <c r="E447" s="11" t="str">
        <f>HYPERLINK("https://twitter.com/ColDesarrollado/status/702868413484548096","702868413484548096")</f>
        <v>702868413484548096</v>
      </c>
      <c r="F447" s="12" t="s">
        <v>446</v>
      </c>
      <c r="G447" s="13">
        <v>197.0</v>
      </c>
      <c r="H447" s="13">
        <v>65.0</v>
      </c>
      <c r="I447" s="13">
        <v>7.0</v>
      </c>
      <c r="J447" s="13">
        <v>0.0</v>
      </c>
      <c r="K447" s="12" t="s">
        <v>21</v>
      </c>
      <c r="L447" s="7">
        <v>40964.31525462963</v>
      </c>
      <c r="M447" s="16"/>
      <c r="N447" s="16"/>
      <c r="O447" s="11" t="str">
        <f>HYPERLINK("https://pbs.twimg.com/profile_images/378800000424471602/b0e11fecf5291c1b917532694e0d8247_normal.png","View")</f>
        <v>View</v>
      </c>
      <c r="P447" s="15"/>
    </row>
    <row r="448">
      <c r="A448" s="7">
        <v>42425.28545138889</v>
      </c>
      <c r="B448" s="8" t="str">
        <f>HYPERLINK("https://twitter.com/B_DotNet","@B_DotNet")</f>
        <v>@B_DotNet</v>
      </c>
      <c r="C448" s="10" t="s">
        <v>1182</v>
      </c>
      <c r="D448" s="10" t="s">
        <v>1180</v>
      </c>
      <c r="E448" s="11" t="str">
        <f>HYPERLINK("https://twitter.com/B_DotNet/status/702868413501325312","702868413501325312")</f>
        <v>702868413501325312</v>
      </c>
      <c r="F448" s="12" t="s">
        <v>446</v>
      </c>
      <c r="G448" s="13">
        <v>6801.0</v>
      </c>
      <c r="H448" s="13">
        <v>6672.0</v>
      </c>
      <c r="I448" s="13">
        <v>7.0</v>
      </c>
      <c r="J448" s="13">
        <v>0.0</v>
      </c>
      <c r="K448" s="12" t="s">
        <v>21</v>
      </c>
      <c r="L448" s="7">
        <v>40034.410844907405</v>
      </c>
      <c r="M448" s="14" t="s">
        <v>1183</v>
      </c>
      <c r="N448" s="14" t="s">
        <v>1184</v>
      </c>
      <c r="O448" s="11" t="str">
        <f>HYPERLINK("https://pbs.twimg.com/profile_images/1577091782/bdotnet_tw_PNG_normal.png","View")</f>
        <v>View</v>
      </c>
      <c r="P448" s="15"/>
    </row>
    <row r="449">
      <c r="A449" s="7">
        <v>42425.28545138889</v>
      </c>
      <c r="B449" s="8" t="str">
        <f>HYPERLINK("https://twitter.com/ExpertDay","@ExpertDay")</f>
        <v>@ExpertDay</v>
      </c>
      <c r="C449" s="10" t="s">
        <v>1185</v>
      </c>
      <c r="D449" s="10" t="s">
        <v>1180</v>
      </c>
      <c r="E449" s="11" t="str">
        <f>HYPERLINK("https://twitter.com/ExpertDay/status/702868413518114817","702868413518114817")</f>
        <v>702868413518114817</v>
      </c>
      <c r="F449" s="12" t="s">
        <v>446</v>
      </c>
      <c r="G449" s="13">
        <v>140.0</v>
      </c>
      <c r="H449" s="13">
        <v>53.0</v>
      </c>
      <c r="I449" s="13">
        <v>7.0</v>
      </c>
      <c r="J449" s="13">
        <v>0.0</v>
      </c>
      <c r="K449" s="12" t="s">
        <v>21</v>
      </c>
      <c r="L449" s="7">
        <v>40825.507627314815</v>
      </c>
      <c r="M449" s="14" t="s">
        <v>1186</v>
      </c>
      <c r="N449" s="16"/>
      <c r="O449" s="11" t="str">
        <f>HYPERLINK("https://pbs.twimg.com/profile_images/1580399863/logo_fondo_normal.png","View")</f>
        <v>View</v>
      </c>
      <c r="P449" s="15"/>
    </row>
    <row r="450">
      <c r="A450" s="7">
        <v>42425.285625000004</v>
      </c>
      <c r="B450" s="8" t="str">
        <f>HYPERLINK("https://twitter.com/BestAWS","@BestAWS")</f>
        <v>@BestAWS</v>
      </c>
      <c r="C450" s="10" t="s">
        <v>1187</v>
      </c>
      <c r="D450" s="10" t="s">
        <v>1188</v>
      </c>
      <c r="E450" s="11" t="str">
        <f>HYPERLINK("https://twitter.com/BestAWS/status/702868478429036544","702868478429036544")</f>
        <v>702868478429036544</v>
      </c>
      <c r="F450" s="12" t="s">
        <v>1187</v>
      </c>
      <c r="G450" s="13">
        <v>705.0</v>
      </c>
      <c r="H450" s="13">
        <v>146.0</v>
      </c>
      <c r="I450" s="13">
        <v>0.0</v>
      </c>
      <c r="J450" s="13">
        <v>0.0</v>
      </c>
      <c r="K450" s="12" t="s">
        <v>21</v>
      </c>
      <c r="L450" s="7">
        <v>41447.61802083333</v>
      </c>
      <c r="M450" s="16"/>
      <c r="N450" s="14" t="s">
        <v>1189</v>
      </c>
      <c r="O450" s="11" t="str">
        <f>HYPERLINK("https://pbs.twimg.com/profile_images/378800000031095990/db0d0946fabb358fc8dc210b59fabb7f_normal.jpeg","View")</f>
        <v>View</v>
      </c>
      <c r="P450" s="15"/>
    </row>
    <row r="451">
      <c r="A451" s="7">
        <v>42425.286145833335</v>
      </c>
      <c r="B451" s="8" t="str">
        <f>HYPERLINK("https://twitter.com/techmix_","@techmix_")</f>
        <v>@techmix_</v>
      </c>
      <c r="C451" s="10" t="s">
        <v>1190</v>
      </c>
      <c r="D451" s="10" t="s">
        <v>1191</v>
      </c>
      <c r="E451" s="11" t="str">
        <f>HYPERLINK("https://twitter.com/techmix_/status/702868665075683328","702868665075683328")</f>
        <v>702868665075683328</v>
      </c>
      <c r="F451" s="12" t="s">
        <v>1192</v>
      </c>
      <c r="G451" s="13">
        <v>547.0</v>
      </c>
      <c r="H451" s="13">
        <v>1444.0</v>
      </c>
      <c r="I451" s="13">
        <v>1.0</v>
      </c>
      <c r="J451" s="13">
        <v>0.0</v>
      </c>
      <c r="K451" s="12" t="s">
        <v>21</v>
      </c>
      <c r="L451" s="7">
        <v>42400.79513888889</v>
      </c>
      <c r="M451" s="16"/>
      <c r="N451" s="14" t="s">
        <v>1193</v>
      </c>
      <c r="O451" s="11" t="str">
        <f>HYPERLINK("https://pbs.twimg.com/profile_images/700674879540981761/fKiyB9Ye_normal.png","View")</f>
        <v>View</v>
      </c>
      <c r="P451" s="15"/>
    </row>
    <row r="452">
      <c r="A452" s="7">
        <v>42425.286944444444</v>
      </c>
      <c r="B452" s="8" t="str">
        <f>HYPERLINK("https://twitter.com/horstwilmes","@horstwilmes")</f>
        <v>@horstwilmes</v>
      </c>
      <c r="C452" s="10" t="s">
        <v>1194</v>
      </c>
      <c r="D452" s="10" t="s">
        <v>1195</v>
      </c>
      <c r="E452" s="11" t="str">
        <f>HYPERLINK("https://twitter.com/horstwilmes/status/702868957515096064","702868957515096064")</f>
        <v>702868957515096064</v>
      </c>
      <c r="F452" s="17" t="s">
        <v>718</v>
      </c>
      <c r="G452" s="13">
        <v>1312.0</v>
      </c>
      <c r="H452" s="13">
        <v>2001.0</v>
      </c>
      <c r="I452" s="13">
        <v>0.0</v>
      </c>
      <c r="J452" s="13">
        <v>0.0</v>
      </c>
      <c r="K452" s="12" t="s">
        <v>21</v>
      </c>
      <c r="L452" s="7">
        <v>40814.45599537037</v>
      </c>
      <c r="M452" s="14" t="s">
        <v>1196</v>
      </c>
      <c r="N452" s="14" t="s">
        <v>1197</v>
      </c>
      <c r="O452" s="11" t="str">
        <f>HYPERLINK("https://pbs.twimg.com/profile_images/1564146627/HorstWilmes_L2_normal.jpg","View")</f>
        <v>View</v>
      </c>
      <c r="P452" s="15"/>
    </row>
    <row r="453">
      <c r="A453" s="7">
        <v>42425.2880787037</v>
      </c>
      <c r="B453" s="8" t="str">
        <f>HYPERLINK("https://twitter.com/B_DotNet","@B_DotNet")</f>
        <v>@B_DotNet</v>
      </c>
      <c r="C453" s="10" t="s">
        <v>1182</v>
      </c>
      <c r="D453" s="10" t="s">
        <v>1198</v>
      </c>
      <c r="E453" s="11" t="str">
        <f>HYPERLINK("https://twitter.com/B_DotNet/status/702869367550287873","702869367550287873")</f>
        <v>702869367550287873</v>
      </c>
      <c r="F453" s="12" t="s">
        <v>236</v>
      </c>
      <c r="G453" s="13">
        <v>6801.0</v>
      </c>
      <c r="H453" s="13">
        <v>6672.0</v>
      </c>
      <c r="I453" s="13">
        <v>0.0</v>
      </c>
      <c r="J453" s="13">
        <v>2.0</v>
      </c>
      <c r="K453" s="12" t="s">
        <v>21</v>
      </c>
      <c r="L453" s="7">
        <v>40034.410844907405</v>
      </c>
      <c r="M453" s="14" t="s">
        <v>1183</v>
      </c>
      <c r="N453" s="14" t="s">
        <v>1184</v>
      </c>
      <c r="O453" s="11" t="str">
        <f>HYPERLINK("https://pbs.twimg.com/profile_images/1577091782/bdotnet_tw_PNG_normal.png","View")</f>
        <v>View</v>
      </c>
      <c r="P453" s="15"/>
    </row>
    <row r="454">
      <c r="A454" s="7">
        <v>42425.28820601852</v>
      </c>
      <c r="B454" s="8" t="str">
        <f>HYPERLINK("https://twitter.com/creative_punch","@creative_punch")</f>
        <v>@creative_punch</v>
      </c>
      <c r="C454" s="10" t="s">
        <v>1199</v>
      </c>
      <c r="D454" s="10" t="s">
        <v>1200</v>
      </c>
      <c r="E454" s="11" t="str">
        <f>HYPERLINK("https://twitter.com/creative_punch/status/702869412316106753","702869412316106753")</f>
        <v>702869412316106753</v>
      </c>
      <c r="F454" s="12" t="s">
        <v>1199</v>
      </c>
      <c r="G454" s="13">
        <v>1650.0</v>
      </c>
      <c r="H454" s="13">
        <v>800.0</v>
      </c>
      <c r="I454" s="13">
        <v>0.0</v>
      </c>
      <c r="J454" s="13">
        <v>0.0</v>
      </c>
      <c r="K454" s="12" t="s">
        <v>21</v>
      </c>
      <c r="L454" s="7">
        <v>41618.38722222222</v>
      </c>
      <c r="M454" s="16"/>
      <c r="N454" s="14" t="s">
        <v>1201</v>
      </c>
      <c r="O454" s="11" t="str">
        <f>HYPERLINK("https://pbs.twimg.com/profile_images/420579444982431745/j7uTAxtF_normal.png","View")</f>
        <v>View</v>
      </c>
      <c r="P454" s="15"/>
    </row>
    <row r="455">
      <c r="A455" s="7">
        <v>42425.288356481484</v>
      </c>
      <c r="B455" s="8" t="str">
        <f>HYPERLINK("https://twitter.com/GERSolar","@GERSolar")</f>
        <v>@GERSolar</v>
      </c>
      <c r="C455" s="10" t="s">
        <v>836</v>
      </c>
      <c r="D455" s="10" t="s">
        <v>1202</v>
      </c>
      <c r="E455" s="11" t="str">
        <f>HYPERLINK("https://twitter.com/GERSolar/status/702869466527481856","702869466527481856")</f>
        <v>702869466527481856</v>
      </c>
      <c r="F455" s="12" t="s">
        <v>838</v>
      </c>
      <c r="G455" s="13">
        <v>23.0</v>
      </c>
      <c r="H455" s="13">
        <v>5.0</v>
      </c>
      <c r="I455" s="13">
        <v>0.0</v>
      </c>
      <c r="J455" s="13">
        <v>0.0</v>
      </c>
      <c r="K455" s="12" t="s">
        <v>21</v>
      </c>
      <c r="L455" s="7">
        <v>41617.237175925926</v>
      </c>
      <c r="M455" s="14" t="s">
        <v>839</v>
      </c>
      <c r="N455" s="14" t="s">
        <v>840</v>
      </c>
      <c r="O455" s="11" t="str">
        <f>HYPERLINK("https://pbs.twimg.com/profile_images/524534389690994688/O2Q5bLyo_normal.png","View")</f>
        <v>View</v>
      </c>
      <c r="P455" s="15"/>
    </row>
    <row r="456">
      <c r="A456" s="7">
        <v>42425.28859953704</v>
      </c>
      <c r="B456" s="8" t="str">
        <f>HYPERLINK("https://twitter.com/FringeFlorida","@FringeFlorida")</f>
        <v>@FringeFlorida</v>
      </c>
      <c r="C456" s="10" t="s">
        <v>1203</v>
      </c>
      <c r="D456" s="10" t="s">
        <v>1204</v>
      </c>
      <c r="E456" s="11" t="str">
        <f>HYPERLINK("https://twitter.com/FringeFlorida/status/702869554188427264","702869554188427264")</f>
        <v>702869554188427264</v>
      </c>
      <c r="F456" s="12" t="s">
        <v>52</v>
      </c>
      <c r="G456" s="13">
        <v>934.0</v>
      </c>
      <c r="H456" s="13">
        <v>626.0</v>
      </c>
      <c r="I456" s="13">
        <v>0.0</v>
      </c>
      <c r="J456" s="13">
        <v>1.0</v>
      </c>
      <c r="K456" s="12" t="s">
        <v>21</v>
      </c>
      <c r="L456" s="7">
        <v>40510.365219907406</v>
      </c>
      <c r="M456" s="14" t="s">
        <v>1205</v>
      </c>
      <c r="N456" s="14" t="s">
        <v>1206</v>
      </c>
      <c r="O456" s="11" t="str">
        <f>HYPERLINK("https://pbs.twimg.com/profile_images/426180283059023872/0CFUtHG9_normal.jpeg","View")</f>
        <v>View</v>
      </c>
      <c r="P456" s="15"/>
    </row>
    <row r="457">
      <c r="A457" s="7">
        <v>42425.28907407407</v>
      </c>
      <c r="B457" s="8" t="str">
        <f>HYPERLINK("https://twitter.com/9bplus","@9bplus")</f>
        <v>@9bplus</v>
      </c>
      <c r="C457" s="10" t="s">
        <v>1207</v>
      </c>
      <c r="D457" s="10" t="s">
        <v>1208</v>
      </c>
      <c r="E457" s="11" t="str">
        <f>HYPERLINK("https://twitter.com/9bplus/status/702869727241056256","702869727241056256")</f>
        <v>702869727241056256</v>
      </c>
      <c r="F457" s="12" t="s">
        <v>20</v>
      </c>
      <c r="G457" s="13">
        <v>1407.0</v>
      </c>
      <c r="H457" s="13">
        <v>236.0</v>
      </c>
      <c r="I457" s="13">
        <v>24.0</v>
      </c>
      <c r="J457" s="13">
        <v>18.0</v>
      </c>
      <c r="K457" s="12" t="s">
        <v>21</v>
      </c>
      <c r="L457" s="7">
        <v>40398.696226851855</v>
      </c>
      <c r="M457" s="14" t="s">
        <v>1209</v>
      </c>
      <c r="N457" s="14" t="s">
        <v>1210</v>
      </c>
      <c r="O457" s="11" t="str">
        <f>HYPERLINK("https://pbs.twimg.com/profile_images/673638286896697344/ue1u9N-1_normal.jpg","View")</f>
        <v>View</v>
      </c>
      <c r="P457" s="15"/>
    </row>
    <row r="458">
      <c r="A458" s="7">
        <v>42425.289131944446</v>
      </c>
      <c r="B458" s="8" t="str">
        <f>HYPERLINK("https://twitter.com/PassiveTotal","@PassiveTotal")</f>
        <v>@PassiveTotal</v>
      </c>
      <c r="C458" s="10" t="s">
        <v>1211</v>
      </c>
      <c r="D458" s="10" t="s">
        <v>1212</v>
      </c>
      <c r="E458" s="11" t="str">
        <f>HYPERLINK("https://twitter.com/PassiveTotal/status/702869748627812352","702869748627812352")</f>
        <v>702869748627812352</v>
      </c>
      <c r="F458" s="12" t="s">
        <v>20</v>
      </c>
      <c r="G458" s="13">
        <v>894.0</v>
      </c>
      <c r="H458" s="13">
        <v>1.0</v>
      </c>
      <c r="I458" s="13">
        <v>24.0</v>
      </c>
      <c r="J458" s="13">
        <v>0.0</v>
      </c>
      <c r="K458" s="12" t="s">
        <v>21</v>
      </c>
      <c r="L458" s="7">
        <v>41765.31079861111</v>
      </c>
      <c r="M458" s="14" t="s">
        <v>1213</v>
      </c>
      <c r="N458" s="14" t="s">
        <v>1214</v>
      </c>
      <c r="O458" s="11" t="str">
        <f>HYPERLINK("https://pbs.twimg.com/profile_images/604494303323389952/m5IaDHbJ_normal.png","View")</f>
        <v>View</v>
      </c>
      <c r="P458" s="15"/>
    </row>
    <row r="459">
      <c r="A459" s="7">
        <v>42425.289768518516</v>
      </c>
      <c r="B459" s="8" t="str">
        <f>HYPERLINK("https://twitter.com/ForgottenSec","@ForgottenSec")</f>
        <v>@ForgottenSec</v>
      </c>
      <c r="C459" s="10" t="s">
        <v>1215</v>
      </c>
      <c r="D459" s="10" t="s">
        <v>1212</v>
      </c>
      <c r="E459" s="11" t="str">
        <f>HYPERLINK("https://twitter.com/ForgottenSec/status/702869981109854208","702869981109854208")</f>
        <v>702869981109854208</v>
      </c>
      <c r="F459" s="12" t="s">
        <v>20</v>
      </c>
      <c r="G459" s="13">
        <v>2249.0</v>
      </c>
      <c r="H459" s="13">
        <v>1034.0</v>
      </c>
      <c r="I459" s="13">
        <v>24.0</v>
      </c>
      <c r="J459" s="13">
        <v>0.0</v>
      </c>
      <c r="K459" s="12" t="s">
        <v>21</v>
      </c>
      <c r="L459" s="7">
        <v>40742.37335648148</v>
      </c>
      <c r="M459" s="14" t="s">
        <v>1216</v>
      </c>
      <c r="N459" s="14" t="s">
        <v>1217</v>
      </c>
      <c r="O459" s="11" t="str">
        <f>HYPERLINK("https://pbs.twimg.com/profile_images/1634003448/IMG_0779_copy_normal.JPG","View")</f>
        <v>View</v>
      </c>
      <c r="P459" s="15"/>
    </row>
    <row r="460">
      <c r="A460" s="7">
        <v>42425.28979166667</v>
      </c>
      <c r="B460" s="8" t="str">
        <f>HYPERLINK("https://twitter.com/iMitwe","@iMitwe")</f>
        <v>@iMitwe</v>
      </c>
      <c r="C460" s="10" t="s">
        <v>1218</v>
      </c>
      <c r="D460" s="10" t="s">
        <v>752</v>
      </c>
      <c r="E460" s="11" t="str">
        <f>HYPERLINK("https://twitter.com/iMitwe/status/702869987078381568","702869987078381568")</f>
        <v>702869987078381568</v>
      </c>
      <c r="F460" s="12" t="s">
        <v>20</v>
      </c>
      <c r="G460" s="13">
        <v>630.0</v>
      </c>
      <c r="H460" s="13">
        <v>140.0</v>
      </c>
      <c r="I460" s="13">
        <v>7.0</v>
      </c>
      <c r="J460" s="13">
        <v>0.0</v>
      </c>
      <c r="K460" s="12" t="s">
        <v>21</v>
      </c>
      <c r="L460" s="7">
        <v>41750.69737268519</v>
      </c>
      <c r="M460" s="14" t="s">
        <v>1219</v>
      </c>
      <c r="N460" s="14" t="s">
        <v>1220</v>
      </c>
      <c r="O460" s="11" t="str">
        <f>HYPERLINK("https://pbs.twimg.com/profile_images/686787791171248128/51m2zxZn_normal.jpg","View")</f>
        <v>View</v>
      </c>
      <c r="P460" s="15"/>
    </row>
    <row r="461">
      <c r="A461" s="7">
        <v>42425.29006944444</v>
      </c>
      <c r="B461" s="8" t="str">
        <f>HYPERLINK("https://twitter.com/kylemaxwell","@kylemaxwell")</f>
        <v>@kylemaxwell</v>
      </c>
      <c r="C461" s="10" t="s">
        <v>1221</v>
      </c>
      <c r="D461" s="10" t="s">
        <v>1212</v>
      </c>
      <c r="E461" s="11" t="str">
        <f>HYPERLINK("https://twitter.com/kylemaxwell/status/702870090119667713","702870090119667713")</f>
        <v>702870090119667713</v>
      </c>
      <c r="F461" s="12" t="s">
        <v>152</v>
      </c>
      <c r="G461" s="13">
        <v>4143.0</v>
      </c>
      <c r="H461" s="13">
        <v>602.0</v>
      </c>
      <c r="I461" s="13">
        <v>24.0</v>
      </c>
      <c r="J461" s="13">
        <v>0.0</v>
      </c>
      <c r="K461" s="12" t="s">
        <v>21</v>
      </c>
      <c r="L461" s="7">
        <v>39111.44997685185</v>
      </c>
      <c r="M461" s="14" t="s">
        <v>1222</v>
      </c>
      <c r="N461" s="14" t="s">
        <v>1223</v>
      </c>
      <c r="O461" s="11" t="str">
        <f>HYPERLINK("https://pbs.twimg.com/profile_images/698990474967719936/jr4zinGb_normal.jpg","View")</f>
        <v>View</v>
      </c>
      <c r="P461" s="15"/>
    </row>
    <row r="462">
      <c r="A462" s="7">
        <v>42425.29017361111</v>
      </c>
      <c r="B462" s="8" t="str">
        <f>HYPERLINK("https://twitter.com/Ewjoachim","@Ewjoachim")</f>
        <v>@Ewjoachim</v>
      </c>
      <c r="C462" s="10" t="s">
        <v>1224</v>
      </c>
      <c r="D462" s="10" t="s">
        <v>1225</v>
      </c>
      <c r="E462" s="11" t="str">
        <f>HYPERLINK("https://twitter.com/Ewjoachim/status/702870125268082688","702870125268082688")</f>
        <v>702870125268082688</v>
      </c>
      <c r="F462" s="12" t="s">
        <v>20</v>
      </c>
      <c r="G462" s="13">
        <v>168.0</v>
      </c>
      <c r="H462" s="13">
        <v>504.0</v>
      </c>
      <c r="I462" s="13">
        <v>0.0</v>
      </c>
      <c r="J462" s="13">
        <v>1.0</v>
      </c>
      <c r="K462" s="12" t="s">
        <v>21</v>
      </c>
      <c r="L462" s="7">
        <v>39659.614074074074</v>
      </c>
      <c r="M462" s="14" t="s">
        <v>1226</v>
      </c>
      <c r="N462" s="14" t="s">
        <v>1227</v>
      </c>
      <c r="O462" s="11" t="str">
        <f>HYPERLINK("https://pbs.twimg.com/profile_images/523013721828782080/WW_eexnE_normal.jpeg","View")</f>
        <v>View</v>
      </c>
      <c r="P462" s="15"/>
    </row>
    <row r="463">
      <c r="A463" s="7">
        <v>42425.29070601852</v>
      </c>
      <c r="B463" s="8" t="str">
        <f>HYPERLINK("https://twitter.com/JoshuaLongUK","@JoshuaLongUK")</f>
        <v>@JoshuaLongUK</v>
      </c>
      <c r="C463" s="10" t="s">
        <v>101</v>
      </c>
      <c r="D463" s="10" t="s">
        <v>1228</v>
      </c>
      <c r="E463" s="11" t="str">
        <f>HYPERLINK("https://twitter.com/JoshuaLongUK/status/702870318545772544","702870318545772544")</f>
        <v>702870318545772544</v>
      </c>
      <c r="F463" s="12" t="s">
        <v>103</v>
      </c>
      <c r="G463" s="13">
        <v>25832.0</v>
      </c>
      <c r="H463" s="13">
        <v>93.0</v>
      </c>
      <c r="I463" s="13">
        <v>0.0</v>
      </c>
      <c r="J463" s="13">
        <v>0.0</v>
      </c>
      <c r="K463" s="12" t="s">
        <v>21</v>
      </c>
      <c r="L463" s="7">
        <v>41149.39659722222</v>
      </c>
      <c r="M463" s="14" t="s">
        <v>104</v>
      </c>
      <c r="N463" s="14" t="s">
        <v>105</v>
      </c>
      <c r="O463" s="11" t="str">
        <f>HYPERLINK("https://pbs.twimg.com/profile_images/627996138403168256/DaASdgVr_normal.jpg","View")</f>
        <v>View</v>
      </c>
      <c r="P463" s="15"/>
    </row>
    <row r="464">
      <c r="A464" s="7">
        <v>42425.291134259256</v>
      </c>
      <c r="B464" s="8" t="str">
        <f>HYPERLINK("https://twitter.com/the_real_pdf","@the_real_pdf")</f>
        <v>@the_real_pdf</v>
      </c>
      <c r="C464" s="10" t="s">
        <v>1229</v>
      </c>
      <c r="D464" s="10" t="s">
        <v>1102</v>
      </c>
      <c r="E464" s="11" t="str">
        <f>HYPERLINK("https://twitter.com/the_real_pdf/status/702870473475035136","702870473475035136")</f>
        <v>702870473475035136</v>
      </c>
      <c r="F464" s="12" t="s">
        <v>52</v>
      </c>
      <c r="G464" s="13">
        <v>141.0</v>
      </c>
      <c r="H464" s="13">
        <v>300.0</v>
      </c>
      <c r="I464" s="13">
        <v>14.0</v>
      </c>
      <c r="J464" s="13">
        <v>0.0</v>
      </c>
      <c r="K464" s="12" t="s">
        <v>21</v>
      </c>
      <c r="L464" s="7">
        <v>39860.824224537035</v>
      </c>
      <c r="M464" s="14" t="s">
        <v>379</v>
      </c>
      <c r="N464" s="14" t="s">
        <v>1230</v>
      </c>
      <c r="O464" s="11" t="str">
        <f>HYPERLINK("https://pbs.twimg.com/profile_images/430148297462775808/m6ZMrd9a_normal.jpeg","View")</f>
        <v>View</v>
      </c>
      <c r="P464" s="15"/>
    </row>
    <row r="465">
      <c r="A465" s="7">
        <v>42425.29137731482</v>
      </c>
      <c r="B465" s="8" t="str">
        <f>HYPERLINK("https://twitter.com/_JAStark","@_JAStark")</f>
        <v>@_JAStark</v>
      </c>
      <c r="C465" s="10" t="s">
        <v>1231</v>
      </c>
      <c r="D465" s="10" t="s">
        <v>752</v>
      </c>
      <c r="E465" s="11" t="str">
        <f>HYPERLINK("https://twitter.com/_JAStark/status/702870564487208961","702870564487208961")</f>
        <v>702870564487208961</v>
      </c>
      <c r="F465" s="12" t="s">
        <v>52</v>
      </c>
      <c r="G465" s="13">
        <v>223.0</v>
      </c>
      <c r="H465" s="13">
        <v>339.0</v>
      </c>
      <c r="I465" s="13">
        <v>7.0</v>
      </c>
      <c r="J465" s="13">
        <v>0.0</v>
      </c>
      <c r="K465" s="12" t="s">
        <v>21</v>
      </c>
      <c r="L465" s="7">
        <v>41601.602013888885</v>
      </c>
      <c r="M465" s="14" t="s">
        <v>784</v>
      </c>
      <c r="N465" s="14" t="s">
        <v>1232</v>
      </c>
      <c r="O465" s="11" t="str">
        <f>HYPERLINK("https://pbs.twimg.com/profile_images/601960744683511808/aDTTukcs_normal.jpg","View")</f>
        <v>View</v>
      </c>
      <c r="P465" s="15"/>
    </row>
    <row r="466">
      <c r="A466" s="7">
        <v>42425.29177083333</v>
      </c>
      <c r="B466" s="8" t="str">
        <f>HYPERLINK("https://twitter.com/PacktPub","@PacktPub")</f>
        <v>@PacktPub</v>
      </c>
      <c r="C466" s="10" t="s">
        <v>1233</v>
      </c>
      <c r="D466" s="10" t="s">
        <v>1234</v>
      </c>
      <c r="E466" s="11" t="str">
        <f>HYPERLINK("https://twitter.com/PacktPub/status/702870706678136832","702870706678136832")</f>
        <v>702870706678136832</v>
      </c>
      <c r="F466" s="12" t="s">
        <v>47</v>
      </c>
      <c r="G466" s="13">
        <v>10892.0</v>
      </c>
      <c r="H466" s="13">
        <v>1975.0</v>
      </c>
      <c r="I466" s="13">
        <v>1.0</v>
      </c>
      <c r="J466" s="13">
        <v>0.0</v>
      </c>
      <c r="K466" s="12" t="s">
        <v>21</v>
      </c>
      <c r="L466" s="7">
        <v>39783.219988425924</v>
      </c>
      <c r="M466" s="14" t="s">
        <v>1235</v>
      </c>
      <c r="N466" s="14" t="s">
        <v>1236</v>
      </c>
      <c r="O466" s="11" t="str">
        <f>HYPERLINK("https://pbs.twimg.com/profile_images/685502131433041920/c6eSyWf7_normal.png","View")</f>
        <v>View</v>
      </c>
      <c r="P466" s="15"/>
    </row>
    <row r="467">
      <c r="A467" s="7">
        <v>42425.291851851856</v>
      </c>
      <c r="B467" s="8" t="str">
        <f>HYPERLINK("https://twitter.com/studioego","@studioego")</f>
        <v>@studioego</v>
      </c>
      <c r="C467" s="10" t="s">
        <v>1237</v>
      </c>
      <c r="D467" s="10" t="s">
        <v>1238</v>
      </c>
      <c r="E467" s="11" t="str">
        <f>HYPERLINK("https://twitter.com/studioego/status/702870734004056064","702870734004056064")</f>
        <v>702870734004056064</v>
      </c>
      <c r="F467" s="12" t="s">
        <v>52</v>
      </c>
      <c r="G467" s="13">
        <v>2172.0</v>
      </c>
      <c r="H467" s="13">
        <v>2978.0</v>
      </c>
      <c r="I467" s="13">
        <v>1.0</v>
      </c>
      <c r="J467" s="13">
        <v>0.0</v>
      </c>
      <c r="K467" s="12" t="s">
        <v>21</v>
      </c>
      <c r="L467" s="7">
        <v>39589.189409722225</v>
      </c>
      <c r="M467" s="14" t="s">
        <v>1239</v>
      </c>
      <c r="N467" s="14" t="s">
        <v>1240</v>
      </c>
      <c r="O467" s="11" t="str">
        <f>HYPERLINK("https://pbs.twimg.com/profile_images/537058631024275456/epiJkkOw_normal.jpeg","View")</f>
        <v>View</v>
      </c>
      <c r="P467" s="15"/>
    </row>
    <row r="468">
      <c r="A468" s="7">
        <v>42425.2920949074</v>
      </c>
      <c r="B468" s="8" t="str">
        <f>HYPERLINK("https://twitter.com/37point2","@37point2")</f>
        <v>@37point2</v>
      </c>
      <c r="C468" s="10" t="s">
        <v>1241</v>
      </c>
      <c r="D468" s="10" t="s">
        <v>1212</v>
      </c>
      <c r="E468" s="11" t="str">
        <f>HYPERLINK("https://twitter.com/37point2/status/702870823762272257","702870823762272257")</f>
        <v>702870823762272257</v>
      </c>
      <c r="F468" s="12" t="s">
        <v>20</v>
      </c>
      <c r="G468" s="13">
        <v>1136.0</v>
      </c>
      <c r="H468" s="13">
        <v>981.0</v>
      </c>
      <c r="I468" s="13">
        <v>24.0</v>
      </c>
      <c r="J468" s="13">
        <v>0.0</v>
      </c>
      <c r="K468" s="12" t="s">
        <v>21</v>
      </c>
      <c r="L468" s="7">
        <v>40656.6012037037</v>
      </c>
      <c r="M468" s="14" t="s">
        <v>1242</v>
      </c>
      <c r="N468" s="14" t="s">
        <v>1243</v>
      </c>
      <c r="O468" s="11" t="str">
        <f>HYPERLINK("https://pbs.twimg.com/profile_images/1322795553/wooly_normal.bmp","View")</f>
        <v>View</v>
      </c>
      <c r="P468" s="15"/>
    </row>
    <row r="469">
      <c r="A469" s="7">
        <v>42425.29243055556</v>
      </c>
      <c r="B469" s="8" t="str">
        <f>HYPERLINK("https://twitter.com/mikegrimshaw2","@mikegrimshaw2")</f>
        <v>@mikegrimshaw2</v>
      </c>
      <c r="C469" s="10" t="s">
        <v>1244</v>
      </c>
      <c r="D469" s="10" t="s">
        <v>1245</v>
      </c>
      <c r="E469" s="11" t="str">
        <f>HYPERLINK("https://twitter.com/mikegrimshaw2/status/702870943983513601","702870943983513601")</f>
        <v>702870943983513601</v>
      </c>
      <c r="F469" s="12" t="s">
        <v>52</v>
      </c>
      <c r="G469" s="13">
        <v>2411.0</v>
      </c>
      <c r="H469" s="13">
        <v>2667.0</v>
      </c>
      <c r="I469" s="13">
        <v>1.0</v>
      </c>
      <c r="J469" s="13">
        <v>1.0</v>
      </c>
      <c r="K469" s="12" t="s">
        <v>21</v>
      </c>
      <c r="L469" s="7">
        <v>40570.697916666664</v>
      </c>
      <c r="M469" s="14" t="s">
        <v>1246</v>
      </c>
      <c r="N469" s="14" t="s">
        <v>1247</v>
      </c>
      <c r="O469" s="11" t="str">
        <f>HYPERLINK("https://pbs.twimg.com/profile_images/611686609407180800/hZKDoHLq_normal.jpg","View")</f>
        <v>View</v>
      </c>
      <c r="P469" s="15"/>
    </row>
    <row r="470">
      <c r="A470" s="7">
        <v>42425.29247685186</v>
      </c>
      <c r="B470" s="8" t="str">
        <f>HYPERLINK("https://twitter.com/PythonWeekly","@PythonWeekly")</f>
        <v>@PythonWeekly</v>
      </c>
      <c r="C470" s="10" t="s">
        <v>948</v>
      </c>
      <c r="D470" s="10" t="s">
        <v>1248</v>
      </c>
      <c r="E470" s="11" t="str">
        <f>HYPERLINK("https://twitter.com/PythonWeekly/status/702870961910128640","702870961910128640")</f>
        <v>702870961910128640</v>
      </c>
      <c r="F470" s="12" t="s">
        <v>294</v>
      </c>
      <c r="G470" s="13">
        <v>15565.0</v>
      </c>
      <c r="H470" s="13">
        <v>0.0</v>
      </c>
      <c r="I470" s="13">
        <v>5.0</v>
      </c>
      <c r="J470" s="13">
        <v>10.0</v>
      </c>
      <c r="K470" s="12" t="s">
        <v>21</v>
      </c>
      <c r="L470" s="7">
        <v>40800.65934027778</v>
      </c>
      <c r="M470" s="16"/>
      <c r="N470" s="14" t="s">
        <v>950</v>
      </c>
      <c r="O470" s="11" t="str">
        <f>HYPERLINK("https://pbs.twimg.com/profile_images/1554238582/python_normal.jpg","View")</f>
        <v>View</v>
      </c>
      <c r="P470" s="15"/>
    </row>
    <row r="471">
      <c r="A471" s="7">
        <v>42425.292546296296</v>
      </c>
      <c r="B471" s="8" t="str">
        <f>HYPERLINK("https://twitter.com/gz_k","@gz_k")</f>
        <v>@gz_k</v>
      </c>
      <c r="C471" s="10" t="s">
        <v>1249</v>
      </c>
      <c r="D471" s="10" t="s">
        <v>485</v>
      </c>
      <c r="E471" s="11" t="str">
        <f>HYPERLINK("https://twitter.com/gz_k/status/702870987579236352","702870987579236352")</f>
        <v>702870987579236352</v>
      </c>
      <c r="F471" s="12" t="s">
        <v>20</v>
      </c>
      <c r="G471" s="13">
        <v>219.0</v>
      </c>
      <c r="H471" s="13">
        <v>310.0</v>
      </c>
      <c r="I471" s="13">
        <v>14.0</v>
      </c>
      <c r="J471" s="13">
        <v>0.0</v>
      </c>
      <c r="K471" s="12" t="s">
        <v>21</v>
      </c>
      <c r="L471" s="7">
        <v>40148.288981481484</v>
      </c>
      <c r="M471" s="14" t="s">
        <v>1250</v>
      </c>
      <c r="N471" s="14" t="s">
        <v>1251</v>
      </c>
      <c r="O471" s="11" t="str">
        <f>HYPERLINK("https://pbs.twimg.com/profile_images/1693000595/profil_normal.JPG","View")</f>
        <v>View</v>
      </c>
      <c r="P471" s="15"/>
    </row>
    <row r="472">
      <c r="A472" s="7">
        <v>42425.292766203704</v>
      </c>
      <c r="B472" s="8" t="str">
        <f>HYPERLINK("https://twitter.com/viborc","@viborc")</f>
        <v>@viborc</v>
      </c>
      <c r="C472" s="10" t="s">
        <v>1252</v>
      </c>
      <c r="D472" s="10" t="s">
        <v>1253</v>
      </c>
      <c r="E472" s="11" t="str">
        <f>HYPERLINK("https://twitter.com/viborc/status/702871067015127041","702871067015127041")</f>
        <v>702871067015127041</v>
      </c>
      <c r="F472" s="12" t="s">
        <v>98</v>
      </c>
      <c r="G472" s="13">
        <v>4732.0</v>
      </c>
      <c r="H472" s="13">
        <v>1777.0</v>
      </c>
      <c r="I472" s="13">
        <v>0.0</v>
      </c>
      <c r="J472" s="13">
        <v>0.0</v>
      </c>
      <c r="K472" s="12" t="s">
        <v>21</v>
      </c>
      <c r="L472" s="7">
        <v>39565.66872685185</v>
      </c>
      <c r="M472" s="14" t="s">
        <v>1254</v>
      </c>
      <c r="N472" s="14" t="s">
        <v>1255</v>
      </c>
      <c r="O472" s="11" t="str">
        <f>HYPERLINK("https://pbs.twimg.com/profile_images/378800000692640528/c74e221eec719bc38d2a131765f8efaf_normal.jpeg","View")</f>
        <v>View</v>
      </c>
      <c r="P472" s="15"/>
    </row>
    <row r="473">
      <c r="A473" s="7">
        <v>42425.293391203704</v>
      </c>
      <c r="B473" s="8" t="str">
        <f>HYPERLINK("https://twitter.com/McArthurRecruit","@McArthurRecruit")</f>
        <v>@McArthurRecruit</v>
      </c>
      <c r="C473" s="10" t="s">
        <v>1256</v>
      </c>
      <c r="D473" s="10" t="s">
        <v>1257</v>
      </c>
      <c r="E473" s="11" t="str">
        <f>HYPERLINK("https://twitter.com/McArthurRecruit/status/702871292068896768","702871292068896768")</f>
        <v>702871292068896768</v>
      </c>
      <c r="F473" s="12" t="s">
        <v>1258</v>
      </c>
      <c r="G473" s="13">
        <v>1047.0</v>
      </c>
      <c r="H473" s="13">
        <v>766.0</v>
      </c>
      <c r="I473" s="13">
        <v>0.0</v>
      </c>
      <c r="J473" s="13">
        <v>0.0</v>
      </c>
      <c r="K473" s="12" t="s">
        <v>21</v>
      </c>
      <c r="L473" s="7">
        <v>39854.566828703704</v>
      </c>
      <c r="M473" s="14" t="s">
        <v>1259</v>
      </c>
      <c r="N473" s="14" t="s">
        <v>1260</v>
      </c>
      <c r="O473" s="11" t="str">
        <f>HYPERLINK("https://pbs.twimg.com/profile_images/662039977849589760/-bw8hiZo_normal.jpg","View")</f>
        <v>View</v>
      </c>
      <c r="P473" s="15"/>
    </row>
    <row r="474">
      <c r="A474" s="7">
        <v>42425.29400462963</v>
      </c>
      <c r="B474" s="8" t="str">
        <f>HYPERLINK("https://twitter.com/anioko1","@anioko1")</f>
        <v>@anioko1</v>
      </c>
      <c r="C474" s="10" t="s">
        <v>178</v>
      </c>
      <c r="D474" s="10" t="s">
        <v>1261</v>
      </c>
      <c r="E474" s="11" t="str">
        <f>HYPERLINK("https://twitter.com/anioko1/status/702871514325098496","702871514325098496")</f>
        <v>702871514325098496</v>
      </c>
      <c r="F474" s="12" t="s">
        <v>103</v>
      </c>
      <c r="G474" s="13">
        <v>527.0</v>
      </c>
      <c r="H474" s="13">
        <v>1936.0</v>
      </c>
      <c r="I474" s="13">
        <v>0.0</v>
      </c>
      <c r="J474" s="13">
        <v>1.0</v>
      </c>
      <c r="K474" s="12" t="s">
        <v>21</v>
      </c>
      <c r="L474" s="7">
        <v>40367.98541666666</v>
      </c>
      <c r="M474" s="14" t="s">
        <v>180</v>
      </c>
      <c r="N474" s="14" t="s">
        <v>181</v>
      </c>
      <c r="O474" s="11" t="str">
        <f>HYPERLINK("https://pbs.twimg.com/profile_images/695642719948009474/s9J4OUA9_normal.jpg","View")</f>
        <v>View</v>
      </c>
      <c r="P474" s="15"/>
    </row>
    <row r="475">
      <c r="A475" s="7">
        <v>42425.29405092592</v>
      </c>
      <c r="B475" s="8" t="str">
        <f>HYPERLINK("https://twitter.com/FredRoseFilms","@FredRoseFilms")</f>
        <v>@FredRoseFilms</v>
      </c>
      <c r="C475" s="10" t="s">
        <v>1262</v>
      </c>
      <c r="D475" s="10" t="s">
        <v>1263</v>
      </c>
      <c r="E475" s="11" t="str">
        <f>HYPERLINK("https://twitter.com/FredRoseFilms/status/702871532654235649","702871532654235649")</f>
        <v>702871532654235649</v>
      </c>
      <c r="F475" s="12" t="s">
        <v>103</v>
      </c>
      <c r="G475" s="13">
        <v>205.0</v>
      </c>
      <c r="H475" s="13">
        <v>150.0</v>
      </c>
      <c r="I475" s="13">
        <v>0.0</v>
      </c>
      <c r="J475" s="13">
        <v>0.0</v>
      </c>
      <c r="K475" s="12" t="s">
        <v>21</v>
      </c>
      <c r="L475" s="7">
        <v>41129.403287037036</v>
      </c>
      <c r="M475" s="14" t="s">
        <v>1264</v>
      </c>
      <c r="N475" s="14" t="s">
        <v>1265</v>
      </c>
      <c r="O475" s="11" t="str">
        <f>HYPERLINK("https://pbs.twimg.com/profile_images/443979688935833600/DDpVbCo2_normal.jpeg","View")</f>
        <v>View</v>
      </c>
      <c r="P475" s="15"/>
    </row>
    <row r="476">
      <c r="A476" s="7">
        <v>42425.294074074074</v>
      </c>
      <c r="B476" s="8" t="str">
        <f>HYPERLINK("https://twitter.com/mikegrimshaw2","@mikegrimshaw2")</f>
        <v>@mikegrimshaw2</v>
      </c>
      <c r="C476" s="10" t="s">
        <v>1244</v>
      </c>
      <c r="D476" s="10" t="s">
        <v>1266</v>
      </c>
      <c r="E476" s="11" t="str">
        <f>HYPERLINK("https://twitter.com/mikegrimshaw2/status/702871539784388608","702871539784388608")</f>
        <v>702871539784388608</v>
      </c>
      <c r="F476" s="12" t="s">
        <v>52</v>
      </c>
      <c r="G476" s="13">
        <v>2411.0</v>
      </c>
      <c r="H476" s="13">
        <v>2667.0</v>
      </c>
      <c r="I476" s="13">
        <v>0.0</v>
      </c>
      <c r="J476" s="13">
        <v>0.0</v>
      </c>
      <c r="K476" s="12" t="s">
        <v>21</v>
      </c>
      <c r="L476" s="7">
        <v>40570.697916666664</v>
      </c>
      <c r="M476" s="14" t="s">
        <v>1246</v>
      </c>
      <c r="N476" s="14" t="s">
        <v>1247</v>
      </c>
      <c r="O476" s="11" t="str">
        <f>HYPERLINK("https://pbs.twimg.com/profile_images/611686609407180800/hZKDoHLq_normal.jpg","View")</f>
        <v>View</v>
      </c>
      <c r="P476" s="15"/>
    </row>
    <row r="477">
      <c r="A477" s="7">
        <v>42425.294594907406</v>
      </c>
      <c r="B477" s="8" t="str">
        <f>HYPERLINK("https://twitter.com/walkops","@walkops")</f>
        <v>@walkops</v>
      </c>
      <c r="C477" s="10" t="s">
        <v>743</v>
      </c>
      <c r="D477" s="10" t="s">
        <v>1267</v>
      </c>
      <c r="E477" s="11" t="str">
        <f>HYPERLINK("https://twitter.com/walkops/status/702871730692292608","702871730692292608")</f>
        <v>702871730692292608</v>
      </c>
      <c r="F477" s="12" t="s">
        <v>745</v>
      </c>
      <c r="G477" s="13">
        <v>228.0</v>
      </c>
      <c r="H477" s="13">
        <v>5.0</v>
      </c>
      <c r="I477" s="13">
        <v>0.0</v>
      </c>
      <c r="J477" s="13">
        <v>0.0</v>
      </c>
      <c r="K477" s="12" t="s">
        <v>21</v>
      </c>
      <c r="L477" s="7">
        <v>41278.36125</v>
      </c>
      <c r="M477" s="14" t="s">
        <v>746</v>
      </c>
      <c r="N477" s="14" t="s">
        <v>747</v>
      </c>
      <c r="O477" s="11" t="str">
        <f>HYPERLINK("https://pbs.twimg.com/profile_images/414665160217739264/Vjqlxhz8_normal.jpeg","View")</f>
        <v>View</v>
      </c>
      <c r="P477" s="15"/>
    </row>
    <row r="478">
      <c r="A478" s="7">
        <v>42425.295</v>
      </c>
      <c r="B478" s="8" t="str">
        <f>HYPERLINK("https://twitter.com/TechnetDigital","@TechnetDigital")</f>
        <v>@TechnetDigital</v>
      </c>
      <c r="C478" s="10" t="s">
        <v>1268</v>
      </c>
      <c r="D478" s="10" t="s">
        <v>1269</v>
      </c>
      <c r="E478" s="11" t="str">
        <f>HYPERLINK("https://twitter.com/TechnetDigital/status/702871874649387008","702871874649387008")</f>
        <v>702871874649387008</v>
      </c>
      <c r="F478" s="12" t="s">
        <v>20</v>
      </c>
      <c r="G478" s="13">
        <v>358.0</v>
      </c>
      <c r="H478" s="13">
        <v>1579.0</v>
      </c>
      <c r="I478" s="13">
        <v>0.0</v>
      </c>
      <c r="J478" s="13">
        <v>1.0</v>
      </c>
      <c r="K478" s="12" t="s">
        <v>21</v>
      </c>
      <c r="L478" s="7">
        <v>42408.38556712963</v>
      </c>
      <c r="M478" s="14" t="s">
        <v>1270</v>
      </c>
      <c r="N478" s="14" t="s">
        <v>1271</v>
      </c>
      <c r="O478" s="11" t="str">
        <f>HYPERLINK("https://pbs.twimg.com/profile_images/696755002048712705/GPvIcEjX_normal.png","View")</f>
        <v>View</v>
      </c>
      <c r="P478" s="15"/>
    </row>
    <row r="479">
      <c r="A479" s="7">
        <v>42425.2950462963</v>
      </c>
      <c r="B479" s="8" t="str">
        <f>HYPERLINK("https://twitter.com/mikegrimshaw2","@mikegrimshaw2")</f>
        <v>@mikegrimshaw2</v>
      </c>
      <c r="C479" s="10" t="s">
        <v>1244</v>
      </c>
      <c r="D479" s="10" t="s">
        <v>1272</v>
      </c>
      <c r="E479" s="11" t="str">
        <f>HYPERLINK("https://twitter.com/mikegrimshaw2/status/702871891246055424","702871891246055424")</f>
        <v>702871891246055424</v>
      </c>
      <c r="F479" s="12" t="s">
        <v>52</v>
      </c>
      <c r="G479" s="13">
        <v>2411.0</v>
      </c>
      <c r="H479" s="13">
        <v>2667.0</v>
      </c>
      <c r="I479" s="13">
        <v>2.0</v>
      </c>
      <c r="J479" s="13">
        <v>2.0</v>
      </c>
      <c r="K479" s="12" t="s">
        <v>21</v>
      </c>
      <c r="L479" s="7">
        <v>40570.697916666664</v>
      </c>
      <c r="M479" s="14" t="s">
        <v>1246</v>
      </c>
      <c r="N479" s="14" t="s">
        <v>1247</v>
      </c>
      <c r="O479" s="11" t="str">
        <f>HYPERLINK("https://pbs.twimg.com/profile_images/611686609407180800/hZKDoHLq_normal.jpg","View")</f>
        <v>View</v>
      </c>
      <c r="P479" s="15"/>
    </row>
    <row r="480">
      <c r="A480" s="7">
        <v>42425.29597222222</v>
      </c>
      <c r="B480" s="8" t="str">
        <f>HYPERLINK("https://twitter.com/catalyst256","@catalyst256")</f>
        <v>@catalyst256</v>
      </c>
      <c r="C480" s="10" t="s">
        <v>1273</v>
      </c>
      <c r="D480" s="10" t="s">
        <v>1212</v>
      </c>
      <c r="E480" s="11" t="str">
        <f>HYPERLINK("https://twitter.com/catalyst256/status/702872226350178304","702872226350178304")</f>
        <v>702872226350178304</v>
      </c>
      <c r="F480" s="12" t="s">
        <v>446</v>
      </c>
      <c r="G480" s="13">
        <v>1265.0</v>
      </c>
      <c r="H480" s="13">
        <v>1552.0</v>
      </c>
      <c r="I480" s="13">
        <v>24.0</v>
      </c>
      <c r="J480" s="13">
        <v>0.0</v>
      </c>
      <c r="K480" s="12" t="s">
        <v>21</v>
      </c>
      <c r="L480" s="7">
        <v>40107.17072916667</v>
      </c>
      <c r="M480" s="14" t="s">
        <v>1274</v>
      </c>
      <c r="N480" s="14" t="s">
        <v>1275</v>
      </c>
      <c r="O480" s="11" t="str">
        <f>HYPERLINK("https://pbs.twimg.com/profile_images/664850367964946432/MM3NS2iW_normal.jpg","View")</f>
        <v>View</v>
      </c>
      <c r="P480" s="15"/>
    </row>
    <row r="481">
      <c r="A481" s="7">
        <v>42425.29622685185</v>
      </c>
      <c r="B481" s="8" t="str">
        <f>HYPERLINK("https://twitter.com/FugueHQ","@FugueHQ")</f>
        <v>@FugueHQ</v>
      </c>
      <c r="C481" s="10" t="s">
        <v>1276</v>
      </c>
      <c r="D481" s="10" t="s">
        <v>1277</v>
      </c>
      <c r="E481" s="11" t="str">
        <f>HYPERLINK("https://twitter.com/FugueHQ/status/702872321653084161","702872321653084161")</f>
        <v>702872321653084161</v>
      </c>
      <c r="F481" s="12" t="s">
        <v>20</v>
      </c>
      <c r="G481" s="13">
        <v>277.0</v>
      </c>
      <c r="H481" s="13">
        <v>128.0</v>
      </c>
      <c r="I481" s="13">
        <v>5.0</v>
      </c>
      <c r="J481" s="13">
        <v>0.0</v>
      </c>
      <c r="K481" s="12" t="s">
        <v>21</v>
      </c>
      <c r="L481" s="7">
        <v>41586.77538194445</v>
      </c>
      <c r="M481" s="14" t="s">
        <v>1278</v>
      </c>
      <c r="N481" s="14" t="s">
        <v>1279</v>
      </c>
      <c r="O481" s="11" t="str">
        <f>HYPERLINK("https://pbs.twimg.com/profile_images/687691749909749760/tQn8cmQv_normal.png","View")</f>
        <v>View</v>
      </c>
      <c r="P481" s="15"/>
    </row>
    <row r="482">
      <c r="A482" s="7">
        <v>42425.297002314815</v>
      </c>
      <c r="B482" s="8" t="str">
        <f>HYPERLINK("https://twitter.com/zoetropeLabs","@zoetropeLabs")</f>
        <v>@zoetropeLabs</v>
      </c>
      <c r="C482" s="10" t="s">
        <v>1280</v>
      </c>
      <c r="D482" s="10" t="s">
        <v>1281</v>
      </c>
      <c r="E482" s="11" t="str">
        <f>HYPERLINK("https://twitter.com/zoetropeLabs/status/702872599030796288","702872599030796288")</f>
        <v>702872599030796288</v>
      </c>
      <c r="F482" s="12" t="s">
        <v>20</v>
      </c>
      <c r="G482" s="13">
        <v>749.0</v>
      </c>
      <c r="H482" s="13">
        <v>387.0</v>
      </c>
      <c r="I482" s="13">
        <v>0.0</v>
      </c>
      <c r="J482" s="13">
        <v>0.0</v>
      </c>
      <c r="K482" s="12" t="s">
        <v>21</v>
      </c>
      <c r="L482" s="7">
        <v>41574.478738425925</v>
      </c>
      <c r="M482" s="14" t="s">
        <v>1282</v>
      </c>
      <c r="N482" s="14" t="s">
        <v>1283</v>
      </c>
      <c r="O482" s="11" t="str">
        <f>HYPERLINK("https://pbs.twimg.com/profile_images/378800000664192435/30fdedde058503e15a606e1089e54170_normal.png","View")</f>
        <v>View</v>
      </c>
      <c r="P482" s="15"/>
    </row>
    <row r="483">
      <c r="A483" s="7">
        <v>42425.297627314816</v>
      </c>
      <c r="B483" s="8" t="str">
        <f>HYPERLINK("https://twitter.com/artwisanggeni","@artwisanggeni")</f>
        <v>@artwisanggeni</v>
      </c>
      <c r="C483" s="10" t="s">
        <v>74</v>
      </c>
      <c r="D483" s="10" t="s">
        <v>1284</v>
      </c>
      <c r="E483" s="11" t="str">
        <f>HYPERLINK("https://twitter.com/artwisanggeni/status/702872828220059648","702872828220059648")</f>
        <v>702872828220059648</v>
      </c>
      <c r="F483" s="17" t="s">
        <v>76</v>
      </c>
      <c r="G483" s="13">
        <v>236.0</v>
      </c>
      <c r="H483" s="13">
        <v>61.0</v>
      </c>
      <c r="I483" s="13">
        <v>0.0</v>
      </c>
      <c r="J483" s="13">
        <v>0.0</v>
      </c>
      <c r="K483" s="12" t="s">
        <v>21</v>
      </c>
      <c r="L483" s="7">
        <v>41218.90608796296</v>
      </c>
      <c r="M483" s="14" t="s">
        <v>77</v>
      </c>
      <c r="N483" s="14" t="s">
        <v>78</v>
      </c>
      <c r="O483" s="11" t="str">
        <f>HYPERLINK("https://pbs.twimg.com/profile_images/2813636657/599521f69e2bc210a57323b64d8e39e6_normal.jpeg","View")</f>
        <v>View</v>
      </c>
      <c r="P483" s="15"/>
    </row>
    <row r="484">
      <c r="A484" s="7">
        <v>42425.297627314816</v>
      </c>
      <c r="B484" s="8" t="str">
        <f>HYPERLINK("https://twitter.com/SiliconArmada","@SiliconArmada")</f>
        <v>@SiliconArmada</v>
      </c>
      <c r="C484" s="10" t="s">
        <v>1285</v>
      </c>
      <c r="D484" s="10" t="s">
        <v>1286</v>
      </c>
      <c r="E484" s="11" t="str">
        <f>HYPERLINK("https://twitter.com/SiliconArmada/status/702872828274671617","702872828274671617")</f>
        <v>702872828274671617</v>
      </c>
      <c r="F484" s="12" t="s">
        <v>20</v>
      </c>
      <c r="G484" s="13">
        <v>24615.0</v>
      </c>
      <c r="H484" s="13">
        <v>24296.0</v>
      </c>
      <c r="I484" s="13">
        <v>6.0</v>
      </c>
      <c r="J484" s="13">
        <v>7.0</v>
      </c>
      <c r="K484" s="12" t="s">
        <v>21</v>
      </c>
      <c r="L484" s="7">
        <v>41619.121203703704</v>
      </c>
      <c r="M484" s="14" t="s">
        <v>1287</v>
      </c>
      <c r="N484" s="14" t="s">
        <v>1288</v>
      </c>
      <c r="O484" s="11" t="str">
        <f>HYPERLINK("https://pbs.twimg.com/profile_images/660839913970118656/5BS6sNCq_normal.png","View")</f>
        <v>View</v>
      </c>
      <c r="P484" s="15"/>
    </row>
    <row r="485">
      <c r="A485" s="7">
        <v>42425.29763888889</v>
      </c>
      <c r="B485" s="8" t="str">
        <f t="shared" ref="B485:B493" si="39">HYPERLINK("https://twitter.com/artwisanggeni","@artwisanggeni")</f>
        <v>@artwisanggeni</v>
      </c>
      <c r="C485" s="10" t="s">
        <v>74</v>
      </c>
      <c r="D485" s="10" t="s">
        <v>1289</v>
      </c>
      <c r="E485" s="11" t="str">
        <f>HYPERLINK("https://twitter.com/artwisanggeni/status/702872831361613825","702872831361613825")</f>
        <v>702872831361613825</v>
      </c>
      <c r="F485" s="17" t="s">
        <v>76</v>
      </c>
      <c r="G485" s="13">
        <v>236.0</v>
      </c>
      <c r="H485" s="13">
        <v>61.0</v>
      </c>
      <c r="I485" s="13">
        <v>0.0</v>
      </c>
      <c r="J485" s="13">
        <v>0.0</v>
      </c>
      <c r="K485" s="12" t="s">
        <v>21</v>
      </c>
      <c r="L485" s="7">
        <v>41218.90608796296</v>
      </c>
      <c r="M485" s="14" t="s">
        <v>77</v>
      </c>
      <c r="N485" s="14" t="s">
        <v>78</v>
      </c>
      <c r="O485" s="11" t="str">
        <f t="shared" ref="O485:O493" si="40">HYPERLINK("https://pbs.twimg.com/profile_images/2813636657/599521f69e2bc210a57323b64d8e39e6_normal.jpeg","View")</f>
        <v>View</v>
      </c>
      <c r="P485" s="15"/>
    </row>
    <row r="486">
      <c r="A486" s="7">
        <v>42425.29765046296</v>
      </c>
      <c r="B486" s="8" t="str">
        <f t="shared" si="39"/>
        <v>@artwisanggeni</v>
      </c>
      <c r="C486" s="10" t="s">
        <v>74</v>
      </c>
      <c r="D486" s="10" t="s">
        <v>1290</v>
      </c>
      <c r="E486" s="11" t="str">
        <f>HYPERLINK("https://twitter.com/artwisanggeni/status/702872834800877568","702872834800877568")</f>
        <v>702872834800877568</v>
      </c>
      <c r="F486" s="17" t="s">
        <v>76</v>
      </c>
      <c r="G486" s="13">
        <v>236.0</v>
      </c>
      <c r="H486" s="13">
        <v>61.0</v>
      </c>
      <c r="I486" s="13">
        <v>0.0</v>
      </c>
      <c r="J486" s="13">
        <v>0.0</v>
      </c>
      <c r="K486" s="12" t="s">
        <v>21</v>
      </c>
      <c r="L486" s="7">
        <v>41218.90608796296</v>
      </c>
      <c r="M486" s="14" t="s">
        <v>77</v>
      </c>
      <c r="N486" s="14" t="s">
        <v>78</v>
      </c>
      <c r="O486" s="11" t="str">
        <f t="shared" si="40"/>
        <v>View</v>
      </c>
      <c r="P486" s="15"/>
    </row>
    <row r="487">
      <c r="A487" s="7">
        <v>42425.29765046296</v>
      </c>
      <c r="B487" s="8" t="str">
        <f t="shared" si="39"/>
        <v>@artwisanggeni</v>
      </c>
      <c r="C487" s="10" t="s">
        <v>74</v>
      </c>
      <c r="D487" s="10" t="s">
        <v>1291</v>
      </c>
      <c r="E487" s="11" t="str">
        <f>HYPERLINK("https://twitter.com/artwisanggeni/status/702872838005399552","702872838005399552")</f>
        <v>702872838005399552</v>
      </c>
      <c r="F487" s="17" t="s">
        <v>76</v>
      </c>
      <c r="G487" s="13">
        <v>236.0</v>
      </c>
      <c r="H487" s="13">
        <v>61.0</v>
      </c>
      <c r="I487" s="13">
        <v>0.0</v>
      </c>
      <c r="J487" s="13">
        <v>0.0</v>
      </c>
      <c r="K487" s="12" t="s">
        <v>21</v>
      </c>
      <c r="L487" s="7">
        <v>41218.90608796296</v>
      </c>
      <c r="M487" s="14" t="s">
        <v>77</v>
      </c>
      <c r="N487" s="14" t="s">
        <v>78</v>
      </c>
      <c r="O487" s="11" t="str">
        <f t="shared" si="40"/>
        <v>View</v>
      </c>
      <c r="P487" s="15"/>
    </row>
    <row r="488">
      <c r="A488" s="7">
        <v>42425.29766203703</v>
      </c>
      <c r="B488" s="8" t="str">
        <f t="shared" si="39"/>
        <v>@artwisanggeni</v>
      </c>
      <c r="C488" s="10" t="s">
        <v>74</v>
      </c>
      <c r="D488" s="10" t="s">
        <v>1292</v>
      </c>
      <c r="E488" s="11" t="str">
        <f>HYPERLINK("https://twitter.com/artwisanggeni/status/702872841306279941","702872841306279941")</f>
        <v>702872841306279941</v>
      </c>
      <c r="F488" s="17" t="s">
        <v>76</v>
      </c>
      <c r="G488" s="13">
        <v>236.0</v>
      </c>
      <c r="H488" s="13">
        <v>61.0</v>
      </c>
      <c r="I488" s="13">
        <v>0.0</v>
      </c>
      <c r="J488" s="13">
        <v>0.0</v>
      </c>
      <c r="K488" s="12" t="s">
        <v>21</v>
      </c>
      <c r="L488" s="7">
        <v>41218.90608796296</v>
      </c>
      <c r="M488" s="14" t="s">
        <v>77</v>
      </c>
      <c r="N488" s="14" t="s">
        <v>78</v>
      </c>
      <c r="O488" s="11" t="str">
        <f t="shared" si="40"/>
        <v>View</v>
      </c>
      <c r="P488" s="15"/>
    </row>
    <row r="489">
      <c r="A489" s="7">
        <v>42425.297673611116</v>
      </c>
      <c r="B489" s="8" t="str">
        <f t="shared" si="39"/>
        <v>@artwisanggeni</v>
      </c>
      <c r="C489" s="10" t="s">
        <v>74</v>
      </c>
      <c r="D489" s="10" t="s">
        <v>1293</v>
      </c>
      <c r="E489" s="11" t="str">
        <f>HYPERLINK("https://twitter.com/artwisanggeni/status/702872844728840192","702872844728840192")</f>
        <v>702872844728840192</v>
      </c>
      <c r="F489" s="17" t="s">
        <v>76</v>
      </c>
      <c r="G489" s="13">
        <v>236.0</v>
      </c>
      <c r="H489" s="13">
        <v>61.0</v>
      </c>
      <c r="I489" s="13">
        <v>0.0</v>
      </c>
      <c r="J489" s="13">
        <v>0.0</v>
      </c>
      <c r="K489" s="12" t="s">
        <v>21</v>
      </c>
      <c r="L489" s="7">
        <v>41218.90608796296</v>
      </c>
      <c r="M489" s="14" t="s">
        <v>77</v>
      </c>
      <c r="N489" s="14" t="s">
        <v>78</v>
      </c>
      <c r="O489" s="11" t="str">
        <f t="shared" si="40"/>
        <v>View</v>
      </c>
      <c r="P489" s="15"/>
    </row>
    <row r="490">
      <c r="A490" s="7">
        <v>42425.297685185185</v>
      </c>
      <c r="B490" s="8" t="str">
        <f t="shared" si="39"/>
        <v>@artwisanggeni</v>
      </c>
      <c r="C490" s="10" t="s">
        <v>74</v>
      </c>
      <c r="D490" s="10" t="s">
        <v>1294</v>
      </c>
      <c r="E490" s="11" t="str">
        <f>HYPERLINK("https://twitter.com/artwisanggeni/status/702872847627124736","702872847627124736")</f>
        <v>702872847627124736</v>
      </c>
      <c r="F490" s="17" t="s">
        <v>76</v>
      </c>
      <c r="G490" s="13">
        <v>236.0</v>
      </c>
      <c r="H490" s="13">
        <v>61.0</v>
      </c>
      <c r="I490" s="13">
        <v>0.0</v>
      </c>
      <c r="J490" s="13">
        <v>0.0</v>
      </c>
      <c r="K490" s="12" t="s">
        <v>21</v>
      </c>
      <c r="L490" s="7">
        <v>41218.90608796296</v>
      </c>
      <c r="M490" s="14" t="s">
        <v>77</v>
      </c>
      <c r="N490" s="14" t="s">
        <v>78</v>
      </c>
      <c r="O490" s="11" t="str">
        <f t="shared" si="40"/>
        <v>View</v>
      </c>
      <c r="P490" s="15"/>
    </row>
    <row r="491">
      <c r="A491" s="7">
        <v>42425.297685185185</v>
      </c>
      <c r="B491" s="8" t="str">
        <f t="shared" si="39"/>
        <v>@artwisanggeni</v>
      </c>
      <c r="C491" s="10" t="s">
        <v>74</v>
      </c>
      <c r="D491" s="10" t="s">
        <v>1295</v>
      </c>
      <c r="E491" s="11" t="str">
        <f>HYPERLINK("https://twitter.com/artwisanggeni/status/702872850600849409","702872850600849409")</f>
        <v>702872850600849409</v>
      </c>
      <c r="F491" s="17" t="s">
        <v>76</v>
      </c>
      <c r="G491" s="13">
        <v>236.0</v>
      </c>
      <c r="H491" s="13">
        <v>61.0</v>
      </c>
      <c r="I491" s="13">
        <v>0.0</v>
      </c>
      <c r="J491" s="13">
        <v>0.0</v>
      </c>
      <c r="K491" s="12" t="s">
        <v>21</v>
      </c>
      <c r="L491" s="7">
        <v>41218.90608796296</v>
      </c>
      <c r="M491" s="14" t="s">
        <v>77</v>
      </c>
      <c r="N491" s="14" t="s">
        <v>78</v>
      </c>
      <c r="O491" s="11" t="str">
        <f t="shared" si="40"/>
        <v>View</v>
      </c>
      <c r="P491" s="15"/>
    </row>
    <row r="492">
      <c r="A492" s="7">
        <v>42425.297696759255</v>
      </c>
      <c r="B492" s="8" t="str">
        <f t="shared" si="39"/>
        <v>@artwisanggeni</v>
      </c>
      <c r="C492" s="10" t="s">
        <v>74</v>
      </c>
      <c r="D492" s="10" t="s">
        <v>1296</v>
      </c>
      <c r="E492" s="11" t="str">
        <f>HYPERLINK("https://twitter.com/artwisanggeni/status/702872853327142912","702872853327142912")</f>
        <v>702872853327142912</v>
      </c>
      <c r="F492" s="17" t="s">
        <v>76</v>
      </c>
      <c r="G492" s="13">
        <v>236.0</v>
      </c>
      <c r="H492" s="13">
        <v>61.0</v>
      </c>
      <c r="I492" s="13">
        <v>0.0</v>
      </c>
      <c r="J492" s="13">
        <v>0.0</v>
      </c>
      <c r="K492" s="12" t="s">
        <v>21</v>
      </c>
      <c r="L492" s="7">
        <v>41218.90608796296</v>
      </c>
      <c r="M492" s="14" t="s">
        <v>77</v>
      </c>
      <c r="N492" s="14" t="s">
        <v>78</v>
      </c>
      <c r="O492" s="11" t="str">
        <f t="shared" si="40"/>
        <v>View</v>
      </c>
      <c r="P492" s="15"/>
    </row>
    <row r="493">
      <c r="A493" s="7">
        <v>42425.29770833333</v>
      </c>
      <c r="B493" s="8" t="str">
        <f t="shared" si="39"/>
        <v>@artwisanggeni</v>
      </c>
      <c r="C493" s="10" t="s">
        <v>74</v>
      </c>
      <c r="D493" s="10" t="s">
        <v>1297</v>
      </c>
      <c r="E493" s="11" t="str">
        <f>HYPERLINK("https://twitter.com/artwisanggeni/status/702872856426745856","702872856426745856")</f>
        <v>702872856426745856</v>
      </c>
      <c r="F493" s="17" t="s">
        <v>76</v>
      </c>
      <c r="G493" s="13">
        <v>236.0</v>
      </c>
      <c r="H493" s="13">
        <v>61.0</v>
      </c>
      <c r="I493" s="13">
        <v>0.0</v>
      </c>
      <c r="J493" s="13">
        <v>0.0</v>
      </c>
      <c r="K493" s="12" t="s">
        <v>21</v>
      </c>
      <c r="L493" s="7">
        <v>41218.90608796296</v>
      </c>
      <c r="M493" s="14" t="s">
        <v>77</v>
      </c>
      <c r="N493" s="14" t="s">
        <v>78</v>
      </c>
      <c r="O493" s="11" t="str">
        <f t="shared" si="40"/>
        <v>View</v>
      </c>
      <c r="P493" s="15"/>
    </row>
    <row r="494">
      <c r="A494" s="7">
        <v>42425.29809027778</v>
      </c>
      <c r="B494" s="8" t="str">
        <f>HYPERLINK("https://twitter.com/NoSQLDigest","@NoSQLDigest")</f>
        <v>@NoSQLDigest</v>
      </c>
      <c r="C494" s="10" t="s">
        <v>200</v>
      </c>
      <c r="D494" s="10" t="s">
        <v>1168</v>
      </c>
      <c r="E494" s="11" t="str">
        <f>HYPERLINK("https://twitter.com/NoSQLDigest/status/702872995983798277","702872995983798277")</f>
        <v>702872995983798277</v>
      </c>
      <c r="F494" s="12" t="s">
        <v>202</v>
      </c>
      <c r="G494" s="13">
        <v>11375.0</v>
      </c>
      <c r="H494" s="13">
        <v>12.0</v>
      </c>
      <c r="I494" s="13">
        <v>3.0</v>
      </c>
      <c r="J494" s="13">
        <v>0.0</v>
      </c>
      <c r="K494" s="12" t="s">
        <v>21</v>
      </c>
      <c r="L494" s="7">
        <v>41854.421805555554</v>
      </c>
      <c r="M494" s="16"/>
      <c r="N494" s="14" t="s">
        <v>203</v>
      </c>
      <c r="O494" s="11" t="str">
        <f>HYPERLINK("https://pbs.twimg.com/profile_images/499257180009529344/CSWhr7LZ_normal.jpeg","View")</f>
        <v>View</v>
      </c>
      <c r="P494" s="15"/>
    </row>
    <row r="495">
      <c r="A495" s="7">
        <v>42425.298321759255</v>
      </c>
      <c r="B495" s="8" t="str">
        <f>HYPERLINK("https://twitter.com/LindskogLizette","@LindskogLizette")</f>
        <v>@LindskogLizette</v>
      </c>
      <c r="C495" s="10" t="s">
        <v>1298</v>
      </c>
      <c r="D495" s="10" t="s">
        <v>1299</v>
      </c>
      <c r="E495" s="11" t="str">
        <f>HYPERLINK("https://twitter.com/LindskogLizette/status/702873079924563968","702873079924563968")</f>
        <v>702873079924563968</v>
      </c>
      <c r="F495" s="12" t="s">
        <v>20</v>
      </c>
      <c r="G495" s="13">
        <v>905.0</v>
      </c>
      <c r="H495" s="13">
        <v>891.0</v>
      </c>
      <c r="I495" s="13">
        <v>6.0</v>
      </c>
      <c r="J495" s="13">
        <v>0.0</v>
      </c>
      <c r="K495" s="12" t="s">
        <v>21</v>
      </c>
      <c r="L495" s="7">
        <v>41281.50414351852</v>
      </c>
      <c r="M495" s="14" t="s">
        <v>1300</v>
      </c>
      <c r="N495" s="14" t="s">
        <v>1301</v>
      </c>
      <c r="O495" s="11" t="str">
        <f>HYPERLINK("https://pbs.twimg.com/profile_images/378800000808930090/a471194d8fed1fcaa9962b52a54c0f81_normal.jpeg","View")</f>
        <v>View</v>
      </c>
      <c r="P495" s="15"/>
    </row>
    <row r="496">
      <c r="A496" s="7">
        <v>42425.29834490741</v>
      </c>
      <c r="B496" s="8" t="str">
        <f>HYPERLINK("https://twitter.com/OlivierBohrer","@OlivierBohrer")</f>
        <v>@OlivierBohrer</v>
      </c>
      <c r="C496" s="10" t="s">
        <v>1302</v>
      </c>
      <c r="D496" s="10" t="s">
        <v>1299</v>
      </c>
      <c r="E496" s="11" t="str">
        <f>HYPERLINK("https://twitter.com/OlivierBohrer/status/702873086236950528","702873086236950528")</f>
        <v>702873086236950528</v>
      </c>
      <c r="F496" s="12" t="s">
        <v>98</v>
      </c>
      <c r="G496" s="13">
        <v>114.0</v>
      </c>
      <c r="H496" s="13">
        <v>410.0</v>
      </c>
      <c r="I496" s="13">
        <v>6.0</v>
      </c>
      <c r="J496" s="13">
        <v>0.0</v>
      </c>
      <c r="K496" s="12" t="s">
        <v>21</v>
      </c>
      <c r="L496" s="7">
        <v>40472.395833333336</v>
      </c>
      <c r="M496" s="14" t="s">
        <v>1093</v>
      </c>
      <c r="N496" s="14" t="s">
        <v>1303</v>
      </c>
      <c r="O496" s="11" t="str">
        <f>HYPERLINK("https://pbs.twimg.com/profile_images/579837108338167808/eP41s1zQ_normal.png","View")</f>
        <v>View</v>
      </c>
      <c r="P496" s="15"/>
    </row>
    <row r="497">
      <c r="A497" s="7">
        <v>42425.29855324074</v>
      </c>
      <c r="B497" s="8" t="str">
        <f>HYPERLINK("https://twitter.com/RealPython","@RealPython")</f>
        <v>@RealPython</v>
      </c>
      <c r="C497" s="9" t="s">
        <v>1021</v>
      </c>
      <c r="D497" s="10" t="s">
        <v>1277</v>
      </c>
      <c r="E497" s="11" t="str">
        <f>HYPERLINK("https://twitter.com/RealPython/status/702873163906953216","702873163906953216")</f>
        <v>702873163906953216</v>
      </c>
      <c r="F497" s="12" t="s">
        <v>20</v>
      </c>
      <c r="G497" s="13">
        <v>5088.0</v>
      </c>
      <c r="H497" s="13">
        <v>39.0</v>
      </c>
      <c r="I497" s="13">
        <v>5.0</v>
      </c>
      <c r="J497" s="13">
        <v>0.0</v>
      </c>
      <c r="K497" s="12" t="s">
        <v>21</v>
      </c>
      <c r="L497" s="7">
        <v>41129.57270833333</v>
      </c>
      <c r="M497" s="16"/>
      <c r="N497" s="14" t="s">
        <v>1022</v>
      </c>
      <c r="O497" s="11" t="str">
        <f>HYPERLINK("https://pbs.twimg.com/profile_images/3312468366/129323224633d71286101d517a2f9817_normal.png","View")</f>
        <v>View</v>
      </c>
      <c r="P497" s="15"/>
    </row>
    <row r="498">
      <c r="A498" s="7">
        <v>42425.29907407408</v>
      </c>
      <c r="B498" s="8" t="str">
        <f>HYPERLINK("https://twitter.com/ralvaradot","@ralvaradot")</f>
        <v>@ralvaradot</v>
      </c>
      <c r="C498" s="10" t="s">
        <v>1175</v>
      </c>
      <c r="D498" s="10" t="s">
        <v>1304</v>
      </c>
      <c r="E498" s="11" t="str">
        <f>HYPERLINK("https://twitter.com/ralvaradot/status/702873351195398144","702873351195398144")</f>
        <v>702873351195398144</v>
      </c>
      <c r="F498" s="12" t="s">
        <v>446</v>
      </c>
      <c r="G498" s="13">
        <v>2231.0</v>
      </c>
      <c r="H498" s="13">
        <v>1905.0</v>
      </c>
      <c r="I498" s="13">
        <v>6.0</v>
      </c>
      <c r="J498" s="13">
        <v>0.0</v>
      </c>
      <c r="K498" s="12" t="s">
        <v>21</v>
      </c>
      <c r="L498" s="7">
        <v>39911.37886574074</v>
      </c>
      <c r="M498" s="14" t="s">
        <v>1177</v>
      </c>
      <c r="N498" s="14" t="s">
        <v>1178</v>
      </c>
      <c r="O498" s="11" t="str">
        <f>HYPERLINK("https://pbs.twimg.com/profile_images/1222674400/c88efa43-0d98-4ba4-ba7c-9a512aaadccf_normal.png","View")</f>
        <v>View</v>
      </c>
      <c r="P498" s="15"/>
    </row>
    <row r="499">
      <c r="A499" s="7">
        <v>42425.299155092594</v>
      </c>
      <c r="B499" s="8" t="str">
        <f>HYPERLINK("https://twitter.com/ExpertDay","@ExpertDay")</f>
        <v>@ExpertDay</v>
      </c>
      <c r="C499" s="10" t="s">
        <v>1185</v>
      </c>
      <c r="D499" s="10" t="s">
        <v>1305</v>
      </c>
      <c r="E499" s="11" t="str">
        <f>HYPERLINK("https://twitter.com/ExpertDay/status/702873381801164801","702873381801164801")</f>
        <v>702873381801164801</v>
      </c>
      <c r="F499" s="12" t="s">
        <v>446</v>
      </c>
      <c r="G499" s="13">
        <v>140.0</v>
      </c>
      <c r="H499" s="13">
        <v>53.0</v>
      </c>
      <c r="I499" s="13">
        <v>6.0</v>
      </c>
      <c r="J499" s="13">
        <v>0.0</v>
      </c>
      <c r="K499" s="12" t="s">
        <v>21</v>
      </c>
      <c r="L499" s="7">
        <v>40825.507627314815</v>
      </c>
      <c r="M499" s="14" t="s">
        <v>1186</v>
      </c>
      <c r="N499" s="16"/>
      <c r="O499" s="11" t="str">
        <f>HYPERLINK("https://pbs.twimg.com/profile_images/1580399863/logo_fondo_normal.png","View")</f>
        <v>View</v>
      </c>
      <c r="P499" s="15"/>
    </row>
    <row r="500">
      <c r="A500" s="7">
        <v>42425.299155092594</v>
      </c>
      <c r="B500" s="8" t="str">
        <f>HYPERLINK("https://twitter.com/BDotNetCol","@BDotNetCol")</f>
        <v>@BDotNetCol</v>
      </c>
      <c r="C500" s="10" t="s">
        <v>1179</v>
      </c>
      <c r="D500" s="10" t="s">
        <v>1305</v>
      </c>
      <c r="E500" s="11" t="str">
        <f>HYPERLINK("https://twitter.com/BDotNetCol/status/702873381813809153","702873381813809153")</f>
        <v>702873381813809153</v>
      </c>
      <c r="F500" s="12" t="s">
        <v>446</v>
      </c>
      <c r="G500" s="13">
        <v>43.0</v>
      </c>
      <c r="H500" s="13">
        <v>26.0</v>
      </c>
      <c r="I500" s="13">
        <v>6.0</v>
      </c>
      <c r="J500" s="13">
        <v>0.0</v>
      </c>
      <c r="K500" s="12" t="s">
        <v>21</v>
      </c>
      <c r="L500" s="7">
        <v>41007.276226851856</v>
      </c>
      <c r="M500" s="16"/>
      <c r="N500" s="16"/>
      <c r="O500" s="11" t="str">
        <f>HYPERLINK("https://abs.twimg.com/sticky/default_profile_images/default_profile_0_normal.png","View")</f>
        <v>View</v>
      </c>
      <c r="P500" s="15"/>
    </row>
    <row r="501">
      <c r="A501" s="7">
        <v>42425.299155092594</v>
      </c>
      <c r="B501" s="8" t="str">
        <f>HYPERLINK("https://twitter.com/ColDesarrollado","@ColDesarrollado")</f>
        <v>@ColDesarrollado</v>
      </c>
      <c r="C501" s="10" t="s">
        <v>1181</v>
      </c>
      <c r="D501" s="10" t="s">
        <v>1305</v>
      </c>
      <c r="E501" s="11" t="str">
        <f>HYPERLINK("https://twitter.com/ColDesarrollado/status/702873381834792960","702873381834792960")</f>
        <v>702873381834792960</v>
      </c>
      <c r="F501" s="12" t="s">
        <v>446</v>
      </c>
      <c r="G501" s="13">
        <v>197.0</v>
      </c>
      <c r="H501" s="13">
        <v>65.0</v>
      </c>
      <c r="I501" s="13">
        <v>6.0</v>
      </c>
      <c r="J501" s="13">
        <v>0.0</v>
      </c>
      <c r="K501" s="12" t="s">
        <v>21</v>
      </c>
      <c r="L501" s="7">
        <v>40964.31525462963</v>
      </c>
      <c r="M501" s="16"/>
      <c r="N501" s="16"/>
      <c r="O501" s="11" t="str">
        <f>HYPERLINK("https://pbs.twimg.com/profile_images/378800000424471602/b0e11fecf5291c1b917532694e0d8247_normal.png","View")</f>
        <v>View</v>
      </c>
      <c r="P501" s="15"/>
    </row>
    <row r="502">
      <c r="A502" s="7">
        <v>42425.299155092594</v>
      </c>
      <c r="B502" s="8" t="str">
        <f>HYPERLINK("https://twitter.com/B_DotNet","@B_DotNet")</f>
        <v>@B_DotNet</v>
      </c>
      <c r="C502" s="10" t="s">
        <v>1182</v>
      </c>
      <c r="D502" s="10" t="s">
        <v>1305</v>
      </c>
      <c r="E502" s="11" t="str">
        <f>HYPERLINK("https://twitter.com/B_DotNet/status/702873381956403201","702873381956403201")</f>
        <v>702873381956403201</v>
      </c>
      <c r="F502" s="12" t="s">
        <v>446</v>
      </c>
      <c r="G502" s="13">
        <v>6801.0</v>
      </c>
      <c r="H502" s="13">
        <v>6672.0</v>
      </c>
      <c r="I502" s="13">
        <v>6.0</v>
      </c>
      <c r="J502" s="13">
        <v>0.0</v>
      </c>
      <c r="K502" s="12" t="s">
        <v>21</v>
      </c>
      <c r="L502" s="7">
        <v>40034.410844907405</v>
      </c>
      <c r="M502" s="14" t="s">
        <v>1183</v>
      </c>
      <c r="N502" s="14" t="s">
        <v>1184</v>
      </c>
      <c r="O502" s="11" t="str">
        <f>HYPERLINK("https://pbs.twimg.com/profile_images/1577091782/bdotnet_tw_PNG_normal.png","View")</f>
        <v>View</v>
      </c>
      <c r="P502" s="15"/>
    </row>
    <row r="503">
      <c r="A503" s="7">
        <v>42425.29922453704</v>
      </c>
      <c r="B503" s="8" t="str">
        <f>HYPERLINK("https://twitter.com/cool_python","@cool_python")</f>
        <v>@cool_python</v>
      </c>
      <c r="C503" s="10" t="s">
        <v>249</v>
      </c>
      <c r="D503" s="10" t="s">
        <v>1277</v>
      </c>
      <c r="E503" s="11" t="str">
        <f>HYPERLINK("https://twitter.com/cool_python/status/702873404710457344","702873404710457344")</f>
        <v>702873404710457344</v>
      </c>
      <c r="F503" s="12" t="s">
        <v>251</v>
      </c>
      <c r="G503" s="13">
        <v>235.0</v>
      </c>
      <c r="H503" s="13">
        <v>91.0</v>
      </c>
      <c r="I503" s="13">
        <v>5.0</v>
      </c>
      <c r="J503" s="13">
        <v>0.0</v>
      </c>
      <c r="K503" s="12" t="s">
        <v>21</v>
      </c>
      <c r="L503" s="7">
        <v>42064.325</v>
      </c>
      <c r="M503" s="14" t="s">
        <v>252</v>
      </c>
      <c r="N503" s="14" t="s">
        <v>253</v>
      </c>
      <c r="O503" s="11" t="str">
        <f>HYPERLINK("https://pbs.twimg.com/profile_images/572091631055028224/Pkx__FSB_normal.png","View")</f>
        <v>View</v>
      </c>
      <c r="P503" s="15"/>
    </row>
    <row r="504">
      <c r="A504" s="7">
        <v>42425.299421296295</v>
      </c>
      <c r="B504" s="8" t="str">
        <f>HYPERLINK("https://twitter.com/NAGTalk","@NAGTalk")</f>
        <v>@NAGTalk</v>
      </c>
      <c r="C504" s="10" t="s">
        <v>1306</v>
      </c>
      <c r="D504" s="10" t="s">
        <v>1307</v>
      </c>
      <c r="E504" s="11" t="str">
        <f>HYPERLINK("https://twitter.com/NAGTalk/status/702873478626676737","702873478626676737")</f>
        <v>702873478626676737</v>
      </c>
      <c r="F504" s="12" t="s">
        <v>20</v>
      </c>
      <c r="G504" s="13">
        <v>1321.0</v>
      </c>
      <c r="H504" s="13">
        <v>1220.0</v>
      </c>
      <c r="I504" s="13">
        <v>3.0</v>
      </c>
      <c r="J504" s="13">
        <v>3.0</v>
      </c>
      <c r="K504" s="12" t="s">
        <v>21</v>
      </c>
      <c r="L504" s="7">
        <v>40123.219571759255</v>
      </c>
      <c r="M504" s="14" t="s">
        <v>1287</v>
      </c>
      <c r="N504" s="14" t="s">
        <v>1308</v>
      </c>
      <c r="O504" s="11" t="str">
        <f>HYPERLINK("https://pbs.twimg.com/profile_images/677027371/nag_logo1_normal.jpg","View")</f>
        <v>View</v>
      </c>
      <c r="P504" s="15"/>
    </row>
    <row r="505">
      <c r="A505" s="7">
        <v>42425.29944444445</v>
      </c>
      <c r="B505" s="8" t="str">
        <f>HYPERLINK("https://twitter.com/ameanmbot","@ameanmbot")</f>
        <v>@ameanmbot</v>
      </c>
      <c r="C505" s="10" t="s">
        <v>174</v>
      </c>
      <c r="D505" s="10" t="s">
        <v>1309</v>
      </c>
      <c r="E505" s="11" t="str">
        <f>HYPERLINK("https://twitter.com/ameanmbot/status/702873486356774912","702873486356774912")</f>
        <v>702873486356774912</v>
      </c>
      <c r="F505" s="12" t="s">
        <v>176</v>
      </c>
      <c r="G505" s="13">
        <v>3291.0</v>
      </c>
      <c r="H505" s="13">
        <v>1.0</v>
      </c>
      <c r="I505" s="13">
        <v>3.0</v>
      </c>
      <c r="J505" s="13">
        <v>0.0</v>
      </c>
      <c r="K505" s="12" t="s">
        <v>21</v>
      </c>
      <c r="L505" s="7">
        <v>41814.009733796294</v>
      </c>
      <c r="M505" s="16"/>
      <c r="N505" s="14" t="s">
        <v>177</v>
      </c>
      <c r="O505" s="11" t="str">
        <f>HYPERLINK("https://pbs.twimg.com/profile_images/481334978161029120/iu3zZFEk_normal.png","View")</f>
        <v>View</v>
      </c>
      <c r="P505" s="15"/>
    </row>
    <row r="506">
      <c r="A506" s="7">
        <v>42425.29947916667</v>
      </c>
      <c r="B506" s="8" t="str">
        <f>HYPERLINK("https://twitter.com/B_DotNet","@B_DotNet")</f>
        <v>@B_DotNet</v>
      </c>
      <c r="C506" s="10" t="s">
        <v>1182</v>
      </c>
      <c r="D506" s="10" t="s">
        <v>1310</v>
      </c>
      <c r="E506" s="11" t="str">
        <f>HYPERLINK("https://twitter.com/B_DotNet/status/702873498285445120","702873498285445120")</f>
        <v>702873498285445120</v>
      </c>
      <c r="F506" s="12" t="s">
        <v>236</v>
      </c>
      <c r="G506" s="13">
        <v>6801.0</v>
      </c>
      <c r="H506" s="13">
        <v>6672.0</v>
      </c>
      <c r="I506" s="13">
        <v>0.0</v>
      </c>
      <c r="J506" s="13">
        <v>0.0</v>
      </c>
      <c r="K506" s="12" t="s">
        <v>21</v>
      </c>
      <c r="L506" s="7">
        <v>40034.410844907405</v>
      </c>
      <c r="M506" s="14" t="s">
        <v>1183</v>
      </c>
      <c r="N506" s="14" t="s">
        <v>1184</v>
      </c>
      <c r="O506" s="11" t="str">
        <f>HYPERLINK("https://pbs.twimg.com/profile_images/1577091782/bdotnet_tw_PNG_normal.png","View")</f>
        <v>View</v>
      </c>
      <c r="P506" s="15"/>
    </row>
    <row r="507">
      <c r="A507" s="7">
        <v>42425.29961805556</v>
      </c>
      <c r="B507" s="8" t="str">
        <f>HYPERLINK("https://twitter.com/art_control","@art_control")</f>
        <v>@art_control</v>
      </c>
      <c r="C507" s="10" t="s">
        <v>309</v>
      </c>
      <c r="D507" s="10" t="s">
        <v>1311</v>
      </c>
      <c r="E507" s="11" t="str">
        <f>HYPERLINK("https://twitter.com/art_control/status/702873548088582144","702873548088582144")</f>
        <v>702873548088582144</v>
      </c>
      <c r="F507" s="12" t="s">
        <v>311</v>
      </c>
      <c r="G507" s="13">
        <v>989.0</v>
      </c>
      <c r="H507" s="13">
        <v>850.0</v>
      </c>
      <c r="I507" s="13">
        <v>0.0</v>
      </c>
      <c r="J507" s="13">
        <v>0.0</v>
      </c>
      <c r="K507" s="12" t="s">
        <v>21</v>
      </c>
      <c r="L507" s="7">
        <v>39896.869675925926</v>
      </c>
      <c r="M507" s="14" t="s">
        <v>312</v>
      </c>
      <c r="N507" s="14" t="s">
        <v>313</v>
      </c>
      <c r="O507" s="11" t="str">
        <f>HYPERLINK("https://pbs.twimg.com/profile_images/649004216690675712/UAcrP6ol_normal.png","View")</f>
        <v>View</v>
      </c>
      <c r="P507" s="15"/>
    </row>
    <row r="508">
      <c r="A508" s="7">
        <v>42425.29962962963</v>
      </c>
      <c r="B508" s="8" t="str">
        <f>HYPERLINK("https://twitter.com/adextelecom","@adextelecom")</f>
        <v>@adextelecom</v>
      </c>
      <c r="C508" s="10" t="s">
        <v>1312</v>
      </c>
      <c r="D508" s="10" t="s">
        <v>1299</v>
      </c>
      <c r="E508" s="11" t="str">
        <f>HYPERLINK("https://twitter.com/adextelecom/status/702873552865751041","702873552865751041")</f>
        <v>702873552865751041</v>
      </c>
      <c r="F508" s="12" t="s">
        <v>20</v>
      </c>
      <c r="G508" s="13">
        <v>448.0</v>
      </c>
      <c r="H508" s="13">
        <v>1023.0</v>
      </c>
      <c r="I508" s="13">
        <v>6.0</v>
      </c>
      <c r="J508" s="13">
        <v>0.0</v>
      </c>
      <c r="K508" s="12" t="s">
        <v>21</v>
      </c>
      <c r="L508" s="7">
        <v>40101.47371527778</v>
      </c>
      <c r="M508" s="14" t="s">
        <v>1313</v>
      </c>
      <c r="N508" s="14" t="s">
        <v>1314</v>
      </c>
      <c r="O508" s="11" t="str">
        <f>HYPERLINK("https://pbs.twimg.com/profile_images/1121013376/Logo_normal.jpg","View")</f>
        <v>View</v>
      </c>
      <c r="P508" s="15"/>
    </row>
    <row r="509">
      <c r="A509" s="7">
        <v>42425.29976851852</v>
      </c>
      <c r="B509" s="8" t="str">
        <f>HYPERLINK("https://twitter.com/murciego","@murciego")</f>
        <v>@murciego</v>
      </c>
      <c r="C509" s="10" t="s">
        <v>1315</v>
      </c>
      <c r="D509" s="10" t="s">
        <v>1316</v>
      </c>
      <c r="E509" s="11" t="str">
        <f>HYPERLINK("https://twitter.com/murciego/status/702873602585202688","702873602585202688")</f>
        <v>702873602585202688</v>
      </c>
      <c r="F509" s="12" t="s">
        <v>20</v>
      </c>
      <c r="G509" s="13">
        <v>225.0</v>
      </c>
      <c r="H509" s="13">
        <v>377.0</v>
      </c>
      <c r="I509" s="13">
        <v>1.0</v>
      </c>
      <c r="J509" s="13">
        <v>1.0</v>
      </c>
      <c r="K509" s="12" t="s">
        <v>21</v>
      </c>
      <c r="L509" s="7">
        <v>39902.04502314815</v>
      </c>
      <c r="M509" s="14" t="s">
        <v>1317</v>
      </c>
      <c r="N509" s="14" t="s">
        <v>1318</v>
      </c>
      <c r="O509" s="11" t="str">
        <f>HYPERLINK("https://pbs.twimg.com/profile_images/640833631540396032/rJDe9GDX_normal.png","View")</f>
        <v>View</v>
      </c>
      <c r="P509" s="15"/>
    </row>
    <row r="510">
      <c r="A510" s="7">
        <v>42425.300254629634</v>
      </c>
      <c r="B510" s="8" t="str">
        <f>HYPERLINK("https://twitter.com/PythonDaily","@PythonDaily")</f>
        <v>@PythonDaily</v>
      </c>
      <c r="C510" s="10" t="s">
        <v>521</v>
      </c>
      <c r="D510" s="10" t="s">
        <v>1319</v>
      </c>
      <c r="E510" s="11" t="str">
        <f>HYPERLINK("https://twitter.com/PythonDaily/status/702873777680420864","702873777680420864")</f>
        <v>702873777680420864</v>
      </c>
      <c r="F510" s="12" t="s">
        <v>521</v>
      </c>
      <c r="G510" s="13">
        <v>3329.0</v>
      </c>
      <c r="H510" s="13">
        <v>57.0</v>
      </c>
      <c r="I510" s="13">
        <v>0.0</v>
      </c>
      <c r="J510" s="13">
        <v>1.0</v>
      </c>
      <c r="K510" s="12" t="s">
        <v>21</v>
      </c>
      <c r="L510" s="7">
        <v>41447.56123842593</v>
      </c>
      <c r="M510" s="16"/>
      <c r="N510" s="14" t="s">
        <v>523</v>
      </c>
      <c r="O510" s="11" t="str">
        <f>HYPERLINK("https://pbs.twimg.com/profile_images/378800000030851202/b6bb871a13825bae9004a9aab3a1d726_normal.jpeg","View")</f>
        <v>View</v>
      </c>
      <c r="P510" s="15"/>
    </row>
    <row r="511">
      <c r="A511" s="7">
        <v>42425.300312499996</v>
      </c>
      <c r="B511" s="8" t="str">
        <f>HYPERLINK("https://twitter.com/RealPython","@RealPython")</f>
        <v>@RealPython</v>
      </c>
      <c r="C511" s="9" t="s">
        <v>1021</v>
      </c>
      <c r="D511" s="10" t="s">
        <v>1320</v>
      </c>
      <c r="E511" s="11" t="str">
        <f>HYPERLINK("https://twitter.com/RealPython/status/702873799952183296","702873799952183296")</f>
        <v>702873799952183296</v>
      </c>
      <c r="F511" s="12" t="s">
        <v>20</v>
      </c>
      <c r="G511" s="13">
        <v>5088.0</v>
      </c>
      <c r="H511" s="13">
        <v>39.0</v>
      </c>
      <c r="I511" s="13">
        <v>6.0</v>
      </c>
      <c r="J511" s="13">
        <v>6.0</v>
      </c>
      <c r="K511" s="12" t="s">
        <v>21</v>
      </c>
      <c r="L511" s="7">
        <v>41129.57270833333</v>
      </c>
      <c r="M511" s="16"/>
      <c r="N511" s="14" t="s">
        <v>1022</v>
      </c>
      <c r="O511" s="11" t="str">
        <f>HYPERLINK("https://pbs.twimg.com/profile_images/3312468366/129323224633d71286101d517a2f9817_normal.png","View")</f>
        <v>View</v>
      </c>
      <c r="P511" s="15"/>
    </row>
    <row r="512">
      <c r="A512" s="7">
        <v>42425.30039351852</v>
      </c>
      <c r="B512" s="8" t="str">
        <f>HYPERLINK("https://twitter.com/Harrisonova","@Harrisonova")</f>
        <v>@Harrisonova</v>
      </c>
      <c r="C512" s="10" t="s">
        <v>1321</v>
      </c>
      <c r="D512" s="10" t="s">
        <v>1299</v>
      </c>
      <c r="E512" s="11" t="str">
        <f>HYPERLINK("https://twitter.com/Harrisonova/status/702873831598387200","702873831598387200")</f>
        <v>702873831598387200</v>
      </c>
      <c r="F512" s="12" t="s">
        <v>20</v>
      </c>
      <c r="G512" s="13">
        <v>85.0</v>
      </c>
      <c r="H512" s="13">
        <v>237.0</v>
      </c>
      <c r="I512" s="13">
        <v>6.0</v>
      </c>
      <c r="J512" s="13">
        <v>0.0</v>
      </c>
      <c r="K512" s="12" t="s">
        <v>21</v>
      </c>
      <c r="L512" s="7">
        <v>40609.42428240741</v>
      </c>
      <c r="M512" s="16"/>
      <c r="N512" s="14" t="s">
        <v>1322</v>
      </c>
      <c r="O512" s="11" t="str">
        <f>HYPERLINK("https://pbs.twimg.com/profile_images/445968595479044096/Udoj9N6K_normal.jpeg","View")</f>
        <v>View</v>
      </c>
      <c r="P512" s="15"/>
    </row>
    <row r="513">
      <c r="A513" s="7">
        <v>42425.30071759259</v>
      </c>
      <c r="B513" s="8" t="str">
        <f>HYPERLINK("https://twitter.com/MikeHerman","@MikeHerman")</f>
        <v>@MikeHerman</v>
      </c>
      <c r="C513" s="10" t="s">
        <v>1323</v>
      </c>
      <c r="D513" s="10" t="s">
        <v>1324</v>
      </c>
      <c r="E513" s="11" t="str">
        <f>HYPERLINK("https://twitter.com/MikeHerman/status/702873949084880897","702873949084880897")</f>
        <v>702873949084880897</v>
      </c>
      <c r="F513" s="12" t="s">
        <v>20</v>
      </c>
      <c r="G513" s="13">
        <v>600.0</v>
      </c>
      <c r="H513" s="13">
        <v>46.0</v>
      </c>
      <c r="I513" s="13">
        <v>6.0</v>
      </c>
      <c r="J513" s="13">
        <v>0.0</v>
      </c>
      <c r="K513" s="12" t="s">
        <v>21</v>
      </c>
      <c r="L513" s="7">
        <v>40955.65877314815</v>
      </c>
      <c r="M513" s="14" t="s">
        <v>1325</v>
      </c>
      <c r="N513" s="14" t="s">
        <v>1326</v>
      </c>
      <c r="O513" s="11" t="str">
        <f>HYPERLINK("https://pbs.twimg.com/profile_images/1956395739/56358390A_normal.jpg","View")</f>
        <v>View</v>
      </c>
      <c r="P513" s="15"/>
    </row>
    <row r="514">
      <c r="A514" s="7">
        <v>42425.30185185185</v>
      </c>
      <c r="B514" s="8" t="str">
        <f>HYPERLINK("https://twitter.com/Kercode56","@Kercode56")</f>
        <v>@Kercode56</v>
      </c>
      <c r="C514" s="10" t="s">
        <v>1327</v>
      </c>
      <c r="D514" s="10" t="s">
        <v>1328</v>
      </c>
      <c r="E514" s="11" t="str">
        <f>HYPERLINK("https://twitter.com/Kercode56/status/702874358394589185","702874358394589185")</f>
        <v>702874358394589185</v>
      </c>
      <c r="F514" s="12" t="s">
        <v>20</v>
      </c>
      <c r="G514" s="13">
        <v>98.0</v>
      </c>
      <c r="H514" s="13">
        <v>29.0</v>
      </c>
      <c r="I514" s="13">
        <v>1.0</v>
      </c>
      <c r="J514" s="13">
        <v>0.0</v>
      </c>
      <c r="K514" s="12" t="s">
        <v>21</v>
      </c>
      <c r="L514" s="7">
        <v>42317.35391203704</v>
      </c>
      <c r="M514" s="14" t="s">
        <v>1329</v>
      </c>
      <c r="N514" s="14" t="s">
        <v>1330</v>
      </c>
      <c r="O514" s="11" t="str">
        <f>HYPERLINK("https://pbs.twimg.com/profile_images/689360451428290560/VRvYKuIY_normal.jpg","View")</f>
        <v>View</v>
      </c>
      <c r="P514" s="15"/>
    </row>
    <row r="515">
      <c r="A515" s="7">
        <v>42425.302141203705</v>
      </c>
      <c r="B515" s="8" t="str">
        <f>HYPERLINK("https://twitter.com/coding_jobfeeds","@coding_jobfeeds")</f>
        <v>@coding_jobfeeds</v>
      </c>
      <c r="C515" s="10" t="s">
        <v>685</v>
      </c>
      <c r="D515" s="10" t="s">
        <v>1331</v>
      </c>
      <c r="E515" s="11" t="str">
        <f>HYPERLINK("https://twitter.com/coding_jobfeeds/status/702874463147331584","702874463147331584")</f>
        <v>702874463147331584</v>
      </c>
      <c r="F515" s="12" t="s">
        <v>687</v>
      </c>
      <c r="G515" s="13">
        <v>1040.0</v>
      </c>
      <c r="H515" s="13">
        <v>987.0</v>
      </c>
      <c r="I515" s="13">
        <v>1.0</v>
      </c>
      <c r="J515" s="13">
        <v>0.0</v>
      </c>
      <c r="K515" s="12" t="s">
        <v>21</v>
      </c>
      <c r="L515" s="7">
        <v>42173.56387731481</v>
      </c>
      <c r="M515" s="14" t="s">
        <v>519</v>
      </c>
      <c r="N515" s="14" t="s">
        <v>688</v>
      </c>
      <c r="O515" s="11" t="str">
        <f>HYPERLINK("https://pbs.twimg.com/profile_images/611834314586750976/feZ5fZOO_normal.png","View")</f>
        <v>View</v>
      </c>
      <c r="P515" s="15"/>
    </row>
    <row r="516">
      <c r="A516" s="7">
        <v>42425.30216435185</v>
      </c>
      <c r="B516" s="8" t="str">
        <f>HYPERLINK("https://twitter.com/brian_warehime","@brian_warehime")</f>
        <v>@brian_warehime</v>
      </c>
      <c r="C516" s="10" t="s">
        <v>1332</v>
      </c>
      <c r="D516" s="10" t="s">
        <v>1212</v>
      </c>
      <c r="E516" s="11" t="str">
        <f>HYPERLINK("https://twitter.com/brian_warehime/status/702874472374804480","702874472374804480")</f>
        <v>702874472374804480</v>
      </c>
      <c r="F516" s="12" t="s">
        <v>240</v>
      </c>
      <c r="G516" s="13">
        <v>1446.0</v>
      </c>
      <c r="H516" s="13">
        <v>1404.0</v>
      </c>
      <c r="I516" s="13">
        <v>24.0</v>
      </c>
      <c r="J516" s="13">
        <v>0.0</v>
      </c>
      <c r="K516" s="12" t="s">
        <v>21</v>
      </c>
      <c r="L516" s="7">
        <v>39392.89361111111</v>
      </c>
      <c r="M516" s="14" t="s">
        <v>1333</v>
      </c>
      <c r="N516" s="14" t="s">
        <v>1334</v>
      </c>
      <c r="O516" s="11" t="str">
        <f>HYPERLINK("https://pbs.twimg.com/profile_images/661394704278413312/_Qc_9SLZ_normal.png","View")</f>
        <v>View</v>
      </c>
      <c r="P516" s="15"/>
    </row>
    <row r="517">
      <c r="A517" s="7">
        <v>42425.30255787037</v>
      </c>
      <c r="B517" s="8" t="str">
        <f>HYPERLINK("https://twitter.com/0x4d_","@0x4d_")</f>
        <v>@0x4d_</v>
      </c>
      <c r="C517" s="10" t="s">
        <v>1335</v>
      </c>
      <c r="D517" s="10" t="s">
        <v>1212</v>
      </c>
      <c r="E517" s="11" t="str">
        <f>HYPERLINK("https://twitter.com/0x4d_/status/702874615715127297","702874615715127297")</f>
        <v>702874615715127297</v>
      </c>
      <c r="F517" s="12" t="s">
        <v>20</v>
      </c>
      <c r="G517" s="13">
        <v>294.0</v>
      </c>
      <c r="H517" s="13">
        <v>277.0</v>
      </c>
      <c r="I517" s="13">
        <v>24.0</v>
      </c>
      <c r="J517" s="13">
        <v>0.0</v>
      </c>
      <c r="K517" s="12" t="s">
        <v>21</v>
      </c>
      <c r="L517" s="7">
        <v>42315.1609837963</v>
      </c>
      <c r="M517" s="16"/>
      <c r="N517" s="16"/>
      <c r="O517" s="11" t="str">
        <f>HYPERLINK("https://pbs.twimg.com/profile_images/662962846699884544/S7_LN4c0_normal.jpg","View")</f>
        <v>View</v>
      </c>
      <c r="P517" s="15"/>
    </row>
    <row r="518">
      <c r="A518" s="7">
        <v>42425.303495370375</v>
      </c>
      <c r="B518" s="8" t="str">
        <f>HYPERLINK("https://twitter.com/grayops","@grayops")</f>
        <v>@grayops</v>
      </c>
      <c r="C518" s="10" t="s">
        <v>1336</v>
      </c>
      <c r="D518" s="10" t="s">
        <v>1212</v>
      </c>
      <c r="E518" s="11" t="str">
        <f>HYPERLINK("https://twitter.com/grayops/status/702874955365687296","702874955365687296")</f>
        <v>702874955365687296</v>
      </c>
      <c r="F518" s="12" t="s">
        <v>20</v>
      </c>
      <c r="G518" s="13">
        <v>782.0</v>
      </c>
      <c r="H518" s="13">
        <v>1416.0</v>
      </c>
      <c r="I518" s="13">
        <v>24.0</v>
      </c>
      <c r="J518" s="13">
        <v>0.0</v>
      </c>
      <c r="K518" s="12" t="s">
        <v>21</v>
      </c>
      <c r="L518" s="7">
        <v>39817.528715277775</v>
      </c>
      <c r="M518" s="16"/>
      <c r="N518" s="14" t="s">
        <v>1337</v>
      </c>
      <c r="O518" s="11" t="str">
        <f>HYPERLINK("https://pbs.twimg.com/profile_images/378800000623828876/fbece1d8691389f89dc1e121c17412e4_normal.jpeg","View")</f>
        <v>View</v>
      </c>
      <c r="P518" s="15"/>
    </row>
    <row r="519">
      <c r="A519" s="7">
        <v>42425.30368055556</v>
      </c>
      <c r="B519" s="8" t="str">
        <f>HYPERLINK("https://twitter.com/maxscgo","@maxscgo")</f>
        <v>@maxscgo</v>
      </c>
      <c r="C519" s="10" t="s">
        <v>1338</v>
      </c>
      <c r="D519" s="10" t="s">
        <v>485</v>
      </c>
      <c r="E519" s="11" t="str">
        <f>HYPERLINK("https://twitter.com/maxscgo/status/702875019895033856","702875019895033856")</f>
        <v>702875019895033856</v>
      </c>
      <c r="F519" s="12" t="s">
        <v>52</v>
      </c>
      <c r="G519" s="13">
        <v>26.0</v>
      </c>
      <c r="H519" s="13">
        <v>51.0</v>
      </c>
      <c r="I519" s="13">
        <v>14.0</v>
      </c>
      <c r="J519" s="13">
        <v>0.0</v>
      </c>
      <c r="K519" s="12" t="s">
        <v>21</v>
      </c>
      <c r="L519" s="7">
        <v>41984.26818287037</v>
      </c>
      <c r="M519" s="16"/>
      <c r="N519" s="16"/>
      <c r="O519" s="11" t="str">
        <f>HYPERLINK("https://pbs.twimg.com/profile_images/560628288822190080/CBwdgEmJ_normal.jpeg","View")</f>
        <v>View</v>
      </c>
      <c r="P519" s="15"/>
    </row>
    <row r="520">
      <c r="A520" s="7">
        <v>42425.30392361111</v>
      </c>
      <c r="B520" s="8" t="str">
        <f>HYPERLINK("https://twitter.com/RealPython","@RealPython")</f>
        <v>@RealPython</v>
      </c>
      <c r="C520" s="9" t="s">
        <v>1021</v>
      </c>
      <c r="D520" s="10" t="s">
        <v>1339</v>
      </c>
      <c r="E520" s="11" t="str">
        <f>HYPERLINK("https://twitter.com/RealPython/status/702875109246173184","702875109246173184")</f>
        <v>702875109246173184</v>
      </c>
      <c r="F520" s="12" t="s">
        <v>20</v>
      </c>
      <c r="G520" s="13">
        <v>5088.0</v>
      </c>
      <c r="H520" s="13">
        <v>39.0</v>
      </c>
      <c r="I520" s="13">
        <v>0.0</v>
      </c>
      <c r="J520" s="13">
        <v>4.0</v>
      </c>
      <c r="K520" s="12" t="s">
        <v>21</v>
      </c>
      <c r="L520" s="7">
        <v>41129.57270833333</v>
      </c>
      <c r="M520" s="16"/>
      <c r="N520" s="14" t="s">
        <v>1022</v>
      </c>
      <c r="O520" s="11" t="str">
        <f>HYPERLINK("https://pbs.twimg.com/profile_images/3312468366/129323224633d71286101d517a2f9817_normal.png","View")</f>
        <v>View</v>
      </c>
      <c r="P520" s="15"/>
    </row>
    <row r="521">
      <c r="A521" s="7">
        <v>42425.30407407407</v>
      </c>
      <c r="B521" s="8" t="str">
        <f>HYPERLINK("https://twitter.com/maxscgo","@maxscgo")</f>
        <v>@maxscgo</v>
      </c>
      <c r="C521" s="10" t="s">
        <v>1338</v>
      </c>
      <c r="D521" s="10" t="s">
        <v>752</v>
      </c>
      <c r="E521" s="11" t="str">
        <f>HYPERLINK("https://twitter.com/maxscgo/status/702875163495374848","702875163495374848")</f>
        <v>702875163495374848</v>
      </c>
      <c r="F521" s="12" t="s">
        <v>52</v>
      </c>
      <c r="G521" s="13">
        <v>26.0</v>
      </c>
      <c r="H521" s="13">
        <v>51.0</v>
      </c>
      <c r="I521" s="13">
        <v>7.0</v>
      </c>
      <c r="J521" s="13">
        <v>0.0</v>
      </c>
      <c r="K521" s="12" t="s">
        <v>21</v>
      </c>
      <c r="L521" s="7">
        <v>41984.26818287037</v>
      </c>
      <c r="M521" s="16"/>
      <c r="N521" s="16"/>
      <c r="O521" s="11" t="str">
        <f>HYPERLINK("https://pbs.twimg.com/profile_images/560628288822190080/CBwdgEmJ_normal.jpeg","View")</f>
        <v>View</v>
      </c>
      <c r="P521" s="15"/>
    </row>
    <row r="522">
      <c r="A522" s="7">
        <v>42425.30443287037</v>
      </c>
      <c r="B522" s="8" t="str">
        <f>HYPERLINK("https://twitter.com/diek007","@diek007")</f>
        <v>@diek007</v>
      </c>
      <c r="C522" s="10" t="s">
        <v>1340</v>
      </c>
      <c r="D522" s="10" t="s">
        <v>1341</v>
      </c>
      <c r="E522" s="11" t="str">
        <f>HYPERLINK("https://twitter.com/diek007/status/702875292528984065","702875292528984065")</f>
        <v>702875292528984065</v>
      </c>
      <c r="F522" s="12" t="s">
        <v>20</v>
      </c>
      <c r="G522" s="13">
        <v>61.0</v>
      </c>
      <c r="H522" s="13">
        <v>107.0</v>
      </c>
      <c r="I522" s="13">
        <v>0.0</v>
      </c>
      <c r="J522" s="13">
        <v>0.0</v>
      </c>
      <c r="K522" s="12" t="s">
        <v>21</v>
      </c>
      <c r="L522" s="7">
        <v>41019.80863425926</v>
      </c>
      <c r="M522" s="14" t="s">
        <v>1342</v>
      </c>
      <c r="N522" s="14" t="s">
        <v>1343</v>
      </c>
      <c r="O522" s="11" t="str">
        <f>HYPERLINK("https://pbs.twimg.com/profile_images/529760930767192064/fyuauJpj_normal.jpeg","View")</f>
        <v>View</v>
      </c>
      <c r="P522" s="15"/>
    </row>
    <row r="523">
      <c r="A523" s="7">
        <v>42425.304490740746</v>
      </c>
      <c r="B523" s="8" t="str">
        <f>HYPERLINK("https://twitter.com/clayadavis","@clayadavis")</f>
        <v>@clayadavis</v>
      </c>
      <c r="C523" s="10" t="s">
        <v>1344</v>
      </c>
      <c r="D523" s="10" t="s">
        <v>1345</v>
      </c>
      <c r="E523" s="11" t="str">
        <f>HYPERLINK("https://twitter.com/clayadavis/status/702875314226143233","702875314226143233")</f>
        <v>702875314226143233</v>
      </c>
      <c r="F523" s="12" t="s">
        <v>20</v>
      </c>
      <c r="G523" s="13">
        <v>108.0</v>
      </c>
      <c r="H523" s="13">
        <v>121.0</v>
      </c>
      <c r="I523" s="13">
        <v>1.0</v>
      </c>
      <c r="J523" s="13">
        <v>4.0</v>
      </c>
      <c r="K523" s="12" t="s">
        <v>21</v>
      </c>
      <c r="L523" s="7">
        <v>41451.52429398148</v>
      </c>
      <c r="M523" s="14" t="s">
        <v>1346</v>
      </c>
      <c r="N523" s="14" t="s">
        <v>1347</v>
      </c>
      <c r="O523" s="11" t="str">
        <f>HYPERLINK("https://pbs.twimg.com/profile_images/378800000050180676/dc89d6080894c83755adfcdb8ded31d5_normal.jpeg","View")</f>
        <v>View</v>
      </c>
      <c r="P523" s="15"/>
    </row>
    <row r="524">
      <c r="A524" s="7">
        <v>42425.30501157408</v>
      </c>
      <c r="B524" s="8" t="str">
        <f>HYPERLINK("https://twitter.com/MRBrandonGibson","@MRBrandonGibson")</f>
        <v>@MRBrandonGibson</v>
      </c>
      <c r="C524" s="10" t="s">
        <v>1348</v>
      </c>
      <c r="D524" s="10" t="s">
        <v>1349</v>
      </c>
      <c r="E524" s="11" t="str">
        <f>HYPERLINK("https://twitter.com/MRBrandonGibson/status/702875501761847296","702875501761847296")</f>
        <v>702875501761847296</v>
      </c>
      <c r="F524" s="12" t="s">
        <v>450</v>
      </c>
      <c r="G524" s="13">
        <v>244.0</v>
      </c>
      <c r="H524" s="13">
        <v>302.0</v>
      </c>
      <c r="I524" s="13">
        <v>0.0</v>
      </c>
      <c r="J524" s="13">
        <v>1.0</v>
      </c>
      <c r="K524" s="12" t="s">
        <v>21</v>
      </c>
      <c r="L524" s="7">
        <v>41185.768796296295</v>
      </c>
      <c r="M524" s="14" t="s">
        <v>1350</v>
      </c>
      <c r="N524" s="14" t="s">
        <v>1351</v>
      </c>
      <c r="O524" s="11" t="str">
        <f>HYPERLINK("https://pbs.twimg.com/profile_images/611017951131480064/SBdHW0j0_normal.jpg","View")</f>
        <v>View</v>
      </c>
      <c r="P524" s="15"/>
    </row>
    <row r="525">
      <c r="A525" s="7">
        <v>42425.30541666667</v>
      </c>
      <c r="B525" s="8" t="str">
        <f>HYPERLINK("https://twitter.com/javeo_eu","@javeo_eu")</f>
        <v>@javeo_eu</v>
      </c>
      <c r="C525" s="10" t="s">
        <v>1352</v>
      </c>
      <c r="D525" s="10" t="s">
        <v>1353</v>
      </c>
      <c r="E525" s="11" t="str">
        <f>HYPERLINK("https://twitter.com/javeo_eu/status/702875650902851584","702875650902851584")</f>
        <v>702875650902851584</v>
      </c>
      <c r="F525" s="12" t="s">
        <v>20</v>
      </c>
      <c r="G525" s="13">
        <v>292.0</v>
      </c>
      <c r="H525" s="13">
        <v>445.0</v>
      </c>
      <c r="I525" s="13">
        <v>0.0</v>
      </c>
      <c r="J525" s="13">
        <v>5.0</v>
      </c>
      <c r="K525" s="12" t="s">
        <v>21</v>
      </c>
      <c r="L525" s="7">
        <v>41618.29019675926</v>
      </c>
      <c r="M525" s="14" t="s">
        <v>1354</v>
      </c>
      <c r="N525" s="14" t="s">
        <v>1355</v>
      </c>
      <c r="O525" s="11" t="str">
        <f>HYPERLINK("https://pbs.twimg.com/profile_images/544859440982151169/DsQDVGwn_normal.png","View")</f>
        <v>View</v>
      </c>
      <c r="P525" s="15"/>
    </row>
    <row r="526">
      <c r="A526" s="7">
        <v>42425.30542824074</v>
      </c>
      <c r="B526" s="8" t="str">
        <f>HYPERLINK("https://twitter.com/capsecdc","@capsecdc")</f>
        <v>@capsecdc</v>
      </c>
      <c r="C526" s="10" t="s">
        <v>1356</v>
      </c>
      <c r="D526" s="10" t="s">
        <v>1212</v>
      </c>
      <c r="E526" s="11" t="str">
        <f>HYPERLINK("https://twitter.com/capsecdc/status/702875655021731840","702875655021731840")</f>
        <v>702875655021731840</v>
      </c>
      <c r="F526" s="12" t="s">
        <v>152</v>
      </c>
      <c r="G526" s="13">
        <v>434.0</v>
      </c>
      <c r="H526" s="13">
        <v>38.0</v>
      </c>
      <c r="I526" s="13">
        <v>24.0</v>
      </c>
      <c r="J526" s="13">
        <v>0.0</v>
      </c>
      <c r="K526" s="12" t="s">
        <v>21</v>
      </c>
      <c r="L526" s="7">
        <v>40051.4465162037</v>
      </c>
      <c r="M526" s="14" t="s">
        <v>1357</v>
      </c>
      <c r="N526" s="14" t="s">
        <v>1358</v>
      </c>
      <c r="O526" s="11" t="str">
        <f>HYPERLINK("https://abs.twimg.com/sticky/default_profile_images/default_profile_6_normal.png","View")</f>
        <v>View</v>
      </c>
      <c r="P526" s="15"/>
    </row>
    <row r="527">
      <c r="A527" s="7">
        <v>42425.30554398148</v>
      </c>
      <c r="B527" s="8" t="str">
        <f>HYPERLINK("https://twitter.com/caco_patane","@caco_patane")</f>
        <v>@caco_patane</v>
      </c>
      <c r="C527" s="10" t="s">
        <v>1359</v>
      </c>
      <c r="D527" s="10" t="s">
        <v>1360</v>
      </c>
      <c r="E527" s="11" t="str">
        <f>HYPERLINK("https://twitter.com/caco_patane/status/702875697581309952","702875697581309952")</f>
        <v>702875697581309952</v>
      </c>
      <c r="F527" s="12" t="s">
        <v>446</v>
      </c>
      <c r="G527" s="13">
        <v>556.0</v>
      </c>
      <c r="H527" s="13">
        <v>194.0</v>
      </c>
      <c r="I527" s="13">
        <v>0.0</v>
      </c>
      <c r="J527" s="13">
        <v>0.0</v>
      </c>
      <c r="K527" s="12" t="s">
        <v>21</v>
      </c>
      <c r="L527" s="7">
        <v>39317.7109375</v>
      </c>
      <c r="M527" s="14" t="s">
        <v>1361</v>
      </c>
      <c r="N527" s="14" t="s">
        <v>1362</v>
      </c>
      <c r="O527" s="11" t="str">
        <f>HYPERLINK("https://pbs.twimg.com/profile_images/426554071034896384/ybLDkAHn_normal.jpeg","View")</f>
        <v>View</v>
      </c>
      <c r="P527" s="15"/>
    </row>
    <row r="528">
      <c r="A528" s="7">
        <v>42425.3055787037</v>
      </c>
      <c r="B528" s="8" t="str">
        <f>HYPERLINK("https://twitter.com/GeertHub","@GeertHub")</f>
        <v>@GeertHub</v>
      </c>
      <c r="C528" s="10" t="s">
        <v>1363</v>
      </c>
      <c r="D528" s="10" t="s">
        <v>1364</v>
      </c>
      <c r="E528" s="11" t="str">
        <f>HYPERLINK("https://twitter.com/GeertHub/status/702875709279064070","702875709279064070")</f>
        <v>702875709279064070</v>
      </c>
      <c r="F528" s="12" t="s">
        <v>446</v>
      </c>
      <c r="G528" s="13">
        <v>1332.0</v>
      </c>
      <c r="H528" s="13">
        <v>1118.0</v>
      </c>
      <c r="I528" s="13">
        <v>0.0</v>
      </c>
      <c r="J528" s="13">
        <v>3.0</v>
      </c>
      <c r="K528" s="12" t="s">
        <v>21</v>
      </c>
      <c r="L528" s="7">
        <v>39953.37168981481</v>
      </c>
      <c r="M528" s="14" t="s">
        <v>1365</v>
      </c>
      <c r="N528" s="14" t="s">
        <v>1366</v>
      </c>
      <c r="O528" s="11" t="str">
        <f>HYPERLINK("https://pbs.twimg.com/profile_images/683734803133235200/NogCr1RI_normal.jpg","View")</f>
        <v>View</v>
      </c>
      <c r="P528" s="15"/>
    </row>
    <row r="529">
      <c r="A529" s="7">
        <v>42425.30559027778</v>
      </c>
      <c r="B529" s="8" t="str">
        <f>HYPERLINK("https://twitter.com/tweet_poke_","@tweet_poke_")</f>
        <v>@tweet_poke_</v>
      </c>
      <c r="C529" s="10" t="s">
        <v>158</v>
      </c>
      <c r="D529" s="10" t="s">
        <v>1367</v>
      </c>
      <c r="E529" s="11" t="str">
        <f>HYPERLINK("https://twitter.com/tweet_poke_/status/702875715121893378","702875715121893378")</f>
        <v>702875715121893378</v>
      </c>
      <c r="F529" s="12" t="s">
        <v>160</v>
      </c>
      <c r="G529" s="13">
        <v>106.0</v>
      </c>
      <c r="H529" s="13">
        <v>280.0</v>
      </c>
      <c r="I529" s="13">
        <v>1.0</v>
      </c>
      <c r="J529" s="13">
        <v>0.0</v>
      </c>
      <c r="K529" s="12" t="s">
        <v>21</v>
      </c>
      <c r="L529" s="7">
        <v>41758.236655092594</v>
      </c>
      <c r="M529" s="16"/>
      <c r="N529" s="14" t="s">
        <v>161</v>
      </c>
      <c r="O529" s="11" t="str">
        <f>HYPERLINK("https://pbs.twimg.com/profile_images/578537216823144448/GW-4L7Mg_normal.png","View")</f>
        <v>View</v>
      </c>
      <c r="P529" s="15"/>
    </row>
    <row r="530">
      <c r="A530" s="7">
        <v>42425.30619212963</v>
      </c>
      <c r="B530" s="8" t="str">
        <f>HYPERLINK("https://twitter.com/Pvalsfr","@Pvalsfr")</f>
        <v>@Pvalsfr</v>
      </c>
      <c r="C530" s="10" t="s">
        <v>771</v>
      </c>
      <c r="D530" s="10" t="s">
        <v>1299</v>
      </c>
      <c r="E530" s="11" t="str">
        <f>HYPERLINK("https://twitter.com/Pvalsfr/status/702875932500037633","702875932500037633")</f>
        <v>702875932500037633</v>
      </c>
      <c r="F530" s="12" t="s">
        <v>152</v>
      </c>
      <c r="G530" s="13">
        <v>1045.0</v>
      </c>
      <c r="H530" s="13">
        <v>1081.0</v>
      </c>
      <c r="I530" s="13">
        <v>6.0</v>
      </c>
      <c r="J530" s="13">
        <v>0.0</v>
      </c>
      <c r="K530" s="12" t="s">
        <v>21</v>
      </c>
      <c r="L530" s="7">
        <v>40867.68900462963</v>
      </c>
      <c r="M530" s="16"/>
      <c r="N530" s="16"/>
      <c r="O530" s="11" t="str">
        <f>HYPERLINK("https://abs.twimg.com/sticky/default_profile_images/default_profile_4_normal.png","View")</f>
        <v>View</v>
      </c>
      <c r="P530" s="15"/>
    </row>
    <row r="531">
      <c r="A531" s="7">
        <v>42425.306226851855</v>
      </c>
      <c r="B531" s="8" t="str">
        <f>HYPERLINK("https://twitter.com/diek007","@diek007")</f>
        <v>@diek007</v>
      </c>
      <c r="C531" s="10" t="s">
        <v>1340</v>
      </c>
      <c r="D531" s="10" t="s">
        <v>1368</v>
      </c>
      <c r="E531" s="11" t="str">
        <f>HYPERLINK("https://twitter.com/diek007/status/702875943245893632","702875943245893632")</f>
        <v>702875943245893632</v>
      </c>
      <c r="F531" s="12" t="s">
        <v>20</v>
      </c>
      <c r="G531" s="13">
        <v>61.0</v>
      </c>
      <c r="H531" s="13">
        <v>107.0</v>
      </c>
      <c r="I531" s="13">
        <v>0.0</v>
      </c>
      <c r="J531" s="13">
        <v>2.0</v>
      </c>
      <c r="K531" s="12" t="s">
        <v>21</v>
      </c>
      <c r="L531" s="7">
        <v>41019.80863425926</v>
      </c>
      <c r="M531" s="14" t="s">
        <v>1342</v>
      </c>
      <c r="N531" s="14" t="s">
        <v>1343</v>
      </c>
      <c r="O531" s="11" t="str">
        <f>HYPERLINK("https://pbs.twimg.com/profile_images/529760930767192064/fyuauJpj_normal.jpeg","View")</f>
        <v>View</v>
      </c>
      <c r="P531" s="15"/>
    </row>
    <row r="532">
      <c r="A532" s="7">
        <v>42425.30635416666</v>
      </c>
      <c r="B532" s="8" t="str">
        <f>HYPERLINK("https://twitter.com/Pvalsfr","@Pvalsfr")</f>
        <v>@Pvalsfr</v>
      </c>
      <c r="C532" s="10" t="s">
        <v>771</v>
      </c>
      <c r="D532" s="10" t="s">
        <v>1168</v>
      </c>
      <c r="E532" s="11" t="str">
        <f>HYPERLINK("https://twitter.com/Pvalsfr/status/702875990163329025","702875990163329025")</f>
        <v>702875990163329025</v>
      </c>
      <c r="F532" s="12" t="s">
        <v>152</v>
      </c>
      <c r="G532" s="13">
        <v>1045.0</v>
      </c>
      <c r="H532" s="13">
        <v>1081.0</v>
      </c>
      <c r="I532" s="13">
        <v>3.0</v>
      </c>
      <c r="J532" s="13">
        <v>0.0</v>
      </c>
      <c r="K532" s="12" t="s">
        <v>21</v>
      </c>
      <c r="L532" s="7">
        <v>40867.68900462963</v>
      </c>
      <c r="M532" s="16"/>
      <c r="N532" s="16"/>
      <c r="O532" s="11" t="str">
        <f>HYPERLINK("https://abs.twimg.com/sticky/default_profile_images/default_profile_4_normal.png","View")</f>
        <v>View</v>
      </c>
      <c r="P532" s="15"/>
    </row>
    <row r="533">
      <c r="A533" s="7">
        <v>42425.30637731482</v>
      </c>
      <c r="B533" s="8" t="str">
        <f>HYPERLINK("https://twitter.com/tomsnode","@tomsnode")</f>
        <v>@tomsnode</v>
      </c>
      <c r="C533" s="10" t="s">
        <v>1369</v>
      </c>
      <c r="D533" s="10" t="s">
        <v>1370</v>
      </c>
      <c r="E533" s="11" t="str">
        <f>HYPERLINK("https://twitter.com/tomsnode/status/702875996404363264","702875996404363264")</f>
        <v>702875996404363264</v>
      </c>
      <c r="F533" s="12" t="s">
        <v>152</v>
      </c>
      <c r="G533" s="13">
        <v>26.0</v>
      </c>
      <c r="H533" s="13">
        <v>40.0</v>
      </c>
      <c r="I533" s="13">
        <v>0.0</v>
      </c>
      <c r="J533" s="13">
        <v>0.0</v>
      </c>
      <c r="K533" s="12" t="s">
        <v>21</v>
      </c>
      <c r="L533" s="7">
        <v>42396.58653935185</v>
      </c>
      <c r="M533" s="14" t="s">
        <v>1371</v>
      </c>
      <c r="N533" s="14" t="s">
        <v>1372</v>
      </c>
      <c r="O533" s="11" t="str">
        <f>HYPERLINK("https://pbs.twimg.com/profile_images/702871246984355840/ITe_q_Xl_normal.jpg","View")</f>
        <v>View</v>
      </c>
      <c r="P533" s="15"/>
    </row>
    <row r="534">
      <c r="A534" s="7">
        <v>42425.30671296296</v>
      </c>
      <c r="B534" s="8" t="str">
        <f>HYPERLINK("https://twitter.com/art_control","@art_control")</f>
        <v>@art_control</v>
      </c>
      <c r="C534" s="10" t="s">
        <v>309</v>
      </c>
      <c r="D534" s="10" t="s">
        <v>1373</v>
      </c>
      <c r="E534" s="11" t="str">
        <f>HYPERLINK("https://twitter.com/art_control/status/702876119020802048","702876119020802048")</f>
        <v>702876119020802048</v>
      </c>
      <c r="F534" s="12" t="s">
        <v>311</v>
      </c>
      <c r="G534" s="13">
        <v>989.0</v>
      </c>
      <c r="H534" s="13">
        <v>850.0</v>
      </c>
      <c r="I534" s="13">
        <v>0.0</v>
      </c>
      <c r="J534" s="13">
        <v>0.0</v>
      </c>
      <c r="K534" s="12" t="s">
        <v>21</v>
      </c>
      <c r="L534" s="7">
        <v>39896.869675925926</v>
      </c>
      <c r="M534" s="14" t="s">
        <v>312</v>
      </c>
      <c r="N534" s="14" t="s">
        <v>313</v>
      </c>
      <c r="O534" s="11" t="str">
        <f>HYPERLINK("https://pbs.twimg.com/profile_images/649004216690675712/UAcrP6ol_normal.png","View")</f>
        <v>View</v>
      </c>
      <c r="P534" s="15"/>
    </row>
    <row r="535">
      <c r="A535" s="7">
        <v>42425.306863425925</v>
      </c>
      <c r="B535" s="8" t="str">
        <f>HYPERLINK("https://twitter.com/PhoebeWedding","@PhoebeWedding")</f>
        <v>@PhoebeWedding</v>
      </c>
      <c r="C535" s="10" t="s">
        <v>1374</v>
      </c>
      <c r="D535" s="10" t="s">
        <v>1375</v>
      </c>
      <c r="E535" s="11" t="str">
        <f>HYPERLINK("https://twitter.com/PhoebeWedding/status/702876175270592512","702876175270592512")</f>
        <v>702876175270592512</v>
      </c>
      <c r="F535" s="12" t="s">
        <v>450</v>
      </c>
      <c r="G535" s="13">
        <v>13575.0</v>
      </c>
      <c r="H535" s="13">
        <v>997.0</v>
      </c>
      <c r="I535" s="13">
        <v>0.0</v>
      </c>
      <c r="J535" s="13">
        <v>2.0</v>
      </c>
      <c r="K535" s="12" t="s">
        <v>21</v>
      </c>
      <c r="L535" s="7">
        <v>40222.22659722222</v>
      </c>
      <c r="M535" s="14" t="s">
        <v>1376</v>
      </c>
      <c r="N535" s="14" t="s">
        <v>1377</v>
      </c>
      <c r="O535" s="11" t="str">
        <f>HYPERLINK("https://pbs.twimg.com/profile_images/548943363521921024/g3DyWDGm_normal.jpeg","View")</f>
        <v>View</v>
      </c>
      <c r="P535" s="11" t="str">
        <f>HYPERLINK("http://ctrlq.org/maps/address/#51.5110512,-0.1445648","Map")</f>
        <v>Map</v>
      </c>
    </row>
    <row r="536">
      <c r="A536" s="7">
        <v>42425.30761574074</v>
      </c>
      <c r="B536" s="8" t="str">
        <f>HYPERLINK("https://twitter.com/pwang","@pwang")</f>
        <v>@pwang</v>
      </c>
      <c r="C536" s="10" t="s">
        <v>1378</v>
      </c>
      <c r="D536" s="10" t="s">
        <v>1379</v>
      </c>
      <c r="E536" s="11" t="str">
        <f>HYPERLINK("https://twitter.com/pwang/status/702876447271047168","702876447271047168")</f>
        <v>702876447271047168</v>
      </c>
      <c r="F536" s="12" t="s">
        <v>20</v>
      </c>
      <c r="G536" s="13">
        <v>6019.0</v>
      </c>
      <c r="H536" s="13">
        <v>691.0</v>
      </c>
      <c r="I536" s="13">
        <v>1.0</v>
      </c>
      <c r="J536" s="13">
        <v>0.0</v>
      </c>
      <c r="K536" s="12" t="s">
        <v>21</v>
      </c>
      <c r="L536" s="7">
        <v>39321.633356481485</v>
      </c>
      <c r="M536" s="14" t="s">
        <v>1380</v>
      </c>
      <c r="N536" s="14" t="s">
        <v>1381</v>
      </c>
      <c r="O536" s="11" t="str">
        <f>HYPERLINK("https://pbs.twimg.com/profile_images/568795658375557120/on4iBzsD_normal.jpeg","View")</f>
        <v>View</v>
      </c>
      <c r="P536" s="15"/>
    </row>
    <row r="537">
      <c r="A537" s="7">
        <v>42425.30782407407</v>
      </c>
      <c r="B537" s="8" t="str">
        <f>HYPERLINK("https://twitter.com/cleverexploit","@cleverexploit")</f>
        <v>@cleverexploit</v>
      </c>
      <c r="C537" s="10" t="s">
        <v>1382</v>
      </c>
      <c r="D537" s="10" t="s">
        <v>1212</v>
      </c>
      <c r="E537" s="11" t="str">
        <f>HYPERLINK("https://twitter.com/cleverexploit/status/702876524500746240","702876524500746240")</f>
        <v>702876524500746240</v>
      </c>
      <c r="F537" s="12" t="s">
        <v>20</v>
      </c>
      <c r="G537" s="13">
        <v>26.0</v>
      </c>
      <c r="H537" s="13">
        <v>101.0</v>
      </c>
      <c r="I537" s="13">
        <v>24.0</v>
      </c>
      <c r="J537" s="13">
        <v>0.0</v>
      </c>
      <c r="K537" s="12" t="s">
        <v>21</v>
      </c>
      <c r="L537" s="7">
        <v>42005.73263888889</v>
      </c>
      <c r="M537" s="16"/>
      <c r="N537" s="14" t="s">
        <v>1383</v>
      </c>
      <c r="O537" s="11" t="str">
        <f>HYPERLINK("https://pbs.twimg.com/profile_images/688994015438503936/OAGuhvmN_normal.jpg","View")</f>
        <v>View</v>
      </c>
      <c r="P537" s="15"/>
    </row>
    <row r="538">
      <c r="A538" s="7">
        <v>42425.309062500004</v>
      </c>
      <c r="B538" s="8" t="str">
        <f>HYPERLINK("https://twitter.com/TheDevConf","@TheDevConf")</f>
        <v>@TheDevConf</v>
      </c>
      <c r="C538" s="10" t="s">
        <v>1384</v>
      </c>
      <c r="D538" s="10" t="s">
        <v>1385</v>
      </c>
      <c r="E538" s="11" t="str">
        <f>HYPERLINK("https://twitter.com/TheDevConf/status/702876970191863808","702876970191863808")</f>
        <v>702876970191863808</v>
      </c>
      <c r="F538" s="12" t="s">
        <v>20</v>
      </c>
      <c r="G538" s="13">
        <v>4383.0</v>
      </c>
      <c r="H538" s="13">
        <v>52.0</v>
      </c>
      <c r="I538" s="13">
        <v>1.0</v>
      </c>
      <c r="J538" s="13">
        <v>0.0</v>
      </c>
      <c r="K538" s="12" t="s">
        <v>21</v>
      </c>
      <c r="L538" s="7">
        <v>40696.4384837963</v>
      </c>
      <c r="M538" s="14" t="s">
        <v>1386</v>
      </c>
      <c r="N538" s="16"/>
      <c r="O538" s="11" t="str">
        <f>HYPERLINK("https://pbs.twimg.com/profile_images/579985773610532864/cVI4GFs4_normal.png","View")</f>
        <v>View</v>
      </c>
      <c r="P538" s="15"/>
    </row>
    <row r="539">
      <c r="A539" s="7">
        <v>42425.30936342593</v>
      </c>
      <c r="B539" s="8" t="str">
        <f>HYPERLINK("https://twitter.com/RealPython","@RealPython")</f>
        <v>@RealPython</v>
      </c>
      <c r="C539" s="9" t="s">
        <v>1021</v>
      </c>
      <c r="D539" s="10" t="s">
        <v>1387</v>
      </c>
      <c r="E539" s="11" t="str">
        <f>HYPERLINK("https://twitter.com/RealPython/status/702877082091585536","702877082091585536")</f>
        <v>702877082091585536</v>
      </c>
      <c r="F539" s="12" t="s">
        <v>20</v>
      </c>
      <c r="G539" s="13">
        <v>5088.0</v>
      </c>
      <c r="H539" s="13">
        <v>39.0</v>
      </c>
      <c r="I539" s="13">
        <v>4.0</v>
      </c>
      <c r="J539" s="13">
        <v>11.0</v>
      </c>
      <c r="K539" s="12" t="s">
        <v>21</v>
      </c>
      <c r="L539" s="7">
        <v>41129.57270833333</v>
      </c>
      <c r="M539" s="16"/>
      <c r="N539" s="14" t="s">
        <v>1022</v>
      </c>
      <c r="O539" s="11" t="str">
        <f>HYPERLINK("https://pbs.twimg.com/profile_images/3312468366/129323224633d71286101d517a2f9817_normal.png","View")</f>
        <v>View</v>
      </c>
      <c r="P539" s="15"/>
    </row>
    <row r="540">
      <c r="A540" s="7">
        <v>42425.30939814815</v>
      </c>
      <c r="B540" s="8" t="str">
        <f>HYPERLINK("https://twitter.com/jimitnow","@jimitnow")</f>
        <v>@jimitnow</v>
      </c>
      <c r="C540" s="10" t="s">
        <v>1388</v>
      </c>
      <c r="D540" s="10" t="s">
        <v>1324</v>
      </c>
      <c r="E540" s="11" t="str">
        <f>HYPERLINK("https://twitter.com/jimitnow/status/702877091952394241","702877091952394241")</f>
        <v>702877091952394241</v>
      </c>
      <c r="F540" s="12" t="s">
        <v>152</v>
      </c>
      <c r="G540" s="13">
        <v>189.0</v>
      </c>
      <c r="H540" s="13">
        <v>894.0</v>
      </c>
      <c r="I540" s="13">
        <v>6.0</v>
      </c>
      <c r="J540" s="13">
        <v>0.0</v>
      </c>
      <c r="K540" s="12" t="s">
        <v>21</v>
      </c>
      <c r="L540" s="7">
        <v>39924.27976851852</v>
      </c>
      <c r="M540" s="14" t="s">
        <v>1389</v>
      </c>
      <c r="N540" s="14" t="s">
        <v>1390</v>
      </c>
      <c r="O540" s="11" t="str">
        <f>HYPERLINK("https://pbs.twimg.com/profile_images/3775408595/9f8b8693bebf0f325f3f2c279acec095_normal.jpeg","View")</f>
        <v>View</v>
      </c>
      <c r="P540" s="15"/>
    </row>
    <row r="541">
      <c r="A541" s="7">
        <v>42425.31003472222</v>
      </c>
      <c r="B541" s="8" t="str">
        <f>HYPERLINK("https://twitter.com/MikeHerman","@MikeHerman")</f>
        <v>@MikeHerman</v>
      </c>
      <c r="C541" s="10" t="s">
        <v>1323</v>
      </c>
      <c r="D541" s="10" t="s">
        <v>1391</v>
      </c>
      <c r="E541" s="11" t="str">
        <f>HYPERLINK("https://twitter.com/MikeHerman/status/702877321829593089","702877321829593089")</f>
        <v>702877321829593089</v>
      </c>
      <c r="F541" s="12" t="s">
        <v>20</v>
      </c>
      <c r="G541" s="13">
        <v>600.0</v>
      </c>
      <c r="H541" s="13">
        <v>46.0</v>
      </c>
      <c r="I541" s="13">
        <v>4.0</v>
      </c>
      <c r="J541" s="13">
        <v>0.0</v>
      </c>
      <c r="K541" s="12" t="s">
        <v>21</v>
      </c>
      <c r="L541" s="7">
        <v>40955.65877314815</v>
      </c>
      <c r="M541" s="14" t="s">
        <v>1325</v>
      </c>
      <c r="N541" s="14" t="s">
        <v>1326</v>
      </c>
      <c r="O541" s="11" t="str">
        <f>HYPERLINK("https://pbs.twimg.com/profile_images/1956395739/56358390A_normal.jpg","View")</f>
        <v>View</v>
      </c>
      <c r="P541" s="15"/>
    </row>
    <row r="542">
      <c r="A542" s="7">
        <v>42425.31018518518</v>
      </c>
      <c r="B542" s="8" t="str">
        <f>HYPERLINK("https://twitter.com/caco_patane","@caco_patane")</f>
        <v>@caco_patane</v>
      </c>
      <c r="C542" s="10" t="s">
        <v>1359</v>
      </c>
      <c r="D542" s="10" t="s">
        <v>1392</v>
      </c>
      <c r="E542" s="11" t="str">
        <f>HYPERLINK("https://twitter.com/caco_patane/status/702877377559470081","702877377559470081")</f>
        <v>702877377559470081</v>
      </c>
      <c r="F542" s="12" t="s">
        <v>446</v>
      </c>
      <c r="G542" s="13">
        <v>556.0</v>
      </c>
      <c r="H542" s="13">
        <v>194.0</v>
      </c>
      <c r="I542" s="13">
        <v>0.0</v>
      </c>
      <c r="J542" s="13">
        <v>0.0</v>
      </c>
      <c r="K542" s="12" t="s">
        <v>21</v>
      </c>
      <c r="L542" s="7">
        <v>39317.7109375</v>
      </c>
      <c r="M542" s="14" t="s">
        <v>1361</v>
      </c>
      <c r="N542" s="14" t="s">
        <v>1362</v>
      </c>
      <c r="O542" s="11" t="str">
        <f>HYPERLINK("https://pbs.twimg.com/profile_images/426554071034896384/ybLDkAHn_normal.jpeg","View")</f>
        <v>View</v>
      </c>
      <c r="P542" s="15"/>
    </row>
    <row r="543">
      <c r="A543" s="7">
        <v>42425.31050925926</v>
      </c>
      <c r="B543" s="8" t="str">
        <f>HYPERLINK("https://twitter.com/Pvalsfr","@Pvalsfr")</f>
        <v>@Pvalsfr</v>
      </c>
      <c r="C543" s="10" t="s">
        <v>771</v>
      </c>
      <c r="D543" s="10" t="s">
        <v>205</v>
      </c>
      <c r="E543" s="11" t="str">
        <f>HYPERLINK("https://twitter.com/Pvalsfr/status/702877496526639104","702877496526639104")</f>
        <v>702877496526639104</v>
      </c>
      <c r="F543" s="12" t="s">
        <v>20</v>
      </c>
      <c r="G543" s="13">
        <v>1045.0</v>
      </c>
      <c r="H543" s="13">
        <v>1081.0</v>
      </c>
      <c r="I543" s="13">
        <v>2.0</v>
      </c>
      <c r="J543" s="13">
        <v>0.0</v>
      </c>
      <c r="K543" s="12" t="s">
        <v>21</v>
      </c>
      <c r="L543" s="7">
        <v>40867.68900462963</v>
      </c>
      <c r="M543" s="16"/>
      <c r="N543" s="16"/>
      <c r="O543" s="11" t="str">
        <f>HYPERLINK("https://abs.twimg.com/sticky/default_profile_images/default_profile_4_normal.png","View")</f>
        <v>View</v>
      </c>
      <c r="P543" s="15"/>
    </row>
    <row r="544">
      <c r="A544" s="7">
        <v>42425.31097222222</v>
      </c>
      <c r="B544" s="8" t="str">
        <f>HYPERLINK("https://twitter.com/Monkylabs","@Monkylabs")</f>
        <v>@Monkylabs</v>
      </c>
      <c r="C544" s="10" t="s">
        <v>967</v>
      </c>
      <c r="D544" s="10" t="s">
        <v>1393</v>
      </c>
      <c r="E544" s="11" t="str">
        <f>HYPERLINK("https://twitter.com/Monkylabs/status/702877664571494401","702877664571494401")</f>
        <v>702877664571494401</v>
      </c>
      <c r="F544" s="12" t="s">
        <v>236</v>
      </c>
      <c r="G544" s="13">
        <v>94.0</v>
      </c>
      <c r="H544" s="13">
        <v>122.0</v>
      </c>
      <c r="I544" s="13">
        <v>0.0</v>
      </c>
      <c r="J544" s="13">
        <v>0.0</v>
      </c>
      <c r="K544" s="12" t="s">
        <v>21</v>
      </c>
      <c r="L544" s="7">
        <v>41752.42246527778</v>
      </c>
      <c r="M544" s="14" t="s">
        <v>969</v>
      </c>
      <c r="N544" s="14" t="s">
        <v>970</v>
      </c>
      <c r="O544" s="11" t="str">
        <f>HYPERLINK("https://pbs.twimg.com/profile_images/567429931634667520/WUvoVNNI_normal.png","View")</f>
        <v>View</v>
      </c>
      <c r="P544" s="15"/>
    </row>
    <row r="545">
      <c r="A545" s="7">
        <v>42425.31129629629</v>
      </c>
      <c r="B545" s="8" t="str">
        <f>HYPERLINK("https://twitter.com/AgendaduLibreFr","@AgendaduLibreFr")</f>
        <v>@AgendaduLibreFr</v>
      </c>
      <c r="C545" s="10" t="s">
        <v>1394</v>
      </c>
      <c r="D545" s="10" t="s">
        <v>1395</v>
      </c>
      <c r="E545" s="11" t="str">
        <f>HYPERLINK("https://twitter.com/AgendaduLibreFr/status/702877782062338049","702877782062338049")</f>
        <v>702877782062338049</v>
      </c>
      <c r="F545" s="12" t="s">
        <v>1394</v>
      </c>
      <c r="G545" s="13">
        <v>184.0</v>
      </c>
      <c r="H545" s="13">
        <v>1.0</v>
      </c>
      <c r="I545" s="13">
        <v>0.0</v>
      </c>
      <c r="J545" s="13">
        <v>0.0</v>
      </c>
      <c r="K545" s="12" t="s">
        <v>21</v>
      </c>
      <c r="L545" s="7">
        <v>41687.597025462965</v>
      </c>
      <c r="M545" s="14" t="s">
        <v>416</v>
      </c>
      <c r="N545" s="16"/>
      <c r="O545" s="11" t="str">
        <f>HYPERLINK("https://pbs.twimg.com/profile_images/518168809530589184/ndYDMXcR_normal.png","View")</f>
        <v>View</v>
      </c>
      <c r="P545" s="15"/>
    </row>
    <row r="546">
      <c r="A546" s="7">
        <v>42425.31166666667</v>
      </c>
      <c r="B546" s="8" t="str">
        <f>HYPERLINK("https://twitter.com/SherlockTech","@SherlockTech")</f>
        <v>@SherlockTech</v>
      </c>
      <c r="C546" s="10" t="s">
        <v>1396</v>
      </c>
      <c r="D546" s="10" t="s">
        <v>1397</v>
      </c>
      <c r="E546" s="11" t="str">
        <f>HYPERLINK("https://twitter.com/SherlockTech/status/702877915919290368","702877915919290368")</f>
        <v>702877915919290368</v>
      </c>
      <c r="F546" s="12" t="s">
        <v>20</v>
      </c>
      <c r="G546" s="13">
        <v>1006.0</v>
      </c>
      <c r="H546" s="13">
        <v>1702.0</v>
      </c>
      <c r="I546" s="13">
        <v>0.0</v>
      </c>
      <c r="J546" s="13">
        <v>0.0</v>
      </c>
      <c r="K546" s="12" t="s">
        <v>21</v>
      </c>
      <c r="L546" s="7">
        <v>39915.66195601852</v>
      </c>
      <c r="M546" s="14" t="s">
        <v>1398</v>
      </c>
      <c r="N546" s="14" t="s">
        <v>1399</v>
      </c>
      <c r="O546" s="11" t="str">
        <f>HYPERLINK("https://pbs.twimg.com/profile_images/1206023823/SQLogo_normal.jpg","View")</f>
        <v>View</v>
      </c>
      <c r="P546" s="15"/>
    </row>
    <row r="547">
      <c r="A547" s="7">
        <v>42425.31252314815</v>
      </c>
      <c r="B547" s="8" t="str">
        <f>HYPERLINK("https://twitter.com/RealPython","@RealPython")</f>
        <v>@RealPython</v>
      </c>
      <c r="C547" s="9" t="s">
        <v>1021</v>
      </c>
      <c r="D547" s="10" t="s">
        <v>1400</v>
      </c>
      <c r="E547" s="11" t="str">
        <f>HYPERLINK("https://twitter.com/RealPython/status/702878225152630784","702878225152630784")</f>
        <v>702878225152630784</v>
      </c>
      <c r="F547" s="12" t="s">
        <v>20</v>
      </c>
      <c r="G547" s="13">
        <v>5088.0</v>
      </c>
      <c r="H547" s="13">
        <v>39.0</v>
      </c>
      <c r="I547" s="13">
        <v>0.0</v>
      </c>
      <c r="J547" s="13">
        <v>6.0</v>
      </c>
      <c r="K547" s="12" t="s">
        <v>21</v>
      </c>
      <c r="L547" s="7">
        <v>41129.57270833333</v>
      </c>
      <c r="M547" s="16"/>
      <c r="N547" s="14" t="s">
        <v>1022</v>
      </c>
      <c r="O547" s="11" t="str">
        <f>HYPERLINK("https://pbs.twimg.com/profile_images/3312468366/129323224633d71286101d517a2f9817_normal.png","View")</f>
        <v>View</v>
      </c>
      <c r="P547" s="15"/>
    </row>
    <row r="548">
      <c r="A548" s="7">
        <v>42425.31261574074</v>
      </c>
      <c r="B548" s="8" t="str">
        <f>HYPERLINK("https://twitter.com/Simeagh","@Simeagh")</f>
        <v>@Simeagh</v>
      </c>
      <c r="C548" s="10" t="s">
        <v>1401</v>
      </c>
      <c r="D548" s="10" t="s">
        <v>1034</v>
      </c>
      <c r="E548" s="11" t="str">
        <f>HYPERLINK("https://twitter.com/Simeagh/status/702878259403493376","702878259403493376")</f>
        <v>702878259403493376</v>
      </c>
      <c r="F548" s="12" t="s">
        <v>152</v>
      </c>
      <c r="G548" s="13">
        <v>739.0</v>
      </c>
      <c r="H548" s="13">
        <v>445.0</v>
      </c>
      <c r="I548" s="13">
        <v>7.0</v>
      </c>
      <c r="J548" s="13">
        <v>0.0</v>
      </c>
      <c r="K548" s="12" t="s">
        <v>21</v>
      </c>
      <c r="L548" s="7">
        <v>42177.436527777776</v>
      </c>
      <c r="M548" s="14" t="s">
        <v>1402</v>
      </c>
      <c r="N548" s="14" t="s">
        <v>1403</v>
      </c>
      <c r="O548" s="11" t="str">
        <f>HYPERLINK("https://pbs.twimg.com/profile_images/615972651597701120/MYFW8fiL_normal.jpg","View")</f>
        <v>View</v>
      </c>
      <c r="P548" s="15"/>
    </row>
    <row r="549">
      <c r="A549" s="7">
        <v>42425.313796296294</v>
      </c>
      <c r="B549" s="8" t="str">
        <f>HYPERLINK("https://twitter.com/art_control","@art_control")</f>
        <v>@art_control</v>
      </c>
      <c r="C549" s="10" t="s">
        <v>309</v>
      </c>
      <c r="D549" s="10" t="s">
        <v>1404</v>
      </c>
      <c r="E549" s="11" t="str">
        <f>HYPERLINK("https://twitter.com/art_control/status/702878686182252548","702878686182252548")</f>
        <v>702878686182252548</v>
      </c>
      <c r="F549" s="12" t="s">
        <v>311</v>
      </c>
      <c r="G549" s="13">
        <v>989.0</v>
      </c>
      <c r="H549" s="13">
        <v>850.0</v>
      </c>
      <c r="I549" s="13">
        <v>0.0</v>
      </c>
      <c r="J549" s="13">
        <v>0.0</v>
      </c>
      <c r="K549" s="12" t="s">
        <v>21</v>
      </c>
      <c r="L549" s="7">
        <v>39896.869675925926</v>
      </c>
      <c r="M549" s="14" t="s">
        <v>312</v>
      </c>
      <c r="N549" s="14" t="s">
        <v>313</v>
      </c>
      <c r="O549" s="11" t="str">
        <f>HYPERLINK("https://pbs.twimg.com/profile_images/649004216690675712/UAcrP6ol_normal.png","View")</f>
        <v>View</v>
      </c>
      <c r="P549" s="15"/>
    </row>
    <row r="550">
      <c r="A550" s="7">
        <v>42425.314618055556</v>
      </c>
      <c r="B550" s="8" t="str">
        <f>HYPERLINK("https://twitter.com/albr_westside","@albr_westside")</f>
        <v>@albr_westside</v>
      </c>
      <c r="C550" s="10" t="s">
        <v>1405</v>
      </c>
      <c r="D550" s="10" t="s">
        <v>1406</v>
      </c>
      <c r="E550" s="11" t="str">
        <f>HYPERLINK("https://twitter.com/albr_westside/status/702878983361339392","702878983361339392")</f>
        <v>702878983361339392</v>
      </c>
      <c r="F550" s="12" t="s">
        <v>20</v>
      </c>
      <c r="G550" s="13">
        <v>837.0</v>
      </c>
      <c r="H550" s="13">
        <v>200.0</v>
      </c>
      <c r="I550" s="13">
        <v>0.0</v>
      </c>
      <c r="J550" s="13">
        <v>0.0</v>
      </c>
      <c r="K550" s="12" t="s">
        <v>21</v>
      </c>
      <c r="L550" s="7">
        <v>40198.40032407407</v>
      </c>
      <c r="M550" s="14" t="s">
        <v>43</v>
      </c>
      <c r="N550" s="14" t="s">
        <v>1407</v>
      </c>
      <c r="O550" s="11" t="str">
        <f>HYPERLINK("https://pbs.twimg.com/profile_images/3207286851/2ec2ea045752b37643641201b82ec2e0_normal.jpeg","View")</f>
        <v>View</v>
      </c>
      <c r="P550" s="15"/>
    </row>
    <row r="551">
      <c r="A551" s="7">
        <v>42425.31512731481</v>
      </c>
      <c r="B551" s="8" t="str">
        <f>HYPERLINK("https://twitter.com/BestSQL","@BestSQL")</f>
        <v>@BestSQL</v>
      </c>
      <c r="C551" s="10" t="s">
        <v>1408</v>
      </c>
      <c r="D551" s="10" t="s">
        <v>1409</v>
      </c>
      <c r="E551" s="11" t="str">
        <f>HYPERLINK("https://twitter.com/BestSQL/status/702879169298870272","702879169298870272")</f>
        <v>702879169298870272</v>
      </c>
      <c r="F551" s="12" t="s">
        <v>1408</v>
      </c>
      <c r="G551" s="13">
        <v>1254.0</v>
      </c>
      <c r="H551" s="13">
        <v>129.0</v>
      </c>
      <c r="I551" s="13">
        <v>4.0</v>
      </c>
      <c r="J551" s="13">
        <v>4.0</v>
      </c>
      <c r="K551" s="12" t="s">
        <v>21</v>
      </c>
      <c r="L551" s="7">
        <v>41447.71766203704</v>
      </c>
      <c r="M551" s="16"/>
      <c r="N551" s="14" t="s">
        <v>1410</v>
      </c>
      <c r="O551" s="11" t="str">
        <f>HYPERLINK("https://pbs.twimg.com/profile_images/378800000031537156/d9b23127866982fa03fd84212e73d695_normal.jpeg","View")</f>
        <v>View</v>
      </c>
      <c r="P551" s="15"/>
    </row>
    <row r="552">
      <c r="A552" s="7">
        <v>42425.31576388889</v>
      </c>
      <c r="B552" s="8" t="str">
        <f t="shared" ref="B552:B553" si="41">HYPERLINK("https://twitter.com/CarAudioDealUSA","@CarAudioDealUSA")</f>
        <v>@CarAudioDealUSA</v>
      </c>
      <c r="C552" s="10" t="s">
        <v>1411</v>
      </c>
      <c r="D552" s="10" t="s">
        <v>1412</v>
      </c>
      <c r="E552" s="11" t="str">
        <f>HYPERLINK("https://twitter.com/CarAudioDealUSA/status/702879399876521984","702879399876521984")</f>
        <v>702879399876521984</v>
      </c>
      <c r="F552" s="12" t="s">
        <v>1413</v>
      </c>
      <c r="G552" s="13">
        <v>16.0</v>
      </c>
      <c r="H552" s="13">
        <v>0.0</v>
      </c>
      <c r="I552" s="13">
        <v>0.0</v>
      </c>
      <c r="J552" s="13">
        <v>0.0</v>
      </c>
      <c r="K552" s="12" t="s">
        <v>21</v>
      </c>
      <c r="L552" s="7">
        <v>42422.917233796295</v>
      </c>
      <c r="M552" s="16"/>
      <c r="N552" s="16"/>
      <c r="O552" s="11" t="str">
        <f t="shared" ref="O552:O553" si="42">HYPERLINK("https://pbs.twimg.com/profile_images/702011382984626176/X393lyi-_normal.png","View")</f>
        <v>View</v>
      </c>
      <c r="P552" s="15"/>
    </row>
    <row r="553">
      <c r="A553" s="7">
        <v>42425.31618055556</v>
      </c>
      <c r="B553" s="8" t="str">
        <f t="shared" si="41"/>
        <v>@CarAudioDealUSA</v>
      </c>
      <c r="C553" s="10" t="s">
        <v>1411</v>
      </c>
      <c r="D553" s="10" t="s">
        <v>1414</v>
      </c>
      <c r="E553" s="11" t="str">
        <f>HYPERLINK("https://twitter.com/CarAudioDealUSA/status/702879552788238342","702879552788238342")</f>
        <v>702879552788238342</v>
      </c>
      <c r="F553" s="12" t="s">
        <v>1413</v>
      </c>
      <c r="G553" s="13">
        <v>16.0</v>
      </c>
      <c r="H553" s="13">
        <v>0.0</v>
      </c>
      <c r="I553" s="13">
        <v>0.0</v>
      </c>
      <c r="J553" s="13">
        <v>0.0</v>
      </c>
      <c r="K553" s="12" t="s">
        <v>21</v>
      </c>
      <c r="L553" s="7">
        <v>42422.917233796295</v>
      </c>
      <c r="M553" s="16"/>
      <c r="N553" s="16"/>
      <c r="O553" s="11" t="str">
        <f t="shared" si="42"/>
        <v>View</v>
      </c>
      <c r="P553" s="15"/>
    </row>
    <row r="554">
      <c r="A554" s="7">
        <v>42425.31657407407</v>
      </c>
      <c r="B554" s="8" t="str">
        <f>HYPERLINK("https://twitter.com/thenewstack","@thenewstack")</f>
        <v>@thenewstack</v>
      </c>
      <c r="C554" s="10" t="s">
        <v>1415</v>
      </c>
      <c r="D554" s="10" t="s">
        <v>1416</v>
      </c>
      <c r="E554" s="11" t="str">
        <f>HYPERLINK("https://twitter.com/thenewstack/status/702879692324519936","702879692324519936")</f>
        <v>702879692324519936</v>
      </c>
      <c r="F554" s="12" t="s">
        <v>20</v>
      </c>
      <c r="G554" s="13">
        <v>6135.0</v>
      </c>
      <c r="H554" s="13">
        <v>731.0</v>
      </c>
      <c r="I554" s="13">
        <v>2.0</v>
      </c>
      <c r="J554" s="13">
        <v>1.0</v>
      </c>
      <c r="K554" s="12" t="s">
        <v>21</v>
      </c>
      <c r="L554" s="7">
        <v>41674.450578703705</v>
      </c>
      <c r="M554" s="14" t="s">
        <v>1417</v>
      </c>
      <c r="N554" s="14" t="s">
        <v>1418</v>
      </c>
      <c r="O554" s="11" t="str">
        <f>HYPERLINK("https://pbs.twimg.com/profile_images/650494844536647680/kxpz8kAv_normal.png","View")</f>
        <v>View</v>
      </c>
      <c r="P554" s="15"/>
    </row>
    <row r="555">
      <c r="A555" s="7">
        <v>42425.316608796296</v>
      </c>
      <c r="B555" s="8" t="str">
        <f>HYPERLINK("https://twitter.com/CarAudioDealUSA","@CarAudioDealUSA")</f>
        <v>@CarAudioDealUSA</v>
      </c>
      <c r="C555" s="10" t="s">
        <v>1411</v>
      </c>
      <c r="D555" s="10" t="s">
        <v>1419</v>
      </c>
      <c r="E555" s="11" t="str">
        <f>HYPERLINK("https://twitter.com/CarAudioDealUSA/status/702879705679138818","702879705679138818")</f>
        <v>702879705679138818</v>
      </c>
      <c r="F555" s="12" t="s">
        <v>1413</v>
      </c>
      <c r="G555" s="13">
        <v>16.0</v>
      </c>
      <c r="H555" s="13">
        <v>0.0</v>
      </c>
      <c r="I555" s="13">
        <v>0.0</v>
      </c>
      <c r="J555" s="13">
        <v>0.0</v>
      </c>
      <c r="K555" s="12" t="s">
        <v>21</v>
      </c>
      <c r="L555" s="7">
        <v>42422.917233796295</v>
      </c>
      <c r="M555" s="16"/>
      <c r="N555" s="16"/>
      <c r="O555" s="11" t="str">
        <f>HYPERLINK("https://pbs.twimg.com/profile_images/702011382984626176/X393lyi-_normal.png","View")</f>
        <v>View</v>
      </c>
      <c r="P555" s="15"/>
    </row>
    <row r="556">
      <c r="A556" s="7">
        <v>42425.317199074074</v>
      </c>
      <c r="B556" s="8" t="str">
        <f>HYPERLINK("https://twitter.com/tunguz","@tunguz")</f>
        <v>@tunguz</v>
      </c>
      <c r="C556" s="10" t="s">
        <v>1420</v>
      </c>
      <c r="D556" s="10" t="s">
        <v>1421</v>
      </c>
      <c r="E556" s="11" t="str">
        <f>HYPERLINK("https://twitter.com/tunguz/status/702879921518092290","702879921518092290")</f>
        <v>702879921518092290</v>
      </c>
      <c r="F556" s="12" t="s">
        <v>1422</v>
      </c>
      <c r="G556" s="13">
        <v>2931.0</v>
      </c>
      <c r="H556" s="13">
        <v>2367.0</v>
      </c>
      <c r="I556" s="13">
        <v>1.0</v>
      </c>
      <c r="J556" s="13">
        <v>0.0</v>
      </c>
      <c r="K556" s="12" t="s">
        <v>21</v>
      </c>
      <c r="L556" s="7">
        <v>39881.63072916667</v>
      </c>
      <c r="M556" s="16"/>
      <c r="N556" s="14" t="s">
        <v>1423</v>
      </c>
      <c r="O556" s="11" t="str">
        <f>HYPERLINK("https://pbs.twimg.com/profile_images/378800000280104893/69d9138650448f98f88e5f4108593559_normal.jpeg","View")</f>
        <v>View</v>
      </c>
      <c r="P556" s="15"/>
    </row>
    <row r="557">
      <c r="A557" s="7">
        <v>42425.317407407405</v>
      </c>
      <c r="B557" s="8" t="str">
        <f>HYPERLINK("https://twitter.com/_sapuru","@_sapuru")</f>
        <v>@_sapuru</v>
      </c>
      <c r="C557" s="10" t="s">
        <v>1424</v>
      </c>
      <c r="D557" s="10" t="s">
        <v>1425</v>
      </c>
      <c r="E557" s="11" t="str">
        <f>HYPERLINK("https://twitter.com/_sapuru/status/702879996935688193","702879996935688193")</f>
        <v>702879996935688193</v>
      </c>
      <c r="F557" s="12" t="s">
        <v>446</v>
      </c>
      <c r="G557" s="13">
        <v>751.0</v>
      </c>
      <c r="H557" s="13">
        <v>777.0</v>
      </c>
      <c r="I557" s="13">
        <v>0.0</v>
      </c>
      <c r="J557" s="13">
        <v>2.0</v>
      </c>
      <c r="K557" s="12" t="s">
        <v>21</v>
      </c>
      <c r="L557" s="7">
        <v>39717.528715277775</v>
      </c>
      <c r="M557" s="14" t="s">
        <v>1426</v>
      </c>
      <c r="N557" s="14" t="s">
        <v>1427</v>
      </c>
      <c r="O557" s="11" t="str">
        <f>HYPERLINK("https://pbs.twimg.com/profile_images/680374275816177665/w9Mec_ST_normal.jpg","View")</f>
        <v>View</v>
      </c>
      <c r="P557" s="15"/>
    </row>
    <row r="558">
      <c r="A558" s="7">
        <v>42425.31903935185</v>
      </c>
      <c r="B558" s="8" t="str">
        <f>HYPERLINK("https://twitter.com/Angel_Cruijff","@Angel_Cruijff")</f>
        <v>@Angel_Cruijff</v>
      </c>
      <c r="C558" s="10" t="s">
        <v>1428</v>
      </c>
      <c r="D558" s="10" t="s">
        <v>1277</v>
      </c>
      <c r="E558" s="11" t="str">
        <f>HYPERLINK("https://twitter.com/Angel_Cruijff/status/702880585853734912","702880585853734912")</f>
        <v>702880585853734912</v>
      </c>
      <c r="F558" s="12" t="s">
        <v>20</v>
      </c>
      <c r="G558" s="13">
        <v>150.0</v>
      </c>
      <c r="H558" s="13">
        <v>616.0</v>
      </c>
      <c r="I558" s="13">
        <v>5.0</v>
      </c>
      <c r="J558" s="13">
        <v>0.0</v>
      </c>
      <c r="K558" s="12" t="s">
        <v>21</v>
      </c>
      <c r="L558" s="7">
        <v>40295.34353009259</v>
      </c>
      <c r="M558" s="14" t="s">
        <v>1429</v>
      </c>
      <c r="N558" s="14" t="s">
        <v>1430</v>
      </c>
      <c r="O558" s="11" t="str">
        <f>HYPERLINK("https://pbs.twimg.com/profile_images/614937494933540867/t99_VIGQ_normal.jpg","View")</f>
        <v>View</v>
      </c>
      <c r="P558" s="15"/>
    </row>
    <row r="559">
      <c r="A559" s="7">
        <v>42425.31958333333</v>
      </c>
      <c r="B559" s="8" t="str">
        <f t="shared" ref="B559:B563" si="43">HYPERLINK("https://twitter.com/artwisanggeni","@artwisanggeni")</f>
        <v>@artwisanggeni</v>
      </c>
      <c r="C559" s="10" t="s">
        <v>74</v>
      </c>
      <c r="D559" s="10" t="s">
        <v>1431</v>
      </c>
      <c r="E559" s="11" t="str">
        <f>HYPERLINK("https://twitter.com/artwisanggeni/status/702880783199961090","702880783199961090")</f>
        <v>702880783199961090</v>
      </c>
      <c r="F559" s="17" t="s">
        <v>76</v>
      </c>
      <c r="G559" s="13">
        <v>236.0</v>
      </c>
      <c r="H559" s="13">
        <v>61.0</v>
      </c>
      <c r="I559" s="13">
        <v>0.0</v>
      </c>
      <c r="J559" s="13">
        <v>0.0</v>
      </c>
      <c r="K559" s="12" t="s">
        <v>21</v>
      </c>
      <c r="L559" s="7">
        <v>41218.90608796296</v>
      </c>
      <c r="M559" s="14" t="s">
        <v>77</v>
      </c>
      <c r="N559" s="14" t="s">
        <v>78</v>
      </c>
      <c r="O559" s="11" t="str">
        <f t="shared" ref="O559:O563" si="44">HYPERLINK("https://pbs.twimg.com/profile_images/2813636657/599521f69e2bc210a57323b64d8e39e6_normal.jpeg","View")</f>
        <v>View</v>
      </c>
      <c r="P559" s="15"/>
    </row>
    <row r="560">
      <c r="A560" s="7">
        <v>42425.31959490741</v>
      </c>
      <c r="B560" s="8" t="str">
        <f t="shared" si="43"/>
        <v>@artwisanggeni</v>
      </c>
      <c r="C560" s="10" t="s">
        <v>74</v>
      </c>
      <c r="D560" s="10" t="s">
        <v>1432</v>
      </c>
      <c r="E560" s="11" t="str">
        <f>HYPERLINK("https://twitter.com/artwisanggeni/status/702880787968847872","702880787968847872")</f>
        <v>702880787968847872</v>
      </c>
      <c r="F560" s="17" t="s">
        <v>76</v>
      </c>
      <c r="G560" s="13">
        <v>236.0</v>
      </c>
      <c r="H560" s="13">
        <v>61.0</v>
      </c>
      <c r="I560" s="13">
        <v>0.0</v>
      </c>
      <c r="J560" s="13">
        <v>0.0</v>
      </c>
      <c r="K560" s="12" t="s">
        <v>21</v>
      </c>
      <c r="L560" s="7">
        <v>41218.90608796296</v>
      </c>
      <c r="M560" s="14" t="s">
        <v>77</v>
      </c>
      <c r="N560" s="14" t="s">
        <v>78</v>
      </c>
      <c r="O560" s="11" t="str">
        <f t="shared" si="44"/>
        <v>View</v>
      </c>
      <c r="P560" s="15"/>
    </row>
    <row r="561">
      <c r="A561" s="7">
        <v>42425.319606481484</v>
      </c>
      <c r="B561" s="8" t="str">
        <f t="shared" si="43"/>
        <v>@artwisanggeni</v>
      </c>
      <c r="C561" s="10" t="s">
        <v>74</v>
      </c>
      <c r="D561" s="10" t="s">
        <v>1433</v>
      </c>
      <c r="E561" s="11" t="str">
        <f>HYPERLINK("https://twitter.com/artwisanggeni/status/702880791643029504","702880791643029504")</f>
        <v>702880791643029504</v>
      </c>
      <c r="F561" s="17" t="s">
        <v>76</v>
      </c>
      <c r="G561" s="13">
        <v>236.0</v>
      </c>
      <c r="H561" s="13">
        <v>61.0</v>
      </c>
      <c r="I561" s="13">
        <v>0.0</v>
      </c>
      <c r="J561" s="13">
        <v>0.0</v>
      </c>
      <c r="K561" s="12" t="s">
        <v>21</v>
      </c>
      <c r="L561" s="7">
        <v>41218.90608796296</v>
      </c>
      <c r="M561" s="14" t="s">
        <v>77</v>
      </c>
      <c r="N561" s="14" t="s">
        <v>78</v>
      </c>
      <c r="O561" s="11" t="str">
        <f t="shared" si="44"/>
        <v>View</v>
      </c>
      <c r="P561" s="15"/>
    </row>
    <row r="562">
      <c r="A562" s="7">
        <v>42425.31961805555</v>
      </c>
      <c r="B562" s="8" t="str">
        <f t="shared" si="43"/>
        <v>@artwisanggeni</v>
      </c>
      <c r="C562" s="10" t="s">
        <v>74</v>
      </c>
      <c r="D562" s="10" t="s">
        <v>1434</v>
      </c>
      <c r="E562" s="11" t="str">
        <f>HYPERLINK("https://twitter.com/artwisanggeni/status/702880796068044800","702880796068044800")</f>
        <v>702880796068044800</v>
      </c>
      <c r="F562" s="17" t="s">
        <v>76</v>
      </c>
      <c r="G562" s="13">
        <v>236.0</v>
      </c>
      <c r="H562" s="13">
        <v>61.0</v>
      </c>
      <c r="I562" s="13">
        <v>0.0</v>
      </c>
      <c r="J562" s="13">
        <v>0.0</v>
      </c>
      <c r="K562" s="12" t="s">
        <v>21</v>
      </c>
      <c r="L562" s="7">
        <v>41218.90608796296</v>
      </c>
      <c r="M562" s="14" t="s">
        <v>77</v>
      </c>
      <c r="N562" s="14" t="s">
        <v>78</v>
      </c>
      <c r="O562" s="11" t="str">
        <f t="shared" si="44"/>
        <v>View</v>
      </c>
      <c r="P562" s="15"/>
    </row>
    <row r="563">
      <c r="A563" s="7">
        <v>42425.31962962963</v>
      </c>
      <c r="B563" s="8" t="str">
        <f t="shared" si="43"/>
        <v>@artwisanggeni</v>
      </c>
      <c r="C563" s="10" t="s">
        <v>74</v>
      </c>
      <c r="D563" s="10" t="s">
        <v>1435</v>
      </c>
      <c r="E563" s="11" t="str">
        <f>HYPERLINK("https://twitter.com/artwisanggeni/status/702880800853745664","702880800853745664")</f>
        <v>702880800853745664</v>
      </c>
      <c r="F563" s="17" t="s">
        <v>76</v>
      </c>
      <c r="G563" s="13">
        <v>236.0</v>
      </c>
      <c r="H563" s="13">
        <v>61.0</v>
      </c>
      <c r="I563" s="13">
        <v>0.0</v>
      </c>
      <c r="J563" s="13">
        <v>0.0</v>
      </c>
      <c r="K563" s="12" t="s">
        <v>21</v>
      </c>
      <c r="L563" s="7">
        <v>41218.90608796296</v>
      </c>
      <c r="M563" s="14" t="s">
        <v>77</v>
      </c>
      <c r="N563" s="14" t="s">
        <v>78</v>
      </c>
      <c r="O563" s="11" t="str">
        <f t="shared" si="44"/>
        <v>View</v>
      </c>
      <c r="P563" s="15"/>
    </row>
    <row r="564">
      <c r="A564" s="7">
        <v>42425.3200462963</v>
      </c>
      <c r="B564" s="8" t="str">
        <f>HYPERLINK("https://twitter.com/PyBloggers","@PyBloggers")</f>
        <v>@PyBloggers</v>
      </c>
      <c r="C564" s="10" t="s">
        <v>1436</v>
      </c>
      <c r="D564" s="10" t="s">
        <v>1437</v>
      </c>
      <c r="E564" s="11" t="str">
        <f>HYPERLINK("https://twitter.com/PyBloggers/status/702880952595382272","702880952595382272")</f>
        <v>702880952595382272</v>
      </c>
      <c r="F564" s="12" t="s">
        <v>103</v>
      </c>
      <c r="G564" s="13">
        <v>140.0</v>
      </c>
      <c r="H564" s="13">
        <v>160.0</v>
      </c>
      <c r="I564" s="13">
        <v>0.0</v>
      </c>
      <c r="J564" s="13">
        <v>0.0</v>
      </c>
      <c r="K564" s="12" t="s">
        <v>21</v>
      </c>
      <c r="L564" s="7">
        <v>42353.56018518518</v>
      </c>
      <c r="M564" s="16"/>
      <c r="N564" s="14" t="s">
        <v>1438</v>
      </c>
      <c r="O564" s="11" t="str">
        <f>HYPERLINK("https://pbs.twimg.com/profile_images/682279186690621441/VjBmfdfj_normal.png","View")</f>
        <v>View</v>
      </c>
      <c r="P564" s="15"/>
    </row>
    <row r="565">
      <c r="A565" s="7">
        <v>42425.320127314815</v>
      </c>
      <c r="B565" s="8" t="str">
        <f>HYPERLINK("https://twitter.com/cocoacoda","@cocoacoda")</f>
        <v>@cocoacoda</v>
      </c>
      <c r="C565" s="10" t="s">
        <v>486</v>
      </c>
      <c r="D565" s="10" t="s">
        <v>1439</v>
      </c>
      <c r="E565" s="11" t="str">
        <f>HYPERLINK("https://twitter.com/cocoacoda/status/702880979803840512","702880979803840512")</f>
        <v>702880979803840512</v>
      </c>
      <c r="F565" s="12" t="s">
        <v>488</v>
      </c>
      <c r="G565" s="13">
        <v>124.0</v>
      </c>
      <c r="H565" s="13">
        <v>142.0</v>
      </c>
      <c r="I565" s="13">
        <v>0.0</v>
      </c>
      <c r="J565" s="13">
        <v>1.0</v>
      </c>
      <c r="K565" s="12" t="s">
        <v>21</v>
      </c>
      <c r="L565" s="7">
        <v>40951.29611111111</v>
      </c>
      <c r="M565" s="14" t="s">
        <v>489</v>
      </c>
      <c r="N565" s="14" t="s">
        <v>490</v>
      </c>
      <c r="O565" s="11" t="str">
        <f>HYPERLINK("https://pbs.twimg.com/profile_images/452064440687423488/nbwrKTwP_normal.jpeg","View")</f>
        <v>View</v>
      </c>
      <c r="P565" s="15"/>
    </row>
    <row r="566">
      <c r="A566" s="7">
        <v>42425.320243055554</v>
      </c>
      <c r="B566" s="8" t="str">
        <f t="shared" ref="B566:B567" si="45">HYPERLINK("https://twitter.com/BigDataTweetBot","@BigDataTweetBot")</f>
        <v>@BigDataTweetBot</v>
      </c>
      <c r="C566" s="10" t="s">
        <v>1440</v>
      </c>
      <c r="D566" s="10" t="s">
        <v>1441</v>
      </c>
      <c r="E566" s="11" t="str">
        <f>HYPERLINK("https://twitter.com/BigDataTweetBot/status/702881021180715008","702881021180715008")</f>
        <v>702881021180715008</v>
      </c>
      <c r="F566" s="12" t="s">
        <v>1442</v>
      </c>
      <c r="G566" s="13">
        <v>8623.0</v>
      </c>
      <c r="H566" s="13">
        <v>243.0</v>
      </c>
      <c r="I566" s="13">
        <v>4.0</v>
      </c>
      <c r="J566" s="13">
        <v>0.0</v>
      </c>
      <c r="K566" s="12" t="s">
        <v>21</v>
      </c>
      <c r="L566" s="7">
        <v>42187.77106481481</v>
      </c>
      <c r="M566" s="16"/>
      <c r="N566" s="14" t="s">
        <v>1443</v>
      </c>
      <c r="O566" s="11" t="str">
        <f t="shared" ref="O566:O567" si="46">HYPERLINK("https://pbs.twimg.com/profile_images/616793252524650496/bQbxJqmz_normal.jpg","View")</f>
        <v>View</v>
      </c>
      <c r="P566" s="15"/>
    </row>
    <row r="567">
      <c r="A567" s="7">
        <v>42425.32042824074</v>
      </c>
      <c r="B567" s="8" t="str">
        <f t="shared" si="45"/>
        <v>@BigDataTweetBot</v>
      </c>
      <c r="C567" s="10" t="s">
        <v>1440</v>
      </c>
      <c r="D567" s="10" t="s">
        <v>1444</v>
      </c>
      <c r="E567" s="11" t="str">
        <f>HYPERLINK("https://twitter.com/BigDataTweetBot/status/702881090080526336","702881090080526336")</f>
        <v>702881090080526336</v>
      </c>
      <c r="F567" s="12" t="s">
        <v>1442</v>
      </c>
      <c r="G567" s="13">
        <v>8623.0</v>
      </c>
      <c r="H567" s="13">
        <v>243.0</v>
      </c>
      <c r="I567" s="13">
        <v>2.0</v>
      </c>
      <c r="J567" s="13">
        <v>0.0</v>
      </c>
      <c r="K567" s="12" t="s">
        <v>21</v>
      </c>
      <c r="L567" s="7">
        <v>42187.77106481481</v>
      </c>
      <c r="M567" s="16"/>
      <c r="N567" s="14" t="s">
        <v>1443</v>
      </c>
      <c r="O567" s="11" t="str">
        <f t="shared" si="46"/>
        <v>View</v>
      </c>
      <c r="P567" s="15"/>
    </row>
    <row r="568">
      <c r="A568" s="7">
        <v>42425.32126157408</v>
      </c>
      <c r="B568" s="8" t="str">
        <f>HYPERLINK("https://twitter.com/NoSQLDigest","@NoSQLDigest")</f>
        <v>@NoSQLDigest</v>
      </c>
      <c r="C568" s="10" t="s">
        <v>200</v>
      </c>
      <c r="D568" s="10" t="s">
        <v>1445</v>
      </c>
      <c r="E568" s="11" t="str">
        <f>HYPERLINK("https://twitter.com/NoSQLDigest/status/702881391332106240","702881391332106240")</f>
        <v>702881391332106240</v>
      </c>
      <c r="F568" s="12" t="s">
        <v>202</v>
      </c>
      <c r="G568" s="13">
        <v>11375.0</v>
      </c>
      <c r="H568" s="13">
        <v>12.0</v>
      </c>
      <c r="I568" s="13">
        <v>2.0</v>
      </c>
      <c r="J568" s="13">
        <v>0.0</v>
      </c>
      <c r="K568" s="12" t="s">
        <v>21</v>
      </c>
      <c r="L568" s="7">
        <v>41854.421805555554</v>
      </c>
      <c r="M568" s="16"/>
      <c r="N568" s="14" t="s">
        <v>203</v>
      </c>
      <c r="O568" s="11" t="str">
        <f>HYPERLINK("https://pbs.twimg.com/profile_images/499257180009529344/CSWhr7LZ_normal.jpeg","View")</f>
        <v>View</v>
      </c>
      <c r="P568" s="15"/>
    </row>
    <row r="569">
      <c r="A569" s="7">
        <v>42425.32178240741</v>
      </c>
      <c r="B569" s="8" t="str">
        <f>HYPERLINK("https://twitter.com/JoshuaLongUK","@JoshuaLongUK")</f>
        <v>@JoshuaLongUK</v>
      </c>
      <c r="C569" s="10" t="s">
        <v>101</v>
      </c>
      <c r="D569" s="10" t="s">
        <v>1446</v>
      </c>
      <c r="E569" s="11" t="str">
        <f>HYPERLINK("https://twitter.com/JoshuaLongUK/status/702881581640380417","702881581640380417")</f>
        <v>702881581640380417</v>
      </c>
      <c r="F569" s="12" t="s">
        <v>103</v>
      </c>
      <c r="G569" s="13">
        <v>25832.0</v>
      </c>
      <c r="H569" s="13">
        <v>93.0</v>
      </c>
      <c r="I569" s="13">
        <v>0.0</v>
      </c>
      <c r="J569" s="13">
        <v>0.0</v>
      </c>
      <c r="K569" s="12" t="s">
        <v>21</v>
      </c>
      <c r="L569" s="7">
        <v>41149.39659722222</v>
      </c>
      <c r="M569" s="14" t="s">
        <v>104</v>
      </c>
      <c r="N569" s="14" t="s">
        <v>105</v>
      </c>
      <c r="O569" s="11" t="str">
        <f>HYPERLINK("https://pbs.twimg.com/profile_images/627996138403168256/DaASdgVr_normal.jpg","View")</f>
        <v>View</v>
      </c>
      <c r="P569" s="15"/>
    </row>
    <row r="570">
      <c r="A570" s="7">
        <v>42425.32466435185</v>
      </c>
      <c r="B570" s="8" t="str">
        <f>HYPERLINK("https://twitter.com/BrWhoCode","@BrWhoCode")</f>
        <v>@BrWhoCode</v>
      </c>
      <c r="C570" s="10" t="s">
        <v>1447</v>
      </c>
      <c r="D570" s="10" t="s">
        <v>1448</v>
      </c>
      <c r="E570" s="11" t="str">
        <f>HYPERLINK("https://twitter.com/BrWhoCode/status/702882625858510848","702882625858510848")</f>
        <v>702882625858510848</v>
      </c>
      <c r="F570" s="12" t="s">
        <v>38</v>
      </c>
      <c r="G570" s="13">
        <v>140.0</v>
      </c>
      <c r="H570" s="13">
        <v>239.0</v>
      </c>
      <c r="I570" s="13">
        <v>1.0</v>
      </c>
      <c r="J570" s="13">
        <v>0.0</v>
      </c>
      <c r="K570" s="12" t="s">
        <v>21</v>
      </c>
      <c r="L570" s="7">
        <v>41932.95042824074</v>
      </c>
      <c r="M570" s="14" t="s">
        <v>1449</v>
      </c>
      <c r="N570" s="14" t="s">
        <v>1450</v>
      </c>
      <c r="O570" s="11" t="str">
        <f>HYPERLINK("https://pbs.twimg.com/profile_images/524445931291168768/k61oMa6e_normal.png","View")</f>
        <v>View</v>
      </c>
      <c r="P570" s="15"/>
    </row>
    <row r="571">
      <c r="A571" s="7">
        <v>42425.32498842593</v>
      </c>
      <c r="B571" s="8" t="str">
        <f>HYPERLINK("https://twitter.com/wcmckeedotcom","@wcmckeedotcom")</f>
        <v>@wcmckeedotcom</v>
      </c>
      <c r="C571" s="10" t="s">
        <v>476</v>
      </c>
      <c r="D571" s="10" t="s">
        <v>1451</v>
      </c>
      <c r="E571" s="11" t="str">
        <f>HYPERLINK("https://twitter.com/wcmckeedotcom/status/702882741566763008","702882741566763008")</f>
        <v>702882741566763008</v>
      </c>
      <c r="F571" s="12" t="s">
        <v>478</v>
      </c>
      <c r="G571" s="13">
        <v>1011.0</v>
      </c>
      <c r="H571" s="13">
        <v>875.0</v>
      </c>
      <c r="I571" s="13">
        <v>0.0</v>
      </c>
      <c r="J571" s="13">
        <v>0.0</v>
      </c>
      <c r="K571" s="12" t="s">
        <v>21</v>
      </c>
      <c r="L571" s="7">
        <v>41902.048368055555</v>
      </c>
      <c r="M571" s="14" t="s">
        <v>479</v>
      </c>
      <c r="N571" s="14" t="s">
        <v>480</v>
      </c>
      <c r="O571" s="11" t="str">
        <f>HYPERLINK("https://pbs.twimg.com/profile_images/621211385746161664/tGchJstD_normal.jpg","View")</f>
        <v>View</v>
      </c>
      <c r="P571" s="15"/>
    </row>
    <row r="572">
      <c r="A572" s="7">
        <v>42425.32524305556</v>
      </c>
      <c r="B572" s="8" t="str">
        <f>HYPERLINK("https://twitter.com/NfNitLoop","@NfNitLoop")</f>
        <v>@NfNitLoop</v>
      </c>
      <c r="C572" s="10" t="s">
        <v>1452</v>
      </c>
      <c r="D572" s="10" t="s">
        <v>1453</v>
      </c>
      <c r="E572" s="11" t="str">
        <f>HYPERLINK("https://twitter.com/NfNitLoop/status/702882836727070720","702882836727070720")</f>
        <v>702882836727070720</v>
      </c>
      <c r="F572" s="12" t="s">
        <v>20</v>
      </c>
      <c r="G572" s="13">
        <v>192.0</v>
      </c>
      <c r="H572" s="13">
        <v>145.0</v>
      </c>
      <c r="I572" s="13">
        <v>0.0</v>
      </c>
      <c r="J572" s="13">
        <v>2.0</v>
      </c>
      <c r="K572" s="12" t="s">
        <v>21</v>
      </c>
      <c r="L572" s="7">
        <v>39785.782002314816</v>
      </c>
      <c r="M572" s="14" t="s">
        <v>1454</v>
      </c>
      <c r="N572" s="14" t="s">
        <v>1455</v>
      </c>
      <c r="O572" s="11" t="str">
        <f>HYPERLINK("https://pbs.twimg.com/profile_images/3468865037/378ed7002d36972fd6e42aa85246ba3d_normal.png","View")</f>
        <v>View</v>
      </c>
      <c r="P572" s="15"/>
    </row>
    <row r="573">
      <c r="A573" s="7">
        <v>42425.32554398148</v>
      </c>
      <c r="B573" s="8" t="str">
        <f>HYPERLINK("https://twitter.com/journocode","@journocode")</f>
        <v>@journocode</v>
      </c>
      <c r="C573" s="10" t="s">
        <v>1456</v>
      </c>
      <c r="D573" s="10" t="s">
        <v>1457</v>
      </c>
      <c r="E573" s="11" t="str">
        <f>HYPERLINK("https://twitter.com/journocode/status/702882942591344640","702882942591344640")</f>
        <v>702882942591344640</v>
      </c>
      <c r="F573" s="12" t="s">
        <v>20</v>
      </c>
      <c r="G573" s="13">
        <v>272.0</v>
      </c>
      <c r="H573" s="13">
        <v>129.0</v>
      </c>
      <c r="I573" s="13">
        <v>3.0</v>
      </c>
      <c r="J573" s="13">
        <v>4.0</v>
      </c>
      <c r="K573" s="12" t="s">
        <v>21</v>
      </c>
      <c r="L573" s="7">
        <v>42307.49438657408</v>
      </c>
      <c r="M573" s="14" t="s">
        <v>1458</v>
      </c>
      <c r="N573" s="14" t="s">
        <v>1459</v>
      </c>
      <c r="O573" s="11" t="str">
        <f>HYPERLINK("https://pbs.twimg.com/profile_images/663285524162048000/leUzJIIa_normal.png","View")</f>
        <v>View</v>
      </c>
      <c r="P573" s="15"/>
    </row>
    <row r="574">
      <c r="A574" s="7">
        <v>42425.32561342593</v>
      </c>
      <c r="B574" s="8" t="str">
        <f>HYPERLINK("https://twitter.com/gutomaia","@gutomaia")</f>
        <v>@gutomaia</v>
      </c>
      <c r="C574" s="10" t="s">
        <v>1460</v>
      </c>
      <c r="D574" s="10" t="s">
        <v>1461</v>
      </c>
      <c r="E574" s="11" t="str">
        <f>HYPERLINK("https://twitter.com/gutomaia/status/702882967748808704","702882967748808704")</f>
        <v>702882967748808704</v>
      </c>
      <c r="F574" s="12" t="s">
        <v>152</v>
      </c>
      <c r="G574" s="13">
        <v>567.0</v>
      </c>
      <c r="H574" s="13">
        <v>392.0</v>
      </c>
      <c r="I574" s="13">
        <v>17.0</v>
      </c>
      <c r="J574" s="13">
        <v>0.0</v>
      </c>
      <c r="K574" s="12" t="s">
        <v>21</v>
      </c>
      <c r="L574" s="7">
        <v>39500.23204861111</v>
      </c>
      <c r="M574" s="14" t="s">
        <v>1462</v>
      </c>
      <c r="N574" s="14" t="s">
        <v>1463</v>
      </c>
      <c r="O574" s="11" t="str">
        <f>HYPERLINK("https://pbs.twimg.com/profile_images/2865594572/ef3de590b0e66bbf2ac644bd130e8424_normal.png","View")</f>
        <v>View</v>
      </c>
      <c r="P574" s="15"/>
    </row>
    <row r="575">
      <c r="A575" s="7">
        <v>42425.326111111106</v>
      </c>
      <c r="B575" s="8" t="str">
        <f>HYPERLINK("https://twitter.com/kushaldas","@kushaldas")</f>
        <v>@kushaldas</v>
      </c>
      <c r="C575" s="10" t="s">
        <v>1464</v>
      </c>
      <c r="D575" s="10" t="s">
        <v>1465</v>
      </c>
      <c r="E575" s="11" t="str">
        <f>HYPERLINK("https://twitter.com/kushaldas/status/702883148124782593","702883148124782593")</f>
        <v>702883148124782593</v>
      </c>
      <c r="F575" s="12" t="s">
        <v>20</v>
      </c>
      <c r="G575" s="13">
        <v>2299.0</v>
      </c>
      <c r="H575" s="13">
        <v>1963.0</v>
      </c>
      <c r="I575" s="13">
        <v>4.0</v>
      </c>
      <c r="J575" s="13">
        <v>3.0</v>
      </c>
      <c r="K575" s="12" t="s">
        <v>21</v>
      </c>
      <c r="L575" s="7">
        <v>39558.34972222222</v>
      </c>
      <c r="M575" s="14" t="s">
        <v>1466</v>
      </c>
      <c r="N575" s="14" t="s">
        <v>1467</v>
      </c>
      <c r="O575" s="11" t="str">
        <f>HYPERLINK("https://pbs.twimg.com/profile_images/378800000439503621/12205794bfa45a4cadf3ba91bcc59ca8_normal.jpeg","View")</f>
        <v>View</v>
      </c>
      <c r="P575" s="15"/>
    </row>
    <row r="576">
      <c r="A576" s="7">
        <v>42425.32618055555</v>
      </c>
      <c r="B576" s="8" t="str">
        <f>HYPERLINK("https://twitter.com/davefugate","@davefugate")</f>
        <v>@davefugate</v>
      </c>
      <c r="C576" s="10" t="s">
        <v>1468</v>
      </c>
      <c r="D576" s="10" t="s">
        <v>1469</v>
      </c>
      <c r="E576" s="11" t="str">
        <f>HYPERLINK("https://twitter.com/davefugate/status/702883173626093568","702883173626093568")</f>
        <v>702883173626093568</v>
      </c>
      <c r="F576" s="12" t="s">
        <v>20</v>
      </c>
      <c r="G576" s="13">
        <v>219.0</v>
      </c>
      <c r="H576" s="13">
        <v>227.0</v>
      </c>
      <c r="I576" s="13">
        <v>0.0</v>
      </c>
      <c r="J576" s="13">
        <v>4.0</v>
      </c>
      <c r="K576" s="12" t="s">
        <v>21</v>
      </c>
      <c r="L576" s="7">
        <v>39986.61288194444</v>
      </c>
      <c r="M576" s="14" t="s">
        <v>1470</v>
      </c>
      <c r="N576" s="14" t="s">
        <v>1471</v>
      </c>
      <c r="O576" s="11" t="str">
        <f>HYPERLINK("https://pbs.twimg.com/profile_images/2658701563/6ab340f8e50e5a5470f0ce013fdc1b9f_normal.jpeg","View")</f>
        <v>View</v>
      </c>
      <c r="P576" s="15"/>
    </row>
    <row r="577">
      <c r="A577" s="7">
        <v>42425.32640046296</v>
      </c>
      <c r="B577" s="8" t="str">
        <f>HYPERLINK("https://twitter.com/taniapaz","@taniapaz")</f>
        <v>@taniapaz</v>
      </c>
      <c r="C577" s="10" t="s">
        <v>899</v>
      </c>
      <c r="D577" s="10" t="s">
        <v>1472</v>
      </c>
      <c r="E577" s="11" t="str">
        <f>HYPERLINK("https://twitter.com/taniapaz/status/702883253053726720","702883253053726720")</f>
        <v>702883253053726720</v>
      </c>
      <c r="F577" s="12" t="s">
        <v>20</v>
      </c>
      <c r="G577" s="13">
        <v>587.0</v>
      </c>
      <c r="H577" s="13">
        <v>762.0</v>
      </c>
      <c r="I577" s="13">
        <v>0.0</v>
      </c>
      <c r="J577" s="13">
        <v>0.0</v>
      </c>
      <c r="K577" s="12" t="s">
        <v>21</v>
      </c>
      <c r="L577" s="7">
        <v>39762.617210648146</v>
      </c>
      <c r="M577" s="14" t="s">
        <v>901</v>
      </c>
      <c r="N577" s="14" t="s">
        <v>902</v>
      </c>
      <c r="O577" s="11" t="str">
        <f>HYPERLINK("https://pbs.twimg.com/profile_images/2289120803/klh434t6fs1svswctb5u_normal.jpeg","View")</f>
        <v>View</v>
      </c>
      <c r="P577" s="15"/>
    </row>
    <row r="578">
      <c r="A578" s="7">
        <v>42425.3271875</v>
      </c>
      <c r="B578" s="8" t="str">
        <f>HYPERLINK("https://twitter.com/SVAM_mx","@SVAM_mx")</f>
        <v>@SVAM_mx</v>
      </c>
      <c r="C578" s="10" t="s">
        <v>1473</v>
      </c>
      <c r="D578" s="10" t="s">
        <v>1474</v>
      </c>
      <c r="E578" s="11" t="str">
        <f>HYPERLINK("https://twitter.com/SVAM_mx/status/702883541869170688","702883541869170688")</f>
        <v>702883541869170688</v>
      </c>
      <c r="F578" s="12" t="s">
        <v>236</v>
      </c>
      <c r="G578" s="13">
        <v>119.0</v>
      </c>
      <c r="H578" s="13">
        <v>433.0</v>
      </c>
      <c r="I578" s="13">
        <v>0.0</v>
      </c>
      <c r="J578" s="13">
        <v>0.0</v>
      </c>
      <c r="K578" s="12" t="s">
        <v>21</v>
      </c>
      <c r="L578" s="7">
        <v>40934.641446759255</v>
      </c>
      <c r="M578" s="14" t="s">
        <v>1475</v>
      </c>
      <c r="N578" s="14" t="s">
        <v>1476</v>
      </c>
      <c r="O578" s="11" t="str">
        <f>HYPERLINK("https://pbs.twimg.com/profile_images/646792218653536260/XSfRxTDm_normal.png","View")</f>
        <v>View</v>
      </c>
      <c r="P578" s="15"/>
    </row>
    <row r="579">
      <c r="A579" s="7">
        <v>42425.32740740741</v>
      </c>
      <c r="B579" s="8" t="str">
        <f>HYPERLINK("https://twitter.com/AdamSmitht1","@AdamSmitht1")</f>
        <v>@AdamSmitht1</v>
      </c>
      <c r="C579" s="10" t="s">
        <v>468</v>
      </c>
      <c r="D579" s="10" t="s">
        <v>1477</v>
      </c>
      <c r="E579" s="11" t="str">
        <f>HYPERLINK("https://twitter.com/AdamSmitht1/status/702883618939670529","702883618939670529")</f>
        <v>702883618939670529</v>
      </c>
      <c r="F579" s="12" t="s">
        <v>103</v>
      </c>
      <c r="G579" s="13">
        <v>849.0</v>
      </c>
      <c r="H579" s="13">
        <v>793.0</v>
      </c>
      <c r="I579" s="13">
        <v>0.0</v>
      </c>
      <c r="J579" s="13">
        <v>0.0</v>
      </c>
      <c r="K579" s="12" t="s">
        <v>21</v>
      </c>
      <c r="L579" s="7">
        <v>42336.12709490741</v>
      </c>
      <c r="M579" s="14" t="s">
        <v>470</v>
      </c>
      <c r="N579" s="14" t="s">
        <v>471</v>
      </c>
      <c r="O579" s="11" t="str">
        <f>HYPERLINK("https://pbs.twimg.com/profile_images/671623862916812800/yGsDKiP4_normal.jpg","View")</f>
        <v>View</v>
      </c>
      <c r="P579" s="15"/>
    </row>
    <row r="580">
      <c r="A580" s="7">
        <v>42425.32796296296</v>
      </c>
      <c r="B580" s="8" t="str">
        <f>HYPERLINK("https://twitter.com/startechwall","@startechwall")</f>
        <v>@startechwall</v>
      </c>
      <c r="C580" s="10" t="s">
        <v>1478</v>
      </c>
      <c r="D580" s="10" t="s">
        <v>1479</v>
      </c>
      <c r="E580" s="11" t="str">
        <f>HYPERLINK("https://twitter.com/startechwall/status/702883819418984448","702883819418984448")</f>
        <v>702883819418984448</v>
      </c>
      <c r="F580" s="12" t="s">
        <v>103</v>
      </c>
      <c r="G580" s="13">
        <v>557.0</v>
      </c>
      <c r="H580" s="13">
        <v>859.0</v>
      </c>
      <c r="I580" s="13">
        <v>0.0</v>
      </c>
      <c r="J580" s="13">
        <v>0.0</v>
      </c>
      <c r="K580" s="12" t="s">
        <v>21</v>
      </c>
      <c r="L580" s="7">
        <v>42360.959502314814</v>
      </c>
      <c r="M580" s="14" t="s">
        <v>1480</v>
      </c>
      <c r="N580" s="14" t="s">
        <v>1481</v>
      </c>
      <c r="O580" s="11" t="str">
        <f>HYPERLINK("https://pbs.twimg.com/profile_images/679566117187145728/UUo30Zpm_normal.jpg","View")</f>
        <v>View</v>
      </c>
      <c r="P580" s="15"/>
    </row>
    <row r="581">
      <c r="A581" s="7">
        <v>42425.32828703704</v>
      </c>
      <c r="B581" s="8" t="str">
        <f>HYPERLINK("https://twitter.com/fernandogrd","@fernandogrd")</f>
        <v>@fernandogrd</v>
      </c>
      <c r="C581" s="10" t="s">
        <v>1482</v>
      </c>
      <c r="D581" s="10" t="s">
        <v>1461</v>
      </c>
      <c r="E581" s="11" t="str">
        <f>HYPERLINK("https://twitter.com/fernandogrd/status/702883937295532032","702883937295532032")</f>
        <v>702883937295532032</v>
      </c>
      <c r="F581" s="12" t="s">
        <v>20</v>
      </c>
      <c r="G581" s="13">
        <v>612.0</v>
      </c>
      <c r="H581" s="13">
        <v>784.0</v>
      </c>
      <c r="I581" s="13">
        <v>17.0</v>
      </c>
      <c r="J581" s="13">
        <v>0.0</v>
      </c>
      <c r="K581" s="12" t="s">
        <v>21</v>
      </c>
      <c r="L581" s="7">
        <v>40557.2825</v>
      </c>
      <c r="M581" s="16"/>
      <c r="N581" s="14" t="s">
        <v>1483</v>
      </c>
      <c r="O581" s="11" t="str">
        <f>HYPERLINK("https://pbs.twimg.com/profile_images/485629866335678464/auOtBhCj_normal.jpeg","View")</f>
        <v>View</v>
      </c>
      <c r="P581" s="15"/>
    </row>
    <row r="582">
      <c r="A582" s="7">
        <v>42425.32849537037</v>
      </c>
      <c r="B582" s="8" t="str">
        <f>HYPERLINK("https://twitter.com/computerbastard","@computerbastard")</f>
        <v>@computerbastard</v>
      </c>
      <c r="C582" s="10" t="s">
        <v>1484</v>
      </c>
      <c r="D582" s="10" t="s">
        <v>1485</v>
      </c>
      <c r="E582" s="11" t="str">
        <f>HYPERLINK("https://twitter.com/computerbastard/status/702884013757833216","702884013757833216")</f>
        <v>702884013757833216</v>
      </c>
      <c r="F582" s="12" t="s">
        <v>20</v>
      </c>
      <c r="G582" s="13">
        <v>307.0</v>
      </c>
      <c r="H582" s="13">
        <v>335.0</v>
      </c>
      <c r="I582" s="13">
        <v>0.0</v>
      </c>
      <c r="J582" s="13">
        <v>2.0</v>
      </c>
      <c r="K582" s="12" t="s">
        <v>21</v>
      </c>
      <c r="L582" s="7">
        <v>41965.78755787037</v>
      </c>
      <c r="M582" s="14" t="s">
        <v>1486</v>
      </c>
      <c r="N582" s="14" t="s">
        <v>1487</v>
      </c>
      <c r="O582" s="11" t="str">
        <f>HYPERLINK("https://pbs.twimg.com/profile_images/536357647646089216/KsisinzR_normal.jpeg","View")</f>
        <v>View</v>
      </c>
      <c r="P582" s="15"/>
    </row>
    <row r="583">
      <c r="A583" s="7">
        <v>42425.328935185185</v>
      </c>
      <c r="B583" s="8" t="str">
        <f>HYPERLINK("https://twitter.com/nenodias","@nenodias")</f>
        <v>@nenodias</v>
      </c>
      <c r="C583" s="10" t="s">
        <v>1488</v>
      </c>
      <c r="D583" s="10" t="s">
        <v>1461</v>
      </c>
      <c r="E583" s="11" t="str">
        <f>HYPERLINK("https://twitter.com/nenodias/status/702884171367194624","702884171367194624")</f>
        <v>702884171367194624</v>
      </c>
      <c r="F583" s="12" t="s">
        <v>20</v>
      </c>
      <c r="G583" s="13">
        <v>619.0</v>
      </c>
      <c r="H583" s="13">
        <v>2307.0</v>
      </c>
      <c r="I583" s="13">
        <v>17.0</v>
      </c>
      <c r="J583" s="13">
        <v>0.0</v>
      </c>
      <c r="K583" s="12" t="s">
        <v>21</v>
      </c>
      <c r="L583" s="7">
        <v>40014.72288194444</v>
      </c>
      <c r="M583" s="14" t="s">
        <v>82</v>
      </c>
      <c r="N583" s="18" t="s">
        <v>1489</v>
      </c>
      <c r="O583" s="11" t="str">
        <f>HYPERLINK("https://pbs.twimg.com/profile_images/532708212550549505/VEEjtFq7_normal.png","View")</f>
        <v>View</v>
      </c>
      <c r="P583" s="15"/>
    </row>
    <row r="584">
      <c r="A584" s="7">
        <v>42425.32944444445</v>
      </c>
      <c r="B584" s="8" t="str">
        <f t="shared" ref="B584:B585" si="47">HYPERLINK("https://twitter.com/cesarnogCPS","@cesarnogCPS")</f>
        <v>@cesarnogCPS</v>
      </c>
      <c r="C584" s="10" t="s">
        <v>1140</v>
      </c>
      <c r="D584" s="10" t="s">
        <v>1299</v>
      </c>
      <c r="E584" s="11" t="str">
        <f>HYPERLINK("https://twitter.com/cesarnogCPS/status/702884356210233344","702884356210233344")</f>
        <v>702884356210233344</v>
      </c>
      <c r="F584" s="12" t="s">
        <v>38</v>
      </c>
      <c r="G584" s="13">
        <v>1578.0</v>
      </c>
      <c r="H584" s="13">
        <v>2406.0</v>
      </c>
      <c r="I584" s="13">
        <v>6.0</v>
      </c>
      <c r="J584" s="13">
        <v>0.0</v>
      </c>
      <c r="K584" s="12" t="s">
        <v>21</v>
      </c>
      <c r="L584" s="7">
        <v>40076.82166666667</v>
      </c>
      <c r="M584" s="14" t="s">
        <v>1142</v>
      </c>
      <c r="N584" s="14" t="s">
        <v>1143</v>
      </c>
      <c r="O584" s="11" t="str">
        <f t="shared" ref="O584:O585" si="48">HYPERLINK("https://pbs.twimg.com/profile_images/682455128805359617/r4Be4Yll_normal.jpg","View")</f>
        <v>View</v>
      </c>
      <c r="P584" s="15"/>
    </row>
    <row r="585">
      <c r="A585" s="7">
        <v>42425.32944444445</v>
      </c>
      <c r="B585" s="8" t="str">
        <f t="shared" si="47"/>
        <v>@cesarnogCPS</v>
      </c>
      <c r="C585" s="10" t="s">
        <v>1140</v>
      </c>
      <c r="D585" s="10" t="s">
        <v>1490</v>
      </c>
      <c r="E585" s="11" t="str">
        <f>HYPERLINK("https://twitter.com/cesarnogCPS/status/702884357917306881","702884357917306881")</f>
        <v>702884357917306881</v>
      </c>
      <c r="F585" s="12" t="s">
        <v>38</v>
      </c>
      <c r="G585" s="13">
        <v>1578.0</v>
      </c>
      <c r="H585" s="13">
        <v>2406.0</v>
      </c>
      <c r="I585" s="13">
        <v>1.0</v>
      </c>
      <c r="J585" s="13">
        <v>0.0</v>
      </c>
      <c r="K585" s="12" t="s">
        <v>21</v>
      </c>
      <c r="L585" s="7">
        <v>40076.82166666667</v>
      </c>
      <c r="M585" s="14" t="s">
        <v>1142</v>
      </c>
      <c r="N585" s="14" t="s">
        <v>1143</v>
      </c>
      <c r="O585" s="11" t="str">
        <f t="shared" si="48"/>
        <v>View</v>
      </c>
      <c r="P585" s="15"/>
    </row>
    <row r="586">
      <c r="A586" s="7">
        <v>42425.329571759255</v>
      </c>
      <c r="B586" s="8" t="str">
        <f>HYPERLINK("https://twitter.com/ErSanyamKhurana","@ErSanyamKhurana")</f>
        <v>@ErSanyamKhurana</v>
      </c>
      <c r="C586" s="10" t="s">
        <v>1491</v>
      </c>
      <c r="D586" s="10" t="s">
        <v>1492</v>
      </c>
      <c r="E586" s="11" t="str">
        <f>HYPERLINK("https://twitter.com/ErSanyamKhurana/status/702884404691992576","702884404691992576")</f>
        <v>702884404691992576</v>
      </c>
      <c r="F586" s="12" t="s">
        <v>20</v>
      </c>
      <c r="G586" s="13">
        <v>637.0</v>
      </c>
      <c r="H586" s="13">
        <v>413.0</v>
      </c>
      <c r="I586" s="13">
        <v>4.0</v>
      </c>
      <c r="J586" s="13">
        <v>0.0</v>
      </c>
      <c r="K586" s="12" t="s">
        <v>21</v>
      </c>
      <c r="L586" s="7">
        <v>39968.233773148146</v>
      </c>
      <c r="M586" s="14" t="s">
        <v>1493</v>
      </c>
      <c r="N586" s="14" t="s">
        <v>1494</v>
      </c>
      <c r="O586" s="11" t="str">
        <f>HYPERLINK("https://pbs.twimg.com/profile_images/555298484169891840/MYeazQTb_normal.jpeg","View")</f>
        <v>View</v>
      </c>
      <c r="P586" s="15"/>
    </row>
    <row r="587">
      <c r="A587" s="7">
        <v>42425.32969907408</v>
      </c>
      <c r="B587" s="8" t="str">
        <f>HYPERLINK("https://twitter.com/fireTVstickman","@fireTVstickman")</f>
        <v>@fireTVstickman</v>
      </c>
      <c r="C587" s="10" t="s">
        <v>1495</v>
      </c>
      <c r="D587" s="10" t="s">
        <v>1492</v>
      </c>
      <c r="E587" s="11" t="str">
        <f>HYPERLINK("https://twitter.com/fireTVstickman/status/702884448942080001","702884448942080001")</f>
        <v>702884448942080001</v>
      </c>
      <c r="F587" s="12" t="s">
        <v>152</v>
      </c>
      <c r="G587" s="13">
        <v>17.0</v>
      </c>
      <c r="H587" s="13">
        <v>39.0</v>
      </c>
      <c r="I587" s="13">
        <v>4.0</v>
      </c>
      <c r="J587" s="13">
        <v>0.0</v>
      </c>
      <c r="K587" s="12" t="s">
        <v>21</v>
      </c>
      <c r="L587" s="7">
        <v>42403.40996527778</v>
      </c>
      <c r="M587" s="14" t="s">
        <v>1496</v>
      </c>
      <c r="N587" s="14" t="s">
        <v>1497</v>
      </c>
      <c r="O587" s="11" t="str">
        <f>HYPERLINK("https://pbs.twimg.com/profile_images/694941865372680194/rkInZX9X_normal.jpg","View")</f>
        <v>View</v>
      </c>
      <c r="P587" s="15"/>
    </row>
    <row r="588">
      <c r="A588" s="7">
        <v>42425.330034722225</v>
      </c>
      <c r="B588" s="8" t="str">
        <f>HYPERLINK("https://twitter.com/Brian_JobheroIO","@Brian_JobheroIO")</f>
        <v>@Brian_JobheroIO</v>
      </c>
      <c r="C588" s="10" t="s">
        <v>1498</v>
      </c>
      <c r="D588" s="10" t="s">
        <v>1499</v>
      </c>
      <c r="E588" s="11" t="str">
        <f>HYPERLINK("https://twitter.com/Brian_JobheroIO/status/702884570421547008","702884570421547008")</f>
        <v>702884570421547008</v>
      </c>
      <c r="F588" s="12" t="s">
        <v>20</v>
      </c>
      <c r="G588" s="13">
        <v>451.0</v>
      </c>
      <c r="H588" s="13">
        <v>920.0</v>
      </c>
      <c r="I588" s="13">
        <v>5.0</v>
      </c>
      <c r="J588" s="13">
        <v>0.0</v>
      </c>
      <c r="K588" s="12" t="s">
        <v>21</v>
      </c>
      <c r="L588" s="7">
        <v>40211.44390046296</v>
      </c>
      <c r="M588" s="14" t="s">
        <v>1500</v>
      </c>
      <c r="N588" s="14" t="s">
        <v>1501</v>
      </c>
      <c r="O588" s="11" t="str">
        <f>HYPERLINK("https://pbs.twimg.com/profile_images/698551894801666048/7Xo8vJou_normal.png","View")</f>
        <v>View</v>
      </c>
      <c r="P588" s="15"/>
    </row>
    <row r="589">
      <c r="A589" s="7">
        <v>42425.33105324074</v>
      </c>
      <c r="B589" s="8" t="str">
        <f>HYPERLINK("https://twitter.com/JasonHo48020000","@JasonHo48020000")</f>
        <v>@JasonHo48020000</v>
      </c>
      <c r="C589" s="10" t="s">
        <v>1502</v>
      </c>
      <c r="D589" s="10" t="s">
        <v>1503</v>
      </c>
      <c r="E589" s="11" t="str">
        <f>HYPERLINK("https://twitter.com/JasonHo48020000/status/702884941831385088","702884941831385088")</f>
        <v>702884941831385088</v>
      </c>
      <c r="F589" s="12" t="s">
        <v>450</v>
      </c>
      <c r="G589" s="13">
        <v>44.0</v>
      </c>
      <c r="H589" s="13">
        <v>190.0</v>
      </c>
      <c r="I589" s="13">
        <v>0.0</v>
      </c>
      <c r="J589" s="13">
        <v>0.0</v>
      </c>
      <c r="K589" s="12" t="s">
        <v>21</v>
      </c>
      <c r="L589" s="7">
        <v>42210.33859953703</v>
      </c>
      <c r="M589" s="14" t="s">
        <v>1158</v>
      </c>
      <c r="N589" s="14" t="s">
        <v>1504</v>
      </c>
      <c r="O589" s="11" t="str">
        <f>HYPERLINK("https://pbs.twimg.com/profile_images/664676385139638272/kiJRP5c8_normal.jpg","View")</f>
        <v>View</v>
      </c>
      <c r="P589" s="15"/>
    </row>
    <row r="590">
      <c r="A590" s="7">
        <v>42425.33116898148</v>
      </c>
      <c r="B590" s="8" t="str">
        <f>HYPERLINK("https://twitter.com/LorenaABarba","@LorenaABarba")</f>
        <v>@LorenaABarba</v>
      </c>
      <c r="C590" s="10" t="s">
        <v>1505</v>
      </c>
      <c r="D590" s="10" t="s">
        <v>1506</v>
      </c>
      <c r="E590" s="11" t="str">
        <f>HYPERLINK("https://twitter.com/LorenaABarba/status/702884984667766784","702884984667766784")</f>
        <v>702884984667766784</v>
      </c>
      <c r="F590" s="12" t="s">
        <v>98</v>
      </c>
      <c r="G590" s="13">
        <v>3164.0</v>
      </c>
      <c r="H590" s="13">
        <v>870.0</v>
      </c>
      <c r="I590" s="13">
        <v>8.0</v>
      </c>
      <c r="J590" s="13">
        <v>6.0</v>
      </c>
      <c r="K590" s="12" t="s">
        <v>21</v>
      </c>
      <c r="L590" s="7">
        <v>40793.631944444445</v>
      </c>
      <c r="M590" s="14" t="s">
        <v>784</v>
      </c>
      <c r="N590" s="14" t="s">
        <v>1507</v>
      </c>
      <c r="O590" s="11" t="str">
        <f>HYPERLINK("https://pbs.twimg.com/profile_images/1870376708/Barba-Lorena-2011a-square_normal.png","View")</f>
        <v>View</v>
      </c>
      <c r="P590" s="15"/>
    </row>
    <row r="591">
      <c r="A591" s="7">
        <v>42425.331192129626</v>
      </c>
      <c r="B591" s="8" t="str">
        <f>HYPERLINK("https://twitter.com/CJSaws","@CJSaws")</f>
        <v>@CJSaws</v>
      </c>
      <c r="C591" s="10" t="s">
        <v>1508</v>
      </c>
      <c r="D591" s="10" t="s">
        <v>1509</v>
      </c>
      <c r="E591" s="11" t="str">
        <f>HYPERLINK("https://twitter.com/CJSaws/status/702884990271422464","702884990271422464")</f>
        <v>702884990271422464</v>
      </c>
      <c r="F591" s="12" t="s">
        <v>450</v>
      </c>
      <c r="G591" s="13">
        <v>57.0</v>
      </c>
      <c r="H591" s="13">
        <v>64.0</v>
      </c>
      <c r="I591" s="13">
        <v>0.0</v>
      </c>
      <c r="J591" s="13">
        <v>0.0</v>
      </c>
      <c r="K591" s="12" t="s">
        <v>21</v>
      </c>
      <c r="L591" s="7">
        <v>41655.51798611111</v>
      </c>
      <c r="M591" s="16"/>
      <c r="N591" s="14" t="s">
        <v>1510</v>
      </c>
      <c r="O591" s="11" t="str">
        <f>HYPERLINK("https://pbs.twimg.com/profile_images/688212877962903553/sWhwJ1Fb_normal.jpg","View")</f>
        <v>View</v>
      </c>
      <c r="P591" s="15"/>
    </row>
    <row r="592">
      <c r="A592" s="7">
        <v>42425.33146990741</v>
      </c>
      <c r="B592" s="8" t="str">
        <f>HYPERLINK("https://twitter.com/pydigest","@pydigest")</f>
        <v>@pydigest</v>
      </c>
      <c r="C592" s="10" t="s">
        <v>385</v>
      </c>
      <c r="D592" s="10" t="s">
        <v>1511</v>
      </c>
      <c r="E592" s="11" t="str">
        <f>HYPERLINK("https://twitter.com/pydigest/status/702885093732392961","702885093732392961")</f>
        <v>702885093732392961</v>
      </c>
      <c r="F592" s="12" t="s">
        <v>103</v>
      </c>
      <c r="G592" s="13">
        <v>634.0</v>
      </c>
      <c r="H592" s="13">
        <v>22.0</v>
      </c>
      <c r="I592" s="13">
        <v>0.0</v>
      </c>
      <c r="J592" s="13">
        <v>0.0</v>
      </c>
      <c r="K592" s="12" t="s">
        <v>21</v>
      </c>
      <c r="L592" s="7">
        <v>41797.15729166666</v>
      </c>
      <c r="M592" s="16"/>
      <c r="N592" s="14" t="s">
        <v>387</v>
      </c>
      <c r="O592" s="11" t="str">
        <f>HYPERLINK("https://pbs.twimg.com/profile_images/475228702922387457/6gYeuqxD_normal.jpeg","View")</f>
        <v>View</v>
      </c>
      <c r="P592" s="15"/>
    </row>
    <row r="593">
      <c r="A593" s="7">
        <v>42425.3315162037</v>
      </c>
      <c r="B593" s="8" t="str">
        <f>HYPERLINK("https://twitter.com/LPSComputing","@LPSComputing")</f>
        <v>@LPSComputing</v>
      </c>
      <c r="C593" s="10" t="s">
        <v>1512</v>
      </c>
      <c r="D593" s="10" t="s">
        <v>1513</v>
      </c>
      <c r="E593" s="11" t="str">
        <f>HYPERLINK("https://twitter.com/LPSComputing/status/702885108018237440","702885108018237440")</f>
        <v>702885108018237440</v>
      </c>
      <c r="F593" s="12" t="s">
        <v>52</v>
      </c>
      <c r="G593" s="13">
        <v>129.0</v>
      </c>
      <c r="H593" s="13">
        <v>58.0</v>
      </c>
      <c r="I593" s="13">
        <v>4.0</v>
      </c>
      <c r="J593" s="13">
        <v>5.0</v>
      </c>
      <c r="K593" s="12" t="s">
        <v>21</v>
      </c>
      <c r="L593" s="7">
        <v>41815.28148148148</v>
      </c>
      <c r="M593" s="16"/>
      <c r="N593" s="16"/>
      <c r="O593" s="11" t="str">
        <f>HYPERLINK("https://pbs.twimg.com/profile_images/507566608769122304/6tsxczX5_normal.jpeg","View")</f>
        <v>View</v>
      </c>
      <c r="P593" s="15"/>
    </row>
    <row r="594">
      <c r="A594" s="7">
        <v>42425.331921296296</v>
      </c>
      <c r="B594" s="8" t="str">
        <f>HYPERLINK("https://twitter.com/5alowerplace","@5alowerplace")</f>
        <v>@5alowerplace</v>
      </c>
      <c r="C594" s="10" t="s">
        <v>1514</v>
      </c>
      <c r="D594" s="10" t="s">
        <v>1515</v>
      </c>
      <c r="E594" s="11" t="str">
        <f>HYPERLINK("https://twitter.com/5alowerplace/status/702885256496553985","702885256496553985")</f>
        <v>702885256496553985</v>
      </c>
      <c r="F594" s="12" t="s">
        <v>52</v>
      </c>
      <c r="G594" s="13">
        <v>346.0</v>
      </c>
      <c r="H594" s="13">
        <v>707.0</v>
      </c>
      <c r="I594" s="13">
        <v>4.0</v>
      </c>
      <c r="J594" s="13">
        <v>0.0</v>
      </c>
      <c r="K594" s="12" t="s">
        <v>21</v>
      </c>
      <c r="L594" s="7">
        <v>41520.023726851854</v>
      </c>
      <c r="M594" s="14" t="s">
        <v>1516</v>
      </c>
      <c r="N594" s="14" t="s">
        <v>1517</v>
      </c>
      <c r="O594" s="11" t="str">
        <f>HYPERLINK("https://pbs.twimg.com/profile_images/626083290500497408/OIYCE0tO_normal.jpg","View")</f>
        <v>View</v>
      </c>
      <c r="P594" s="15"/>
    </row>
    <row r="595">
      <c r="A595" s="7">
        <v>42425.33200231481</v>
      </c>
      <c r="B595" s="8" t="str">
        <f>HYPERLINK("https://twitter.com/mjjacko","@mjjacko")</f>
        <v>@mjjacko</v>
      </c>
      <c r="C595" s="10" t="s">
        <v>1518</v>
      </c>
      <c r="D595" s="10" t="s">
        <v>1519</v>
      </c>
      <c r="E595" s="11" t="str">
        <f>HYPERLINK("https://twitter.com/mjjacko/status/702885283058987008","702885283058987008")</f>
        <v>702885283058987008</v>
      </c>
      <c r="F595" s="12" t="s">
        <v>446</v>
      </c>
      <c r="G595" s="13">
        <v>3729.0</v>
      </c>
      <c r="H595" s="13">
        <v>3090.0</v>
      </c>
      <c r="I595" s="13">
        <v>0.0</v>
      </c>
      <c r="J595" s="13">
        <v>4.0</v>
      </c>
      <c r="K595" s="12" t="s">
        <v>21</v>
      </c>
      <c r="L595" s="7">
        <v>39580.559641203705</v>
      </c>
      <c r="M595" s="14" t="s">
        <v>69</v>
      </c>
      <c r="N595" s="14" t="s">
        <v>1520</v>
      </c>
      <c r="O595" s="11" t="str">
        <f>HYPERLINK("https://pbs.twimg.com/profile_images/605072073895997441/W_g0G9fU_normal.png","View")</f>
        <v>View</v>
      </c>
      <c r="P595" s="15"/>
    </row>
    <row r="596">
      <c r="A596" s="7">
        <v>42425.33210648148</v>
      </c>
      <c r="B596" s="8" t="str">
        <f t="shared" ref="B596:B597" si="49">HYPERLINK("https://twitter.com/HartwigMicheal","@HartwigMicheal")</f>
        <v>@HartwigMicheal</v>
      </c>
      <c r="C596" s="10" t="s">
        <v>842</v>
      </c>
      <c r="D596" s="10" t="s">
        <v>1521</v>
      </c>
      <c r="E596" s="11" t="str">
        <f>HYPERLINK("https://twitter.com/HartwigMicheal/status/702885321810251776","702885321810251776")</f>
        <v>702885321810251776</v>
      </c>
      <c r="F596" s="12" t="s">
        <v>103</v>
      </c>
      <c r="G596" s="13">
        <v>541.0</v>
      </c>
      <c r="H596" s="13">
        <v>830.0</v>
      </c>
      <c r="I596" s="13">
        <v>0.0</v>
      </c>
      <c r="J596" s="13">
        <v>1.0</v>
      </c>
      <c r="K596" s="12" t="s">
        <v>21</v>
      </c>
      <c r="L596" s="7">
        <v>42362.00148148148</v>
      </c>
      <c r="M596" s="14" t="s">
        <v>844</v>
      </c>
      <c r="N596" s="14" t="s">
        <v>845</v>
      </c>
      <c r="O596" s="11" t="str">
        <f t="shared" ref="O596:O597" si="50">HYPERLINK("https://pbs.twimg.com/profile_images/679948461953781761/pDo9356K_normal.jpg","View")</f>
        <v>View</v>
      </c>
      <c r="P596" s="15"/>
    </row>
    <row r="597">
      <c r="A597" s="7">
        <v>42425.332129629634</v>
      </c>
      <c r="B597" s="8" t="str">
        <f t="shared" si="49"/>
        <v>@HartwigMicheal</v>
      </c>
      <c r="C597" s="10" t="s">
        <v>842</v>
      </c>
      <c r="D597" s="10" t="s">
        <v>1522</v>
      </c>
      <c r="E597" s="11" t="str">
        <f>HYPERLINK("https://twitter.com/HartwigMicheal/status/702885328810541056","702885328810541056")</f>
        <v>702885328810541056</v>
      </c>
      <c r="F597" s="12" t="s">
        <v>103</v>
      </c>
      <c r="G597" s="13">
        <v>541.0</v>
      </c>
      <c r="H597" s="13">
        <v>830.0</v>
      </c>
      <c r="I597" s="13">
        <v>1.0</v>
      </c>
      <c r="J597" s="13">
        <v>1.0</v>
      </c>
      <c r="K597" s="12" t="s">
        <v>21</v>
      </c>
      <c r="L597" s="7">
        <v>42362.00148148148</v>
      </c>
      <c r="M597" s="14" t="s">
        <v>844</v>
      </c>
      <c r="N597" s="14" t="s">
        <v>845</v>
      </c>
      <c r="O597" s="11" t="str">
        <f t="shared" si="50"/>
        <v>View</v>
      </c>
      <c r="P597" s="15"/>
    </row>
    <row r="598">
      <c r="A598" s="7">
        <v>42425.332280092596</v>
      </c>
      <c r="B598" s="8" t="str">
        <f>HYPERLINK("https://twitter.com/JoshuaLongUK","@JoshuaLongUK")</f>
        <v>@JoshuaLongUK</v>
      </c>
      <c r="C598" s="10" t="s">
        <v>101</v>
      </c>
      <c r="D598" s="10" t="s">
        <v>1523</v>
      </c>
      <c r="E598" s="11" t="str">
        <f>HYPERLINK("https://twitter.com/JoshuaLongUK/status/702885385794428928","702885385794428928")</f>
        <v>702885385794428928</v>
      </c>
      <c r="F598" s="12" t="s">
        <v>103</v>
      </c>
      <c r="G598" s="13">
        <v>25832.0</v>
      </c>
      <c r="H598" s="13">
        <v>93.0</v>
      </c>
      <c r="I598" s="13">
        <v>0.0</v>
      </c>
      <c r="J598" s="13">
        <v>0.0</v>
      </c>
      <c r="K598" s="12" t="s">
        <v>21</v>
      </c>
      <c r="L598" s="7">
        <v>41149.39659722222</v>
      </c>
      <c r="M598" s="14" t="s">
        <v>104</v>
      </c>
      <c r="N598" s="14" t="s">
        <v>105</v>
      </c>
      <c r="O598" s="11" t="str">
        <f>HYPERLINK("https://pbs.twimg.com/profile_images/627996138403168256/DaASdgVr_normal.jpg","View")</f>
        <v>View</v>
      </c>
      <c r="P598" s="15"/>
    </row>
    <row r="599">
      <c r="A599" s="7">
        <v>42425.33232638889</v>
      </c>
      <c r="B599" s="8" t="str">
        <f>HYPERLINK("https://twitter.com/johnhubner","@johnhubner")</f>
        <v>@johnhubner</v>
      </c>
      <c r="C599" s="10" t="s">
        <v>1524</v>
      </c>
      <c r="D599" s="10" t="s">
        <v>1525</v>
      </c>
      <c r="E599" s="11" t="str">
        <f>HYPERLINK("https://twitter.com/johnhubner/status/702885402068328448","702885402068328448")</f>
        <v>702885402068328448</v>
      </c>
      <c r="F599" s="17" t="s">
        <v>718</v>
      </c>
      <c r="G599" s="13">
        <v>897.0</v>
      </c>
      <c r="H599" s="13">
        <v>1766.0</v>
      </c>
      <c r="I599" s="13">
        <v>1.0</v>
      </c>
      <c r="J599" s="13">
        <v>0.0</v>
      </c>
      <c r="K599" s="12" t="s">
        <v>21</v>
      </c>
      <c r="L599" s="7">
        <v>40133.72251157407</v>
      </c>
      <c r="M599" s="14" t="s">
        <v>1526</v>
      </c>
      <c r="N599" s="14" t="s">
        <v>1527</v>
      </c>
      <c r="O599" s="11" t="str">
        <f>HYPERLINK("https://pbs.twimg.com/profile_images/551118940626485248/HvInXw1o_normal.jpeg","View")</f>
        <v>View</v>
      </c>
      <c r="P599" s="15"/>
    </row>
    <row r="600">
      <c r="A600" s="7">
        <v>42425.333078703705</v>
      </c>
      <c r="B600" s="8" t="str">
        <f>HYPERLINK("https://twitter.com/cool_python","@cool_python")</f>
        <v>@cool_python</v>
      </c>
      <c r="C600" s="10" t="s">
        <v>249</v>
      </c>
      <c r="D600" s="10" t="s">
        <v>1528</v>
      </c>
      <c r="E600" s="11" t="str">
        <f>HYPERLINK("https://twitter.com/cool_python/status/702885675411116032","702885675411116032")</f>
        <v>702885675411116032</v>
      </c>
      <c r="F600" s="12" t="s">
        <v>251</v>
      </c>
      <c r="G600" s="13">
        <v>235.0</v>
      </c>
      <c r="H600" s="13">
        <v>91.0</v>
      </c>
      <c r="I600" s="13">
        <v>1.0</v>
      </c>
      <c r="J600" s="13">
        <v>0.0</v>
      </c>
      <c r="K600" s="12" t="s">
        <v>21</v>
      </c>
      <c r="L600" s="7">
        <v>42064.325</v>
      </c>
      <c r="M600" s="14" t="s">
        <v>252</v>
      </c>
      <c r="N600" s="14" t="s">
        <v>253</v>
      </c>
      <c r="O600" s="11" t="str">
        <f>HYPERLINK("https://pbs.twimg.com/profile_images/572091631055028224/Pkx__FSB_normal.png","View")</f>
        <v>View</v>
      </c>
      <c r="P600" s="15"/>
    </row>
    <row r="601">
      <c r="A601" s="7">
        <v>42425.3335300926</v>
      </c>
      <c r="B601" s="8" t="str">
        <f>HYPERLINK("https://twitter.com/iPeo","@iPeo")</f>
        <v>@iPeo</v>
      </c>
      <c r="C601" s="10" t="s">
        <v>1529</v>
      </c>
      <c r="D601" s="10" t="s">
        <v>1530</v>
      </c>
      <c r="E601" s="11" t="str">
        <f>HYPERLINK("https://twitter.com/iPeo/status/702885840289185792","702885840289185792")</f>
        <v>702885840289185792</v>
      </c>
      <c r="F601" s="12" t="s">
        <v>52</v>
      </c>
      <c r="G601" s="13">
        <v>258.0</v>
      </c>
      <c r="H601" s="13">
        <v>399.0</v>
      </c>
      <c r="I601" s="13">
        <v>0.0</v>
      </c>
      <c r="J601" s="13">
        <v>3.0</v>
      </c>
      <c r="K601" s="12" t="s">
        <v>21</v>
      </c>
      <c r="L601" s="7">
        <v>39789.57545138889</v>
      </c>
      <c r="M601" s="14" t="s">
        <v>1531</v>
      </c>
      <c r="N601" s="14" t="s">
        <v>1532</v>
      </c>
      <c r="O601" s="11" t="str">
        <f>HYPERLINK("https://pbs.twimg.com/profile_images/3569171052/5ad9f754c595580caee3870c59b63642_normal.jpeg","View")</f>
        <v>View</v>
      </c>
      <c r="P601" s="15"/>
    </row>
    <row r="602">
      <c r="A602" s="7">
        <v>42425.33368055556</v>
      </c>
      <c r="B602" s="8" t="str">
        <f t="shared" ref="B602:B603" si="51">HYPERLINK("https://twitter.com/MTotolrahaman","@MTotolrahaman")</f>
        <v>@MTotolrahaman</v>
      </c>
      <c r="C602" s="10" t="s">
        <v>848</v>
      </c>
      <c r="D602" s="10" t="s">
        <v>1533</v>
      </c>
      <c r="E602" s="11" t="str">
        <f>HYPERLINK("https://twitter.com/MTotolrahaman/status/702885892357226496","702885892357226496")</f>
        <v>702885892357226496</v>
      </c>
      <c r="F602" s="12" t="s">
        <v>103</v>
      </c>
      <c r="G602" s="13">
        <v>766.0</v>
      </c>
      <c r="H602" s="13">
        <v>846.0</v>
      </c>
      <c r="I602" s="13">
        <v>0.0</v>
      </c>
      <c r="J602" s="13">
        <v>0.0</v>
      </c>
      <c r="K602" s="12" t="s">
        <v>21</v>
      </c>
      <c r="L602" s="7">
        <v>42355.250798611116</v>
      </c>
      <c r="M602" s="14" t="s">
        <v>850</v>
      </c>
      <c r="N602" s="14" t="s">
        <v>851</v>
      </c>
      <c r="O602" s="11" t="str">
        <f t="shared" ref="O602:O603" si="52">HYPERLINK("https://pbs.twimg.com/profile_images/677493910256484352/-EdVaVPl_normal.jpg","View")</f>
        <v>View</v>
      </c>
      <c r="P602" s="15"/>
    </row>
    <row r="603">
      <c r="A603" s="7">
        <v>42425.333703703705</v>
      </c>
      <c r="B603" s="8" t="str">
        <f t="shared" si="51"/>
        <v>@MTotolrahaman</v>
      </c>
      <c r="C603" s="10" t="s">
        <v>848</v>
      </c>
      <c r="D603" s="10" t="s">
        <v>1534</v>
      </c>
      <c r="E603" s="11" t="str">
        <f>HYPERLINK("https://twitter.com/MTotolrahaman/status/702885900657762313","702885900657762313")</f>
        <v>702885900657762313</v>
      </c>
      <c r="F603" s="12" t="s">
        <v>103</v>
      </c>
      <c r="G603" s="13">
        <v>766.0</v>
      </c>
      <c r="H603" s="13">
        <v>846.0</v>
      </c>
      <c r="I603" s="13">
        <v>1.0</v>
      </c>
      <c r="J603" s="13">
        <v>3.0</v>
      </c>
      <c r="K603" s="12" t="s">
        <v>21</v>
      </c>
      <c r="L603" s="7">
        <v>42355.250798611116</v>
      </c>
      <c r="M603" s="14" t="s">
        <v>850</v>
      </c>
      <c r="N603" s="14" t="s">
        <v>851</v>
      </c>
      <c r="O603" s="11" t="str">
        <f t="shared" si="52"/>
        <v>View</v>
      </c>
      <c r="P603" s="15"/>
    </row>
    <row r="604">
      <c r="A604" s="7">
        <v>42425.33405092593</v>
      </c>
      <c r="B604" s="8" t="str">
        <f>HYPERLINK("https://twitter.com/PDX_TechEvents","@PDX_TechEvents")</f>
        <v>@PDX_TechEvents</v>
      </c>
      <c r="C604" s="10" t="s">
        <v>1535</v>
      </c>
      <c r="D604" s="10" t="s">
        <v>1536</v>
      </c>
      <c r="E604" s="11" t="str">
        <f>HYPERLINK("https://twitter.com/PDX_TechEvents/status/702886026184925188","702886026184925188")</f>
        <v>702886026184925188</v>
      </c>
      <c r="F604" s="12" t="s">
        <v>1537</v>
      </c>
      <c r="G604" s="13">
        <v>2.0</v>
      </c>
      <c r="H604" s="13">
        <v>0.0</v>
      </c>
      <c r="I604" s="13">
        <v>0.0</v>
      </c>
      <c r="J604" s="13">
        <v>0.0</v>
      </c>
      <c r="K604" s="12" t="s">
        <v>21</v>
      </c>
      <c r="L604" s="7">
        <v>42416.552766203706</v>
      </c>
      <c r="M604" s="16"/>
      <c r="N604" s="16"/>
      <c r="O604" s="11" t="str">
        <f>HYPERLINK("https://pbs.twimg.com/profile_images/701274060789952513/RAQnTJbw_normal.png","View")</f>
        <v>View</v>
      </c>
      <c r="P604" s="15"/>
    </row>
    <row r="605">
      <c r="A605" s="7">
        <v>42425.3341087963</v>
      </c>
      <c r="B605" s="8" t="str">
        <f>HYPERLINK("https://twitter.com/Jared216","@Jared216")</f>
        <v>@Jared216</v>
      </c>
      <c r="C605" s="10" t="s">
        <v>1538</v>
      </c>
      <c r="D605" s="10" t="s">
        <v>1539</v>
      </c>
      <c r="E605" s="11" t="str">
        <f>HYPERLINK("https://twitter.com/Jared216/status/702886047575896064","702886047575896064")</f>
        <v>702886047575896064</v>
      </c>
      <c r="F605" s="12" t="s">
        <v>431</v>
      </c>
      <c r="G605" s="13">
        <v>144.0</v>
      </c>
      <c r="H605" s="13">
        <v>583.0</v>
      </c>
      <c r="I605" s="13">
        <v>0.0</v>
      </c>
      <c r="J605" s="13">
        <v>0.0</v>
      </c>
      <c r="K605" s="12" t="s">
        <v>21</v>
      </c>
      <c r="L605" s="7">
        <v>40076.763078703705</v>
      </c>
      <c r="M605" s="14" t="s">
        <v>1540</v>
      </c>
      <c r="N605" s="14" t="s">
        <v>1541</v>
      </c>
      <c r="O605" s="11" t="str">
        <f>HYPERLINK("https://pbs.twimg.com/profile_images/1383890271/twitpic_normal.png","View")</f>
        <v>View</v>
      </c>
      <c r="P605" s="15"/>
    </row>
    <row r="606">
      <c r="A606" s="7">
        <v>42425.33424768518</v>
      </c>
      <c r="B606" s="8" t="str">
        <f>HYPERLINK("https://twitter.com/JobHero_io","@JobHero_io")</f>
        <v>@JobHero_io</v>
      </c>
      <c r="C606" s="9" t="s">
        <v>944</v>
      </c>
      <c r="D606" s="10" t="s">
        <v>1542</v>
      </c>
      <c r="E606" s="11" t="str">
        <f>HYPERLINK("https://twitter.com/JobHero_io/status/702886098847047681","702886098847047681")</f>
        <v>702886098847047681</v>
      </c>
      <c r="F606" s="12" t="s">
        <v>294</v>
      </c>
      <c r="G606" s="13">
        <v>6512.0</v>
      </c>
      <c r="H606" s="13">
        <v>2486.0</v>
      </c>
      <c r="I606" s="13">
        <v>9.0</v>
      </c>
      <c r="J606" s="13">
        <v>3.0</v>
      </c>
      <c r="K606" s="12" t="s">
        <v>21</v>
      </c>
      <c r="L606" s="7">
        <v>41057.667650462965</v>
      </c>
      <c r="M606" s="14" t="s">
        <v>946</v>
      </c>
      <c r="N606" s="14" t="s">
        <v>947</v>
      </c>
      <c r="O606" s="11" t="str">
        <f>HYPERLINK("https://pbs.twimg.com/profile_images/609201325046280192/WqwLYJNg_normal.jpg","View")</f>
        <v>View</v>
      </c>
      <c r="P606" s="15"/>
    </row>
    <row r="607">
      <c r="A607" s="7">
        <v>42425.334375</v>
      </c>
      <c r="B607" s="8" t="str">
        <f>HYPERLINK("https://twitter.com/EXAGolo","@EXAGolo")</f>
        <v>@EXAGolo</v>
      </c>
      <c r="C607" s="10" t="s">
        <v>1543</v>
      </c>
      <c r="D607" s="10" t="s">
        <v>1544</v>
      </c>
      <c r="E607" s="11" t="str">
        <f>HYPERLINK("https://twitter.com/EXAGolo/status/702886145026293760","702886145026293760")</f>
        <v>702886145026293760</v>
      </c>
      <c r="F607" s="12" t="s">
        <v>1545</v>
      </c>
      <c r="G607" s="13">
        <v>32279.0</v>
      </c>
      <c r="H607" s="13">
        <v>31033.0</v>
      </c>
      <c r="I607" s="13">
        <v>4.0</v>
      </c>
      <c r="J607" s="13">
        <v>1.0</v>
      </c>
      <c r="K607" s="12" t="s">
        <v>21</v>
      </c>
      <c r="L607" s="7">
        <v>41890.13582175926</v>
      </c>
      <c r="M607" s="16"/>
      <c r="N607" s="14" t="s">
        <v>1546</v>
      </c>
      <c r="O607" s="11" t="str">
        <f>HYPERLINK("https://pbs.twimg.com/profile_images/576481535060156416/7-n_x96B_normal.jpeg","View")</f>
        <v>View</v>
      </c>
      <c r="P607" s="15"/>
    </row>
    <row r="608">
      <c r="A608" s="7">
        <v>42425.33446759259</v>
      </c>
      <c r="B608" s="8" t="str">
        <f>HYPERLINK("https://twitter.com/PythonWeekly","@PythonWeekly")</f>
        <v>@PythonWeekly</v>
      </c>
      <c r="C608" s="10" t="s">
        <v>948</v>
      </c>
      <c r="D608" s="10" t="s">
        <v>1547</v>
      </c>
      <c r="E608" s="11" t="str">
        <f>HYPERLINK("https://twitter.com/PythonWeekly/status/702886178412994560","702886178412994560")</f>
        <v>702886178412994560</v>
      </c>
      <c r="F608" s="12" t="s">
        <v>294</v>
      </c>
      <c r="G608" s="13">
        <v>15565.0</v>
      </c>
      <c r="H608" s="13">
        <v>0.0</v>
      </c>
      <c r="I608" s="13">
        <v>3.0</v>
      </c>
      <c r="J608" s="13">
        <v>12.0</v>
      </c>
      <c r="K608" s="12" t="s">
        <v>21</v>
      </c>
      <c r="L608" s="7">
        <v>40800.65934027778</v>
      </c>
      <c r="M608" s="16"/>
      <c r="N608" s="14" t="s">
        <v>950</v>
      </c>
      <c r="O608" s="11" t="str">
        <f>HYPERLINK("https://pbs.twimg.com/profile_images/1554238582/python_normal.jpg","View")</f>
        <v>View</v>
      </c>
      <c r="P608" s="15"/>
    </row>
    <row r="609">
      <c r="A609" s="7">
        <v>42425.33472222222</v>
      </c>
      <c r="B609" s="8" t="str">
        <f>HYPERLINK("https://twitter.com/Anonymous_wasp","@Anonymous_wasp")</f>
        <v>@Anonymous_wasp</v>
      </c>
      <c r="C609" s="10" t="s">
        <v>1548</v>
      </c>
      <c r="D609" s="10" t="s">
        <v>1549</v>
      </c>
      <c r="E609" s="11" t="str">
        <f>HYPERLINK("https://twitter.com/Anonymous_wasp/status/702886271438422017","702886271438422017")</f>
        <v>702886271438422017</v>
      </c>
      <c r="F609" s="12" t="s">
        <v>20</v>
      </c>
      <c r="G609" s="13">
        <v>1277.0</v>
      </c>
      <c r="H609" s="13">
        <v>1095.0</v>
      </c>
      <c r="I609" s="13">
        <v>4.0</v>
      </c>
      <c r="J609" s="13">
        <v>0.0</v>
      </c>
      <c r="K609" s="12" t="s">
        <v>21</v>
      </c>
      <c r="L609" s="7">
        <v>42024.583645833336</v>
      </c>
      <c r="M609" s="16"/>
      <c r="N609" s="16"/>
      <c r="O609" s="11" t="str">
        <f>HYPERLINK("https://pbs.twimg.com/profile_images/690023021168476164/y0BmEXsD_normal.jpg","View")</f>
        <v>View</v>
      </c>
      <c r="P609" s="15"/>
    </row>
    <row r="610">
      <c r="A610" s="7">
        <v>42425.33479166667</v>
      </c>
      <c r="B610" s="8" t="str">
        <f>HYPERLINK("https://twitter.com/Otherbots","@Otherbots")</f>
        <v>@Otherbots</v>
      </c>
      <c r="C610" s="10" t="s">
        <v>1550</v>
      </c>
      <c r="D610" s="10" t="s">
        <v>1551</v>
      </c>
      <c r="E610" s="11" t="str">
        <f>HYPERLINK("https://twitter.com/Otherbots/status/702886295710908416","702886295710908416")</f>
        <v>702886295710908416</v>
      </c>
      <c r="F610" s="12" t="s">
        <v>103</v>
      </c>
      <c r="G610" s="13">
        <v>1160.0</v>
      </c>
      <c r="H610" s="13">
        <v>2.0</v>
      </c>
      <c r="I610" s="13">
        <v>0.0</v>
      </c>
      <c r="J610" s="13">
        <v>0.0</v>
      </c>
      <c r="K610" s="12" t="s">
        <v>21</v>
      </c>
      <c r="L610" s="7">
        <v>41202.795127314814</v>
      </c>
      <c r="M610" s="14" t="s">
        <v>1552</v>
      </c>
      <c r="N610" s="14" t="s">
        <v>1553</v>
      </c>
      <c r="O610" s="11" t="str">
        <f>HYPERLINK("https://pbs.twimg.com/profile_images/2743738513/354ed035acf2e52b7b04a5143acec144_normal.png","View")</f>
        <v>View</v>
      </c>
      <c r="P610" s="15"/>
    </row>
    <row r="611">
      <c r="A611" s="7">
        <v>42425.33524305555</v>
      </c>
      <c r="B611" s="8" t="str">
        <f>HYPERLINK("https://twitter.com/MainlineSrl","@MainlineSrl")</f>
        <v>@MainlineSrl</v>
      </c>
      <c r="C611" s="10" t="s">
        <v>1554</v>
      </c>
      <c r="D611" s="10" t="s">
        <v>1555</v>
      </c>
      <c r="E611" s="11" t="str">
        <f>HYPERLINK("https://twitter.com/MainlineSrl/status/702886459506819072","702886459506819072")</f>
        <v>702886459506819072</v>
      </c>
      <c r="F611" s="12" t="s">
        <v>659</v>
      </c>
      <c r="G611" s="13">
        <v>518.0</v>
      </c>
      <c r="H611" s="13">
        <v>898.0</v>
      </c>
      <c r="I611" s="13">
        <v>0.0</v>
      </c>
      <c r="J611" s="13">
        <v>1.0</v>
      </c>
      <c r="K611" s="12" t="s">
        <v>21</v>
      </c>
      <c r="L611" s="7">
        <v>42095.28138888889</v>
      </c>
      <c r="M611" s="16"/>
      <c r="N611" s="14" t="s">
        <v>1556</v>
      </c>
      <c r="O611" s="11" t="str">
        <f>HYPERLINK("https://pbs.twimg.com/profile_images/583273308067667968/u6hoxDGB_normal.png","View")</f>
        <v>View</v>
      </c>
      <c r="P611" s="15"/>
    </row>
    <row r="612">
      <c r="A612" s="7">
        <v>42425.33535879629</v>
      </c>
      <c r="B612" s="8" t="str">
        <f>HYPERLINK("https://twitter.com/datentaeterin","@datentaeterin")</f>
        <v>@datentaeterin</v>
      </c>
      <c r="C612" s="10" t="s">
        <v>1557</v>
      </c>
      <c r="D612" s="10" t="s">
        <v>1558</v>
      </c>
      <c r="E612" s="11" t="str">
        <f>HYPERLINK("https://twitter.com/datentaeterin/status/702886502330667009","702886502330667009")</f>
        <v>702886502330667009</v>
      </c>
      <c r="F612" s="12" t="s">
        <v>52</v>
      </c>
      <c r="G612" s="13">
        <v>257.0</v>
      </c>
      <c r="H612" s="13">
        <v>98.0</v>
      </c>
      <c r="I612" s="13">
        <v>3.0</v>
      </c>
      <c r="J612" s="13">
        <v>0.0</v>
      </c>
      <c r="K612" s="12" t="s">
        <v>21</v>
      </c>
      <c r="L612" s="7">
        <v>42153.30028935186</v>
      </c>
      <c r="M612" s="14" t="s">
        <v>1458</v>
      </c>
      <c r="N612" s="14" t="s">
        <v>1559</v>
      </c>
      <c r="O612" s="11" t="str">
        <f>HYPERLINK("https://pbs.twimg.com/profile_images/681301431060697088/SVDdR3DG_normal.jpg","View")</f>
        <v>View</v>
      </c>
      <c r="P612" s="15"/>
    </row>
    <row r="613">
      <c r="A613" s="7">
        <v>42425.33559027778</v>
      </c>
      <c r="B613" s="8" t="str">
        <f>HYPERLINK("https://twitter.com/hackmum","@hackmum")</f>
        <v>@hackmum</v>
      </c>
      <c r="C613" s="10" t="s">
        <v>501</v>
      </c>
      <c r="D613" s="10" t="s">
        <v>1560</v>
      </c>
      <c r="E613" s="11" t="str">
        <f>HYPERLINK("https://twitter.com/hackmum/status/702886584572633089","702886584572633089")</f>
        <v>702886584572633089</v>
      </c>
      <c r="F613" s="12" t="s">
        <v>294</v>
      </c>
      <c r="G613" s="13">
        <v>162.0</v>
      </c>
      <c r="H613" s="13">
        <v>84.0</v>
      </c>
      <c r="I613" s="13">
        <v>0.0</v>
      </c>
      <c r="J613" s="13">
        <v>0.0</v>
      </c>
      <c r="K613" s="12" t="s">
        <v>21</v>
      </c>
      <c r="L613" s="7">
        <v>41201.372465277775</v>
      </c>
      <c r="M613" s="16"/>
      <c r="N613" s="16"/>
      <c r="O613" s="11" t="str">
        <f>HYPERLINK("https://pbs.twimg.com/profile_images/439453102119206912/i5x3_qmb_normal.png","View")</f>
        <v>View</v>
      </c>
      <c r="P613" s="15"/>
    </row>
    <row r="614">
      <c r="A614" s="7">
        <v>42425.33631944444</v>
      </c>
      <c r="B614" s="8" t="str">
        <f>HYPERLINK("https://twitter.com/ircstaff","@ircstaff")</f>
        <v>@ircstaff</v>
      </c>
      <c r="C614" s="10" t="s">
        <v>1561</v>
      </c>
      <c r="D614" s="10" t="s">
        <v>1562</v>
      </c>
      <c r="E614" s="11" t="str">
        <f>HYPERLINK("https://twitter.com/ircstaff/status/702886847563714560","702886847563714560")</f>
        <v>702886847563714560</v>
      </c>
      <c r="F614" s="12" t="s">
        <v>1563</v>
      </c>
      <c r="G614" s="13">
        <v>1225.0</v>
      </c>
      <c r="H614" s="13">
        <v>1997.0</v>
      </c>
      <c r="I614" s="13">
        <v>0.0</v>
      </c>
      <c r="J614" s="13">
        <v>0.0</v>
      </c>
      <c r="K614" s="12" t="s">
        <v>21</v>
      </c>
      <c r="L614" s="7">
        <v>39917.52517361111</v>
      </c>
      <c r="M614" s="14" t="s">
        <v>1099</v>
      </c>
      <c r="N614" s="14" t="s">
        <v>1564</v>
      </c>
      <c r="O614" s="11" t="str">
        <f>HYPERLINK("https://pbs.twimg.com/profile_images/1606876427/photo_normal.JPG","View")</f>
        <v>View</v>
      </c>
      <c r="P614" s="15"/>
    </row>
    <row r="615">
      <c r="A615" s="7">
        <v>42425.33677083333</v>
      </c>
      <c r="B615" s="8" t="str">
        <f>HYPERLINK("https://twitter.com/daten_drang","@daten_drang")</f>
        <v>@daten_drang</v>
      </c>
      <c r="C615" s="10" t="s">
        <v>1565</v>
      </c>
      <c r="D615" s="10" t="s">
        <v>1558</v>
      </c>
      <c r="E615" s="11" t="str">
        <f>HYPERLINK("https://twitter.com/daten_drang/status/702887014614626305","702887014614626305")</f>
        <v>702887014614626305</v>
      </c>
      <c r="F615" s="12" t="s">
        <v>20</v>
      </c>
      <c r="G615" s="13">
        <v>157.0</v>
      </c>
      <c r="H615" s="13">
        <v>195.0</v>
      </c>
      <c r="I615" s="13">
        <v>3.0</v>
      </c>
      <c r="J615" s="13">
        <v>0.0</v>
      </c>
      <c r="K615" s="12" t="s">
        <v>21</v>
      </c>
      <c r="L615" s="7">
        <v>41916.276921296296</v>
      </c>
      <c r="M615" s="14" t="s">
        <v>1566</v>
      </c>
      <c r="N615" s="14" t="s">
        <v>1567</v>
      </c>
      <c r="O615" s="11" t="str">
        <f>HYPERLINK("https://pbs.twimg.com/profile_images/627442973161189376/SrgQ1K0R_normal.jpg","View")</f>
        <v>View</v>
      </c>
      <c r="P615" s="15"/>
    </row>
    <row r="616">
      <c r="A616" s="7">
        <v>42425.33871527778</v>
      </c>
      <c r="B616" s="8" t="str">
        <f>HYPERLINK("https://twitter.com/pauloxnet","@pauloxnet")</f>
        <v>@pauloxnet</v>
      </c>
      <c r="C616" s="10" t="s">
        <v>1568</v>
      </c>
      <c r="D616" s="10" t="s">
        <v>1324</v>
      </c>
      <c r="E616" s="11" t="str">
        <f>HYPERLINK("https://twitter.com/pauloxnet/status/702887718884401153","702887718884401153")</f>
        <v>702887718884401153</v>
      </c>
      <c r="F616" s="12" t="s">
        <v>20</v>
      </c>
      <c r="G616" s="13">
        <v>154.0</v>
      </c>
      <c r="H616" s="13">
        <v>385.0</v>
      </c>
      <c r="I616" s="13">
        <v>6.0</v>
      </c>
      <c r="J616" s="13">
        <v>0.0</v>
      </c>
      <c r="K616" s="12" t="s">
        <v>21</v>
      </c>
      <c r="L616" s="7">
        <v>40232.2446412037</v>
      </c>
      <c r="M616" s="14" t="s">
        <v>129</v>
      </c>
      <c r="N616" s="14" t="s">
        <v>1569</v>
      </c>
      <c r="O616" s="11" t="str">
        <f>HYPERLINK("https://pbs.twimg.com/profile_images/588686612281708544/xm0xerTE_normal.jpg","View")</f>
        <v>View</v>
      </c>
      <c r="P616" s="15"/>
    </row>
    <row r="617">
      <c r="A617" s="7">
        <v>42425.33893518518</v>
      </c>
      <c r="B617" s="8" t="str">
        <f>HYPERLINK("https://twitter.com/cool_python","@cool_python")</f>
        <v>@cool_python</v>
      </c>
      <c r="C617" s="10" t="s">
        <v>249</v>
      </c>
      <c r="D617" s="10" t="s">
        <v>1570</v>
      </c>
      <c r="E617" s="11" t="str">
        <f>HYPERLINK("https://twitter.com/cool_python/status/702887795908550657","702887795908550657")</f>
        <v>702887795908550657</v>
      </c>
      <c r="F617" s="12" t="s">
        <v>251</v>
      </c>
      <c r="G617" s="13">
        <v>235.0</v>
      </c>
      <c r="H617" s="13">
        <v>91.0</v>
      </c>
      <c r="I617" s="13">
        <v>3.0</v>
      </c>
      <c r="J617" s="13">
        <v>0.0</v>
      </c>
      <c r="K617" s="12" t="s">
        <v>21</v>
      </c>
      <c r="L617" s="7">
        <v>42064.325</v>
      </c>
      <c r="M617" s="14" t="s">
        <v>252</v>
      </c>
      <c r="N617" s="14" t="s">
        <v>253</v>
      </c>
      <c r="O617" s="11" t="str">
        <f>HYPERLINK("https://pbs.twimg.com/profile_images/572091631055028224/Pkx__FSB_normal.png","View")</f>
        <v>View</v>
      </c>
      <c r="P617" s="15"/>
    </row>
    <row r="618">
      <c r="A618" s="7">
        <v>42425.3412962963</v>
      </c>
      <c r="B618" s="8" t="str">
        <f>HYPERLINK("https://twitter.com/DruidSmith","@DruidSmith")</f>
        <v>@DruidSmith</v>
      </c>
      <c r="C618" s="10" t="s">
        <v>1571</v>
      </c>
      <c r="D618" s="10" t="s">
        <v>1572</v>
      </c>
      <c r="E618" s="11" t="str">
        <f>HYPERLINK("https://twitter.com/DruidSmith/status/702888651068461056","702888651068461056")</f>
        <v>702888651068461056</v>
      </c>
      <c r="F618" s="12" t="s">
        <v>1573</v>
      </c>
      <c r="G618" s="13">
        <v>4097.0</v>
      </c>
      <c r="H618" s="13">
        <v>2577.0</v>
      </c>
      <c r="I618" s="13">
        <v>0.0</v>
      </c>
      <c r="J618" s="13">
        <v>3.0</v>
      </c>
      <c r="K618" s="12" t="s">
        <v>21</v>
      </c>
      <c r="L618" s="7">
        <v>39444.28181712963</v>
      </c>
      <c r="M618" s="14" t="s">
        <v>784</v>
      </c>
      <c r="N618" s="14" t="s">
        <v>1574</v>
      </c>
      <c r="O618" s="11" t="str">
        <f>HYPERLINK("https://pbs.twimg.com/profile_images/660617199934185472/nXBGYFZ8_normal.jpg","View")</f>
        <v>View</v>
      </c>
      <c r="P618" s="15"/>
    </row>
    <row r="619">
      <c r="A619" s="7">
        <v>42425.342002314814</v>
      </c>
      <c r="B619" s="8" t="str">
        <f>HYPERLINK("https://twitter.com/cesarnogCPS","@cesarnogCPS")</f>
        <v>@cesarnogCPS</v>
      </c>
      <c r="C619" s="10" t="s">
        <v>1140</v>
      </c>
      <c r="D619" s="10" t="s">
        <v>1575</v>
      </c>
      <c r="E619" s="11" t="str">
        <f>HYPERLINK("https://twitter.com/cesarnogCPS/status/702888907327840256","702888907327840256")</f>
        <v>702888907327840256</v>
      </c>
      <c r="F619" s="12" t="s">
        <v>38</v>
      </c>
      <c r="G619" s="13">
        <v>1578.0</v>
      </c>
      <c r="H619" s="13">
        <v>2406.0</v>
      </c>
      <c r="I619" s="13">
        <v>9.0</v>
      </c>
      <c r="J619" s="13">
        <v>0.0</v>
      </c>
      <c r="K619" s="12" t="s">
        <v>21</v>
      </c>
      <c r="L619" s="7">
        <v>40076.82166666667</v>
      </c>
      <c r="M619" s="14" t="s">
        <v>1142</v>
      </c>
      <c r="N619" s="14" t="s">
        <v>1143</v>
      </c>
      <c r="O619" s="11" t="str">
        <f>HYPERLINK("https://pbs.twimg.com/profile_images/682455128805359617/r4Be4Yll_normal.jpg","View")</f>
        <v>View</v>
      </c>
      <c r="P619" s="15"/>
    </row>
    <row r="620">
      <c r="A620" s="7">
        <v>42425.34239583333</v>
      </c>
      <c r="B620" s="8" t="str">
        <f>HYPERLINK("https://twitter.com/loderunnr","@loderunnr")</f>
        <v>@loderunnr</v>
      </c>
      <c r="C620" s="10" t="s">
        <v>1576</v>
      </c>
      <c r="D620" s="10" t="s">
        <v>1577</v>
      </c>
      <c r="E620" s="11" t="str">
        <f>HYPERLINK("https://twitter.com/loderunnr/status/702889051318317056","702889051318317056")</f>
        <v>702889051318317056</v>
      </c>
      <c r="F620" s="12" t="s">
        <v>20</v>
      </c>
      <c r="G620" s="13">
        <v>66.0</v>
      </c>
      <c r="H620" s="13">
        <v>47.0</v>
      </c>
      <c r="I620" s="13">
        <v>0.0</v>
      </c>
      <c r="J620" s="13">
        <v>0.0</v>
      </c>
      <c r="K620" s="12" t="s">
        <v>21</v>
      </c>
      <c r="L620" s="7">
        <v>40002.24222222222</v>
      </c>
      <c r="M620" s="16"/>
      <c r="N620" s="16"/>
      <c r="O620" s="11" t="str">
        <f>HYPERLINK("https://pbs.twimg.com/profile_images/1054928113/tonberry_normal.jpg","View")</f>
        <v>View</v>
      </c>
      <c r="P620" s="15"/>
    </row>
    <row r="621">
      <c r="A621" s="7">
        <v>42425.34311342593</v>
      </c>
      <c r="B621" s="8" t="str">
        <f>HYPERLINK("https://twitter.com/HartwigMicheal","@HartwigMicheal")</f>
        <v>@HartwigMicheal</v>
      </c>
      <c r="C621" s="10" t="s">
        <v>842</v>
      </c>
      <c r="D621" s="10" t="s">
        <v>1578</v>
      </c>
      <c r="E621" s="11" t="str">
        <f>HYPERLINK("https://twitter.com/HartwigMicheal/status/702889309976797184","702889309976797184")</f>
        <v>702889309976797184</v>
      </c>
      <c r="F621" s="12" t="s">
        <v>103</v>
      </c>
      <c r="G621" s="13">
        <v>541.0</v>
      </c>
      <c r="H621" s="13">
        <v>830.0</v>
      </c>
      <c r="I621" s="13">
        <v>0.0</v>
      </c>
      <c r="J621" s="13">
        <v>0.0</v>
      </c>
      <c r="K621" s="12" t="s">
        <v>21</v>
      </c>
      <c r="L621" s="7">
        <v>42362.00148148148</v>
      </c>
      <c r="M621" s="14" t="s">
        <v>844</v>
      </c>
      <c r="N621" s="14" t="s">
        <v>845</v>
      </c>
      <c r="O621" s="11" t="str">
        <f>HYPERLINK("https://pbs.twimg.com/profile_images/679948461953781761/pDo9356K_normal.jpg","View")</f>
        <v>View</v>
      </c>
      <c r="P621" s="15"/>
    </row>
    <row r="622">
      <c r="A622" s="7">
        <v>42425.343206018515</v>
      </c>
      <c r="B622" s="8" t="str">
        <f>HYPERLINK("https://twitter.com/Golgothus","@Golgothus")</f>
        <v>@Golgothus</v>
      </c>
      <c r="C622" s="10" t="s">
        <v>1579</v>
      </c>
      <c r="D622" s="10" t="s">
        <v>1580</v>
      </c>
      <c r="E622" s="11" t="str">
        <f>HYPERLINK("https://twitter.com/Golgothus/status/702889344340635648","702889344340635648")</f>
        <v>702889344340635648</v>
      </c>
      <c r="F622" s="12" t="s">
        <v>20</v>
      </c>
      <c r="G622" s="13">
        <v>245.0</v>
      </c>
      <c r="H622" s="13">
        <v>524.0</v>
      </c>
      <c r="I622" s="13">
        <v>0.0</v>
      </c>
      <c r="J622" s="13">
        <v>0.0</v>
      </c>
      <c r="K622" s="12" t="s">
        <v>21</v>
      </c>
      <c r="L622" s="7">
        <v>41190.44024305556</v>
      </c>
      <c r="M622" s="14" t="s">
        <v>1581</v>
      </c>
      <c r="N622" s="14" t="s">
        <v>1582</v>
      </c>
      <c r="O622" s="11" t="str">
        <f>HYPERLINK("https://pbs.twimg.com/profile_images/693918137918459908/hw-Fka3b_normal.jpg","View")</f>
        <v>View</v>
      </c>
      <c r="P622" s="15"/>
    </row>
    <row r="623">
      <c r="A623" s="7">
        <v>42425.34369212963</v>
      </c>
      <c r="B623" s="8" t="str">
        <f>HYPERLINK("https://twitter.com/MTotolrahaman","@MTotolrahaman")</f>
        <v>@MTotolrahaman</v>
      </c>
      <c r="C623" s="10" t="s">
        <v>848</v>
      </c>
      <c r="D623" s="10" t="s">
        <v>1583</v>
      </c>
      <c r="E623" s="11" t="str">
        <f>HYPERLINK("https://twitter.com/MTotolrahaman/status/702889520346349568","702889520346349568")</f>
        <v>702889520346349568</v>
      </c>
      <c r="F623" s="12" t="s">
        <v>103</v>
      </c>
      <c r="G623" s="13">
        <v>766.0</v>
      </c>
      <c r="H623" s="13">
        <v>846.0</v>
      </c>
      <c r="I623" s="13">
        <v>0.0</v>
      </c>
      <c r="J623" s="13">
        <v>0.0</v>
      </c>
      <c r="K623" s="12" t="s">
        <v>21</v>
      </c>
      <c r="L623" s="7">
        <v>42355.250798611116</v>
      </c>
      <c r="M623" s="14" t="s">
        <v>850</v>
      </c>
      <c r="N623" s="14" t="s">
        <v>851</v>
      </c>
      <c r="O623" s="11" t="str">
        <f>HYPERLINK("https://pbs.twimg.com/profile_images/677493910256484352/-EdVaVPl_normal.jpg","View")</f>
        <v>View</v>
      </c>
      <c r="P623" s="15"/>
    </row>
    <row r="624">
      <c r="A624" s="7">
        <v>42425.34380787037</v>
      </c>
      <c r="B624" s="8" t="str">
        <f>HYPERLINK("https://twitter.com/Donearm","@Donearm")</f>
        <v>@Donearm</v>
      </c>
      <c r="C624" s="10" t="s">
        <v>1584</v>
      </c>
      <c r="D624" s="10" t="s">
        <v>1585</v>
      </c>
      <c r="E624" s="11" t="str">
        <f>HYPERLINK("https://twitter.com/Donearm/status/702889564411658240","702889564411658240")</f>
        <v>702889564411658240</v>
      </c>
      <c r="F624" s="12" t="s">
        <v>152</v>
      </c>
      <c r="G624" s="13">
        <v>684.0</v>
      </c>
      <c r="H624" s="13">
        <v>418.0</v>
      </c>
      <c r="I624" s="13">
        <v>0.0</v>
      </c>
      <c r="J624" s="13">
        <v>0.0</v>
      </c>
      <c r="K624" s="12" t="s">
        <v>21</v>
      </c>
      <c r="L624" s="7">
        <v>39752.37320601852</v>
      </c>
      <c r="M624" s="14" t="s">
        <v>1586</v>
      </c>
      <c r="N624" s="14" t="s">
        <v>1587</v>
      </c>
      <c r="O624" s="11" t="str">
        <f>HYPERLINK("https://pbs.twimg.com/profile_images/641618171640676353/eDuKR7hh_normal.jpg","View")</f>
        <v>View</v>
      </c>
      <c r="P624" s="15"/>
    </row>
    <row r="625">
      <c r="A625" s="7">
        <v>42425.3440162037</v>
      </c>
      <c r="B625" s="8" t="str">
        <f>HYPERLINK("https://twitter.com/cleansprings","@cleansprings")</f>
        <v>@cleansprings</v>
      </c>
      <c r="C625" s="10" t="s">
        <v>1588</v>
      </c>
      <c r="D625" s="10" t="s">
        <v>1589</v>
      </c>
      <c r="E625" s="11" t="str">
        <f>HYPERLINK("https://twitter.com/cleansprings/status/702889640081158144","702889640081158144")</f>
        <v>702889640081158144</v>
      </c>
      <c r="F625" s="12" t="s">
        <v>20</v>
      </c>
      <c r="G625" s="13">
        <v>470.0</v>
      </c>
      <c r="H625" s="13">
        <v>376.0</v>
      </c>
      <c r="I625" s="13">
        <v>0.0</v>
      </c>
      <c r="J625" s="13">
        <v>1.0</v>
      </c>
      <c r="K625" s="12" t="s">
        <v>21</v>
      </c>
      <c r="L625" s="7">
        <v>42257.49402777778</v>
      </c>
      <c r="M625" s="16"/>
      <c r="N625" s="14" t="s">
        <v>1590</v>
      </c>
      <c r="O625" s="11" t="str">
        <f>HYPERLINK("https://pbs.twimg.com/profile_images/642051243007852544/4n6TbLho_normal.jpg","View")</f>
        <v>View</v>
      </c>
      <c r="P625" s="15"/>
    </row>
    <row r="626">
      <c r="A626" s="7">
        <v>42425.344375</v>
      </c>
      <c r="B626" s="8" t="str">
        <f>HYPERLINK("https://twitter.com/rm53","@rm53")</f>
        <v>@rm53</v>
      </c>
      <c r="C626" s="10" t="s">
        <v>1591</v>
      </c>
      <c r="D626" s="10" t="s">
        <v>1592</v>
      </c>
      <c r="E626" s="11" t="str">
        <f>HYPERLINK("https://twitter.com/rm53/status/702889768703627268","702889768703627268")</f>
        <v>702889768703627268</v>
      </c>
      <c r="F626" s="12" t="s">
        <v>1573</v>
      </c>
      <c r="G626" s="13">
        <v>51.0</v>
      </c>
      <c r="H626" s="13">
        <v>81.0</v>
      </c>
      <c r="I626" s="13">
        <v>0.0</v>
      </c>
      <c r="J626" s="13">
        <v>1.0</v>
      </c>
      <c r="K626" s="12" t="s">
        <v>21</v>
      </c>
      <c r="L626" s="7">
        <v>39195.56138888889</v>
      </c>
      <c r="M626" s="14" t="s">
        <v>1593</v>
      </c>
      <c r="N626" s="14" t="s">
        <v>1594</v>
      </c>
      <c r="O626" s="11" t="str">
        <f>HYPERLINK("https://pbs.twimg.com/profile_images/2806382910/3a52e38777da6ceb0715745342b88669_normal.jpeg","View")</f>
        <v>View</v>
      </c>
      <c r="P626" s="15"/>
    </row>
    <row r="627">
      <c r="A627" s="7">
        <v>42425.34443287037</v>
      </c>
      <c r="B627" s="8" t="str">
        <f>HYPERLINK("https://twitter.com/PythonWeekly","@PythonWeekly")</f>
        <v>@PythonWeekly</v>
      </c>
      <c r="C627" s="10" t="s">
        <v>948</v>
      </c>
      <c r="D627" s="10" t="s">
        <v>1595</v>
      </c>
      <c r="E627" s="11" t="str">
        <f>HYPERLINK("https://twitter.com/PythonWeekly/status/702889787326382080","702889787326382080")</f>
        <v>702889787326382080</v>
      </c>
      <c r="F627" s="12" t="s">
        <v>294</v>
      </c>
      <c r="G627" s="13">
        <v>15565.0</v>
      </c>
      <c r="H627" s="13">
        <v>0.0</v>
      </c>
      <c r="I627" s="13">
        <v>4.0</v>
      </c>
      <c r="J627" s="13">
        <v>11.0</v>
      </c>
      <c r="K627" s="12" t="s">
        <v>21</v>
      </c>
      <c r="L627" s="7">
        <v>40800.65934027778</v>
      </c>
      <c r="M627" s="16"/>
      <c r="N627" s="14" t="s">
        <v>950</v>
      </c>
      <c r="O627" s="11" t="str">
        <f>HYPERLINK("https://pbs.twimg.com/profile_images/1554238582/python_normal.jpg","View")</f>
        <v>View</v>
      </c>
      <c r="P627" s="15"/>
    </row>
    <row r="628">
      <c r="A628" s="7">
        <v>42425.3447337963</v>
      </c>
      <c r="B628" s="8" t="str">
        <f>HYPERLINK("https://twitter.com/mauriciosl","@mauriciosl")</f>
        <v>@mauriciosl</v>
      </c>
      <c r="C628" s="10" t="s">
        <v>1596</v>
      </c>
      <c r="D628" s="10" t="s">
        <v>1461</v>
      </c>
      <c r="E628" s="11" t="str">
        <f>HYPERLINK("https://twitter.com/mauriciosl/status/702889897535913984","702889897535913984")</f>
        <v>702889897535913984</v>
      </c>
      <c r="F628" s="12" t="s">
        <v>20</v>
      </c>
      <c r="G628" s="13">
        <v>141.0</v>
      </c>
      <c r="H628" s="13">
        <v>209.0</v>
      </c>
      <c r="I628" s="13">
        <v>17.0</v>
      </c>
      <c r="J628" s="13">
        <v>0.0</v>
      </c>
      <c r="K628" s="12" t="s">
        <v>21</v>
      </c>
      <c r="L628" s="7">
        <v>39951.71947916667</v>
      </c>
      <c r="M628" s="14" t="s">
        <v>1597</v>
      </c>
      <c r="N628" s="14" t="s">
        <v>1598</v>
      </c>
      <c r="O628" s="11" t="str">
        <f>HYPERLINK("https://pbs.twimg.com/profile_images/431108594595950592/kvIsPTTr_normal.png","View")</f>
        <v>View</v>
      </c>
      <c r="P628" s="15"/>
    </row>
    <row r="629">
      <c r="A629" s="7">
        <v>42425.34511574074</v>
      </c>
      <c r="B629" s="8" t="str">
        <f>HYPERLINK("https://twitter.com/jsans66","@jsans66")</f>
        <v>@jsans66</v>
      </c>
      <c r="C629" s="10" t="s">
        <v>1599</v>
      </c>
      <c r="D629" s="10" t="s">
        <v>1549</v>
      </c>
      <c r="E629" s="11" t="str">
        <f>HYPERLINK("https://twitter.com/jsans66/status/702890036707069953","702890036707069953")</f>
        <v>702890036707069953</v>
      </c>
      <c r="F629" s="12" t="s">
        <v>152</v>
      </c>
      <c r="G629" s="13">
        <v>57.0</v>
      </c>
      <c r="H629" s="13">
        <v>88.0</v>
      </c>
      <c r="I629" s="13">
        <v>4.0</v>
      </c>
      <c r="J629" s="13">
        <v>0.0</v>
      </c>
      <c r="K629" s="12" t="s">
        <v>21</v>
      </c>
      <c r="L629" s="7">
        <v>42394.49878472222</v>
      </c>
      <c r="M629" s="16"/>
      <c r="N629" s="16"/>
      <c r="O629" s="11" t="str">
        <f>HYPERLINK("https://pbs.twimg.com/profile_images/691721445462917120/9vDtemRe_normal.jpg","View")</f>
        <v>View</v>
      </c>
      <c r="P629" s="15"/>
    </row>
    <row r="630">
      <c r="A630" s="7">
        <v>42425.345243055555</v>
      </c>
      <c r="B630" s="8" t="str">
        <f>HYPERLINK("https://twitter.com/XeusLEE","@XeusLEE")</f>
        <v>@XeusLEE</v>
      </c>
      <c r="C630" s="10" t="s">
        <v>1600</v>
      </c>
      <c r="D630" s="10" t="s">
        <v>1575</v>
      </c>
      <c r="E630" s="11" t="str">
        <f>HYPERLINK("https://twitter.com/XeusLEE/status/702890083872022529","702890083872022529")</f>
        <v>702890083872022529</v>
      </c>
      <c r="F630" s="12" t="s">
        <v>124</v>
      </c>
      <c r="G630" s="13">
        <v>249.0</v>
      </c>
      <c r="H630" s="13">
        <v>251.0</v>
      </c>
      <c r="I630" s="13">
        <v>9.0</v>
      </c>
      <c r="J630" s="13">
        <v>0.0</v>
      </c>
      <c r="K630" s="12" t="s">
        <v>21</v>
      </c>
      <c r="L630" s="7">
        <v>40116.08761574074</v>
      </c>
      <c r="M630" s="16"/>
      <c r="N630" s="14" t="s">
        <v>1601</v>
      </c>
      <c r="O630" s="11" t="str">
        <f>HYPERLINK("https://pbs.twimg.com/profile_images/604308442275266560/SQeno78r_normal.jpg","View")</f>
        <v>View</v>
      </c>
      <c r="P630" s="15"/>
    </row>
    <row r="631">
      <c r="A631" s="7">
        <v>42425.34568287037</v>
      </c>
      <c r="B631" s="8" t="str">
        <f>HYPERLINK("https://twitter.com/panseybard","@panseybard")</f>
        <v>@panseybard</v>
      </c>
      <c r="C631" s="10" t="s">
        <v>1602</v>
      </c>
      <c r="D631" s="10" t="s">
        <v>1575</v>
      </c>
      <c r="E631" s="11" t="str">
        <f>HYPERLINK("https://twitter.com/panseybard/status/702890240839553024","702890240839553024")</f>
        <v>702890240839553024</v>
      </c>
      <c r="F631" s="12" t="s">
        <v>1603</v>
      </c>
      <c r="G631" s="13">
        <v>7596.0</v>
      </c>
      <c r="H631" s="13">
        <v>7592.0</v>
      </c>
      <c r="I631" s="13">
        <v>9.0</v>
      </c>
      <c r="J631" s="13">
        <v>0.0</v>
      </c>
      <c r="K631" s="12" t="s">
        <v>21</v>
      </c>
      <c r="L631" s="7">
        <v>41222.09909722222</v>
      </c>
      <c r="M631" s="14" t="s">
        <v>1604</v>
      </c>
      <c r="N631" s="14" t="s">
        <v>1605</v>
      </c>
      <c r="O631" s="11" t="str">
        <f>HYPERLINK("https://pbs.twimg.com/profile_images/583850259970822144/7EgtHLoT_normal.jpg","View")</f>
        <v>View</v>
      </c>
      <c r="P631" s="15"/>
    </row>
    <row r="632">
      <c r="A632" s="7">
        <v>42425.34597222222</v>
      </c>
      <c r="B632" s="8" t="str">
        <f>HYPERLINK("https://twitter.com/lcrsilveira","@lcrsilveira")</f>
        <v>@lcrsilveira</v>
      </c>
      <c r="C632" s="10" t="s">
        <v>1606</v>
      </c>
      <c r="D632" s="10" t="s">
        <v>1607</v>
      </c>
      <c r="E632" s="11" t="str">
        <f>HYPERLINK("https://twitter.com/lcrsilveira/status/702890348553482240","702890348553482240")</f>
        <v>702890348553482240</v>
      </c>
      <c r="F632" s="12" t="s">
        <v>152</v>
      </c>
      <c r="G632" s="13">
        <v>348.0</v>
      </c>
      <c r="H632" s="13">
        <v>897.0</v>
      </c>
      <c r="I632" s="13">
        <v>2.0</v>
      </c>
      <c r="J632" s="13">
        <v>0.0</v>
      </c>
      <c r="K632" s="12" t="s">
        <v>21</v>
      </c>
      <c r="L632" s="7">
        <v>41310.953368055554</v>
      </c>
      <c r="M632" s="14" t="s">
        <v>1608</v>
      </c>
      <c r="N632" s="14" t="s">
        <v>1609</v>
      </c>
      <c r="O632" s="11" t="str">
        <f>HYPERLINK("https://pbs.twimg.com/profile_images/702728265144909824/Coy0viLQ_normal.jpg","View")</f>
        <v>View</v>
      </c>
      <c r="P632" s="15"/>
    </row>
    <row r="633">
      <c r="A633" s="7">
        <v>42425.34697916667</v>
      </c>
      <c r="B633" s="8" t="str">
        <f>HYPERLINK("https://twitter.com/conklin_b","@conklin_b")</f>
        <v>@conklin_b</v>
      </c>
      <c r="C633" s="10" t="s">
        <v>1610</v>
      </c>
      <c r="D633" s="10" t="s">
        <v>1611</v>
      </c>
      <c r="E633" s="11" t="str">
        <f>HYPERLINK("https://twitter.com/conklin_b/status/702890712396754945","702890712396754945")</f>
        <v>702890712396754945</v>
      </c>
      <c r="F633" s="12" t="s">
        <v>152</v>
      </c>
      <c r="G633" s="13">
        <v>51.0</v>
      </c>
      <c r="H633" s="13">
        <v>174.0</v>
      </c>
      <c r="I633" s="13">
        <v>0.0</v>
      </c>
      <c r="J633" s="13">
        <v>0.0</v>
      </c>
      <c r="K633" s="12" t="s">
        <v>21</v>
      </c>
      <c r="L633" s="7">
        <v>41359.36273148148</v>
      </c>
      <c r="M633" s="14" t="s">
        <v>1612</v>
      </c>
      <c r="N633" s="14" t="s">
        <v>1613</v>
      </c>
      <c r="O633" s="11" t="str">
        <f>HYPERLINK("https://pbs.twimg.com/profile_images/696790914610540545/C_FOEuhd_normal.jpg","View")</f>
        <v>View</v>
      </c>
      <c r="P633" s="15"/>
    </row>
    <row r="634">
      <c r="A634" s="7">
        <v>42425.34730324074</v>
      </c>
      <c r="B634" s="8" t="str">
        <f>HYPERLINK("https://twitter.com/kierisi","@kierisi")</f>
        <v>@kierisi</v>
      </c>
      <c r="C634" s="10" t="s">
        <v>1614</v>
      </c>
      <c r="D634" s="10" t="s">
        <v>1615</v>
      </c>
      <c r="E634" s="11" t="str">
        <f>HYPERLINK("https://twitter.com/kierisi/status/702890828302168064","702890828302168064")</f>
        <v>702890828302168064</v>
      </c>
      <c r="F634" s="12" t="s">
        <v>446</v>
      </c>
      <c r="G634" s="13">
        <v>668.0</v>
      </c>
      <c r="H634" s="13">
        <v>588.0</v>
      </c>
      <c r="I634" s="13">
        <v>0.0</v>
      </c>
      <c r="J634" s="13">
        <v>0.0</v>
      </c>
      <c r="K634" s="12" t="s">
        <v>21</v>
      </c>
      <c r="L634" s="7">
        <v>41741.39902777778</v>
      </c>
      <c r="M634" s="14" t="s">
        <v>1616</v>
      </c>
      <c r="N634" s="14" t="s">
        <v>1617</v>
      </c>
      <c r="O634" s="11" t="str">
        <f>HYPERLINK("https://pbs.twimg.com/profile_images/679646902145556480/cM-3XPTI_normal.jpg","View")</f>
        <v>View</v>
      </c>
      <c r="P634" s="15"/>
    </row>
    <row r="635">
      <c r="A635" s="7">
        <v>42425.347604166665</v>
      </c>
      <c r="B635" s="8" t="str">
        <f>HYPERLINK("https://twitter.com/FreeTutsForYou","@FreeTutsForYou")</f>
        <v>@FreeTutsForYou</v>
      </c>
      <c r="C635" s="10" t="s">
        <v>1618</v>
      </c>
      <c r="D635" s="10" t="s">
        <v>1549</v>
      </c>
      <c r="E635" s="11" t="str">
        <f>HYPERLINK("https://twitter.com/FreeTutsForYou/status/702890940030185472","702890940030185472")</f>
        <v>702890940030185472</v>
      </c>
      <c r="F635" s="12" t="s">
        <v>1619</v>
      </c>
      <c r="G635" s="13">
        <v>118.0</v>
      </c>
      <c r="H635" s="13">
        <v>64.0</v>
      </c>
      <c r="I635" s="13">
        <v>4.0</v>
      </c>
      <c r="J635" s="13">
        <v>0.0</v>
      </c>
      <c r="K635" s="12" t="s">
        <v>21</v>
      </c>
      <c r="L635" s="7">
        <v>42352.06935185185</v>
      </c>
      <c r="M635" s="14" t="s">
        <v>34</v>
      </c>
      <c r="N635" s="14" t="s">
        <v>1620</v>
      </c>
      <c r="O635" s="11" t="str">
        <f>HYPERLINK("https://pbs.twimg.com/profile_images/676343744250044416/OidH-eFp_normal.png","View")</f>
        <v>View</v>
      </c>
      <c r="P635" s="15"/>
    </row>
    <row r="636">
      <c r="A636" s="7">
        <v>42425.347708333335</v>
      </c>
      <c r="B636" s="8" t="str">
        <f>HYPERLINK("https://twitter.com/Mikael_Furesjo","@Mikael_Furesjo")</f>
        <v>@Mikael_Furesjo</v>
      </c>
      <c r="C636" s="10" t="s">
        <v>106</v>
      </c>
      <c r="D636" s="10" t="s">
        <v>1621</v>
      </c>
      <c r="E636" s="11" t="str">
        <f>HYPERLINK("https://twitter.com/Mikael_Furesjo/status/702890977485312000","702890977485312000")</f>
        <v>702890977485312000</v>
      </c>
      <c r="F636" s="12" t="s">
        <v>108</v>
      </c>
      <c r="G636" s="13">
        <v>3096.0</v>
      </c>
      <c r="H636" s="13">
        <v>3192.0</v>
      </c>
      <c r="I636" s="13">
        <v>0.0</v>
      </c>
      <c r="J636" s="13">
        <v>1.0</v>
      </c>
      <c r="K636" s="12" t="s">
        <v>21</v>
      </c>
      <c r="L636" s="7">
        <v>41981.281909722224</v>
      </c>
      <c r="M636" s="14" t="s">
        <v>109</v>
      </c>
      <c r="N636" s="14" t="s">
        <v>110</v>
      </c>
      <c r="O636" s="11" t="str">
        <f>HYPERLINK("https://pbs.twimg.com/profile_images/541967225691713536/sEjIUqRQ_normal.jpeg","View")</f>
        <v>View</v>
      </c>
      <c r="P636" s="15"/>
    </row>
    <row r="637">
      <c r="A637" s="7">
        <v>42425.34806712963</v>
      </c>
      <c r="B637" s="8" t="str">
        <f>HYPERLINK("https://twitter.com/py3k","@py3k")</f>
        <v>@py3k</v>
      </c>
      <c r="C637" s="10" t="s">
        <v>297</v>
      </c>
      <c r="D637" s="10" t="s">
        <v>1622</v>
      </c>
      <c r="E637" s="11" t="str">
        <f>HYPERLINK("https://twitter.com/py3k/status/702891106493730816","702891106493730816")</f>
        <v>702891106493730816</v>
      </c>
      <c r="F637" s="12" t="s">
        <v>299</v>
      </c>
      <c r="G637" s="13">
        <v>1623.0</v>
      </c>
      <c r="H637" s="13">
        <v>676.0</v>
      </c>
      <c r="I637" s="13">
        <v>1.0</v>
      </c>
      <c r="J637" s="13">
        <v>0.0</v>
      </c>
      <c r="K637" s="12" t="s">
        <v>21</v>
      </c>
      <c r="L637" s="7">
        <v>41096.62268518518</v>
      </c>
      <c r="M637" s="16"/>
      <c r="N637" s="14" t="s">
        <v>300</v>
      </c>
      <c r="O637" s="11" t="str">
        <f>HYPERLINK("https://pbs.twimg.com/profile_images/2474433856/p075cerxh0arpea6ceip_normal.png","View")</f>
        <v>View</v>
      </c>
      <c r="P637" s="15"/>
    </row>
    <row r="638">
      <c r="A638" s="7">
        <v>42425.348229166666</v>
      </c>
      <c r="B638" s="8" t="str">
        <f>HYPERLINK("https://twitter.com/toptalllc","@toptalllc")</f>
        <v>@toptalllc</v>
      </c>
      <c r="C638" s="10" t="s">
        <v>1623</v>
      </c>
      <c r="D638" s="10" t="s">
        <v>1624</v>
      </c>
      <c r="E638" s="11" t="str">
        <f>HYPERLINK("https://twitter.com/toptalllc/status/702891166253985792","702891166253985792")</f>
        <v>702891166253985792</v>
      </c>
      <c r="F638" s="12" t="s">
        <v>20</v>
      </c>
      <c r="G638" s="13">
        <v>20132.0</v>
      </c>
      <c r="H638" s="13">
        <v>930.0</v>
      </c>
      <c r="I638" s="13">
        <v>1.0</v>
      </c>
      <c r="J638" s="13">
        <v>2.0</v>
      </c>
      <c r="K638" s="12" t="s">
        <v>21</v>
      </c>
      <c r="L638" s="7">
        <v>40897.837118055555</v>
      </c>
      <c r="M638" s="14" t="s">
        <v>69</v>
      </c>
      <c r="N638" s="14" t="s">
        <v>1625</v>
      </c>
      <c r="O638" s="11" t="str">
        <f>HYPERLINK("https://pbs.twimg.com/profile_images/676789130504839169/8YieI-oQ_normal.png","View")</f>
        <v>View</v>
      </c>
      <c r="P638" s="15"/>
    </row>
    <row r="639">
      <c r="A639" s="7">
        <v>42425.348645833335</v>
      </c>
      <c r="B639" s="8" t="str">
        <f>HYPERLINK("https://twitter.com/HarlanMilkove","@HarlanMilkove")</f>
        <v>@HarlanMilkove</v>
      </c>
      <c r="C639" s="10" t="s">
        <v>1626</v>
      </c>
      <c r="D639" s="10" t="s">
        <v>1627</v>
      </c>
      <c r="E639" s="11" t="str">
        <f>HYPERLINK("https://twitter.com/HarlanMilkove/status/702891316766777344","702891316766777344")</f>
        <v>702891316766777344</v>
      </c>
      <c r="F639" s="12" t="s">
        <v>20</v>
      </c>
      <c r="G639" s="13">
        <v>122.0</v>
      </c>
      <c r="H639" s="13">
        <v>119.0</v>
      </c>
      <c r="I639" s="13">
        <v>0.0</v>
      </c>
      <c r="J639" s="13">
        <v>1.0</v>
      </c>
      <c r="K639" s="12" t="s">
        <v>21</v>
      </c>
      <c r="L639" s="7">
        <v>41364.550625</v>
      </c>
      <c r="M639" s="14" t="s">
        <v>1628</v>
      </c>
      <c r="N639" s="14" t="s">
        <v>1629</v>
      </c>
      <c r="O639" s="11" t="str">
        <f>HYPERLINK("https://pbs.twimg.com/profile_images/628445972075540480/JOvj2v1E_normal.jpg","View")</f>
        <v>View</v>
      </c>
      <c r="P639" s="15"/>
    </row>
    <row r="640">
      <c r="A640" s="7">
        <v>42425.348773148144</v>
      </c>
      <c r="B640" s="8" t="str">
        <f>HYPERLINK("https://twitter.com/Lowerplace_PS","@Lowerplace_PS")</f>
        <v>@Lowerplace_PS</v>
      </c>
      <c r="C640" s="10" t="s">
        <v>1630</v>
      </c>
      <c r="D640" s="10" t="s">
        <v>1515</v>
      </c>
      <c r="E640" s="11" t="str">
        <f>HYPERLINK("https://twitter.com/Lowerplace_PS/status/702891362237161472","702891362237161472")</f>
        <v>702891362237161472</v>
      </c>
      <c r="F640" s="12" t="s">
        <v>52</v>
      </c>
      <c r="G640" s="13">
        <v>870.0</v>
      </c>
      <c r="H640" s="13">
        <v>466.0</v>
      </c>
      <c r="I640" s="13">
        <v>4.0</v>
      </c>
      <c r="J640" s="13">
        <v>0.0</v>
      </c>
      <c r="K640" s="12" t="s">
        <v>21</v>
      </c>
      <c r="L640" s="7">
        <v>40972.56826388889</v>
      </c>
      <c r="M640" s="14" t="s">
        <v>1516</v>
      </c>
      <c r="N640" s="14" t="s">
        <v>1631</v>
      </c>
      <c r="O640" s="11" t="str">
        <f>HYPERLINK("https://pbs.twimg.com/profile_images/671716880193859584/AKi9iaAf_normal.jpg","View")</f>
        <v>View</v>
      </c>
      <c r="P640" s="15"/>
    </row>
    <row r="641">
      <c r="A641" s="7">
        <v>42425.35030092593</v>
      </c>
      <c r="B641" s="8" t="str">
        <f>HYPERLINK("https://twitter.com/dataiku","@dataiku")</f>
        <v>@dataiku</v>
      </c>
      <c r="C641" s="10" t="s">
        <v>1632</v>
      </c>
      <c r="D641" s="10" t="s">
        <v>1633</v>
      </c>
      <c r="E641" s="11" t="str">
        <f>HYPERLINK("https://twitter.com/dataiku/status/702891914195017728","702891914195017728")</f>
        <v>702891914195017728</v>
      </c>
      <c r="F641" s="12" t="s">
        <v>294</v>
      </c>
      <c r="G641" s="13">
        <v>3443.0</v>
      </c>
      <c r="H641" s="13">
        <v>137.0</v>
      </c>
      <c r="I641" s="13">
        <v>8.0</v>
      </c>
      <c r="J641" s="13">
        <v>6.0</v>
      </c>
      <c r="K641" s="12" t="s">
        <v>21</v>
      </c>
      <c r="L641" s="7">
        <v>41162.9775</v>
      </c>
      <c r="M641" s="14" t="s">
        <v>241</v>
      </c>
      <c r="N641" s="14" t="s">
        <v>1634</v>
      </c>
      <c r="O641" s="11" t="str">
        <f>HYPERLINK("https://pbs.twimg.com/profile_images/703266586933764097/Xy8eks2C_normal.jpg","View")</f>
        <v>View</v>
      </c>
      <c r="P641" s="15"/>
    </row>
    <row r="642">
      <c r="A642" s="7">
        <v>42425.35035879629</v>
      </c>
      <c r="B642" s="8" t="str">
        <f>HYPERLINK("https://twitter.com/cmssupport247","@cmssupport247")</f>
        <v>@cmssupport247</v>
      </c>
      <c r="C642" s="10" t="s">
        <v>1635</v>
      </c>
      <c r="D642" s="10" t="s">
        <v>1636</v>
      </c>
      <c r="E642" s="11" t="str">
        <f>HYPERLINK("https://twitter.com/cmssupport247/status/702891935086686208","702891935086686208")</f>
        <v>702891935086686208</v>
      </c>
      <c r="F642" s="12" t="s">
        <v>20</v>
      </c>
      <c r="G642" s="13">
        <v>307.0</v>
      </c>
      <c r="H642" s="13">
        <v>2023.0</v>
      </c>
      <c r="I642" s="13">
        <v>0.0</v>
      </c>
      <c r="J642" s="13">
        <v>0.0</v>
      </c>
      <c r="K642" s="12" t="s">
        <v>21</v>
      </c>
      <c r="L642" s="7">
        <v>41998.005844907406</v>
      </c>
      <c r="M642" s="14" t="s">
        <v>34</v>
      </c>
      <c r="N642" s="14" t="s">
        <v>1637</v>
      </c>
      <c r="O642" s="11" t="str">
        <f>HYPERLINK("https://pbs.twimg.com/profile_images/550328440574849025/bBPoyil7_normal.png","View")</f>
        <v>View</v>
      </c>
      <c r="P642" s="15"/>
    </row>
    <row r="643">
      <c r="A643" s="7">
        <v>42425.35082175926</v>
      </c>
      <c r="B643" s="8" t="str">
        <f>HYPERLINK("https://twitter.com/RealPython","@RealPython")</f>
        <v>@RealPython</v>
      </c>
      <c r="C643" s="9" t="s">
        <v>1021</v>
      </c>
      <c r="D643" s="10" t="s">
        <v>1638</v>
      </c>
      <c r="E643" s="11" t="str">
        <f>HYPERLINK("https://twitter.com/RealPython/status/702892104666652672","702892104666652672")</f>
        <v>702892104666652672</v>
      </c>
      <c r="F643" s="12" t="s">
        <v>20</v>
      </c>
      <c r="G643" s="13">
        <v>5088.0</v>
      </c>
      <c r="H643" s="13">
        <v>39.0</v>
      </c>
      <c r="I643" s="13">
        <v>1.0</v>
      </c>
      <c r="J643" s="13">
        <v>1.0</v>
      </c>
      <c r="K643" s="12" t="s">
        <v>21</v>
      </c>
      <c r="L643" s="7">
        <v>41129.57270833333</v>
      </c>
      <c r="M643" s="16"/>
      <c r="N643" s="14" t="s">
        <v>1022</v>
      </c>
      <c r="O643" s="11" t="str">
        <f>HYPERLINK("https://pbs.twimg.com/profile_images/3312468366/129323224633d71286101d517a2f9817_normal.png","View")</f>
        <v>View</v>
      </c>
      <c r="P643" s="15"/>
    </row>
    <row r="644">
      <c r="A644" s="7">
        <v>42425.3509375</v>
      </c>
      <c r="B644" s="8" t="str">
        <f>HYPERLINK("https://twitter.com/radhikaostny","@radhikaostny")</f>
        <v>@radhikaostny</v>
      </c>
      <c r="C644" s="10" t="s">
        <v>1639</v>
      </c>
      <c r="D644" s="10" t="s">
        <v>1640</v>
      </c>
      <c r="E644" s="11" t="str">
        <f>HYPERLINK("https://twitter.com/radhikaostny/status/702892147922571264","702892147922571264")</f>
        <v>702892147922571264</v>
      </c>
      <c r="F644" s="12" t="s">
        <v>1258</v>
      </c>
      <c r="G644" s="13">
        <v>921.0</v>
      </c>
      <c r="H644" s="13">
        <v>861.0</v>
      </c>
      <c r="I644" s="13">
        <v>0.0</v>
      </c>
      <c r="J644" s="13">
        <v>0.0</v>
      </c>
      <c r="K644" s="12" t="s">
        <v>21</v>
      </c>
      <c r="L644" s="7">
        <v>41442.46157407407</v>
      </c>
      <c r="M644" s="14" t="s">
        <v>1018</v>
      </c>
      <c r="N644" s="14" t="s">
        <v>1641</v>
      </c>
      <c r="O644" s="11" t="str">
        <f>HYPERLINK("https://pbs.twimg.com/profile_images/463681258598309890/gAkNIqvj_normal.jpeg","View")</f>
        <v>View</v>
      </c>
      <c r="P644" s="15"/>
    </row>
    <row r="645">
      <c r="A645" s="7">
        <v>42425.35125</v>
      </c>
      <c r="B645" s="8" t="str">
        <f>HYPERLINK("https://twitter.com/cool_python","@cool_python")</f>
        <v>@cool_python</v>
      </c>
      <c r="C645" s="10" t="s">
        <v>249</v>
      </c>
      <c r="D645" s="10" t="s">
        <v>1642</v>
      </c>
      <c r="E645" s="11" t="str">
        <f>HYPERLINK("https://twitter.com/cool_python/status/702892261785407489","702892261785407489")</f>
        <v>702892261785407489</v>
      </c>
      <c r="F645" s="12" t="s">
        <v>251</v>
      </c>
      <c r="G645" s="13">
        <v>235.0</v>
      </c>
      <c r="H645" s="13">
        <v>91.0</v>
      </c>
      <c r="I645" s="13">
        <v>1.0</v>
      </c>
      <c r="J645" s="13">
        <v>0.0</v>
      </c>
      <c r="K645" s="12" t="s">
        <v>21</v>
      </c>
      <c r="L645" s="7">
        <v>42064.325</v>
      </c>
      <c r="M645" s="14" t="s">
        <v>252</v>
      </c>
      <c r="N645" s="14" t="s">
        <v>253</v>
      </c>
      <c r="O645" s="11" t="str">
        <f>HYPERLINK("https://pbs.twimg.com/profile_images/572091631055028224/Pkx__FSB_normal.png","View")</f>
        <v>View</v>
      </c>
      <c r="P645" s="15"/>
    </row>
    <row r="646">
      <c r="A646" s="7">
        <v>42425.35162037037</v>
      </c>
      <c r="B646" s="8" t="str">
        <f>HYPERLINK("https://twitter.com/shahingh","@shahingh")</f>
        <v>@shahingh</v>
      </c>
      <c r="C646" s="10" t="s">
        <v>1643</v>
      </c>
      <c r="D646" s="10" t="s">
        <v>1644</v>
      </c>
      <c r="E646" s="11" t="str">
        <f>HYPERLINK("https://twitter.com/shahingh/status/702892394224680961","702892394224680961")</f>
        <v>702892394224680961</v>
      </c>
      <c r="F646" s="12" t="s">
        <v>103</v>
      </c>
      <c r="G646" s="13">
        <v>1441.0</v>
      </c>
      <c r="H646" s="13">
        <v>413.0</v>
      </c>
      <c r="I646" s="13">
        <v>0.0</v>
      </c>
      <c r="J646" s="13">
        <v>3.0</v>
      </c>
      <c r="K646" s="12" t="s">
        <v>21</v>
      </c>
      <c r="L646" s="7">
        <v>40599.249247685184</v>
      </c>
      <c r="M646" s="14" t="s">
        <v>1645</v>
      </c>
      <c r="N646" s="14" t="s">
        <v>1646</v>
      </c>
      <c r="O646" s="11" t="str">
        <f>HYPERLINK("https://pbs.twimg.com/profile_images/702730111481737216/Qag2JsV5_normal.jpg","View")</f>
        <v>View</v>
      </c>
      <c r="P646" s="15"/>
    </row>
    <row r="647">
      <c r="A647" s="7">
        <v>42425.35214120371</v>
      </c>
      <c r="B647" s="8" t="str">
        <f>HYPERLINK("https://twitter.com/RealPython","@RealPython")</f>
        <v>@RealPython</v>
      </c>
      <c r="C647" s="9" t="s">
        <v>1021</v>
      </c>
      <c r="D647" s="10" t="s">
        <v>1647</v>
      </c>
      <c r="E647" s="11" t="str">
        <f>HYPERLINK("https://twitter.com/RealPython/status/702892584822112256","702892584822112256")</f>
        <v>702892584822112256</v>
      </c>
      <c r="F647" s="12" t="s">
        <v>20</v>
      </c>
      <c r="G647" s="13">
        <v>5088.0</v>
      </c>
      <c r="H647" s="13">
        <v>39.0</v>
      </c>
      <c r="I647" s="13">
        <v>4.0</v>
      </c>
      <c r="J647" s="13">
        <v>0.0</v>
      </c>
      <c r="K647" s="12" t="s">
        <v>21</v>
      </c>
      <c r="L647" s="7">
        <v>41129.57270833333</v>
      </c>
      <c r="M647" s="16"/>
      <c r="N647" s="14" t="s">
        <v>1022</v>
      </c>
      <c r="O647" s="11" t="str">
        <f>HYPERLINK("https://pbs.twimg.com/profile_images/3312468366/129323224633d71286101d517a2f9817_normal.png","View")</f>
        <v>View</v>
      </c>
      <c r="P647" s="15"/>
    </row>
    <row r="648">
      <c r="A648" s="7">
        <v>42425.352534722224</v>
      </c>
      <c r="B648" s="8" t="str">
        <f>HYPERLINK("https://twitter.com/PyBloggers","@PyBloggers")</f>
        <v>@PyBloggers</v>
      </c>
      <c r="C648" s="10" t="s">
        <v>1436</v>
      </c>
      <c r="D648" s="10" t="s">
        <v>1648</v>
      </c>
      <c r="E648" s="11" t="str">
        <f>HYPERLINK("https://twitter.com/PyBloggers/status/702892723704078337","702892723704078337")</f>
        <v>702892723704078337</v>
      </c>
      <c r="F648" s="12" t="s">
        <v>103</v>
      </c>
      <c r="G648" s="13">
        <v>140.0</v>
      </c>
      <c r="H648" s="13">
        <v>160.0</v>
      </c>
      <c r="I648" s="13">
        <v>0.0</v>
      </c>
      <c r="J648" s="13">
        <v>0.0</v>
      </c>
      <c r="K648" s="12" t="s">
        <v>21</v>
      </c>
      <c r="L648" s="7">
        <v>42353.56018518518</v>
      </c>
      <c r="M648" s="16"/>
      <c r="N648" s="14" t="s">
        <v>1438</v>
      </c>
      <c r="O648" s="11" t="str">
        <f>HYPERLINK("https://pbs.twimg.com/profile_images/682279186690621441/VjBmfdfj_normal.png","View")</f>
        <v>View</v>
      </c>
      <c r="P648" s="15"/>
    </row>
    <row r="649">
      <c r="A649" s="7">
        <v>42425.35259259259</v>
      </c>
      <c r="B649" s="8" t="str">
        <f>HYPERLINK("https://twitter.com/TheDailyTechHQ","@TheDailyTechHQ")</f>
        <v>@TheDailyTechHQ</v>
      </c>
      <c r="C649" s="10" t="s">
        <v>1649</v>
      </c>
      <c r="D649" s="10" t="s">
        <v>1650</v>
      </c>
      <c r="E649" s="11" t="str">
        <f>HYPERLINK("https://twitter.com/TheDailyTechHQ/status/702892745187332100","702892745187332100")</f>
        <v>702892745187332100</v>
      </c>
      <c r="F649" s="12" t="s">
        <v>294</v>
      </c>
      <c r="G649" s="13">
        <v>75.0</v>
      </c>
      <c r="H649" s="13">
        <v>1.0</v>
      </c>
      <c r="I649" s="13">
        <v>0.0</v>
      </c>
      <c r="J649" s="13">
        <v>0.0</v>
      </c>
      <c r="K649" s="12" t="s">
        <v>21</v>
      </c>
      <c r="L649" s="7">
        <v>40875.07071759259</v>
      </c>
      <c r="M649" s="16"/>
      <c r="N649" s="14" t="s">
        <v>1651</v>
      </c>
      <c r="O649" s="11" t="str">
        <f>HYPERLINK("https://pbs.twimg.com/profile_images/681515268846317568/WkCbnvKS_normal.jpg","View")</f>
        <v>View</v>
      </c>
      <c r="P649" s="15"/>
    </row>
    <row r="650">
      <c r="A650" s="7">
        <v>42425.35302083333</v>
      </c>
      <c r="B650" s="8" t="str">
        <f>HYPERLINK("https://twitter.com/julianaseu","@julianaseu")</f>
        <v>@julianaseu</v>
      </c>
      <c r="C650" s="10" t="s">
        <v>1652</v>
      </c>
      <c r="D650" s="10" t="s">
        <v>1653</v>
      </c>
      <c r="E650" s="11" t="str">
        <f>HYPERLINK("https://twitter.com/julianaseu/status/702892899483176960","702892899483176960")</f>
        <v>702892899483176960</v>
      </c>
      <c r="F650" s="12" t="s">
        <v>152</v>
      </c>
      <c r="G650" s="13">
        <v>209.0</v>
      </c>
      <c r="H650" s="13">
        <v>145.0</v>
      </c>
      <c r="I650" s="13">
        <v>8.0</v>
      </c>
      <c r="J650" s="13">
        <v>0.0</v>
      </c>
      <c r="K650" s="12" t="s">
        <v>21</v>
      </c>
      <c r="L650" s="7">
        <v>40216.33519675926</v>
      </c>
      <c r="M650" s="14" t="s">
        <v>1654</v>
      </c>
      <c r="N650" s="14" t="s">
        <v>1655</v>
      </c>
      <c r="O650" s="11" t="str">
        <f>HYPERLINK("https://pbs.twimg.com/profile_images/580413138891382785/yDJj-8tb_normal.jpg","View")</f>
        <v>View</v>
      </c>
      <c r="P650" s="15"/>
    </row>
    <row r="651">
      <c r="A651" s="7">
        <v>42425.35332175926</v>
      </c>
      <c r="B651" s="8" t="str">
        <f t="shared" ref="B651:B653" si="53">HYPERLINK("https://twitter.com/programmingncr","@programmingncr")</f>
        <v>@programmingncr</v>
      </c>
      <c r="C651" s="10" t="s">
        <v>262</v>
      </c>
      <c r="D651" s="10" t="s">
        <v>1656</v>
      </c>
      <c r="E651" s="11" t="str">
        <f>HYPERLINK("https://twitter.com/programmingncr/status/702893010963537920","702893010963537920")</f>
        <v>702893010963537920</v>
      </c>
      <c r="F651" s="12" t="s">
        <v>103</v>
      </c>
      <c r="G651" s="13">
        <v>328.0</v>
      </c>
      <c r="H651" s="13">
        <v>99.0</v>
      </c>
      <c r="I651" s="13">
        <v>0.0</v>
      </c>
      <c r="J651" s="13">
        <v>1.0</v>
      </c>
      <c r="K651" s="12" t="s">
        <v>21</v>
      </c>
      <c r="L651" s="7">
        <v>42220.86634259259</v>
      </c>
      <c r="M651" s="14" t="s">
        <v>264</v>
      </c>
      <c r="N651" s="14" t="s">
        <v>265</v>
      </c>
      <c r="O651" s="11" t="str">
        <f t="shared" ref="O651:O653" si="54">HYPERLINK("https://pbs.twimg.com/profile_images/662602436222193664/qKuvsfnG_normal.jpg","View")</f>
        <v>View</v>
      </c>
      <c r="P651" s="15"/>
    </row>
    <row r="652">
      <c r="A652" s="7">
        <v>42425.35332175926</v>
      </c>
      <c r="B652" s="8" t="str">
        <f t="shared" si="53"/>
        <v>@programmingncr</v>
      </c>
      <c r="C652" s="10" t="s">
        <v>262</v>
      </c>
      <c r="D652" s="10" t="s">
        <v>1657</v>
      </c>
      <c r="E652" s="11" t="str">
        <f>HYPERLINK("https://twitter.com/programmingncr/status/702893012200849408","702893012200849408")</f>
        <v>702893012200849408</v>
      </c>
      <c r="F652" s="12" t="s">
        <v>103</v>
      </c>
      <c r="G652" s="13">
        <v>328.0</v>
      </c>
      <c r="H652" s="13">
        <v>99.0</v>
      </c>
      <c r="I652" s="13">
        <v>0.0</v>
      </c>
      <c r="J652" s="13">
        <v>0.0</v>
      </c>
      <c r="K652" s="12" t="s">
        <v>21</v>
      </c>
      <c r="L652" s="7">
        <v>42220.86634259259</v>
      </c>
      <c r="M652" s="14" t="s">
        <v>264</v>
      </c>
      <c r="N652" s="14" t="s">
        <v>265</v>
      </c>
      <c r="O652" s="11" t="str">
        <f t="shared" si="54"/>
        <v>View</v>
      </c>
      <c r="P652" s="15"/>
    </row>
    <row r="653">
      <c r="A653" s="7">
        <v>42425.35333333333</v>
      </c>
      <c r="B653" s="8" t="str">
        <f t="shared" si="53"/>
        <v>@programmingncr</v>
      </c>
      <c r="C653" s="10" t="s">
        <v>262</v>
      </c>
      <c r="D653" s="10" t="s">
        <v>1658</v>
      </c>
      <c r="E653" s="11" t="str">
        <f>HYPERLINK("https://twitter.com/programmingncr/status/702893013505331201","702893013505331201")</f>
        <v>702893013505331201</v>
      </c>
      <c r="F653" s="12" t="s">
        <v>103</v>
      </c>
      <c r="G653" s="13">
        <v>328.0</v>
      </c>
      <c r="H653" s="13">
        <v>99.0</v>
      </c>
      <c r="I653" s="13">
        <v>0.0</v>
      </c>
      <c r="J653" s="13">
        <v>0.0</v>
      </c>
      <c r="K653" s="12" t="s">
        <v>21</v>
      </c>
      <c r="L653" s="7">
        <v>42220.86634259259</v>
      </c>
      <c r="M653" s="14" t="s">
        <v>264</v>
      </c>
      <c r="N653" s="14" t="s">
        <v>265</v>
      </c>
      <c r="O653" s="11" t="str">
        <f t="shared" si="54"/>
        <v>View</v>
      </c>
      <c r="P653" s="15"/>
    </row>
    <row r="654">
      <c r="A654" s="7">
        <v>42425.3534375</v>
      </c>
      <c r="B654" s="8" t="str">
        <f>HYPERLINK("https://twitter.com/renato_umeton","@renato_umeton")</f>
        <v>@renato_umeton</v>
      </c>
      <c r="C654" s="10" t="s">
        <v>1659</v>
      </c>
      <c r="D654" s="10" t="s">
        <v>1653</v>
      </c>
      <c r="E654" s="11" t="str">
        <f>HYPERLINK("https://twitter.com/renato_umeton/status/702893054135574530","702893054135574530")</f>
        <v>702893054135574530</v>
      </c>
      <c r="F654" s="12" t="s">
        <v>38</v>
      </c>
      <c r="G654" s="13">
        <v>71.0</v>
      </c>
      <c r="H654" s="13">
        <v>79.0</v>
      </c>
      <c r="I654" s="13">
        <v>8.0</v>
      </c>
      <c r="J654" s="13">
        <v>0.0</v>
      </c>
      <c r="K654" s="12" t="s">
        <v>21</v>
      </c>
      <c r="L654" s="7">
        <v>39918.052083333336</v>
      </c>
      <c r="M654" s="14" t="s">
        <v>1660</v>
      </c>
      <c r="N654" s="14" t="s">
        <v>1661</v>
      </c>
      <c r="O654" s="11" t="str">
        <f>HYPERLINK("https://pbs.twimg.com/profile_images/701553083537604608/nr8b38eG_normal.jpg","View")</f>
        <v>View</v>
      </c>
      <c r="P654" s="15"/>
    </row>
    <row r="655">
      <c r="A655" s="7">
        <v>42425.35371527778</v>
      </c>
      <c r="B655" s="8" t="str">
        <f>HYPERLINK("https://twitter.com/queirozMario21","@queirozMario21")</f>
        <v>@queirozMario21</v>
      </c>
      <c r="C655" s="10" t="s">
        <v>1662</v>
      </c>
      <c r="D655" s="10" t="s">
        <v>1461</v>
      </c>
      <c r="E655" s="11" t="str">
        <f>HYPERLINK("https://twitter.com/queirozMario21/status/702893151552462849","702893151552462849")</f>
        <v>702893151552462849</v>
      </c>
      <c r="F655" s="12" t="s">
        <v>20</v>
      </c>
      <c r="G655" s="13">
        <v>211.0</v>
      </c>
      <c r="H655" s="13">
        <v>413.0</v>
      </c>
      <c r="I655" s="13">
        <v>17.0</v>
      </c>
      <c r="J655" s="13">
        <v>0.0</v>
      </c>
      <c r="K655" s="12" t="s">
        <v>21</v>
      </c>
      <c r="L655" s="7">
        <v>41957.232557870375</v>
      </c>
      <c r="M655" s="14" t="s">
        <v>1663</v>
      </c>
      <c r="N655" s="14" t="s">
        <v>1664</v>
      </c>
      <c r="O655" s="11" t="str">
        <f>HYPERLINK("https://pbs.twimg.com/profile_images/588723531204194304/PbtONEcW_normal.jpg","View")</f>
        <v>View</v>
      </c>
      <c r="P655" s="15"/>
    </row>
    <row r="656">
      <c r="A656" s="7">
        <v>42425.353842592594</v>
      </c>
      <c r="B656" s="8" t="str">
        <f>HYPERLINK("https://twitter.com/HartwigMicheal","@HartwigMicheal")</f>
        <v>@HartwigMicheal</v>
      </c>
      <c r="C656" s="10" t="s">
        <v>842</v>
      </c>
      <c r="D656" s="10" t="s">
        <v>1665</v>
      </c>
      <c r="E656" s="11" t="str">
        <f>HYPERLINK("https://twitter.com/HartwigMicheal/status/702893201150099456","702893201150099456")</f>
        <v>702893201150099456</v>
      </c>
      <c r="F656" s="12" t="s">
        <v>103</v>
      </c>
      <c r="G656" s="13">
        <v>541.0</v>
      </c>
      <c r="H656" s="13">
        <v>830.0</v>
      </c>
      <c r="I656" s="13">
        <v>0.0</v>
      </c>
      <c r="J656" s="13">
        <v>0.0</v>
      </c>
      <c r="K656" s="12" t="s">
        <v>21</v>
      </c>
      <c r="L656" s="7">
        <v>42362.00148148148</v>
      </c>
      <c r="M656" s="14" t="s">
        <v>844</v>
      </c>
      <c r="N656" s="14" t="s">
        <v>845</v>
      </c>
      <c r="O656" s="11" t="str">
        <f>HYPERLINK("https://pbs.twimg.com/profile_images/679948461953781761/pDo9356K_normal.jpg","View")</f>
        <v>View</v>
      </c>
      <c r="P656" s="15"/>
    </row>
    <row r="657">
      <c r="A657" s="7">
        <v>42425.35412037037</v>
      </c>
      <c r="B657" s="8" t="str">
        <f>HYPERLINK("https://twitter.com/mazlumagar","@mazlumagar")</f>
        <v>@mazlumagar</v>
      </c>
      <c r="C657" s="10" t="s">
        <v>1666</v>
      </c>
      <c r="D657" s="10" t="s">
        <v>752</v>
      </c>
      <c r="E657" s="11" t="str">
        <f>HYPERLINK("https://twitter.com/mazlumagar/status/702893298843848704","702893298843848704")</f>
        <v>702893298843848704</v>
      </c>
      <c r="F657" s="12" t="s">
        <v>20</v>
      </c>
      <c r="G657" s="13">
        <v>384.0</v>
      </c>
      <c r="H657" s="13">
        <v>283.0</v>
      </c>
      <c r="I657" s="13">
        <v>7.0</v>
      </c>
      <c r="J657" s="13">
        <v>0.0</v>
      </c>
      <c r="K657" s="12" t="s">
        <v>21</v>
      </c>
      <c r="L657" s="7">
        <v>40375.0203587963</v>
      </c>
      <c r="M657" s="16"/>
      <c r="N657" s="14" t="s">
        <v>1667</v>
      </c>
      <c r="O657" s="11" t="str">
        <f>HYPERLINK("https://pbs.twimg.com/profile_images/588370356437553153/5LxPz5Go_normal.jpg","View")</f>
        <v>View</v>
      </c>
      <c r="P657" s="15"/>
    </row>
    <row r="658">
      <c r="A658" s="7">
        <v>42425.35420138889</v>
      </c>
      <c r="B658" s="8" t="str">
        <f>HYPERLINK("https://twitter.com/JoshuaLongUK","@JoshuaLongUK")</f>
        <v>@JoshuaLongUK</v>
      </c>
      <c r="C658" s="10" t="s">
        <v>101</v>
      </c>
      <c r="D658" s="10" t="s">
        <v>1668</v>
      </c>
      <c r="E658" s="11" t="str">
        <f>HYPERLINK("https://twitter.com/JoshuaLongUK/status/702893327583191041","702893327583191041")</f>
        <v>702893327583191041</v>
      </c>
      <c r="F658" s="12" t="s">
        <v>103</v>
      </c>
      <c r="G658" s="13">
        <v>25832.0</v>
      </c>
      <c r="H658" s="13">
        <v>93.0</v>
      </c>
      <c r="I658" s="13">
        <v>0.0</v>
      </c>
      <c r="J658" s="13">
        <v>0.0</v>
      </c>
      <c r="K658" s="12" t="s">
        <v>21</v>
      </c>
      <c r="L658" s="7">
        <v>41149.39659722222</v>
      </c>
      <c r="M658" s="14" t="s">
        <v>104</v>
      </c>
      <c r="N658" s="14" t="s">
        <v>105</v>
      </c>
      <c r="O658" s="11" t="str">
        <f>HYPERLINK("https://pbs.twimg.com/profile_images/627996138403168256/DaASdgVr_normal.jpg","View")</f>
        <v>View</v>
      </c>
      <c r="P658" s="15"/>
    </row>
    <row r="659">
      <c r="A659" s="7">
        <v>42425.35429398148</v>
      </c>
      <c r="B659" s="8" t="str">
        <f>HYPERLINK("https://twitter.com/mpdesignerwear","@mpdesignerwear")</f>
        <v>@mpdesignerwear</v>
      </c>
      <c r="C659" s="9" t="s">
        <v>1669</v>
      </c>
      <c r="D659" s="10" t="s">
        <v>1670</v>
      </c>
      <c r="E659" s="11" t="str">
        <f>HYPERLINK("https://twitter.com/mpdesignerwear/status/702893362744049664","702893362744049664")</f>
        <v>702893362744049664</v>
      </c>
      <c r="F659" s="12" t="s">
        <v>20</v>
      </c>
      <c r="G659" s="13">
        <v>18778.0</v>
      </c>
      <c r="H659" s="13">
        <v>18584.0</v>
      </c>
      <c r="I659" s="13">
        <v>6.0</v>
      </c>
      <c r="J659" s="13">
        <v>2.0</v>
      </c>
      <c r="K659" s="12" t="s">
        <v>21</v>
      </c>
      <c r="L659" s="7">
        <v>40957.50696759259</v>
      </c>
      <c r="M659" s="16"/>
      <c r="N659" s="14" t="s">
        <v>1671</v>
      </c>
      <c r="O659" s="11" t="str">
        <f>HYPERLINK("https://pbs.twimg.com/profile_images/669168929663787008/9xsi5DQy_normal.png","View")</f>
        <v>View</v>
      </c>
      <c r="P659" s="15"/>
    </row>
    <row r="660">
      <c r="A660" s="7">
        <v>42425.35434027778</v>
      </c>
      <c r="B660" s="8" t="str">
        <f>HYPERLINK("https://twitter.com/tthus","@tthus")</f>
        <v>@tthus</v>
      </c>
      <c r="C660" s="10" t="s">
        <v>1672</v>
      </c>
      <c r="D660" s="10" t="s">
        <v>1653</v>
      </c>
      <c r="E660" s="11" t="str">
        <f>HYPERLINK("https://twitter.com/tthus/status/702893380452360192","702893380452360192")</f>
        <v>702893380452360192</v>
      </c>
      <c r="F660" s="12" t="s">
        <v>52</v>
      </c>
      <c r="G660" s="13">
        <v>2082.0</v>
      </c>
      <c r="H660" s="13">
        <v>4999.0</v>
      </c>
      <c r="I660" s="13">
        <v>8.0</v>
      </c>
      <c r="J660" s="13">
        <v>0.0</v>
      </c>
      <c r="K660" s="12" t="s">
        <v>21</v>
      </c>
      <c r="L660" s="7">
        <v>39960.30322916667</v>
      </c>
      <c r="M660" s="14" t="s">
        <v>462</v>
      </c>
      <c r="N660" s="14" t="s">
        <v>1673</v>
      </c>
      <c r="O660" s="11" t="str">
        <f>HYPERLINK("https://pbs.twimg.com/profile_images/1798900601/Twit_profil_normal.jpg","View")</f>
        <v>View</v>
      </c>
      <c r="P660" s="15"/>
    </row>
    <row r="661">
      <c r="A661" s="7">
        <v>42425.354374999995</v>
      </c>
      <c r="B661" s="8" t="str">
        <f>HYPERLINK("https://twitter.com/JobHero_io","@JobHero_io")</f>
        <v>@JobHero_io</v>
      </c>
      <c r="C661" s="9" t="s">
        <v>944</v>
      </c>
      <c r="D661" s="10" t="s">
        <v>1674</v>
      </c>
      <c r="E661" s="11" t="str">
        <f>HYPERLINK("https://twitter.com/JobHero_io/status/702893390636175364","702893390636175364")</f>
        <v>702893390636175364</v>
      </c>
      <c r="F661" s="12" t="s">
        <v>294</v>
      </c>
      <c r="G661" s="13">
        <v>6512.0</v>
      </c>
      <c r="H661" s="13">
        <v>2486.0</v>
      </c>
      <c r="I661" s="13">
        <v>2.0</v>
      </c>
      <c r="J661" s="13">
        <v>1.0</v>
      </c>
      <c r="K661" s="12" t="s">
        <v>21</v>
      </c>
      <c r="L661" s="7">
        <v>41057.667650462965</v>
      </c>
      <c r="M661" s="14" t="s">
        <v>946</v>
      </c>
      <c r="N661" s="14" t="s">
        <v>947</v>
      </c>
      <c r="O661" s="11" t="str">
        <f>HYPERLINK("https://pbs.twimg.com/profile_images/609201325046280192/WqwLYJNg_normal.jpg","View")</f>
        <v>View</v>
      </c>
      <c r="P661" s="15"/>
    </row>
    <row r="662">
      <c r="A662" s="7">
        <v>42425.35444444444</v>
      </c>
      <c r="B662" s="8" t="str">
        <f>HYPERLINK("https://twitter.com/MTotolrahaman","@MTotolrahaman")</f>
        <v>@MTotolrahaman</v>
      </c>
      <c r="C662" s="10" t="s">
        <v>848</v>
      </c>
      <c r="D662" s="10" t="s">
        <v>1675</v>
      </c>
      <c r="E662" s="11" t="str">
        <f>HYPERLINK("https://twitter.com/MTotolrahaman/status/702893419312627714","702893419312627714")</f>
        <v>702893419312627714</v>
      </c>
      <c r="F662" s="12" t="s">
        <v>103</v>
      </c>
      <c r="G662" s="13">
        <v>766.0</v>
      </c>
      <c r="H662" s="13">
        <v>846.0</v>
      </c>
      <c r="I662" s="13">
        <v>0.0</v>
      </c>
      <c r="J662" s="13">
        <v>0.0</v>
      </c>
      <c r="K662" s="12" t="s">
        <v>21</v>
      </c>
      <c r="L662" s="7">
        <v>42355.250798611116</v>
      </c>
      <c r="M662" s="14" t="s">
        <v>850</v>
      </c>
      <c r="N662" s="14" t="s">
        <v>851</v>
      </c>
      <c r="O662" s="11" t="str">
        <f>HYPERLINK("https://pbs.twimg.com/profile_images/677493910256484352/-EdVaVPl_normal.jpg","View")</f>
        <v>View</v>
      </c>
      <c r="P662" s="15"/>
    </row>
    <row r="663">
      <c r="A663" s="7">
        <v>42425.356041666666</v>
      </c>
      <c r="B663" s="8" t="str">
        <f>HYPERLINK("https://twitter.com/Living_Variable","@Living_Variable")</f>
        <v>@Living_Variable</v>
      </c>
      <c r="C663" s="10" t="s">
        <v>1676</v>
      </c>
      <c r="D663" s="10" t="s">
        <v>1575</v>
      </c>
      <c r="E663" s="11" t="str">
        <f>HYPERLINK("https://twitter.com/Living_Variable/status/702893996528562179","702893996528562179")</f>
        <v>702893996528562179</v>
      </c>
      <c r="F663" s="12" t="s">
        <v>152</v>
      </c>
      <c r="G663" s="13">
        <v>116.0</v>
      </c>
      <c r="H663" s="13">
        <v>264.0</v>
      </c>
      <c r="I663" s="13">
        <v>9.0</v>
      </c>
      <c r="J663" s="13">
        <v>0.0</v>
      </c>
      <c r="K663" s="12" t="s">
        <v>21</v>
      </c>
      <c r="L663" s="7">
        <v>42098.45077546296</v>
      </c>
      <c r="M663" s="14" t="s">
        <v>283</v>
      </c>
      <c r="N663" s="14" t="s">
        <v>1677</v>
      </c>
      <c r="O663" s="11" t="str">
        <f>HYPERLINK("https://pbs.twimg.com/profile_images/699680013088485376/w-mE_mx7_normal.jpg","View")</f>
        <v>View</v>
      </c>
      <c r="P663" s="15"/>
    </row>
    <row r="664">
      <c r="A664" s="7">
        <v>42425.356215277774</v>
      </c>
      <c r="B664" s="8" t="str">
        <f>HYPERLINK("https://twitter.com/art_control","@art_control")</f>
        <v>@art_control</v>
      </c>
      <c r="C664" s="10" t="s">
        <v>309</v>
      </c>
      <c r="D664" s="10" t="s">
        <v>1678</v>
      </c>
      <c r="E664" s="11" t="str">
        <f>HYPERLINK("https://twitter.com/art_control/status/702894060554551296","702894060554551296")</f>
        <v>702894060554551296</v>
      </c>
      <c r="F664" s="12" t="s">
        <v>311</v>
      </c>
      <c r="G664" s="13">
        <v>989.0</v>
      </c>
      <c r="H664" s="13">
        <v>850.0</v>
      </c>
      <c r="I664" s="13">
        <v>0.0</v>
      </c>
      <c r="J664" s="13">
        <v>0.0</v>
      </c>
      <c r="K664" s="12" t="s">
        <v>21</v>
      </c>
      <c r="L664" s="7">
        <v>39896.869675925926</v>
      </c>
      <c r="M664" s="14" t="s">
        <v>312</v>
      </c>
      <c r="N664" s="14" t="s">
        <v>313</v>
      </c>
      <c r="O664" s="11" t="str">
        <f>HYPERLINK("https://pbs.twimg.com/profile_images/649004216690675712/UAcrP6ol_normal.png","View")</f>
        <v>View</v>
      </c>
      <c r="P664" s="15"/>
    </row>
    <row r="665">
      <c r="A665" s="7">
        <v>42425.356574074074</v>
      </c>
      <c r="B665" s="8" t="str">
        <f>HYPERLINK("https://twitter.com/mjxg","@mjxg")</f>
        <v>@mjxg</v>
      </c>
      <c r="C665" s="10" t="s">
        <v>1679</v>
      </c>
      <c r="D665" s="10" t="s">
        <v>1212</v>
      </c>
      <c r="E665" s="11" t="str">
        <f>HYPERLINK("https://twitter.com/mjxg/status/702894189428809729","702894189428809729")</f>
        <v>702894189428809729</v>
      </c>
      <c r="F665" s="12" t="s">
        <v>20</v>
      </c>
      <c r="G665" s="13">
        <v>494.0</v>
      </c>
      <c r="H665" s="13">
        <v>301.0</v>
      </c>
      <c r="I665" s="13">
        <v>24.0</v>
      </c>
      <c r="J665" s="13">
        <v>0.0</v>
      </c>
      <c r="K665" s="12" t="s">
        <v>21</v>
      </c>
      <c r="L665" s="7">
        <v>39121.90342592593</v>
      </c>
      <c r="M665" s="14" t="s">
        <v>1680</v>
      </c>
      <c r="N665" s="14" t="s">
        <v>1681</v>
      </c>
      <c r="O665" s="11" t="str">
        <f>HYPERLINK("https://pbs.twimg.com/profile_images/593105328654446594/HlHiqgMo_normal.jpg","View")</f>
        <v>View</v>
      </c>
      <c r="P665" s="15"/>
    </row>
    <row r="666">
      <c r="A666" s="7">
        <v>42425.35659722222</v>
      </c>
      <c r="B666" s="8" t="str">
        <f>HYPERLINK("https://twitter.com/LynnColeridge","@LynnColeridge")</f>
        <v>@LynnColeridge</v>
      </c>
      <c r="C666" s="10" t="s">
        <v>1682</v>
      </c>
      <c r="D666" s="10" t="s">
        <v>1683</v>
      </c>
      <c r="E666" s="11" t="str">
        <f>HYPERLINK("https://twitter.com/LynnColeridge/status/702894198404440064","702894198404440064")</f>
        <v>702894198404440064</v>
      </c>
      <c r="F666" s="12" t="s">
        <v>152</v>
      </c>
      <c r="G666" s="13">
        <v>221.0</v>
      </c>
      <c r="H666" s="13">
        <v>504.0</v>
      </c>
      <c r="I666" s="13">
        <v>2.0</v>
      </c>
      <c r="J666" s="13">
        <v>0.0</v>
      </c>
      <c r="K666" s="12" t="s">
        <v>21</v>
      </c>
      <c r="L666" s="7">
        <v>40211.900983796295</v>
      </c>
      <c r="M666" s="14" t="s">
        <v>1684</v>
      </c>
      <c r="N666" s="14" t="s">
        <v>1685</v>
      </c>
      <c r="O666" s="11" t="str">
        <f>HYPERLINK("https://pbs.twimg.com/profile_images/611040842225061888/M69qednl_normal.png","View")</f>
        <v>View</v>
      </c>
      <c r="P666" s="15"/>
    </row>
    <row r="667">
      <c r="A667" s="7">
        <v>42425.35671296297</v>
      </c>
      <c r="B667" s="8" t="str">
        <f>HYPERLINK("https://twitter.com/bannedit0","@bannedit0")</f>
        <v>@bannedit0</v>
      </c>
      <c r="C667" s="10" t="s">
        <v>1686</v>
      </c>
      <c r="D667" s="10" t="s">
        <v>1212</v>
      </c>
      <c r="E667" s="11" t="str">
        <f>HYPERLINK("https://twitter.com/bannedit0/status/702894237512245248","702894237512245248")</f>
        <v>702894237512245248</v>
      </c>
      <c r="F667" s="12" t="s">
        <v>20</v>
      </c>
      <c r="G667" s="13">
        <v>2394.0</v>
      </c>
      <c r="H667" s="13">
        <v>688.0</v>
      </c>
      <c r="I667" s="13">
        <v>24.0</v>
      </c>
      <c r="J667" s="13">
        <v>0.0</v>
      </c>
      <c r="K667" s="12" t="s">
        <v>21</v>
      </c>
      <c r="L667" s="7">
        <v>40604.10671296297</v>
      </c>
      <c r="M667" s="16"/>
      <c r="N667" s="14" t="s">
        <v>1687</v>
      </c>
      <c r="O667" s="11" t="str">
        <f>HYPERLINK("https://pbs.twimg.com/profile_images/2494893844/sohn005u2p2k2zy35s28_normal.jpeg","View")</f>
        <v>View</v>
      </c>
      <c r="P667" s="15"/>
    </row>
    <row r="668">
      <c r="A668" s="7">
        <v>42425.356828703705</v>
      </c>
      <c r="B668" s="8" t="str">
        <f>HYPERLINK("https://twitter.com/Sentia_UK","@Sentia_UK")</f>
        <v>@Sentia_UK</v>
      </c>
      <c r="C668" s="10" t="s">
        <v>1688</v>
      </c>
      <c r="D668" s="10" t="s">
        <v>1689</v>
      </c>
      <c r="E668" s="11" t="str">
        <f>HYPERLINK("https://twitter.com/Sentia_UK/status/702894283456692225","702894283456692225")</f>
        <v>702894283456692225</v>
      </c>
      <c r="F668" s="12" t="s">
        <v>38</v>
      </c>
      <c r="G668" s="13">
        <v>13498.0</v>
      </c>
      <c r="H668" s="13">
        <v>13310.0</v>
      </c>
      <c r="I668" s="13">
        <v>6.0</v>
      </c>
      <c r="J668" s="13">
        <v>0.0</v>
      </c>
      <c r="K668" s="12" t="s">
        <v>21</v>
      </c>
      <c r="L668" s="7">
        <v>41928.37876157407</v>
      </c>
      <c r="M668" s="14" t="s">
        <v>1690</v>
      </c>
      <c r="N668" s="14" t="s">
        <v>1691</v>
      </c>
      <c r="O668" s="11" t="str">
        <f>HYPERLINK("https://pbs.twimg.com/profile_images/686454848892604418/XuwBojF-_normal.jpg","View")</f>
        <v>View</v>
      </c>
      <c r="P668" s="15"/>
    </row>
    <row r="669">
      <c r="A669" s="7">
        <v>42425.35685185185</v>
      </c>
      <c r="B669" s="8" t="str">
        <f>HYPERLINK("https://twitter.com/rahulgchaudhary","@rahulgchaudhary")</f>
        <v>@rahulgchaudhary</v>
      </c>
      <c r="C669" s="10" t="s">
        <v>1692</v>
      </c>
      <c r="D669" s="10" t="s">
        <v>1647</v>
      </c>
      <c r="E669" s="11" t="str">
        <f>HYPERLINK("https://twitter.com/rahulgchaudhary/status/702894289232252928","702894289232252928")</f>
        <v>702894289232252928</v>
      </c>
      <c r="F669" s="12" t="s">
        <v>20</v>
      </c>
      <c r="G669" s="13">
        <v>951.0</v>
      </c>
      <c r="H669" s="13">
        <v>142.0</v>
      </c>
      <c r="I669" s="13">
        <v>4.0</v>
      </c>
      <c r="J669" s="13">
        <v>0.0</v>
      </c>
      <c r="K669" s="12" t="s">
        <v>21</v>
      </c>
      <c r="L669" s="7">
        <v>40144.942662037036</v>
      </c>
      <c r="M669" s="14" t="s">
        <v>1693</v>
      </c>
      <c r="N669" s="14" t="s">
        <v>1694</v>
      </c>
      <c r="O669" s="11" t="str">
        <f>HYPERLINK("https://pbs.twimg.com/profile_images/1816885964/image1328857964_normal.png","View")</f>
        <v>View</v>
      </c>
      <c r="P669" s="15"/>
    </row>
    <row r="670">
      <c r="A670" s="7">
        <v>42425.35695601851</v>
      </c>
      <c r="B670" s="8" t="str">
        <f>HYPERLINK("https://twitter.com/LynnColeridge","@LynnColeridge")</f>
        <v>@LynnColeridge</v>
      </c>
      <c r="C670" s="10" t="s">
        <v>1682</v>
      </c>
      <c r="D670" s="10" t="s">
        <v>1575</v>
      </c>
      <c r="E670" s="11" t="str">
        <f>HYPERLINK("https://twitter.com/LynnColeridge/status/702894328553672704","702894328553672704")</f>
        <v>702894328553672704</v>
      </c>
      <c r="F670" s="12" t="s">
        <v>152</v>
      </c>
      <c r="G670" s="13">
        <v>221.0</v>
      </c>
      <c r="H670" s="13">
        <v>504.0</v>
      </c>
      <c r="I670" s="13">
        <v>9.0</v>
      </c>
      <c r="J670" s="13">
        <v>0.0</v>
      </c>
      <c r="K670" s="12" t="s">
        <v>21</v>
      </c>
      <c r="L670" s="7">
        <v>40211.900983796295</v>
      </c>
      <c r="M670" s="14" t="s">
        <v>1684</v>
      </c>
      <c r="N670" s="14" t="s">
        <v>1685</v>
      </c>
      <c r="O670" s="11" t="str">
        <f>HYPERLINK("https://pbs.twimg.com/profile_images/611040842225061888/M69qednl_normal.png","View")</f>
        <v>View</v>
      </c>
      <c r="P670" s="15"/>
    </row>
    <row r="671">
      <c r="A671" s="7">
        <v>42425.35824074074</v>
      </c>
      <c r="B671" s="8" t="str">
        <f>HYPERLINK("https://twitter.com/isimarjeetsingh","@isimarjeetsingh")</f>
        <v>@isimarjeetsingh</v>
      </c>
      <c r="C671" s="10" t="s">
        <v>1695</v>
      </c>
      <c r="D671" s="10" t="s">
        <v>1575</v>
      </c>
      <c r="E671" s="11" t="str">
        <f>HYPERLINK("https://twitter.com/isimarjeetsingh/status/702894792108331008","702894792108331008")</f>
        <v>702894792108331008</v>
      </c>
      <c r="F671" s="12" t="s">
        <v>1696</v>
      </c>
      <c r="G671" s="13">
        <v>127.0</v>
      </c>
      <c r="H671" s="13">
        <v>33.0</v>
      </c>
      <c r="I671" s="13">
        <v>9.0</v>
      </c>
      <c r="J671" s="13">
        <v>0.0</v>
      </c>
      <c r="K671" s="12" t="s">
        <v>21</v>
      </c>
      <c r="L671" s="7">
        <v>40432.44851851852</v>
      </c>
      <c r="M671" s="14" t="s">
        <v>1697</v>
      </c>
      <c r="N671" s="16"/>
      <c r="O671" s="11" t="str">
        <f>HYPERLINK("https://pbs.twimg.com/profile_images/1410657635/gjuihiuhihioh_normal.JPG","View")</f>
        <v>View</v>
      </c>
      <c r="P671" s="15"/>
    </row>
    <row r="672">
      <c r="A672" s="7">
        <v>42425.359502314815</v>
      </c>
      <c r="B672" s="8" t="str">
        <f>HYPERLINK("https://twitter.com/BlakePrograms","@BlakePrograms")</f>
        <v>@BlakePrograms</v>
      </c>
      <c r="C672" s="10" t="s">
        <v>1698</v>
      </c>
      <c r="D672" s="10" t="s">
        <v>1699</v>
      </c>
      <c r="E672" s="11" t="str">
        <f>HYPERLINK("https://twitter.com/BlakePrograms/status/702895250596110336","702895250596110336")</f>
        <v>702895250596110336</v>
      </c>
      <c r="F672" s="12" t="s">
        <v>52</v>
      </c>
      <c r="G672" s="13">
        <v>12.0</v>
      </c>
      <c r="H672" s="13">
        <v>59.0</v>
      </c>
      <c r="I672" s="13">
        <v>0.0</v>
      </c>
      <c r="J672" s="13">
        <v>1.0</v>
      </c>
      <c r="K672" s="12" t="s">
        <v>21</v>
      </c>
      <c r="L672" s="7">
        <v>42385.3253587963</v>
      </c>
      <c r="M672" s="16"/>
      <c r="N672" s="14" t="s">
        <v>1700</v>
      </c>
      <c r="O672" s="11" t="str">
        <f>HYPERLINK("https://pbs.twimg.com/profile_images/696082242074968064/RghbdnLe_normal.jpg","View")</f>
        <v>View</v>
      </c>
      <c r="P672" s="15"/>
    </row>
    <row r="673">
      <c r="A673" s="7">
        <v>42425.359826388885</v>
      </c>
      <c r="B673" s="8" t="str">
        <f>HYPERLINK("https://twitter.com/nipun_batra","@nipun_batra")</f>
        <v>@nipun_batra</v>
      </c>
      <c r="C673" s="10" t="s">
        <v>1701</v>
      </c>
      <c r="D673" s="10" t="s">
        <v>1570</v>
      </c>
      <c r="E673" s="11" t="str">
        <f>HYPERLINK("https://twitter.com/nipun_batra/status/702895367658995712","702895367658995712")</f>
        <v>702895367658995712</v>
      </c>
      <c r="F673" s="12" t="s">
        <v>20</v>
      </c>
      <c r="G673" s="13">
        <v>322.0</v>
      </c>
      <c r="H673" s="13">
        <v>517.0</v>
      </c>
      <c r="I673" s="13">
        <v>3.0</v>
      </c>
      <c r="J673" s="13">
        <v>0.0</v>
      </c>
      <c r="K673" s="12" t="s">
        <v>21</v>
      </c>
      <c r="L673" s="7">
        <v>40875.948645833334</v>
      </c>
      <c r="M673" s="14" t="s">
        <v>1702</v>
      </c>
      <c r="N673" s="14" t="s">
        <v>1703</v>
      </c>
      <c r="O673" s="11" t="str">
        <f>HYPERLINK("https://pbs.twimg.com/profile_images/701438712060620801/N35BDyqv_normal.jpg","View")</f>
        <v>View</v>
      </c>
      <c r="P673" s="15"/>
    </row>
    <row r="674">
      <c r="A674" s="7">
        <v>42425.36001157407</v>
      </c>
      <c r="B674" s="8" t="str">
        <f>HYPERLINK("https://twitter.com/AndrewBaidu","@AndrewBaidu")</f>
        <v>@AndrewBaidu</v>
      </c>
      <c r="C674" s="10" t="s">
        <v>1704</v>
      </c>
      <c r="D674" s="10" t="s">
        <v>1102</v>
      </c>
      <c r="E674" s="11" t="str">
        <f>HYPERLINK("https://twitter.com/AndrewBaidu/status/702895433690030080","702895433690030080")</f>
        <v>702895433690030080</v>
      </c>
      <c r="F674" s="12" t="s">
        <v>1705</v>
      </c>
      <c r="G674" s="13">
        <v>362.0</v>
      </c>
      <c r="H674" s="13">
        <v>92.0</v>
      </c>
      <c r="I674" s="13">
        <v>14.0</v>
      </c>
      <c r="J674" s="13">
        <v>0.0</v>
      </c>
      <c r="K674" s="12" t="s">
        <v>21</v>
      </c>
      <c r="L674" s="7">
        <v>42231.3446875</v>
      </c>
      <c r="M674" s="14" t="s">
        <v>1706</v>
      </c>
      <c r="N674" s="14" t="s">
        <v>1707</v>
      </c>
      <c r="O674" s="11" t="str">
        <f>HYPERLINK("https://pbs.twimg.com/profile_images/632743976785735682/CfTy63Eb_normal.jpg","View")</f>
        <v>View</v>
      </c>
      <c r="P674" s="15"/>
    </row>
    <row r="675">
      <c r="A675" s="7">
        <v>42425.3603587963</v>
      </c>
      <c r="B675" s="8" t="str">
        <f>HYPERLINK("https://twitter.com/AIBlender","@AIBlender")</f>
        <v>@AIBlender</v>
      </c>
      <c r="C675" s="10" t="s">
        <v>1708</v>
      </c>
      <c r="D675" s="10" t="s">
        <v>1145</v>
      </c>
      <c r="E675" s="11" t="str">
        <f>HYPERLINK("https://twitter.com/AIBlender/status/702895559116513280","702895559116513280")</f>
        <v>702895559116513280</v>
      </c>
      <c r="F675" s="12" t="s">
        <v>20</v>
      </c>
      <c r="G675" s="13">
        <v>7779.0</v>
      </c>
      <c r="H675" s="13">
        <v>1111.0</v>
      </c>
      <c r="I675" s="13">
        <v>10.0</v>
      </c>
      <c r="J675" s="13">
        <v>0.0</v>
      </c>
      <c r="K675" s="12" t="s">
        <v>21</v>
      </c>
      <c r="L675" s="7">
        <v>40185.037777777776</v>
      </c>
      <c r="M675" s="14" t="s">
        <v>1709</v>
      </c>
      <c r="N675" s="14" t="s">
        <v>1710</v>
      </c>
      <c r="O675" s="11" t="str">
        <f>HYPERLINK("https://pbs.twimg.com/profile_images/2837669174/ffcf7b31759c09209cd815416c47cb7a_normal.png","View")</f>
        <v>View</v>
      </c>
      <c r="P675" s="15"/>
    </row>
    <row r="676">
      <c r="A676" s="7">
        <v>42425.36114583333</v>
      </c>
      <c r="B676" s="8" t="str">
        <f>HYPERLINK("https://twitter.com/PagesofTools","@PagesofTools")</f>
        <v>@PagesofTools</v>
      </c>
      <c r="C676" s="10" t="s">
        <v>1711</v>
      </c>
      <c r="D676" s="10" t="s">
        <v>1689</v>
      </c>
      <c r="E676" s="11" t="str">
        <f>HYPERLINK("https://twitter.com/PagesofTools/status/702895844752756736","702895844752756736")</f>
        <v>702895844752756736</v>
      </c>
      <c r="F676" s="12" t="s">
        <v>20</v>
      </c>
      <c r="G676" s="13">
        <v>5538.0</v>
      </c>
      <c r="H676" s="13">
        <v>4650.0</v>
      </c>
      <c r="I676" s="13">
        <v>6.0</v>
      </c>
      <c r="J676" s="13">
        <v>0.0</v>
      </c>
      <c r="K676" s="12" t="s">
        <v>21</v>
      </c>
      <c r="L676" s="7">
        <v>41318.09885416667</v>
      </c>
      <c r="M676" s="14" t="s">
        <v>1712</v>
      </c>
      <c r="N676" s="14" t="s">
        <v>1713</v>
      </c>
      <c r="O676" s="11" t="str">
        <f>HYPERLINK("https://pbs.twimg.com/profile_images/662630889822777345/xZtbsRge_normal.png","View")</f>
        <v>View</v>
      </c>
      <c r="P676" s="15"/>
    </row>
    <row r="677">
      <c r="A677" s="7">
        <v>42425.361805555556</v>
      </c>
      <c r="B677" s="8" t="str">
        <f>HYPERLINK("https://twitter.com/cocoacoda","@cocoacoda")</f>
        <v>@cocoacoda</v>
      </c>
      <c r="C677" s="10" t="s">
        <v>486</v>
      </c>
      <c r="D677" s="10" t="s">
        <v>1714</v>
      </c>
      <c r="E677" s="11" t="str">
        <f>HYPERLINK("https://twitter.com/cocoacoda/status/702896083798761472","702896083798761472")</f>
        <v>702896083798761472</v>
      </c>
      <c r="F677" s="12" t="s">
        <v>488</v>
      </c>
      <c r="G677" s="13">
        <v>124.0</v>
      </c>
      <c r="H677" s="13">
        <v>142.0</v>
      </c>
      <c r="I677" s="13">
        <v>0.0</v>
      </c>
      <c r="J677" s="13">
        <v>1.0</v>
      </c>
      <c r="K677" s="12" t="s">
        <v>21</v>
      </c>
      <c r="L677" s="7">
        <v>40951.29611111111</v>
      </c>
      <c r="M677" s="14" t="s">
        <v>489</v>
      </c>
      <c r="N677" s="14" t="s">
        <v>490</v>
      </c>
      <c r="O677" s="11" t="str">
        <f>HYPERLINK("https://pbs.twimg.com/profile_images/452064440687423488/nbwrKTwP_normal.jpeg","View")</f>
        <v>View</v>
      </c>
      <c r="P677" s="15"/>
    </row>
    <row r="678">
      <c r="A678" s="7">
        <v>42425.36287037037</v>
      </c>
      <c r="B678" s="8" t="str">
        <f>HYPERLINK("https://twitter.com/apowers411","@apowers411")</f>
        <v>@apowers411</v>
      </c>
      <c r="C678" s="10" t="s">
        <v>693</v>
      </c>
      <c r="D678" s="10" t="s">
        <v>1715</v>
      </c>
      <c r="E678" s="11" t="str">
        <f>HYPERLINK("https://twitter.com/apowers411/status/702896471822225408","702896471822225408")</f>
        <v>702896471822225408</v>
      </c>
      <c r="F678" s="12" t="s">
        <v>20</v>
      </c>
      <c r="G678" s="13">
        <v>383.0</v>
      </c>
      <c r="H678" s="13">
        <v>710.0</v>
      </c>
      <c r="I678" s="13">
        <v>0.0</v>
      </c>
      <c r="J678" s="13">
        <v>0.0</v>
      </c>
      <c r="K678" s="12" t="s">
        <v>21</v>
      </c>
      <c r="L678" s="7">
        <v>41003.385254629626</v>
      </c>
      <c r="M678" s="14" t="s">
        <v>695</v>
      </c>
      <c r="N678" s="14" t="s">
        <v>696</v>
      </c>
      <c r="O678" s="11" t="str">
        <f>HYPERLINK("https://pbs.twimg.com/profile_images/547937964936790018/hSKwYqzV_normal.jpeg","View")</f>
        <v>View</v>
      </c>
      <c r="P678" s="15"/>
    </row>
    <row r="679">
      <c r="A679" s="7">
        <v>42425.364699074074</v>
      </c>
      <c r="B679" s="8" t="str">
        <f>HYPERLINK("https://twitter.com/JoshuaLongUK","@JoshuaLongUK")</f>
        <v>@JoshuaLongUK</v>
      </c>
      <c r="C679" s="10" t="s">
        <v>101</v>
      </c>
      <c r="D679" s="10" t="s">
        <v>1716</v>
      </c>
      <c r="E679" s="11" t="str">
        <f>HYPERLINK("https://twitter.com/JoshuaLongUK/status/702897134933254144","702897134933254144")</f>
        <v>702897134933254144</v>
      </c>
      <c r="F679" s="12" t="s">
        <v>103</v>
      </c>
      <c r="G679" s="13">
        <v>25832.0</v>
      </c>
      <c r="H679" s="13">
        <v>93.0</v>
      </c>
      <c r="I679" s="13">
        <v>0.0</v>
      </c>
      <c r="J679" s="13">
        <v>0.0</v>
      </c>
      <c r="K679" s="12" t="s">
        <v>21</v>
      </c>
      <c r="L679" s="7">
        <v>41149.39659722222</v>
      </c>
      <c r="M679" s="14" t="s">
        <v>104</v>
      </c>
      <c r="N679" s="14" t="s">
        <v>105</v>
      </c>
      <c r="O679" s="11" t="str">
        <f>HYPERLINK("https://pbs.twimg.com/profile_images/627996138403168256/DaASdgVr_normal.jpg","View")</f>
        <v>View</v>
      </c>
      <c r="P679" s="15"/>
    </row>
    <row r="680">
      <c r="A680" s="7">
        <v>42425.36482638889</v>
      </c>
      <c r="B680" s="8" t="str">
        <f>HYPERLINK("https://twitter.com/KaizenRH","@KaizenRH")</f>
        <v>@KaizenRH</v>
      </c>
      <c r="C680" s="10" t="s">
        <v>1717</v>
      </c>
      <c r="D680" s="10" t="s">
        <v>1718</v>
      </c>
      <c r="E680" s="11" t="str">
        <f>HYPERLINK("https://twitter.com/KaizenRH/status/702897179929800708","702897179929800708")</f>
        <v>702897179929800708</v>
      </c>
      <c r="F680" s="12" t="s">
        <v>20</v>
      </c>
      <c r="G680" s="13">
        <v>882.0</v>
      </c>
      <c r="H680" s="13">
        <v>394.0</v>
      </c>
      <c r="I680" s="13">
        <v>0.0</v>
      </c>
      <c r="J680" s="13">
        <v>0.0</v>
      </c>
      <c r="K680" s="12" t="s">
        <v>21</v>
      </c>
      <c r="L680" s="7">
        <v>41088.56123842593</v>
      </c>
      <c r="M680" s="14" t="s">
        <v>1719</v>
      </c>
      <c r="N680" s="14" t="s">
        <v>1720</v>
      </c>
      <c r="O680" s="11" t="str">
        <f>HYPERLINK("https://pbs.twimg.com/profile_images/2350115845/SmallLogo_SOLO_KAIZEN_normal.jpg","View")</f>
        <v>View</v>
      </c>
      <c r="P680" s="15"/>
    </row>
    <row r="681">
      <c r="A681" s="7">
        <v>42425.364849537036</v>
      </c>
      <c r="B681" s="8" t="str">
        <f>HYPERLINK("https://twitter.com/thedenimdealer","@thedenimdealer")</f>
        <v>@thedenimdealer</v>
      </c>
      <c r="C681" s="10" t="s">
        <v>1721</v>
      </c>
      <c r="D681" s="10" t="s">
        <v>1689</v>
      </c>
      <c r="E681" s="11" t="str">
        <f>HYPERLINK("https://twitter.com/thedenimdealer/status/702897188616192001","702897188616192001")</f>
        <v>702897188616192001</v>
      </c>
      <c r="F681" s="12" t="s">
        <v>20</v>
      </c>
      <c r="G681" s="13">
        <v>1734.0</v>
      </c>
      <c r="H681" s="13">
        <v>1619.0</v>
      </c>
      <c r="I681" s="13">
        <v>6.0</v>
      </c>
      <c r="J681" s="13">
        <v>0.0</v>
      </c>
      <c r="K681" s="12" t="s">
        <v>21</v>
      </c>
      <c r="L681" s="7">
        <v>42182.67663194444</v>
      </c>
      <c r="M681" s="16"/>
      <c r="N681" s="14" t="s">
        <v>1722</v>
      </c>
      <c r="O681" s="11" t="str">
        <f>HYPERLINK("https://pbs.twimg.com/profile_images/702719200842932226/PQII7P1F_normal.jpg","View")</f>
        <v>View</v>
      </c>
      <c r="P681" s="15"/>
    </row>
    <row r="682">
      <c r="A682" s="7">
        <v>42425.36491898148</v>
      </c>
      <c r="B682" s="8" t="str">
        <f>HYPERLINK("https://twitter.com/lerrua","@lerrua")</f>
        <v>@lerrua</v>
      </c>
      <c r="C682" s="10" t="s">
        <v>1723</v>
      </c>
      <c r="D682" s="10" t="s">
        <v>1461</v>
      </c>
      <c r="E682" s="11" t="str">
        <f>HYPERLINK("https://twitter.com/lerrua/status/702897213740097536","702897213740097536")</f>
        <v>702897213740097536</v>
      </c>
      <c r="F682" s="12" t="s">
        <v>20</v>
      </c>
      <c r="G682" s="13">
        <v>641.0</v>
      </c>
      <c r="H682" s="13">
        <v>486.0</v>
      </c>
      <c r="I682" s="13">
        <v>17.0</v>
      </c>
      <c r="J682" s="13">
        <v>0.0</v>
      </c>
      <c r="K682" s="12" t="s">
        <v>21</v>
      </c>
      <c r="L682" s="7">
        <v>39992.68672453704</v>
      </c>
      <c r="M682" s="14" t="s">
        <v>1724</v>
      </c>
      <c r="N682" s="14" t="s">
        <v>1725</v>
      </c>
      <c r="O682" s="11" t="str">
        <f>HYPERLINK("https://pbs.twimg.com/profile_images/463058907402080256/RZ4L3AbK_normal.jpeg","View")</f>
        <v>View</v>
      </c>
      <c r="P682" s="15"/>
    </row>
    <row r="683">
      <c r="A683" s="7">
        <v>42425.36546296296</v>
      </c>
      <c r="B683" s="8" t="str">
        <f t="shared" ref="B683:B691" si="55">HYPERLINK("https://twitter.com/artwisanggeni","@artwisanggeni")</f>
        <v>@artwisanggeni</v>
      </c>
      <c r="C683" s="10" t="s">
        <v>74</v>
      </c>
      <c r="D683" s="10" t="s">
        <v>1726</v>
      </c>
      <c r="E683" s="11" t="str">
        <f>HYPERLINK("https://twitter.com/artwisanggeni/status/702897409219629056","702897409219629056")</f>
        <v>702897409219629056</v>
      </c>
      <c r="F683" s="17" t="s">
        <v>76</v>
      </c>
      <c r="G683" s="13">
        <v>236.0</v>
      </c>
      <c r="H683" s="13">
        <v>61.0</v>
      </c>
      <c r="I683" s="13">
        <v>0.0</v>
      </c>
      <c r="J683" s="13">
        <v>0.0</v>
      </c>
      <c r="K683" s="12" t="s">
        <v>21</v>
      </c>
      <c r="L683" s="7">
        <v>41218.90608796296</v>
      </c>
      <c r="M683" s="14" t="s">
        <v>77</v>
      </c>
      <c r="N683" s="14" t="s">
        <v>78</v>
      </c>
      <c r="O683" s="11" t="str">
        <f t="shared" ref="O683:O691" si="56">HYPERLINK("https://pbs.twimg.com/profile_images/2813636657/599521f69e2bc210a57323b64d8e39e6_normal.jpeg","View")</f>
        <v>View</v>
      </c>
      <c r="P683" s="15"/>
    </row>
    <row r="684">
      <c r="A684" s="7">
        <v>42425.36547453704</v>
      </c>
      <c r="B684" s="8" t="str">
        <f t="shared" si="55"/>
        <v>@artwisanggeni</v>
      </c>
      <c r="C684" s="10" t="s">
        <v>74</v>
      </c>
      <c r="D684" s="10" t="s">
        <v>1727</v>
      </c>
      <c r="E684" s="11" t="str">
        <f>HYPERLINK("https://twitter.com/artwisanggeni/status/702897413506215937","702897413506215937")</f>
        <v>702897413506215937</v>
      </c>
      <c r="F684" s="17" t="s">
        <v>76</v>
      </c>
      <c r="G684" s="13">
        <v>236.0</v>
      </c>
      <c r="H684" s="13">
        <v>61.0</v>
      </c>
      <c r="I684" s="13">
        <v>0.0</v>
      </c>
      <c r="J684" s="13">
        <v>0.0</v>
      </c>
      <c r="K684" s="12" t="s">
        <v>21</v>
      </c>
      <c r="L684" s="7">
        <v>41218.90608796296</v>
      </c>
      <c r="M684" s="14" t="s">
        <v>77</v>
      </c>
      <c r="N684" s="14" t="s">
        <v>78</v>
      </c>
      <c r="O684" s="11" t="str">
        <f t="shared" si="56"/>
        <v>View</v>
      </c>
      <c r="P684" s="15"/>
    </row>
    <row r="685">
      <c r="A685" s="7">
        <v>42425.36548611111</v>
      </c>
      <c r="B685" s="8" t="str">
        <f t="shared" si="55"/>
        <v>@artwisanggeni</v>
      </c>
      <c r="C685" s="10" t="s">
        <v>74</v>
      </c>
      <c r="D685" s="10" t="s">
        <v>1728</v>
      </c>
      <c r="E685" s="11" t="str">
        <f>HYPERLINK("https://twitter.com/artwisanggeni/status/702897417163665408","702897417163665408")</f>
        <v>702897417163665408</v>
      </c>
      <c r="F685" s="17" t="s">
        <v>76</v>
      </c>
      <c r="G685" s="13">
        <v>236.0</v>
      </c>
      <c r="H685" s="13">
        <v>61.0</v>
      </c>
      <c r="I685" s="13">
        <v>0.0</v>
      </c>
      <c r="J685" s="13">
        <v>0.0</v>
      </c>
      <c r="K685" s="12" t="s">
        <v>21</v>
      </c>
      <c r="L685" s="7">
        <v>41218.90608796296</v>
      </c>
      <c r="M685" s="14" t="s">
        <v>77</v>
      </c>
      <c r="N685" s="14" t="s">
        <v>78</v>
      </c>
      <c r="O685" s="11" t="str">
        <f t="shared" si="56"/>
        <v>View</v>
      </c>
      <c r="P685" s="15"/>
    </row>
    <row r="686">
      <c r="A686" s="7">
        <v>42425.36548611111</v>
      </c>
      <c r="B686" s="8" t="str">
        <f t="shared" si="55"/>
        <v>@artwisanggeni</v>
      </c>
      <c r="C686" s="10" t="s">
        <v>74</v>
      </c>
      <c r="D686" s="10" t="s">
        <v>1729</v>
      </c>
      <c r="E686" s="11" t="str">
        <f>HYPERLINK("https://twitter.com/artwisanggeni/status/702897420590411776","702897420590411776")</f>
        <v>702897420590411776</v>
      </c>
      <c r="F686" s="17" t="s">
        <v>76</v>
      </c>
      <c r="G686" s="13">
        <v>236.0</v>
      </c>
      <c r="H686" s="13">
        <v>61.0</v>
      </c>
      <c r="I686" s="13">
        <v>0.0</v>
      </c>
      <c r="J686" s="13">
        <v>0.0</v>
      </c>
      <c r="K686" s="12" t="s">
        <v>21</v>
      </c>
      <c r="L686" s="7">
        <v>41218.90608796296</v>
      </c>
      <c r="M686" s="14" t="s">
        <v>77</v>
      </c>
      <c r="N686" s="14" t="s">
        <v>78</v>
      </c>
      <c r="O686" s="11" t="str">
        <f t="shared" si="56"/>
        <v>View</v>
      </c>
      <c r="P686" s="15"/>
    </row>
    <row r="687">
      <c r="A687" s="7">
        <v>42425.36549768518</v>
      </c>
      <c r="B687" s="8" t="str">
        <f t="shared" si="55"/>
        <v>@artwisanggeni</v>
      </c>
      <c r="C687" s="10" t="s">
        <v>74</v>
      </c>
      <c r="D687" s="10" t="s">
        <v>1730</v>
      </c>
      <c r="E687" s="11" t="str">
        <f>HYPERLINK("https://twitter.com/artwisanggeni/status/702897423757103104","702897423757103104")</f>
        <v>702897423757103104</v>
      </c>
      <c r="F687" s="17" t="s">
        <v>76</v>
      </c>
      <c r="G687" s="13">
        <v>236.0</v>
      </c>
      <c r="H687" s="13">
        <v>61.0</v>
      </c>
      <c r="I687" s="13">
        <v>0.0</v>
      </c>
      <c r="J687" s="13">
        <v>0.0</v>
      </c>
      <c r="K687" s="12" t="s">
        <v>21</v>
      </c>
      <c r="L687" s="7">
        <v>41218.90608796296</v>
      </c>
      <c r="M687" s="14" t="s">
        <v>77</v>
      </c>
      <c r="N687" s="14" t="s">
        <v>78</v>
      </c>
      <c r="O687" s="11" t="str">
        <f t="shared" si="56"/>
        <v>View</v>
      </c>
      <c r="P687" s="15"/>
    </row>
    <row r="688">
      <c r="A688" s="7">
        <v>42425.36550925926</v>
      </c>
      <c r="B688" s="8" t="str">
        <f t="shared" si="55"/>
        <v>@artwisanggeni</v>
      </c>
      <c r="C688" s="10" t="s">
        <v>74</v>
      </c>
      <c r="D688" s="10" t="s">
        <v>1731</v>
      </c>
      <c r="E688" s="11" t="str">
        <f>HYPERLINK("https://twitter.com/artwisanggeni/status/702897426990936064","702897426990936064")</f>
        <v>702897426990936064</v>
      </c>
      <c r="F688" s="17" t="s">
        <v>76</v>
      </c>
      <c r="G688" s="13">
        <v>236.0</v>
      </c>
      <c r="H688" s="13">
        <v>61.0</v>
      </c>
      <c r="I688" s="13">
        <v>0.0</v>
      </c>
      <c r="J688" s="13">
        <v>0.0</v>
      </c>
      <c r="K688" s="12" t="s">
        <v>21</v>
      </c>
      <c r="L688" s="7">
        <v>41218.90608796296</v>
      </c>
      <c r="M688" s="14" t="s">
        <v>77</v>
      </c>
      <c r="N688" s="14" t="s">
        <v>78</v>
      </c>
      <c r="O688" s="11" t="str">
        <f t="shared" si="56"/>
        <v>View</v>
      </c>
      <c r="P688" s="15"/>
    </row>
    <row r="689">
      <c r="A689" s="7">
        <v>42425.36552083334</v>
      </c>
      <c r="B689" s="8" t="str">
        <f t="shared" si="55"/>
        <v>@artwisanggeni</v>
      </c>
      <c r="C689" s="10" t="s">
        <v>74</v>
      </c>
      <c r="D689" s="10" t="s">
        <v>1732</v>
      </c>
      <c r="E689" s="11" t="str">
        <f>HYPERLINK("https://twitter.com/artwisanggeni/status/702897430707056640","702897430707056640")</f>
        <v>702897430707056640</v>
      </c>
      <c r="F689" s="17" t="s">
        <v>76</v>
      </c>
      <c r="G689" s="13">
        <v>236.0</v>
      </c>
      <c r="H689" s="13">
        <v>61.0</v>
      </c>
      <c r="I689" s="13">
        <v>0.0</v>
      </c>
      <c r="J689" s="13">
        <v>0.0</v>
      </c>
      <c r="K689" s="12" t="s">
        <v>21</v>
      </c>
      <c r="L689" s="7">
        <v>41218.90608796296</v>
      </c>
      <c r="M689" s="14" t="s">
        <v>77</v>
      </c>
      <c r="N689" s="14" t="s">
        <v>78</v>
      </c>
      <c r="O689" s="11" t="str">
        <f t="shared" si="56"/>
        <v>View</v>
      </c>
      <c r="P689" s="15"/>
    </row>
    <row r="690">
      <c r="A690" s="7">
        <v>42425.365532407406</v>
      </c>
      <c r="B690" s="8" t="str">
        <f t="shared" si="55"/>
        <v>@artwisanggeni</v>
      </c>
      <c r="C690" s="10" t="s">
        <v>74</v>
      </c>
      <c r="D690" s="10" t="s">
        <v>1733</v>
      </c>
      <c r="E690" s="11" t="str">
        <f>HYPERLINK("https://twitter.com/artwisanggeni/status/702897433697587200","702897433697587200")</f>
        <v>702897433697587200</v>
      </c>
      <c r="F690" s="17" t="s">
        <v>76</v>
      </c>
      <c r="G690" s="13">
        <v>236.0</v>
      </c>
      <c r="H690" s="13">
        <v>61.0</v>
      </c>
      <c r="I690" s="13">
        <v>0.0</v>
      </c>
      <c r="J690" s="13">
        <v>0.0</v>
      </c>
      <c r="K690" s="12" t="s">
        <v>21</v>
      </c>
      <c r="L690" s="7">
        <v>41218.90608796296</v>
      </c>
      <c r="M690" s="14" t="s">
        <v>77</v>
      </c>
      <c r="N690" s="14" t="s">
        <v>78</v>
      </c>
      <c r="O690" s="11" t="str">
        <f t="shared" si="56"/>
        <v>View</v>
      </c>
      <c r="P690" s="15"/>
    </row>
    <row r="691">
      <c r="A691" s="7">
        <v>42425.365532407406</v>
      </c>
      <c r="B691" s="8" t="str">
        <f t="shared" si="55"/>
        <v>@artwisanggeni</v>
      </c>
      <c r="C691" s="10" t="s">
        <v>74</v>
      </c>
      <c r="D691" s="10" t="s">
        <v>1734</v>
      </c>
      <c r="E691" s="11" t="str">
        <f>HYPERLINK("https://twitter.com/artwisanggeni/status/702897436746887173","702897436746887173")</f>
        <v>702897436746887173</v>
      </c>
      <c r="F691" s="17" t="s">
        <v>76</v>
      </c>
      <c r="G691" s="13">
        <v>236.0</v>
      </c>
      <c r="H691" s="13">
        <v>61.0</v>
      </c>
      <c r="I691" s="13">
        <v>0.0</v>
      </c>
      <c r="J691" s="13">
        <v>0.0</v>
      </c>
      <c r="K691" s="12" t="s">
        <v>21</v>
      </c>
      <c r="L691" s="7">
        <v>41218.90608796296</v>
      </c>
      <c r="M691" s="14" t="s">
        <v>77</v>
      </c>
      <c r="N691" s="14" t="s">
        <v>78</v>
      </c>
      <c r="O691" s="11" t="str">
        <f t="shared" si="56"/>
        <v>View</v>
      </c>
      <c r="P691" s="15"/>
    </row>
    <row r="692">
      <c r="A692" s="7">
        <v>42425.365740740745</v>
      </c>
      <c r="B692" s="8" t="str">
        <f>HYPERLINK("https://twitter.com/GnuLeo","@GnuLeo")</f>
        <v>@GnuLeo</v>
      </c>
      <c r="C692" s="10" t="s">
        <v>1735</v>
      </c>
      <c r="D692" s="10" t="s">
        <v>1102</v>
      </c>
      <c r="E692" s="11" t="str">
        <f>HYPERLINK("https://twitter.com/GnuLeo/status/702897509694316544","702897509694316544")</f>
        <v>702897509694316544</v>
      </c>
      <c r="F692" s="12" t="s">
        <v>152</v>
      </c>
      <c r="G692" s="13">
        <v>126.0</v>
      </c>
      <c r="H692" s="13">
        <v>310.0</v>
      </c>
      <c r="I692" s="13">
        <v>14.0</v>
      </c>
      <c r="J692" s="13">
        <v>0.0</v>
      </c>
      <c r="K692" s="12" t="s">
        <v>21</v>
      </c>
      <c r="L692" s="7">
        <v>40433.70239583333</v>
      </c>
      <c r="M692" s="14" t="s">
        <v>1736</v>
      </c>
      <c r="N692" s="14" t="s">
        <v>1737</v>
      </c>
      <c r="O692" s="11" t="str">
        <f>HYPERLINK("https://pbs.twimg.com/profile_images/686961509218541574/XvsvylWx_normal.jpg","View")</f>
        <v>View</v>
      </c>
      <c r="P692" s="15"/>
    </row>
    <row r="693">
      <c r="A693" s="7">
        <v>42425.367384259254</v>
      </c>
      <c r="B693" s="8" t="str">
        <f>HYPERLINK("https://twitter.com/joaojunior_ma","@joaojunior_ma")</f>
        <v>@joaojunior_ma</v>
      </c>
      <c r="C693" s="10" t="s">
        <v>1738</v>
      </c>
      <c r="D693" s="10" t="s">
        <v>1461</v>
      </c>
      <c r="E693" s="11" t="str">
        <f>HYPERLINK("https://twitter.com/joaojunior_ma/status/702898107902726144","702898107902726144")</f>
        <v>702898107902726144</v>
      </c>
      <c r="F693" s="12" t="s">
        <v>152</v>
      </c>
      <c r="G693" s="13">
        <v>119.0</v>
      </c>
      <c r="H693" s="13">
        <v>271.0</v>
      </c>
      <c r="I693" s="13">
        <v>17.0</v>
      </c>
      <c r="J693" s="13">
        <v>0.0</v>
      </c>
      <c r="K693" s="12" t="s">
        <v>21</v>
      </c>
      <c r="L693" s="7">
        <v>41519.51243055556</v>
      </c>
      <c r="M693" s="16"/>
      <c r="N693" s="14" t="s">
        <v>1739</v>
      </c>
      <c r="O693" s="11" t="str">
        <f>HYPERLINK("https://pbs.twimg.com/profile_images/378800000405986184/eedee8f1f1bbe9cbb740240982968511_normal.jpeg","View")</f>
        <v>View</v>
      </c>
      <c r="P693" s="15"/>
    </row>
    <row r="694">
      <c r="A694" s="7">
        <v>42425.36785879629</v>
      </c>
      <c r="B694" s="8" t="str">
        <f>HYPERLINK("https://twitter.com/xamlparaadeptos","@xamlparaadeptos")</f>
        <v>@xamlparaadeptos</v>
      </c>
      <c r="C694" s="10" t="s">
        <v>1740</v>
      </c>
      <c r="D694" s="10" t="s">
        <v>1305</v>
      </c>
      <c r="E694" s="11" t="str">
        <f>HYPERLINK("https://twitter.com/xamlparaadeptos/status/702898280477433857","702898280477433857")</f>
        <v>702898280477433857</v>
      </c>
      <c r="F694" s="12" t="s">
        <v>152</v>
      </c>
      <c r="G694" s="13">
        <v>185.0</v>
      </c>
      <c r="H694" s="13">
        <v>31.0</v>
      </c>
      <c r="I694" s="13">
        <v>6.0</v>
      </c>
      <c r="J694" s="13">
        <v>0.0</v>
      </c>
      <c r="K694" s="12" t="s">
        <v>21</v>
      </c>
      <c r="L694" s="7">
        <v>40744.4106712963</v>
      </c>
      <c r="M694" s="14" t="s">
        <v>1183</v>
      </c>
      <c r="N694" s="14" t="s">
        <v>1741</v>
      </c>
      <c r="O694" s="11" t="str">
        <f>HYPERLINK("https://pbs.twimg.com/profile_images/2886497784/446ac3a9324028fbf00d2d5a0b960197_normal.gif","View")</f>
        <v>View</v>
      </c>
      <c r="P694" s="15"/>
    </row>
    <row r="695">
      <c r="A695" s="7">
        <v>42425.36818287037</v>
      </c>
      <c r="B695" s="8" t="str">
        <f>HYPERLINK("https://twitter.com/walkops","@walkops")</f>
        <v>@walkops</v>
      </c>
      <c r="C695" s="10" t="s">
        <v>743</v>
      </c>
      <c r="D695" s="10" t="s">
        <v>1742</v>
      </c>
      <c r="E695" s="11" t="str">
        <f>HYPERLINK("https://twitter.com/walkops/status/702898395598491650","702898395598491650")</f>
        <v>702898395598491650</v>
      </c>
      <c r="F695" s="12" t="s">
        <v>745</v>
      </c>
      <c r="G695" s="13">
        <v>228.0</v>
      </c>
      <c r="H695" s="13">
        <v>5.0</v>
      </c>
      <c r="I695" s="13">
        <v>0.0</v>
      </c>
      <c r="J695" s="13">
        <v>0.0</v>
      </c>
      <c r="K695" s="12" t="s">
        <v>21</v>
      </c>
      <c r="L695" s="7">
        <v>41278.36125</v>
      </c>
      <c r="M695" s="14" t="s">
        <v>746</v>
      </c>
      <c r="N695" s="14" t="s">
        <v>747</v>
      </c>
      <c r="O695" s="11" t="str">
        <f>HYPERLINK("https://pbs.twimg.com/profile_images/414665160217739264/Vjqlxhz8_normal.jpeg","View")</f>
        <v>View</v>
      </c>
      <c r="P695" s="15"/>
    </row>
    <row r="696">
      <c r="A696" s="7">
        <v>42425.36827546296</v>
      </c>
      <c r="B696" s="8" t="str">
        <f>HYPERLINK("https://twitter.com/beatcoding","@beatcoding")</f>
        <v>@beatcoding</v>
      </c>
      <c r="C696" s="10" t="s">
        <v>1743</v>
      </c>
      <c r="D696" s="10" t="s">
        <v>1744</v>
      </c>
      <c r="E696" s="11" t="str">
        <f>HYPERLINK("https://twitter.com/beatcoding/status/702898429983379456","702898429983379456")</f>
        <v>702898429983379456</v>
      </c>
      <c r="F696" s="12" t="s">
        <v>52</v>
      </c>
      <c r="G696" s="13">
        <v>76.0</v>
      </c>
      <c r="H696" s="13">
        <v>61.0</v>
      </c>
      <c r="I696" s="13">
        <v>1.0</v>
      </c>
      <c r="J696" s="13">
        <v>0.0</v>
      </c>
      <c r="K696" s="12" t="s">
        <v>21</v>
      </c>
      <c r="L696" s="7">
        <v>41891.753912037035</v>
      </c>
      <c r="M696" s="14" t="s">
        <v>1745</v>
      </c>
      <c r="N696" s="14" t="s">
        <v>1746</v>
      </c>
      <c r="O696" s="11" t="str">
        <f>HYPERLINK("https://pbs.twimg.com/profile_images/644503772178317312/-l1hDbrc_normal.jpg","View")</f>
        <v>View</v>
      </c>
      <c r="P696" s="15"/>
    </row>
    <row r="697">
      <c r="A697" s="7">
        <v>42425.36828703704</v>
      </c>
      <c r="B697" s="8" t="str">
        <f>HYPERLINK("https://twitter.com/MikeHerman","@MikeHerman")</f>
        <v>@MikeHerman</v>
      </c>
      <c r="C697" s="10" t="s">
        <v>1323</v>
      </c>
      <c r="D697" s="10" t="s">
        <v>1647</v>
      </c>
      <c r="E697" s="11" t="str">
        <f>HYPERLINK("https://twitter.com/MikeHerman/status/702898431963078656","702898431963078656")</f>
        <v>702898431963078656</v>
      </c>
      <c r="F697" s="12" t="s">
        <v>20</v>
      </c>
      <c r="G697" s="13">
        <v>600.0</v>
      </c>
      <c r="H697" s="13">
        <v>46.0</v>
      </c>
      <c r="I697" s="13">
        <v>4.0</v>
      </c>
      <c r="J697" s="13">
        <v>0.0</v>
      </c>
      <c r="K697" s="12" t="s">
        <v>21</v>
      </c>
      <c r="L697" s="7">
        <v>40955.65877314815</v>
      </c>
      <c r="M697" s="14" t="s">
        <v>1325</v>
      </c>
      <c r="N697" s="14" t="s">
        <v>1326</v>
      </c>
      <c r="O697" s="11" t="str">
        <f>HYPERLINK("https://pbs.twimg.com/profile_images/1956395739/56358390A_normal.jpg","View")</f>
        <v>View</v>
      </c>
      <c r="P697" s="15"/>
    </row>
    <row r="698">
      <c r="A698" s="7">
        <v>42425.36869212963</v>
      </c>
      <c r="B698" s="8" t="str">
        <f>HYPERLINK("https://twitter.com/SteveSeow","@SteveSeow")</f>
        <v>@SteveSeow</v>
      </c>
      <c r="C698" s="10" t="s">
        <v>1747</v>
      </c>
      <c r="D698" s="10" t="s">
        <v>1748</v>
      </c>
      <c r="E698" s="11" t="str">
        <f>HYPERLINK("https://twitter.com/SteveSeow/status/702898579761819649","702898579761819649")</f>
        <v>702898579761819649</v>
      </c>
      <c r="F698" s="12" t="s">
        <v>52</v>
      </c>
      <c r="G698" s="13">
        <v>1331.0</v>
      </c>
      <c r="H698" s="13">
        <v>2017.0</v>
      </c>
      <c r="I698" s="13">
        <v>1.0</v>
      </c>
      <c r="J698" s="13">
        <v>1.0</v>
      </c>
      <c r="K698" s="12" t="s">
        <v>21</v>
      </c>
      <c r="L698" s="7">
        <v>40466.50299768519</v>
      </c>
      <c r="M698" s="14" t="s">
        <v>1259</v>
      </c>
      <c r="N698" s="14" t="s">
        <v>1749</v>
      </c>
      <c r="O698" s="11" t="str">
        <f>HYPERLINK("https://pbs.twimg.com/profile_images/648963049450139652/Z80LzWlh_normal.png","View")</f>
        <v>View</v>
      </c>
      <c r="P698" s="15"/>
    </row>
    <row r="699">
      <c r="A699" s="7">
        <v>42425.36895833333</v>
      </c>
      <c r="B699" s="8" t="str">
        <f>HYPERLINK("https://twitter.com/xamlparaadeptos","@xamlparaadeptos")</f>
        <v>@xamlparaadeptos</v>
      </c>
      <c r="C699" s="10" t="s">
        <v>1740</v>
      </c>
      <c r="D699" s="10" t="s">
        <v>1180</v>
      </c>
      <c r="E699" s="11" t="str">
        <f>HYPERLINK("https://twitter.com/xamlparaadeptos/status/702898676339974146","702898676339974146")</f>
        <v>702898676339974146</v>
      </c>
      <c r="F699" s="12" t="s">
        <v>152</v>
      </c>
      <c r="G699" s="13">
        <v>185.0</v>
      </c>
      <c r="H699" s="13">
        <v>31.0</v>
      </c>
      <c r="I699" s="13">
        <v>7.0</v>
      </c>
      <c r="J699" s="13">
        <v>0.0</v>
      </c>
      <c r="K699" s="12" t="s">
        <v>21</v>
      </c>
      <c r="L699" s="7">
        <v>40744.4106712963</v>
      </c>
      <c r="M699" s="14" t="s">
        <v>1183</v>
      </c>
      <c r="N699" s="14" t="s">
        <v>1741</v>
      </c>
      <c r="O699" s="11" t="str">
        <f>HYPERLINK("https://pbs.twimg.com/profile_images/2886497784/446ac3a9324028fbf00d2d5a0b960197_normal.gif","View")</f>
        <v>View</v>
      </c>
      <c r="P699" s="15"/>
    </row>
    <row r="700">
      <c r="A700" s="7">
        <v>42425.3696412037</v>
      </c>
      <c r="B700" s="8" t="str">
        <f>HYPERLINK("https://twitter.com/py3k","@py3k")</f>
        <v>@py3k</v>
      </c>
      <c r="C700" s="10" t="s">
        <v>297</v>
      </c>
      <c r="D700" s="10" t="s">
        <v>1750</v>
      </c>
      <c r="E700" s="11" t="str">
        <f>HYPERLINK("https://twitter.com/py3k/status/702898926299574272","702898926299574272")</f>
        <v>702898926299574272</v>
      </c>
      <c r="F700" s="12" t="s">
        <v>299</v>
      </c>
      <c r="G700" s="13">
        <v>1623.0</v>
      </c>
      <c r="H700" s="13">
        <v>676.0</v>
      </c>
      <c r="I700" s="13">
        <v>1.0</v>
      </c>
      <c r="J700" s="13">
        <v>0.0</v>
      </c>
      <c r="K700" s="12" t="s">
        <v>21</v>
      </c>
      <c r="L700" s="7">
        <v>41096.62268518518</v>
      </c>
      <c r="M700" s="16"/>
      <c r="N700" s="14" t="s">
        <v>300</v>
      </c>
      <c r="O700" s="11" t="str">
        <f>HYPERLINK("https://pbs.twimg.com/profile_images/2474433856/p075cerxh0arpea6ceip_normal.png","View")</f>
        <v>View</v>
      </c>
      <c r="P700" s="15"/>
    </row>
    <row r="701">
      <c r="A701" s="7">
        <v>42425.36980324074</v>
      </c>
      <c r="B701" s="8" t="str">
        <f>HYPERLINK("https://twitter.com/xima","@xima")</f>
        <v>@xima</v>
      </c>
      <c r="C701" s="10" t="s">
        <v>1751</v>
      </c>
      <c r="D701" s="10" t="s">
        <v>1461</v>
      </c>
      <c r="E701" s="11" t="str">
        <f>HYPERLINK("https://twitter.com/xima/status/702898983648305152","702898983648305152")</f>
        <v>702898983648305152</v>
      </c>
      <c r="F701" s="12" t="s">
        <v>152</v>
      </c>
      <c r="G701" s="13">
        <v>502.0</v>
      </c>
      <c r="H701" s="13">
        <v>410.0</v>
      </c>
      <c r="I701" s="13">
        <v>17.0</v>
      </c>
      <c r="J701" s="13">
        <v>0.0</v>
      </c>
      <c r="K701" s="12" t="s">
        <v>21</v>
      </c>
      <c r="L701" s="7">
        <v>39897.68268518519</v>
      </c>
      <c r="M701" s="14" t="s">
        <v>1752</v>
      </c>
      <c r="N701" s="14" t="s">
        <v>1753</v>
      </c>
      <c r="O701" s="11" t="str">
        <f>HYPERLINK("https://pbs.twimg.com/profile_images/598577836853731329/pRPzCcBl_normal.png","View")</f>
        <v>View</v>
      </c>
      <c r="P701" s="15"/>
    </row>
    <row r="702">
      <c r="A702" s="7">
        <v>42425.369837962964</v>
      </c>
      <c r="B702" s="8" t="str">
        <f>HYPERLINK("https://twitter.com/Iam_urdata","@Iam_urdata")</f>
        <v>@Iam_urdata</v>
      </c>
      <c r="C702" s="10" t="s">
        <v>1754</v>
      </c>
      <c r="D702" s="10" t="s">
        <v>1755</v>
      </c>
      <c r="E702" s="11" t="str">
        <f>HYPERLINK("https://twitter.com/Iam_urdata/status/702898995505442821","702898995505442821")</f>
        <v>702898995505442821</v>
      </c>
      <c r="F702" s="12" t="s">
        <v>20</v>
      </c>
      <c r="G702" s="13">
        <v>113.0</v>
      </c>
      <c r="H702" s="13">
        <v>202.0</v>
      </c>
      <c r="I702" s="13">
        <v>1.0</v>
      </c>
      <c r="J702" s="13">
        <v>1.0</v>
      </c>
      <c r="K702" s="12" t="s">
        <v>21</v>
      </c>
      <c r="L702" s="7">
        <v>40136.10951388889</v>
      </c>
      <c r="M702" s="14" t="s">
        <v>1756</v>
      </c>
      <c r="N702" s="14" t="s">
        <v>1757</v>
      </c>
      <c r="O702" s="11" t="str">
        <f>HYPERLINK("https://pbs.twimg.com/profile_images/701689285678727168/05uXY6gz_normal.jpg","View")</f>
        <v>View</v>
      </c>
      <c r="P702" s="15"/>
    </row>
    <row r="703">
      <c r="A703" s="7">
        <v>42425.37023148148</v>
      </c>
      <c r="B703" s="8" t="str">
        <f>HYPERLINK("https://twitter.com/ciypro","@ciypro")</f>
        <v>@ciypro</v>
      </c>
      <c r="C703" s="10" t="s">
        <v>1758</v>
      </c>
      <c r="D703" s="10" t="s">
        <v>1492</v>
      </c>
      <c r="E703" s="11" t="str">
        <f>HYPERLINK("https://twitter.com/ciypro/status/702899138040442881","702899138040442881")</f>
        <v>702899138040442881</v>
      </c>
      <c r="F703" s="12" t="s">
        <v>20</v>
      </c>
      <c r="G703" s="13">
        <v>464.0</v>
      </c>
      <c r="H703" s="13">
        <v>970.0</v>
      </c>
      <c r="I703" s="13">
        <v>4.0</v>
      </c>
      <c r="J703" s="13">
        <v>0.0</v>
      </c>
      <c r="K703" s="12" t="s">
        <v>21</v>
      </c>
      <c r="L703" s="7">
        <v>40944.09090277778</v>
      </c>
      <c r="M703" s="14" t="s">
        <v>1759</v>
      </c>
      <c r="N703" s="14" t="s">
        <v>1760</v>
      </c>
      <c r="O703" s="11" t="str">
        <f>HYPERLINK("https://pbs.twimg.com/profile_images/688421075584061440/IDGdjnfx_normal.jpg","View")</f>
        <v>View</v>
      </c>
      <c r="P703" s="15"/>
    </row>
    <row r="704">
      <c r="A704" s="7">
        <v>42425.37040509259</v>
      </c>
      <c r="B704" s="8" t="str">
        <f>HYPERLINK("https://twitter.com/casneuf","@casneuf")</f>
        <v>@casneuf</v>
      </c>
      <c r="C704" s="10" t="s">
        <v>1761</v>
      </c>
      <c r="D704" s="10" t="s">
        <v>1762</v>
      </c>
      <c r="E704" s="11" t="str">
        <f>HYPERLINK("https://twitter.com/casneuf/status/702899199403282433","702899199403282433")</f>
        <v>702899199403282433</v>
      </c>
      <c r="F704" s="12" t="s">
        <v>52</v>
      </c>
      <c r="G704" s="13">
        <v>107.0</v>
      </c>
      <c r="H704" s="13">
        <v>91.0</v>
      </c>
      <c r="I704" s="13">
        <v>0.0</v>
      </c>
      <c r="J704" s="13">
        <v>0.0</v>
      </c>
      <c r="K704" s="12" t="s">
        <v>21</v>
      </c>
      <c r="L704" s="7">
        <v>40664.34388888889</v>
      </c>
      <c r="M704" s="16"/>
      <c r="N704" s="14" t="s">
        <v>1763</v>
      </c>
      <c r="O704" s="11" t="str">
        <f>HYPERLINK("https://pbs.twimg.com/profile_images/679652744374972416/mlVzt-J7_normal.jpg","View")</f>
        <v>View</v>
      </c>
      <c r="P704" s="15"/>
    </row>
    <row r="705">
      <c r="A705" s="7">
        <v>42425.37241898148</v>
      </c>
      <c r="B705" s="8" t="str">
        <f>HYPERLINK("https://twitter.com/roosimgi","@roosimgi")</f>
        <v>@roosimgi</v>
      </c>
      <c r="C705" s="10" t="s">
        <v>1764</v>
      </c>
      <c r="D705" s="10" t="s">
        <v>1765</v>
      </c>
      <c r="E705" s="11" t="str">
        <f>HYPERLINK("https://twitter.com/roosimgi/status/702899930059423745","702899930059423745")</f>
        <v>702899930059423745</v>
      </c>
      <c r="F705" s="12" t="s">
        <v>52</v>
      </c>
      <c r="G705" s="13">
        <v>61.0</v>
      </c>
      <c r="H705" s="13">
        <v>110.0</v>
      </c>
      <c r="I705" s="13">
        <v>1.0</v>
      </c>
      <c r="J705" s="13">
        <v>0.0</v>
      </c>
      <c r="K705" s="12" t="s">
        <v>21</v>
      </c>
      <c r="L705" s="7">
        <v>41467.00795138889</v>
      </c>
      <c r="M705" s="16"/>
      <c r="N705" s="16"/>
      <c r="O705" s="11" t="str">
        <f>HYPERLINK("https://pbs.twimg.com/profile_images/447688402289192960/bmGnjen4_normal.jpeg","View")</f>
        <v>View</v>
      </c>
      <c r="P705" s="15"/>
    </row>
    <row r="706">
      <c r="A706" s="7">
        <v>42425.37261574074</v>
      </c>
      <c r="B706" s="8" t="str">
        <f>HYPERLINK("https://twitter.com/adilkhash","@adilkhash")</f>
        <v>@adilkhash</v>
      </c>
      <c r="C706" s="10" t="s">
        <v>1766</v>
      </c>
      <c r="D706" s="10" t="s">
        <v>966</v>
      </c>
      <c r="E706" s="11" t="str">
        <f>HYPERLINK("https://twitter.com/adilkhash/status/702900001349832704","702900001349832704")</f>
        <v>702900001349832704</v>
      </c>
      <c r="F706" s="12" t="s">
        <v>152</v>
      </c>
      <c r="G706" s="13">
        <v>167.0</v>
      </c>
      <c r="H706" s="13">
        <v>222.0</v>
      </c>
      <c r="I706" s="13">
        <v>11.0</v>
      </c>
      <c r="J706" s="13">
        <v>0.0</v>
      </c>
      <c r="K706" s="12" t="s">
        <v>21</v>
      </c>
      <c r="L706" s="7">
        <v>40324.04355324074</v>
      </c>
      <c r="M706" s="14" t="s">
        <v>1767</v>
      </c>
      <c r="N706" s="14" t="s">
        <v>1768</v>
      </c>
      <c r="O706" s="11" t="str">
        <f>HYPERLINK("https://pbs.twimg.com/profile_images/699787317981028352/0BVSA4ND_normal.jpg","View")</f>
        <v>View</v>
      </c>
      <c r="P706" s="15"/>
    </row>
    <row r="707">
      <c r="A707" s="7">
        <v>42425.37291666667</v>
      </c>
      <c r="B707" s="8" t="str">
        <f>HYPERLINK("https://twitter.com/cool_python","@cool_python")</f>
        <v>@cool_python</v>
      </c>
      <c r="C707" s="10" t="s">
        <v>249</v>
      </c>
      <c r="D707" s="10" t="s">
        <v>1769</v>
      </c>
      <c r="E707" s="11" t="str">
        <f>HYPERLINK("https://twitter.com/cool_python/status/702900111924404224","702900111924404224")</f>
        <v>702900111924404224</v>
      </c>
      <c r="F707" s="12" t="s">
        <v>251</v>
      </c>
      <c r="G707" s="13">
        <v>235.0</v>
      </c>
      <c r="H707" s="13">
        <v>91.0</v>
      </c>
      <c r="I707" s="13">
        <v>1.0</v>
      </c>
      <c r="J707" s="13">
        <v>0.0</v>
      </c>
      <c r="K707" s="12" t="s">
        <v>21</v>
      </c>
      <c r="L707" s="7">
        <v>42064.325</v>
      </c>
      <c r="M707" s="14" t="s">
        <v>252</v>
      </c>
      <c r="N707" s="14" t="s">
        <v>253</v>
      </c>
      <c r="O707" s="11" t="str">
        <f>HYPERLINK("https://pbs.twimg.com/profile_images/572091631055028224/Pkx__FSB_normal.png","View")</f>
        <v>View</v>
      </c>
      <c r="P707" s="15"/>
    </row>
    <row r="708">
      <c r="A708" s="7">
        <v>42425.37421296297</v>
      </c>
      <c r="B708" s="8" t="str">
        <f>HYPERLINK("https://twitter.com/DesignerExotics","@DesignerExotics")</f>
        <v>@DesignerExotics</v>
      </c>
      <c r="C708" s="10" t="s">
        <v>1770</v>
      </c>
      <c r="D708" s="10" t="s">
        <v>1771</v>
      </c>
      <c r="E708" s="11" t="str">
        <f>HYPERLINK("https://twitter.com/DesignerExotics/status/702900581141254144","702900581141254144")</f>
        <v>702900581141254144</v>
      </c>
      <c r="F708" s="12" t="s">
        <v>103</v>
      </c>
      <c r="G708" s="13">
        <v>118.0</v>
      </c>
      <c r="H708" s="13">
        <v>63.0</v>
      </c>
      <c r="I708" s="13">
        <v>0.0</v>
      </c>
      <c r="J708" s="13">
        <v>1.0</v>
      </c>
      <c r="K708" s="12" t="s">
        <v>21</v>
      </c>
      <c r="L708" s="7">
        <v>41793.55726851852</v>
      </c>
      <c r="M708" s="16"/>
      <c r="N708" s="14" t="s">
        <v>1772</v>
      </c>
      <c r="O708" s="11" t="str">
        <f>HYPERLINK("https://pbs.twimg.com/profile_images/473928965027921921/LowAElVi_normal.jpeg","View")</f>
        <v>View</v>
      </c>
      <c r="P708" s="15"/>
    </row>
    <row r="709">
      <c r="A709" s="7">
        <v>42425.37472222222</v>
      </c>
      <c r="B709" s="8" t="str">
        <f>HYPERLINK("https://twitter.com/behaviordots","@behaviordots")</f>
        <v>@behaviordots</v>
      </c>
      <c r="C709" s="10" t="s">
        <v>1773</v>
      </c>
      <c r="D709" s="10" t="s">
        <v>1774</v>
      </c>
      <c r="E709" s="11" t="str">
        <f>HYPERLINK("https://twitter.com/behaviordots/status/702900763752849408","702900763752849408")</f>
        <v>702900763752849408</v>
      </c>
      <c r="F709" s="12" t="s">
        <v>20</v>
      </c>
      <c r="G709" s="13">
        <v>474.0</v>
      </c>
      <c r="H709" s="13">
        <v>558.0</v>
      </c>
      <c r="I709" s="13">
        <v>0.0</v>
      </c>
      <c r="J709" s="13">
        <v>4.0</v>
      </c>
      <c r="K709" s="12" t="s">
        <v>21</v>
      </c>
      <c r="L709" s="7">
        <v>42317.64460648148</v>
      </c>
      <c r="M709" s="16"/>
      <c r="N709" s="14" t="s">
        <v>1775</v>
      </c>
      <c r="O709" s="11" t="str">
        <f>HYPERLINK("https://pbs.twimg.com/profile_images/672135815087149056/Cyx6X1gZ_normal.jpg","View")</f>
        <v>View</v>
      </c>
      <c r="P709" s="15"/>
    </row>
    <row r="710">
      <c r="A710" s="7">
        <v>42425.37511574074</v>
      </c>
      <c r="B710" s="8" t="str">
        <f>HYPERLINK("https://twitter.com/PythonWeekly","@PythonWeekly")</f>
        <v>@PythonWeekly</v>
      </c>
      <c r="C710" s="10" t="s">
        <v>948</v>
      </c>
      <c r="D710" s="10" t="s">
        <v>1776</v>
      </c>
      <c r="E710" s="11" t="str">
        <f>HYPERLINK("https://twitter.com/PythonWeekly/status/702900909014175744","702900909014175744")</f>
        <v>702900909014175744</v>
      </c>
      <c r="F710" s="12" t="s">
        <v>294</v>
      </c>
      <c r="G710" s="13">
        <v>15565.0</v>
      </c>
      <c r="H710" s="13">
        <v>0.0</v>
      </c>
      <c r="I710" s="13">
        <v>5.0</v>
      </c>
      <c r="J710" s="13">
        <v>9.0</v>
      </c>
      <c r="K710" s="12" t="s">
        <v>21</v>
      </c>
      <c r="L710" s="7">
        <v>40800.65934027778</v>
      </c>
      <c r="M710" s="16"/>
      <c r="N710" s="14" t="s">
        <v>950</v>
      </c>
      <c r="O710" s="11" t="str">
        <f>HYPERLINK("https://pbs.twimg.com/profile_images/1554238582/python_normal.jpg","View")</f>
        <v>View</v>
      </c>
      <c r="P710" s="15"/>
    </row>
    <row r="711">
      <c r="A711" s="7">
        <v>42425.375821759255</v>
      </c>
      <c r="B711" s="8" t="str">
        <f>HYPERLINK("https://twitter.com/gitlotto","@gitlotto")</f>
        <v>@gitlotto</v>
      </c>
      <c r="C711" s="10" t="s">
        <v>1777</v>
      </c>
      <c r="D711" s="10" t="s">
        <v>1778</v>
      </c>
      <c r="E711" s="11" t="str">
        <f>HYPERLINK("https://twitter.com/gitlotto/status/702901162224308224","702901162224308224")</f>
        <v>702901162224308224</v>
      </c>
      <c r="F711" s="12" t="s">
        <v>1779</v>
      </c>
      <c r="G711" s="13">
        <v>110.0</v>
      </c>
      <c r="H711" s="13">
        <v>6.0</v>
      </c>
      <c r="I711" s="13">
        <v>0.0</v>
      </c>
      <c r="J711" s="13">
        <v>0.0</v>
      </c>
      <c r="K711" s="12" t="s">
        <v>21</v>
      </c>
      <c r="L711" s="7">
        <v>41548.864224537036</v>
      </c>
      <c r="M711" s="16"/>
      <c r="N711" s="14" t="s">
        <v>1780</v>
      </c>
      <c r="O711" s="11" t="str">
        <f>HYPERLINK("https://pbs.twimg.com/profile_images/517412760750407680/zT6xH1e4_normal.jpeg","View")</f>
        <v>View</v>
      </c>
      <c r="P711" s="15"/>
    </row>
    <row r="712">
      <c r="A712" s="7">
        <v>42425.37614583333</v>
      </c>
      <c r="B712" s="8" t="str">
        <f>HYPERLINK("https://twitter.com/JuliaLangsEs","@JuliaLangsEs")</f>
        <v>@JuliaLangsEs</v>
      </c>
      <c r="C712" s="10" t="s">
        <v>1781</v>
      </c>
      <c r="D712" s="10" t="s">
        <v>1782</v>
      </c>
      <c r="E712" s="11" t="str">
        <f>HYPERLINK("https://twitter.com/JuliaLangsEs/status/702901281346572290","702901281346572290")</f>
        <v>702901281346572290</v>
      </c>
      <c r="F712" s="12" t="s">
        <v>446</v>
      </c>
      <c r="G712" s="13">
        <v>204.0</v>
      </c>
      <c r="H712" s="13">
        <v>582.0</v>
      </c>
      <c r="I712" s="13">
        <v>8.0</v>
      </c>
      <c r="J712" s="13">
        <v>0.0</v>
      </c>
      <c r="K712" s="12" t="s">
        <v>21</v>
      </c>
      <c r="L712" s="7">
        <v>42178.59483796296</v>
      </c>
      <c r="M712" s="14" t="s">
        <v>1783</v>
      </c>
      <c r="N712" s="14" t="s">
        <v>1784</v>
      </c>
      <c r="O712" s="11" t="str">
        <f>HYPERLINK("https://pbs.twimg.com/profile_images/613456073979092992/1Bd3LSz1_normal.png","View")</f>
        <v>View</v>
      </c>
      <c r="P712" s="15"/>
    </row>
    <row r="713">
      <c r="A713" s="7">
        <v>42425.37614583333</v>
      </c>
      <c r="B713" s="8" t="str">
        <f>HYPERLINK("https://twitter.com/JuliaLanguage","@JuliaLanguage")</f>
        <v>@JuliaLanguage</v>
      </c>
      <c r="C713" s="10" t="s">
        <v>1785</v>
      </c>
      <c r="D713" s="10" t="s">
        <v>1782</v>
      </c>
      <c r="E713" s="11" t="str">
        <f>HYPERLINK("https://twitter.com/JuliaLanguage/status/702901281355005952","702901281355005952")</f>
        <v>702901281355005952</v>
      </c>
      <c r="F713" s="12" t="s">
        <v>446</v>
      </c>
      <c r="G713" s="13">
        <v>3051.0</v>
      </c>
      <c r="H713" s="13">
        <v>336.0</v>
      </c>
      <c r="I713" s="13">
        <v>8.0</v>
      </c>
      <c r="J713" s="13">
        <v>0.0</v>
      </c>
      <c r="K713" s="12" t="s">
        <v>21</v>
      </c>
      <c r="L713" s="7">
        <v>41335.85346064815</v>
      </c>
      <c r="M713" s="14" t="s">
        <v>1786</v>
      </c>
      <c r="N713" s="14" t="s">
        <v>1787</v>
      </c>
      <c r="O713" s="11" t="str">
        <f>HYPERLINK("https://pbs.twimg.com/profile_images/3331406046/647b7cf75cb5662b96901bc521968e94_normal.png","View")</f>
        <v>View</v>
      </c>
      <c r="P713" s="15"/>
    </row>
    <row r="714">
      <c r="A714" s="7">
        <v>42425.37614583333</v>
      </c>
      <c r="B714" s="8" t="str">
        <f>HYPERLINK("https://twitter.com/ismael_vc","@ismael_vc")</f>
        <v>@ismael_vc</v>
      </c>
      <c r="C714" s="10" t="s">
        <v>1788</v>
      </c>
      <c r="D714" s="10" t="s">
        <v>1782</v>
      </c>
      <c r="E714" s="11" t="str">
        <f>HYPERLINK("https://twitter.com/ismael_vc/status/702901281556279296","702901281556279296")</f>
        <v>702901281556279296</v>
      </c>
      <c r="F714" s="12" t="s">
        <v>446</v>
      </c>
      <c r="G714" s="13">
        <v>519.0</v>
      </c>
      <c r="H714" s="13">
        <v>4278.0</v>
      </c>
      <c r="I714" s="13">
        <v>8.0</v>
      </c>
      <c r="J714" s="13">
        <v>0.0</v>
      </c>
      <c r="K714" s="12" t="s">
        <v>21</v>
      </c>
      <c r="L714" s="7">
        <v>41181.33966435185</v>
      </c>
      <c r="M714" s="14" t="s">
        <v>1789</v>
      </c>
      <c r="N714" s="14" t="s">
        <v>1790</v>
      </c>
      <c r="O714" s="11" t="str">
        <f>HYPERLINK("https://pbs.twimg.com/profile_images/643074023430057984/Oh7q-TYL_normal.jpg","View")</f>
        <v>View</v>
      </c>
      <c r="P714" s="15"/>
    </row>
    <row r="715">
      <c r="A715" s="7">
        <v>42425.376550925925</v>
      </c>
      <c r="B715" s="8" t="str">
        <f>HYPERLINK("https://twitter.com/BigDataTweetBot","@BigDataTweetBot")</f>
        <v>@BigDataTweetBot</v>
      </c>
      <c r="C715" s="10" t="s">
        <v>1440</v>
      </c>
      <c r="D715" s="10" t="s">
        <v>1791</v>
      </c>
      <c r="E715" s="11" t="str">
        <f>HYPERLINK("https://twitter.com/BigDataTweetBot/status/702901429770526720","702901429770526720")</f>
        <v>702901429770526720</v>
      </c>
      <c r="F715" s="12" t="s">
        <v>1442</v>
      </c>
      <c r="G715" s="13">
        <v>8623.0</v>
      </c>
      <c r="H715" s="13">
        <v>243.0</v>
      </c>
      <c r="I715" s="13">
        <v>1.0</v>
      </c>
      <c r="J715" s="13">
        <v>0.0</v>
      </c>
      <c r="K715" s="12" t="s">
        <v>21</v>
      </c>
      <c r="L715" s="7">
        <v>42187.77106481481</v>
      </c>
      <c r="M715" s="16"/>
      <c r="N715" s="14" t="s">
        <v>1443</v>
      </c>
      <c r="O715" s="11" t="str">
        <f>HYPERLINK("https://pbs.twimg.com/profile_images/616793252524650496/bQbxJqmz_normal.jpg","View")</f>
        <v>View</v>
      </c>
      <c r="P715" s="15"/>
    </row>
    <row r="716">
      <c r="A716" s="7">
        <v>42425.37721064815</v>
      </c>
      <c r="B716" s="8" t="str">
        <f>HYPERLINK("https://twitter.com/eigenein","@eigenein")</f>
        <v>@eigenein</v>
      </c>
      <c r="C716" s="10" t="s">
        <v>1792</v>
      </c>
      <c r="D716" s="10" t="s">
        <v>1793</v>
      </c>
      <c r="E716" s="11" t="str">
        <f>HYPERLINK("https://twitter.com/eigenein/status/702901667927334912","702901667927334912")</f>
        <v>702901667927334912</v>
      </c>
      <c r="F716" s="12" t="s">
        <v>20</v>
      </c>
      <c r="G716" s="13">
        <v>36.0</v>
      </c>
      <c r="H716" s="13">
        <v>65.0</v>
      </c>
      <c r="I716" s="13">
        <v>0.0</v>
      </c>
      <c r="J716" s="13">
        <v>0.0</v>
      </c>
      <c r="K716" s="12" t="s">
        <v>21</v>
      </c>
      <c r="L716" s="7">
        <v>40615.738229166665</v>
      </c>
      <c r="M716" s="14" t="s">
        <v>1794</v>
      </c>
      <c r="N716" s="16"/>
      <c r="O716" s="11" t="str">
        <f>HYPERLINK("https://pbs.twimg.com/profile_images/458782197839704064/5E5mb6Br_normal.jpeg","View")</f>
        <v>View</v>
      </c>
      <c r="P716" s="15"/>
    </row>
    <row r="717">
      <c r="A717" s="7">
        <v>42425.377233796295</v>
      </c>
      <c r="B717" s="8" t="str">
        <f>HYPERLINK("https://twitter.com/IntersysConsult","@IntersysConsult")</f>
        <v>@IntersysConsult</v>
      </c>
      <c r="C717" s="10" t="s">
        <v>1795</v>
      </c>
      <c r="D717" s="10" t="s">
        <v>1796</v>
      </c>
      <c r="E717" s="11" t="str">
        <f>HYPERLINK("https://twitter.com/IntersysConsult/status/702901674818596865","702901674818596865")</f>
        <v>702901674818596865</v>
      </c>
      <c r="F717" s="12" t="s">
        <v>1797</v>
      </c>
      <c r="G717" s="13">
        <v>282.0</v>
      </c>
      <c r="H717" s="13">
        <v>538.0</v>
      </c>
      <c r="I717" s="13">
        <v>2.0</v>
      </c>
      <c r="J717" s="13">
        <v>1.0</v>
      </c>
      <c r="K717" s="12" t="s">
        <v>21</v>
      </c>
      <c r="L717" s="7">
        <v>39890.37498842592</v>
      </c>
      <c r="M717" s="14" t="s">
        <v>1798</v>
      </c>
      <c r="N717" s="14" t="s">
        <v>1799</v>
      </c>
      <c r="O717" s="11" t="str">
        <f>HYPERLINK("https://pbs.twimg.com/profile_images/679044724620001280/uEmFrBJz_normal.png","View")</f>
        <v>View</v>
      </c>
      <c r="P717" s="15"/>
    </row>
    <row r="718">
      <c r="A718" s="7">
        <v>42425.37736111111</v>
      </c>
      <c r="B718" s="8" t="str">
        <f>HYPERLINK("https://twitter.com/saint3271","@saint3271")</f>
        <v>@saint3271</v>
      </c>
      <c r="C718" s="10" t="s">
        <v>1800</v>
      </c>
      <c r="D718" s="10" t="s">
        <v>1683</v>
      </c>
      <c r="E718" s="11" t="str">
        <f>HYPERLINK("https://twitter.com/saint3271/status/702901722545528832","702901722545528832")</f>
        <v>702901722545528832</v>
      </c>
      <c r="F718" s="12" t="s">
        <v>1801</v>
      </c>
      <c r="G718" s="13">
        <v>718.0</v>
      </c>
      <c r="H718" s="13">
        <v>1322.0</v>
      </c>
      <c r="I718" s="13">
        <v>2.0</v>
      </c>
      <c r="J718" s="13">
        <v>0.0</v>
      </c>
      <c r="K718" s="12" t="s">
        <v>21</v>
      </c>
      <c r="L718" s="7">
        <v>42084.775300925925</v>
      </c>
      <c r="M718" s="14" t="s">
        <v>1802</v>
      </c>
      <c r="N718" s="14" t="s">
        <v>1803</v>
      </c>
      <c r="O718" s="11" t="str">
        <f>HYPERLINK("https://pbs.twimg.com/profile_images/579480363971407872/P3rNlC7O_normal.jpg","View")</f>
        <v>View</v>
      </c>
      <c r="P718" s="15"/>
    </row>
    <row r="719">
      <c r="A719" s="7">
        <v>42425.37774305556</v>
      </c>
      <c r="B719" s="8" t="str">
        <f>HYPERLINK("https://twitter.com/ellmetha","@ellmetha")</f>
        <v>@ellmetha</v>
      </c>
      <c r="C719" s="10" t="s">
        <v>1804</v>
      </c>
      <c r="D719" s="10" t="s">
        <v>1805</v>
      </c>
      <c r="E719" s="11" t="str">
        <f>HYPERLINK("https://twitter.com/ellmetha/status/702901862022905857","702901862022905857")</f>
        <v>702901862022905857</v>
      </c>
      <c r="F719" s="12" t="s">
        <v>152</v>
      </c>
      <c r="G719" s="13">
        <v>60.0</v>
      </c>
      <c r="H719" s="13">
        <v>217.0</v>
      </c>
      <c r="I719" s="13">
        <v>4.0</v>
      </c>
      <c r="J719" s="13">
        <v>0.0</v>
      </c>
      <c r="K719" s="12" t="s">
        <v>21</v>
      </c>
      <c r="L719" s="7">
        <v>40928.4303125</v>
      </c>
      <c r="M719" s="14" t="s">
        <v>1806</v>
      </c>
      <c r="N719" s="14" t="s">
        <v>1807</v>
      </c>
      <c r="O719" s="11" t="str">
        <f>HYPERLINK("https://pbs.twimg.com/profile_images/628333271823347712/G3O2sTxI_normal.jpg","View")</f>
        <v>View</v>
      </c>
      <c r="P719" s="15"/>
    </row>
    <row r="720">
      <c r="A720" s="7">
        <v>42425.37824074074</v>
      </c>
      <c r="B720" s="8" t="str">
        <f>HYPERLINK("https://twitter.com/datagz","@datagz")</f>
        <v>@datagz</v>
      </c>
      <c r="C720" s="10" t="s">
        <v>1808</v>
      </c>
      <c r="D720" s="10" t="s">
        <v>1809</v>
      </c>
      <c r="E720" s="11" t="str">
        <f>HYPERLINK("https://twitter.com/datagz/status/702902041891487744","702902041891487744")</f>
        <v>702902041891487744</v>
      </c>
      <c r="F720" s="12" t="s">
        <v>1573</v>
      </c>
      <c r="G720" s="13">
        <v>150.0</v>
      </c>
      <c r="H720" s="13">
        <v>403.0</v>
      </c>
      <c r="I720" s="13">
        <v>5.0</v>
      </c>
      <c r="J720" s="13">
        <v>0.0</v>
      </c>
      <c r="K720" s="12" t="s">
        <v>21</v>
      </c>
      <c r="L720" s="7">
        <v>42063.81384259259</v>
      </c>
      <c r="M720" s="14" t="s">
        <v>1810</v>
      </c>
      <c r="N720" s="14" t="s">
        <v>1811</v>
      </c>
      <c r="O720" s="11" t="str">
        <f>HYPERLINK("https://pbs.twimg.com/profile_images/582683368392941568/vEdycuUq_normal.jpg","View")</f>
        <v>View</v>
      </c>
      <c r="P720" s="15"/>
    </row>
    <row r="721">
      <c r="A721" s="7">
        <v>42425.37934027778</v>
      </c>
      <c r="B721" s="8" t="str">
        <f>HYPERLINK("https://twitter.com/wp_mais","@wp_mais")</f>
        <v>@wp_mais</v>
      </c>
      <c r="C721" s="10" t="s">
        <v>1812</v>
      </c>
      <c r="D721" s="10" t="s">
        <v>1813</v>
      </c>
      <c r="E721" s="11" t="str">
        <f>HYPERLINK("https://twitter.com/wp_mais/status/702902438819446784","702902438819446784")</f>
        <v>702902438819446784</v>
      </c>
      <c r="F721" s="12" t="s">
        <v>659</v>
      </c>
      <c r="G721" s="13">
        <v>2154.0</v>
      </c>
      <c r="H721" s="13">
        <v>106.0</v>
      </c>
      <c r="I721" s="13">
        <v>2.0</v>
      </c>
      <c r="J721" s="13">
        <v>3.0</v>
      </c>
      <c r="K721" s="12" t="s">
        <v>21</v>
      </c>
      <c r="L721" s="7">
        <v>41679.389074074075</v>
      </c>
      <c r="M721" s="16"/>
      <c r="N721" s="14" t="s">
        <v>1814</v>
      </c>
      <c r="O721" s="11" t="str">
        <f>HYPERLINK("https://pbs.twimg.com/profile_images/639069014099120128/yiidEDJN_normal.jpg","View")</f>
        <v>View</v>
      </c>
      <c r="P721" s="15"/>
    </row>
    <row r="722">
      <c r="A722" s="7">
        <v>42425.37960648148</v>
      </c>
      <c r="B722" s="8" t="str">
        <f>HYPERLINK("https://twitter.com/josephsirosh","@josephsirosh")</f>
        <v>@josephsirosh</v>
      </c>
      <c r="C722" s="10" t="s">
        <v>1815</v>
      </c>
      <c r="D722" s="10" t="s">
        <v>1816</v>
      </c>
      <c r="E722" s="11" t="str">
        <f>HYPERLINK("https://twitter.com/josephsirosh/status/702902535225389057","702902535225389057")</f>
        <v>702902535225389057</v>
      </c>
      <c r="F722" s="12" t="s">
        <v>20</v>
      </c>
      <c r="G722" s="13">
        <v>3340.0</v>
      </c>
      <c r="H722" s="13">
        <v>311.0</v>
      </c>
      <c r="I722" s="13">
        <v>20.0</v>
      </c>
      <c r="J722" s="13">
        <v>20.0</v>
      </c>
      <c r="K722" s="12" t="s">
        <v>21</v>
      </c>
      <c r="L722" s="7">
        <v>41768.1971875</v>
      </c>
      <c r="M722" s="14" t="s">
        <v>1817</v>
      </c>
      <c r="N722" s="14" t="s">
        <v>1818</v>
      </c>
      <c r="O722" s="11" t="str">
        <f>HYPERLINK("https://pbs.twimg.com/profile_images/464737468311289856/UxDeSZ3B_normal.jpeg","View")</f>
        <v>View</v>
      </c>
      <c r="P722" s="15"/>
    </row>
    <row r="723">
      <c r="A723" s="7">
        <v>42425.38060185185</v>
      </c>
      <c r="B723" s="8" t="str">
        <f>HYPERLINK("https://twitter.com/brakmic","@brakmic")</f>
        <v>@brakmic</v>
      </c>
      <c r="C723" s="10" t="s">
        <v>1819</v>
      </c>
      <c r="D723" s="10" t="s">
        <v>1820</v>
      </c>
      <c r="E723" s="11" t="str">
        <f>HYPERLINK("https://twitter.com/brakmic/status/702902897261068288","702902897261068288")</f>
        <v>702902897261068288</v>
      </c>
      <c r="F723" s="12" t="s">
        <v>446</v>
      </c>
      <c r="G723" s="13">
        <v>419.0</v>
      </c>
      <c r="H723" s="13">
        <v>175.0</v>
      </c>
      <c r="I723" s="13">
        <v>20.0</v>
      </c>
      <c r="J723" s="13">
        <v>0.0</v>
      </c>
      <c r="K723" s="12" t="s">
        <v>21</v>
      </c>
      <c r="L723" s="7">
        <v>39866.405127314814</v>
      </c>
      <c r="M723" s="14" t="s">
        <v>1821</v>
      </c>
      <c r="N723" s="14" t="s">
        <v>1822</v>
      </c>
      <c r="O723" s="11" t="str">
        <f>HYPERLINK("https://pbs.twimg.com/profile_images/477506554443223040/E8Y26wft_normal.jpeg","View")</f>
        <v>View</v>
      </c>
      <c r="P723" s="15"/>
    </row>
    <row r="724">
      <c r="A724" s="7">
        <v>42425.380740740744</v>
      </c>
      <c r="B724" s="8" t="str">
        <f>HYPERLINK("https://twitter.com/cool_python","@cool_python")</f>
        <v>@cool_python</v>
      </c>
      <c r="C724" s="10" t="s">
        <v>249</v>
      </c>
      <c r="D724" s="10" t="s">
        <v>1823</v>
      </c>
      <c r="E724" s="11" t="str">
        <f>HYPERLINK("https://twitter.com/cool_python/status/702902945713623041","702902945713623041")</f>
        <v>702902945713623041</v>
      </c>
      <c r="F724" s="12" t="s">
        <v>251</v>
      </c>
      <c r="G724" s="13">
        <v>235.0</v>
      </c>
      <c r="H724" s="13">
        <v>91.0</v>
      </c>
      <c r="I724" s="13">
        <v>5.0</v>
      </c>
      <c r="J724" s="13">
        <v>0.0</v>
      </c>
      <c r="K724" s="12" t="s">
        <v>21</v>
      </c>
      <c r="L724" s="7">
        <v>42064.325</v>
      </c>
      <c r="M724" s="14" t="s">
        <v>252</v>
      </c>
      <c r="N724" s="14" t="s">
        <v>253</v>
      </c>
      <c r="O724" s="11" t="str">
        <f>HYPERLINK("https://pbs.twimg.com/profile_images/572091631055028224/Pkx__FSB_normal.png","View")</f>
        <v>View</v>
      </c>
      <c r="P724" s="15"/>
    </row>
    <row r="725">
      <c r="A725" s="7">
        <v>42425.38075231481</v>
      </c>
      <c r="B725" s="8" t="str">
        <f>HYPERLINK("https://twitter.com/JeromeA_Tweets","@JeromeA_Tweets")</f>
        <v>@JeromeA_Tweets</v>
      </c>
      <c r="C725" s="10" t="s">
        <v>1824</v>
      </c>
      <c r="D725" s="10" t="s">
        <v>1820</v>
      </c>
      <c r="E725" s="11" t="str">
        <f>HYPERLINK("https://twitter.com/JeromeA_Tweets/status/702902952965627904","702902952965627904")</f>
        <v>702902952965627904</v>
      </c>
      <c r="F725" s="12" t="s">
        <v>20</v>
      </c>
      <c r="G725" s="13">
        <v>483.0</v>
      </c>
      <c r="H725" s="13">
        <v>728.0</v>
      </c>
      <c r="I725" s="13">
        <v>20.0</v>
      </c>
      <c r="J725" s="13">
        <v>0.0</v>
      </c>
      <c r="K725" s="12" t="s">
        <v>21</v>
      </c>
      <c r="L725" s="7">
        <v>41297.29387731481</v>
      </c>
      <c r="M725" s="14" t="s">
        <v>241</v>
      </c>
      <c r="N725" s="14" t="s">
        <v>1825</v>
      </c>
      <c r="O725" s="11" t="str">
        <f>HYPERLINK("https://pbs.twimg.com/profile_images/378800000532998173/36e910217b05022890e84d6a413187fd_normal.jpeg","View")</f>
        <v>View</v>
      </c>
      <c r="P725" s="15"/>
    </row>
    <row r="726">
      <c r="A726" s="7">
        <v>42425.38081018519</v>
      </c>
      <c r="B726" s="8" t="str">
        <f>HYPERLINK("https://twitter.com/HPC_Guru","@HPC_Guru")</f>
        <v>@HPC_Guru</v>
      </c>
      <c r="C726" s="10" t="s">
        <v>1826</v>
      </c>
      <c r="D726" s="10" t="s">
        <v>1827</v>
      </c>
      <c r="E726" s="11" t="str">
        <f>HYPERLINK("https://twitter.com/HPC_Guru/status/702902971131035649","702902971131035649")</f>
        <v>702902971131035649</v>
      </c>
      <c r="F726" s="12" t="s">
        <v>1828</v>
      </c>
      <c r="G726" s="13">
        <v>9401.0</v>
      </c>
      <c r="H726" s="13">
        <v>282.0</v>
      </c>
      <c r="I726" s="13">
        <v>1.0</v>
      </c>
      <c r="J726" s="13">
        <v>3.0</v>
      </c>
      <c r="K726" s="12" t="s">
        <v>21</v>
      </c>
      <c r="L726" s="7">
        <v>39880.07445601852</v>
      </c>
      <c r="M726" s="16"/>
      <c r="N726" s="14" t="s">
        <v>1829</v>
      </c>
      <c r="O726" s="11" t="str">
        <f>HYPERLINK("https://pbs.twimg.com/profile_images/121065329/IMG_0043_normal.PNG","View")</f>
        <v>View</v>
      </c>
      <c r="P726" s="15"/>
    </row>
    <row r="727">
      <c r="A727" s="7">
        <v>42425.38135416667</v>
      </c>
      <c r="B727" s="8" t="str">
        <f>HYPERLINK("https://twitter.com/chiochia","@chiochia")</f>
        <v>@chiochia</v>
      </c>
      <c r="C727" s="10" t="s">
        <v>1830</v>
      </c>
      <c r="D727" s="10" t="s">
        <v>1831</v>
      </c>
      <c r="E727" s="11" t="str">
        <f>HYPERLINK("https://twitter.com/chiochia/status/702903169756565505","702903169756565505")</f>
        <v>702903169756565505</v>
      </c>
      <c r="F727" s="12" t="s">
        <v>52</v>
      </c>
      <c r="G727" s="13">
        <v>4226.0</v>
      </c>
      <c r="H727" s="13">
        <v>3336.0</v>
      </c>
      <c r="I727" s="13">
        <v>1.0</v>
      </c>
      <c r="J727" s="13">
        <v>2.0</v>
      </c>
      <c r="K727" s="12" t="s">
        <v>21</v>
      </c>
      <c r="L727" s="7">
        <v>40086.548530092594</v>
      </c>
      <c r="M727" s="14" t="s">
        <v>1832</v>
      </c>
      <c r="N727" s="14" t="s">
        <v>1833</v>
      </c>
      <c r="O727" s="11" t="str">
        <f>HYPERLINK("https://pbs.twimg.com/profile_images/446680442595336193/keJPARhB_normal.jpeg","View")</f>
        <v>View</v>
      </c>
      <c r="P727" s="15"/>
    </row>
    <row r="728">
      <c r="A728" s="7">
        <v>42425.38160879629</v>
      </c>
      <c r="B728" s="8" t="str">
        <f>HYPERLINK("https://twitter.com/hieuqtran","@hieuqtran")</f>
        <v>@hieuqtran</v>
      </c>
      <c r="C728" s="10" t="s">
        <v>1834</v>
      </c>
      <c r="D728" s="10" t="s">
        <v>1835</v>
      </c>
      <c r="E728" s="11" t="str">
        <f>HYPERLINK("https://twitter.com/hieuqtran/status/702903261297188865","702903261297188865")</f>
        <v>702903261297188865</v>
      </c>
      <c r="F728" s="12" t="s">
        <v>20</v>
      </c>
      <c r="G728" s="13">
        <v>1608.0</v>
      </c>
      <c r="H728" s="13">
        <v>1787.0</v>
      </c>
      <c r="I728" s="13">
        <v>1.0</v>
      </c>
      <c r="J728" s="13">
        <v>0.0</v>
      </c>
      <c r="K728" s="12" t="s">
        <v>21</v>
      </c>
      <c r="L728" s="7">
        <v>42011.657789351855</v>
      </c>
      <c r="M728" s="14" t="s">
        <v>1836</v>
      </c>
      <c r="N728" s="14" t="s">
        <v>1837</v>
      </c>
      <c r="O728" s="11" t="str">
        <f>HYPERLINK("https://pbs.twimg.com/profile_images/565281451176767488/hTXc2VZH_normal.png","View")</f>
        <v>View</v>
      </c>
      <c r="P728" s="15"/>
    </row>
    <row r="729">
      <c r="A729" s="7">
        <v>42425.381840277776</v>
      </c>
      <c r="B729" s="8" t="str">
        <f>HYPERLINK("https://twitter.com/BotJitZu","@BotJitZu")</f>
        <v>@BotJitZu</v>
      </c>
      <c r="C729" s="10" t="s">
        <v>1838</v>
      </c>
      <c r="D729" s="10" t="s">
        <v>1839</v>
      </c>
      <c r="E729" s="11" t="str">
        <f>HYPERLINK("https://twitter.com/BotJitZu/status/702903345871241218","702903345871241218")</f>
        <v>702903345871241218</v>
      </c>
      <c r="F729" s="12" t="s">
        <v>1840</v>
      </c>
      <c r="G729" s="13">
        <v>393.0</v>
      </c>
      <c r="H729" s="13">
        <v>751.0</v>
      </c>
      <c r="I729" s="13">
        <v>0.0</v>
      </c>
      <c r="J729" s="13">
        <v>2.0</v>
      </c>
      <c r="K729" s="12" t="s">
        <v>21</v>
      </c>
      <c r="L729" s="7">
        <v>42366.735821759255</v>
      </c>
      <c r="M729" s="14" t="s">
        <v>1841</v>
      </c>
      <c r="N729" s="14" t="s">
        <v>1842</v>
      </c>
      <c r="O729" s="11" t="str">
        <f>HYPERLINK("https://pbs.twimg.com/profile_images/681756734952738816/gbyGbSBp_normal.png","View")</f>
        <v>View</v>
      </c>
      <c r="P729" s="15"/>
    </row>
    <row r="730">
      <c r="A730" s="7">
        <v>42425.382743055554</v>
      </c>
      <c r="B730" s="8" t="str">
        <f t="shared" ref="B730:B732" si="57">HYPERLINK("https://twitter.com/PythonBooks","@PythonBooks")</f>
        <v>@PythonBooks</v>
      </c>
      <c r="C730" s="10" t="s">
        <v>267</v>
      </c>
      <c r="D730" s="10" t="s">
        <v>1843</v>
      </c>
      <c r="E730" s="11" t="str">
        <f>HYPERLINK("https://twitter.com/PythonBooks/status/702903670984192000","702903670984192000")</f>
        <v>702903670984192000</v>
      </c>
      <c r="F730" s="17" t="s">
        <v>76</v>
      </c>
      <c r="G730" s="13">
        <v>20.0</v>
      </c>
      <c r="H730" s="13">
        <v>70.0</v>
      </c>
      <c r="I730" s="13">
        <v>0.0</v>
      </c>
      <c r="J730" s="13">
        <v>0.0</v>
      </c>
      <c r="K730" s="12" t="s">
        <v>21</v>
      </c>
      <c r="L730" s="7">
        <v>42424.13631944444</v>
      </c>
      <c r="M730" s="14" t="s">
        <v>269</v>
      </c>
      <c r="N730" s="14" t="s">
        <v>270</v>
      </c>
      <c r="O730" s="11" t="str">
        <f t="shared" ref="O730:O732" si="58">HYPERLINK("https://pbs.twimg.com/profile_images/702455638157168640/AeDgtn0C_normal.jpg","View")</f>
        <v>View</v>
      </c>
      <c r="P730" s="15"/>
    </row>
    <row r="731">
      <c r="A731" s="7">
        <v>42425.382743055554</v>
      </c>
      <c r="B731" s="8" t="str">
        <f t="shared" si="57"/>
        <v>@PythonBooks</v>
      </c>
      <c r="C731" s="10" t="s">
        <v>267</v>
      </c>
      <c r="D731" s="10" t="s">
        <v>1844</v>
      </c>
      <c r="E731" s="11" t="str">
        <f>HYPERLINK("https://twitter.com/PythonBooks/status/702903673957953536","702903673957953536")</f>
        <v>702903673957953536</v>
      </c>
      <c r="F731" s="17" t="s">
        <v>76</v>
      </c>
      <c r="G731" s="13">
        <v>20.0</v>
      </c>
      <c r="H731" s="13">
        <v>70.0</v>
      </c>
      <c r="I731" s="13">
        <v>3.0</v>
      </c>
      <c r="J731" s="13">
        <v>0.0</v>
      </c>
      <c r="K731" s="12" t="s">
        <v>21</v>
      </c>
      <c r="L731" s="7">
        <v>42424.13631944444</v>
      </c>
      <c r="M731" s="14" t="s">
        <v>269</v>
      </c>
      <c r="N731" s="14" t="s">
        <v>270</v>
      </c>
      <c r="O731" s="11" t="str">
        <f t="shared" si="58"/>
        <v>View</v>
      </c>
      <c r="P731" s="15"/>
    </row>
    <row r="732">
      <c r="A732" s="7">
        <v>42425.38275462963</v>
      </c>
      <c r="B732" s="8" t="str">
        <f t="shared" si="57"/>
        <v>@PythonBooks</v>
      </c>
      <c r="C732" s="10" t="s">
        <v>267</v>
      </c>
      <c r="D732" s="10" t="s">
        <v>1845</v>
      </c>
      <c r="E732" s="11" t="str">
        <f>HYPERLINK("https://twitter.com/PythonBooks/status/702903675992211456","702903675992211456")</f>
        <v>702903675992211456</v>
      </c>
      <c r="F732" s="17" t="s">
        <v>76</v>
      </c>
      <c r="G732" s="13">
        <v>20.0</v>
      </c>
      <c r="H732" s="13">
        <v>70.0</v>
      </c>
      <c r="I732" s="13">
        <v>0.0</v>
      </c>
      <c r="J732" s="13">
        <v>0.0</v>
      </c>
      <c r="K732" s="12" t="s">
        <v>21</v>
      </c>
      <c r="L732" s="7">
        <v>42424.13631944444</v>
      </c>
      <c r="M732" s="14" t="s">
        <v>269</v>
      </c>
      <c r="N732" s="14" t="s">
        <v>270</v>
      </c>
      <c r="O732" s="11" t="str">
        <f t="shared" si="58"/>
        <v>View</v>
      </c>
      <c r="P732" s="15"/>
    </row>
    <row r="733">
      <c r="A733" s="7">
        <v>42425.38275462963</v>
      </c>
      <c r="B733" s="8" t="str">
        <f>HYPERLINK("https://twitter.com/ameanmbot","@ameanmbot")</f>
        <v>@ameanmbot</v>
      </c>
      <c r="C733" s="10" t="s">
        <v>174</v>
      </c>
      <c r="D733" s="10" t="s">
        <v>1846</v>
      </c>
      <c r="E733" s="11" t="str">
        <f>HYPERLINK("https://twitter.com/ameanmbot/status/702903678689263617","702903678689263617")</f>
        <v>702903678689263617</v>
      </c>
      <c r="F733" s="12" t="s">
        <v>176</v>
      </c>
      <c r="G733" s="13">
        <v>3291.0</v>
      </c>
      <c r="H733" s="13">
        <v>1.0</v>
      </c>
      <c r="I733" s="13">
        <v>3.0</v>
      </c>
      <c r="J733" s="13">
        <v>0.0</v>
      </c>
      <c r="K733" s="12" t="s">
        <v>21</v>
      </c>
      <c r="L733" s="7">
        <v>41814.009733796294</v>
      </c>
      <c r="M733" s="16"/>
      <c r="N733" s="14" t="s">
        <v>177</v>
      </c>
      <c r="O733" s="11" t="str">
        <f>HYPERLINK("https://pbs.twimg.com/profile_images/481334978161029120/iu3zZFEk_normal.png","View")</f>
        <v>View</v>
      </c>
      <c r="P733" s="15"/>
    </row>
    <row r="734">
      <c r="A734" s="7">
        <v>42425.38296296296</v>
      </c>
      <c r="B734" s="8" t="str">
        <f>HYPERLINK("https://twitter.com/JSUSolutions","@JSUSolutions")</f>
        <v>@JSUSolutions</v>
      </c>
      <c r="C734" s="10" t="s">
        <v>1847</v>
      </c>
      <c r="D734" s="10" t="s">
        <v>1848</v>
      </c>
      <c r="E734" s="11" t="str">
        <f>HYPERLINK("https://twitter.com/JSUSolutions/status/702903753360416768","702903753360416768")</f>
        <v>702903753360416768</v>
      </c>
      <c r="F734" s="12" t="s">
        <v>1192</v>
      </c>
      <c r="G734" s="13">
        <v>8559.0</v>
      </c>
      <c r="H734" s="13">
        <v>4918.0</v>
      </c>
      <c r="I734" s="13">
        <v>1.0</v>
      </c>
      <c r="J734" s="13">
        <v>0.0</v>
      </c>
      <c r="K734" s="12" t="s">
        <v>21</v>
      </c>
      <c r="L734" s="7">
        <v>41581.32550925926</v>
      </c>
      <c r="M734" s="14" t="s">
        <v>1849</v>
      </c>
      <c r="N734" s="14" t="s">
        <v>1850</v>
      </c>
      <c r="O734" s="11" t="str">
        <f>HYPERLINK("https://pbs.twimg.com/profile_images/537012828163424256/VkjtEnGA_normal.jpeg","View")</f>
        <v>View</v>
      </c>
      <c r="P734" s="15"/>
    </row>
    <row r="735">
      <c r="A735" s="7">
        <v>42425.38297453704</v>
      </c>
      <c r="B735" s="8" t="str">
        <f>HYPERLINK("https://twitter.com/BigDataTweetBot","@BigDataTweetBot")</f>
        <v>@BigDataTweetBot</v>
      </c>
      <c r="C735" s="10" t="s">
        <v>1440</v>
      </c>
      <c r="D735" s="10" t="s">
        <v>1851</v>
      </c>
      <c r="E735" s="11" t="str">
        <f>HYPERLINK("https://twitter.com/BigDataTweetBot/status/702903755507892225","702903755507892225")</f>
        <v>702903755507892225</v>
      </c>
      <c r="F735" s="12" t="s">
        <v>1442</v>
      </c>
      <c r="G735" s="13">
        <v>8623.0</v>
      </c>
      <c r="H735" s="13">
        <v>243.0</v>
      </c>
      <c r="I735" s="13">
        <v>2.0</v>
      </c>
      <c r="J735" s="13">
        <v>0.0</v>
      </c>
      <c r="K735" s="12" t="s">
        <v>21</v>
      </c>
      <c r="L735" s="7">
        <v>42187.77106481481</v>
      </c>
      <c r="M735" s="16"/>
      <c r="N735" s="14" t="s">
        <v>1443</v>
      </c>
      <c r="O735" s="11" t="str">
        <f>HYPERLINK("https://pbs.twimg.com/profile_images/616793252524650496/bQbxJqmz_normal.jpg","View")</f>
        <v>View</v>
      </c>
      <c r="P735" s="15"/>
    </row>
    <row r="736">
      <c r="A736" s="7">
        <v>42425.3852199074</v>
      </c>
      <c r="B736" s="8" t="str">
        <f>HYPERLINK("https://twitter.com/STATCowboy","@STATCowboy")</f>
        <v>@STATCowboy</v>
      </c>
      <c r="C736" s="10" t="s">
        <v>1852</v>
      </c>
      <c r="D736" s="10" t="s">
        <v>1820</v>
      </c>
      <c r="E736" s="11" t="str">
        <f>HYPERLINK("https://twitter.com/STATCowboy/status/702904570578481152","702904570578481152")</f>
        <v>702904570578481152</v>
      </c>
      <c r="F736" s="12" t="s">
        <v>152</v>
      </c>
      <c r="G736" s="13">
        <v>437.0</v>
      </c>
      <c r="H736" s="13">
        <v>1244.0</v>
      </c>
      <c r="I736" s="13">
        <v>20.0</v>
      </c>
      <c r="J736" s="13">
        <v>0.0</v>
      </c>
      <c r="K736" s="12" t="s">
        <v>21</v>
      </c>
      <c r="L736" s="7">
        <v>39961.456030092595</v>
      </c>
      <c r="M736" s="16"/>
      <c r="N736" s="14" t="s">
        <v>1853</v>
      </c>
      <c r="O736" s="11" t="str">
        <f>HYPERLINK("https://pbs.twimg.com/profile_images/689480986560561152/dXVb8ybD_normal.jpg","View")</f>
        <v>View</v>
      </c>
      <c r="P736" s="15"/>
    </row>
    <row r="737">
      <c r="A737" s="7">
        <v>42425.38539351852</v>
      </c>
      <c r="B737" s="8" t="str">
        <f>HYPERLINK("https://twitter.com/ActiveState","@ActiveState")</f>
        <v>@ActiveState</v>
      </c>
      <c r="C737" s="10" t="s">
        <v>1854</v>
      </c>
      <c r="D737" s="10" t="s">
        <v>1444</v>
      </c>
      <c r="E737" s="11" t="str">
        <f>HYPERLINK("https://twitter.com/ActiveState/status/702904632151023617","702904632151023617")</f>
        <v>702904632151023617</v>
      </c>
      <c r="F737" s="12" t="s">
        <v>659</v>
      </c>
      <c r="G737" s="13">
        <v>3847.0</v>
      </c>
      <c r="H737" s="13">
        <v>2966.0</v>
      </c>
      <c r="I737" s="13">
        <v>2.0</v>
      </c>
      <c r="J737" s="13">
        <v>0.0</v>
      </c>
      <c r="K737" s="12" t="s">
        <v>21</v>
      </c>
      <c r="L737" s="7">
        <v>39756.329189814816</v>
      </c>
      <c r="M737" s="14" t="s">
        <v>1855</v>
      </c>
      <c r="N737" s="14" t="s">
        <v>1856</v>
      </c>
      <c r="O737" s="11" t="str">
        <f>HYPERLINK("https://pbs.twimg.com/profile_images/638517122973372420/ArY7I-Q6_normal.png","View")</f>
        <v>View</v>
      </c>
      <c r="P737" s="15"/>
    </row>
    <row r="738">
      <c r="A738" s="7">
        <v>42425.38543981481</v>
      </c>
      <c r="B738" s="8" t="str">
        <f>HYPERLINK("https://twitter.com/helloworldshow","@helloworldshow")</f>
        <v>@helloworldshow</v>
      </c>
      <c r="C738" s="10" t="s">
        <v>1857</v>
      </c>
      <c r="D738" s="10" t="s">
        <v>1858</v>
      </c>
      <c r="E738" s="11" t="str">
        <f>HYPERLINK("https://twitter.com/helloworldshow/status/702904650727624711","702904650727624711")</f>
        <v>702904650727624711</v>
      </c>
      <c r="F738" s="12" t="s">
        <v>1859</v>
      </c>
      <c r="G738" s="13">
        <v>1089.0</v>
      </c>
      <c r="H738" s="13">
        <v>734.0</v>
      </c>
      <c r="I738" s="13">
        <v>0.0</v>
      </c>
      <c r="J738" s="13">
        <v>0.0</v>
      </c>
      <c r="K738" s="12" t="s">
        <v>21</v>
      </c>
      <c r="L738" s="7">
        <v>41279.56596064815</v>
      </c>
      <c r="M738" s="14" t="s">
        <v>1860</v>
      </c>
      <c r="N738" s="14" t="s">
        <v>1861</v>
      </c>
      <c r="O738" s="11" t="str">
        <f>HYPERLINK("https://pbs.twimg.com/profile_images/610153128227414016/yIRf6Nvm_normal.png","View")</f>
        <v>View</v>
      </c>
      <c r="P738" s="15"/>
    </row>
    <row r="739">
      <c r="A739" s="7">
        <v>42425.38596064815</v>
      </c>
      <c r="B739" s="8" t="str">
        <f t="shared" ref="B739:B740" si="59">HYPERLINK("https://twitter.com/HartwigMicheal","@HartwigMicheal")</f>
        <v>@HartwigMicheal</v>
      </c>
      <c r="C739" s="10" t="s">
        <v>842</v>
      </c>
      <c r="D739" s="10" t="s">
        <v>1862</v>
      </c>
      <c r="E739" s="11" t="str">
        <f>HYPERLINK("https://twitter.com/HartwigMicheal/status/702904838720462848","702904838720462848")</f>
        <v>702904838720462848</v>
      </c>
      <c r="F739" s="12" t="s">
        <v>103</v>
      </c>
      <c r="G739" s="13">
        <v>541.0</v>
      </c>
      <c r="H739" s="13">
        <v>830.0</v>
      </c>
      <c r="I739" s="13">
        <v>0.0</v>
      </c>
      <c r="J739" s="13">
        <v>0.0</v>
      </c>
      <c r="K739" s="12" t="s">
        <v>21</v>
      </c>
      <c r="L739" s="7">
        <v>42362.00148148148</v>
      </c>
      <c r="M739" s="14" t="s">
        <v>844</v>
      </c>
      <c r="N739" s="14" t="s">
        <v>845</v>
      </c>
      <c r="O739" s="11" t="str">
        <f t="shared" ref="O739:O740" si="60">HYPERLINK("https://pbs.twimg.com/profile_images/679948461953781761/pDo9356K_normal.jpg","View")</f>
        <v>View</v>
      </c>
      <c r="P739" s="15"/>
    </row>
    <row r="740">
      <c r="A740" s="7">
        <v>42425.385972222226</v>
      </c>
      <c r="B740" s="8" t="str">
        <f t="shared" si="59"/>
        <v>@HartwigMicheal</v>
      </c>
      <c r="C740" s="10" t="s">
        <v>842</v>
      </c>
      <c r="D740" s="10" t="s">
        <v>1863</v>
      </c>
      <c r="E740" s="11" t="str">
        <f>HYPERLINK("https://twitter.com/HartwigMicheal/status/702904842709286912","702904842709286912")</f>
        <v>702904842709286912</v>
      </c>
      <c r="F740" s="12" t="s">
        <v>103</v>
      </c>
      <c r="G740" s="13">
        <v>541.0</v>
      </c>
      <c r="H740" s="13">
        <v>830.0</v>
      </c>
      <c r="I740" s="13">
        <v>0.0</v>
      </c>
      <c r="J740" s="13">
        <v>0.0</v>
      </c>
      <c r="K740" s="12" t="s">
        <v>21</v>
      </c>
      <c r="L740" s="7">
        <v>42362.00148148148</v>
      </c>
      <c r="M740" s="14" t="s">
        <v>844</v>
      </c>
      <c r="N740" s="14" t="s">
        <v>845</v>
      </c>
      <c r="O740" s="11" t="str">
        <f t="shared" si="60"/>
        <v>View</v>
      </c>
      <c r="P740" s="15"/>
    </row>
    <row r="741">
      <c r="A741" s="7">
        <v>42425.38611111111</v>
      </c>
      <c r="B741" s="8" t="str">
        <f>HYPERLINK("https://twitter.com/TreblePR","@TreblePR")</f>
        <v>@TreblePR</v>
      </c>
      <c r="C741" s="10" t="s">
        <v>1864</v>
      </c>
      <c r="D741" s="10" t="s">
        <v>1865</v>
      </c>
      <c r="E741" s="11" t="str">
        <f>HYPERLINK("https://twitter.com/TreblePR/status/702904893204344832","702904893204344832")</f>
        <v>702904893204344832</v>
      </c>
      <c r="F741" s="12" t="s">
        <v>20</v>
      </c>
      <c r="G741" s="13">
        <v>857.0</v>
      </c>
      <c r="H741" s="13">
        <v>2351.0</v>
      </c>
      <c r="I741" s="13">
        <v>1.0</v>
      </c>
      <c r="J741" s="13">
        <v>3.0</v>
      </c>
      <c r="K741" s="12" t="s">
        <v>21</v>
      </c>
      <c r="L741" s="7">
        <v>41437.735925925925</v>
      </c>
      <c r="M741" s="14" t="s">
        <v>1798</v>
      </c>
      <c r="N741" s="14" t="s">
        <v>1866</v>
      </c>
      <c r="O741" s="11" t="str">
        <f>HYPERLINK("https://pbs.twimg.com/profile_images/519995187557171200/hNiBd3Qa_normal.png","View")</f>
        <v>View</v>
      </c>
      <c r="P741" s="15"/>
    </row>
    <row r="742">
      <c r="A742" s="7">
        <v>42425.38694444444</v>
      </c>
      <c r="B742" s="8" t="str">
        <f t="shared" ref="B742:B743" si="61">HYPERLINK("https://twitter.com/MTotolrahaman","@MTotolrahaman")</f>
        <v>@MTotolrahaman</v>
      </c>
      <c r="C742" s="10" t="s">
        <v>848</v>
      </c>
      <c r="D742" s="10" t="s">
        <v>1867</v>
      </c>
      <c r="E742" s="11" t="str">
        <f>HYPERLINK("https://twitter.com/MTotolrahaman/status/702905196104572928","702905196104572928")</f>
        <v>702905196104572928</v>
      </c>
      <c r="F742" s="12" t="s">
        <v>103</v>
      </c>
      <c r="G742" s="13">
        <v>766.0</v>
      </c>
      <c r="H742" s="13">
        <v>846.0</v>
      </c>
      <c r="I742" s="13">
        <v>0.0</v>
      </c>
      <c r="J742" s="13">
        <v>0.0</v>
      </c>
      <c r="K742" s="12" t="s">
        <v>21</v>
      </c>
      <c r="L742" s="7">
        <v>42355.250798611116</v>
      </c>
      <c r="M742" s="14" t="s">
        <v>850</v>
      </c>
      <c r="N742" s="14" t="s">
        <v>851</v>
      </c>
      <c r="O742" s="11" t="str">
        <f t="shared" ref="O742:O743" si="62">HYPERLINK("https://pbs.twimg.com/profile_images/677493910256484352/-EdVaVPl_normal.jpg","View")</f>
        <v>View</v>
      </c>
      <c r="P742" s="15"/>
    </row>
    <row r="743">
      <c r="A743" s="7">
        <v>42425.386967592596</v>
      </c>
      <c r="B743" s="8" t="str">
        <f t="shared" si="61"/>
        <v>@MTotolrahaman</v>
      </c>
      <c r="C743" s="10" t="s">
        <v>848</v>
      </c>
      <c r="D743" s="10" t="s">
        <v>1868</v>
      </c>
      <c r="E743" s="11" t="str">
        <f>HYPERLINK("https://twitter.com/MTotolrahaman/status/702905201666162688","702905201666162688")</f>
        <v>702905201666162688</v>
      </c>
      <c r="F743" s="12" t="s">
        <v>103</v>
      </c>
      <c r="G743" s="13">
        <v>766.0</v>
      </c>
      <c r="H743" s="13">
        <v>846.0</v>
      </c>
      <c r="I743" s="13">
        <v>1.0</v>
      </c>
      <c r="J743" s="13">
        <v>1.0</v>
      </c>
      <c r="K743" s="12" t="s">
        <v>21</v>
      </c>
      <c r="L743" s="7">
        <v>42355.250798611116</v>
      </c>
      <c r="M743" s="14" t="s">
        <v>850</v>
      </c>
      <c r="N743" s="14" t="s">
        <v>851</v>
      </c>
      <c r="O743" s="11" t="str">
        <f t="shared" si="62"/>
        <v>View</v>
      </c>
      <c r="P743" s="15"/>
    </row>
    <row r="744">
      <c r="A744" s="7">
        <v>42425.38703703704</v>
      </c>
      <c r="B744" s="8" t="str">
        <f>HYPERLINK("https://twitter.com/BlueprintRobots","@BlueprintRobots")</f>
        <v>@BlueprintRobots</v>
      </c>
      <c r="C744" s="10" t="s">
        <v>1869</v>
      </c>
      <c r="D744" s="10" t="s">
        <v>1870</v>
      </c>
      <c r="E744" s="11" t="str">
        <f>HYPERLINK("https://twitter.com/BlueprintRobots/status/702905227717025792","702905227717025792")</f>
        <v>702905227717025792</v>
      </c>
      <c r="F744" s="12" t="s">
        <v>20</v>
      </c>
      <c r="G744" s="13">
        <v>935.0</v>
      </c>
      <c r="H744" s="13">
        <v>1873.0</v>
      </c>
      <c r="I744" s="13">
        <v>0.0</v>
      </c>
      <c r="J744" s="13">
        <v>0.0</v>
      </c>
      <c r="K744" s="12" t="s">
        <v>21</v>
      </c>
      <c r="L744" s="7">
        <v>42145.46835648148</v>
      </c>
      <c r="M744" s="14" t="s">
        <v>1871</v>
      </c>
      <c r="N744" s="14" t="s">
        <v>1872</v>
      </c>
      <c r="O744" s="11" t="str">
        <f>HYPERLINK("https://pbs.twimg.com/profile_images/634840126007414784/bplu5WIw_normal.jpg","View")</f>
        <v>View</v>
      </c>
      <c r="P744" s="15"/>
    </row>
    <row r="745">
      <c r="A745" s="7">
        <v>42425.387245370366</v>
      </c>
      <c r="B745" s="8" t="str">
        <f>HYPERLINK("https://twitter.com/zandotnt","@zandotnt")</f>
        <v>@zandotnt</v>
      </c>
      <c r="C745" s="10" t="s">
        <v>1873</v>
      </c>
      <c r="D745" s="10" t="s">
        <v>1874</v>
      </c>
      <c r="E745" s="11" t="str">
        <f>HYPERLINK("https://twitter.com/zandotnt/status/702905305206759425","702905305206759425")</f>
        <v>702905305206759425</v>
      </c>
      <c r="F745" s="12" t="s">
        <v>124</v>
      </c>
      <c r="G745" s="13">
        <v>23.0</v>
      </c>
      <c r="H745" s="13">
        <v>165.0</v>
      </c>
      <c r="I745" s="13">
        <v>2.0</v>
      </c>
      <c r="J745" s="13">
        <v>0.0</v>
      </c>
      <c r="K745" s="12" t="s">
        <v>21</v>
      </c>
      <c r="L745" s="7">
        <v>41347.54068287037</v>
      </c>
      <c r="M745" s="14" t="s">
        <v>82</v>
      </c>
      <c r="N745" s="16"/>
      <c r="O745" s="11" t="str">
        <f>HYPERLINK("https://pbs.twimg.com/profile_images/3380008929/23876386960399f1d72274e4f134b9c9_normal.png","View")</f>
        <v>View</v>
      </c>
      <c r="P745" s="15"/>
    </row>
    <row r="746">
      <c r="A746" s="7">
        <v>42425.387557870374</v>
      </c>
      <c r="B746" s="8" t="str">
        <f>HYPERLINK("https://twitter.com/tenzkunkyab","@tenzkunkyab")</f>
        <v>@tenzkunkyab</v>
      </c>
      <c r="C746" s="10" t="s">
        <v>1875</v>
      </c>
      <c r="D746" s="10" t="s">
        <v>1876</v>
      </c>
      <c r="E746" s="11" t="str">
        <f>HYPERLINK("https://twitter.com/tenzkunkyab/status/702905419023278080","702905419023278080")</f>
        <v>702905419023278080</v>
      </c>
      <c r="F746" s="12" t="s">
        <v>20</v>
      </c>
      <c r="G746" s="13">
        <v>149.0</v>
      </c>
      <c r="H746" s="13">
        <v>244.0</v>
      </c>
      <c r="I746" s="13">
        <v>24.0</v>
      </c>
      <c r="J746" s="13">
        <v>0.0</v>
      </c>
      <c r="K746" s="12" t="s">
        <v>21</v>
      </c>
      <c r="L746" s="7">
        <v>41098.53144675926</v>
      </c>
      <c r="M746" s="14" t="s">
        <v>1877</v>
      </c>
      <c r="N746" s="14" t="s">
        <v>1878</v>
      </c>
      <c r="O746" s="11" t="str">
        <f>HYPERLINK("https://pbs.twimg.com/profile_images/622282440778739712/gElxj9i4_normal.jpg","View")</f>
        <v>View</v>
      </c>
      <c r="P746" s="15"/>
    </row>
    <row r="747">
      <c r="A747" s="7">
        <v>42425.38831018518</v>
      </c>
      <c r="B747" s="8" t="str">
        <f t="shared" ref="B747:B756" si="63">HYPERLINK("https://twitter.com/artwisanggeni","@artwisanggeni")</f>
        <v>@artwisanggeni</v>
      </c>
      <c r="C747" s="10" t="s">
        <v>74</v>
      </c>
      <c r="D747" s="10" t="s">
        <v>1879</v>
      </c>
      <c r="E747" s="11" t="str">
        <f>HYPERLINK("https://twitter.com/artwisanggeni/status/702905690893910016","702905690893910016")</f>
        <v>702905690893910016</v>
      </c>
      <c r="F747" s="17" t="s">
        <v>76</v>
      </c>
      <c r="G747" s="13">
        <v>236.0</v>
      </c>
      <c r="H747" s="13">
        <v>61.0</v>
      </c>
      <c r="I747" s="13">
        <v>0.0</v>
      </c>
      <c r="J747" s="13">
        <v>0.0</v>
      </c>
      <c r="K747" s="12" t="s">
        <v>21</v>
      </c>
      <c r="L747" s="7">
        <v>41218.90608796296</v>
      </c>
      <c r="M747" s="14" t="s">
        <v>77</v>
      </c>
      <c r="N747" s="14" t="s">
        <v>78</v>
      </c>
      <c r="O747" s="11" t="str">
        <f t="shared" ref="O747:O756" si="64">HYPERLINK("https://pbs.twimg.com/profile_images/2813636657/599521f69e2bc210a57323b64d8e39e6_normal.jpeg","View")</f>
        <v>View</v>
      </c>
      <c r="P747" s="15"/>
    </row>
    <row r="748">
      <c r="A748" s="7">
        <v>42425.38832175926</v>
      </c>
      <c r="B748" s="8" t="str">
        <f t="shared" si="63"/>
        <v>@artwisanggeni</v>
      </c>
      <c r="C748" s="10" t="s">
        <v>74</v>
      </c>
      <c r="D748" s="10" t="s">
        <v>1880</v>
      </c>
      <c r="E748" s="11" t="str">
        <f>HYPERLINK("https://twitter.com/artwisanggeni/status/702905694526115840","702905694526115840")</f>
        <v>702905694526115840</v>
      </c>
      <c r="F748" s="17" t="s">
        <v>76</v>
      </c>
      <c r="G748" s="13">
        <v>236.0</v>
      </c>
      <c r="H748" s="13">
        <v>61.0</v>
      </c>
      <c r="I748" s="13">
        <v>0.0</v>
      </c>
      <c r="J748" s="13">
        <v>0.0</v>
      </c>
      <c r="K748" s="12" t="s">
        <v>21</v>
      </c>
      <c r="L748" s="7">
        <v>41218.90608796296</v>
      </c>
      <c r="M748" s="14" t="s">
        <v>77</v>
      </c>
      <c r="N748" s="14" t="s">
        <v>78</v>
      </c>
      <c r="O748" s="11" t="str">
        <f t="shared" si="64"/>
        <v>View</v>
      </c>
      <c r="P748" s="15"/>
    </row>
    <row r="749">
      <c r="A749" s="7">
        <v>42425.388333333336</v>
      </c>
      <c r="B749" s="8" t="str">
        <f t="shared" si="63"/>
        <v>@artwisanggeni</v>
      </c>
      <c r="C749" s="10" t="s">
        <v>74</v>
      </c>
      <c r="D749" s="10" t="s">
        <v>1881</v>
      </c>
      <c r="E749" s="11" t="str">
        <f>HYPERLINK("https://twitter.com/artwisanggeni/status/702905696937861120","702905696937861120")</f>
        <v>702905696937861120</v>
      </c>
      <c r="F749" s="17" t="s">
        <v>76</v>
      </c>
      <c r="G749" s="13">
        <v>236.0</v>
      </c>
      <c r="H749" s="13">
        <v>61.0</v>
      </c>
      <c r="I749" s="13">
        <v>0.0</v>
      </c>
      <c r="J749" s="13">
        <v>0.0</v>
      </c>
      <c r="K749" s="12" t="s">
        <v>21</v>
      </c>
      <c r="L749" s="7">
        <v>41218.90608796296</v>
      </c>
      <c r="M749" s="14" t="s">
        <v>77</v>
      </c>
      <c r="N749" s="14" t="s">
        <v>78</v>
      </c>
      <c r="O749" s="11" t="str">
        <f t="shared" si="64"/>
        <v>View</v>
      </c>
      <c r="P749" s="15"/>
    </row>
    <row r="750">
      <c r="A750" s="7">
        <v>42425.388333333336</v>
      </c>
      <c r="B750" s="8" t="str">
        <f t="shared" si="63"/>
        <v>@artwisanggeni</v>
      </c>
      <c r="C750" s="10" t="s">
        <v>74</v>
      </c>
      <c r="D750" s="10" t="s">
        <v>1882</v>
      </c>
      <c r="E750" s="11" t="str">
        <f>HYPERLINK("https://twitter.com/artwisanggeni/status/702905700087758849","702905700087758849")</f>
        <v>702905700087758849</v>
      </c>
      <c r="F750" s="17" t="s">
        <v>76</v>
      </c>
      <c r="G750" s="13">
        <v>236.0</v>
      </c>
      <c r="H750" s="13">
        <v>61.0</v>
      </c>
      <c r="I750" s="13">
        <v>0.0</v>
      </c>
      <c r="J750" s="13">
        <v>0.0</v>
      </c>
      <c r="K750" s="12" t="s">
        <v>21</v>
      </c>
      <c r="L750" s="7">
        <v>41218.90608796296</v>
      </c>
      <c r="M750" s="14" t="s">
        <v>77</v>
      </c>
      <c r="N750" s="14" t="s">
        <v>78</v>
      </c>
      <c r="O750" s="11" t="str">
        <f t="shared" si="64"/>
        <v>View</v>
      </c>
      <c r="P750" s="15"/>
    </row>
    <row r="751">
      <c r="A751" s="7">
        <v>42425.388344907406</v>
      </c>
      <c r="B751" s="8" t="str">
        <f t="shared" si="63"/>
        <v>@artwisanggeni</v>
      </c>
      <c r="C751" s="10" t="s">
        <v>74</v>
      </c>
      <c r="D751" s="10" t="s">
        <v>1883</v>
      </c>
      <c r="E751" s="11" t="str">
        <f>HYPERLINK("https://twitter.com/artwisanggeni/status/702905703254478848","702905703254478848")</f>
        <v>702905703254478848</v>
      </c>
      <c r="F751" s="17" t="s">
        <v>76</v>
      </c>
      <c r="G751" s="13">
        <v>236.0</v>
      </c>
      <c r="H751" s="13">
        <v>61.0</v>
      </c>
      <c r="I751" s="13">
        <v>0.0</v>
      </c>
      <c r="J751" s="13">
        <v>0.0</v>
      </c>
      <c r="K751" s="12" t="s">
        <v>21</v>
      </c>
      <c r="L751" s="7">
        <v>41218.90608796296</v>
      </c>
      <c r="M751" s="14" t="s">
        <v>77</v>
      </c>
      <c r="N751" s="14" t="s">
        <v>78</v>
      </c>
      <c r="O751" s="11" t="str">
        <f t="shared" si="64"/>
        <v>View</v>
      </c>
      <c r="P751" s="15"/>
    </row>
    <row r="752">
      <c r="A752" s="7">
        <v>42425.38835648148</v>
      </c>
      <c r="B752" s="8" t="str">
        <f t="shared" si="63"/>
        <v>@artwisanggeni</v>
      </c>
      <c r="C752" s="10" t="s">
        <v>74</v>
      </c>
      <c r="D752" s="10" t="s">
        <v>1884</v>
      </c>
      <c r="E752" s="11" t="str">
        <f>HYPERLINK("https://twitter.com/artwisanggeni/status/702905705871724544","702905705871724544")</f>
        <v>702905705871724544</v>
      </c>
      <c r="F752" s="17" t="s">
        <v>76</v>
      </c>
      <c r="G752" s="13">
        <v>236.0</v>
      </c>
      <c r="H752" s="13">
        <v>61.0</v>
      </c>
      <c r="I752" s="13">
        <v>0.0</v>
      </c>
      <c r="J752" s="13">
        <v>0.0</v>
      </c>
      <c r="K752" s="12" t="s">
        <v>21</v>
      </c>
      <c r="L752" s="7">
        <v>41218.90608796296</v>
      </c>
      <c r="M752" s="14" t="s">
        <v>77</v>
      </c>
      <c r="N752" s="14" t="s">
        <v>78</v>
      </c>
      <c r="O752" s="11" t="str">
        <f t="shared" si="64"/>
        <v>View</v>
      </c>
      <c r="P752" s="15"/>
    </row>
    <row r="753">
      <c r="A753" s="7">
        <v>42425.38835648148</v>
      </c>
      <c r="B753" s="8" t="str">
        <f t="shared" si="63"/>
        <v>@artwisanggeni</v>
      </c>
      <c r="C753" s="10" t="s">
        <v>74</v>
      </c>
      <c r="D753" s="10" t="s">
        <v>1885</v>
      </c>
      <c r="E753" s="11" t="str">
        <f>HYPERLINK("https://twitter.com/artwisanggeni/status/702905708262481920","702905708262481920")</f>
        <v>702905708262481920</v>
      </c>
      <c r="F753" s="17" t="s">
        <v>76</v>
      </c>
      <c r="G753" s="13">
        <v>236.0</v>
      </c>
      <c r="H753" s="13">
        <v>61.0</v>
      </c>
      <c r="I753" s="13">
        <v>0.0</v>
      </c>
      <c r="J753" s="13">
        <v>0.0</v>
      </c>
      <c r="K753" s="12" t="s">
        <v>21</v>
      </c>
      <c r="L753" s="7">
        <v>41218.90608796296</v>
      </c>
      <c r="M753" s="14" t="s">
        <v>77</v>
      </c>
      <c r="N753" s="14" t="s">
        <v>78</v>
      </c>
      <c r="O753" s="11" t="str">
        <f t="shared" si="64"/>
        <v>View</v>
      </c>
      <c r="P753" s="15"/>
    </row>
    <row r="754">
      <c r="A754" s="7">
        <v>42425.38836805556</v>
      </c>
      <c r="B754" s="8" t="str">
        <f t="shared" si="63"/>
        <v>@artwisanggeni</v>
      </c>
      <c r="C754" s="10" t="s">
        <v>74</v>
      </c>
      <c r="D754" s="10" t="s">
        <v>1886</v>
      </c>
      <c r="E754" s="11" t="str">
        <f>HYPERLINK("https://twitter.com/artwisanggeni/status/702905711110414336","702905711110414336")</f>
        <v>702905711110414336</v>
      </c>
      <c r="F754" s="17" t="s">
        <v>76</v>
      </c>
      <c r="G754" s="13">
        <v>236.0</v>
      </c>
      <c r="H754" s="13">
        <v>61.0</v>
      </c>
      <c r="I754" s="13">
        <v>0.0</v>
      </c>
      <c r="J754" s="13">
        <v>0.0</v>
      </c>
      <c r="K754" s="12" t="s">
        <v>21</v>
      </c>
      <c r="L754" s="7">
        <v>41218.90608796296</v>
      </c>
      <c r="M754" s="14" t="s">
        <v>77</v>
      </c>
      <c r="N754" s="14" t="s">
        <v>78</v>
      </c>
      <c r="O754" s="11" t="str">
        <f t="shared" si="64"/>
        <v>View</v>
      </c>
      <c r="P754" s="15"/>
    </row>
    <row r="755">
      <c r="A755" s="7">
        <v>42425.38837962963</v>
      </c>
      <c r="B755" s="8" t="str">
        <f t="shared" si="63"/>
        <v>@artwisanggeni</v>
      </c>
      <c r="C755" s="10" t="s">
        <v>74</v>
      </c>
      <c r="D755" s="10" t="s">
        <v>1887</v>
      </c>
      <c r="E755" s="11" t="str">
        <f>HYPERLINK("https://twitter.com/artwisanggeni/status/702905713895428097","702905713895428097")</f>
        <v>702905713895428097</v>
      </c>
      <c r="F755" s="17" t="s">
        <v>76</v>
      </c>
      <c r="G755" s="13">
        <v>236.0</v>
      </c>
      <c r="H755" s="13">
        <v>61.0</v>
      </c>
      <c r="I755" s="13">
        <v>0.0</v>
      </c>
      <c r="J755" s="13">
        <v>0.0</v>
      </c>
      <c r="K755" s="12" t="s">
        <v>21</v>
      </c>
      <c r="L755" s="7">
        <v>41218.90608796296</v>
      </c>
      <c r="M755" s="14" t="s">
        <v>77</v>
      </c>
      <c r="N755" s="14" t="s">
        <v>78</v>
      </c>
      <c r="O755" s="11" t="str">
        <f t="shared" si="64"/>
        <v>View</v>
      </c>
      <c r="P755" s="15"/>
    </row>
    <row r="756">
      <c r="A756" s="7">
        <v>42425.38837962963</v>
      </c>
      <c r="B756" s="8" t="str">
        <f t="shared" si="63"/>
        <v>@artwisanggeni</v>
      </c>
      <c r="C756" s="10" t="s">
        <v>74</v>
      </c>
      <c r="D756" s="10" t="s">
        <v>1888</v>
      </c>
      <c r="E756" s="11" t="str">
        <f>HYPERLINK("https://twitter.com/artwisanggeni/status/702905716592345092","702905716592345092")</f>
        <v>702905716592345092</v>
      </c>
      <c r="F756" s="17" t="s">
        <v>76</v>
      </c>
      <c r="G756" s="13">
        <v>236.0</v>
      </c>
      <c r="H756" s="13">
        <v>61.0</v>
      </c>
      <c r="I756" s="13">
        <v>0.0</v>
      </c>
      <c r="J756" s="13">
        <v>0.0</v>
      </c>
      <c r="K756" s="12" t="s">
        <v>21</v>
      </c>
      <c r="L756" s="7">
        <v>41218.90608796296</v>
      </c>
      <c r="M756" s="14" t="s">
        <v>77</v>
      </c>
      <c r="N756" s="14" t="s">
        <v>78</v>
      </c>
      <c r="O756" s="11" t="str">
        <f t="shared" si="64"/>
        <v>View</v>
      </c>
      <c r="P756" s="15"/>
    </row>
    <row r="757">
      <c r="A757" s="7">
        <v>42425.38942129629</v>
      </c>
      <c r="B757" s="8" t="str">
        <f>HYPERLINK("https://twitter.com/ITProTV","@ITProTV")</f>
        <v>@ITProTV</v>
      </c>
      <c r="C757" s="10" t="s">
        <v>1889</v>
      </c>
      <c r="D757" s="10" t="s">
        <v>1890</v>
      </c>
      <c r="E757" s="11" t="str">
        <f>HYPERLINK("https://twitter.com/ITProTV/status/702906093937287169","702906093937287169")</f>
        <v>702906093937287169</v>
      </c>
      <c r="F757" s="12" t="s">
        <v>659</v>
      </c>
      <c r="G757" s="13">
        <v>1040.0</v>
      </c>
      <c r="H757" s="13">
        <v>448.0</v>
      </c>
      <c r="I757" s="13">
        <v>2.0</v>
      </c>
      <c r="J757" s="13">
        <v>0.0</v>
      </c>
      <c r="K757" s="12" t="s">
        <v>21</v>
      </c>
      <c r="L757" s="7">
        <v>40176.45328703704</v>
      </c>
      <c r="M757" s="14" t="s">
        <v>1891</v>
      </c>
      <c r="N757" s="14" t="s">
        <v>1892</v>
      </c>
      <c r="O757" s="11" t="str">
        <f>HYPERLINK("https://pbs.twimg.com/profile_images/702513879050493953/6qIXrKgi_normal.jpg","View")</f>
        <v>View</v>
      </c>
      <c r="P757" s="15"/>
    </row>
    <row r="758">
      <c r="A758" s="7">
        <v>42425.39084490741</v>
      </c>
      <c r="B758" s="8" t="str">
        <f>HYPERLINK("https://twitter.com/SeleniumBase","@SeleniumBase")</f>
        <v>@SeleniumBase</v>
      </c>
      <c r="C758" s="10" t="s">
        <v>1893</v>
      </c>
      <c r="D758" s="10" t="s">
        <v>1894</v>
      </c>
      <c r="E758" s="11" t="str">
        <f>HYPERLINK("https://twitter.com/SeleniumBase/status/702906610008637440","702906610008637440")</f>
        <v>702906610008637440</v>
      </c>
      <c r="F758" s="12" t="s">
        <v>20</v>
      </c>
      <c r="G758" s="13">
        <v>5.0</v>
      </c>
      <c r="H758" s="13">
        <v>6.0</v>
      </c>
      <c r="I758" s="13">
        <v>1.0</v>
      </c>
      <c r="J758" s="13">
        <v>4.0</v>
      </c>
      <c r="K758" s="12" t="s">
        <v>21</v>
      </c>
      <c r="L758" s="7">
        <v>42422.800625</v>
      </c>
      <c r="M758" s="14" t="s">
        <v>1895</v>
      </c>
      <c r="N758" s="14" t="s">
        <v>1896</v>
      </c>
      <c r="O758" s="11" t="str">
        <f>HYPERLINK("https://pbs.twimg.com/profile_images/701968600178016256/H2KWrZxU_normal.png","View")</f>
        <v>View</v>
      </c>
      <c r="P758" s="15"/>
    </row>
    <row r="759">
      <c r="A759" s="7">
        <v>42425.39234953704</v>
      </c>
      <c r="B759" s="8" t="str">
        <f>HYPERLINK("https://twitter.com/dawranliou","@dawranliou")</f>
        <v>@dawranliou</v>
      </c>
      <c r="C759" s="10" t="s">
        <v>1897</v>
      </c>
      <c r="D759" s="10" t="s">
        <v>1898</v>
      </c>
      <c r="E759" s="11" t="str">
        <f>HYPERLINK("https://twitter.com/dawranliou/status/702907153930059776","702907153930059776")</f>
        <v>702907153930059776</v>
      </c>
      <c r="F759" s="12" t="s">
        <v>20</v>
      </c>
      <c r="G759" s="13">
        <v>68.0</v>
      </c>
      <c r="H759" s="13">
        <v>308.0</v>
      </c>
      <c r="I759" s="13">
        <v>1.0</v>
      </c>
      <c r="J759" s="13">
        <v>4.0</v>
      </c>
      <c r="K759" s="12" t="s">
        <v>21</v>
      </c>
      <c r="L759" s="7">
        <v>40735.04864583333</v>
      </c>
      <c r="M759" s="14" t="s">
        <v>1899</v>
      </c>
      <c r="N759" s="14" t="s">
        <v>1900</v>
      </c>
      <c r="O759" s="11" t="str">
        <f>HYPERLINK("https://pbs.twimg.com/profile_images/665300241768312832/UFfM-yth_normal.jpg","View")</f>
        <v>View</v>
      </c>
      <c r="P759" s="15"/>
    </row>
    <row r="760">
      <c r="A760" s="7">
        <v>42425.39273148148</v>
      </c>
      <c r="B760" s="8" t="str">
        <f>HYPERLINK("https://twitter.com/panseybard","@panseybard")</f>
        <v>@panseybard</v>
      </c>
      <c r="C760" s="10" t="s">
        <v>1602</v>
      </c>
      <c r="D760" s="10" t="s">
        <v>1901</v>
      </c>
      <c r="E760" s="11" t="str">
        <f>HYPERLINK("https://twitter.com/panseybard/status/702907292824391680","702907292824391680")</f>
        <v>702907292824391680</v>
      </c>
      <c r="F760" s="12" t="s">
        <v>1603</v>
      </c>
      <c r="G760" s="13">
        <v>7596.0</v>
      </c>
      <c r="H760" s="13">
        <v>7592.0</v>
      </c>
      <c r="I760" s="13">
        <v>1.0</v>
      </c>
      <c r="J760" s="13">
        <v>0.0</v>
      </c>
      <c r="K760" s="12" t="s">
        <v>21</v>
      </c>
      <c r="L760" s="7">
        <v>41222.09909722222</v>
      </c>
      <c r="M760" s="14" t="s">
        <v>1604</v>
      </c>
      <c r="N760" s="14" t="s">
        <v>1605</v>
      </c>
      <c r="O760" s="11" t="str">
        <f>HYPERLINK("https://pbs.twimg.com/profile_images/583850259970822144/7EgtHLoT_normal.jpg","View")</f>
        <v>View</v>
      </c>
      <c r="P760" s="15"/>
    </row>
    <row r="761">
      <c r="A761" s="7">
        <v>42425.39445601852</v>
      </c>
      <c r="B761" s="8" t="str">
        <f>HYPERLINK("https://twitter.com/AmyPlumOhLaLa","@AmyPlumOhLaLa")</f>
        <v>@AmyPlumOhLaLa</v>
      </c>
      <c r="C761" s="10" t="s">
        <v>1902</v>
      </c>
      <c r="D761" s="10" t="s">
        <v>1903</v>
      </c>
      <c r="E761" s="11" t="str">
        <f>HYPERLINK("https://twitter.com/AmyPlumOhLaLa/status/702907916492345344","702907916492345344")</f>
        <v>702907916492345344</v>
      </c>
      <c r="F761" s="12" t="s">
        <v>103</v>
      </c>
      <c r="G761" s="13">
        <v>9920.0</v>
      </c>
      <c r="H761" s="13">
        <v>768.0</v>
      </c>
      <c r="I761" s="13">
        <v>0.0</v>
      </c>
      <c r="J761" s="13">
        <v>10.0</v>
      </c>
      <c r="K761" s="12" t="s">
        <v>21</v>
      </c>
      <c r="L761" s="7">
        <v>40444.236493055556</v>
      </c>
      <c r="M761" s="14" t="s">
        <v>462</v>
      </c>
      <c r="N761" s="14" t="s">
        <v>1904</v>
      </c>
      <c r="O761" s="11" t="str">
        <f>HYPERLINK("https://pbs.twimg.com/profile_images/675573715057442816/awA9SSsP_normal.jpg","View")</f>
        <v>View</v>
      </c>
      <c r="P761" s="15"/>
    </row>
    <row r="762">
      <c r="A762" s="7">
        <v>42425.39460648148</v>
      </c>
      <c r="B762" s="8" t="str">
        <f>HYPERLINK("https://twitter.com/limiear","@limiear")</f>
        <v>@limiear</v>
      </c>
      <c r="C762" s="10" t="s">
        <v>1066</v>
      </c>
      <c r="D762" s="10" t="s">
        <v>1905</v>
      </c>
      <c r="E762" s="11" t="str">
        <f>HYPERLINK("https://twitter.com/limiear/status/702907970569576448","702907970569576448")</f>
        <v>702907970569576448</v>
      </c>
      <c r="F762" s="12" t="s">
        <v>1068</v>
      </c>
      <c r="G762" s="13">
        <v>25.0</v>
      </c>
      <c r="H762" s="13">
        <v>8.0</v>
      </c>
      <c r="I762" s="13">
        <v>0.0</v>
      </c>
      <c r="J762" s="13">
        <v>0.0</v>
      </c>
      <c r="K762" s="12" t="s">
        <v>21</v>
      </c>
      <c r="L762" s="7">
        <v>40647.71362268519</v>
      </c>
      <c r="M762" s="14" t="s">
        <v>1069</v>
      </c>
      <c r="N762" s="14" t="s">
        <v>1070</v>
      </c>
      <c r="O762" s="11" t="str">
        <f>HYPERLINK("https://pbs.twimg.com/profile_images/529629909597949953/SVewJVqU_normal.png","View")</f>
        <v>View</v>
      </c>
      <c r="P762" s="15"/>
    </row>
    <row r="763">
      <c r="A763" s="7">
        <v>42425.39604166667</v>
      </c>
      <c r="B763" s="8" t="str">
        <f>HYPERLINK("https://twitter.com/swcarpentry","@swcarpentry")</f>
        <v>@swcarpentry</v>
      </c>
      <c r="C763" s="10" t="s">
        <v>1906</v>
      </c>
      <c r="D763" s="10" t="s">
        <v>1782</v>
      </c>
      <c r="E763" s="11" t="str">
        <f>HYPERLINK("https://twitter.com/swcarpentry/status/702908490491121665","702908490491121665")</f>
        <v>702908490491121665</v>
      </c>
      <c r="F763" s="12" t="s">
        <v>52</v>
      </c>
      <c r="G763" s="13">
        <v>6990.0</v>
      </c>
      <c r="H763" s="13">
        <v>72.0</v>
      </c>
      <c r="I763" s="13">
        <v>8.0</v>
      </c>
      <c r="J763" s="13">
        <v>0.0</v>
      </c>
      <c r="K763" s="12" t="s">
        <v>21</v>
      </c>
      <c r="L763" s="7">
        <v>40260.355520833335</v>
      </c>
      <c r="M763" s="16"/>
      <c r="N763" s="14" t="s">
        <v>1907</v>
      </c>
      <c r="O763" s="11" t="str">
        <f>HYPERLINK("https://pbs.twimg.com/profile_images/1827520500/avatar_normal.png","View")</f>
        <v>View</v>
      </c>
      <c r="P763" s="15"/>
    </row>
    <row r="764">
      <c r="A764" s="7">
        <v>42425.39650462963</v>
      </c>
      <c r="B764" s="8" t="str">
        <f>HYPERLINK("https://twitter.com/programmingncr","@programmingncr")</f>
        <v>@programmingncr</v>
      </c>
      <c r="C764" s="10" t="s">
        <v>262</v>
      </c>
      <c r="D764" s="10" t="s">
        <v>1908</v>
      </c>
      <c r="E764" s="11" t="str">
        <f>HYPERLINK("https://twitter.com/programmingncr/status/702908659714621441","702908659714621441")</f>
        <v>702908659714621441</v>
      </c>
      <c r="F764" s="12" t="s">
        <v>103</v>
      </c>
      <c r="G764" s="13">
        <v>328.0</v>
      </c>
      <c r="H764" s="13">
        <v>99.0</v>
      </c>
      <c r="I764" s="13">
        <v>0.0</v>
      </c>
      <c r="J764" s="13">
        <v>0.0</v>
      </c>
      <c r="K764" s="12" t="s">
        <v>21</v>
      </c>
      <c r="L764" s="7">
        <v>42220.86634259259</v>
      </c>
      <c r="M764" s="14" t="s">
        <v>264</v>
      </c>
      <c r="N764" s="14" t="s">
        <v>265</v>
      </c>
      <c r="O764" s="11" t="str">
        <f>HYPERLINK("https://pbs.twimg.com/profile_images/662602436222193664/qKuvsfnG_normal.jpg","View")</f>
        <v>View</v>
      </c>
      <c r="P764" s="15"/>
    </row>
    <row r="765">
      <c r="A765" s="7">
        <v>42425.39693287037</v>
      </c>
      <c r="B765" s="8" t="str">
        <f>HYPERLINK("https://twitter.com/unlmtdsmarttech","@unlmtdsmarttech")</f>
        <v>@unlmtdsmarttech</v>
      </c>
      <c r="C765" s="10" t="s">
        <v>1909</v>
      </c>
      <c r="D765" s="10" t="s">
        <v>1910</v>
      </c>
      <c r="E765" s="11" t="str">
        <f>HYPERLINK("https://twitter.com/unlmtdsmarttech/status/702908814983610369","702908814983610369")</f>
        <v>702908814983610369</v>
      </c>
      <c r="F765" s="12" t="s">
        <v>103</v>
      </c>
      <c r="G765" s="13">
        <v>1599.0</v>
      </c>
      <c r="H765" s="13">
        <v>4.0</v>
      </c>
      <c r="I765" s="13">
        <v>0.0</v>
      </c>
      <c r="J765" s="13">
        <v>0.0</v>
      </c>
      <c r="K765" s="12" t="s">
        <v>21</v>
      </c>
      <c r="L765" s="7">
        <v>42338.778240740736</v>
      </c>
      <c r="M765" s="16"/>
      <c r="N765" s="16"/>
      <c r="O765" s="11" t="str">
        <f>HYPERLINK("https://pbs.twimg.com/profile_images/671525031948652544/gPRky3nV_normal.jpg","View")</f>
        <v>View</v>
      </c>
      <c r="P765" s="15"/>
    </row>
    <row r="766">
      <c r="A766" s="7">
        <v>42425.398263888885</v>
      </c>
      <c r="B766" s="8" t="str">
        <f>HYPERLINK("https://twitter.com/kedrel","@kedrel")</f>
        <v>@kedrel</v>
      </c>
      <c r="C766" s="10" t="s">
        <v>1911</v>
      </c>
      <c r="D766" s="10" t="s">
        <v>1912</v>
      </c>
      <c r="E766" s="11" t="str">
        <f>HYPERLINK("https://twitter.com/kedrel/status/702909297647181829","702909297647181829")</f>
        <v>702909297647181829</v>
      </c>
      <c r="F766" s="12" t="s">
        <v>20</v>
      </c>
      <c r="G766" s="13">
        <v>151.0</v>
      </c>
      <c r="H766" s="13">
        <v>212.0</v>
      </c>
      <c r="I766" s="13">
        <v>0.0</v>
      </c>
      <c r="J766" s="13">
        <v>0.0</v>
      </c>
      <c r="K766" s="12" t="s">
        <v>21</v>
      </c>
      <c r="L766" s="7">
        <v>39283.324791666666</v>
      </c>
      <c r="M766" s="14" t="s">
        <v>1913</v>
      </c>
      <c r="N766" s="14" t="s">
        <v>1914</v>
      </c>
      <c r="O766" s="11" t="str">
        <f>HYPERLINK("https://pbs.twimg.com/profile_images/187758234/brad2_normal.jpg","View")</f>
        <v>View</v>
      </c>
      <c r="P766" s="15"/>
    </row>
    <row r="767">
      <c r="A767" s="7">
        <v>42425.39875</v>
      </c>
      <c r="B767" s="8" t="str">
        <f>HYPERLINK("https://twitter.com/art_control","@art_control")</f>
        <v>@art_control</v>
      </c>
      <c r="C767" s="10" t="s">
        <v>309</v>
      </c>
      <c r="D767" s="10" t="s">
        <v>1915</v>
      </c>
      <c r="E767" s="11" t="str">
        <f>HYPERLINK("https://twitter.com/art_control/status/702909472155541504","702909472155541504")</f>
        <v>702909472155541504</v>
      </c>
      <c r="F767" s="12" t="s">
        <v>311</v>
      </c>
      <c r="G767" s="13">
        <v>989.0</v>
      </c>
      <c r="H767" s="13">
        <v>850.0</v>
      </c>
      <c r="I767" s="13">
        <v>0.0</v>
      </c>
      <c r="J767" s="13">
        <v>0.0</v>
      </c>
      <c r="K767" s="12" t="s">
        <v>21</v>
      </c>
      <c r="L767" s="7">
        <v>39896.869675925926</v>
      </c>
      <c r="M767" s="14" t="s">
        <v>312</v>
      </c>
      <c r="N767" s="14" t="s">
        <v>313</v>
      </c>
      <c r="O767" s="11" t="str">
        <f>HYPERLINK("https://pbs.twimg.com/profile_images/649004216690675712/UAcrP6ol_normal.png","View")</f>
        <v>View</v>
      </c>
      <c r="P767" s="15"/>
    </row>
    <row r="768">
      <c r="A768" s="7">
        <v>42425.39943287037</v>
      </c>
      <c r="B768" s="8" t="str">
        <f>HYPERLINK("https://twitter.com/scottlee","@scottlee")</f>
        <v>@scottlee</v>
      </c>
      <c r="C768" s="10" t="s">
        <v>1916</v>
      </c>
      <c r="D768" s="10" t="s">
        <v>1917</v>
      </c>
      <c r="E768" s="11" t="str">
        <f>HYPERLINK("https://twitter.com/scottlee/status/702909719443218432","702909719443218432")</f>
        <v>702909719443218432</v>
      </c>
      <c r="F768" s="12" t="s">
        <v>52</v>
      </c>
      <c r="G768" s="13">
        <v>204.0</v>
      </c>
      <c r="H768" s="13">
        <v>351.0</v>
      </c>
      <c r="I768" s="13">
        <v>0.0</v>
      </c>
      <c r="J768" s="13">
        <v>0.0</v>
      </c>
      <c r="K768" s="12" t="s">
        <v>21</v>
      </c>
      <c r="L768" s="7">
        <v>39354.298483796294</v>
      </c>
      <c r="M768" s="14" t="s">
        <v>719</v>
      </c>
      <c r="N768" s="14" t="s">
        <v>1918</v>
      </c>
      <c r="O768" s="11" t="str">
        <f>HYPERLINK("https://pbs.twimg.com/profile_images/483778095569043456/sQoe-3CW_normal.jpeg","View")</f>
        <v>View</v>
      </c>
      <c r="P768" s="15"/>
    </row>
    <row r="769">
      <c r="A769" s="7">
        <v>42425.40043981481</v>
      </c>
      <c r="B769" s="8" t="str">
        <f>HYPERLINK("https://twitter.com/videoboyblog","@videoboyblog")</f>
        <v>@videoboyblog</v>
      </c>
      <c r="C769" s="10" t="s">
        <v>1919</v>
      </c>
      <c r="D769" s="10" t="s">
        <v>1920</v>
      </c>
      <c r="E769" s="11" t="str">
        <f>HYPERLINK("https://twitter.com/videoboyblog/status/702910087669555200","702910087669555200")</f>
        <v>702910087669555200</v>
      </c>
      <c r="F769" s="12" t="s">
        <v>152</v>
      </c>
      <c r="G769" s="13">
        <v>30754.0</v>
      </c>
      <c r="H769" s="13">
        <v>11655.0</v>
      </c>
      <c r="I769" s="13">
        <v>62.0</v>
      </c>
      <c r="J769" s="13">
        <v>0.0</v>
      </c>
      <c r="K769" s="12" t="s">
        <v>21</v>
      </c>
      <c r="L769" s="7">
        <v>39910.70090277778</v>
      </c>
      <c r="M769" s="14" t="s">
        <v>1921</v>
      </c>
      <c r="N769" s="14" t="s">
        <v>1922</v>
      </c>
      <c r="O769" s="11" t="str">
        <f>HYPERLINK("https://pbs.twimg.com/profile_images/2238087243/DANIEL-205b_normal.jpg","View")</f>
        <v>View</v>
      </c>
      <c r="P769" s="15"/>
    </row>
    <row r="770">
      <c r="A770" s="7">
        <v>42425.40175925926</v>
      </c>
      <c r="B770" s="8" t="str">
        <f>HYPERLINK("https://twitter.com/StackCodeReview","@StackCodeReview")</f>
        <v>@StackCodeReview</v>
      </c>
      <c r="C770" s="10" t="s">
        <v>83</v>
      </c>
      <c r="D770" s="10" t="s">
        <v>1923</v>
      </c>
      <c r="E770" s="11" t="str">
        <f>HYPERLINK("https://twitter.com/StackCodeReview/status/702910564322975744","702910564322975744")</f>
        <v>702910564322975744</v>
      </c>
      <c r="F770" s="12" t="s">
        <v>85</v>
      </c>
      <c r="G770" s="13">
        <v>595.0</v>
      </c>
      <c r="H770" s="13">
        <v>0.0</v>
      </c>
      <c r="I770" s="13">
        <v>0.0</v>
      </c>
      <c r="J770" s="13">
        <v>1.0</v>
      </c>
      <c r="K770" s="12" t="s">
        <v>21</v>
      </c>
      <c r="L770" s="7">
        <v>40562.104942129634</v>
      </c>
      <c r="M770" s="14" t="s">
        <v>86</v>
      </c>
      <c r="N770" s="14" t="s">
        <v>87</v>
      </c>
      <c r="O770" s="11" t="str">
        <f>HYPERLINK("https://pbs.twimg.com/profile_images/669613362255282176/8iApenAA_normal.png","View")</f>
        <v>View</v>
      </c>
      <c r="P770" s="15"/>
    </row>
    <row r="771">
      <c r="A771" s="7">
        <v>42425.40221064815</v>
      </c>
      <c r="B771" s="8" t="str">
        <f>HYPERLINK("https://twitter.com/WFLAmark","@WFLAmark")</f>
        <v>@WFLAmark</v>
      </c>
      <c r="C771" s="10" t="s">
        <v>1924</v>
      </c>
      <c r="D771" s="10" t="s">
        <v>1925</v>
      </c>
      <c r="E771" s="11" t="str">
        <f>HYPERLINK("https://twitter.com/WFLAmark/status/702910728332771328","702910728332771328")</f>
        <v>702910728332771328</v>
      </c>
      <c r="F771" s="12" t="s">
        <v>20</v>
      </c>
      <c r="G771" s="13">
        <v>3079.0</v>
      </c>
      <c r="H771" s="13">
        <v>2056.0</v>
      </c>
      <c r="I771" s="13">
        <v>6.0</v>
      </c>
      <c r="J771" s="13">
        <v>3.0</v>
      </c>
      <c r="K771" s="12" t="s">
        <v>21</v>
      </c>
      <c r="L771" s="7">
        <v>39330.42240740741</v>
      </c>
      <c r="M771" s="14" t="s">
        <v>1926</v>
      </c>
      <c r="N771" s="14" t="s">
        <v>1927</v>
      </c>
      <c r="O771" s="11" t="str">
        <f>HYPERLINK("https://pbs.twimg.com/profile_images/24317712/markdoug_normal.jpg","View")</f>
        <v>View</v>
      </c>
      <c r="P771" s="15"/>
    </row>
    <row r="772">
      <c r="A772" s="7">
        <v>42425.40231481481</v>
      </c>
      <c r="B772" s="8" t="str">
        <f>HYPERLINK("https://twitter.com/asguneysu","@asguneysu")</f>
        <v>@asguneysu</v>
      </c>
      <c r="C772" s="10" t="s">
        <v>1928</v>
      </c>
      <c r="D772" s="10" t="s">
        <v>1277</v>
      </c>
      <c r="E772" s="11" t="str">
        <f>HYPERLINK("https://twitter.com/asguneysu/status/702910765163016193","702910765163016193")</f>
        <v>702910765163016193</v>
      </c>
      <c r="F772" s="12" t="s">
        <v>152</v>
      </c>
      <c r="G772" s="13">
        <v>144.0</v>
      </c>
      <c r="H772" s="13">
        <v>197.0</v>
      </c>
      <c r="I772" s="13">
        <v>5.0</v>
      </c>
      <c r="J772" s="13">
        <v>0.0</v>
      </c>
      <c r="K772" s="12" t="s">
        <v>21</v>
      </c>
      <c r="L772" s="7">
        <v>40987.53829861111</v>
      </c>
      <c r="M772" s="14" t="s">
        <v>1929</v>
      </c>
      <c r="N772" s="14" t="s">
        <v>1930</v>
      </c>
      <c r="O772" s="11" t="str">
        <f>HYPERLINK("https://pbs.twimg.com/profile_images/585186849997496322/tTTPPpjQ_normal.jpg","View")</f>
        <v>View</v>
      </c>
      <c r="P772" s="15"/>
    </row>
    <row r="773">
      <c r="A773" s="7">
        <v>42425.40290509259</v>
      </c>
      <c r="B773" s="8" t="str">
        <f>HYPERLINK("https://twitter.com/bemyapp","@bemyapp")</f>
        <v>@bemyapp</v>
      </c>
      <c r="C773" s="10" t="s">
        <v>1931</v>
      </c>
      <c r="D773" s="10" t="s">
        <v>1932</v>
      </c>
      <c r="E773" s="11" t="str">
        <f>HYPERLINK("https://twitter.com/bemyapp/status/702910977478664192","702910977478664192")</f>
        <v>702910977478664192</v>
      </c>
      <c r="F773" s="12" t="s">
        <v>659</v>
      </c>
      <c r="G773" s="13">
        <v>4255.0</v>
      </c>
      <c r="H773" s="13">
        <v>2179.0</v>
      </c>
      <c r="I773" s="13">
        <v>0.0</v>
      </c>
      <c r="J773" s="13">
        <v>0.0</v>
      </c>
      <c r="K773" s="12" t="s">
        <v>21</v>
      </c>
      <c r="L773" s="7">
        <v>40489.117372685185</v>
      </c>
      <c r="M773" s="14" t="s">
        <v>1287</v>
      </c>
      <c r="N773" s="14" t="s">
        <v>1933</v>
      </c>
      <c r="O773" s="11" t="str">
        <f>HYPERLINK("https://pbs.twimg.com/profile_images/688174514899816450/HsJfx8Ob_normal.png","View")</f>
        <v>View</v>
      </c>
      <c r="P773" s="15"/>
    </row>
    <row r="774">
      <c r="A774" s="7">
        <v>42425.40302083333</v>
      </c>
      <c r="B774" s="8" t="str">
        <f>HYPERLINK("https://twitter.com/bryson3gps","@bryson3gps")</f>
        <v>@bryson3gps</v>
      </c>
      <c r="C774" s="10" t="s">
        <v>1934</v>
      </c>
      <c r="D774" s="10" t="s">
        <v>1935</v>
      </c>
      <c r="E774" s="11" t="str">
        <f>HYPERLINK("https://twitter.com/bryson3gps/status/702911022709878784","702911022709878784")</f>
        <v>702911022709878784</v>
      </c>
      <c r="F774" s="12" t="s">
        <v>98</v>
      </c>
      <c r="G774" s="13">
        <v>429.0</v>
      </c>
      <c r="H774" s="13">
        <v>539.0</v>
      </c>
      <c r="I774" s="13">
        <v>0.0</v>
      </c>
      <c r="J774" s="13">
        <v>2.0</v>
      </c>
      <c r="K774" s="12" t="s">
        <v>21</v>
      </c>
      <c r="L774" s="7">
        <v>40402.92208333333</v>
      </c>
      <c r="M774" s="14" t="s">
        <v>1936</v>
      </c>
      <c r="N774" s="14" t="s">
        <v>1937</v>
      </c>
      <c r="O774" s="11" t="str">
        <f>HYPERLINK("https://pbs.twimg.com/profile_images/1241216097/photo__1__normal.JPG","View")</f>
        <v>View</v>
      </c>
      <c r="P774" s="15"/>
    </row>
    <row r="775">
      <c r="A775" s="7">
        <v>42425.40304398148</v>
      </c>
      <c r="B775" s="8" t="str">
        <f>HYPERLINK("https://twitter.com/EricaGutrz","@EricaGutrz")</f>
        <v>@EricaGutrz</v>
      </c>
      <c r="C775" s="10" t="s">
        <v>1938</v>
      </c>
      <c r="D775" s="10" t="s">
        <v>1391</v>
      </c>
      <c r="E775" s="11" t="str">
        <f>HYPERLINK("https://twitter.com/EricaGutrz/status/702911027625771010","702911027625771010")</f>
        <v>702911027625771010</v>
      </c>
      <c r="F775" s="12" t="s">
        <v>52</v>
      </c>
      <c r="G775" s="13">
        <v>210.0</v>
      </c>
      <c r="H775" s="13">
        <v>545.0</v>
      </c>
      <c r="I775" s="13">
        <v>4.0</v>
      </c>
      <c r="J775" s="13">
        <v>0.0</v>
      </c>
      <c r="K775" s="12" t="s">
        <v>21</v>
      </c>
      <c r="L775" s="7">
        <v>40804.50383101852</v>
      </c>
      <c r="M775" s="14" t="s">
        <v>1939</v>
      </c>
      <c r="N775" s="14" t="s">
        <v>1940</v>
      </c>
      <c r="O775" s="11" t="str">
        <f>HYPERLINK("https://pbs.twimg.com/profile_images/653426938283982852/8sFv3lrc_normal.jpg","View")</f>
        <v>View</v>
      </c>
      <c r="P775" s="15"/>
    </row>
    <row r="776">
      <c r="A776" s="7">
        <v>42425.40305555555</v>
      </c>
      <c r="B776" s="8" t="str">
        <f>HYPERLINK("https://twitter.com/Alatitude77","@Alatitude77")</f>
        <v>@Alatitude77</v>
      </c>
      <c r="C776" s="10" t="s">
        <v>1941</v>
      </c>
      <c r="D776" s="10" t="s">
        <v>1942</v>
      </c>
      <c r="E776" s="11" t="str">
        <f>HYPERLINK("https://twitter.com/Alatitude77/status/702911032054906880","702911032054906880")</f>
        <v>702911032054906880</v>
      </c>
      <c r="F776" s="12" t="s">
        <v>1943</v>
      </c>
      <c r="G776" s="13">
        <v>60.0</v>
      </c>
      <c r="H776" s="13">
        <v>61.0</v>
      </c>
      <c r="I776" s="13">
        <v>2.0</v>
      </c>
      <c r="J776" s="13">
        <v>8.0</v>
      </c>
      <c r="K776" s="12" t="s">
        <v>21</v>
      </c>
      <c r="L776" s="7">
        <v>41947.22635416667</v>
      </c>
      <c r="M776" s="14" t="s">
        <v>1944</v>
      </c>
      <c r="N776" s="14" t="s">
        <v>1945</v>
      </c>
      <c r="O776" s="11" t="str">
        <f>HYPERLINK("https://pbs.twimg.com/profile_images/537873303042408448/EKgzUX4O_normal.jpeg","View")</f>
        <v>View</v>
      </c>
      <c r="P776" s="15"/>
    </row>
    <row r="777">
      <c r="A777" s="7">
        <v>42425.40311342593</v>
      </c>
      <c r="B777" s="8" t="str">
        <f>HYPERLINK("https://twitter.com/centizeninc","@centizeninc")</f>
        <v>@centizeninc</v>
      </c>
      <c r="C777" s="10" t="s">
        <v>1946</v>
      </c>
      <c r="D777" s="10" t="s">
        <v>1947</v>
      </c>
      <c r="E777" s="11" t="str">
        <f>HYPERLINK("https://twitter.com/centizeninc/status/702911056545390592","702911056545390592")</f>
        <v>702911056545390592</v>
      </c>
      <c r="F777" s="12" t="s">
        <v>20</v>
      </c>
      <c r="G777" s="13">
        <v>55.0</v>
      </c>
      <c r="H777" s="13">
        <v>4.0</v>
      </c>
      <c r="I777" s="13">
        <v>0.0</v>
      </c>
      <c r="J777" s="13">
        <v>0.0</v>
      </c>
      <c r="K777" s="12" t="s">
        <v>21</v>
      </c>
      <c r="L777" s="7">
        <v>40463.75969907407</v>
      </c>
      <c r="M777" s="14" t="s">
        <v>1948</v>
      </c>
      <c r="N777" s="14" t="s">
        <v>1949</v>
      </c>
      <c r="O777" s="11" t="str">
        <f>HYPERLINK("https://pbs.twimg.com/profile_images/533666330134597632/1_jp-C_m_normal.png","View")</f>
        <v>View</v>
      </c>
      <c r="P777" s="15"/>
    </row>
    <row r="778">
      <c r="A778" s="7">
        <v>42425.40366898148</v>
      </c>
      <c r="B778" s="8" t="str">
        <f>HYPERLINK("https://twitter.com/fabienv","@fabienv")</f>
        <v>@fabienv</v>
      </c>
      <c r="C778" s="10" t="s">
        <v>1950</v>
      </c>
      <c r="D778" s="10" t="s">
        <v>1951</v>
      </c>
      <c r="E778" s="11" t="str">
        <f>HYPERLINK("https://twitter.com/fabienv/status/702911255569440770","702911255569440770")</f>
        <v>702911255569440770</v>
      </c>
      <c r="F778" s="12" t="s">
        <v>20</v>
      </c>
      <c r="G778" s="13">
        <v>111.0</v>
      </c>
      <c r="H778" s="13">
        <v>247.0</v>
      </c>
      <c r="I778" s="13">
        <v>0.0</v>
      </c>
      <c r="J778" s="13">
        <v>0.0</v>
      </c>
      <c r="K778" s="12" t="s">
        <v>21</v>
      </c>
      <c r="L778" s="7">
        <v>39353.17372685185</v>
      </c>
      <c r="M778" s="14" t="s">
        <v>241</v>
      </c>
      <c r="N778" s="14" t="s">
        <v>1952</v>
      </c>
      <c r="O778" s="11" t="str">
        <f>HYPERLINK("https://pbs.twimg.com/profile_images/601035621252083712/e7q362D6_normal.jpg","View")</f>
        <v>View</v>
      </c>
      <c r="P778" s="15"/>
    </row>
    <row r="779">
      <c r="A779" s="7">
        <v>42425.403703703705</v>
      </c>
      <c r="B779" s="8" t="str">
        <f>HYPERLINK("https://twitter.com/LibraLeather","@LibraLeather")</f>
        <v>@LibraLeather</v>
      </c>
      <c r="C779" s="10" t="s">
        <v>1953</v>
      </c>
      <c r="D779" s="10" t="s">
        <v>1954</v>
      </c>
      <c r="E779" s="11" t="str">
        <f>HYPERLINK("https://twitter.com/LibraLeather/status/702911268336877568","702911268336877568")</f>
        <v>702911268336877568</v>
      </c>
      <c r="F779" s="12" t="s">
        <v>236</v>
      </c>
      <c r="G779" s="13">
        <v>242.0</v>
      </c>
      <c r="H779" s="13">
        <v>65.0</v>
      </c>
      <c r="I779" s="13">
        <v>0.0</v>
      </c>
      <c r="J779" s="13">
        <v>0.0</v>
      </c>
      <c r="K779" s="12" t="s">
        <v>21</v>
      </c>
      <c r="L779" s="7">
        <v>40736.269791666666</v>
      </c>
      <c r="M779" s="14" t="s">
        <v>1939</v>
      </c>
      <c r="N779" s="14" t="s">
        <v>1955</v>
      </c>
      <c r="O779" s="11" t="str">
        <f>HYPERLINK("https://pbs.twimg.com/profile_images/1438485048/Leather4Press_normal.jpg","View")</f>
        <v>View</v>
      </c>
      <c r="P779" s="15"/>
    </row>
    <row r="780">
      <c r="A780" s="7">
        <v>42425.40421296297</v>
      </c>
      <c r="B780" s="8" t="str">
        <f>HYPERLINK("https://twitter.com/TundraMx","@TundraMx")</f>
        <v>@TundraMx</v>
      </c>
      <c r="C780" s="10" t="s">
        <v>1956</v>
      </c>
      <c r="D780" s="10" t="s">
        <v>1957</v>
      </c>
      <c r="E780" s="11" t="str">
        <f>HYPERLINK("https://twitter.com/TundraMx/status/702911451703304192","702911451703304192")</f>
        <v>702911451703304192</v>
      </c>
      <c r="F780" s="12" t="s">
        <v>20</v>
      </c>
      <c r="G780" s="13">
        <v>118.0</v>
      </c>
      <c r="H780" s="13">
        <v>123.0</v>
      </c>
      <c r="I780" s="13">
        <v>3.0</v>
      </c>
      <c r="J780" s="13">
        <v>0.0</v>
      </c>
      <c r="K780" s="12" t="s">
        <v>21</v>
      </c>
      <c r="L780" s="7">
        <v>41996.41965277778</v>
      </c>
      <c r="M780" s="14" t="s">
        <v>1789</v>
      </c>
      <c r="N780" s="14" t="s">
        <v>1958</v>
      </c>
      <c r="O780" s="11" t="str">
        <f>HYPERLINK("https://pbs.twimg.com/profile_images/702765254896279552/m3OrUoO6_normal.png","View")</f>
        <v>View</v>
      </c>
      <c r="P780" s="15"/>
    </row>
    <row r="781">
      <c r="A781" s="7">
        <v>42425.40539351852</v>
      </c>
      <c r="B781" s="8" t="str">
        <f>HYPERLINK("https://twitter.com/GISPyQuestions","@GISPyQuestions")</f>
        <v>@GISPyQuestions</v>
      </c>
      <c r="C781" s="10" t="s">
        <v>1959</v>
      </c>
      <c r="D781" s="10" t="s">
        <v>1960</v>
      </c>
      <c r="E781" s="11" t="str">
        <f>HYPERLINK("https://twitter.com/GISPyQuestions/status/702911879329423360","702911879329423360")</f>
        <v>702911879329423360</v>
      </c>
      <c r="F781" s="12" t="s">
        <v>1961</v>
      </c>
      <c r="G781" s="13">
        <v>372.0</v>
      </c>
      <c r="H781" s="13">
        <v>0.0</v>
      </c>
      <c r="I781" s="13">
        <v>0.0</v>
      </c>
      <c r="J781" s="13">
        <v>0.0</v>
      </c>
      <c r="K781" s="12" t="s">
        <v>21</v>
      </c>
      <c r="L781" s="7">
        <v>40997.581712962965</v>
      </c>
      <c r="M781" s="16"/>
      <c r="N781" s="16"/>
      <c r="O781" s="11" t="str">
        <f>HYPERLINK("https://pbs.twimg.com/profile_images/1987767273/python-logo-glassy_normal.png","View")</f>
        <v>View</v>
      </c>
      <c r="P781" s="15"/>
    </row>
    <row r="782">
      <c r="A782" s="7">
        <v>42425.40546296297</v>
      </c>
      <c r="B782" s="8" t="str">
        <f>HYPERLINK("https://twitter.com/rakanalh","@rakanalh")</f>
        <v>@rakanalh</v>
      </c>
      <c r="C782" s="10" t="s">
        <v>1962</v>
      </c>
      <c r="D782" s="10" t="s">
        <v>1823</v>
      </c>
      <c r="E782" s="11" t="str">
        <f>HYPERLINK("https://twitter.com/rakanalh/status/702911904054910976","702911904054910976")</f>
        <v>702911904054910976</v>
      </c>
      <c r="F782" s="12" t="s">
        <v>152</v>
      </c>
      <c r="G782" s="13">
        <v>406.0</v>
      </c>
      <c r="H782" s="13">
        <v>377.0</v>
      </c>
      <c r="I782" s="13">
        <v>5.0</v>
      </c>
      <c r="J782" s="13">
        <v>0.0</v>
      </c>
      <c r="K782" s="12" t="s">
        <v>21</v>
      </c>
      <c r="L782" s="7">
        <v>40331.01364583333</v>
      </c>
      <c r="M782" s="14" t="s">
        <v>1963</v>
      </c>
      <c r="N782" s="14" t="s">
        <v>1964</v>
      </c>
      <c r="O782" s="11" t="str">
        <f>HYPERLINK("https://pbs.twimg.com/profile_images/623951377748901888/FfWt8s7S_normal.jpg","View")</f>
        <v>View</v>
      </c>
      <c r="P782" s="15"/>
    </row>
    <row r="783">
      <c r="A783" s="7">
        <v>42425.406076388885</v>
      </c>
      <c r="B783" s="8" t="str">
        <f>HYPERLINK("https://twitter.com/ITTweetsUK","@ITTweetsUK")</f>
        <v>@ITTweetsUK</v>
      </c>
      <c r="C783" s="10" t="s">
        <v>1965</v>
      </c>
      <c r="D783" s="10" t="s">
        <v>1966</v>
      </c>
      <c r="E783" s="11" t="str">
        <f>HYPERLINK("https://twitter.com/ITTweetsUK/status/702912127246471168","702912127246471168")</f>
        <v>702912127246471168</v>
      </c>
      <c r="F783" s="12" t="s">
        <v>38</v>
      </c>
      <c r="G783" s="13">
        <v>618.0</v>
      </c>
      <c r="H783" s="13">
        <v>70.0</v>
      </c>
      <c r="I783" s="13">
        <v>2.0</v>
      </c>
      <c r="J783" s="13">
        <v>0.0</v>
      </c>
      <c r="K783" s="12" t="s">
        <v>21</v>
      </c>
      <c r="L783" s="7">
        <v>42006.24319444444</v>
      </c>
      <c r="M783" s="14" t="s">
        <v>519</v>
      </c>
      <c r="N783" s="14" t="s">
        <v>1967</v>
      </c>
      <c r="O783" s="11" t="str">
        <f>HYPERLINK("https://pbs.twimg.com/profile_images/551014010917617664/ybFl198S_normal.jpeg","View")</f>
        <v>View</v>
      </c>
      <c r="P783" s="15"/>
    </row>
    <row r="784">
      <c r="A784" s="7">
        <v>42425.40608796296</v>
      </c>
      <c r="B784" s="8" t="str">
        <f>HYPERLINK("https://twitter.com/dswzsd","@dswzsd")</f>
        <v>@dswzsd</v>
      </c>
      <c r="C784" s="10" t="s">
        <v>974</v>
      </c>
      <c r="D784" s="10" t="s">
        <v>1823</v>
      </c>
      <c r="E784" s="11" t="str">
        <f>HYPERLINK("https://twitter.com/dswzsd/status/702912133865062400","702912133865062400")</f>
        <v>702912133865062400</v>
      </c>
      <c r="F784" s="12" t="s">
        <v>52</v>
      </c>
      <c r="G784" s="13">
        <v>94.0</v>
      </c>
      <c r="H784" s="13">
        <v>224.0</v>
      </c>
      <c r="I784" s="13">
        <v>5.0</v>
      </c>
      <c r="J784" s="13">
        <v>0.0</v>
      </c>
      <c r="K784" s="12" t="s">
        <v>21</v>
      </c>
      <c r="L784" s="7">
        <v>41562.54652777778</v>
      </c>
      <c r="M784" s="14" t="s">
        <v>975</v>
      </c>
      <c r="N784" s="14" t="s">
        <v>976</v>
      </c>
      <c r="O784" s="11" t="str">
        <f>HYPERLINK("https://pbs.twimg.com/profile_images/695327774530260992/zxoHVn9U_normal.jpg","View")</f>
        <v>View</v>
      </c>
      <c r="P784" s="15"/>
    </row>
    <row r="785">
      <c r="A785" s="7">
        <v>42425.40652777778</v>
      </c>
      <c r="B785" s="8" t="str">
        <f>HYPERLINK("https://twitter.com/icodenow","@icodenow")</f>
        <v>@icodenow</v>
      </c>
      <c r="C785" s="10" t="s">
        <v>1968</v>
      </c>
      <c r="D785" s="10" t="s">
        <v>1969</v>
      </c>
      <c r="E785" s="11" t="str">
        <f>HYPERLINK("https://twitter.com/icodenow/status/702912292912926720","702912292912926720")</f>
        <v>702912292912926720</v>
      </c>
      <c r="F785" s="12" t="s">
        <v>1961</v>
      </c>
      <c r="G785" s="13">
        <v>107.0</v>
      </c>
      <c r="H785" s="13">
        <v>84.0</v>
      </c>
      <c r="I785" s="13">
        <v>0.0</v>
      </c>
      <c r="J785" s="13">
        <v>0.0</v>
      </c>
      <c r="K785" s="12" t="s">
        <v>21</v>
      </c>
      <c r="L785" s="7">
        <v>40788.43604166667</v>
      </c>
      <c r="M785" s="16"/>
      <c r="N785" s="16"/>
      <c r="O785" s="11" t="str">
        <f>HYPERLINK("https://abs.twimg.com/sticky/default_profile_images/default_profile_2_normal.png","View")</f>
        <v>View</v>
      </c>
      <c r="P785" s="15"/>
    </row>
    <row r="786">
      <c r="A786" s="7">
        <v>42425.40694444445</v>
      </c>
      <c r="B786" s="8" t="str">
        <f>HYPERLINK("https://twitter.com/GetUdemyDeals","@GetUdemyDeals")</f>
        <v>@GetUdemyDeals</v>
      </c>
      <c r="C786" s="10" t="s">
        <v>492</v>
      </c>
      <c r="D786" s="10" t="s">
        <v>1970</v>
      </c>
      <c r="E786" s="11" t="str">
        <f>HYPERLINK("https://twitter.com/GetUdemyDeals/status/702912444084125696","702912444084125696")</f>
        <v>702912444084125696</v>
      </c>
      <c r="F786" s="12" t="s">
        <v>494</v>
      </c>
      <c r="G786" s="13">
        <v>187.0</v>
      </c>
      <c r="H786" s="13">
        <v>87.0</v>
      </c>
      <c r="I786" s="13">
        <v>0.0</v>
      </c>
      <c r="J786" s="13">
        <v>0.0</v>
      </c>
      <c r="K786" s="12" t="s">
        <v>21</v>
      </c>
      <c r="L786" s="7">
        <v>41928.48434027778</v>
      </c>
      <c r="M786" s="14" t="s">
        <v>495</v>
      </c>
      <c r="N786" s="14" t="s">
        <v>496</v>
      </c>
      <c r="O786" s="11" t="str">
        <f>HYPERLINK("https://pbs.twimg.com/profile_images/523203529620484096/fzN_Plp5_normal.jpeg","View")</f>
        <v>View</v>
      </c>
      <c r="P786" s="15"/>
    </row>
    <row r="787">
      <c r="A787" s="7">
        <v>42425.40715277778</v>
      </c>
      <c r="B787" s="8" t="str">
        <f>HYPERLINK("https://twitter.com/ladjango","@ladjango")</f>
        <v>@ladjango</v>
      </c>
      <c r="C787" s="10" t="s">
        <v>1971</v>
      </c>
      <c r="D787" s="10" t="s">
        <v>1972</v>
      </c>
      <c r="E787" s="11" t="str">
        <f>HYPERLINK("https://twitter.com/ladjango/status/702912516364574721","702912516364574721")</f>
        <v>702912516364574721</v>
      </c>
      <c r="F787" s="12" t="s">
        <v>294</v>
      </c>
      <c r="G787" s="13">
        <v>133.0</v>
      </c>
      <c r="H787" s="13">
        <v>535.0</v>
      </c>
      <c r="I787" s="13">
        <v>1.0</v>
      </c>
      <c r="J787" s="13">
        <v>1.0</v>
      </c>
      <c r="K787" s="12" t="s">
        <v>21</v>
      </c>
      <c r="L787" s="7">
        <v>41190.523263888885</v>
      </c>
      <c r="M787" s="14" t="s">
        <v>1973</v>
      </c>
      <c r="N787" s="14" t="s">
        <v>1974</v>
      </c>
      <c r="O787" s="11" t="str">
        <f>HYPERLINK("https://pbs.twimg.com/profile_images/2695663541/a7b6ea166a7bedc46c05f2f31ddba226_normal.jpeg","View")</f>
        <v>View</v>
      </c>
      <c r="P787" s="15"/>
    </row>
    <row r="788">
      <c r="A788" s="7">
        <v>42425.40849537037</v>
      </c>
      <c r="B788" s="8" t="str">
        <f>HYPERLINK("https://twitter.com/subhro1976","@subhro1976")</f>
        <v>@subhro1976</v>
      </c>
      <c r="C788" s="10" t="s">
        <v>1975</v>
      </c>
      <c r="D788" s="10" t="s">
        <v>1976</v>
      </c>
      <c r="E788" s="11" t="str">
        <f>HYPERLINK("https://twitter.com/subhro1976/status/702913003352526848","702913003352526848")</f>
        <v>702913003352526848</v>
      </c>
      <c r="F788" s="12" t="s">
        <v>152</v>
      </c>
      <c r="G788" s="13">
        <v>91.0</v>
      </c>
      <c r="H788" s="13">
        <v>175.0</v>
      </c>
      <c r="I788" s="13">
        <v>0.0</v>
      </c>
      <c r="J788" s="13">
        <v>2.0</v>
      </c>
      <c r="K788" s="12" t="s">
        <v>21</v>
      </c>
      <c r="L788" s="7">
        <v>40310.033692129626</v>
      </c>
      <c r="M788" s="14" t="s">
        <v>1977</v>
      </c>
      <c r="N788" s="16"/>
      <c r="O788" s="11" t="str">
        <f>HYPERLINK("https://pbs.twimg.com/profile_images/486989343316115456/a4ioShMe_normal.jpeg","View")</f>
        <v>View</v>
      </c>
      <c r="P788" s="15"/>
    </row>
    <row r="789">
      <c r="A789" s="7">
        <v>42425.409166666665</v>
      </c>
      <c r="B789" s="8" t="str">
        <f>HYPERLINK("https://twitter.com/palichis","@palichis")</f>
        <v>@palichis</v>
      </c>
      <c r="C789" s="10" t="s">
        <v>1978</v>
      </c>
      <c r="D789" s="10" t="s">
        <v>1461</v>
      </c>
      <c r="E789" s="11" t="str">
        <f>HYPERLINK("https://twitter.com/palichis/status/702913249671585792","702913249671585792")</f>
        <v>702913249671585792</v>
      </c>
      <c r="F789" s="12" t="s">
        <v>20</v>
      </c>
      <c r="G789" s="13">
        <v>338.0</v>
      </c>
      <c r="H789" s="13">
        <v>218.0</v>
      </c>
      <c r="I789" s="13">
        <v>17.0</v>
      </c>
      <c r="J789" s="13">
        <v>0.0</v>
      </c>
      <c r="K789" s="12" t="s">
        <v>21</v>
      </c>
      <c r="L789" s="7">
        <v>39455.85827546296</v>
      </c>
      <c r="M789" s="14" t="s">
        <v>1979</v>
      </c>
      <c r="N789" s="14" t="s">
        <v>1980</v>
      </c>
      <c r="O789" s="11" t="str">
        <f>HYPERLINK("https://pbs.twimg.com/profile_images/572948921693921280/OnxCV_Vc_normal.jpeg","View")</f>
        <v>View</v>
      </c>
      <c r="P789" s="15"/>
    </row>
    <row r="790">
      <c r="A790" s="7">
        <v>42425.4092824074</v>
      </c>
      <c r="B790" s="8" t="str">
        <f>HYPERLINK("https://twitter.com/JoshuaLongUK","@JoshuaLongUK")</f>
        <v>@JoshuaLongUK</v>
      </c>
      <c r="C790" s="10" t="s">
        <v>101</v>
      </c>
      <c r="D790" s="10" t="s">
        <v>1981</v>
      </c>
      <c r="E790" s="11" t="str">
        <f>HYPERLINK("https://twitter.com/JoshuaLongUK/status/702913291451027461","702913291451027461")</f>
        <v>702913291451027461</v>
      </c>
      <c r="F790" s="12" t="s">
        <v>103</v>
      </c>
      <c r="G790" s="13">
        <v>25832.0</v>
      </c>
      <c r="H790" s="13">
        <v>93.0</v>
      </c>
      <c r="I790" s="13">
        <v>0.0</v>
      </c>
      <c r="J790" s="13">
        <v>0.0</v>
      </c>
      <c r="K790" s="12" t="s">
        <v>21</v>
      </c>
      <c r="L790" s="7">
        <v>41149.39659722222</v>
      </c>
      <c r="M790" s="14" t="s">
        <v>104</v>
      </c>
      <c r="N790" s="14" t="s">
        <v>105</v>
      </c>
      <c r="O790" s="11" t="str">
        <f>HYPERLINK("https://pbs.twimg.com/profile_images/627996138403168256/DaASdgVr_normal.jpg","View")</f>
        <v>View</v>
      </c>
      <c r="P790" s="15"/>
    </row>
    <row r="791">
      <c r="A791" s="7">
        <v>42425.409733796296</v>
      </c>
      <c r="B791" s="8" t="str">
        <f t="shared" ref="B791:B794" si="65">HYPERLINK("https://twitter.com/webdevers","@webdevers")</f>
        <v>@webdevers</v>
      </c>
      <c r="C791" s="10" t="s">
        <v>1982</v>
      </c>
      <c r="D791" s="10" t="s">
        <v>1983</v>
      </c>
      <c r="E791" s="11" t="str">
        <f>HYPERLINK("https://twitter.com/webdevers/status/702913453762039808","702913453762039808")</f>
        <v>702913453762039808</v>
      </c>
      <c r="F791" s="12" t="s">
        <v>1984</v>
      </c>
      <c r="G791" s="13">
        <v>142.0</v>
      </c>
      <c r="H791" s="13">
        <v>0.0</v>
      </c>
      <c r="I791" s="13">
        <v>0.0</v>
      </c>
      <c r="J791" s="13">
        <v>0.0</v>
      </c>
      <c r="K791" s="12" t="s">
        <v>21</v>
      </c>
      <c r="L791" s="7">
        <v>40844.61832175926</v>
      </c>
      <c r="M791" s="16"/>
      <c r="N791" s="14" t="s">
        <v>1985</v>
      </c>
      <c r="O791" s="11" t="str">
        <f t="shared" ref="O791:O794" si="66">HYPERLINK("https://pbs.twimg.com/profile_images/3759253863/86267077ca21c75710f9fcc99f83d2f5_normal.jpeg","View")</f>
        <v>View</v>
      </c>
      <c r="P791" s="15"/>
    </row>
    <row r="792">
      <c r="A792" s="7">
        <v>42425.409791666665</v>
      </c>
      <c r="B792" s="8" t="str">
        <f t="shared" si="65"/>
        <v>@webdevers</v>
      </c>
      <c r="C792" s="10" t="s">
        <v>1982</v>
      </c>
      <c r="D792" s="10" t="s">
        <v>1986</v>
      </c>
      <c r="E792" s="11" t="str">
        <f>HYPERLINK("https://twitter.com/webdevers/status/702913476407066625","702913476407066625")</f>
        <v>702913476407066625</v>
      </c>
      <c r="F792" s="12" t="s">
        <v>1984</v>
      </c>
      <c r="G792" s="13">
        <v>142.0</v>
      </c>
      <c r="H792" s="13">
        <v>0.0</v>
      </c>
      <c r="I792" s="13">
        <v>0.0</v>
      </c>
      <c r="J792" s="13">
        <v>0.0</v>
      </c>
      <c r="K792" s="12" t="s">
        <v>21</v>
      </c>
      <c r="L792" s="7">
        <v>40844.61832175926</v>
      </c>
      <c r="M792" s="16"/>
      <c r="N792" s="14" t="s">
        <v>1985</v>
      </c>
      <c r="O792" s="11" t="str">
        <f t="shared" si="66"/>
        <v>View</v>
      </c>
      <c r="P792" s="15"/>
    </row>
    <row r="793">
      <c r="A793" s="7">
        <v>42425.41042824074</v>
      </c>
      <c r="B793" s="8" t="str">
        <f t="shared" si="65"/>
        <v>@webdevers</v>
      </c>
      <c r="C793" s="10" t="s">
        <v>1982</v>
      </c>
      <c r="D793" s="10" t="s">
        <v>1987</v>
      </c>
      <c r="E793" s="11" t="str">
        <f>HYPERLINK("https://twitter.com/webdevers/status/702913704325611520","702913704325611520")</f>
        <v>702913704325611520</v>
      </c>
      <c r="F793" s="12" t="s">
        <v>1984</v>
      </c>
      <c r="G793" s="13">
        <v>142.0</v>
      </c>
      <c r="H793" s="13">
        <v>0.0</v>
      </c>
      <c r="I793" s="13">
        <v>0.0</v>
      </c>
      <c r="J793" s="13">
        <v>0.0</v>
      </c>
      <c r="K793" s="12" t="s">
        <v>21</v>
      </c>
      <c r="L793" s="7">
        <v>40844.61832175926</v>
      </c>
      <c r="M793" s="16"/>
      <c r="N793" s="14" t="s">
        <v>1985</v>
      </c>
      <c r="O793" s="11" t="str">
        <f t="shared" si="66"/>
        <v>View</v>
      </c>
      <c r="P793" s="15"/>
    </row>
    <row r="794">
      <c r="A794" s="7">
        <v>42425.41049768518</v>
      </c>
      <c r="B794" s="8" t="str">
        <f t="shared" si="65"/>
        <v>@webdevers</v>
      </c>
      <c r="C794" s="10" t="s">
        <v>1982</v>
      </c>
      <c r="D794" s="10" t="s">
        <v>1988</v>
      </c>
      <c r="E794" s="11" t="str">
        <f>HYPERLINK("https://twitter.com/webdevers/status/702913732456779778","702913732456779778")</f>
        <v>702913732456779778</v>
      </c>
      <c r="F794" s="12" t="s">
        <v>1984</v>
      </c>
      <c r="G794" s="13">
        <v>142.0</v>
      </c>
      <c r="H794" s="13">
        <v>0.0</v>
      </c>
      <c r="I794" s="13">
        <v>0.0</v>
      </c>
      <c r="J794" s="13">
        <v>0.0</v>
      </c>
      <c r="K794" s="12" t="s">
        <v>21</v>
      </c>
      <c r="L794" s="7">
        <v>40844.61832175926</v>
      </c>
      <c r="M794" s="16"/>
      <c r="N794" s="14" t="s">
        <v>1985</v>
      </c>
      <c r="O794" s="11" t="str">
        <f t="shared" si="66"/>
        <v>View</v>
      </c>
      <c r="P794" s="15"/>
    </row>
    <row r="795">
      <c r="A795" s="7">
        <v>42425.41185185185</v>
      </c>
      <c r="B795" s="8" t="str">
        <f>HYPERLINK("https://twitter.com/palichis","@palichis")</f>
        <v>@palichis</v>
      </c>
      <c r="C795" s="10" t="s">
        <v>1978</v>
      </c>
      <c r="D795" s="10" t="s">
        <v>1989</v>
      </c>
      <c r="E795" s="11" t="str">
        <f>HYPERLINK("https://twitter.com/palichis/status/702914223043690496","702914223043690496")</f>
        <v>702914223043690496</v>
      </c>
      <c r="F795" s="12" t="s">
        <v>20</v>
      </c>
      <c r="G795" s="13">
        <v>338.0</v>
      </c>
      <c r="H795" s="13">
        <v>218.0</v>
      </c>
      <c r="I795" s="13">
        <v>0.0</v>
      </c>
      <c r="J795" s="13">
        <v>0.0</v>
      </c>
      <c r="K795" s="12" t="s">
        <v>21</v>
      </c>
      <c r="L795" s="7">
        <v>39455.85827546296</v>
      </c>
      <c r="M795" s="14" t="s">
        <v>1979</v>
      </c>
      <c r="N795" s="14" t="s">
        <v>1980</v>
      </c>
      <c r="O795" s="11" t="str">
        <f>HYPERLINK("https://pbs.twimg.com/profile_images/572948921693921280/OnxCV_Vc_normal.jpeg","View")</f>
        <v>View</v>
      </c>
      <c r="P795" s="15"/>
    </row>
    <row r="796">
      <c r="A796" s="7">
        <v>42425.41197916667</v>
      </c>
      <c r="B796" s="8" t="str">
        <f>HYPERLINK("https://twitter.com/artwisanggeni","@artwisanggeni")</f>
        <v>@artwisanggeni</v>
      </c>
      <c r="C796" s="10" t="s">
        <v>74</v>
      </c>
      <c r="D796" s="10" t="s">
        <v>1990</v>
      </c>
      <c r="E796" s="11" t="str">
        <f>HYPERLINK("https://twitter.com/artwisanggeni/status/702914268417564672","702914268417564672")</f>
        <v>702914268417564672</v>
      </c>
      <c r="F796" s="17" t="s">
        <v>76</v>
      </c>
      <c r="G796" s="13">
        <v>236.0</v>
      </c>
      <c r="H796" s="13">
        <v>61.0</v>
      </c>
      <c r="I796" s="13">
        <v>0.0</v>
      </c>
      <c r="J796" s="13">
        <v>0.0</v>
      </c>
      <c r="K796" s="12" t="s">
        <v>21</v>
      </c>
      <c r="L796" s="7">
        <v>41218.90608796296</v>
      </c>
      <c r="M796" s="14" t="s">
        <v>77</v>
      </c>
      <c r="N796" s="14" t="s">
        <v>78</v>
      </c>
      <c r="O796" s="11" t="str">
        <f>HYPERLINK("https://pbs.twimg.com/profile_images/2813636657/599521f69e2bc210a57323b64d8e39e6_normal.jpeg","View")</f>
        <v>View</v>
      </c>
      <c r="P796" s="15"/>
    </row>
    <row r="797">
      <c r="A797" s="7">
        <v>42425.41284722222</v>
      </c>
      <c r="B797" s="8" t="str">
        <f>HYPERLINK("https://twitter.com/lexsi","@lexsi")</f>
        <v>@lexsi</v>
      </c>
      <c r="C797" s="10" t="s">
        <v>1991</v>
      </c>
      <c r="D797" s="10" t="s">
        <v>1992</v>
      </c>
      <c r="E797" s="11" t="str">
        <f>HYPERLINK("https://twitter.com/lexsi/status/702914583841865728","702914583841865728")</f>
        <v>702914583841865728</v>
      </c>
      <c r="F797" s="12" t="s">
        <v>20</v>
      </c>
      <c r="G797" s="13">
        <v>2886.0</v>
      </c>
      <c r="H797" s="13">
        <v>424.0</v>
      </c>
      <c r="I797" s="13">
        <v>3.0</v>
      </c>
      <c r="J797" s="13">
        <v>0.0</v>
      </c>
      <c r="K797" s="12" t="s">
        <v>21</v>
      </c>
      <c r="L797" s="7">
        <v>39913.059270833335</v>
      </c>
      <c r="M797" s="14" t="s">
        <v>1993</v>
      </c>
      <c r="N797" s="14" t="s">
        <v>1994</v>
      </c>
      <c r="O797" s="11" t="str">
        <f>HYPERLINK("https://pbs.twimg.com/profile_images/557537043903827969/sHmH0vdi_normal.jpeg","View")</f>
        <v>View</v>
      </c>
      <c r="P797" s="15"/>
    </row>
    <row r="798">
      <c r="A798" s="7">
        <v>42425.41306712963</v>
      </c>
      <c r="B798" s="8" t="str">
        <f>HYPERLINK("https://twitter.com/LillianEdmiston","@LillianEdmiston")</f>
        <v>@LillianEdmiston</v>
      </c>
      <c r="C798" s="10" t="s">
        <v>170</v>
      </c>
      <c r="D798" s="10" t="s">
        <v>1995</v>
      </c>
      <c r="E798" s="11" t="str">
        <f>HYPERLINK("https://twitter.com/LillianEdmiston/status/702914661117763584","702914661117763584")</f>
        <v>702914661117763584</v>
      </c>
      <c r="F798" s="12" t="s">
        <v>103</v>
      </c>
      <c r="G798" s="13">
        <v>1050.0</v>
      </c>
      <c r="H798" s="13">
        <v>40.0</v>
      </c>
      <c r="I798" s="13">
        <v>5.0</v>
      </c>
      <c r="J798" s="13">
        <v>2.0</v>
      </c>
      <c r="K798" s="12" t="s">
        <v>21</v>
      </c>
      <c r="L798" s="7">
        <v>42293.27416666667</v>
      </c>
      <c r="M798" s="14" t="s">
        <v>172</v>
      </c>
      <c r="N798" s="14" t="s">
        <v>173</v>
      </c>
      <c r="O798" s="11" t="str">
        <f>HYPERLINK("https://pbs.twimg.com/profile_images/655014978101993476/ZpsnJW8B_normal.jpg","View")</f>
        <v>View</v>
      </c>
      <c r="P798" s="15"/>
    </row>
    <row r="799">
      <c r="A799" s="7">
        <v>42425.41306712963</v>
      </c>
      <c r="B799" s="8" t="str">
        <f>HYPERLINK("https://twitter.com/ameanmbot","@ameanmbot")</f>
        <v>@ameanmbot</v>
      </c>
      <c r="C799" s="10" t="s">
        <v>174</v>
      </c>
      <c r="D799" s="10" t="s">
        <v>1996</v>
      </c>
      <c r="E799" s="11" t="str">
        <f>HYPERLINK("https://twitter.com/ameanmbot/status/702914663642750982","702914663642750982")</f>
        <v>702914663642750982</v>
      </c>
      <c r="F799" s="12" t="s">
        <v>176</v>
      </c>
      <c r="G799" s="13">
        <v>3291.0</v>
      </c>
      <c r="H799" s="13">
        <v>1.0</v>
      </c>
      <c r="I799" s="13">
        <v>5.0</v>
      </c>
      <c r="J799" s="13">
        <v>0.0</v>
      </c>
      <c r="K799" s="12" t="s">
        <v>21</v>
      </c>
      <c r="L799" s="7">
        <v>41814.009733796294</v>
      </c>
      <c r="M799" s="16"/>
      <c r="N799" s="14" t="s">
        <v>177</v>
      </c>
      <c r="O799" s="11" t="str">
        <f>HYPERLINK("https://pbs.twimg.com/profile_images/481334978161029120/iu3zZFEk_normal.png","View")</f>
        <v>View</v>
      </c>
      <c r="P799" s="15"/>
    </row>
    <row r="800">
      <c r="A800" s="7">
        <v>42425.41332175926</v>
      </c>
      <c r="B800" s="8" t="str">
        <f>HYPERLINK("https://twitter.com/dhruvbaldawa","@dhruvbaldawa")</f>
        <v>@dhruvbaldawa</v>
      </c>
      <c r="C800" s="10" t="s">
        <v>1997</v>
      </c>
      <c r="D800" s="10" t="s">
        <v>1998</v>
      </c>
      <c r="E800" s="11" t="str">
        <f>HYPERLINK("https://twitter.com/dhruvbaldawa/status/702914754390536193","702914754390536193")</f>
        <v>702914754390536193</v>
      </c>
      <c r="F800" s="12" t="s">
        <v>446</v>
      </c>
      <c r="G800" s="13">
        <v>483.0</v>
      </c>
      <c r="H800" s="13">
        <v>295.0</v>
      </c>
      <c r="I800" s="13">
        <v>2.0</v>
      </c>
      <c r="J800" s="13">
        <v>0.0</v>
      </c>
      <c r="K800" s="12" t="s">
        <v>21</v>
      </c>
      <c r="L800" s="7">
        <v>39542.19111111111</v>
      </c>
      <c r="M800" s="14" t="s">
        <v>1999</v>
      </c>
      <c r="N800" s="14" t="s">
        <v>2000</v>
      </c>
      <c r="O800" s="11" t="str">
        <f>HYPERLINK("https://pbs.twimg.com/profile_images/485692094401359872/CFv4UPN8_normal.jpeg","View")</f>
        <v>View</v>
      </c>
      <c r="P800" s="15"/>
    </row>
    <row r="801">
      <c r="A801" s="7">
        <v>42425.41391203704</v>
      </c>
      <c r="B801" s="8" t="str">
        <f>HYPERLINK("https://twitter.com/Ahugla","@Ahugla")</f>
        <v>@Ahugla</v>
      </c>
      <c r="C801" s="10" t="s">
        <v>2001</v>
      </c>
      <c r="D801" s="10" t="s">
        <v>1992</v>
      </c>
      <c r="E801" s="11" t="str">
        <f>HYPERLINK("https://twitter.com/Ahugla/status/702914967457165312","702914967457165312")</f>
        <v>702914967457165312</v>
      </c>
      <c r="F801" s="12" t="s">
        <v>52</v>
      </c>
      <c r="G801" s="13">
        <v>584.0</v>
      </c>
      <c r="H801" s="13">
        <v>200.0</v>
      </c>
      <c r="I801" s="13">
        <v>3.0</v>
      </c>
      <c r="J801" s="13">
        <v>0.0</v>
      </c>
      <c r="K801" s="12" t="s">
        <v>21</v>
      </c>
      <c r="L801" s="7">
        <v>40646.98980324074</v>
      </c>
      <c r="M801" s="14" t="s">
        <v>2002</v>
      </c>
      <c r="N801" s="14" t="s">
        <v>2003</v>
      </c>
      <c r="O801" s="11" t="str">
        <f>HYPERLINK("https://pbs.twimg.com/profile_images/646302942933446656/F8qtE2j2_normal.png","View")</f>
        <v>View</v>
      </c>
      <c r="P801" s="15"/>
    </row>
    <row r="802">
      <c r="A802" s="7">
        <v>42425.413981481484</v>
      </c>
      <c r="B802" s="8" t="str">
        <f>HYPERLINK("https://twitter.com/HeroJobs","@HeroJobs")</f>
        <v>@HeroJobs</v>
      </c>
      <c r="C802" s="10" t="s">
        <v>2004</v>
      </c>
      <c r="D802" s="10" t="s">
        <v>2005</v>
      </c>
      <c r="E802" s="11" t="str">
        <f>HYPERLINK("https://twitter.com/HeroJobs/status/702914994527141888","702914994527141888")</f>
        <v>702914994527141888</v>
      </c>
      <c r="F802" s="12" t="s">
        <v>294</v>
      </c>
      <c r="G802" s="13">
        <v>277.0</v>
      </c>
      <c r="H802" s="13">
        <v>542.0</v>
      </c>
      <c r="I802" s="13">
        <v>1.0</v>
      </c>
      <c r="J802" s="13">
        <v>1.0</v>
      </c>
      <c r="K802" s="12" t="s">
        <v>21</v>
      </c>
      <c r="L802" s="7">
        <v>41963.721192129626</v>
      </c>
      <c r="M802" s="14" t="s">
        <v>1973</v>
      </c>
      <c r="N802" s="14" t="s">
        <v>2006</v>
      </c>
      <c r="O802" s="11" t="str">
        <f>HYPERLINK("https://pbs.twimg.com/profile_images/614505804993966080/YvHSdjBA_normal.png","View")</f>
        <v>View</v>
      </c>
      <c r="P802" s="15"/>
    </row>
    <row r="803">
      <c r="A803" s="7">
        <v>42425.41409722222</v>
      </c>
      <c r="B803" s="8" t="str">
        <f>HYPERLINK("https://twitter.com/bappteam","@bappteam")</f>
        <v>@bappteam</v>
      </c>
      <c r="C803" s="10" t="s">
        <v>2007</v>
      </c>
      <c r="D803" s="10" t="s">
        <v>2008</v>
      </c>
      <c r="E803" s="11" t="str">
        <f>HYPERLINK("https://twitter.com/bappteam/status/702915033546813440","702915033546813440")</f>
        <v>702915033546813440</v>
      </c>
      <c r="F803" s="12" t="s">
        <v>20</v>
      </c>
      <c r="G803" s="13">
        <v>89.0</v>
      </c>
      <c r="H803" s="13">
        <v>185.0</v>
      </c>
      <c r="I803" s="13">
        <v>1.0</v>
      </c>
      <c r="J803" s="13">
        <v>2.0</v>
      </c>
      <c r="K803" s="12" t="s">
        <v>21</v>
      </c>
      <c r="L803" s="7">
        <v>42289.0681712963</v>
      </c>
      <c r="M803" s="16"/>
      <c r="N803" s="14" t="s">
        <v>2009</v>
      </c>
      <c r="O803" s="11" t="str">
        <f>HYPERLINK("https://pbs.twimg.com/profile_images/656877564233981953/fKkI3nVG_normal.jpg","View")</f>
        <v>View</v>
      </c>
      <c r="P803" s="15"/>
    </row>
    <row r="804">
      <c r="A804" s="7">
        <v>42425.41459490741</v>
      </c>
      <c r="B804" s="8" t="str">
        <f>HYPERLINK("https://twitter.com/anwith1n","@anwith1n")</f>
        <v>@anwith1n</v>
      </c>
      <c r="C804" s="10" t="s">
        <v>2010</v>
      </c>
      <c r="D804" s="10" t="s">
        <v>1212</v>
      </c>
      <c r="E804" s="11" t="str">
        <f>HYPERLINK("https://twitter.com/anwith1n/status/702915214304411649","702915214304411649")</f>
        <v>702915214304411649</v>
      </c>
      <c r="F804" s="12" t="s">
        <v>52</v>
      </c>
      <c r="G804" s="13">
        <v>2314.0</v>
      </c>
      <c r="H804" s="13">
        <v>1678.0</v>
      </c>
      <c r="I804" s="13">
        <v>24.0</v>
      </c>
      <c r="J804" s="13">
        <v>0.0</v>
      </c>
      <c r="K804" s="12" t="s">
        <v>21</v>
      </c>
      <c r="L804" s="7">
        <v>39395.574965277774</v>
      </c>
      <c r="M804" s="14" t="s">
        <v>1325</v>
      </c>
      <c r="N804" s="14" t="s">
        <v>2011</v>
      </c>
      <c r="O804" s="11" t="str">
        <f>HYPERLINK("https://pbs.twimg.com/profile_images/640561914616004609/iEDDdfFF_normal.jpg","View")</f>
        <v>View</v>
      </c>
      <c r="P804" s="15"/>
    </row>
    <row r="805">
      <c r="A805" s="7">
        <v>42425.414814814816</v>
      </c>
      <c r="B805" s="8" t="str">
        <f>HYPERLINK("https://twitter.com/desklap","@desklap")</f>
        <v>@desklap</v>
      </c>
      <c r="C805" s="10" t="s">
        <v>2012</v>
      </c>
      <c r="D805" s="10" t="s">
        <v>2013</v>
      </c>
      <c r="E805" s="11" t="str">
        <f>HYPERLINK("https://twitter.com/desklap/status/702915294449180672","702915294449180672")</f>
        <v>702915294449180672</v>
      </c>
      <c r="F805" s="12" t="s">
        <v>20</v>
      </c>
      <c r="G805" s="13">
        <v>843.0</v>
      </c>
      <c r="H805" s="13">
        <v>839.0</v>
      </c>
      <c r="I805" s="13">
        <v>0.0</v>
      </c>
      <c r="J805" s="13">
        <v>1.0</v>
      </c>
      <c r="K805" s="12" t="s">
        <v>21</v>
      </c>
      <c r="L805" s="7">
        <v>42360.81311342593</v>
      </c>
      <c r="M805" s="14" t="s">
        <v>2014</v>
      </c>
      <c r="N805" s="14" t="s">
        <v>2015</v>
      </c>
      <c r="O805" s="11" t="str">
        <f>HYPERLINK("https://pbs.twimg.com/profile_images/679521622395494400/taf5DFh-_normal.jpg","View")</f>
        <v>View</v>
      </c>
      <c r="P805" s="15"/>
    </row>
    <row r="806">
      <c r="A806" s="7">
        <v>42425.41670138889</v>
      </c>
      <c r="B806" s="8" t="str">
        <f>HYPERLINK("https://twitter.com/soiqbot","@soiqbot")</f>
        <v>@soiqbot</v>
      </c>
      <c r="C806" s="10" t="s">
        <v>2016</v>
      </c>
      <c r="D806" s="10" t="s">
        <v>2017</v>
      </c>
      <c r="E806" s="11" t="str">
        <f>HYPERLINK("https://twitter.com/soiqbot/status/702915976547979264","702915976547979264")</f>
        <v>702915976547979264</v>
      </c>
      <c r="F806" s="12" t="s">
        <v>2018</v>
      </c>
      <c r="G806" s="13">
        <v>45.0</v>
      </c>
      <c r="H806" s="13">
        <v>1.0</v>
      </c>
      <c r="I806" s="13">
        <v>0.0</v>
      </c>
      <c r="J806" s="13">
        <v>0.0</v>
      </c>
      <c r="K806" s="12" t="s">
        <v>21</v>
      </c>
      <c r="L806" s="7">
        <v>42364.57996527778</v>
      </c>
      <c r="M806" s="16"/>
      <c r="N806" s="14" t="s">
        <v>2019</v>
      </c>
      <c r="O806" s="11" t="str">
        <f>HYPERLINK("https://pbs.twimg.com/profile_images/680887029845110784/iWdan2Gf_normal.jpg","View")</f>
        <v>View</v>
      </c>
      <c r="P806" s="15"/>
    </row>
    <row r="807">
      <c r="A807" s="7">
        <v>42425.41679398148</v>
      </c>
      <c r="B807" s="8" t="str">
        <f>HYPERLINK("https://twitter.com/ContinuumIO","@ContinuumIO")</f>
        <v>@ContinuumIO</v>
      </c>
      <c r="C807" s="10" t="s">
        <v>2020</v>
      </c>
      <c r="D807" s="10" t="s">
        <v>2021</v>
      </c>
      <c r="E807" s="11" t="str">
        <f>HYPERLINK("https://twitter.com/ContinuumIO/status/702916013109563392","702916013109563392")</f>
        <v>702916013109563392</v>
      </c>
      <c r="F807" s="12" t="s">
        <v>47</v>
      </c>
      <c r="G807" s="13">
        <v>9548.0</v>
      </c>
      <c r="H807" s="13">
        <v>1427.0</v>
      </c>
      <c r="I807" s="13">
        <v>12.0</v>
      </c>
      <c r="J807" s="13">
        <v>16.0</v>
      </c>
      <c r="K807" s="12" t="s">
        <v>21</v>
      </c>
      <c r="L807" s="7">
        <v>40841.34633101852</v>
      </c>
      <c r="M807" s="14" t="s">
        <v>2022</v>
      </c>
      <c r="N807" s="14" t="s">
        <v>2023</v>
      </c>
      <c r="O807" s="11" t="str">
        <f>HYPERLINK("https://pbs.twimg.com/profile_images/624030560457850880/17LrFnZt_normal.png","View")</f>
        <v>View</v>
      </c>
      <c r="P807" s="15"/>
    </row>
    <row r="808">
      <c r="A808" s="7">
        <v>42425.41788194445</v>
      </c>
      <c r="B808" s="8" t="str">
        <f>HYPERLINK("https://twitter.com/PythonWeekly","@PythonWeekly")</f>
        <v>@PythonWeekly</v>
      </c>
      <c r="C808" s="10" t="s">
        <v>948</v>
      </c>
      <c r="D808" s="10" t="s">
        <v>2024</v>
      </c>
      <c r="E808" s="11" t="str">
        <f>HYPERLINK("https://twitter.com/PythonWeekly/status/702916406048911360","702916406048911360")</f>
        <v>702916406048911360</v>
      </c>
      <c r="F808" s="12" t="s">
        <v>294</v>
      </c>
      <c r="G808" s="13">
        <v>15565.0</v>
      </c>
      <c r="H808" s="13">
        <v>0.0</v>
      </c>
      <c r="I808" s="13">
        <v>2.0</v>
      </c>
      <c r="J808" s="13">
        <v>4.0</v>
      </c>
      <c r="K808" s="12" t="s">
        <v>21</v>
      </c>
      <c r="L808" s="7">
        <v>40800.65934027778</v>
      </c>
      <c r="M808" s="16"/>
      <c r="N808" s="14" t="s">
        <v>950</v>
      </c>
      <c r="O808" s="11" t="str">
        <f>HYPERLINK("https://pbs.twimg.com/profile_images/1554238582/python_normal.jpg","View")</f>
        <v>View</v>
      </c>
      <c r="P808" s="15"/>
    </row>
    <row r="809">
      <c r="A809" s="7">
        <v>42425.418437500004</v>
      </c>
      <c r="B809" s="8" t="str">
        <f>HYPERLINK("https://twitter.com/BanjoHfuhruhur","@BanjoHfuhruhur")</f>
        <v>@BanjoHfuhruhur</v>
      </c>
      <c r="C809" s="10" t="s">
        <v>2025</v>
      </c>
      <c r="D809" s="10" t="s">
        <v>1034</v>
      </c>
      <c r="E809" s="11" t="str">
        <f>HYPERLINK("https://twitter.com/BanjoHfuhruhur/status/702916609149689856","702916609149689856")</f>
        <v>702916609149689856</v>
      </c>
      <c r="F809" s="12" t="s">
        <v>20</v>
      </c>
      <c r="G809" s="13">
        <v>5695.0</v>
      </c>
      <c r="H809" s="13">
        <v>3758.0</v>
      </c>
      <c r="I809" s="13">
        <v>7.0</v>
      </c>
      <c r="J809" s="13">
        <v>0.0</v>
      </c>
      <c r="K809" s="12" t="s">
        <v>21</v>
      </c>
      <c r="L809" s="7">
        <v>41590.66695601852</v>
      </c>
      <c r="M809" s="14" t="s">
        <v>2026</v>
      </c>
      <c r="N809" s="14" t="s">
        <v>2027</v>
      </c>
      <c r="O809" s="11" t="str">
        <f>HYPERLINK("https://pbs.twimg.com/profile_images/660980494343925760/g5o2J-8i_normal.png","View")</f>
        <v>View</v>
      </c>
      <c r="P809" s="15"/>
    </row>
    <row r="810">
      <c r="A810" s="7">
        <v>42425.41851851852</v>
      </c>
      <c r="B810" s="8" t="str">
        <f>HYPERLINK("https://twitter.com/dirfooddrink","@dirfooddrink")</f>
        <v>@dirfooddrink</v>
      </c>
      <c r="C810" s="10" t="s">
        <v>2028</v>
      </c>
      <c r="D810" s="10" t="s">
        <v>2029</v>
      </c>
      <c r="E810" s="11" t="str">
        <f>HYPERLINK("https://twitter.com/dirfooddrink/status/702916638581121024","702916638581121024")</f>
        <v>702916638581121024</v>
      </c>
      <c r="F810" s="12" t="s">
        <v>103</v>
      </c>
      <c r="G810" s="13">
        <v>1695.0</v>
      </c>
      <c r="H810" s="13">
        <v>38.0</v>
      </c>
      <c r="I810" s="13">
        <v>0.0</v>
      </c>
      <c r="J810" s="13">
        <v>0.0</v>
      </c>
      <c r="K810" s="12" t="s">
        <v>21</v>
      </c>
      <c r="L810" s="7">
        <v>42233.43736111111</v>
      </c>
      <c r="M810" s="14" t="s">
        <v>2030</v>
      </c>
      <c r="N810" s="14" t="s">
        <v>2031</v>
      </c>
      <c r="O810" s="11" t="str">
        <f>HYPERLINK("https://pbs.twimg.com/profile_images/657708133716881408/v7w4ki3M_normal.jpg","View")</f>
        <v>View</v>
      </c>
      <c r="P810" s="15"/>
    </row>
    <row r="811">
      <c r="A811" s="7">
        <v>42425.418703703705</v>
      </c>
      <c r="B811" s="8" t="str">
        <f>HYPERLINK("https://twitter.com/ManAHLTech","@ManAHLTech")</f>
        <v>@ManAHLTech</v>
      </c>
      <c r="C811" s="10" t="s">
        <v>2032</v>
      </c>
      <c r="D811" s="10" t="s">
        <v>2033</v>
      </c>
      <c r="E811" s="11" t="str">
        <f>HYPERLINK("https://twitter.com/ManAHLTech/status/702916703399907328","702916703399907328")</f>
        <v>702916703399907328</v>
      </c>
      <c r="F811" s="12" t="s">
        <v>659</v>
      </c>
      <c r="G811" s="13">
        <v>500.0</v>
      </c>
      <c r="H811" s="13">
        <v>248.0</v>
      </c>
      <c r="I811" s="13">
        <v>0.0</v>
      </c>
      <c r="J811" s="13">
        <v>3.0</v>
      </c>
      <c r="K811" s="12" t="s">
        <v>21</v>
      </c>
      <c r="L811" s="7">
        <v>42142.32065972222</v>
      </c>
      <c r="M811" s="14" t="s">
        <v>2034</v>
      </c>
      <c r="N811" s="14" t="s">
        <v>2035</v>
      </c>
      <c r="O811" s="11" t="str">
        <f>HYPERLINK("https://pbs.twimg.com/profile_images/606122549626445824/F381wuJT_normal.jpg","View")</f>
        <v>View</v>
      </c>
      <c r="P811" s="15"/>
    </row>
    <row r="812">
      <c r="A812" s="7">
        <v>42425.41949074074</v>
      </c>
      <c r="B812" s="8" t="str">
        <f>HYPERLINK("https://twitter.com/harimenath","@harimenath")</f>
        <v>@harimenath</v>
      </c>
      <c r="C812" s="10" t="s">
        <v>2036</v>
      </c>
      <c r="D812" s="10" t="s">
        <v>2037</v>
      </c>
      <c r="E812" s="11" t="str">
        <f>HYPERLINK("https://twitter.com/harimenath/status/702916987739975680","702916987739975680")</f>
        <v>702916987739975680</v>
      </c>
      <c r="F812" s="12" t="s">
        <v>20</v>
      </c>
      <c r="G812" s="13">
        <v>114.0</v>
      </c>
      <c r="H812" s="13">
        <v>270.0</v>
      </c>
      <c r="I812" s="13">
        <v>0.0</v>
      </c>
      <c r="J812" s="13">
        <v>3.0</v>
      </c>
      <c r="K812" s="12" t="s">
        <v>21</v>
      </c>
      <c r="L812" s="7">
        <v>41350.086018518516</v>
      </c>
      <c r="M812" s="14" t="s">
        <v>2038</v>
      </c>
      <c r="N812" s="14" t="s">
        <v>2039</v>
      </c>
      <c r="O812" s="11" t="str">
        <f>HYPERLINK("https://pbs.twimg.com/profile_images/378800000783589786/4e1f6ba85fb1974f9133500636e9664a_normal.png","View")</f>
        <v>View</v>
      </c>
      <c r="P812" s="15"/>
    </row>
    <row r="813">
      <c r="A813" s="7">
        <v>42425.419803240744</v>
      </c>
      <c r="B813" s="8" t="str">
        <f>HYPERLINK("https://twitter.com/TheDailyTechHQ","@TheDailyTechHQ")</f>
        <v>@TheDailyTechHQ</v>
      </c>
      <c r="C813" s="10" t="s">
        <v>1649</v>
      </c>
      <c r="D813" s="10" t="s">
        <v>2040</v>
      </c>
      <c r="E813" s="11" t="str">
        <f>HYPERLINK("https://twitter.com/TheDailyTechHQ/status/702917103263883264","702917103263883264")</f>
        <v>702917103263883264</v>
      </c>
      <c r="F813" s="12" t="s">
        <v>294</v>
      </c>
      <c r="G813" s="13">
        <v>75.0</v>
      </c>
      <c r="H813" s="13">
        <v>1.0</v>
      </c>
      <c r="I813" s="13">
        <v>0.0</v>
      </c>
      <c r="J813" s="13">
        <v>0.0</v>
      </c>
      <c r="K813" s="12" t="s">
        <v>21</v>
      </c>
      <c r="L813" s="7">
        <v>40875.07071759259</v>
      </c>
      <c r="M813" s="16"/>
      <c r="N813" s="14" t="s">
        <v>1651</v>
      </c>
      <c r="O813" s="11" t="str">
        <f>HYPERLINK("https://pbs.twimg.com/profile_images/681515268846317568/WkCbnvKS_normal.jpg","View")</f>
        <v>View</v>
      </c>
      <c r="P813" s="15"/>
    </row>
    <row r="814">
      <c r="A814" s="7">
        <v>42425.42015046296</v>
      </c>
      <c r="B814" s="8" t="str">
        <f>HYPERLINK("https://twitter.com/JoshuaLongUK","@JoshuaLongUK")</f>
        <v>@JoshuaLongUK</v>
      </c>
      <c r="C814" s="10" t="s">
        <v>101</v>
      </c>
      <c r="D814" s="10" t="s">
        <v>2041</v>
      </c>
      <c r="E814" s="11" t="str">
        <f>HYPERLINK("https://twitter.com/JoshuaLongUK/status/702917229713739776","702917229713739776")</f>
        <v>702917229713739776</v>
      </c>
      <c r="F814" s="12" t="s">
        <v>103</v>
      </c>
      <c r="G814" s="13">
        <v>25832.0</v>
      </c>
      <c r="H814" s="13">
        <v>93.0</v>
      </c>
      <c r="I814" s="13">
        <v>0.0</v>
      </c>
      <c r="J814" s="13">
        <v>1.0</v>
      </c>
      <c r="K814" s="12" t="s">
        <v>21</v>
      </c>
      <c r="L814" s="7">
        <v>41149.39659722222</v>
      </c>
      <c r="M814" s="14" t="s">
        <v>104</v>
      </c>
      <c r="N814" s="14" t="s">
        <v>105</v>
      </c>
      <c r="O814" s="11" t="str">
        <f>HYPERLINK("https://pbs.twimg.com/profile_images/627996138403168256/DaASdgVr_normal.jpg","View")</f>
        <v>View</v>
      </c>
      <c r="P814" s="15"/>
    </row>
    <row r="815">
      <c r="A815" s="7">
        <v>42425.42040509259</v>
      </c>
      <c r="B815" s="8" t="str">
        <f>HYPERLINK("https://twitter.com/NoSQLDigest","@NoSQLDigest")</f>
        <v>@NoSQLDigest</v>
      </c>
      <c r="C815" s="10" t="s">
        <v>200</v>
      </c>
      <c r="D815" s="10" t="s">
        <v>1441</v>
      </c>
      <c r="E815" s="11" t="str">
        <f>HYPERLINK("https://twitter.com/NoSQLDigest/status/702917319173894145","702917319173894145")</f>
        <v>702917319173894145</v>
      </c>
      <c r="F815" s="12" t="s">
        <v>202</v>
      </c>
      <c r="G815" s="13">
        <v>11375.0</v>
      </c>
      <c r="H815" s="13">
        <v>12.0</v>
      </c>
      <c r="I815" s="13">
        <v>4.0</v>
      </c>
      <c r="J815" s="13">
        <v>0.0</v>
      </c>
      <c r="K815" s="12" t="s">
        <v>21</v>
      </c>
      <c r="L815" s="7">
        <v>41854.421805555554</v>
      </c>
      <c r="M815" s="16"/>
      <c r="N815" s="14" t="s">
        <v>203</v>
      </c>
      <c r="O815" s="11" t="str">
        <f>HYPERLINK("https://pbs.twimg.com/profile_images/499257180009529344/CSWhr7LZ_normal.jpeg","View")</f>
        <v>View</v>
      </c>
      <c r="P815" s="15"/>
    </row>
    <row r="816">
      <c r="A816" s="7">
        <v>42425.4215162037</v>
      </c>
      <c r="B816" s="8" t="str">
        <f>HYPERLINK("https://twitter.com/dulce303","@dulce303")</f>
        <v>@dulce303</v>
      </c>
      <c r="C816" s="9" t="s">
        <v>18</v>
      </c>
      <c r="D816" s="10" t="s">
        <v>2042</v>
      </c>
      <c r="E816" s="11" t="str">
        <f>HYPERLINK("https://twitter.com/dulce303/status/702917722120671232","702917722120671232")</f>
        <v>702917722120671232</v>
      </c>
      <c r="F816" s="12" t="s">
        <v>52</v>
      </c>
      <c r="G816" s="13">
        <v>1094.0</v>
      </c>
      <c r="H816" s="13">
        <v>1336.0</v>
      </c>
      <c r="I816" s="13">
        <v>0.0</v>
      </c>
      <c r="J816" s="13">
        <v>0.0</v>
      </c>
      <c r="K816" s="12" t="s">
        <v>21</v>
      </c>
      <c r="L816" s="7">
        <v>39224.43262731482</v>
      </c>
      <c r="M816" s="14" t="s">
        <v>22</v>
      </c>
      <c r="N816" s="14" t="s">
        <v>23</v>
      </c>
      <c r="O816" s="11" t="str">
        <f>HYPERLINK("https://pbs.twimg.com/profile_images/1765389986/eye_2_normal.jpg","View")</f>
        <v>View</v>
      </c>
      <c r="P816" s="15"/>
    </row>
    <row r="817">
      <c r="A817" s="7">
        <v>42425.42153935185</v>
      </c>
      <c r="B817" s="8" t="str">
        <f>HYPERLINK("https://twitter.com/quotedian","@quotedian")</f>
        <v>@quotedian</v>
      </c>
      <c r="C817" s="10" t="s">
        <v>2043</v>
      </c>
      <c r="D817" s="10" t="s">
        <v>1996</v>
      </c>
      <c r="E817" s="11" t="str">
        <f>HYPERLINK("https://twitter.com/quotedian/status/702917731713036288","702917731713036288")</f>
        <v>702917731713036288</v>
      </c>
      <c r="F817" s="12" t="s">
        <v>2043</v>
      </c>
      <c r="G817" s="13">
        <v>3428.0</v>
      </c>
      <c r="H817" s="13">
        <v>1439.0</v>
      </c>
      <c r="I817" s="13">
        <v>5.0</v>
      </c>
      <c r="J817" s="13">
        <v>0.0</v>
      </c>
      <c r="K817" s="12" t="s">
        <v>21</v>
      </c>
      <c r="L817" s="7">
        <v>41995.43747685185</v>
      </c>
      <c r="M817" s="16"/>
      <c r="N817" s="14" t="s">
        <v>2044</v>
      </c>
      <c r="O817" s="11" t="str">
        <f>HYPERLINK("https://pbs.twimg.com/profile_images/547111029373562880/n8f8w9ZZ_normal.png","View")</f>
        <v>View</v>
      </c>
      <c r="P817" s="15"/>
    </row>
    <row r="818">
      <c r="A818" s="7">
        <v>42425.4216087963</v>
      </c>
      <c r="B818" s="8" t="str">
        <f>HYPERLINK("https://twitter.com/cool_python","@cool_python")</f>
        <v>@cool_python</v>
      </c>
      <c r="C818" s="10" t="s">
        <v>249</v>
      </c>
      <c r="D818" s="10" t="s">
        <v>2045</v>
      </c>
      <c r="E818" s="11" t="str">
        <f>HYPERLINK("https://twitter.com/cool_python/status/702917756585451520","702917756585451520")</f>
        <v>702917756585451520</v>
      </c>
      <c r="F818" s="12" t="s">
        <v>251</v>
      </c>
      <c r="G818" s="13">
        <v>235.0</v>
      </c>
      <c r="H818" s="13">
        <v>91.0</v>
      </c>
      <c r="I818" s="13">
        <v>2.0</v>
      </c>
      <c r="J818" s="13">
        <v>0.0</v>
      </c>
      <c r="K818" s="12" t="s">
        <v>21</v>
      </c>
      <c r="L818" s="7">
        <v>42064.325</v>
      </c>
      <c r="M818" s="14" t="s">
        <v>252</v>
      </c>
      <c r="N818" s="14" t="s">
        <v>253</v>
      </c>
      <c r="O818" s="11" t="str">
        <f>HYPERLINK("https://pbs.twimg.com/profile_images/572091631055028224/Pkx__FSB_normal.png","View")</f>
        <v>View</v>
      </c>
      <c r="P818" s="15"/>
    </row>
    <row r="819">
      <c r="A819" s="7">
        <v>42425.42222222222</v>
      </c>
      <c r="B819" s="8" t="str">
        <f>HYPERLINK("https://twitter.com/yprez","@yprez")</f>
        <v>@yprez</v>
      </c>
      <c r="C819" s="10" t="s">
        <v>2046</v>
      </c>
      <c r="D819" s="10" t="s">
        <v>2047</v>
      </c>
      <c r="E819" s="11" t="str">
        <f>HYPERLINK("https://twitter.com/yprez/status/702917978283761664","702917978283761664")</f>
        <v>702917978283761664</v>
      </c>
      <c r="F819" s="12" t="s">
        <v>2048</v>
      </c>
      <c r="G819" s="13">
        <v>3692.0</v>
      </c>
      <c r="H819" s="13">
        <v>3509.0</v>
      </c>
      <c r="I819" s="13">
        <v>1.0</v>
      </c>
      <c r="J819" s="13">
        <v>3.0</v>
      </c>
      <c r="K819" s="12" t="s">
        <v>21</v>
      </c>
      <c r="L819" s="7">
        <v>40559.40515046296</v>
      </c>
      <c r="M819" s="14" t="s">
        <v>2049</v>
      </c>
      <c r="N819" s="14" t="s">
        <v>2050</v>
      </c>
      <c r="O819" s="11" t="str">
        <f>HYPERLINK("https://pbs.twimg.com/profile_images/1466129811/p_normal.png","View")</f>
        <v>View</v>
      </c>
      <c r="P819" s="15"/>
    </row>
    <row r="820">
      <c r="A820" s="7">
        <v>42425.42309027778</v>
      </c>
      <c r="B820" s="8" t="str">
        <f>HYPERLINK("https://twitter.com/scott_barman","@scott_barman")</f>
        <v>@scott_barman</v>
      </c>
      <c r="C820" s="10" t="s">
        <v>2051</v>
      </c>
      <c r="D820" s="10" t="s">
        <v>2052</v>
      </c>
      <c r="E820" s="11" t="str">
        <f>HYPERLINK("https://twitter.com/scott_barman/status/702918294123126784","702918294123126784")</f>
        <v>702918294123126784</v>
      </c>
      <c r="F820" s="12" t="s">
        <v>20</v>
      </c>
      <c r="G820" s="13">
        <v>45.0</v>
      </c>
      <c r="H820" s="13">
        <v>35.0</v>
      </c>
      <c r="I820" s="13">
        <v>0.0</v>
      </c>
      <c r="J820" s="13">
        <v>0.0</v>
      </c>
      <c r="K820" s="12" t="s">
        <v>21</v>
      </c>
      <c r="L820" s="7">
        <v>42212.35790509259</v>
      </c>
      <c r="M820" s="14" t="s">
        <v>22</v>
      </c>
      <c r="N820" s="14" t="s">
        <v>2053</v>
      </c>
      <c r="O820" s="11" t="str">
        <f>HYPERLINK("https://pbs.twimg.com/profile_images/625696267356672000/SoqUYMRD_normal.jpg","View")</f>
        <v>View</v>
      </c>
      <c r="P820" s="15"/>
    </row>
    <row r="821">
      <c r="A821" s="7">
        <v>42425.42309027778</v>
      </c>
      <c r="B821" s="8" t="str">
        <f>HYPERLINK("https://twitter.com/RiskIQ","@RiskIQ")</f>
        <v>@RiskIQ</v>
      </c>
      <c r="C821" s="10" t="s">
        <v>2054</v>
      </c>
      <c r="D821" s="10" t="s">
        <v>1212</v>
      </c>
      <c r="E821" s="11" t="str">
        <f>HYPERLINK("https://twitter.com/RiskIQ/status/702918295125565441","702918295125565441")</f>
        <v>702918295125565441</v>
      </c>
      <c r="F821" s="12" t="s">
        <v>20</v>
      </c>
      <c r="G821" s="13">
        <v>784.0</v>
      </c>
      <c r="H821" s="13">
        <v>636.0</v>
      </c>
      <c r="I821" s="13">
        <v>24.0</v>
      </c>
      <c r="J821" s="13">
        <v>0.0</v>
      </c>
      <c r="K821" s="12" t="s">
        <v>21</v>
      </c>
      <c r="L821" s="7">
        <v>40026.726319444446</v>
      </c>
      <c r="M821" s="14" t="s">
        <v>2055</v>
      </c>
      <c r="N821" s="14" t="s">
        <v>2056</v>
      </c>
      <c r="O821" s="11" t="str">
        <f>HYPERLINK("https://pbs.twimg.com/profile_images/498893278528282624/vT1dfGv__normal.png","View")</f>
        <v>View</v>
      </c>
      <c r="P821" s="15"/>
    </row>
    <row r="822">
      <c r="A822" s="7">
        <v>42425.42350694444</v>
      </c>
      <c r="B822" s="8" t="str">
        <f>HYPERLINK("https://twitter.com/edomax","@edomax")</f>
        <v>@edomax</v>
      </c>
      <c r="C822" s="10" t="s">
        <v>2057</v>
      </c>
      <c r="D822" s="10" t="s">
        <v>1441</v>
      </c>
      <c r="E822" s="11" t="str">
        <f>HYPERLINK("https://twitter.com/edomax/status/702918446858805248","702918446858805248")</f>
        <v>702918446858805248</v>
      </c>
      <c r="F822" s="12" t="s">
        <v>659</v>
      </c>
      <c r="G822" s="13">
        <v>318.0</v>
      </c>
      <c r="H822" s="13">
        <v>528.0</v>
      </c>
      <c r="I822" s="13">
        <v>4.0</v>
      </c>
      <c r="J822" s="13">
        <v>0.0</v>
      </c>
      <c r="K822" s="12" t="s">
        <v>21</v>
      </c>
      <c r="L822" s="7">
        <v>39981.48873842593</v>
      </c>
      <c r="M822" s="14" t="s">
        <v>2058</v>
      </c>
      <c r="N822" s="14" t="s">
        <v>2059</v>
      </c>
      <c r="O822" s="11" t="str">
        <f>HYPERLINK("https://pbs.twimg.com/profile_images/682641660623327232/DWQcyhRl_normal.jpg","View")</f>
        <v>View</v>
      </c>
      <c r="P822" s="15"/>
    </row>
    <row r="823">
      <c r="A823" s="7">
        <v>42425.42386574074</v>
      </c>
      <c r="B823" s="8" t="str">
        <f>HYPERLINK("https://twitter.com/clockworkTalent","@clockworkTalent")</f>
        <v>@clockworkTalent</v>
      </c>
      <c r="C823" s="10" t="s">
        <v>591</v>
      </c>
      <c r="D823" s="10" t="s">
        <v>2060</v>
      </c>
      <c r="E823" s="11" t="str">
        <f>HYPERLINK("https://twitter.com/clockworkTalent/status/702918573333860353","702918573333860353")</f>
        <v>702918573333860353</v>
      </c>
      <c r="F823" s="12" t="s">
        <v>659</v>
      </c>
      <c r="G823" s="13">
        <v>1859.0</v>
      </c>
      <c r="H823" s="13">
        <v>2627.0</v>
      </c>
      <c r="I823" s="13">
        <v>2.0</v>
      </c>
      <c r="J823" s="13">
        <v>3.0</v>
      </c>
      <c r="K823" s="12" t="s">
        <v>21</v>
      </c>
      <c r="L823" s="7">
        <v>41305.12814814815</v>
      </c>
      <c r="M823" s="14" t="s">
        <v>593</v>
      </c>
      <c r="N823" s="14" t="s">
        <v>594</v>
      </c>
      <c r="O823" s="11" t="str">
        <f>HYPERLINK("https://pbs.twimg.com/profile_images/601659762791550977/ZyOxTkIE_normal.jpg","View")</f>
        <v>View</v>
      </c>
      <c r="P823" s="15"/>
    </row>
    <row r="824">
      <c r="A824" s="7">
        <v>42425.42396990741</v>
      </c>
      <c r="B824" s="8" t="str">
        <f>HYPERLINK("https://twitter.com/GispertMarta","@GispertMarta")</f>
        <v>@GispertMarta</v>
      </c>
      <c r="C824" s="10" t="s">
        <v>2061</v>
      </c>
      <c r="D824" s="10" t="s">
        <v>2062</v>
      </c>
      <c r="E824" s="11" t="str">
        <f>HYPERLINK("https://twitter.com/GispertMarta/status/702918613641138176","702918613641138176")</f>
        <v>702918613641138176</v>
      </c>
      <c r="F824" s="12" t="s">
        <v>2063</v>
      </c>
      <c r="G824" s="13">
        <v>159.0</v>
      </c>
      <c r="H824" s="13">
        <v>268.0</v>
      </c>
      <c r="I824" s="13">
        <v>0.0</v>
      </c>
      <c r="J824" s="13">
        <v>0.0</v>
      </c>
      <c r="K824" s="12" t="s">
        <v>21</v>
      </c>
      <c r="L824" s="7">
        <v>40798.56543981482</v>
      </c>
      <c r="M824" s="14" t="s">
        <v>194</v>
      </c>
      <c r="N824" s="14" t="s">
        <v>2064</v>
      </c>
      <c r="O824" s="11" t="str">
        <f>HYPERLINK("https://pbs.twimg.com/profile_images/1846077817/conil_RRSS_normal.jpg","View")</f>
        <v>View</v>
      </c>
      <c r="P824" s="15"/>
    </row>
    <row r="825">
      <c r="A825" s="7">
        <v>42425.42409722222</v>
      </c>
      <c r="B825" s="8" t="str">
        <f>HYPERLINK("https://twitter.com/tchappui","@tchappui")</f>
        <v>@tchappui</v>
      </c>
      <c r="C825" s="10" t="s">
        <v>2065</v>
      </c>
      <c r="D825" s="10" t="s">
        <v>2066</v>
      </c>
      <c r="E825" s="11" t="str">
        <f>HYPERLINK("https://twitter.com/tchappui/status/702918657064697856","702918657064697856")</f>
        <v>702918657064697856</v>
      </c>
      <c r="F825" s="12" t="s">
        <v>152</v>
      </c>
      <c r="G825" s="13">
        <v>99.0</v>
      </c>
      <c r="H825" s="13">
        <v>424.0</v>
      </c>
      <c r="I825" s="13">
        <v>1.0</v>
      </c>
      <c r="J825" s="13">
        <v>0.0</v>
      </c>
      <c r="K825" s="12" t="s">
        <v>21</v>
      </c>
      <c r="L825" s="7">
        <v>41802.999930555554</v>
      </c>
      <c r="M825" s="14" t="s">
        <v>2067</v>
      </c>
      <c r="N825" s="14" t="s">
        <v>2068</v>
      </c>
      <c r="O825" s="11" t="str">
        <f>HYPERLINK("https://pbs.twimg.com/profile_images/477344764032192512/LAjvaXy5_normal.jpeg","View")</f>
        <v>View</v>
      </c>
      <c r="P825" s="15"/>
    </row>
    <row r="826">
      <c r="A826" s="7">
        <v>42425.42447916667</v>
      </c>
      <c r="B826" s="8" t="str">
        <f>HYPERLINK("https://twitter.com/datasciencefan","@datasciencefan")</f>
        <v>@datasciencefan</v>
      </c>
      <c r="C826" s="10" t="s">
        <v>2069</v>
      </c>
      <c r="D826" s="10" t="s">
        <v>2070</v>
      </c>
      <c r="E826" s="11" t="str">
        <f>HYPERLINK("https://twitter.com/datasciencefan/status/702918797137678336","702918797137678336")</f>
        <v>702918797137678336</v>
      </c>
      <c r="F826" s="12" t="s">
        <v>2071</v>
      </c>
      <c r="G826" s="13">
        <v>163.0</v>
      </c>
      <c r="H826" s="13">
        <v>117.0</v>
      </c>
      <c r="I826" s="13">
        <v>2.0</v>
      </c>
      <c r="J826" s="13">
        <v>1.0</v>
      </c>
      <c r="K826" s="12" t="s">
        <v>21</v>
      </c>
      <c r="L826" s="7">
        <v>42362.194502314815</v>
      </c>
      <c r="M826" s="14" t="s">
        <v>2072</v>
      </c>
      <c r="N826" s="14" t="s">
        <v>2073</v>
      </c>
      <c r="O826" s="11" t="str">
        <f>HYPERLINK("https://pbs.twimg.com/profile_images/680007215424618496/jKN3QBWT_normal.png","View")</f>
        <v>View</v>
      </c>
      <c r="P826" s="15"/>
    </row>
    <row r="827">
      <c r="A827" s="7">
        <v>42425.424942129626</v>
      </c>
      <c r="B827" s="8" t="str">
        <f>HYPERLINK("https://twitter.com/NoSQLDigest","@NoSQLDigest")</f>
        <v>@NoSQLDigest</v>
      </c>
      <c r="C827" s="10" t="s">
        <v>200</v>
      </c>
      <c r="D827" s="10" t="s">
        <v>1846</v>
      </c>
      <c r="E827" s="11" t="str">
        <f>HYPERLINK("https://twitter.com/NoSQLDigest/status/702918965861822466","702918965861822466")</f>
        <v>702918965861822466</v>
      </c>
      <c r="F827" s="12" t="s">
        <v>202</v>
      </c>
      <c r="G827" s="13">
        <v>11375.0</v>
      </c>
      <c r="H827" s="13">
        <v>12.0</v>
      </c>
      <c r="I827" s="13">
        <v>3.0</v>
      </c>
      <c r="J827" s="13">
        <v>0.0</v>
      </c>
      <c r="K827" s="12" t="s">
        <v>21</v>
      </c>
      <c r="L827" s="7">
        <v>41854.421805555554</v>
      </c>
      <c r="M827" s="16"/>
      <c r="N827" s="14" t="s">
        <v>203</v>
      </c>
      <c r="O827" s="11" t="str">
        <f>HYPERLINK("https://pbs.twimg.com/profile_images/499257180009529344/CSWhr7LZ_normal.jpeg","View")</f>
        <v>View</v>
      </c>
      <c r="P827" s="15"/>
    </row>
    <row r="828">
      <c r="A828" s="7">
        <v>42425.42533564815</v>
      </c>
      <c r="B828" s="8" t="str">
        <f>HYPERLINK("https://twitter.com/pythontrending","@pythontrending")</f>
        <v>@pythontrending</v>
      </c>
      <c r="C828" s="10" t="s">
        <v>2074</v>
      </c>
      <c r="D828" s="10" t="s">
        <v>2075</v>
      </c>
      <c r="E828" s="11" t="str">
        <f>HYPERLINK("https://twitter.com/pythontrending/status/702919106429849604","702919106429849604")</f>
        <v>702919106429849604</v>
      </c>
      <c r="F828" s="12" t="s">
        <v>2076</v>
      </c>
      <c r="G828" s="13">
        <v>3966.0</v>
      </c>
      <c r="H828" s="13">
        <v>4420.0</v>
      </c>
      <c r="I828" s="13">
        <v>2.0</v>
      </c>
      <c r="J828" s="13">
        <v>2.0</v>
      </c>
      <c r="K828" s="12" t="s">
        <v>21</v>
      </c>
      <c r="L828" s="7">
        <v>41744.47299768518</v>
      </c>
      <c r="M828" s="14" t="s">
        <v>2077</v>
      </c>
      <c r="N828" s="14" t="s">
        <v>2078</v>
      </c>
      <c r="O828" s="11" t="str">
        <f>HYPERLINK("https://pbs.twimg.com/profile_images/456490947287605248/4oklmBWe_normal.png","View")</f>
        <v>View</v>
      </c>
      <c r="P828" s="15"/>
    </row>
    <row r="829">
      <c r="A829" s="7">
        <v>42425.426400462966</v>
      </c>
      <c r="B829" s="8" t="str">
        <f>HYPERLINK("https://twitter.com/WaDaDaaaa","@WaDaDaaaa")</f>
        <v>@WaDaDaaaa</v>
      </c>
      <c r="C829" s="10" t="s">
        <v>2079</v>
      </c>
      <c r="D829" s="10" t="s">
        <v>2080</v>
      </c>
      <c r="E829" s="11" t="str">
        <f>HYPERLINK("https://twitter.com/WaDaDaaaa/status/702919492712701953","702919492712701953")</f>
        <v>702919492712701953</v>
      </c>
      <c r="F829" s="12" t="s">
        <v>991</v>
      </c>
      <c r="G829" s="13">
        <v>144.0</v>
      </c>
      <c r="H829" s="13">
        <v>650.0</v>
      </c>
      <c r="I829" s="13">
        <v>0.0</v>
      </c>
      <c r="J829" s="13">
        <v>1.0</v>
      </c>
      <c r="K829" s="12" t="s">
        <v>21</v>
      </c>
      <c r="L829" s="7">
        <v>40388.9230787037</v>
      </c>
      <c r="M829" s="21" t="s">
        <v>2081</v>
      </c>
      <c r="N829" s="14" t="s">
        <v>2082</v>
      </c>
      <c r="O829" s="11" t="str">
        <f>HYPERLINK("https://pbs.twimg.com/profile_images/620459412021379072/fJip8wVT_normal.jpg","View")</f>
        <v>View</v>
      </c>
      <c r="P829" s="15"/>
    </row>
    <row r="830">
      <c r="A830" s="7">
        <v>42425.42646990741</v>
      </c>
      <c r="B830" s="8" t="str">
        <f>HYPERLINK("https://twitter.com/NoSQLDigest","@NoSQLDigest")</f>
        <v>@NoSQLDigest</v>
      </c>
      <c r="C830" s="10" t="s">
        <v>200</v>
      </c>
      <c r="D830" s="10" t="s">
        <v>1309</v>
      </c>
      <c r="E830" s="11" t="str">
        <f>HYPERLINK("https://twitter.com/NoSQLDigest/status/702919516943024128","702919516943024128")</f>
        <v>702919516943024128</v>
      </c>
      <c r="F830" s="12" t="s">
        <v>202</v>
      </c>
      <c r="G830" s="13">
        <v>11375.0</v>
      </c>
      <c r="H830" s="13">
        <v>12.0</v>
      </c>
      <c r="I830" s="13">
        <v>3.0</v>
      </c>
      <c r="J830" s="13">
        <v>0.0</v>
      </c>
      <c r="K830" s="12" t="s">
        <v>21</v>
      </c>
      <c r="L830" s="7">
        <v>41854.421805555554</v>
      </c>
      <c r="M830" s="16"/>
      <c r="N830" s="14" t="s">
        <v>203</v>
      </c>
      <c r="O830" s="11" t="str">
        <f>HYPERLINK("https://pbs.twimg.com/profile_images/499257180009529344/CSWhr7LZ_normal.jpeg","View")</f>
        <v>View</v>
      </c>
      <c r="P830" s="15"/>
    </row>
    <row r="831">
      <c r="A831" s="7">
        <v>42425.426678240736</v>
      </c>
      <c r="B831" s="8" t="str">
        <f>HYPERLINK("https://twitter.com/jimwebber","@jimwebber")</f>
        <v>@jimwebber</v>
      </c>
      <c r="C831" s="10" t="s">
        <v>2083</v>
      </c>
      <c r="D831" s="10" t="s">
        <v>2084</v>
      </c>
      <c r="E831" s="11" t="str">
        <f>HYPERLINK("https://twitter.com/jimwebber/status/702919594038710272","702919594038710272")</f>
        <v>702919594038710272</v>
      </c>
      <c r="F831" s="12" t="s">
        <v>52</v>
      </c>
      <c r="G831" s="13">
        <v>5486.0</v>
      </c>
      <c r="H831" s="13">
        <v>715.0</v>
      </c>
      <c r="I831" s="13">
        <v>8.0</v>
      </c>
      <c r="J831" s="13">
        <v>0.0</v>
      </c>
      <c r="K831" s="12" t="s">
        <v>21</v>
      </c>
      <c r="L831" s="7">
        <v>39493.37731481482</v>
      </c>
      <c r="M831" s="14" t="s">
        <v>2085</v>
      </c>
      <c r="N831" s="14" t="s">
        <v>2086</v>
      </c>
      <c r="O831" s="11" t="str">
        <f>HYPERLINK("https://pbs.twimg.com/profile_images/65422475/cartman2_normal.jpg","View")</f>
        <v>View</v>
      </c>
      <c r="P831" s="15"/>
    </row>
    <row r="832">
      <c r="A832" s="7">
        <v>42425.42674768518</v>
      </c>
      <c r="B832" s="8" t="str">
        <f>HYPERLINK("https://twitter.com/mopayyo","@mopayyo")</f>
        <v>@mopayyo</v>
      </c>
      <c r="C832" s="10" t="s">
        <v>2087</v>
      </c>
      <c r="D832" s="10" t="s">
        <v>2088</v>
      </c>
      <c r="E832" s="11" t="str">
        <f>HYPERLINK("https://twitter.com/mopayyo/status/702919620190195712","702919620190195712")</f>
        <v>702919620190195712</v>
      </c>
      <c r="F832" s="12" t="s">
        <v>152</v>
      </c>
      <c r="G832" s="13">
        <v>542.0</v>
      </c>
      <c r="H832" s="13">
        <v>1167.0</v>
      </c>
      <c r="I832" s="13">
        <v>12.0</v>
      </c>
      <c r="J832" s="13">
        <v>0.0</v>
      </c>
      <c r="K832" s="12" t="s">
        <v>21</v>
      </c>
      <c r="L832" s="7">
        <v>40966.54064814815</v>
      </c>
      <c r="M832" s="14" t="s">
        <v>2089</v>
      </c>
      <c r="N832" s="14" t="s">
        <v>2090</v>
      </c>
      <c r="O832" s="11" t="str">
        <f>HYPERLINK("https://pbs.twimg.com/profile_images/696775903033036800/_LrTWfwX_normal.jpg","View")</f>
        <v>View</v>
      </c>
      <c r="P832" s="15"/>
    </row>
    <row r="833">
      <c r="A833" s="7">
        <v>42425.42710648148</v>
      </c>
      <c r="B833" s="8" t="str">
        <f>HYPERLINK("https://twitter.com/srcport","@srcport")</f>
        <v>@srcport</v>
      </c>
      <c r="C833" s="10" t="s">
        <v>2091</v>
      </c>
      <c r="D833" s="10" t="s">
        <v>2092</v>
      </c>
      <c r="E833" s="11" t="str">
        <f>HYPERLINK("https://twitter.com/srcport/status/702919749089492992","702919749089492992")</f>
        <v>702919749089492992</v>
      </c>
      <c r="F833" s="12" t="s">
        <v>2091</v>
      </c>
      <c r="G833" s="13">
        <v>206.0</v>
      </c>
      <c r="H833" s="13">
        <v>313.0</v>
      </c>
      <c r="I833" s="13">
        <v>0.0</v>
      </c>
      <c r="J833" s="13">
        <v>0.0</v>
      </c>
      <c r="K833" s="12" t="s">
        <v>21</v>
      </c>
      <c r="L833" s="7">
        <v>42141.33273148148</v>
      </c>
      <c r="M833" s="14" t="s">
        <v>1134</v>
      </c>
      <c r="N833" s="14" t="s">
        <v>2093</v>
      </c>
      <c r="O833" s="11" t="str">
        <f>HYPERLINK("https://pbs.twimg.com/profile_images/625824019783266305/CqN4VuZW_normal.png","View")</f>
        <v>View</v>
      </c>
      <c r="P833" s="15"/>
    </row>
    <row r="834">
      <c r="A834" s="7">
        <v>42425.42773148148</v>
      </c>
      <c r="B834" s="8" t="str">
        <f>HYPERLINK("https://twitter.com/cool_python","@cool_python")</f>
        <v>@cool_python</v>
      </c>
      <c r="C834" s="10" t="s">
        <v>249</v>
      </c>
      <c r="D834" s="10" t="s">
        <v>2094</v>
      </c>
      <c r="E834" s="11" t="str">
        <f>HYPERLINK("https://twitter.com/cool_python/status/702919974373998592","702919974373998592")</f>
        <v>702919974373998592</v>
      </c>
      <c r="F834" s="12" t="s">
        <v>251</v>
      </c>
      <c r="G834" s="13">
        <v>235.0</v>
      </c>
      <c r="H834" s="13">
        <v>91.0</v>
      </c>
      <c r="I834" s="13">
        <v>2.0</v>
      </c>
      <c r="J834" s="13">
        <v>0.0</v>
      </c>
      <c r="K834" s="12" t="s">
        <v>21</v>
      </c>
      <c r="L834" s="7">
        <v>42064.325</v>
      </c>
      <c r="M834" s="14" t="s">
        <v>252</v>
      </c>
      <c r="N834" s="14" t="s">
        <v>253</v>
      </c>
      <c r="O834" s="11" t="str">
        <f>HYPERLINK("https://pbs.twimg.com/profile_images/572091631055028224/Pkx__FSB_normal.png","View")</f>
        <v>View</v>
      </c>
      <c r="P834" s="15"/>
    </row>
    <row r="835">
      <c r="A835" s="7">
        <v>42425.428032407406</v>
      </c>
      <c r="B835" s="8" t="str">
        <f>HYPERLINK("https://twitter.com/89754612a","@89754612a")</f>
        <v>@89754612a</v>
      </c>
      <c r="C835" s="10" t="s">
        <v>2095</v>
      </c>
      <c r="D835" s="10" t="s">
        <v>1309</v>
      </c>
      <c r="E835" s="11" t="str">
        <f>HYPERLINK("https://twitter.com/89754612a/status/702920084373659649","702920084373659649")</f>
        <v>702920084373659649</v>
      </c>
      <c r="F835" s="12" t="s">
        <v>152</v>
      </c>
      <c r="G835" s="13">
        <v>1098.0</v>
      </c>
      <c r="H835" s="13">
        <v>4965.0</v>
      </c>
      <c r="I835" s="13">
        <v>3.0</v>
      </c>
      <c r="J835" s="13">
        <v>0.0</v>
      </c>
      <c r="K835" s="12" t="s">
        <v>21</v>
      </c>
      <c r="L835" s="7">
        <v>42250.98244212963</v>
      </c>
      <c r="M835" s="16"/>
      <c r="N835" s="16"/>
      <c r="O835" s="11" t="str">
        <f>HYPERLINK("https://pbs.twimg.com/profile_images/639691411223396352/fxpvBBEF_normal.jpg","View")</f>
        <v>View</v>
      </c>
      <c r="P835" s="15"/>
    </row>
    <row r="836">
      <c r="A836" s="7">
        <v>42425.42820601852</v>
      </c>
      <c r="B836" s="8" t="str">
        <f>HYPERLINK("https://twitter.com/dergal","@dergal")</f>
        <v>@dergal</v>
      </c>
      <c r="C836" s="10" t="s">
        <v>2096</v>
      </c>
      <c r="D836" s="10" t="s">
        <v>2097</v>
      </c>
      <c r="E836" s="11" t="str">
        <f>HYPERLINK("https://twitter.com/dergal/status/702920148408274944","702920148408274944")</f>
        <v>702920148408274944</v>
      </c>
      <c r="F836" s="12" t="s">
        <v>152</v>
      </c>
      <c r="G836" s="13">
        <v>1289.0</v>
      </c>
      <c r="H836" s="13">
        <v>799.0</v>
      </c>
      <c r="I836" s="13">
        <v>2.0</v>
      </c>
      <c r="J836" s="13">
        <v>0.0</v>
      </c>
      <c r="K836" s="12" t="s">
        <v>21</v>
      </c>
      <c r="L836" s="7">
        <v>39617.35927083333</v>
      </c>
      <c r="M836" s="14" t="s">
        <v>2098</v>
      </c>
      <c r="N836" s="14" t="s">
        <v>2099</v>
      </c>
      <c r="O836" s="11" t="str">
        <f>HYPERLINK("https://pbs.twimg.com/profile_images/2649219670/10226090f39dba36f6dbbbeea4142065_normal.jpeg","View")</f>
        <v>View</v>
      </c>
      <c r="P836" s="15"/>
    </row>
    <row r="837">
      <c r="A837" s="7">
        <v>42425.42863425926</v>
      </c>
      <c r="B837" s="8" t="str">
        <f>HYPERLINK("https://twitter.com/Angel_Cruijff","@Angel_Cruijff")</f>
        <v>@Angel_Cruijff</v>
      </c>
      <c r="C837" s="10" t="s">
        <v>1428</v>
      </c>
      <c r="D837" s="10" t="s">
        <v>2100</v>
      </c>
      <c r="E837" s="11" t="str">
        <f>HYPERLINK("https://twitter.com/Angel_Cruijff/status/702920301982588928","702920301982588928")</f>
        <v>702920301982588928</v>
      </c>
      <c r="F837" s="12" t="s">
        <v>20</v>
      </c>
      <c r="G837" s="13">
        <v>150.0</v>
      </c>
      <c r="H837" s="13">
        <v>616.0</v>
      </c>
      <c r="I837" s="13">
        <v>1.0</v>
      </c>
      <c r="J837" s="13">
        <v>0.0</v>
      </c>
      <c r="K837" s="12" t="s">
        <v>21</v>
      </c>
      <c r="L837" s="7">
        <v>40295.34353009259</v>
      </c>
      <c r="M837" s="14" t="s">
        <v>1429</v>
      </c>
      <c r="N837" s="14" t="s">
        <v>1430</v>
      </c>
      <c r="O837" s="11" t="str">
        <f>HYPERLINK("https://pbs.twimg.com/profile_images/614937494933540867/t99_VIGQ_normal.jpg","View")</f>
        <v>View</v>
      </c>
      <c r="P837" s="15"/>
    </row>
    <row r="838">
      <c r="A838" s="7">
        <v>42425.42930555556</v>
      </c>
      <c r="B838" s="8" t="str">
        <f>HYPERLINK("https://twitter.com/alexamici","@alexamici")</f>
        <v>@alexamici</v>
      </c>
      <c r="C838" s="10" t="s">
        <v>2101</v>
      </c>
      <c r="D838" s="10" t="s">
        <v>2102</v>
      </c>
      <c r="E838" s="11" t="str">
        <f>HYPERLINK("https://twitter.com/alexamici/status/702920547563388928","702920547563388928")</f>
        <v>702920547563388928</v>
      </c>
      <c r="F838" s="12" t="s">
        <v>20</v>
      </c>
      <c r="G838" s="13">
        <v>94.0</v>
      </c>
      <c r="H838" s="13">
        <v>181.0</v>
      </c>
      <c r="I838" s="13">
        <v>3.0</v>
      </c>
      <c r="J838" s="13">
        <v>1.0</v>
      </c>
      <c r="K838" s="12" t="s">
        <v>21</v>
      </c>
      <c r="L838" s="7">
        <v>40299.53287037037</v>
      </c>
      <c r="M838" s="14" t="s">
        <v>2103</v>
      </c>
      <c r="N838" s="14" t="s">
        <v>2104</v>
      </c>
      <c r="O838" s="11" t="str">
        <f>HYPERLINK("https://pbs.twimg.com/profile_images/378800000063871187/b665cfeb3dc5e7bceb9d9e036113f54c_normal.jpeg","View")</f>
        <v>View</v>
      </c>
      <c r="P838" s="15"/>
    </row>
    <row r="839">
      <c r="A839" s="7">
        <v>42425.430752314816</v>
      </c>
      <c r="B839" s="8" t="str">
        <f>HYPERLINK("https://twitter.com/rrockers","@rrockers")</f>
        <v>@rrockers</v>
      </c>
      <c r="C839" s="10" t="s">
        <v>2105</v>
      </c>
      <c r="D839" s="10" t="s">
        <v>2106</v>
      </c>
      <c r="E839" s="11" t="str">
        <f>HYPERLINK("https://twitter.com/rrockers/status/702921069443723264","702921069443723264")</f>
        <v>702921069443723264</v>
      </c>
      <c r="F839" s="12" t="s">
        <v>446</v>
      </c>
      <c r="G839" s="13">
        <v>262.0</v>
      </c>
      <c r="H839" s="13">
        <v>636.0</v>
      </c>
      <c r="I839" s="13">
        <v>0.0</v>
      </c>
      <c r="J839" s="13">
        <v>0.0</v>
      </c>
      <c r="K839" s="12" t="s">
        <v>21</v>
      </c>
      <c r="L839" s="7">
        <v>39525.3296875</v>
      </c>
      <c r="M839" s="14" t="s">
        <v>2107</v>
      </c>
      <c r="N839" s="14" t="s">
        <v>2108</v>
      </c>
      <c r="O839" s="11" t="str">
        <f>HYPERLINK("https://pbs.twimg.com/profile_images/51857789/me_southpark_normal.png","View")</f>
        <v>View</v>
      </c>
      <c r="P839" s="15"/>
    </row>
    <row r="840">
      <c r="A840" s="7">
        <v>42425.43091435185</v>
      </c>
      <c r="B840" s="8" t="str">
        <f>HYPERLINK("https://twitter.com/gN3mes1s","@gN3mes1s")</f>
        <v>@gN3mes1s</v>
      </c>
      <c r="C840" s="10" t="s">
        <v>2109</v>
      </c>
      <c r="D840" s="10" t="s">
        <v>1212</v>
      </c>
      <c r="E840" s="11" t="str">
        <f>HYPERLINK("https://twitter.com/gN3mes1s/status/702921128684212224","702921128684212224")</f>
        <v>702921128684212224</v>
      </c>
      <c r="F840" s="12" t="s">
        <v>20</v>
      </c>
      <c r="G840" s="13">
        <v>4867.0</v>
      </c>
      <c r="H840" s="13">
        <v>331.0</v>
      </c>
      <c r="I840" s="13">
        <v>24.0</v>
      </c>
      <c r="J840" s="13">
        <v>0.0</v>
      </c>
      <c r="K840" s="12" t="s">
        <v>21</v>
      </c>
      <c r="L840" s="7">
        <v>39996.512407407405</v>
      </c>
      <c r="M840" s="14" t="s">
        <v>2110</v>
      </c>
      <c r="N840" s="14" t="s">
        <v>2111</v>
      </c>
      <c r="O840" s="11" t="str">
        <f>HYPERLINK("https://pbs.twimg.com/profile_images/626562524/hom_normal.jpg","View")</f>
        <v>View</v>
      </c>
      <c r="P840" s="15"/>
    </row>
    <row r="841">
      <c r="A841" s="7">
        <v>42425.43127314815</v>
      </c>
      <c r="B841" s="8" t="str">
        <f>HYPERLINK("https://twitter.com/bear_nun","@bear_nun")</f>
        <v>@bear_nun</v>
      </c>
      <c r="C841" s="10" t="s">
        <v>2112</v>
      </c>
      <c r="D841" s="10" t="s">
        <v>2113</v>
      </c>
      <c r="E841" s="11" t="str">
        <f>HYPERLINK("https://twitter.com/bear_nun/status/702921260997578752","702921260997578752")</f>
        <v>702921260997578752</v>
      </c>
      <c r="F841" s="12" t="s">
        <v>20</v>
      </c>
      <c r="G841" s="13">
        <v>44.0</v>
      </c>
      <c r="H841" s="13">
        <v>156.0</v>
      </c>
      <c r="I841" s="13">
        <v>0.0</v>
      </c>
      <c r="J841" s="13">
        <v>1.0</v>
      </c>
      <c r="K841" s="12" t="s">
        <v>21</v>
      </c>
      <c r="L841" s="7">
        <v>42189.861655092594</v>
      </c>
      <c r="M841" s="16"/>
      <c r="N841" s="14" t="s">
        <v>2114</v>
      </c>
      <c r="O841" s="11" t="str">
        <f>HYPERLINK("https://pbs.twimg.com/profile_images/628206193417170945/omHCTHOS_normal.jpg","View")</f>
        <v>View</v>
      </c>
      <c r="P841" s="15"/>
    </row>
    <row r="842">
      <c r="A842" s="7">
        <v>42425.4314699074</v>
      </c>
      <c r="B842" s="8" t="str">
        <f>HYPERLINK("https://twitter.com/dataprix","@dataprix")</f>
        <v>@dataprix</v>
      </c>
      <c r="C842" s="10" t="s">
        <v>2115</v>
      </c>
      <c r="D842" s="10" t="s">
        <v>2116</v>
      </c>
      <c r="E842" s="11" t="str">
        <f>HYPERLINK("https://twitter.com/dataprix/status/702921332351180801","702921332351180801")</f>
        <v>702921332351180801</v>
      </c>
      <c r="F842" s="12" t="s">
        <v>103</v>
      </c>
      <c r="G842" s="13">
        <v>4033.0</v>
      </c>
      <c r="H842" s="13">
        <v>3956.0</v>
      </c>
      <c r="I842" s="13">
        <v>1.0</v>
      </c>
      <c r="J842" s="13">
        <v>1.0</v>
      </c>
      <c r="K842" s="12" t="s">
        <v>21</v>
      </c>
      <c r="L842" s="7">
        <v>39966.40350694444</v>
      </c>
      <c r="M842" s="14" t="s">
        <v>901</v>
      </c>
      <c r="N842" s="14" t="s">
        <v>2117</v>
      </c>
      <c r="O842" s="11" t="str">
        <f>HYPERLINK("https://pbs.twimg.com/profile_images/701068875/isotipo_dataprix_screen_96_normal.jpg","View")</f>
        <v>View</v>
      </c>
      <c r="P842" s="15"/>
    </row>
    <row r="843">
      <c r="A843" s="7">
        <v>42425.432650462964</v>
      </c>
      <c r="B843" s="8" t="str">
        <f>HYPERLINK("https://twitter.com/inboundli_tech","@inboundli_tech")</f>
        <v>@inboundli_tech</v>
      </c>
      <c r="C843" s="10" t="s">
        <v>2118</v>
      </c>
      <c r="D843" s="10" t="s">
        <v>2119</v>
      </c>
      <c r="E843" s="11" t="str">
        <f>HYPERLINK("https://twitter.com/inboundli_tech/status/702921758433738752","702921758433738752")</f>
        <v>702921758433738752</v>
      </c>
      <c r="F843" s="12" t="s">
        <v>2048</v>
      </c>
      <c r="G843" s="13">
        <v>97.0</v>
      </c>
      <c r="H843" s="13">
        <v>84.0</v>
      </c>
      <c r="I843" s="13">
        <v>0.0</v>
      </c>
      <c r="J843" s="13">
        <v>0.0</v>
      </c>
      <c r="K843" s="12" t="s">
        <v>21</v>
      </c>
      <c r="L843" s="7">
        <v>42244.20113425926</v>
      </c>
      <c r="M843" s="14" t="s">
        <v>1963</v>
      </c>
      <c r="N843" s="14" t="s">
        <v>2120</v>
      </c>
      <c r="O843" s="11" t="str">
        <f>HYPERLINK("https://pbs.twimg.com/profile_images/681686406637469696/oVWxgoQ9_normal.png","View")</f>
        <v>View</v>
      </c>
      <c r="P843" s="15"/>
    </row>
    <row r="844">
      <c r="A844" s="7">
        <v>42425.43413194444</v>
      </c>
      <c r="B844" s="8" t="str">
        <f t="shared" ref="B844:B845" si="67">HYPERLINK("https://twitter.com/artwisanggeni","@artwisanggeni")</f>
        <v>@artwisanggeni</v>
      </c>
      <c r="C844" s="10" t="s">
        <v>74</v>
      </c>
      <c r="D844" s="10" t="s">
        <v>2121</v>
      </c>
      <c r="E844" s="11" t="str">
        <f>HYPERLINK("https://twitter.com/artwisanggeni/status/702922295325495296","702922295325495296")</f>
        <v>702922295325495296</v>
      </c>
      <c r="F844" s="17" t="s">
        <v>76</v>
      </c>
      <c r="G844" s="13">
        <v>236.0</v>
      </c>
      <c r="H844" s="13">
        <v>61.0</v>
      </c>
      <c r="I844" s="13">
        <v>0.0</v>
      </c>
      <c r="J844" s="13">
        <v>0.0</v>
      </c>
      <c r="K844" s="12" t="s">
        <v>21</v>
      </c>
      <c r="L844" s="7">
        <v>41218.90608796296</v>
      </c>
      <c r="M844" s="14" t="s">
        <v>77</v>
      </c>
      <c r="N844" s="14" t="s">
        <v>78</v>
      </c>
      <c r="O844" s="11" t="str">
        <f t="shared" ref="O844:O845" si="68">HYPERLINK("https://pbs.twimg.com/profile_images/2813636657/599521f69e2bc210a57323b64d8e39e6_normal.jpeg","View")</f>
        <v>View</v>
      </c>
      <c r="P844" s="15"/>
    </row>
    <row r="845">
      <c r="A845" s="7">
        <v>42425.43414351852</v>
      </c>
      <c r="B845" s="8" t="str">
        <f t="shared" si="67"/>
        <v>@artwisanggeni</v>
      </c>
      <c r="C845" s="10" t="s">
        <v>74</v>
      </c>
      <c r="D845" s="10" t="s">
        <v>2122</v>
      </c>
      <c r="E845" s="11" t="str">
        <f>HYPERLINK("https://twitter.com/artwisanggeni/status/702922298693521408","702922298693521408")</f>
        <v>702922298693521408</v>
      </c>
      <c r="F845" s="17" t="s">
        <v>76</v>
      </c>
      <c r="G845" s="13">
        <v>236.0</v>
      </c>
      <c r="H845" s="13">
        <v>61.0</v>
      </c>
      <c r="I845" s="13">
        <v>0.0</v>
      </c>
      <c r="J845" s="13">
        <v>0.0</v>
      </c>
      <c r="K845" s="12" t="s">
        <v>21</v>
      </c>
      <c r="L845" s="7">
        <v>41218.90608796296</v>
      </c>
      <c r="M845" s="14" t="s">
        <v>77</v>
      </c>
      <c r="N845" s="14" t="s">
        <v>78</v>
      </c>
      <c r="O845" s="11" t="str">
        <f t="shared" si="68"/>
        <v>View</v>
      </c>
      <c r="P845" s="15"/>
    </row>
    <row r="846">
      <c r="A846" s="7">
        <v>42425.43414351852</v>
      </c>
      <c r="B846" s="8" t="str">
        <f>HYPERLINK("https://twitter.com/laptopBlues","@laptopBlues")</f>
        <v>@laptopBlues</v>
      </c>
      <c r="C846" s="10" t="s">
        <v>2123</v>
      </c>
      <c r="D846" s="10" t="s">
        <v>2124</v>
      </c>
      <c r="E846" s="11" t="str">
        <f>HYPERLINK("https://twitter.com/laptopBlues/status/702922299763253249","702922299763253249")</f>
        <v>702922299763253249</v>
      </c>
      <c r="F846" s="12" t="s">
        <v>2125</v>
      </c>
      <c r="G846" s="13">
        <v>208.0</v>
      </c>
      <c r="H846" s="13">
        <v>474.0</v>
      </c>
      <c r="I846" s="13">
        <v>0.0</v>
      </c>
      <c r="J846" s="13">
        <v>1.0</v>
      </c>
      <c r="K846" s="12" t="s">
        <v>21</v>
      </c>
      <c r="L846" s="7">
        <v>40690.58</v>
      </c>
      <c r="M846" s="14" t="s">
        <v>2126</v>
      </c>
      <c r="N846" s="14" t="s">
        <v>2127</v>
      </c>
      <c r="O846" s="11" t="str">
        <f>HYPERLINK("https://pbs.twimg.com/profile_images/702914897768742912/p7F9m7fo_normal.jpg","View")</f>
        <v>View</v>
      </c>
      <c r="P846" s="15"/>
    </row>
    <row r="847">
      <c r="A847" s="7">
        <v>42425.43415509259</v>
      </c>
      <c r="B847" s="8" t="str">
        <f t="shared" ref="B847:B852" si="69">HYPERLINK("https://twitter.com/artwisanggeni","@artwisanggeni")</f>
        <v>@artwisanggeni</v>
      </c>
      <c r="C847" s="10" t="s">
        <v>74</v>
      </c>
      <c r="D847" s="10" t="s">
        <v>2128</v>
      </c>
      <c r="E847" s="11" t="str">
        <f>HYPERLINK("https://twitter.com/artwisanggeni/status/702922301742780417","702922301742780417")</f>
        <v>702922301742780417</v>
      </c>
      <c r="F847" s="17" t="s">
        <v>76</v>
      </c>
      <c r="G847" s="13">
        <v>236.0</v>
      </c>
      <c r="H847" s="13">
        <v>61.0</v>
      </c>
      <c r="I847" s="13">
        <v>0.0</v>
      </c>
      <c r="J847" s="13">
        <v>0.0</v>
      </c>
      <c r="K847" s="12" t="s">
        <v>21</v>
      </c>
      <c r="L847" s="7">
        <v>41218.90608796296</v>
      </c>
      <c r="M847" s="14" t="s">
        <v>77</v>
      </c>
      <c r="N847" s="14" t="s">
        <v>78</v>
      </c>
      <c r="O847" s="11" t="str">
        <f t="shared" ref="O847:O852" si="70">HYPERLINK("https://pbs.twimg.com/profile_images/2813636657/599521f69e2bc210a57323b64d8e39e6_normal.jpeg","View")</f>
        <v>View</v>
      </c>
      <c r="P847" s="15"/>
    </row>
    <row r="848">
      <c r="A848" s="7">
        <v>42425.43415509259</v>
      </c>
      <c r="B848" s="8" t="str">
        <f t="shared" si="69"/>
        <v>@artwisanggeni</v>
      </c>
      <c r="C848" s="10" t="s">
        <v>74</v>
      </c>
      <c r="D848" s="10" t="s">
        <v>2129</v>
      </c>
      <c r="E848" s="11" t="str">
        <f>HYPERLINK("https://twitter.com/artwisanggeni/status/702922304645259264","702922304645259264")</f>
        <v>702922304645259264</v>
      </c>
      <c r="F848" s="17" t="s">
        <v>76</v>
      </c>
      <c r="G848" s="13">
        <v>236.0</v>
      </c>
      <c r="H848" s="13">
        <v>61.0</v>
      </c>
      <c r="I848" s="13">
        <v>0.0</v>
      </c>
      <c r="J848" s="13">
        <v>0.0</v>
      </c>
      <c r="K848" s="12" t="s">
        <v>21</v>
      </c>
      <c r="L848" s="7">
        <v>41218.90608796296</v>
      </c>
      <c r="M848" s="14" t="s">
        <v>77</v>
      </c>
      <c r="N848" s="14" t="s">
        <v>78</v>
      </c>
      <c r="O848" s="11" t="str">
        <f t="shared" si="70"/>
        <v>View</v>
      </c>
      <c r="P848" s="15"/>
    </row>
    <row r="849">
      <c r="A849" s="7">
        <v>42425.434166666666</v>
      </c>
      <c r="B849" s="8" t="str">
        <f t="shared" si="69"/>
        <v>@artwisanggeni</v>
      </c>
      <c r="C849" s="10" t="s">
        <v>74</v>
      </c>
      <c r="D849" s="10" t="s">
        <v>2130</v>
      </c>
      <c r="E849" s="11" t="str">
        <f>HYPERLINK("https://twitter.com/artwisanggeni/status/702922307866480640","702922307866480640")</f>
        <v>702922307866480640</v>
      </c>
      <c r="F849" s="17" t="s">
        <v>76</v>
      </c>
      <c r="G849" s="13">
        <v>236.0</v>
      </c>
      <c r="H849" s="13">
        <v>61.0</v>
      </c>
      <c r="I849" s="13">
        <v>0.0</v>
      </c>
      <c r="J849" s="13">
        <v>0.0</v>
      </c>
      <c r="K849" s="12" t="s">
        <v>21</v>
      </c>
      <c r="L849" s="7">
        <v>41218.90608796296</v>
      </c>
      <c r="M849" s="14" t="s">
        <v>77</v>
      </c>
      <c r="N849" s="14" t="s">
        <v>78</v>
      </c>
      <c r="O849" s="11" t="str">
        <f t="shared" si="70"/>
        <v>View</v>
      </c>
      <c r="P849" s="15"/>
    </row>
    <row r="850">
      <c r="A850" s="7">
        <v>42425.43417824074</v>
      </c>
      <c r="B850" s="8" t="str">
        <f t="shared" si="69"/>
        <v>@artwisanggeni</v>
      </c>
      <c r="C850" s="10" t="s">
        <v>74</v>
      </c>
      <c r="D850" s="10" t="s">
        <v>2131</v>
      </c>
      <c r="E850" s="11" t="str">
        <f>HYPERLINK("https://twitter.com/artwisanggeni/status/702922310563442688","702922310563442688")</f>
        <v>702922310563442688</v>
      </c>
      <c r="F850" s="17" t="s">
        <v>76</v>
      </c>
      <c r="G850" s="13">
        <v>236.0</v>
      </c>
      <c r="H850" s="13">
        <v>61.0</v>
      </c>
      <c r="I850" s="13">
        <v>0.0</v>
      </c>
      <c r="J850" s="13">
        <v>0.0</v>
      </c>
      <c r="K850" s="12" t="s">
        <v>21</v>
      </c>
      <c r="L850" s="7">
        <v>41218.90608796296</v>
      </c>
      <c r="M850" s="14" t="s">
        <v>77</v>
      </c>
      <c r="N850" s="14" t="s">
        <v>78</v>
      </c>
      <c r="O850" s="11" t="str">
        <f t="shared" si="70"/>
        <v>View</v>
      </c>
      <c r="P850" s="15"/>
    </row>
    <row r="851">
      <c r="A851" s="7">
        <v>42425.43417824074</v>
      </c>
      <c r="B851" s="8" t="str">
        <f t="shared" si="69"/>
        <v>@artwisanggeni</v>
      </c>
      <c r="C851" s="10" t="s">
        <v>74</v>
      </c>
      <c r="D851" s="10" t="s">
        <v>2132</v>
      </c>
      <c r="E851" s="11" t="str">
        <f>HYPERLINK("https://twitter.com/artwisanggeni/status/702922313822416897","702922313822416897")</f>
        <v>702922313822416897</v>
      </c>
      <c r="F851" s="17" t="s">
        <v>76</v>
      </c>
      <c r="G851" s="13">
        <v>236.0</v>
      </c>
      <c r="H851" s="13">
        <v>61.0</v>
      </c>
      <c r="I851" s="13">
        <v>0.0</v>
      </c>
      <c r="J851" s="13">
        <v>0.0</v>
      </c>
      <c r="K851" s="12" t="s">
        <v>21</v>
      </c>
      <c r="L851" s="7">
        <v>41218.90608796296</v>
      </c>
      <c r="M851" s="14" t="s">
        <v>77</v>
      </c>
      <c r="N851" s="14" t="s">
        <v>78</v>
      </c>
      <c r="O851" s="11" t="str">
        <f t="shared" si="70"/>
        <v>View</v>
      </c>
      <c r="P851" s="15"/>
    </row>
    <row r="852">
      <c r="A852" s="7">
        <v>42425.43418981481</v>
      </c>
      <c r="B852" s="8" t="str">
        <f t="shared" si="69"/>
        <v>@artwisanggeni</v>
      </c>
      <c r="C852" s="10" t="s">
        <v>74</v>
      </c>
      <c r="D852" s="10" t="s">
        <v>2133</v>
      </c>
      <c r="E852" s="11" t="str">
        <f>HYPERLINK("https://twitter.com/artwisanggeni/status/702922316770979840","702922316770979840")</f>
        <v>702922316770979840</v>
      </c>
      <c r="F852" s="17" t="s">
        <v>76</v>
      </c>
      <c r="G852" s="13">
        <v>236.0</v>
      </c>
      <c r="H852" s="13">
        <v>61.0</v>
      </c>
      <c r="I852" s="13">
        <v>0.0</v>
      </c>
      <c r="J852" s="13">
        <v>0.0</v>
      </c>
      <c r="K852" s="12" t="s">
        <v>21</v>
      </c>
      <c r="L852" s="7">
        <v>41218.90608796296</v>
      </c>
      <c r="M852" s="14" t="s">
        <v>77</v>
      </c>
      <c r="N852" s="14" t="s">
        <v>78</v>
      </c>
      <c r="O852" s="11" t="str">
        <f t="shared" si="70"/>
        <v>View</v>
      </c>
      <c r="P852" s="15"/>
    </row>
    <row r="853">
      <c r="A853" s="7">
        <v>42425.43418981481</v>
      </c>
      <c r="B853" s="8" t="str">
        <f>HYPERLINK("https://twitter.com/chunger0923","@chunger0923")</f>
        <v>@chunger0923</v>
      </c>
      <c r="C853" s="10" t="s">
        <v>2134</v>
      </c>
      <c r="D853" s="10" t="s">
        <v>2135</v>
      </c>
      <c r="E853" s="11" t="str">
        <f>HYPERLINK("https://twitter.com/chunger0923/status/702922317542756353","702922317542756353")</f>
        <v>702922317542756353</v>
      </c>
      <c r="F853" s="12" t="s">
        <v>152</v>
      </c>
      <c r="G853" s="13">
        <v>248.0</v>
      </c>
      <c r="H853" s="13">
        <v>187.0</v>
      </c>
      <c r="I853" s="13">
        <v>1.0</v>
      </c>
      <c r="J853" s="13">
        <v>0.0</v>
      </c>
      <c r="K853" s="12" t="s">
        <v>21</v>
      </c>
      <c r="L853" s="7">
        <v>41298.25162037037</v>
      </c>
      <c r="M853" s="14" t="s">
        <v>2136</v>
      </c>
      <c r="N853" s="14" t="s">
        <v>2137</v>
      </c>
      <c r="O853" s="11" t="str">
        <f>HYPERLINK("https://pbs.twimg.com/profile_images/3324251307/00fdbb0b8281748610bffb71726dce87_normal.jpeg","View")</f>
        <v>View</v>
      </c>
      <c r="P853" s="15"/>
    </row>
    <row r="854">
      <c r="A854" s="7">
        <v>42425.43420138889</v>
      </c>
      <c r="B854" s="8" t="str">
        <f t="shared" ref="B854:B855" si="71">HYPERLINK("https://twitter.com/artwisanggeni","@artwisanggeni")</f>
        <v>@artwisanggeni</v>
      </c>
      <c r="C854" s="10" t="s">
        <v>74</v>
      </c>
      <c r="D854" s="10" t="s">
        <v>2138</v>
      </c>
      <c r="E854" s="11" t="str">
        <f>HYPERLINK("https://twitter.com/artwisanggeni/status/702922319409209344","702922319409209344")</f>
        <v>702922319409209344</v>
      </c>
      <c r="F854" s="17" t="s">
        <v>76</v>
      </c>
      <c r="G854" s="13">
        <v>236.0</v>
      </c>
      <c r="H854" s="13">
        <v>61.0</v>
      </c>
      <c r="I854" s="13">
        <v>0.0</v>
      </c>
      <c r="J854" s="13">
        <v>0.0</v>
      </c>
      <c r="K854" s="12" t="s">
        <v>21</v>
      </c>
      <c r="L854" s="7">
        <v>41218.90608796296</v>
      </c>
      <c r="M854" s="14" t="s">
        <v>77</v>
      </c>
      <c r="N854" s="14" t="s">
        <v>78</v>
      </c>
      <c r="O854" s="11" t="str">
        <f t="shared" ref="O854:O855" si="72">HYPERLINK("https://pbs.twimg.com/profile_images/2813636657/599521f69e2bc210a57323b64d8e39e6_normal.jpeg","View")</f>
        <v>View</v>
      </c>
      <c r="P854" s="15"/>
    </row>
    <row r="855">
      <c r="A855" s="7">
        <v>42425.43420138889</v>
      </c>
      <c r="B855" s="8" t="str">
        <f t="shared" si="71"/>
        <v>@artwisanggeni</v>
      </c>
      <c r="C855" s="10" t="s">
        <v>74</v>
      </c>
      <c r="D855" s="10" t="s">
        <v>2139</v>
      </c>
      <c r="E855" s="11" t="str">
        <f>HYPERLINK("https://twitter.com/artwisanggeni/status/702922321971978241","702922321971978241")</f>
        <v>702922321971978241</v>
      </c>
      <c r="F855" s="17" t="s">
        <v>76</v>
      </c>
      <c r="G855" s="13">
        <v>236.0</v>
      </c>
      <c r="H855" s="13">
        <v>61.0</v>
      </c>
      <c r="I855" s="13">
        <v>0.0</v>
      </c>
      <c r="J855" s="13">
        <v>0.0</v>
      </c>
      <c r="K855" s="12" t="s">
        <v>21</v>
      </c>
      <c r="L855" s="7">
        <v>41218.90608796296</v>
      </c>
      <c r="M855" s="14" t="s">
        <v>77</v>
      </c>
      <c r="N855" s="14" t="s">
        <v>78</v>
      </c>
      <c r="O855" s="11" t="str">
        <f t="shared" si="72"/>
        <v>View</v>
      </c>
      <c r="P855" s="15"/>
    </row>
    <row r="856">
      <c r="A856" s="7">
        <v>42425.434212962966</v>
      </c>
      <c r="B856" s="8" t="str">
        <f>HYPERLINK("https://twitter.com/rrockers","@rrockers")</f>
        <v>@rrockers</v>
      </c>
      <c r="C856" s="10" t="s">
        <v>2105</v>
      </c>
      <c r="D856" s="10" t="s">
        <v>2140</v>
      </c>
      <c r="E856" s="11" t="str">
        <f>HYPERLINK("https://twitter.com/rrockers/status/702922324320759808","702922324320759808")</f>
        <v>702922324320759808</v>
      </c>
      <c r="F856" s="12" t="s">
        <v>446</v>
      </c>
      <c r="G856" s="13">
        <v>262.0</v>
      </c>
      <c r="H856" s="13">
        <v>636.0</v>
      </c>
      <c r="I856" s="13">
        <v>1.0</v>
      </c>
      <c r="J856" s="13">
        <v>1.0</v>
      </c>
      <c r="K856" s="12" t="s">
        <v>21</v>
      </c>
      <c r="L856" s="7">
        <v>39525.3296875</v>
      </c>
      <c r="M856" s="14" t="s">
        <v>2107</v>
      </c>
      <c r="N856" s="14" t="s">
        <v>2108</v>
      </c>
      <c r="O856" s="11" t="str">
        <f>HYPERLINK("https://pbs.twimg.com/profile_images/51857789/me_southpark_normal.png","View")</f>
        <v>View</v>
      </c>
      <c r="P856" s="15"/>
    </row>
    <row r="857">
      <c r="A857" s="7">
        <v>42425.43423611111</v>
      </c>
      <c r="B857" s="8" t="str">
        <f>HYPERLINK("https://twitter.com/kivyframework","@kivyframework")</f>
        <v>@kivyframework</v>
      </c>
      <c r="C857" s="10" t="s">
        <v>2141</v>
      </c>
      <c r="D857" s="10" t="s">
        <v>2142</v>
      </c>
      <c r="E857" s="11" t="str">
        <f>HYPERLINK("https://twitter.com/kivyframework/status/702922331178586113","702922331178586113")</f>
        <v>702922331178586113</v>
      </c>
      <c r="F857" s="12" t="s">
        <v>152</v>
      </c>
      <c r="G857" s="13">
        <v>1388.0</v>
      </c>
      <c r="H857" s="13">
        <v>33.0</v>
      </c>
      <c r="I857" s="13">
        <v>1.0</v>
      </c>
      <c r="J857" s="13">
        <v>0.0</v>
      </c>
      <c r="K857" s="12" t="s">
        <v>21</v>
      </c>
      <c r="L857" s="7">
        <v>41602.56966435185</v>
      </c>
      <c r="M857" s="16"/>
      <c r="N857" s="14" t="s">
        <v>2143</v>
      </c>
      <c r="O857" s="11" t="str">
        <f>HYPERLINK("https://pbs.twimg.com/profile_images/562300519008333825/6WcGRXLU_normal.png","View")</f>
        <v>View</v>
      </c>
      <c r="P857" s="15"/>
    </row>
    <row r="858">
      <c r="A858" s="7">
        <v>42425.43612268519</v>
      </c>
      <c r="B858" s="8" t="str">
        <f>HYPERLINK("https://twitter.com/NoSQLDigest","@NoSQLDigest")</f>
        <v>@NoSQLDigest</v>
      </c>
      <c r="C858" s="10" t="s">
        <v>200</v>
      </c>
      <c r="D858" s="10" t="s">
        <v>2144</v>
      </c>
      <c r="E858" s="11" t="str">
        <f>HYPERLINK("https://twitter.com/NoSQLDigest/status/702923018289287170","702923018289287170")</f>
        <v>702923018289287170</v>
      </c>
      <c r="F858" s="12" t="s">
        <v>202</v>
      </c>
      <c r="G858" s="13">
        <v>11375.0</v>
      </c>
      <c r="H858" s="13">
        <v>12.0</v>
      </c>
      <c r="I858" s="13">
        <v>1.0</v>
      </c>
      <c r="J858" s="13">
        <v>0.0</v>
      </c>
      <c r="K858" s="12" t="s">
        <v>21</v>
      </c>
      <c r="L858" s="7">
        <v>41854.421805555554</v>
      </c>
      <c r="M858" s="16"/>
      <c r="N858" s="14" t="s">
        <v>203</v>
      </c>
      <c r="O858" s="11" t="str">
        <f>HYPERLINK("https://pbs.twimg.com/profile_images/499257180009529344/CSWhr7LZ_normal.jpeg","View")</f>
        <v>View</v>
      </c>
      <c r="P858" s="15"/>
    </row>
    <row r="859">
      <c r="A859" s="7">
        <v>42425.43681712963</v>
      </c>
      <c r="B859" s="8" t="str">
        <f>HYPERLINK("https://twitter.com/tchappui","@tchappui")</f>
        <v>@tchappui</v>
      </c>
      <c r="C859" s="10" t="s">
        <v>2065</v>
      </c>
      <c r="D859" s="10" t="s">
        <v>2145</v>
      </c>
      <c r="E859" s="11" t="str">
        <f>HYPERLINK("https://twitter.com/tchappui/status/702923266567086080","702923266567086080")</f>
        <v>702923266567086080</v>
      </c>
      <c r="F859" s="12" t="s">
        <v>152</v>
      </c>
      <c r="G859" s="13">
        <v>99.0</v>
      </c>
      <c r="H859" s="13">
        <v>424.0</v>
      </c>
      <c r="I859" s="13">
        <v>0.0</v>
      </c>
      <c r="J859" s="13">
        <v>0.0</v>
      </c>
      <c r="K859" s="12" t="s">
        <v>21</v>
      </c>
      <c r="L859" s="7">
        <v>41802.999930555554</v>
      </c>
      <c r="M859" s="14" t="s">
        <v>2067</v>
      </c>
      <c r="N859" s="14" t="s">
        <v>2068</v>
      </c>
      <c r="O859" s="11" t="str">
        <f>HYPERLINK("https://pbs.twimg.com/profile_images/477344764032192512/LAjvaXy5_normal.jpeg","View")</f>
        <v>View</v>
      </c>
      <c r="P859" s="15"/>
    </row>
    <row r="860">
      <c r="A860" s="7">
        <v>42425.4377662037</v>
      </c>
      <c r="B860" s="8" t="str">
        <f>HYPERLINK("https://twitter.com/internetsurfing","@internetsurfing")</f>
        <v>@internetsurfing</v>
      </c>
      <c r="C860" s="10" t="s">
        <v>2146</v>
      </c>
      <c r="D860" s="10" t="s">
        <v>2147</v>
      </c>
      <c r="E860" s="11" t="str">
        <f>HYPERLINK("https://twitter.com/internetsurfing/status/702923610495672320","702923610495672320")</f>
        <v>702923610495672320</v>
      </c>
      <c r="F860" s="12" t="s">
        <v>98</v>
      </c>
      <c r="G860" s="13">
        <v>1114.0</v>
      </c>
      <c r="H860" s="13">
        <v>363.0</v>
      </c>
      <c r="I860" s="13">
        <v>0.0</v>
      </c>
      <c r="J860" s="13">
        <v>0.0</v>
      </c>
      <c r="K860" s="12" t="s">
        <v>21</v>
      </c>
      <c r="L860" s="7">
        <v>40400.08388888889</v>
      </c>
      <c r="M860" s="14" t="s">
        <v>104</v>
      </c>
      <c r="N860" s="14" t="s">
        <v>2148</v>
      </c>
      <c r="O860" s="11" t="str">
        <f>HYPERLINK("https://pbs.twimg.com/profile_images/1627275100/photo_bw_normal.jpg","View")</f>
        <v>View</v>
      </c>
      <c r="P860" s="15"/>
    </row>
    <row r="861">
      <c r="A861" s="7">
        <v>42425.43809027778</v>
      </c>
      <c r="B861" s="8" t="str">
        <f>HYPERLINK("https://twitter.com/cotdp","@cotdp")</f>
        <v>@cotdp</v>
      </c>
      <c r="C861" s="10" t="s">
        <v>2149</v>
      </c>
      <c r="D861" s="10" t="s">
        <v>2150</v>
      </c>
      <c r="E861" s="11" t="str">
        <f>HYPERLINK("https://twitter.com/cotdp/status/702923727609176064","702923727609176064")</f>
        <v>702923727609176064</v>
      </c>
      <c r="F861" s="12" t="s">
        <v>294</v>
      </c>
      <c r="G861" s="13">
        <v>672.0</v>
      </c>
      <c r="H861" s="13">
        <v>1054.0</v>
      </c>
      <c r="I861" s="13">
        <v>0.0</v>
      </c>
      <c r="J861" s="13">
        <v>1.0</v>
      </c>
      <c r="K861" s="12" t="s">
        <v>21</v>
      </c>
      <c r="L861" s="7">
        <v>40448.06837962963</v>
      </c>
      <c r="M861" s="14" t="s">
        <v>1093</v>
      </c>
      <c r="N861" s="14" t="s">
        <v>2151</v>
      </c>
      <c r="O861" s="11" t="str">
        <f>HYPERLINK("https://pbs.twimg.com/profile_images/666121241305071620/-HnaknbU_normal.jpg","View")</f>
        <v>View</v>
      </c>
      <c r="P861" s="15"/>
    </row>
    <row r="862">
      <c r="A862" s="7">
        <v>42425.43810185185</v>
      </c>
      <c r="B862" s="8" t="str">
        <f>HYPERLINK("https://twitter.com/damonrouse","@damonrouse")</f>
        <v>@damonrouse</v>
      </c>
      <c r="C862" s="10" t="s">
        <v>2152</v>
      </c>
      <c r="D862" s="10" t="s">
        <v>1212</v>
      </c>
      <c r="E862" s="11" t="str">
        <f>HYPERLINK("https://twitter.com/damonrouse/status/702923733757898752","702923733757898752")</f>
        <v>702923733757898752</v>
      </c>
      <c r="F862" s="12" t="s">
        <v>52</v>
      </c>
      <c r="G862" s="13">
        <v>449.0</v>
      </c>
      <c r="H862" s="13">
        <v>1998.0</v>
      </c>
      <c r="I862" s="13">
        <v>24.0</v>
      </c>
      <c r="J862" s="13">
        <v>0.0</v>
      </c>
      <c r="K862" s="12" t="s">
        <v>21</v>
      </c>
      <c r="L862" s="7">
        <v>39754.36552083334</v>
      </c>
      <c r="M862" s="16"/>
      <c r="N862" s="14" t="s">
        <v>2153</v>
      </c>
      <c r="O862" s="11" t="str">
        <f>HYPERLINK("https://pbs.twimg.com/profile_images/418906683369197569/Ia1OG2hv_normal.jpeg","View")</f>
        <v>View</v>
      </c>
      <c r="P862" s="15"/>
    </row>
    <row r="863">
      <c r="A863" s="7">
        <v>42425.43887731481</v>
      </c>
      <c r="B863" s="8" t="str">
        <f>HYPERLINK("https://twitter.com/TheQAblog","@TheQAblog")</f>
        <v>@TheQAblog</v>
      </c>
      <c r="C863" s="9" t="s">
        <v>2154</v>
      </c>
      <c r="D863" s="10" t="s">
        <v>2155</v>
      </c>
      <c r="E863" s="11" t="str">
        <f>HYPERLINK("https://twitter.com/TheQAblog/status/702924014969290752","702924014969290752")</f>
        <v>702924014969290752</v>
      </c>
      <c r="F863" s="12" t="s">
        <v>20</v>
      </c>
      <c r="G863" s="13">
        <v>21.0</v>
      </c>
      <c r="H863" s="13">
        <v>7.0</v>
      </c>
      <c r="I863" s="13">
        <v>1.0</v>
      </c>
      <c r="J863" s="13">
        <v>4.0</v>
      </c>
      <c r="K863" s="12" t="s">
        <v>21</v>
      </c>
      <c r="L863" s="7">
        <v>40627.32556712963</v>
      </c>
      <c r="M863" s="14" t="s">
        <v>1895</v>
      </c>
      <c r="N863" s="14" t="s">
        <v>2156</v>
      </c>
      <c r="O863" s="11" t="str">
        <f>HYPERLINK("https://pbs.twimg.com/profile_images/702914406288470018/oGgSq_Xv_normal.png","View")</f>
        <v>View</v>
      </c>
      <c r="P863" s="15"/>
    </row>
    <row r="864">
      <c r="A864" s="7">
        <v>42425.43887731481</v>
      </c>
      <c r="B864" s="8" t="str">
        <f>HYPERLINK("https://twitter.com/panseybard","@panseybard")</f>
        <v>@panseybard</v>
      </c>
      <c r="C864" s="10" t="s">
        <v>1602</v>
      </c>
      <c r="D864" s="10" t="s">
        <v>1212</v>
      </c>
      <c r="E864" s="11" t="str">
        <f>HYPERLINK("https://twitter.com/panseybard/status/702924016810504192","702924016810504192")</f>
        <v>702924016810504192</v>
      </c>
      <c r="F864" s="12" t="s">
        <v>1603</v>
      </c>
      <c r="G864" s="13">
        <v>7596.0</v>
      </c>
      <c r="H864" s="13">
        <v>7592.0</v>
      </c>
      <c r="I864" s="13">
        <v>24.0</v>
      </c>
      <c r="J864" s="13">
        <v>0.0</v>
      </c>
      <c r="K864" s="12" t="s">
        <v>21</v>
      </c>
      <c r="L864" s="7">
        <v>41222.09909722222</v>
      </c>
      <c r="M864" s="14" t="s">
        <v>1604</v>
      </c>
      <c r="N864" s="14" t="s">
        <v>1605</v>
      </c>
      <c r="O864" s="11" t="str">
        <f>HYPERLINK("https://pbs.twimg.com/profile_images/583850259970822144/7EgtHLoT_normal.jpg","View")</f>
        <v>View</v>
      </c>
      <c r="P864" s="15"/>
    </row>
    <row r="865">
      <c r="A865" s="7">
        <v>42425.43898148148</v>
      </c>
      <c r="B865" s="8" t="str">
        <f>HYPERLINK("https://twitter.com/NYC_TechEvents","@NYC_TechEvents")</f>
        <v>@NYC_TechEvents</v>
      </c>
      <c r="C865" s="10" t="s">
        <v>1016</v>
      </c>
      <c r="D865" s="10" t="s">
        <v>2157</v>
      </c>
      <c r="E865" s="11" t="str">
        <f>HYPERLINK("https://twitter.com/NYC_TechEvents/status/702924053586305027","702924053586305027")</f>
        <v>702924053586305027</v>
      </c>
      <c r="F865" s="12" t="s">
        <v>294</v>
      </c>
      <c r="G865" s="13">
        <v>14.0</v>
      </c>
      <c r="H865" s="13">
        <v>0.0</v>
      </c>
      <c r="I865" s="13">
        <v>0.0</v>
      </c>
      <c r="J865" s="13">
        <v>2.0</v>
      </c>
      <c r="K865" s="12" t="s">
        <v>21</v>
      </c>
      <c r="L865" s="7">
        <v>42407.571875</v>
      </c>
      <c r="M865" s="14" t="s">
        <v>1018</v>
      </c>
      <c r="N865" s="14" t="s">
        <v>1019</v>
      </c>
      <c r="O865" s="11" t="str">
        <f>HYPERLINK("https://pbs.twimg.com/profile_images/698639359512195072/nmORkXm9_normal.png","View")</f>
        <v>View</v>
      </c>
      <c r="P865" s="15"/>
    </row>
    <row r="866">
      <c r="A866" s="7">
        <v>42425.43920138889</v>
      </c>
      <c r="B866" s="8" t="str">
        <f>HYPERLINK("https://twitter.com/WFLA","@WFLA")</f>
        <v>@WFLA</v>
      </c>
      <c r="C866" s="10" t="s">
        <v>2158</v>
      </c>
      <c r="D866" s="10" t="s">
        <v>2159</v>
      </c>
      <c r="E866" s="11" t="str">
        <f>HYPERLINK("https://twitter.com/WFLA/status/702924132451815424","702924132451815424")</f>
        <v>702924132451815424</v>
      </c>
      <c r="F866" s="12" t="s">
        <v>446</v>
      </c>
      <c r="G866" s="13">
        <v>65765.0</v>
      </c>
      <c r="H866" s="13">
        <v>2192.0</v>
      </c>
      <c r="I866" s="13">
        <v>6.0</v>
      </c>
      <c r="J866" s="13">
        <v>0.0</v>
      </c>
      <c r="K866" s="12" t="s">
        <v>21</v>
      </c>
      <c r="L866" s="7">
        <v>39883.55150462963</v>
      </c>
      <c r="M866" s="14" t="s">
        <v>828</v>
      </c>
      <c r="N866" s="14" t="s">
        <v>2160</v>
      </c>
      <c r="O866" s="11" t="str">
        <f>HYPERLINK("https://pbs.twimg.com/profile_images/572845851618185216/EAxzm7z7_normal.jpeg","View")</f>
        <v>View</v>
      </c>
      <c r="P866" s="15"/>
    </row>
    <row r="867">
      <c r="A867" s="7">
        <v>42425.43965277778</v>
      </c>
      <c r="B867" s="8" t="str">
        <f>HYPERLINK("https://twitter.com/trebor74hr","@trebor74hr")</f>
        <v>@trebor74hr</v>
      </c>
      <c r="C867" s="10" t="s">
        <v>2161</v>
      </c>
      <c r="D867" s="10" t="s">
        <v>2162</v>
      </c>
      <c r="E867" s="11" t="str">
        <f>HYPERLINK("https://twitter.com/trebor74hr/status/702924296717516800","702924296717516800")</f>
        <v>702924296717516800</v>
      </c>
      <c r="F867" s="12" t="s">
        <v>152</v>
      </c>
      <c r="G867" s="13">
        <v>315.0</v>
      </c>
      <c r="H867" s="13">
        <v>361.0</v>
      </c>
      <c r="I867" s="13">
        <v>0.0</v>
      </c>
      <c r="J867" s="13">
        <v>1.0</v>
      </c>
      <c r="K867" s="12" t="s">
        <v>21</v>
      </c>
      <c r="L867" s="7">
        <v>40218.34005787037</v>
      </c>
      <c r="M867" s="14" t="s">
        <v>2163</v>
      </c>
      <c r="N867" s="14" t="s">
        <v>2164</v>
      </c>
      <c r="O867" s="11" t="str">
        <f>HYPERLINK("https://pbs.twimg.com/profile_images/1209702114/portrait-IMG_4202_normal.png","View")</f>
        <v>View</v>
      </c>
      <c r="P867" s="15"/>
    </row>
    <row r="868">
      <c r="A868" s="7">
        <v>42425.440289351856</v>
      </c>
      <c r="B868" s="8" t="str">
        <f>HYPERLINK("https://twitter.com/Stiles_Dub","@Stiles_Dub")</f>
        <v>@Stiles_Dub</v>
      </c>
      <c r="C868" s="10" t="s">
        <v>2165</v>
      </c>
      <c r="D868" s="10" t="s">
        <v>2159</v>
      </c>
      <c r="E868" s="11" t="str">
        <f>HYPERLINK("https://twitter.com/Stiles_Dub/status/702924527026700288","702924527026700288")</f>
        <v>702924527026700288</v>
      </c>
      <c r="F868" s="12" t="s">
        <v>52</v>
      </c>
      <c r="G868" s="13">
        <v>1086.0</v>
      </c>
      <c r="H868" s="13">
        <v>1864.0</v>
      </c>
      <c r="I868" s="13">
        <v>6.0</v>
      </c>
      <c r="J868" s="13">
        <v>0.0</v>
      </c>
      <c r="K868" s="12" t="s">
        <v>21</v>
      </c>
      <c r="L868" s="7">
        <v>39918.63780092593</v>
      </c>
      <c r="M868" s="14" t="s">
        <v>828</v>
      </c>
      <c r="N868" s="14" t="s">
        <v>2166</v>
      </c>
      <c r="O868" s="11" t="str">
        <f>HYPERLINK("https://pbs.twimg.com/profile_images/609802826055839745/6x8fnOTZ_normal.jpg","View")</f>
        <v>View</v>
      </c>
      <c r="P868" s="15"/>
    </row>
    <row r="869">
      <c r="A869" s="7">
        <v>42425.440358796295</v>
      </c>
      <c r="B869" s="8" t="str">
        <f>HYPERLINK("https://twitter.com/thekonq","@thekonq")</f>
        <v>@thekonq</v>
      </c>
      <c r="C869" s="10" t="s">
        <v>2167</v>
      </c>
      <c r="D869" s="10" t="s">
        <v>2168</v>
      </c>
      <c r="E869" s="11" t="str">
        <f>HYPERLINK("https://twitter.com/thekonq/status/702924551387258880","702924551387258880")</f>
        <v>702924551387258880</v>
      </c>
      <c r="F869" s="12" t="s">
        <v>294</v>
      </c>
      <c r="G869" s="13">
        <v>9927.0</v>
      </c>
      <c r="H869" s="13">
        <v>134.0</v>
      </c>
      <c r="I869" s="13">
        <v>0.0</v>
      </c>
      <c r="J869" s="13">
        <v>2.0</v>
      </c>
      <c r="K869" s="12" t="s">
        <v>21</v>
      </c>
      <c r="L869" s="7">
        <v>39901.52267361111</v>
      </c>
      <c r="M869" s="16"/>
      <c r="N869" s="16"/>
      <c r="O869" s="11" t="str">
        <f>HYPERLINK("https://pbs.twimg.com/profile_images/378800000528846644/3f33650db259bd2b56f3e2c197d95b3c_normal.png","View")</f>
        <v>View</v>
      </c>
      <c r="P869" s="15"/>
    </row>
    <row r="870">
      <c r="A870" s="7">
        <v>42425.4405787037</v>
      </c>
      <c r="B870" s="8" t="str">
        <f>HYPERLINK("https://twitter.com/saramsmith","@saramsmith")</f>
        <v>@saramsmith</v>
      </c>
      <c r="C870" s="10" t="s">
        <v>2169</v>
      </c>
      <c r="D870" s="10" t="s">
        <v>2159</v>
      </c>
      <c r="E870" s="11" t="str">
        <f>HYPERLINK("https://twitter.com/saramsmith/status/702924633490771968","702924633490771968")</f>
        <v>702924633490771968</v>
      </c>
      <c r="F870" s="12" t="s">
        <v>52</v>
      </c>
      <c r="G870" s="13">
        <v>393.0</v>
      </c>
      <c r="H870" s="13">
        <v>593.0</v>
      </c>
      <c r="I870" s="13">
        <v>6.0</v>
      </c>
      <c r="J870" s="13">
        <v>0.0</v>
      </c>
      <c r="K870" s="12" t="s">
        <v>21</v>
      </c>
      <c r="L870" s="7">
        <v>40302.54696759259</v>
      </c>
      <c r="M870" s="14" t="s">
        <v>2170</v>
      </c>
      <c r="N870" s="14" t="s">
        <v>2171</v>
      </c>
      <c r="O870" s="11" t="str">
        <f>HYPERLINK("https://pbs.twimg.com/profile_images/646041794367594497/tLls4xG6_normal.jpg","View")</f>
        <v>View</v>
      </c>
      <c r="P870" s="15"/>
    </row>
    <row r="871">
      <c r="A871" s="7">
        <v>42425.44074074074</v>
      </c>
      <c r="B871" s="8" t="str">
        <f>HYPERLINK("https://twitter.com/outlearn_stream","@outlearn_stream")</f>
        <v>@outlearn_stream</v>
      </c>
      <c r="C871" s="10" t="s">
        <v>2172</v>
      </c>
      <c r="D871" s="10" t="s">
        <v>2173</v>
      </c>
      <c r="E871" s="11" t="str">
        <f>HYPERLINK("https://twitter.com/outlearn_stream/status/702924691862896644","702924691862896644")</f>
        <v>702924691862896644</v>
      </c>
      <c r="F871" s="12" t="s">
        <v>2174</v>
      </c>
      <c r="G871" s="13">
        <v>57.0</v>
      </c>
      <c r="H871" s="13">
        <v>0.0</v>
      </c>
      <c r="I871" s="13">
        <v>0.0</v>
      </c>
      <c r="J871" s="13">
        <v>0.0</v>
      </c>
      <c r="K871" s="12" t="s">
        <v>21</v>
      </c>
      <c r="L871" s="7">
        <v>42312.58362268518</v>
      </c>
      <c r="M871" s="16"/>
      <c r="N871" s="14" t="s">
        <v>2175</v>
      </c>
      <c r="O871" s="11" t="str">
        <f>HYPERLINK("https://pbs.twimg.com/profile_images/662027059783442432/WaOzA6De_normal.png","View")</f>
        <v>View</v>
      </c>
      <c r="P871" s="15"/>
    </row>
    <row r="872">
      <c r="A872" s="7">
        <v>42425.440787037034</v>
      </c>
      <c r="B872" s="8" t="str">
        <f>HYPERLINK("https://twitter.com/insights_js","@insights_js")</f>
        <v>@insights_js</v>
      </c>
      <c r="C872" s="10" t="s">
        <v>139</v>
      </c>
      <c r="D872" s="10" t="s">
        <v>1996</v>
      </c>
      <c r="E872" s="11" t="str">
        <f>HYPERLINK("https://twitter.com/insights_js/status/702924708237283328","702924708237283328")</f>
        <v>702924708237283328</v>
      </c>
      <c r="F872" s="12" t="s">
        <v>141</v>
      </c>
      <c r="G872" s="13">
        <v>111.0</v>
      </c>
      <c r="H872" s="13">
        <v>138.0</v>
      </c>
      <c r="I872" s="13">
        <v>5.0</v>
      </c>
      <c r="J872" s="13">
        <v>0.0</v>
      </c>
      <c r="K872" s="12" t="s">
        <v>21</v>
      </c>
      <c r="L872" s="7">
        <v>42381.537870370375</v>
      </c>
      <c r="M872" s="16"/>
      <c r="N872" s="14" t="s">
        <v>142</v>
      </c>
      <c r="O872" s="11" t="str">
        <f>HYPERLINK("https://pbs.twimg.com/profile_images/687381862004715521/lsdcpGUk_normal.png","View")</f>
        <v>View</v>
      </c>
      <c r="P872" s="15"/>
    </row>
    <row r="873">
      <c r="A873" s="7">
        <v>42425.440983796296</v>
      </c>
      <c r="B873" s="8" t="str">
        <f>HYPERLINK("https://twitter.com/peachythemag","@peachythemag")</f>
        <v>@peachythemag</v>
      </c>
      <c r="C873" s="10" t="s">
        <v>2176</v>
      </c>
      <c r="D873" s="10" t="s">
        <v>2177</v>
      </c>
      <c r="E873" s="11" t="str">
        <f>HYPERLINK("https://twitter.com/peachythemag/status/702924779095855104","702924779095855104")</f>
        <v>702924779095855104</v>
      </c>
      <c r="F873" s="12" t="s">
        <v>450</v>
      </c>
      <c r="G873" s="13">
        <v>750.0</v>
      </c>
      <c r="H873" s="13">
        <v>1194.0</v>
      </c>
      <c r="I873" s="13">
        <v>0.0</v>
      </c>
      <c r="J873" s="13">
        <v>0.0</v>
      </c>
      <c r="K873" s="12" t="s">
        <v>21</v>
      </c>
      <c r="L873" s="7">
        <v>41454.606932870374</v>
      </c>
      <c r="M873" s="16"/>
      <c r="N873" s="14" t="s">
        <v>2178</v>
      </c>
      <c r="O873" s="11" t="str">
        <f>HYPERLINK("https://pbs.twimg.com/profile_images/665178096593715200/TbB-KLrc_normal.jpg","View")</f>
        <v>View</v>
      </c>
      <c r="P873" s="11" t="str">
        <f>HYPERLINK("http://ctrlq.org/maps/address/#30.3073063,-97.7496033","Map")</f>
        <v>Map</v>
      </c>
    </row>
    <row r="874">
      <c r="A874" s="7">
        <v>42425.441145833334</v>
      </c>
      <c r="B874" s="8" t="str">
        <f>HYPERLINK("https://twitter.com/totallygloria","@totallygloria")</f>
        <v>@totallygloria</v>
      </c>
      <c r="C874" s="10" t="s">
        <v>2179</v>
      </c>
      <c r="D874" s="10" t="s">
        <v>2180</v>
      </c>
      <c r="E874" s="11" t="str">
        <f>HYPERLINK("https://twitter.com/totallygloria/status/702924835609931777","702924835609931777")</f>
        <v>702924835609931777</v>
      </c>
      <c r="F874" s="12" t="s">
        <v>20</v>
      </c>
      <c r="G874" s="13">
        <v>75.0</v>
      </c>
      <c r="H874" s="13">
        <v>218.0</v>
      </c>
      <c r="I874" s="13">
        <v>0.0</v>
      </c>
      <c r="J874" s="13">
        <v>1.0</v>
      </c>
      <c r="K874" s="12" t="s">
        <v>21</v>
      </c>
      <c r="L874" s="7">
        <v>39652.77332175926</v>
      </c>
      <c r="M874" s="14" t="s">
        <v>2181</v>
      </c>
      <c r="N874" s="14" t="s">
        <v>2182</v>
      </c>
      <c r="O874" s="11" t="str">
        <f>HYPERLINK("https://pbs.twimg.com/profile_images/652938955898228736/uAEHcc8u_normal.jpg","View")</f>
        <v>View</v>
      </c>
      <c r="P874" s="15"/>
    </row>
    <row r="875">
      <c r="A875" s="7">
        <v>42425.44149305555</v>
      </c>
      <c r="B875" s="8" t="str">
        <f>HYPERLINK("https://twitter.com/HartwigMicheal","@HartwigMicheal")</f>
        <v>@HartwigMicheal</v>
      </c>
      <c r="C875" s="10" t="s">
        <v>842</v>
      </c>
      <c r="D875" s="10" t="s">
        <v>2183</v>
      </c>
      <c r="E875" s="11" t="str">
        <f>HYPERLINK("https://twitter.com/HartwigMicheal/status/702924961976082432","702924961976082432")</f>
        <v>702924961976082432</v>
      </c>
      <c r="F875" s="12" t="s">
        <v>103</v>
      </c>
      <c r="G875" s="13">
        <v>541.0</v>
      </c>
      <c r="H875" s="13">
        <v>830.0</v>
      </c>
      <c r="I875" s="13">
        <v>0.0</v>
      </c>
      <c r="J875" s="13">
        <v>0.0</v>
      </c>
      <c r="K875" s="12" t="s">
        <v>21</v>
      </c>
      <c r="L875" s="7">
        <v>42362.00148148148</v>
      </c>
      <c r="M875" s="14" t="s">
        <v>844</v>
      </c>
      <c r="N875" s="14" t="s">
        <v>845</v>
      </c>
      <c r="O875" s="11" t="str">
        <f>HYPERLINK("https://pbs.twimg.com/profile_images/679948461953781761/pDo9356K_normal.jpg","View")</f>
        <v>View</v>
      </c>
      <c r="P875" s="15"/>
    </row>
    <row r="876">
      <c r="A876" s="7">
        <v>42425.44172453704</v>
      </c>
      <c r="B876" s="8" t="str">
        <f>HYPERLINK("https://twitter.com/RealPython","@RealPython")</f>
        <v>@RealPython</v>
      </c>
      <c r="C876" s="9" t="s">
        <v>1021</v>
      </c>
      <c r="D876" s="10" t="s">
        <v>2045</v>
      </c>
      <c r="E876" s="11" t="str">
        <f>HYPERLINK("https://twitter.com/RealPython/status/702925045627105280","702925045627105280")</f>
        <v>702925045627105280</v>
      </c>
      <c r="F876" s="12" t="s">
        <v>20</v>
      </c>
      <c r="G876" s="13">
        <v>5088.0</v>
      </c>
      <c r="H876" s="13">
        <v>39.0</v>
      </c>
      <c r="I876" s="13">
        <v>2.0</v>
      </c>
      <c r="J876" s="13">
        <v>0.0</v>
      </c>
      <c r="K876" s="12" t="s">
        <v>21</v>
      </c>
      <c r="L876" s="7">
        <v>41129.57270833333</v>
      </c>
      <c r="M876" s="16"/>
      <c r="N876" s="14" t="s">
        <v>1022</v>
      </c>
      <c r="O876" s="11" t="str">
        <f>HYPERLINK("https://pbs.twimg.com/profile_images/3312468366/129323224633d71286101d517a2f9817_normal.png","View")</f>
        <v>View</v>
      </c>
      <c r="P876" s="15"/>
    </row>
    <row r="877">
      <c r="A877" s="7">
        <v>42425.44186342593</v>
      </c>
      <c r="B877" s="8" t="str">
        <f>HYPERLINK("https://twitter.com/Manquip","@Manquip")</f>
        <v>@Manquip</v>
      </c>
      <c r="C877" s="10" t="s">
        <v>2184</v>
      </c>
      <c r="D877" s="10" t="s">
        <v>1180</v>
      </c>
      <c r="E877" s="11" t="str">
        <f>HYPERLINK("https://twitter.com/Manquip/status/702925095073882113","702925095073882113")</f>
        <v>702925095073882113</v>
      </c>
      <c r="F877" s="12" t="s">
        <v>20</v>
      </c>
      <c r="G877" s="13">
        <v>713.0</v>
      </c>
      <c r="H877" s="13">
        <v>190.0</v>
      </c>
      <c r="I877" s="13">
        <v>7.0</v>
      </c>
      <c r="J877" s="13">
        <v>0.0</v>
      </c>
      <c r="K877" s="12" t="s">
        <v>21</v>
      </c>
      <c r="L877" s="7">
        <v>40732.65340277778</v>
      </c>
      <c r="M877" s="16"/>
      <c r="N877" s="14" t="s">
        <v>2185</v>
      </c>
      <c r="O877" s="11" t="str">
        <f>HYPERLINK("https://pbs.twimg.com/profile_images/494485458538074114/eiMx1ort_normal.png","View")</f>
        <v>View</v>
      </c>
      <c r="P877" s="15"/>
    </row>
    <row r="878">
      <c r="A878" s="7">
        <v>42425.442141203705</v>
      </c>
      <c r="B878" s="8" t="str">
        <f t="shared" ref="B878:B881" si="73">HYPERLINK("https://twitter.com/programmingncr","@programmingncr")</f>
        <v>@programmingncr</v>
      </c>
      <c r="C878" s="10" t="s">
        <v>262</v>
      </c>
      <c r="D878" s="10" t="s">
        <v>2186</v>
      </c>
      <c r="E878" s="11" t="str">
        <f>HYPERLINK("https://twitter.com/programmingncr/status/702925196626432000","702925196626432000")</f>
        <v>702925196626432000</v>
      </c>
      <c r="F878" s="12" t="s">
        <v>103</v>
      </c>
      <c r="G878" s="13">
        <v>328.0</v>
      </c>
      <c r="H878" s="13">
        <v>99.0</v>
      </c>
      <c r="I878" s="13">
        <v>0.0</v>
      </c>
      <c r="J878" s="13">
        <v>0.0</v>
      </c>
      <c r="K878" s="12" t="s">
        <v>21</v>
      </c>
      <c r="L878" s="7">
        <v>42220.86634259259</v>
      </c>
      <c r="M878" s="14" t="s">
        <v>264</v>
      </c>
      <c r="N878" s="14" t="s">
        <v>265</v>
      </c>
      <c r="O878" s="11" t="str">
        <f t="shared" ref="O878:O881" si="74">HYPERLINK("https://pbs.twimg.com/profile_images/662602436222193664/qKuvsfnG_normal.jpg","View")</f>
        <v>View</v>
      </c>
      <c r="P878" s="15"/>
    </row>
    <row r="879">
      <c r="A879" s="7">
        <v>42425.442141203705</v>
      </c>
      <c r="B879" s="8" t="str">
        <f t="shared" si="73"/>
        <v>@programmingncr</v>
      </c>
      <c r="C879" s="10" t="s">
        <v>262</v>
      </c>
      <c r="D879" s="10" t="s">
        <v>2187</v>
      </c>
      <c r="E879" s="11" t="str">
        <f>HYPERLINK("https://twitter.com/programmingncr/status/702925198186717184","702925198186717184")</f>
        <v>702925198186717184</v>
      </c>
      <c r="F879" s="12" t="s">
        <v>103</v>
      </c>
      <c r="G879" s="13">
        <v>328.0</v>
      </c>
      <c r="H879" s="13">
        <v>99.0</v>
      </c>
      <c r="I879" s="13">
        <v>0.0</v>
      </c>
      <c r="J879" s="13">
        <v>0.0</v>
      </c>
      <c r="K879" s="12" t="s">
        <v>21</v>
      </c>
      <c r="L879" s="7">
        <v>42220.86634259259</v>
      </c>
      <c r="M879" s="14" t="s">
        <v>264</v>
      </c>
      <c r="N879" s="14" t="s">
        <v>265</v>
      </c>
      <c r="O879" s="11" t="str">
        <f t="shared" si="74"/>
        <v>View</v>
      </c>
      <c r="P879" s="15"/>
    </row>
    <row r="880">
      <c r="A880" s="7">
        <v>42425.442141203705</v>
      </c>
      <c r="B880" s="8" t="str">
        <f t="shared" si="73"/>
        <v>@programmingncr</v>
      </c>
      <c r="C880" s="10" t="s">
        <v>262</v>
      </c>
      <c r="D880" s="10" t="s">
        <v>2188</v>
      </c>
      <c r="E880" s="11" t="str">
        <f>HYPERLINK("https://twitter.com/programmingncr/status/702925199390461954","702925199390461954")</f>
        <v>702925199390461954</v>
      </c>
      <c r="F880" s="12" t="s">
        <v>103</v>
      </c>
      <c r="G880" s="13">
        <v>328.0</v>
      </c>
      <c r="H880" s="13">
        <v>99.0</v>
      </c>
      <c r="I880" s="13">
        <v>0.0</v>
      </c>
      <c r="J880" s="13">
        <v>0.0</v>
      </c>
      <c r="K880" s="12" t="s">
        <v>21</v>
      </c>
      <c r="L880" s="7">
        <v>42220.86634259259</v>
      </c>
      <c r="M880" s="14" t="s">
        <v>264</v>
      </c>
      <c r="N880" s="14" t="s">
        <v>265</v>
      </c>
      <c r="O880" s="11" t="str">
        <f t="shared" si="74"/>
        <v>View</v>
      </c>
      <c r="P880" s="15"/>
    </row>
    <row r="881">
      <c r="A881" s="7">
        <v>42425.442152777774</v>
      </c>
      <c r="B881" s="8" t="str">
        <f t="shared" si="73"/>
        <v>@programmingncr</v>
      </c>
      <c r="C881" s="10" t="s">
        <v>262</v>
      </c>
      <c r="D881" s="10" t="s">
        <v>2189</v>
      </c>
      <c r="E881" s="11" t="str">
        <f>HYPERLINK("https://twitter.com/programmingncr/status/702925200405479429","702925200405479429")</f>
        <v>702925200405479429</v>
      </c>
      <c r="F881" s="12" t="s">
        <v>103</v>
      </c>
      <c r="G881" s="13">
        <v>328.0</v>
      </c>
      <c r="H881" s="13">
        <v>99.0</v>
      </c>
      <c r="I881" s="13">
        <v>0.0</v>
      </c>
      <c r="J881" s="13">
        <v>0.0</v>
      </c>
      <c r="K881" s="12" t="s">
        <v>21</v>
      </c>
      <c r="L881" s="7">
        <v>42220.86634259259</v>
      </c>
      <c r="M881" s="14" t="s">
        <v>264</v>
      </c>
      <c r="N881" s="14" t="s">
        <v>265</v>
      </c>
      <c r="O881" s="11" t="str">
        <f t="shared" si="74"/>
        <v>View</v>
      </c>
      <c r="P881" s="15"/>
    </row>
    <row r="882">
      <c r="A882" s="7">
        <v>42425.44271990741</v>
      </c>
      <c r="B882" s="8" t="str">
        <f>HYPERLINK("https://twitter.com/MTotolrahaman","@MTotolrahaman")</f>
        <v>@MTotolrahaman</v>
      </c>
      <c r="C882" s="10" t="s">
        <v>848</v>
      </c>
      <c r="D882" s="10" t="s">
        <v>2190</v>
      </c>
      <c r="E882" s="11" t="str">
        <f>HYPERLINK("https://twitter.com/MTotolrahaman/status/702925408250040321","702925408250040321")</f>
        <v>702925408250040321</v>
      </c>
      <c r="F882" s="12" t="s">
        <v>103</v>
      </c>
      <c r="G882" s="13">
        <v>766.0</v>
      </c>
      <c r="H882" s="13">
        <v>846.0</v>
      </c>
      <c r="I882" s="13">
        <v>0.0</v>
      </c>
      <c r="J882" s="13">
        <v>0.0</v>
      </c>
      <c r="K882" s="12" t="s">
        <v>21</v>
      </c>
      <c r="L882" s="7">
        <v>42355.250798611116</v>
      </c>
      <c r="M882" s="14" t="s">
        <v>850</v>
      </c>
      <c r="N882" s="14" t="s">
        <v>851</v>
      </c>
      <c r="O882" s="11" t="str">
        <f>HYPERLINK("https://pbs.twimg.com/profile_images/677493910256484352/-EdVaVPl_normal.jpg","View")</f>
        <v>View</v>
      </c>
      <c r="P882" s="15"/>
    </row>
    <row r="883">
      <c r="A883" s="7">
        <v>42425.44305555556</v>
      </c>
      <c r="B883" s="8" t="str">
        <f>HYPERLINK("https://twitter.com/isaacmoore7","@isaacmoore7")</f>
        <v>@isaacmoore7</v>
      </c>
      <c r="C883" s="10" t="s">
        <v>2191</v>
      </c>
      <c r="D883" s="10" t="s">
        <v>2192</v>
      </c>
      <c r="E883" s="11" t="str">
        <f>HYPERLINK("https://twitter.com/isaacmoore7/status/702925527166885888","702925527166885888")</f>
        <v>702925527166885888</v>
      </c>
      <c r="F883" s="12" t="s">
        <v>152</v>
      </c>
      <c r="G883" s="13">
        <v>125.0</v>
      </c>
      <c r="H883" s="13">
        <v>207.0</v>
      </c>
      <c r="I883" s="13">
        <v>0.0</v>
      </c>
      <c r="J883" s="13">
        <v>0.0</v>
      </c>
      <c r="K883" s="12" t="s">
        <v>21</v>
      </c>
      <c r="L883" s="7">
        <v>39872.518784722226</v>
      </c>
      <c r="M883" s="14" t="s">
        <v>519</v>
      </c>
      <c r="N883" s="14" t="s">
        <v>2193</v>
      </c>
      <c r="O883" s="11" t="str">
        <f>HYPERLINK("https://pbs.twimg.com/profile_images/634786032446259200/qX_j31L7_normal.jpg","View")</f>
        <v>View</v>
      </c>
      <c r="P883" s="15"/>
    </row>
    <row r="884">
      <c r="A884" s="7">
        <v>42425.443136574075</v>
      </c>
      <c r="B884" s="8" t="str">
        <f>HYPERLINK("https://twitter.com/RasuShrestha","@RasuShrestha")</f>
        <v>@RasuShrestha</v>
      </c>
      <c r="C884" s="10" t="s">
        <v>2194</v>
      </c>
      <c r="D884" s="10" t="s">
        <v>2195</v>
      </c>
      <c r="E884" s="11" t="str">
        <f>HYPERLINK("https://twitter.com/RasuShrestha/status/702925559836352512","702925559836352512")</f>
        <v>702925559836352512</v>
      </c>
      <c r="F884" s="12" t="s">
        <v>124</v>
      </c>
      <c r="G884" s="13">
        <v>6929.0</v>
      </c>
      <c r="H884" s="13">
        <v>597.0</v>
      </c>
      <c r="I884" s="13">
        <v>5.0</v>
      </c>
      <c r="J884" s="13">
        <v>0.0</v>
      </c>
      <c r="K884" s="12" t="s">
        <v>21</v>
      </c>
      <c r="L884" s="7">
        <v>40865.1937962963</v>
      </c>
      <c r="M884" s="14" t="s">
        <v>1526</v>
      </c>
      <c r="N884" s="14" t="s">
        <v>2196</v>
      </c>
      <c r="O884" s="11" t="str">
        <f>HYPERLINK("https://pbs.twimg.com/profile_images/697465361596313601/-5BdVWDc_normal.jpg","View")</f>
        <v>View</v>
      </c>
      <c r="P884" s="15"/>
    </row>
    <row r="885">
      <c r="A885" s="7">
        <v>42425.44318287037</v>
      </c>
      <c r="B885" s="8" t="str">
        <f>HYPERLINK("https://twitter.com/opbeat","@opbeat")</f>
        <v>@opbeat</v>
      </c>
      <c r="C885" s="10" t="s">
        <v>2197</v>
      </c>
      <c r="D885" s="10" t="s">
        <v>2198</v>
      </c>
      <c r="E885" s="11" t="str">
        <f>HYPERLINK("https://twitter.com/opbeat/status/702925575497842688","702925575497842688")</f>
        <v>702925575497842688</v>
      </c>
      <c r="F885" s="12" t="s">
        <v>294</v>
      </c>
      <c r="G885" s="13">
        <v>2331.0</v>
      </c>
      <c r="H885" s="13">
        <v>1449.0</v>
      </c>
      <c r="I885" s="13">
        <v>0.0</v>
      </c>
      <c r="J885" s="13">
        <v>2.0</v>
      </c>
      <c r="K885" s="12" t="s">
        <v>21</v>
      </c>
      <c r="L885" s="7">
        <v>41012.39740740741</v>
      </c>
      <c r="M885" s="14" t="s">
        <v>2199</v>
      </c>
      <c r="N885" s="14" t="s">
        <v>2200</v>
      </c>
      <c r="O885" s="11" t="str">
        <f>HYPERLINK("https://pbs.twimg.com/profile_images/700322766168305664/DpqY0ynV_normal.png","View")</f>
        <v>View</v>
      </c>
      <c r="P885" s="15"/>
    </row>
    <row r="886">
      <c r="A886" s="7">
        <v>42425.44395833333</v>
      </c>
      <c r="B886" s="8" t="str">
        <f>HYPERLINK("https://twitter.com/trebor74hr","@trebor74hr")</f>
        <v>@trebor74hr</v>
      </c>
      <c r="C886" s="10" t="s">
        <v>2161</v>
      </c>
      <c r="D886" s="10" t="s">
        <v>2201</v>
      </c>
      <c r="E886" s="11" t="str">
        <f>HYPERLINK("https://twitter.com/trebor74hr/status/702925858135220224","702925858135220224")</f>
        <v>702925858135220224</v>
      </c>
      <c r="F886" s="12" t="s">
        <v>152</v>
      </c>
      <c r="G886" s="13">
        <v>315.0</v>
      </c>
      <c r="H886" s="13">
        <v>361.0</v>
      </c>
      <c r="I886" s="13">
        <v>1.0</v>
      </c>
      <c r="J886" s="13">
        <v>0.0</v>
      </c>
      <c r="K886" s="12" t="s">
        <v>21</v>
      </c>
      <c r="L886" s="7">
        <v>40218.34005787037</v>
      </c>
      <c r="M886" s="14" t="s">
        <v>2163</v>
      </c>
      <c r="N886" s="14" t="s">
        <v>2164</v>
      </c>
      <c r="O886" s="11" t="str">
        <f>HYPERLINK("https://pbs.twimg.com/profile_images/1209702114/portrait-IMG_4202_normal.png","View")</f>
        <v>View</v>
      </c>
      <c r="P886" s="15"/>
    </row>
    <row r="887">
      <c r="A887" s="7">
        <v>42425.44466435185</v>
      </c>
      <c r="B887" s="8" t="str">
        <f>HYPERLINK("https://twitter.com/RealGantBlack","@RealGantBlack")</f>
        <v>@RealGantBlack</v>
      </c>
      <c r="C887" s="10" t="s">
        <v>2202</v>
      </c>
      <c r="D887" s="10" t="s">
        <v>1920</v>
      </c>
      <c r="E887" s="11" t="str">
        <f>HYPERLINK("https://twitter.com/RealGantBlack/status/702926110569447424","702926110569447424")</f>
        <v>702926110569447424</v>
      </c>
      <c r="F887" s="12" t="s">
        <v>152</v>
      </c>
      <c r="G887" s="13">
        <v>921.0</v>
      </c>
      <c r="H887" s="13">
        <v>65.0</v>
      </c>
      <c r="I887" s="13">
        <v>62.0</v>
      </c>
      <c r="J887" s="13">
        <v>0.0</v>
      </c>
      <c r="K887" s="12" t="s">
        <v>21</v>
      </c>
      <c r="L887" s="7">
        <v>42298.09792824074</v>
      </c>
      <c r="M887" s="16"/>
      <c r="N887" s="14" t="s">
        <v>2203</v>
      </c>
      <c r="O887" s="11" t="str">
        <f>HYPERLINK("https://pbs.twimg.com/profile_images/677098622010331136/t08uG60H_normal.jpg","View")</f>
        <v>View</v>
      </c>
      <c r="P887" s="15"/>
    </row>
    <row r="888">
      <c r="A888" s="7">
        <v>42425.44510416666</v>
      </c>
      <c r="B888" s="8" t="str">
        <f>HYPERLINK("https://twitter.com/yashaka","@yashaka")</f>
        <v>@yashaka</v>
      </c>
      <c r="C888" s="10" t="s">
        <v>2204</v>
      </c>
      <c r="D888" s="10" t="s">
        <v>2205</v>
      </c>
      <c r="E888" s="11" t="str">
        <f>HYPERLINK("https://twitter.com/yashaka/status/702926273451073537","702926273451073537")</f>
        <v>702926273451073537</v>
      </c>
      <c r="F888" s="12" t="s">
        <v>20</v>
      </c>
      <c r="G888" s="13">
        <v>55.0</v>
      </c>
      <c r="H888" s="13">
        <v>25.0</v>
      </c>
      <c r="I888" s="13">
        <v>3.0</v>
      </c>
      <c r="J888" s="13">
        <v>2.0</v>
      </c>
      <c r="K888" s="12" t="s">
        <v>21</v>
      </c>
      <c r="L888" s="7">
        <v>39870.01902777778</v>
      </c>
      <c r="M888" s="14" t="s">
        <v>2206</v>
      </c>
      <c r="N888" s="14" t="s">
        <v>2207</v>
      </c>
      <c r="O888" s="11" t="str">
        <f>HYPERLINK("https://pbs.twimg.com/profile_images/1876623382/000042-1_normal.JPG","View")</f>
        <v>View</v>
      </c>
      <c r="P888" s="15"/>
    </row>
    <row r="889">
      <c r="A889" s="7">
        <v>42425.446331018524</v>
      </c>
      <c r="B889" s="8" t="str">
        <f>HYPERLINK("https://twitter.com/techmix_","@techmix_")</f>
        <v>@techmix_</v>
      </c>
      <c r="C889" s="10" t="s">
        <v>1190</v>
      </c>
      <c r="D889" s="10" t="s">
        <v>2208</v>
      </c>
      <c r="E889" s="11" t="str">
        <f>HYPERLINK("https://twitter.com/techmix_/status/702926717141303296","702926717141303296")</f>
        <v>702926717141303296</v>
      </c>
      <c r="F889" s="12" t="s">
        <v>1192</v>
      </c>
      <c r="G889" s="13">
        <v>547.0</v>
      </c>
      <c r="H889" s="13">
        <v>1444.0</v>
      </c>
      <c r="I889" s="13">
        <v>1.0</v>
      </c>
      <c r="J889" s="13">
        <v>0.0</v>
      </c>
      <c r="K889" s="12" t="s">
        <v>21</v>
      </c>
      <c r="L889" s="7">
        <v>42400.79513888889</v>
      </c>
      <c r="M889" s="16"/>
      <c r="N889" s="14" t="s">
        <v>1193</v>
      </c>
      <c r="O889" s="11" t="str">
        <f>HYPERLINK("https://pbs.twimg.com/profile_images/700674879540981761/fKiyB9Ye_normal.png","View")</f>
        <v>View</v>
      </c>
      <c r="P889" s="15"/>
    </row>
    <row r="890">
      <c r="A890" s="7">
        <v>42425.446377314816</v>
      </c>
      <c r="B890" s="8" t="str">
        <f>HYPERLINK("https://twitter.com/BicYea50","@BicYea50")</f>
        <v>@BicYea50</v>
      </c>
      <c r="C890" s="10" t="s">
        <v>2209</v>
      </c>
      <c r="D890" s="10" t="s">
        <v>2159</v>
      </c>
      <c r="E890" s="11" t="str">
        <f>HYPERLINK("https://twitter.com/BicYea50/status/702926731519217665","702926731519217665")</f>
        <v>702926731519217665</v>
      </c>
      <c r="F890" s="12" t="s">
        <v>20</v>
      </c>
      <c r="G890" s="13">
        <v>1500.0</v>
      </c>
      <c r="H890" s="13">
        <v>1875.0</v>
      </c>
      <c r="I890" s="13">
        <v>6.0</v>
      </c>
      <c r="J890" s="13">
        <v>0.0</v>
      </c>
      <c r="K890" s="12" t="s">
        <v>21</v>
      </c>
      <c r="L890" s="7">
        <v>40541.443495370375</v>
      </c>
      <c r="M890" s="14" t="s">
        <v>2210</v>
      </c>
      <c r="N890" s="14" t="s">
        <v>2211</v>
      </c>
      <c r="O890" s="11" t="str">
        <f>HYPERLINK("https://pbs.twimg.com/profile_images/685113545156067332/VIFtqhLW_normal.jpg","View")</f>
        <v>View</v>
      </c>
      <c r="P890" s="15"/>
    </row>
    <row r="891">
      <c r="A891" s="7">
        <v>42425.44652777778</v>
      </c>
      <c r="B891" s="8" t="str">
        <f>HYPERLINK("https://twitter.com/margari888","@margari888")</f>
        <v>@margari888</v>
      </c>
      <c r="C891" s="10" t="s">
        <v>2212</v>
      </c>
      <c r="D891" s="10" t="s">
        <v>2213</v>
      </c>
      <c r="E891" s="11" t="str">
        <f>HYPERLINK("https://twitter.com/margari888/status/702926788545134594","702926788545134594")</f>
        <v>702926788545134594</v>
      </c>
      <c r="F891" s="12" t="s">
        <v>152</v>
      </c>
      <c r="G891" s="13">
        <v>591.0</v>
      </c>
      <c r="H891" s="13">
        <v>1871.0</v>
      </c>
      <c r="I891" s="13">
        <v>1.0</v>
      </c>
      <c r="J891" s="13">
        <v>0.0</v>
      </c>
      <c r="K891" s="12" t="s">
        <v>21</v>
      </c>
      <c r="L891" s="7">
        <v>41831.453055555554</v>
      </c>
      <c r="M891" s="16"/>
      <c r="N891" s="16"/>
      <c r="O891" s="11" t="str">
        <f>HYPERLINK("https://pbs.twimg.com/profile_images/487688509562425344/BsqXpDfJ_normal.jpeg","View")</f>
        <v>View</v>
      </c>
      <c r="P891" s="15"/>
    </row>
    <row r="892">
      <c r="A892" s="7">
        <v>42425.4480787037</v>
      </c>
      <c r="B892" s="8" t="str">
        <f>HYPERLINK("https://twitter.com/brentcalvert","@brentcalvert")</f>
        <v>@brentcalvert</v>
      </c>
      <c r="C892" s="10" t="s">
        <v>2214</v>
      </c>
      <c r="D892" s="10" t="s">
        <v>2215</v>
      </c>
      <c r="E892" s="11" t="str">
        <f>HYPERLINK("https://twitter.com/brentcalvert/status/702927348107051008","702927348107051008")</f>
        <v>702927348107051008</v>
      </c>
      <c r="F892" s="12" t="s">
        <v>52</v>
      </c>
      <c r="G892" s="13">
        <v>533.0</v>
      </c>
      <c r="H892" s="13">
        <v>550.0</v>
      </c>
      <c r="I892" s="13">
        <v>0.0</v>
      </c>
      <c r="J892" s="13">
        <v>1.0</v>
      </c>
      <c r="K892" s="12" t="s">
        <v>21</v>
      </c>
      <c r="L892" s="7">
        <v>39918.31607638889</v>
      </c>
      <c r="M892" s="14" t="s">
        <v>2216</v>
      </c>
      <c r="N892" s="14" t="s">
        <v>2217</v>
      </c>
      <c r="O892" s="11" t="str">
        <f>HYPERLINK("https://pbs.twimg.com/profile_images/491666354693357568/3kx28ZUL_normal.jpeg","View")</f>
        <v>View</v>
      </c>
      <c r="P892" s="15"/>
    </row>
    <row r="893">
      <c r="A893" s="7">
        <v>42425.44940972222</v>
      </c>
      <c r="B893" s="8" t="str">
        <f>HYPERLINK("https://twitter.com/freyduni","@freyduni")</f>
        <v>@freyduni</v>
      </c>
      <c r="C893" s="10" t="s">
        <v>2218</v>
      </c>
      <c r="D893" s="10" t="s">
        <v>2219</v>
      </c>
      <c r="E893" s="11" t="str">
        <f>HYPERLINK("https://twitter.com/freyduni/status/702927833610334209","702927833610334209")</f>
        <v>702927833610334209</v>
      </c>
      <c r="F893" s="17" t="s">
        <v>76</v>
      </c>
      <c r="G893" s="13">
        <v>1596.0</v>
      </c>
      <c r="H893" s="13">
        <v>2590.0</v>
      </c>
      <c r="I893" s="13">
        <v>1.0</v>
      </c>
      <c r="J893" s="13">
        <v>0.0</v>
      </c>
      <c r="K893" s="12" t="s">
        <v>21</v>
      </c>
      <c r="L893" s="7">
        <v>40905.24290509259</v>
      </c>
      <c r="M893" s="14" t="s">
        <v>2220</v>
      </c>
      <c r="N893" s="14" t="s">
        <v>2221</v>
      </c>
      <c r="O893" s="11" t="str">
        <f>HYPERLINK("https://pbs.twimg.com/profile_images/525376074633334784/f5Nx-tIC_normal.jpeg","View")</f>
        <v>View</v>
      </c>
      <c r="P893" s="15"/>
    </row>
    <row r="894">
      <c r="A894" s="7">
        <v>42425.449583333335</v>
      </c>
      <c r="B894" s="8" t="str">
        <f>HYPERLINK("https://twitter.com/mpetyx","@mpetyx")</f>
        <v>@mpetyx</v>
      </c>
      <c r="C894" s="10" t="s">
        <v>2222</v>
      </c>
      <c r="D894" s="10" t="s">
        <v>2223</v>
      </c>
      <c r="E894" s="11" t="str">
        <f>HYPERLINK("https://twitter.com/mpetyx/status/702927894683762689","702927894683762689")</f>
        <v>702927894683762689</v>
      </c>
      <c r="F894" s="12" t="s">
        <v>294</v>
      </c>
      <c r="G894" s="13">
        <v>876.0</v>
      </c>
      <c r="H894" s="13">
        <v>653.0</v>
      </c>
      <c r="I894" s="13">
        <v>0.0</v>
      </c>
      <c r="J894" s="13">
        <v>1.0</v>
      </c>
      <c r="K894" s="12" t="s">
        <v>21</v>
      </c>
      <c r="L894" s="7">
        <v>40154.45451388889</v>
      </c>
      <c r="M894" s="14" t="s">
        <v>2224</v>
      </c>
      <c r="N894" s="14" t="s">
        <v>2225</v>
      </c>
      <c r="O894" s="11" t="str">
        <f>HYPERLINK("https://pbs.twimg.com/profile_images/1376633950/michael_kouklos_normal.jpg","View")</f>
        <v>View</v>
      </c>
      <c r="P894" s="15"/>
    </row>
    <row r="895">
      <c r="A895" s="7">
        <v>42425.45049768519</v>
      </c>
      <c r="B895" s="8" t="str">
        <f>HYPERLINK("https://twitter.com/yprez","@yprez")</f>
        <v>@yprez</v>
      </c>
      <c r="C895" s="10" t="s">
        <v>2046</v>
      </c>
      <c r="D895" s="10" t="s">
        <v>2226</v>
      </c>
      <c r="E895" s="11" t="str">
        <f>HYPERLINK("https://twitter.com/yprez/status/702928227329818625","702928227329818625")</f>
        <v>702928227329818625</v>
      </c>
      <c r="F895" s="12" t="s">
        <v>2048</v>
      </c>
      <c r="G895" s="13">
        <v>3692.0</v>
      </c>
      <c r="H895" s="13">
        <v>3509.0</v>
      </c>
      <c r="I895" s="13">
        <v>3.0</v>
      </c>
      <c r="J895" s="13">
        <v>2.0</v>
      </c>
      <c r="K895" s="12" t="s">
        <v>21</v>
      </c>
      <c r="L895" s="7">
        <v>40559.40515046296</v>
      </c>
      <c r="M895" s="14" t="s">
        <v>2049</v>
      </c>
      <c r="N895" s="14" t="s">
        <v>2050</v>
      </c>
      <c r="O895" s="11" t="str">
        <f>HYPERLINK("https://pbs.twimg.com/profile_images/1466129811/p_normal.png","View")</f>
        <v>View</v>
      </c>
      <c r="P895" s="15"/>
    </row>
    <row r="896">
      <c r="A896" s="7">
        <v>42425.450578703705</v>
      </c>
      <c r="B896" s="8" t="str">
        <f>HYPERLINK("https://twitter.com/wcmckeedotcom","@wcmckeedotcom")</f>
        <v>@wcmckeedotcom</v>
      </c>
      <c r="C896" s="10" t="s">
        <v>476</v>
      </c>
      <c r="D896" s="10" t="s">
        <v>2227</v>
      </c>
      <c r="E896" s="11" t="str">
        <f>HYPERLINK("https://twitter.com/wcmckeedotcom/status/702928253372243969","702928253372243969")</f>
        <v>702928253372243969</v>
      </c>
      <c r="F896" s="12" t="s">
        <v>478</v>
      </c>
      <c r="G896" s="13">
        <v>1011.0</v>
      </c>
      <c r="H896" s="13">
        <v>875.0</v>
      </c>
      <c r="I896" s="13">
        <v>0.0</v>
      </c>
      <c r="J896" s="13">
        <v>0.0</v>
      </c>
      <c r="K896" s="12" t="s">
        <v>21</v>
      </c>
      <c r="L896" s="7">
        <v>41902.048368055555</v>
      </c>
      <c r="M896" s="14" t="s">
        <v>479</v>
      </c>
      <c r="N896" s="14" t="s">
        <v>480</v>
      </c>
      <c r="O896" s="11" t="str">
        <f>HYPERLINK("https://pbs.twimg.com/profile_images/621211385746161664/tGchJstD_normal.jpg","View")</f>
        <v>View</v>
      </c>
      <c r="P896" s="15"/>
    </row>
    <row r="897">
      <c r="A897" s="7">
        <v>42425.450694444444</v>
      </c>
      <c r="B897" s="8" t="str">
        <f>HYPERLINK("https://twitter.com/DistrictDataLab","@DistrictDataLab")</f>
        <v>@DistrictDataLab</v>
      </c>
      <c r="C897" s="10" t="s">
        <v>2228</v>
      </c>
      <c r="D897" s="10" t="s">
        <v>2229</v>
      </c>
      <c r="E897" s="11" t="str">
        <f>HYPERLINK("https://twitter.com/DistrictDataLab/status/702928298192596992","702928298192596992")</f>
        <v>702928298192596992</v>
      </c>
      <c r="F897" s="12" t="s">
        <v>20</v>
      </c>
      <c r="G897" s="13">
        <v>1844.0</v>
      </c>
      <c r="H897" s="13">
        <v>1146.0</v>
      </c>
      <c r="I897" s="13">
        <v>2.0</v>
      </c>
      <c r="J897" s="13">
        <v>2.0</v>
      </c>
      <c r="K897" s="12" t="s">
        <v>21</v>
      </c>
      <c r="L897" s="7">
        <v>41599.44584490741</v>
      </c>
      <c r="M897" s="14" t="s">
        <v>784</v>
      </c>
      <c r="N897" s="14" t="s">
        <v>2230</v>
      </c>
      <c r="O897" s="11" t="str">
        <f>HYPERLINK("https://pbs.twimg.com/profile_images/676095885575634944/NXl4o2HU_normal.png","View")</f>
        <v>View</v>
      </c>
      <c r="P897" s="15"/>
    </row>
    <row r="898">
      <c r="A898" s="7">
        <v>42425.45090277778</v>
      </c>
      <c r="B898" s="8" t="str">
        <f>HYPERLINK("https://twitter.com/drawnic","@drawnic")</f>
        <v>@drawnic</v>
      </c>
      <c r="C898" s="10" t="s">
        <v>2231</v>
      </c>
      <c r="D898" s="10" t="s">
        <v>2232</v>
      </c>
      <c r="E898" s="11" t="str">
        <f>HYPERLINK("https://twitter.com/drawnic/status/702928373434208256","702928373434208256")</f>
        <v>702928373434208256</v>
      </c>
      <c r="F898" s="12" t="s">
        <v>20</v>
      </c>
      <c r="G898" s="13">
        <v>595.0</v>
      </c>
      <c r="H898" s="13">
        <v>904.0</v>
      </c>
      <c r="I898" s="13">
        <v>0.0</v>
      </c>
      <c r="J898" s="13">
        <v>0.0</v>
      </c>
      <c r="K898" s="12" t="s">
        <v>21</v>
      </c>
      <c r="L898" s="7">
        <v>40157.4281712963</v>
      </c>
      <c r="M898" s="14" t="s">
        <v>2233</v>
      </c>
      <c r="N898" s="14" t="s">
        <v>2234</v>
      </c>
      <c r="O898" s="11" t="str">
        <f>HYPERLINK("https://pbs.twimg.com/profile_images/583713824743809025/XGJHaZs1_normal.jpg","View")</f>
        <v>View</v>
      </c>
      <c r="P898" s="15"/>
    </row>
    <row r="899">
      <c r="A899" s="7">
        <v>42425.45092592592</v>
      </c>
      <c r="B899" s="8" t="str">
        <f>HYPERLINK("https://twitter.com/py3k","@py3k")</f>
        <v>@py3k</v>
      </c>
      <c r="C899" s="10" t="s">
        <v>297</v>
      </c>
      <c r="D899" s="10" t="s">
        <v>2235</v>
      </c>
      <c r="E899" s="11" t="str">
        <f>HYPERLINK("https://twitter.com/py3k/status/702928382800093184","702928382800093184")</f>
        <v>702928382800093184</v>
      </c>
      <c r="F899" s="12" t="s">
        <v>299</v>
      </c>
      <c r="G899" s="13">
        <v>1623.0</v>
      </c>
      <c r="H899" s="13">
        <v>676.0</v>
      </c>
      <c r="I899" s="13">
        <v>2.0</v>
      </c>
      <c r="J899" s="13">
        <v>1.0</v>
      </c>
      <c r="K899" s="12" t="s">
        <v>21</v>
      </c>
      <c r="L899" s="7">
        <v>41096.62268518518</v>
      </c>
      <c r="M899" s="16"/>
      <c r="N899" s="14" t="s">
        <v>300</v>
      </c>
      <c r="O899" s="11" t="str">
        <f>HYPERLINK("https://pbs.twimg.com/profile_images/2474433856/p075cerxh0arpea6ceip_normal.png","View")</f>
        <v>View</v>
      </c>
      <c r="P899" s="15"/>
    </row>
    <row r="900">
      <c r="A900" s="7">
        <v>42425.450949074075</v>
      </c>
      <c r="B900" s="8" t="str">
        <f>HYPERLINK("https://twitter.com/7light7blue","@7light7blue")</f>
        <v>@7light7blue</v>
      </c>
      <c r="C900" s="10" t="s">
        <v>2236</v>
      </c>
      <c r="D900" s="10" t="s">
        <v>2237</v>
      </c>
      <c r="E900" s="11" t="str">
        <f>HYPERLINK("https://twitter.com/7light7blue/status/702928390538596352","702928390538596352")</f>
        <v>702928390538596352</v>
      </c>
      <c r="F900" s="12" t="s">
        <v>38</v>
      </c>
      <c r="G900" s="13">
        <v>391.0</v>
      </c>
      <c r="H900" s="13">
        <v>594.0</v>
      </c>
      <c r="I900" s="13">
        <v>1.0</v>
      </c>
      <c r="J900" s="13">
        <v>0.0</v>
      </c>
      <c r="K900" s="12" t="s">
        <v>21</v>
      </c>
      <c r="L900" s="7">
        <v>41128.29875</v>
      </c>
      <c r="M900" s="14" t="s">
        <v>2238</v>
      </c>
      <c r="N900" s="14" t="s">
        <v>2239</v>
      </c>
      <c r="O900" s="11" t="str">
        <f>HYPERLINK("https://pbs.twimg.com/profile_images/629304662051549184/UaWSbb_Y_normal.jpg","View")</f>
        <v>View</v>
      </c>
      <c r="P900" s="15"/>
    </row>
    <row r="901">
      <c r="A901" s="7">
        <v>42425.450949074075</v>
      </c>
      <c r="B901" s="8" t="str">
        <f>HYPERLINK("https://twitter.com/elmor34","@elmor34")</f>
        <v>@elmor34</v>
      </c>
      <c r="C901" s="10" t="s">
        <v>2240</v>
      </c>
      <c r="D901" s="10" t="s">
        <v>2195</v>
      </c>
      <c r="E901" s="11" t="str">
        <f>HYPERLINK("https://twitter.com/elmor34/status/702928391385829378","702928391385829378")</f>
        <v>702928391385829378</v>
      </c>
      <c r="F901" s="12" t="s">
        <v>152</v>
      </c>
      <c r="G901" s="13">
        <v>463.0</v>
      </c>
      <c r="H901" s="13">
        <v>2180.0</v>
      </c>
      <c r="I901" s="13">
        <v>5.0</v>
      </c>
      <c r="J901" s="13">
        <v>0.0</v>
      </c>
      <c r="K901" s="12" t="s">
        <v>21</v>
      </c>
      <c r="L901" s="7">
        <v>40019.597974537035</v>
      </c>
      <c r="M901" s="14" t="s">
        <v>2241</v>
      </c>
      <c r="N901" s="14" t="s">
        <v>2242</v>
      </c>
      <c r="O901" s="11" t="str">
        <f>HYPERLINK("https://pbs.twimg.com/profile_images/2429450882/profile_normal.jpg","View")</f>
        <v>View</v>
      </c>
      <c r="P901" s="15"/>
    </row>
    <row r="902">
      <c r="A902" s="7">
        <v>42425.45113425926</v>
      </c>
      <c r="B902" s="8" t="str">
        <f>HYPERLINK("https://twitter.com/api_bigdata","@api_bigdata")</f>
        <v>@api_bigdata</v>
      </c>
      <c r="C902" s="10" t="s">
        <v>2243</v>
      </c>
      <c r="D902" s="10" t="s">
        <v>2244</v>
      </c>
      <c r="E902" s="11" t="str">
        <f>HYPERLINK("https://twitter.com/api_bigdata/status/702928458272391169","702928458272391169")</f>
        <v>702928458272391169</v>
      </c>
      <c r="F902" s="12" t="s">
        <v>2245</v>
      </c>
      <c r="G902" s="13">
        <v>608.0</v>
      </c>
      <c r="H902" s="13">
        <v>127.0</v>
      </c>
      <c r="I902" s="13">
        <v>3.0</v>
      </c>
      <c r="J902" s="13">
        <v>0.0</v>
      </c>
      <c r="K902" s="12" t="s">
        <v>21</v>
      </c>
      <c r="L902" s="7">
        <v>42201.32399305556</v>
      </c>
      <c r="M902" s="16"/>
      <c r="N902" s="16"/>
      <c r="O902" s="11" t="str">
        <f>HYPERLINK("https://pbs.twimg.com/profile_images/621693027304779776/OKPaVvyo_normal.jpg","View")</f>
        <v>View</v>
      </c>
      <c r="P902" s="15"/>
    </row>
    <row r="903">
      <c r="A903" s="7">
        <v>42425.45252314815</v>
      </c>
      <c r="B903" s="8" t="str">
        <f>HYPERLINK("https://twitter.com/MCanalytics","@MCanalytics")</f>
        <v>@MCanalytics</v>
      </c>
      <c r="C903" s="10" t="s">
        <v>2246</v>
      </c>
      <c r="D903" s="10" t="s">
        <v>2088</v>
      </c>
      <c r="E903" s="11" t="str">
        <f>HYPERLINK("https://twitter.com/MCanalytics/status/702928961332838400","702928961332838400")</f>
        <v>702928961332838400</v>
      </c>
      <c r="F903" s="12" t="s">
        <v>52</v>
      </c>
      <c r="G903" s="13">
        <v>1526.0</v>
      </c>
      <c r="H903" s="13">
        <v>1817.0</v>
      </c>
      <c r="I903" s="13">
        <v>12.0</v>
      </c>
      <c r="J903" s="13">
        <v>0.0</v>
      </c>
      <c r="K903" s="12" t="s">
        <v>21</v>
      </c>
      <c r="L903" s="7">
        <v>40380.80865740741</v>
      </c>
      <c r="M903" s="14" t="s">
        <v>2022</v>
      </c>
      <c r="N903" s="14" t="s">
        <v>2247</v>
      </c>
      <c r="O903" s="11" t="str">
        <f>HYPERLINK("https://pbs.twimg.com/profile_images/642779267927945218/MYTAxfc-_normal.jpg","View")</f>
        <v>View</v>
      </c>
      <c r="P903" s="15"/>
    </row>
    <row r="904">
      <c r="A904" s="7">
        <v>42425.45306712963</v>
      </c>
      <c r="B904" s="8" t="str">
        <f>HYPERLINK("https://twitter.com/nwolovick","@nwolovick")</f>
        <v>@nwolovick</v>
      </c>
      <c r="C904" s="10" t="s">
        <v>2248</v>
      </c>
      <c r="D904" s="10" t="s">
        <v>2249</v>
      </c>
      <c r="E904" s="11" t="str">
        <f>HYPERLINK("https://twitter.com/nwolovick/status/702929157072809984","702929157072809984")</f>
        <v>702929157072809984</v>
      </c>
      <c r="F904" s="12" t="s">
        <v>152</v>
      </c>
      <c r="G904" s="13">
        <v>229.0</v>
      </c>
      <c r="H904" s="13">
        <v>333.0</v>
      </c>
      <c r="I904" s="13">
        <v>1.0</v>
      </c>
      <c r="J904" s="13">
        <v>0.0</v>
      </c>
      <c r="K904" s="12" t="s">
        <v>21</v>
      </c>
      <c r="L904" s="7">
        <v>40014.51689814815</v>
      </c>
      <c r="M904" s="16"/>
      <c r="N904" s="14" t="s">
        <v>2250</v>
      </c>
      <c r="O904" s="11" t="str">
        <f>HYPERLINK("https://pbs.twimg.com/profile_images/651855422303916032/xChskRyA_normal.png","View")</f>
        <v>View</v>
      </c>
      <c r="P904" s="15"/>
    </row>
    <row r="905">
      <c r="A905" s="7">
        <v>42425.45326388889</v>
      </c>
      <c r="B905" s="8" t="str">
        <f>HYPERLINK("https://twitter.com/cool_python","@cool_python")</f>
        <v>@cool_python</v>
      </c>
      <c r="C905" s="10" t="s">
        <v>249</v>
      </c>
      <c r="D905" s="10" t="s">
        <v>2251</v>
      </c>
      <c r="E905" s="11" t="str">
        <f>HYPERLINK("https://twitter.com/cool_python/status/702929228606644224","702929228606644224")</f>
        <v>702929228606644224</v>
      </c>
      <c r="F905" s="12" t="s">
        <v>251</v>
      </c>
      <c r="G905" s="13">
        <v>235.0</v>
      </c>
      <c r="H905" s="13">
        <v>91.0</v>
      </c>
      <c r="I905" s="13">
        <v>2.0</v>
      </c>
      <c r="J905" s="13">
        <v>0.0</v>
      </c>
      <c r="K905" s="12" t="s">
        <v>21</v>
      </c>
      <c r="L905" s="7">
        <v>42064.325</v>
      </c>
      <c r="M905" s="14" t="s">
        <v>252</v>
      </c>
      <c r="N905" s="14" t="s">
        <v>253</v>
      </c>
      <c r="O905" s="11" t="str">
        <f>HYPERLINK("https://pbs.twimg.com/profile_images/572091631055028224/Pkx__FSB_normal.png","View")</f>
        <v>View</v>
      </c>
      <c r="P905" s="15"/>
    </row>
    <row r="906">
      <c r="A906" s="7">
        <v>42425.45375</v>
      </c>
      <c r="B906" s="8" t="str">
        <f>HYPERLINK("https://twitter.com/TeamString","@TeamString")</f>
        <v>@TeamString</v>
      </c>
      <c r="C906" s="10" t="s">
        <v>2252</v>
      </c>
      <c r="D906" s="10" t="s">
        <v>2253</v>
      </c>
      <c r="E906" s="11" t="str">
        <f>HYPERLINK("https://twitter.com/TeamString/status/702929402837991424","702929402837991424")</f>
        <v>702929402837991424</v>
      </c>
      <c r="F906" s="12" t="s">
        <v>20</v>
      </c>
      <c r="G906" s="13">
        <v>250.0</v>
      </c>
      <c r="H906" s="13">
        <v>167.0</v>
      </c>
      <c r="I906" s="13">
        <v>0.0</v>
      </c>
      <c r="J906" s="13">
        <v>2.0</v>
      </c>
      <c r="K906" s="12" t="s">
        <v>21</v>
      </c>
      <c r="L906" s="7">
        <v>41607.34241898148</v>
      </c>
      <c r="M906" s="14" t="s">
        <v>2254</v>
      </c>
      <c r="N906" s="14" t="s">
        <v>2255</v>
      </c>
      <c r="O906" s="11" t="str">
        <f>HYPERLINK("https://pbs.twimg.com/profile_images/460998264808955904/6K64_v4a_normal.png","View")</f>
        <v>View</v>
      </c>
      <c r="P906" s="15"/>
    </row>
    <row r="907">
      <c r="A907" s="7">
        <v>42425.4546412037</v>
      </c>
      <c r="B907" s="8" t="str">
        <f>HYPERLINK("https://twitter.com/initNirvana","@initNirvana")</f>
        <v>@initNirvana</v>
      </c>
      <c r="C907" s="10" t="s">
        <v>2256</v>
      </c>
      <c r="D907" s="10" t="s">
        <v>1647</v>
      </c>
      <c r="E907" s="11" t="str">
        <f>HYPERLINK("https://twitter.com/initNirvana/status/702929728626302976","702929728626302976")</f>
        <v>702929728626302976</v>
      </c>
      <c r="F907" s="12" t="s">
        <v>1082</v>
      </c>
      <c r="G907" s="13">
        <v>151.0</v>
      </c>
      <c r="H907" s="13">
        <v>310.0</v>
      </c>
      <c r="I907" s="13">
        <v>4.0</v>
      </c>
      <c r="J907" s="13">
        <v>0.0</v>
      </c>
      <c r="K907" s="12" t="s">
        <v>21</v>
      </c>
      <c r="L907" s="7">
        <v>41515.85334490741</v>
      </c>
      <c r="M907" s="14" t="s">
        <v>2257</v>
      </c>
      <c r="N907" s="14" t="s">
        <v>2258</v>
      </c>
      <c r="O907" s="11" t="str">
        <f>HYPERLINK("https://pbs.twimg.com/profile_images/689305386063536128/LEYg835B_normal.jpg","View")</f>
        <v>View</v>
      </c>
      <c r="P907" s="15"/>
    </row>
    <row r="908">
      <c r="A908" s="7">
        <v>42425.455046296294</v>
      </c>
      <c r="B908" s="8" t="str">
        <f>HYPERLINK("https://twitter.com/GERSolar","@GERSolar")</f>
        <v>@GERSolar</v>
      </c>
      <c r="C908" s="10" t="s">
        <v>836</v>
      </c>
      <c r="D908" s="10" t="s">
        <v>2259</v>
      </c>
      <c r="E908" s="11" t="str">
        <f>HYPERLINK("https://twitter.com/GERSolar/status/702929876354011136","702929876354011136")</f>
        <v>702929876354011136</v>
      </c>
      <c r="F908" s="12" t="s">
        <v>838</v>
      </c>
      <c r="G908" s="13">
        <v>23.0</v>
      </c>
      <c r="H908" s="13">
        <v>5.0</v>
      </c>
      <c r="I908" s="13">
        <v>0.0</v>
      </c>
      <c r="J908" s="13">
        <v>0.0</v>
      </c>
      <c r="K908" s="12" t="s">
        <v>21</v>
      </c>
      <c r="L908" s="7">
        <v>41617.237175925926</v>
      </c>
      <c r="M908" s="14" t="s">
        <v>839</v>
      </c>
      <c r="N908" s="14" t="s">
        <v>840</v>
      </c>
      <c r="O908" s="11" t="str">
        <f>HYPERLINK("https://pbs.twimg.com/profile_images/524534389690994688/O2Q5bLyo_normal.png","View")</f>
        <v>View</v>
      </c>
      <c r="P908" s="15"/>
    </row>
    <row r="909">
      <c r="A909" s="7">
        <v>42425.45638888889</v>
      </c>
      <c r="B909" s="8" t="str">
        <f>HYPERLINK("https://twitter.com/xxxhaitiansexua","@xxxhaitiansexua")</f>
        <v>@xxxhaitiansexua</v>
      </c>
      <c r="C909" s="10" t="s">
        <v>2260</v>
      </c>
      <c r="D909" s="10" t="s">
        <v>1920</v>
      </c>
      <c r="E909" s="11" t="str">
        <f>HYPERLINK("https://twitter.com/xxxhaitiansexua/status/702930360649302016","702930360649302016")</f>
        <v>702930360649302016</v>
      </c>
      <c r="F909" s="12" t="s">
        <v>152</v>
      </c>
      <c r="G909" s="13">
        <v>209.0</v>
      </c>
      <c r="H909" s="13">
        <v>400.0</v>
      </c>
      <c r="I909" s="13">
        <v>62.0</v>
      </c>
      <c r="J909" s="13">
        <v>0.0</v>
      </c>
      <c r="K909" s="12" t="s">
        <v>21</v>
      </c>
      <c r="L909" s="7">
        <v>42372.312210648146</v>
      </c>
      <c r="M909" s="14" t="s">
        <v>2261</v>
      </c>
      <c r="N909" s="14" t="s">
        <v>2262</v>
      </c>
      <c r="O909" s="11" t="str">
        <f>HYPERLINK("https://pbs.twimg.com/profile_images/699724053100240896/c8-g-fAg_normal.jpg","View")</f>
        <v>View</v>
      </c>
      <c r="P909" s="15"/>
    </row>
    <row r="910">
      <c r="A910" s="7">
        <v>42425.45671296296</v>
      </c>
      <c r="B910" s="8" t="str">
        <f t="shared" ref="B910:B911" si="75">HYPERLINK("https://twitter.com/AdamSmitht1","@AdamSmitht1")</f>
        <v>@AdamSmitht1</v>
      </c>
      <c r="C910" s="10" t="s">
        <v>468</v>
      </c>
      <c r="D910" s="10" t="s">
        <v>2263</v>
      </c>
      <c r="E910" s="11" t="str">
        <f>HYPERLINK("https://twitter.com/AdamSmitht1/status/702930478333108224","702930478333108224")</f>
        <v>702930478333108224</v>
      </c>
      <c r="F910" s="12" t="s">
        <v>103</v>
      </c>
      <c r="G910" s="13">
        <v>849.0</v>
      </c>
      <c r="H910" s="13">
        <v>793.0</v>
      </c>
      <c r="I910" s="13">
        <v>0.0</v>
      </c>
      <c r="J910" s="13">
        <v>0.0</v>
      </c>
      <c r="K910" s="12" t="s">
        <v>21</v>
      </c>
      <c r="L910" s="7">
        <v>42336.12709490741</v>
      </c>
      <c r="M910" s="14" t="s">
        <v>470</v>
      </c>
      <c r="N910" s="14" t="s">
        <v>471</v>
      </c>
      <c r="O910" s="11" t="str">
        <f t="shared" ref="O910:O911" si="76">HYPERLINK("https://pbs.twimg.com/profile_images/671623862916812800/yGsDKiP4_normal.jpg","View")</f>
        <v>View</v>
      </c>
      <c r="P910" s="15"/>
    </row>
    <row r="911">
      <c r="A911" s="7">
        <v>42425.456782407404</v>
      </c>
      <c r="B911" s="8" t="str">
        <f t="shared" si="75"/>
        <v>@AdamSmitht1</v>
      </c>
      <c r="C911" s="10" t="s">
        <v>468</v>
      </c>
      <c r="D911" s="10" t="s">
        <v>2264</v>
      </c>
      <c r="E911" s="11" t="str">
        <f>HYPERLINK("https://twitter.com/AdamSmitht1/status/702930501577940992","702930501577940992")</f>
        <v>702930501577940992</v>
      </c>
      <c r="F911" s="12" t="s">
        <v>103</v>
      </c>
      <c r="G911" s="13">
        <v>849.0</v>
      </c>
      <c r="H911" s="13">
        <v>793.0</v>
      </c>
      <c r="I911" s="13">
        <v>1.0</v>
      </c>
      <c r="J911" s="13">
        <v>0.0</v>
      </c>
      <c r="K911" s="12" t="s">
        <v>21</v>
      </c>
      <c r="L911" s="7">
        <v>42336.12709490741</v>
      </c>
      <c r="M911" s="14" t="s">
        <v>470</v>
      </c>
      <c r="N911" s="14" t="s">
        <v>471</v>
      </c>
      <c r="O911" s="11" t="str">
        <f t="shared" si="76"/>
        <v>View</v>
      </c>
      <c r="P911" s="15"/>
    </row>
    <row r="912">
      <c r="A912" s="7">
        <v>42425.456921296296</v>
      </c>
      <c r="B912" s="8" t="str">
        <f>HYPERLINK("https://twitter.com/gil_cano","@gil_cano")</f>
        <v>@gil_cano</v>
      </c>
      <c r="C912" s="10" t="s">
        <v>2265</v>
      </c>
      <c r="D912" s="10" t="s">
        <v>2266</v>
      </c>
      <c r="E912" s="11" t="str">
        <f>HYPERLINK("https://twitter.com/gil_cano/status/702930555113852929","702930555113852929")</f>
        <v>702930555113852929</v>
      </c>
      <c r="F912" s="12" t="s">
        <v>20</v>
      </c>
      <c r="G912" s="13">
        <v>11.0</v>
      </c>
      <c r="H912" s="13">
        <v>96.0</v>
      </c>
      <c r="I912" s="13">
        <v>9.0</v>
      </c>
      <c r="J912" s="13">
        <v>0.0</v>
      </c>
      <c r="K912" s="12" t="s">
        <v>21</v>
      </c>
      <c r="L912" s="7">
        <v>39809.52347222222</v>
      </c>
      <c r="M912" s="16"/>
      <c r="N912" s="16"/>
      <c r="O912" s="11" t="str">
        <f>HYPERLINK("https://pbs.twimg.com/profile_images/600153637088661504/HxzhLdx4_normal.jpg","View")</f>
        <v>View</v>
      </c>
      <c r="P912" s="15"/>
    </row>
    <row r="913">
      <c r="A913" s="7">
        <v>42425.45704861111</v>
      </c>
      <c r="B913" s="8" t="str">
        <f t="shared" ref="B913:B916" si="77">HYPERLINK("https://twitter.com/artwisanggeni","@artwisanggeni")</f>
        <v>@artwisanggeni</v>
      </c>
      <c r="C913" s="10" t="s">
        <v>74</v>
      </c>
      <c r="D913" s="10" t="s">
        <v>2267</v>
      </c>
      <c r="E913" s="11" t="str">
        <f>HYPERLINK("https://twitter.com/artwisanggeni/status/702930601922265088","702930601922265088")</f>
        <v>702930601922265088</v>
      </c>
      <c r="F913" s="17" t="s">
        <v>76</v>
      </c>
      <c r="G913" s="13">
        <v>236.0</v>
      </c>
      <c r="H913" s="13">
        <v>61.0</v>
      </c>
      <c r="I913" s="13">
        <v>0.0</v>
      </c>
      <c r="J913" s="13">
        <v>0.0</v>
      </c>
      <c r="K913" s="12" t="s">
        <v>21</v>
      </c>
      <c r="L913" s="7">
        <v>41218.90608796296</v>
      </c>
      <c r="M913" s="14" t="s">
        <v>77</v>
      </c>
      <c r="N913" s="14" t="s">
        <v>78</v>
      </c>
      <c r="O913" s="11" t="str">
        <f t="shared" ref="O913:O916" si="78">HYPERLINK("https://pbs.twimg.com/profile_images/2813636657/599521f69e2bc210a57323b64d8e39e6_normal.jpeg","View")</f>
        <v>View</v>
      </c>
      <c r="P913" s="15"/>
    </row>
    <row r="914">
      <c r="A914" s="7">
        <v>42425.45707175926</v>
      </c>
      <c r="B914" s="8" t="str">
        <f t="shared" si="77"/>
        <v>@artwisanggeni</v>
      </c>
      <c r="C914" s="10" t="s">
        <v>74</v>
      </c>
      <c r="D914" s="10" t="s">
        <v>2268</v>
      </c>
      <c r="E914" s="11" t="str">
        <f>HYPERLINK("https://twitter.com/artwisanggeni/status/702930606829637632","702930606829637632")</f>
        <v>702930606829637632</v>
      </c>
      <c r="F914" s="17" t="s">
        <v>76</v>
      </c>
      <c r="G914" s="13">
        <v>236.0</v>
      </c>
      <c r="H914" s="13">
        <v>61.0</v>
      </c>
      <c r="I914" s="13">
        <v>0.0</v>
      </c>
      <c r="J914" s="13">
        <v>0.0</v>
      </c>
      <c r="K914" s="12" t="s">
        <v>21</v>
      </c>
      <c r="L914" s="7">
        <v>41218.90608796296</v>
      </c>
      <c r="M914" s="14" t="s">
        <v>77</v>
      </c>
      <c r="N914" s="14" t="s">
        <v>78</v>
      </c>
      <c r="O914" s="11" t="str">
        <f t="shared" si="78"/>
        <v>View</v>
      </c>
      <c r="P914" s="15"/>
    </row>
    <row r="915">
      <c r="A915" s="7">
        <v>42425.457083333335</v>
      </c>
      <c r="B915" s="8" t="str">
        <f t="shared" si="77"/>
        <v>@artwisanggeni</v>
      </c>
      <c r="C915" s="10" t="s">
        <v>74</v>
      </c>
      <c r="D915" s="10" t="s">
        <v>2269</v>
      </c>
      <c r="E915" s="11" t="str">
        <f>HYPERLINK("https://twitter.com/artwisanggeni/status/702930611648860160","702930611648860160")</f>
        <v>702930611648860160</v>
      </c>
      <c r="F915" s="17" t="s">
        <v>76</v>
      </c>
      <c r="G915" s="13">
        <v>236.0</v>
      </c>
      <c r="H915" s="13">
        <v>61.0</v>
      </c>
      <c r="I915" s="13">
        <v>0.0</v>
      </c>
      <c r="J915" s="13">
        <v>0.0</v>
      </c>
      <c r="K915" s="12" t="s">
        <v>21</v>
      </c>
      <c r="L915" s="7">
        <v>41218.90608796296</v>
      </c>
      <c r="M915" s="14" t="s">
        <v>77</v>
      </c>
      <c r="N915" s="14" t="s">
        <v>78</v>
      </c>
      <c r="O915" s="11" t="str">
        <f t="shared" si="78"/>
        <v>View</v>
      </c>
      <c r="P915" s="15"/>
    </row>
    <row r="916">
      <c r="A916" s="7">
        <v>42425.45709490741</v>
      </c>
      <c r="B916" s="8" t="str">
        <f t="shared" si="77"/>
        <v>@artwisanggeni</v>
      </c>
      <c r="C916" s="10" t="s">
        <v>74</v>
      </c>
      <c r="D916" s="10" t="s">
        <v>2270</v>
      </c>
      <c r="E916" s="11" t="str">
        <f>HYPERLINK("https://twitter.com/artwisanggeni/status/702930615876718592","702930615876718592")</f>
        <v>702930615876718592</v>
      </c>
      <c r="F916" s="17" t="s">
        <v>76</v>
      </c>
      <c r="G916" s="13">
        <v>236.0</v>
      </c>
      <c r="H916" s="13">
        <v>61.0</v>
      </c>
      <c r="I916" s="13">
        <v>0.0</v>
      </c>
      <c r="J916" s="13">
        <v>0.0</v>
      </c>
      <c r="K916" s="12" t="s">
        <v>21</v>
      </c>
      <c r="L916" s="7">
        <v>41218.90608796296</v>
      </c>
      <c r="M916" s="14" t="s">
        <v>77</v>
      </c>
      <c r="N916" s="14" t="s">
        <v>78</v>
      </c>
      <c r="O916" s="11" t="str">
        <f t="shared" si="78"/>
        <v>View</v>
      </c>
      <c r="P916" s="15"/>
    </row>
    <row r="917">
      <c r="A917" s="7">
        <v>42425.45769675926</v>
      </c>
      <c r="B917" s="8" t="str">
        <f t="shared" ref="B917:B918" si="79">HYPERLINK("https://twitter.com/startechwall","@startechwall")</f>
        <v>@startechwall</v>
      </c>
      <c r="C917" s="10" t="s">
        <v>1478</v>
      </c>
      <c r="D917" s="10" t="s">
        <v>2271</v>
      </c>
      <c r="E917" s="11" t="str">
        <f>HYPERLINK("https://twitter.com/startechwall/status/702930834844684288","702930834844684288")</f>
        <v>702930834844684288</v>
      </c>
      <c r="F917" s="12" t="s">
        <v>103</v>
      </c>
      <c r="G917" s="13">
        <v>557.0</v>
      </c>
      <c r="H917" s="13">
        <v>859.0</v>
      </c>
      <c r="I917" s="13">
        <v>0.0</v>
      </c>
      <c r="J917" s="13">
        <v>0.0</v>
      </c>
      <c r="K917" s="12" t="s">
        <v>21</v>
      </c>
      <c r="L917" s="7">
        <v>42360.959502314814</v>
      </c>
      <c r="M917" s="14" t="s">
        <v>1480</v>
      </c>
      <c r="N917" s="14" t="s">
        <v>1481</v>
      </c>
      <c r="O917" s="11" t="str">
        <f t="shared" ref="O917:O918" si="80">HYPERLINK("https://pbs.twimg.com/profile_images/679566117187145728/UUo30Zpm_normal.jpg","View")</f>
        <v>View</v>
      </c>
      <c r="P917" s="15"/>
    </row>
    <row r="918">
      <c r="A918" s="7">
        <v>42425.45773148148</v>
      </c>
      <c r="B918" s="8" t="str">
        <f t="shared" si="79"/>
        <v>@startechwall</v>
      </c>
      <c r="C918" s="10" t="s">
        <v>1478</v>
      </c>
      <c r="D918" s="10" t="s">
        <v>2272</v>
      </c>
      <c r="E918" s="11" t="str">
        <f>HYPERLINK("https://twitter.com/startechwall/status/702930847700283393","702930847700283393")</f>
        <v>702930847700283393</v>
      </c>
      <c r="F918" s="12" t="s">
        <v>103</v>
      </c>
      <c r="G918" s="13">
        <v>557.0</v>
      </c>
      <c r="H918" s="13">
        <v>859.0</v>
      </c>
      <c r="I918" s="13">
        <v>0.0</v>
      </c>
      <c r="J918" s="13">
        <v>1.0</v>
      </c>
      <c r="K918" s="12" t="s">
        <v>21</v>
      </c>
      <c r="L918" s="7">
        <v>42360.959502314814</v>
      </c>
      <c r="M918" s="14" t="s">
        <v>1480</v>
      </c>
      <c r="N918" s="14" t="s">
        <v>1481</v>
      </c>
      <c r="O918" s="11" t="str">
        <f t="shared" si="80"/>
        <v>View</v>
      </c>
      <c r="P918" s="15"/>
    </row>
    <row r="919">
      <c r="A919" s="7">
        <v>42425.45798611111</v>
      </c>
      <c r="B919" s="8" t="str">
        <f>HYPERLINK("https://twitter.com/vasudevram","@vasudevram")</f>
        <v>@vasudevram</v>
      </c>
      <c r="C919" s="10" t="s">
        <v>2273</v>
      </c>
      <c r="D919" s="10" t="s">
        <v>2274</v>
      </c>
      <c r="E919" s="11" t="str">
        <f>HYPERLINK("https://twitter.com/vasudevram/status/702930938649415680","702930938649415680")</f>
        <v>702930938649415680</v>
      </c>
      <c r="F919" s="12" t="s">
        <v>2063</v>
      </c>
      <c r="G919" s="13">
        <v>589.0</v>
      </c>
      <c r="H919" s="13">
        <v>73.0</v>
      </c>
      <c r="I919" s="13">
        <v>2.0</v>
      </c>
      <c r="J919" s="13">
        <v>0.0</v>
      </c>
      <c r="K919" s="12" t="s">
        <v>21</v>
      </c>
      <c r="L919" s="7">
        <v>39262.603472222225</v>
      </c>
      <c r="M919" s="14" t="s">
        <v>2275</v>
      </c>
      <c r="N919" s="14" t="s">
        <v>2276</v>
      </c>
      <c r="O919" s="11" t="str">
        <f>HYPERLINK("https://pbs.twimg.com/profile_images/831115122/indian-bison-gaur_normal.jpg","View")</f>
        <v>View</v>
      </c>
      <c r="P919" s="15"/>
    </row>
    <row r="920">
      <c r="A920" s="7">
        <v>42425.45835648148</v>
      </c>
      <c r="B920" s="8" t="str">
        <f>HYPERLINK("https://twitter.com/PythonDaily","@PythonDaily")</f>
        <v>@PythonDaily</v>
      </c>
      <c r="C920" s="10" t="s">
        <v>521</v>
      </c>
      <c r="D920" s="10" t="s">
        <v>2277</v>
      </c>
      <c r="E920" s="11" t="str">
        <f>HYPERLINK("https://twitter.com/PythonDaily/status/702931075668967424","702931075668967424")</f>
        <v>702931075668967424</v>
      </c>
      <c r="F920" s="12" t="s">
        <v>521</v>
      </c>
      <c r="G920" s="13">
        <v>3329.0</v>
      </c>
      <c r="H920" s="13">
        <v>57.0</v>
      </c>
      <c r="I920" s="13">
        <v>0.0</v>
      </c>
      <c r="J920" s="13">
        <v>6.0</v>
      </c>
      <c r="K920" s="12" t="s">
        <v>21</v>
      </c>
      <c r="L920" s="7">
        <v>41447.56123842593</v>
      </c>
      <c r="M920" s="16"/>
      <c r="N920" s="14" t="s">
        <v>523</v>
      </c>
      <c r="O920" s="11" t="str">
        <f>HYPERLINK("https://pbs.twimg.com/profile_images/378800000030851202/b6bb871a13825bae9004a9aab3a1d726_normal.jpeg","View")</f>
        <v>View</v>
      </c>
      <c r="P920" s="15"/>
    </row>
    <row r="921">
      <c r="A921" s="7">
        <v>42425.45836805555</v>
      </c>
      <c r="B921" s="8" t="str">
        <f>HYPERLINK("https://twitter.com/PythonWeekly","@PythonWeekly")</f>
        <v>@PythonWeekly</v>
      </c>
      <c r="C921" s="10" t="s">
        <v>948</v>
      </c>
      <c r="D921" s="10" t="s">
        <v>2278</v>
      </c>
      <c r="E921" s="11" t="str">
        <f>HYPERLINK("https://twitter.com/PythonWeekly/status/702931080169582593","702931080169582593")</f>
        <v>702931080169582593</v>
      </c>
      <c r="F921" s="12" t="s">
        <v>294</v>
      </c>
      <c r="G921" s="13">
        <v>15565.0</v>
      </c>
      <c r="H921" s="13">
        <v>0.0</v>
      </c>
      <c r="I921" s="13">
        <v>16.0</v>
      </c>
      <c r="J921" s="13">
        <v>24.0</v>
      </c>
      <c r="K921" s="12" t="s">
        <v>21</v>
      </c>
      <c r="L921" s="7">
        <v>40800.65934027778</v>
      </c>
      <c r="M921" s="16"/>
      <c r="N921" s="14" t="s">
        <v>950</v>
      </c>
      <c r="O921" s="11" t="str">
        <f>HYPERLINK("https://pbs.twimg.com/profile_images/1554238582/python_normal.jpg","View")</f>
        <v>View</v>
      </c>
      <c r="P921" s="15"/>
    </row>
    <row r="922">
      <c r="A922" s="7">
        <v>42425.45842592593</v>
      </c>
      <c r="B922" s="8" t="str">
        <f>HYPERLINK("https://twitter.com/ContinuumIO","@ContinuumIO")</f>
        <v>@ContinuumIO</v>
      </c>
      <c r="C922" s="10" t="s">
        <v>2020</v>
      </c>
      <c r="D922" s="10" t="s">
        <v>2279</v>
      </c>
      <c r="E922" s="11" t="str">
        <f>HYPERLINK("https://twitter.com/ContinuumIO/status/702931100532871168","702931100532871168")</f>
        <v>702931100532871168</v>
      </c>
      <c r="F922" s="12" t="s">
        <v>47</v>
      </c>
      <c r="G922" s="13">
        <v>9548.0</v>
      </c>
      <c r="H922" s="13">
        <v>1427.0</v>
      </c>
      <c r="I922" s="13">
        <v>2.0</v>
      </c>
      <c r="J922" s="13">
        <v>1.0</v>
      </c>
      <c r="K922" s="12" t="s">
        <v>21</v>
      </c>
      <c r="L922" s="7">
        <v>40841.34633101852</v>
      </c>
      <c r="M922" s="14" t="s">
        <v>2022</v>
      </c>
      <c r="N922" s="14" t="s">
        <v>2023</v>
      </c>
      <c r="O922" s="11" t="str">
        <f>HYPERLINK("https://pbs.twimg.com/profile_images/624030560457850880/17LrFnZt_normal.png","View")</f>
        <v>View</v>
      </c>
      <c r="P922" s="15"/>
    </row>
    <row r="923">
      <c r="A923" s="7">
        <v>42425.45846064815</v>
      </c>
      <c r="B923" s="8" t="str">
        <f>HYPERLINK("https://twitter.com/PacktPub","@PacktPub")</f>
        <v>@PacktPub</v>
      </c>
      <c r="C923" s="10" t="s">
        <v>1233</v>
      </c>
      <c r="D923" s="10" t="s">
        <v>2280</v>
      </c>
      <c r="E923" s="11" t="str">
        <f>HYPERLINK("https://twitter.com/PacktPub/status/702931110091575297","702931110091575297")</f>
        <v>702931110091575297</v>
      </c>
      <c r="F923" s="12" t="s">
        <v>47</v>
      </c>
      <c r="G923" s="13">
        <v>10892.0</v>
      </c>
      <c r="H923" s="13">
        <v>1975.0</v>
      </c>
      <c r="I923" s="13">
        <v>1.0</v>
      </c>
      <c r="J923" s="13">
        <v>3.0</v>
      </c>
      <c r="K923" s="12" t="s">
        <v>21</v>
      </c>
      <c r="L923" s="7">
        <v>39783.219988425924</v>
      </c>
      <c r="M923" s="14" t="s">
        <v>1235</v>
      </c>
      <c r="N923" s="14" t="s">
        <v>1236</v>
      </c>
      <c r="O923" s="11" t="str">
        <f>HYPERLINK("https://pbs.twimg.com/profile_images/685502131433041920/c6eSyWf7_normal.png","View")</f>
        <v>View</v>
      </c>
      <c r="P923" s="15"/>
    </row>
    <row r="924">
      <c r="A924" s="7">
        <v>42425.45846064815</v>
      </c>
      <c r="B924" s="8" t="str">
        <f>HYPERLINK("https://twitter.com/thealexcons","@thealexcons")</f>
        <v>@thealexcons</v>
      </c>
      <c r="C924" s="10" t="s">
        <v>2281</v>
      </c>
      <c r="D924" s="10" t="s">
        <v>2282</v>
      </c>
      <c r="E924" s="11" t="str">
        <f>HYPERLINK("https://twitter.com/thealexcons/status/702931110406332418","702931110406332418")</f>
        <v>702931110406332418</v>
      </c>
      <c r="F924" s="12" t="s">
        <v>52</v>
      </c>
      <c r="G924" s="13">
        <v>66.0</v>
      </c>
      <c r="H924" s="13">
        <v>104.0</v>
      </c>
      <c r="I924" s="13">
        <v>6.0</v>
      </c>
      <c r="J924" s="13">
        <v>0.0</v>
      </c>
      <c r="K924" s="12" t="s">
        <v>21</v>
      </c>
      <c r="L924" s="7">
        <v>41586.484398148146</v>
      </c>
      <c r="M924" s="14" t="s">
        <v>104</v>
      </c>
      <c r="N924" s="14" t="s">
        <v>2283</v>
      </c>
      <c r="O924" s="11" t="str">
        <f>HYPERLINK("https://pbs.twimg.com/profile_images/670576920057282560/i0ZkXHGf_normal.png","View")</f>
        <v>View</v>
      </c>
      <c r="P924" s="15"/>
    </row>
    <row r="925">
      <c r="A925" s="7">
        <v>42425.45851851851</v>
      </c>
      <c r="B925" s="8" t="str">
        <f>HYPERLINK("https://twitter.com/math3uscom","@math3uscom")</f>
        <v>@math3uscom</v>
      </c>
      <c r="C925" s="10" t="s">
        <v>2284</v>
      </c>
      <c r="D925" s="10" t="s">
        <v>2285</v>
      </c>
      <c r="E925" s="11" t="str">
        <f>HYPERLINK("https://twitter.com/math3uscom/status/702931133734985730","702931133734985730")</f>
        <v>702931133734985730</v>
      </c>
      <c r="F925" s="12" t="s">
        <v>20</v>
      </c>
      <c r="G925" s="13">
        <v>362.0</v>
      </c>
      <c r="H925" s="13">
        <v>93.0</v>
      </c>
      <c r="I925" s="13">
        <v>2.0</v>
      </c>
      <c r="J925" s="13">
        <v>4.0</v>
      </c>
      <c r="K925" s="12" t="s">
        <v>21</v>
      </c>
      <c r="L925" s="7">
        <v>39993.38826388889</v>
      </c>
      <c r="M925" s="14" t="s">
        <v>82</v>
      </c>
      <c r="N925" s="14" t="s">
        <v>2286</v>
      </c>
      <c r="O925" s="11" t="str">
        <f>HYPERLINK("https://pbs.twimg.com/profile_images/697855654577496064/ezrj73P__normal.png","View")</f>
        <v>View</v>
      </c>
      <c r="P925" s="15"/>
    </row>
    <row r="926">
      <c r="A926" s="7">
        <v>42425.45951388888</v>
      </c>
      <c r="B926" s="8" t="str">
        <f>HYPERLINK("https://twitter.com/cool_python","@cool_python")</f>
        <v>@cool_python</v>
      </c>
      <c r="C926" s="10" t="s">
        <v>249</v>
      </c>
      <c r="D926" s="10" t="s">
        <v>2287</v>
      </c>
      <c r="E926" s="11" t="str">
        <f>HYPERLINK("https://twitter.com/cool_python/status/702931491794378752","702931491794378752")</f>
        <v>702931491794378752</v>
      </c>
      <c r="F926" s="12" t="s">
        <v>251</v>
      </c>
      <c r="G926" s="13">
        <v>235.0</v>
      </c>
      <c r="H926" s="13">
        <v>91.0</v>
      </c>
      <c r="I926" s="13">
        <v>16.0</v>
      </c>
      <c r="J926" s="13">
        <v>0.0</v>
      </c>
      <c r="K926" s="12" t="s">
        <v>21</v>
      </c>
      <c r="L926" s="7">
        <v>42064.325</v>
      </c>
      <c r="M926" s="14" t="s">
        <v>252</v>
      </c>
      <c r="N926" s="14" t="s">
        <v>253</v>
      </c>
      <c r="O926" s="11" t="str">
        <f>HYPERLINK("https://pbs.twimg.com/profile_images/572091631055028224/Pkx__FSB_normal.png","View")</f>
        <v>View</v>
      </c>
      <c r="P926" s="15"/>
    </row>
    <row r="927">
      <c r="A927" s="7">
        <v>42425.45998842592</v>
      </c>
      <c r="B927" s="8" t="str">
        <f>HYPERLINK("https://twitter.com/StephaneVast","@StephaneVast")</f>
        <v>@StephaneVast</v>
      </c>
      <c r="C927" s="10" t="s">
        <v>2288</v>
      </c>
      <c r="D927" s="10" t="s">
        <v>457</v>
      </c>
      <c r="E927" s="11" t="str">
        <f>HYPERLINK("https://twitter.com/StephaneVast/status/702931663316246528","702931663316246528")</f>
        <v>702931663316246528</v>
      </c>
      <c r="F927" s="12" t="s">
        <v>2289</v>
      </c>
      <c r="G927" s="13">
        <v>161.0</v>
      </c>
      <c r="H927" s="13">
        <v>218.0</v>
      </c>
      <c r="I927" s="13">
        <v>4.0</v>
      </c>
      <c r="J927" s="13">
        <v>0.0</v>
      </c>
      <c r="K927" s="12" t="s">
        <v>21</v>
      </c>
      <c r="L927" s="7">
        <v>40133.15144675926</v>
      </c>
      <c r="M927" s="14" t="s">
        <v>2290</v>
      </c>
      <c r="N927" s="14" t="s">
        <v>2291</v>
      </c>
      <c r="O927" s="11" t="str">
        <f>HYPERLINK("https://pbs.twimg.com/profile_images/665528380666855424/tOcbIj74_normal.jpg","View")</f>
        <v>View</v>
      </c>
      <c r="P927" s="15"/>
    </row>
    <row r="928">
      <c r="A928" s="7">
        <v>42425.460011574076</v>
      </c>
      <c r="B928" s="8" t="str">
        <f>HYPERLINK("https://twitter.com/plonemexico","@plonemexico")</f>
        <v>@plonemexico</v>
      </c>
      <c r="C928" s="10" t="s">
        <v>2292</v>
      </c>
      <c r="D928" s="10" t="s">
        <v>2266</v>
      </c>
      <c r="E928" s="11" t="str">
        <f>HYPERLINK("https://twitter.com/plonemexico/status/702931674942734336","702931674942734336")</f>
        <v>702931674942734336</v>
      </c>
      <c r="F928" s="12" t="s">
        <v>20</v>
      </c>
      <c r="G928" s="13">
        <v>127.0</v>
      </c>
      <c r="H928" s="13">
        <v>31.0</v>
      </c>
      <c r="I928" s="13">
        <v>9.0</v>
      </c>
      <c r="J928" s="13">
        <v>0.0</v>
      </c>
      <c r="K928" s="12" t="s">
        <v>21</v>
      </c>
      <c r="L928" s="7">
        <v>39990.81967592593</v>
      </c>
      <c r="M928" s="14" t="s">
        <v>1789</v>
      </c>
      <c r="N928" s="14" t="s">
        <v>2293</v>
      </c>
      <c r="O928" s="11" t="str">
        <f>HYPERLINK("https://pbs.twimg.com/profile_images/284877324/plone-icon-128_normal.png","View")</f>
        <v>View</v>
      </c>
      <c r="P928" s="15"/>
    </row>
    <row r="929">
      <c r="A929" s="7">
        <v>42425.46028935185</v>
      </c>
      <c r="B929" s="8" t="str">
        <f>HYPERLINK("https://twitter.com/NeuvooDnepropUK","@NeuvooDnepropUK")</f>
        <v>@NeuvooDnepropUK</v>
      </c>
      <c r="C929" s="10" t="s">
        <v>2294</v>
      </c>
      <c r="D929" s="10" t="s">
        <v>2295</v>
      </c>
      <c r="E929" s="11" t="str">
        <f>HYPERLINK("https://twitter.com/NeuvooDnepropUK/status/702931773777428480","702931773777428480")</f>
        <v>702931773777428480</v>
      </c>
      <c r="F929" s="12" t="s">
        <v>316</v>
      </c>
      <c r="G929" s="13">
        <v>2438.0</v>
      </c>
      <c r="H929" s="13">
        <v>1314.0</v>
      </c>
      <c r="I929" s="13">
        <v>0.0</v>
      </c>
      <c r="J929" s="13">
        <v>0.0</v>
      </c>
      <c r="K929" s="12" t="s">
        <v>21</v>
      </c>
      <c r="L929" s="7">
        <v>42023.56579861111</v>
      </c>
      <c r="M929" s="14" t="s">
        <v>2296</v>
      </c>
      <c r="N929" s="14" t="s">
        <v>2297</v>
      </c>
      <c r="O929" s="11" t="str">
        <f>HYPERLINK("https://pbs.twimg.com/profile_images/698372472975060992/MV4onZxD_normal.png","View")</f>
        <v>View</v>
      </c>
      <c r="P929" s="15"/>
    </row>
    <row r="930">
      <c r="A930" s="7">
        <v>42425.460497685184</v>
      </c>
      <c r="B930" s="8" t="str">
        <f>HYPERLINK("https://twitter.com/ch_doig","@ch_doig")</f>
        <v>@ch_doig</v>
      </c>
      <c r="C930" s="10" t="s">
        <v>2298</v>
      </c>
      <c r="D930" s="10" t="s">
        <v>2299</v>
      </c>
      <c r="E930" s="11" t="str">
        <f>HYPERLINK("https://twitter.com/ch_doig/status/702931851669667841","702931851669667841")</f>
        <v>702931851669667841</v>
      </c>
      <c r="F930" s="12" t="s">
        <v>152</v>
      </c>
      <c r="G930" s="13">
        <v>1792.0</v>
      </c>
      <c r="H930" s="13">
        <v>1054.0</v>
      </c>
      <c r="I930" s="13">
        <v>2.0</v>
      </c>
      <c r="J930" s="13">
        <v>0.0</v>
      </c>
      <c r="K930" s="12" t="s">
        <v>21</v>
      </c>
      <c r="L930" s="7">
        <v>41286.54369212963</v>
      </c>
      <c r="M930" s="14" t="s">
        <v>2300</v>
      </c>
      <c r="N930" s="14" t="s">
        <v>2301</v>
      </c>
      <c r="O930" s="11" t="str">
        <f>HYPERLINK("https://pbs.twimg.com/profile_images/685233984901496832/RFM2IM3m_normal.jpg","View")</f>
        <v>View</v>
      </c>
      <c r="P930" s="15"/>
    </row>
    <row r="931">
      <c r="A931" s="7">
        <v>42425.461226851854</v>
      </c>
      <c r="B931" s="8" t="str">
        <f>HYPERLINK("https://twitter.com/kraken_data","@kraken_data")</f>
        <v>@kraken_data</v>
      </c>
      <c r="C931" s="10" t="s">
        <v>2302</v>
      </c>
      <c r="D931" s="10" t="s">
        <v>2303</v>
      </c>
      <c r="E931" s="11" t="str">
        <f>HYPERLINK("https://twitter.com/kraken_data/status/702932114317189120","702932114317189120")</f>
        <v>702932114317189120</v>
      </c>
      <c r="F931" s="12" t="s">
        <v>152</v>
      </c>
      <c r="G931" s="13">
        <v>11.0</v>
      </c>
      <c r="H931" s="13">
        <v>30.0</v>
      </c>
      <c r="I931" s="13">
        <v>7.0</v>
      </c>
      <c r="J931" s="13">
        <v>0.0</v>
      </c>
      <c r="K931" s="12" t="s">
        <v>21</v>
      </c>
      <c r="L931" s="7">
        <v>42243.28556712963</v>
      </c>
      <c r="M931" s="16"/>
      <c r="N931" s="14" t="s">
        <v>2304</v>
      </c>
      <c r="O931" s="11" t="str">
        <f>HYPERLINK("https://pbs.twimg.com/profile_images/636900150678528000/56ynmXfd_normal.png","View")</f>
        <v>View</v>
      </c>
      <c r="P931" s="15"/>
    </row>
    <row r="932">
      <c r="A932" s="7">
        <v>42425.46131944444</v>
      </c>
      <c r="B932" s="8" t="str">
        <f>HYPERLINK("https://twitter.com/RWaveAPI","@RWaveAPI")</f>
        <v>@RWaveAPI</v>
      </c>
      <c r="C932" s="10" t="s">
        <v>2305</v>
      </c>
      <c r="D932" s="10" t="s">
        <v>2306</v>
      </c>
      <c r="E932" s="11" t="str">
        <f>HYPERLINK("https://twitter.com/RWaveAPI/status/702932147796119552","702932147796119552")</f>
        <v>702932147796119552</v>
      </c>
      <c r="F932" s="12" t="s">
        <v>38</v>
      </c>
      <c r="G932" s="13">
        <v>75.0</v>
      </c>
      <c r="H932" s="13">
        <v>495.0</v>
      </c>
      <c r="I932" s="13">
        <v>2.0</v>
      </c>
      <c r="J932" s="13">
        <v>0.0</v>
      </c>
      <c r="K932" s="12" t="s">
        <v>21</v>
      </c>
      <c r="L932" s="7">
        <v>42168.43479166667</v>
      </c>
      <c r="M932" s="14" t="s">
        <v>1018</v>
      </c>
      <c r="N932" s="14" t="s">
        <v>2307</v>
      </c>
      <c r="O932" s="11" t="str">
        <f>HYPERLINK("https://pbs.twimg.com/profile_images/672105380663562240/O3BLPArK_normal.png","View")</f>
        <v>View</v>
      </c>
      <c r="P932" s="15"/>
    </row>
    <row r="933">
      <c r="A933" s="7">
        <v>42425.46152777778</v>
      </c>
      <c r="B933" s="8" t="str">
        <f>HYPERLINK("https://twitter.com/pydigest","@pydigest")</f>
        <v>@pydigest</v>
      </c>
      <c r="C933" s="10" t="s">
        <v>385</v>
      </c>
      <c r="D933" s="10" t="s">
        <v>2308</v>
      </c>
      <c r="E933" s="11" t="str">
        <f>HYPERLINK("https://twitter.com/pydigest/status/702932223524208641","702932223524208641")</f>
        <v>702932223524208641</v>
      </c>
      <c r="F933" s="12" t="s">
        <v>103</v>
      </c>
      <c r="G933" s="13">
        <v>634.0</v>
      </c>
      <c r="H933" s="13">
        <v>22.0</v>
      </c>
      <c r="I933" s="13">
        <v>0.0</v>
      </c>
      <c r="J933" s="13">
        <v>2.0</v>
      </c>
      <c r="K933" s="12" t="s">
        <v>21</v>
      </c>
      <c r="L933" s="7">
        <v>41797.15729166666</v>
      </c>
      <c r="M933" s="16"/>
      <c r="N933" s="14" t="s">
        <v>387</v>
      </c>
      <c r="O933" s="11" t="str">
        <f>HYPERLINK("https://pbs.twimg.com/profile_images/475228702922387457/6gYeuqxD_normal.jpeg","View")</f>
        <v>View</v>
      </c>
      <c r="P933" s="15"/>
    </row>
    <row r="934">
      <c r="A934" s="7">
        <v>42425.462800925925</v>
      </c>
      <c r="B934" s="8" t="str">
        <f>HYPERLINK("https://twitter.com/marcobonzanini","@marcobonzanini")</f>
        <v>@marcobonzanini</v>
      </c>
      <c r="C934" s="10" t="s">
        <v>2309</v>
      </c>
      <c r="D934" s="10" t="s">
        <v>2310</v>
      </c>
      <c r="E934" s="11" t="str">
        <f>HYPERLINK("https://twitter.com/marcobonzanini/status/702932683157073920","702932683157073920")</f>
        <v>702932683157073920</v>
      </c>
      <c r="F934" s="12" t="s">
        <v>20</v>
      </c>
      <c r="G934" s="13">
        <v>342.0</v>
      </c>
      <c r="H934" s="13">
        <v>216.0</v>
      </c>
      <c r="I934" s="13">
        <v>0.0</v>
      </c>
      <c r="J934" s="13">
        <v>0.0</v>
      </c>
      <c r="K934" s="12" t="s">
        <v>21</v>
      </c>
      <c r="L934" s="7">
        <v>39828.14449074074</v>
      </c>
      <c r="M934" s="14" t="s">
        <v>43</v>
      </c>
      <c r="N934" s="14" t="s">
        <v>2311</v>
      </c>
      <c r="O934" s="11" t="str">
        <f>HYPERLINK("https://pbs.twimg.com/profile_images/1436932130/marco-ir_normal.jpg","View")</f>
        <v>View</v>
      </c>
      <c r="P934" s="15"/>
    </row>
    <row r="935">
      <c r="A935" s="7">
        <v>42425.46381944444</v>
      </c>
      <c r="B935" s="8" t="str">
        <f>HYPERLINK("https://twitter.com/TalkPython","@TalkPython")</f>
        <v>@TalkPython</v>
      </c>
      <c r="C935" s="10" t="s">
        <v>2312</v>
      </c>
      <c r="D935" s="10" t="s">
        <v>2313</v>
      </c>
      <c r="E935" s="11" t="str">
        <f>HYPERLINK("https://twitter.com/TalkPython/status/702933053186953217","702933053186953217")</f>
        <v>702933053186953217</v>
      </c>
      <c r="F935" s="12" t="s">
        <v>20</v>
      </c>
      <c r="G935" s="13">
        <v>3837.0</v>
      </c>
      <c r="H935" s="13">
        <v>1201.0</v>
      </c>
      <c r="I935" s="13">
        <v>2.0</v>
      </c>
      <c r="J935" s="13">
        <v>0.0</v>
      </c>
      <c r="K935" s="12" t="s">
        <v>21</v>
      </c>
      <c r="L935" s="7">
        <v>42082.671006944445</v>
      </c>
      <c r="M935" s="14" t="s">
        <v>2314</v>
      </c>
      <c r="N935" s="14" t="s">
        <v>2315</v>
      </c>
      <c r="O935" s="11" t="str">
        <f>HYPERLINK("https://pbs.twimg.com/profile_images/700233189193883649/Xoobn3zf_normal.png","View")</f>
        <v>View</v>
      </c>
      <c r="P935" s="15"/>
    </row>
    <row r="936">
      <c r="A936" s="7">
        <v>42425.46438657407</v>
      </c>
      <c r="B936" s="8" t="str">
        <f>HYPERLINK("https://twitter.com/PhilippJFR","@PhilippJFR")</f>
        <v>@PhilippJFR</v>
      </c>
      <c r="C936" s="10" t="s">
        <v>2316</v>
      </c>
      <c r="D936" s="10" t="s">
        <v>2088</v>
      </c>
      <c r="E936" s="11" t="str">
        <f>HYPERLINK("https://twitter.com/PhilippJFR/status/702933257952821248","702933257952821248")</f>
        <v>702933257952821248</v>
      </c>
      <c r="F936" s="12" t="s">
        <v>20</v>
      </c>
      <c r="G936" s="13">
        <v>136.0</v>
      </c>
      <c r="H936" s="13">
        <v>553.0</v>
      </c>
      <c r="I936" s="13">
        <v>12.0</v>
      </c>
      <c r="J936" s="13">
        <v>0.0</v>
      </c>
      <c r="K936" s="12" t="s">
        <v>21</v>
      </c>
      <c r="L936" s="7">
        <v>40893.69997685185</v>
      </c>
      <c r="M936" s="14" t="s">
        <v>2317</v>
      </c>
      <c r="N936" s="14" t="s">
        <v>2318</v>
      </c>
      <c r="O936" s="11" t="str">
        <f>HYPERLINK("https://pbs.twimg.com/profile_images/544696274897760256/GlYz1EW6_normal.jpeg","View")</f>
        <v>View</v>
      </c>
      <c r="P936" s="15"/>
    </row>
    <row r="937">
      <c r="A937" s="7">
        <v>42425.464467592596</v>
      </c>
      <c r="B937" s="8" t="str">
        <f>HYPERLINK("https://twitter.com/psj211","@psj211")</f>
        <v>@psj211</v>
      </c>
      <c r="C937" s="10" t="s">
        <v>2319</v>
      </c>
      <c r="D937" s="10" t="s">
        <v>2287</v>
      </c>
      <c r="E937" s="11" t="str">
        <f>HYPERLINK("https://twitter.com/psj211/status/702933289930194944","702933289930194944")</f>
        <v>702933289930194944</v>
      </c>
      <c r="F937" s="12" t="s">
        <v>1573</v>
      </c>
      <c r="G937" s="13">
        <v>33.0</v>
      </c>
      <c r="H937" s="13">
        <v>210.0</v>
      </c>
      <c r="I937" s="13">
        <v>16.0</v>
      </c>
      <c r="J937" s="13">
        <v>0.0</v>
      </c>
      <c r="K937" s="12" t="s">
        <v>21</v>
      </c>
      <c r="L937" s="7">
        <v>42256.84449074074</v>
      </c>
      <c r="M937" s="16"/>
      <c r="N937" s="16"/>
      <c r="O937" s="11" t="str">
        <f>HYPERLINK("https://abs.twimg.com/sticky/default_profile_images/default_profile_2_normal.png","View")</f>
        <v>View</v>
      </c>
      <c r="P937" s="15"/>
    </row>
    <row r="938">
      <c r="A938" s="7">
        <v>42425.46452546296</v>
      </c>
      <c r="B938" s="8" t="str">
        <f t="shared" ref="B938:B966" si="81">HYPERLINK("https://twitter.com/NowLivecodingtv","@NowLivecodingtv")</f>
        <v>@NowLivecodingtv</v>
      </c>
      <c r="C938" s="10" t="s">
        <v>2320</v>
      </c>
      <c r="D938" s="10" t="s">
        <v>1920</v>
      </c>
      <c r="E938" s="11" t="str">
        <f>HYPERLINK("https://twitter.com/NowLivecodingtv/status/702933310436151297","702933310436151297")</f>
        <v>702933310436151297</v>
      </c>
      <c r="F938" s="12" t="s">
        <v>2321</v>
      </c>
      <c r="G938" s="13">
        <v>131.0</v>
      </c>
      <c r="H938" s="13">
        <v>16.0</v>
      </c>
      <c r="I938" s="13">
        <v>62.0</v>
      </c>
      <c r="J938" s="13">
        <v>0.0</v>
      </c>
      <c r="K938" s="12" t="s">
        <v>21</v>
      </c>
      <c r="L938" s="7">
        <v>42346.15972222222</v>
      </c>
      <c r="M938" s="14" t="s">
        <v>69</v>
      </c>
      <c r="N938" s="14" t="s">
        <v>633</v>
      </c>
      <c r="O938" s="11" t="str">
        <f t="shared" ref="O938:O966" si="82">HYPERLINK("https://pbs.twimg.com/profile_images/699984077877874688/aR2ovqId_normal.png","View")</f>
        <v>View</v>
      </c>
      <c r="P938" s="15"/>
    </row>
    <row r="939">
      <c r="A939" s="7">
        <v>42425.46454861111</v>
      </c>
      <c r="B939" s="8" t="str">
        <f t="shared" si="81"/>
        <v>@NowLivecodingtv</v>
      </c>
      <c r="C939" s="10" t="s">
        <v>2320</v>
      </c>
      <c r="D939" s="10" t="s">
        <v>1212</v>
      </c>
      <c r="E939" s="11" t="str">
        <f>HYPERLINK("https://twitter.com/NowLivecodingtv/status/702933317406953473","702933317406953473")</f>
        <v>702933317406953473</v>
      </c>
      <c r="F939" s="12" t="s">
        <v>2321</v>
      </c>
      <c r="G939" s="13">
        <v>131.0</v>
      </c>
      <c r="H939" s="13">
        <v>16.0</v>
      </c>
      <c r="I939" s="13">
        <v>24.0</v>
      </c>
      <c r="J939" s="13">
        <v>0.0</v>
      </c>
      <c r="K939" s="12" t="s">
        <v>21</v>
      </c>
      <c r="L939" s="7">
        <v>42346.15972222222</v>
      </c>
      <c r="M939" s="14" t="s">
        <v>69</v>
      </c>
      <c r="N939" s="14" t="s">
        <v>633</v>
      </c>
      <c r="O939" s="11" t="str">
        <f t="shared" si="82"/>
        <v>View</v>
      </c>
      <c r="P939" s="15"/>
    </row>
    <row r="940">
      <c r="A940" s="7">
        <v>42425.464583333334</v>
      </c>
      <c r="B940" s="8" t="str">
        <f t="shared" si="81"/>
        <v>@NowLivecodingtv</v>
      </c>
      <c r="C940" s="10" t="s">
        <v>2320</v>
      </c>
      <c r="D940" s="10" t="s">
        <v>1996</v>
      </c>
      <c r="E940" s="11" t="str">
        <f>HYPERLINK("https://twitter.com/NowLivecodingtv/status/702933331646611456","702933331646611456")</f>
        <v>702933331646611456</v>
      </c>
      <c r="F940" s="12" t="s">
        <v>2321</v>
      </c>
      <c r="G940" s="13">
        <v>131.0</v>
      </c>
      <c r="H940" s="13">
        <v>16.0</v>
      </c>
      <c r="I940" s="13">
        <v>5.0</v>
      </c>
      <c r="J940" s="13">
        <v>0.0</v>
      </c>
      <c r="K940" s="12" t="s">
        <v>21</v>
      </c>
      <c r="L940" s="7">
        <v>42346.15972222222</v>
      </c>
      <c r="M940" s="14" t="s">
        <v>69</v>
      </c>
      <c r="N940" s="14" t="s">
        <v>633</v>
      </c>
      <c r="O940" s="11" t="str">
        <f t="shared" si="82"/>
        <v>View</v>
      </c>
      <c r="P940" s="15"/>
    </row>
    <row r="941">
      <c r="A941" s="7">
        <v>42425.46460648148</v>
      </c>
      <c r="B941" s="8" t="str">
        <f t="shared" si="81"/>
        <v>@NowLivecodingtv</v>
      </c>
      <c r="C941" s="10" t="s">
        <v>2320</v>
      </c>
      <c r="D941" s="10" t="s">
        <v>1823</v>
      </c>
      <c r="E941" s="11" t="str">
        <f>HYPERLINK("https://twitter.com/NowLivecodingtv/status/702933336939868160","702933336939868160")</f>
        <v>702933336939868160</v>
      </c>
      <c r="F941" s="12" t="s">
        <v>2321</v>
      </c>
      <c r="G941" s="13">
        <v>131.0</v>
      </c>
      <c r="H941" s="13">
        <v>16.0</v>
      </c>
      <c r="I941" s="13">
        <v>5.0</v>
      </c>
      <c r="J941" s="13">
        <v>0.0</v>
      </c>
      <c r="K941" s="12" t="s">
        <v>21</v>
      </c>
      <c r="L941" s="7">
        <v>42346.15972222222</v>
      </c>
      <c r="M941" s="14" t="s">
        <v>69</v>
      </c>
      <c r="N941" s="14" t="s">
        <v>633</v>
      </c>
      <c r="O941" s="11" t="str">
        <f t="shared" si="82"/>
        <v>View</v>
      </c>
      <c r="P941" s="15"/>
    </row>
    <row r="942">
      <c r="A942" s="7">
        <v>42425.464641203704</v>
      </c>
      <c r="B942" s="8" t="str">
        <f t="shared" si="81"/>
        <v>@NowLivecodingtv</v>
      </c>
      <c r="C942" s="10" t="s">
        <v>2320</v>
      </c>
      <c r="D942" s="10" t="s">
        <v>1846</v>
      </c>
      <c r="E942" s="11" t="str">
        <f>HYPERLINK("https://twitter.com/NowLivecodingtv/status/702933352169377792","702933352169377792")</f>
        <v>702933352169377792</v>
      </c>
      <c r="F942" s="12" t="s">
        <v>2321</v>
      </c>
      <c r="G942" s="13">
        <v>131.0</v>
      </c>
      <c r="H942" s="13">
        <v>16.0</v>
      </c>
      <c r="I942" s="13">
        <v>3.0</v>
      </c>
      <c r="J942" s="13">
        <v>0.0</v>
      </c>
      <c r="K942" s="12" t="s">
        <v>21</v>
      </c>
      <c r="L942" s="7">
        <v>42346.15972222222</v>
      </c>
      <c r="M942" s="14" t="s">
        <v>69</v>
      </c>
      <c r="N942" s="14" t="s">
        <v>633</v>
      </c>
      <c r="O942" s="11" t="str">
        <f t="shared" si="82"/>
        <v>View</v>
      </c>
      <c r="P942" s="15"/>
    </row>
    <row r="943">
      <c r="A943" s="7">
        <v>42425.46465277778</v>
      </c>
      <c r="B943" s="8" t="str">
        <f t="shared" si="81"/>
        <v>@NowLivecodingtv</v>
      </c>
      <c r="C943" s="10" t="s">
        <v>2320</v>
      </c>
      <c r="D943" s="10" t="s">
        <v>1782</v>
      </c>
      <c r="E943" s="11" t="str">
        <f>HYPERLINK("https://twitter.com/NowLivecodingtv/status/702933357273874432","702933357273874432")</f>
        <v>702933357273874432</v>
      </c>
      <c r="F943" s="12" t="s">
        <v>2321</v>
      </c>
      <c r="G943" s="13">
        <v>131.0</v>
      </c>
      <c r="H943" s="13">
        <v>16.0</v>
      </c>
      <c r="I943" s="13">
        <v>8.0</v>
      </c>
      <c r="J943" s="13">
        <v>0.0</v>
      </c>
      <c r="K943" s="12" t="s">
        <v>21</v>
      </c>
      <c r="L943" s="7">
        <v>42346.15972222222</v>
      </c>
      <c r="M943" s="14" t="s">
        <v>69</v>
      </c>
      <c r="N943" s="14" t="s">
        <v>633</v>
      </c>
      <c r="O943" s="11" t="str">
        <f t="shared" si="82"/>
        <v>View</v>
      </c>
      <c r="P943" s="15"/>
    </row>
    <row r="944">
      <c r="A944" s="7">
        <v>42425.46469907407</v>
      </c>
      <c r="B944" s="8" t="str">
        <f t="shared" si="81"/>
        <v>@NowLivecodingtv</v>
      </c>
      <c r="C944" s="10" t="s">
        <v>2320</v>
      </c>
      <c r="D944" s="10" t="s">
        <v>1145</v>
      </c>
      <c r="E944" s="11" t="str">
        <f>HYPERLINK("https://twitter.com/NowLivecodingtv/status/702933371362488320","702933371362488320")</f>
        <v>702933371362488320</v>
      </c>
      <c r="F944" s="12" t="s">
        <v>2321</v>
      </c>
      <c r="G944" s="13">
        <v>131.0</v>
      </c>
      <c r="H944" s="13">
        <v>16.0</v>
      </c>
      <c r="I944" s="13">
        <v>10.0</v>
      </c>
      <c r="J944" s="13">
        <v>0.0</v>
      </c>
      <c r="K944" s="12" t="s">
        <v>21</v>
      </c>
      <c r="L944" s="7">
        <v>42346.15972222222</v>
      </c>
      <c r="M944" s="14" t="s">
        <v>69</v>
      </c>
      <c r="N944" s="14" t="s">
        <v>633</v>
      </c>
      <c r="O944" s="11" t="str">
        <f t="shared" si="82"/>
        <v>View</v>
      </c>
      <c r="P944" s="15"/>
    </row>
    <row r="945">
      <c r="A945" s="7">
        <v>42425.46471064815</v>
      </c>
      <c r="B945" s="8" t="str">
        <f t="shared" si="81"/>
        <v>@NowLivecodingtv</v>
      </c>
      <c r="C945" s="10" t="s">
        <v>2320</v>
      </c>
      <c r="D945" s="10" t="s">
        <v>1575</v>
      </c>
      <c r="E945" s="11" t="str">
        <f>HYPERLINK("https://twitter.com/NowLivecodingtv/status/702933376429223936","702933376429223936")</f>
        <v>702933376429223936</v>
      </c>
      <c r="F945" s="12" t="s">
        <v>2321</v>
      </c>
      <c r="G945" s="13">
        <v>131.0</v>
      </c>
      <c r="H945" s="13">
        <v>16.0</v>
      </c>
      <c r="I945" s="13">
        <v>9.0</v>
      </c>
      <c r="J945" s="13">
        <v>0.0</v>
      </c>
      <c r="K945" s="12" t="s">
        <v>21</v>
      </c>
      <c r="L945" s="7">
        <v>42346.15972222222</v>
      </c>
      <c r="M945" s="14" t="s">
        <v>69</v>
      </c>
      <c r="N945" s="14" t="s">
        <v>633</v>
      </c>
      <c r="O945" s="11" t="str">
        <f t="shared" si="82"/>
        <v>View</v>
      </c>
      <c r="P945" s="15"/>
    </row>
    <row r="946">
      <c r="A946" s="7">
        <v>42425.464733796296</v>
      </c>
      <c r="B946" s="8" t="str">
        <f t="shared" si="81"/>
        <v>@NowLivecodingtv</v>
      </c>
      <c r="C946" s="10" t="s">
        <v>2320</v>
      </c>
      <c r="D946" s="10" t="s">
        <v>1549</v>
      </c>
      <c r="E946" s="11" t="str">
        <f>HYPERLINK("https://twitter.com/NowLivecodingtv/status/702933386763988992","702933386763988992")</f>
        <v>702933386763988992</v>
      </c>
      <c r="F946" s="12" t="s">
        <v>2321</v>
      </c>
      <c r="G946" s="13">
        <v>131.0</v>
      </c>
      <c r="H946" s="13">
        <v>16.0</v>
      </c>
      <c r="I946" s="13">
        <v>4.0</v>
      </c>
      <c r="J946" s="13">
        <v>0.0</v>
      </c>
      <c r="K946" s="12" t="s">
        <v>21</v>
      </c>
      <c r="L946" s="7">
        <v>42346.15972222222</v>
      </c>
      <c r="M946" s="14" t="s">
        <v>69</v>
      </c>
      <c r="N946" s="14" t="s">
        <v>633</v>
      </c>
      <c r="O946" s="11" t="str">
        <f t="shared" si="82"/>
        <v>View</v>
      </c>
      <c r="P946" s="15"/>
    </row>
    <row r="947">
      <c r="A947" s="7">
        <v>42425.46476851852</v>
      </c>
      <c r="B947" s="8" t="str">
        <f t="shared" si="81"/>
        <v>@NowLivecodingtv</v>
      </c>
      <c r="C947" s="10" t="s">
        <v>2320</v>
      </c>
      <c r="D947" s="10" t="s">
        <v>1558</v>
      </c>
      <c r="E947" s="11" t="str">
        <f>HYPERLINK("https://twitter.com/NowLivecodingtv/status/702933396964552704","702933396964552704")</f>
        <v>702933396964552704</v>
      </c>
      <c r="F947" s="12" t="s">
        <v>2321</v>
      </c>
      <c r="G947" s="13">
        <v>131.0</v>
      </c>
      <c r="H947" s="13">
        <v>16.0</v>
      </c>
      <c r="I947" s="13">
        <v>3.0</v>
      </c>
      <c r="J947" s="13">
        <v>0.0</v>
      </c>
      <c r="K947" s="12" t="s">
        <v>21</v>
      </c>
      <c r="L947" s="7">
        <v>42346.15972222222</v>
      </c>
      <c r="M947" s="14" t="s">
        <v>69</v>
      </c>
      <c r="N947" s="14" t="s">
        <v>633</v>
      </c>
      <c r="O947" s="11" t="str">
        <f t="shared" si="82"/>
        <v>View</v>
      </c>
      <c r="P947" s="15"/>
    </row>
    <row r="948">
      <c r="A948" s="7">
        <v>42425.46480324074</v>
      </c>
      <c r="B948" s="8" t="str">
        <f t="shared" si="81"/>
        <v>@NowLivecodingtv</v>
      </c>
      <c r="C948" s="10" t="s">
        <v>2320</v>
      </c>
      <c r="D948" s="10" t="s">
        <v>1492</v>
      </c>
      <c r="E948" s="11" t="str">
        <f>HYPERLINK("https://twitter.com/NowLivecodingtv/status/702933411082555392","702933411082555392")</f>
        <v>702933411082555392</v>
      </c>
      <c r="F948" s="12" t="s">
        <v>2321</v>
      </c>
      <c r="G948" s="13">
        <v>131.0</v>
      </c>
      <c r="H948" s="13">
        <v>16.0</v>
      </c>
      <c r="I948" s="13">
        <v>4.0</v>
      </c>
      <c r="J948" s="13">
        <v>0.0</v>
      </c>
      <c r="K948" s="12" t="s">
        <v>21</v>
      </c>
      <c r="L948" s="7">
        <v>42346.15972222222</v>
      </c>
      <c r="M948" s="14" t="s">
        <v>69</v>
      </c>
      <c r="N948" s="14" t="s">
        <v>633</v>
      </c>
      <c r="O948" s="11" t="str">
        <f t="shared" si="82"/>
        <v>View</v>
      </c>
      <c r="P948" s="15"/>
    </row>
    <row r="949">
      <c r="A949" s="7">
        <v>42425.464849537035</v>
      </c>
      <c r="B949" s="8" t="str">
        <f t="shared" si="81"/>
        <v>@NowLivecodingtv</v>
      </c>
      <c r="C949" s="10" t="s">
        <v>2320</v>
      </c>
      <c r="D949" s="10" t="s">
        <v>1391</v>
      </c>
      <c r="E949" s="11" t="str">
        <f>HYPERLINK("https://twitter.com/NowLivecodingtv/status/702933426815414272","702933426815414272")</f>
        <v>702933426815414272</v>
      </c>
      <c r="F949" s="12" t="s">
        <v>2321</v>
      </c>
      <c r="G949" s="13">
        <v>131.0</v>
      </c>
      <c r="H949" s="13">
        <v>16.0</v>
      </c>
      <c r="I949" s="13">
        <v>4.0</v>
      </c>
      <c r="J949" s="13">
        <v>0.0</v>
      </c>
      <c r="K949" s="12" t="s">
        <v>21</v>
      </c>
      <c r="L949" s="7">
        <v>42346.15972222222</v>
      </c>
      <c r="M949" s="14" t="s">
        <v>69</v>
      </c>
      <c r="N949" s="14" t="s">
        <v>633</v>
      </c>
      <c r="O949" s="11" t="str">
        <f t="shared" si="82"/>
        <v>View</v>
      </c>
      <c r="P949" s="15"/>
    </row>
    <row r="950">
      <c r="A950" s="7">
        <v>42425.46488425926</v>
      </c>
      <c r="B950" s="8" t="str">
        <f t="shared" si="81"/>
        <v>@NowLivecodingtv</v>
      </c>
      <c r="C950" s="10" t="s">
        <v>2320</v>
      </c>
      <c r="D950" s="10" t="s">
        <v>1305</v>
      </c>
      <c r="E950" s="11" t="str">
        <f>HYPERLINK("https://twitter.com/NowLivecodingtv/status/702933441491283968","702933441491283968")</f>
        <v>702933441491283968</v>
      </c>
      <c r="F950" s="12" t="s">
        <v>2321</v>
      </c>
      <c r="G950" s="13">
        <v>131.0</v>
      </c>
      <c r="H950" s="13">
        <v>16.0</v>
      </c>
      <c r="I950" s="13">
        <v>6.0</v>
      </c>
      <c r="J950" s="13">
        <v>0.0</v>
      </c>
      <c r="K950" s="12" t="s">
        <v>21</v>
      </c>
      <c r="L950" s="7">
        <v>42346.15972222222</v>
      </c>
      <c r="M950" s="14" t="s">
        <v>69</v>
      </c>
      <c r="N950" s="14" t="s">
        <v>633</v>
      </c>
      <c r="O950" s="11" t="str">
        <f t="shared" si="82"/>
        <v>View</v>
      </c>
      <c r="P950" s="15"/>
    </row>
    <row r="951">
      <c r="A951" s="7">
        <v>42425.46490740741</v>
      </c>
      <c r="B951" s="8" t="str">
        <f t="shared" si="81"/>
        <v>@NowLivecodingtv</v>
      </c>
      <c r="C951" s="10" t="s">
        <v>2320</v>
      </c>
      <c r="D951" s="10" t="s">
        <v>752</v>
      </c>
      <c r="E951" s="11" t="str">
        <f>HYPERLINK("https://twitter.com/NowLivecodingtv/status/702933447279452160","702933447279452160")</f>
        <v>702933447279452160</v>
      </c>
      <c r="F951" s="12" t="s">
        <v>2321</v>
      </c>
      <c r="G951" s="13">
        <v>131.0</v>
      </c>
      <c r="H951" s="13">
        <v>16.0</v>
      </c>
      <c r="I951" s="13">
        <v>7.0</v>
      </c>
      <c r="J951" s="13">
        <v>0.0</v>
      </c>
      <c r="K951" s="12" t="s">
        <v>21</v>
      </c>
      <c r="L951" s="7">
        <v>42346.15972222222</v>
      </c>
      <c r="M951" s="14" t="s">
        <v>69</v>
      </c>
      <c r="N951" s="14" t="s">
        <v>633</v>
      </c>
      <c r="O951" s="11" t="str">
        <f t="shared" si="82"/>
        <v>View</v>
      </c>
      <c r="P951" s="15"/>
    </row>
    <row r="952">
      <c r="A952" s="7">
        <v>42425.464942129634</v>
      </c>
      <c r="B952" s="8" t="str">
        <f t="shared" si="81"/>
        <v>@NowLivecodingtv</v>
      </c>
      <c r="C952" s="10" t="s">
        <v>2320</v>
      </c>
      <c r="D952" s="10" t="s">
        <v>1180</v>
      </c>
      <c r="E952" s="11" t="str">
        <f>HYPERLINK("https://twitter.com/NowLivecodingtv/status/702933461217050624","702933461217050624")</f>
        <v>702933461217050624</v>
      </c>
      <c r="F952" s="12" t="s">
        <v>2321</v>
      </c>
      <c r="G952" s="13">
        <v>131.0</v>
      </c>
      <c r="H952" s="13">
        <v>16.0</v>
      </c>
      <c r="I952" s="13">
        <v>7.0</v>
      </c>
      <c r="J952" s="13">
        <v>0.0</v>
      </c>
      <c r="K952" s="12" t="s">
        <v>21</v>
      </c>
      <c r="L952" s="7">
        <v>42346.15972222222</v>
      </c>
      <c r="M952" s="14" t="s">
        <v>69</v>
      </c>
      <c r="N952" s="14" t="s">
        <v>633</v>
      </c>
      <c r="O952" s="11" t="str">
        <f t="shared" si="82"/>
        <v>View</v>
      </c>
      <c r="P952" s="15"/>
    </row>
    <row r="953">
      <c r="A953" s="7">
        <v>42425.46497685185</v>
      </c>
      <c r="B953" s="8" t="str">
        <f t="shared" si="81"/>
        <v>@NowLivecodingtv</v>
      </c>
      <c r="C953" s="10" t="s">
        <v>2320</v>
      </c>
      <c r="D953" s="10" t="s">
        <v>1034</v>
      </c>
      <c r="E953" s="11" t="str">
        <f>HYPERLINK("https://twitter.com/NowLivecodingtv/status/702933471426023424","702933471426023424")</f>
        <v>702933471426023424</v>
      </c>
      <c r="F953" s="12" t="s">
        <v>2321</v>
      </c>
      <c r="G953" s="13">
        <v>131.0</v>
      </c>
      <c r="H953" s="13">
        <v>16.0</v>
      </c>
      <c r="I953" s="13">
        <v>7.0</v>
      </c>
      <c r="J953" s="13">
        <v>0.0</v>
      </c>
      <c r="K953" s="12" t="s">
        <v>21</v>
      </c>
      <c r="L953" s="7">
        <v>42346.15972222222</v>
      </c>
      <c r="M953" s="14" t="s">
        <v>69</v>
      </c>
      <c r="N953" s="14" t="s">
        <v>633</v>
      </c>
      <c r="O953" s="11" t="str">
        <f t="shared" si="82"/>
        <v>View</v>
      </c>
      <c r="P953" s="15"/>
    </row>
    <row r="954">
      <c r="A954" s="7">
        <v>42425.465</v>
      </c>
      <c r="B954" s="8" t="str">
        <f t="shared" si="81"/>
        <v>@NowLivecodingtv</v>
      </c>
      <c r="C954" s="10" t="s">
        <v>2320</v>
      </c>
      <c r="D954" s="10" t="s">
        <v>966</v>
      </c>
      <c r="E954" s="11" t="str">
        <f>HYPERLINK("https://twitter.com/NowLivecodingtv/status/702933482293440513","702933482293440513")</f>
        <v>702933482293440513</v>
      </c>
      <c r="F954" s="12" t="s">
        <v>2321</v>
      </c>
      <c r="G954" s="13">
        <v>131.0</v>
      </c>
      <c r="H954" s="13">
        <v>16.0</v>
      </c>
      <c r="I954" s="13">
        <v>11.0</v>
      </c>
      <c r="J954" s="13">
        <v>0.0</v>
      </c>
      <c r="K954" s="12" t="s">
        <v>21</v>
      </c>
      <c r="L954" s="7">
        <v>42346.15972222222</v>
      </c>
      <c r="M954" s="14" t="s">
        <v>69</v>
      </c>
      <c r="N954" s="14" t="s">
        <v>633</v>
      </c>
      <c r="O954" s="11" t="str">
        <f t="shared" si="82"/>
        <v>View</v>
      </c>
      <c r="P954" s="15"/>
    </row>
    <row r="955">
      <c r="A955" s="7">
        <v>42425.46503472222</v>
      </c>
      <c r="B955" s="8" t="str">
        <f t="shared" si="81"/>
        <v>@NowLivecodingtv</v>
      </c>
      <c r="C955" s="10" t="s">
        <v>2320</v>
      </c>
      <c r="D955" s="10" t="s">
        <v>937</v>
      </c>
      <c r="E955" s="11" t="str">
        <f>HYPERLINK("https://twitter.com/NowLivecodingtv/status/702933492615614464","702933492615614464")</f>
        <v>702933492615614464</v>
      </c>
      <c r="F955" s="12" t="s">
        <v>2321</v>
      </c>
      <c r="G955" s="13">
        <v>131.0</v>
      </c>
      <c r="H955" s="13">
        <v>16.0</v>
      </c>
      <c r="I955" s="13">
        <v>4.0</v>
      </c>
      <c r="J955" s="13">
        <v>0.0</v>
      </c>
      <c r="K955" s="12" t="s">
        <v>21</v>
      </c>
      <c r="L955" s="7">
        <v>42346.15972222222</v>
      </c>
      <c r="M955" s="14" t="s">
        <v>69</v>
      </c>
      <c r="N955" s="14" t="s">
        <v>633</v>
      </c>
      <c r="O955" s="11" t="str">
        <f t="shared" si="82"/>
        <v>View</v>
      </c>
      <c r="P955" s="15"/>
    </row>
    <row r="956">
      <c r="A956" s="7">
        <v>42425.46512731482</v>
      </c>
      <c r="B956" s="8" t="str">
        <f t="shared" si="81"/>
        <v>@NowLivecodingtv</v>
      </c>
      <c r="C956" s="10" t="s">
        <v>2320</v>
      </c>
      <c r="D956" s="10" t="s">
        <v>610</v>
      </c>
      <c r="E956" s="11" t="str">
        <f>HYPERLINK("https://twitter.com/NowLivecodingtv/status/702933529366130689","702933529366130689")</f>
        <v>702933529366130689</v>
      </c>
      <c r="F956" s="12" t="s">
        <v>2321</v>
      </c>
      <c r="G956" s="13">
        <v>131.0</v>
      </c>
      <c r="H956" s="13">
        <v>16.0</v>
      </c>
      <c r="I956" s="13">
        <v>6.0</v>
      </c>
      <c r="J956" s="13">
        <v>0.0</v>
      </c>
      <c r="K956" s="12" t="s">
        <v>21</v>
      </c>
      <c r="L956" s="7">
        <v>42346.15972222222</v>
      </c>
      <c r="M956" s="14" t="s">
        <v>69</v>
      </c>
      <c r="N956" s="14" t="s">
        <v>633</v>
      </c>
      <c r="O956" s="11" t="str">
        <f t="shared" si="82"/>
        <v>View</v>
      </c>
      <c r="P956" s="15"/>
    </row>
    <row r="957">
      <c r="A957" s="7">
        <v>42425.46516203704</v>
      </c>
      <c r="B957" s="8" t="str">
        <f t="shared" si="81"/>
        <v>@NowLivecodingtv</v>
      </c>
      <c r="C957" s="10" t="s">
        <v>2320</v>
      </c>
      <c r="D957" s="10" t="s">
        <v>508</v>
      </c>
      <c r="E957" s="11" t="str">
        <f>HYPERLINK("https://twitter.com/NowLivecodingtv/status/702933539973541888","702933539973541888")</f>
        <v>702933539973541888</v>
      </c>
      <c r="F957" s="12" t="s">
        <v>2321</v>
      </c>
      <c r="G957" s="13">
        <v>131.0</v>
      </c>
      <c r="H957" s="13">
        <v>16.0</v>
      </c>
      <c r="I957" s="13">
        <v>4.0</v>
      </c>
      <c r="J957" s="13">
        <v>0.0</v>
      </c>
      <c r="K957" s="12" t="s">
        <v>21</v>
      </c>
      <c r="L957" s="7">
        <v>42346.15972222222</v>
      </c>
      <c r="M957" s="14" t="s">
        <v>69</v>
      </c>
      <c r="N957" s="14" t="s">
        <v>633</v>
      </c>
      <c r="O957" s="11" t="str">
        <f t="shared" si="82"/>
        <v>View</v>
      </c>
      <c r="P957" s="15"/>
    </row>
    <row r="958">
      <c r="A958" s="7">
        <v>42425.465208333335</v>
      </c>
      <c r="B958" s="8" t="str">
        <f t="shared" si="81"/>
        <v>@NowLivecodingtv</v>
      </c>
      <c r="C958" s="10" t="s">
        <v>2320</v>
      </c>
      <c r="D958" s="10" t="s">
        <v>442</v>
      </c>
      <c r="E958" s="11" t="str">
        <f>HYPERLINK("https://twitter.com/NowLivecodingtv/status/702933555001712640","702933555001712640")</f>
        <v>702933555001712640</v>
      </c>
      <c r="F958" s="12" t="s">
        <v>2321</v>
      </c>
      <c r="G958" s="13">
        <v>131.0</v>
      </c>
      <c r="H958" s="13">
        <v>16.0</v>
      </c>
      <c r="I958" s="13">
        <v>3.0</v>
      </c>
      <c r="J958" s="13">
        <v>0.0</v>
      </c>
      <c r="K958" s="12" t="s">
        <v>21</v>
      </c>
      <c r="L958" s="7">
        <v>42346.15972222222</v>
      </c>
      <c r="M958" s="14" t="s">
        <v>69</v>
      </c>
      <c r="N958" s="14" t="s">
        <v>633</v>
      </c>
      <c r="O958" s="11" t="str">
        <f t="shared" si="82"/>
        <v>View</v>
      </c>
      <c r="P958" s="15"/>
    </row>
    <row r="959">
      <c r="A959" s="7">
        <v>42425.46524305556</v>
      </c>
      <c r="B959" s="8" t="str">
        <f t="shared" si="81"/>
        <v>@NowLivecodingtv</v>
      </c>
      <c r="C959" s="10" t="s">
        <v>2320</v>
      </c>
      <c r="D959" s="10" t="s">
        <v>204</v>
      </c>
      <c r="E959" s="11" t="str">
        <f>HYPERLINK("https://twitter.com/NowLivecodingtv/status/702933568515764224","702933568515764224")</f>
        <v>702933568515764224</v>
      </c>
      <c r="F959" s="12" t="s">
        <v>2321</v>
      </c>
      <c r="G959" s="13">
        <v>131.0</v>
      </c>
      <c r="H959" s="13">
        <v>16.0</v>
      </c>
      <c r="I959" s="13">
        <v>3.0</v>
      </c>
      <c r="J959" s="13">
        <v>0.0</v>
      </c>
      <c r="K959" s="12" t="s">
        <v>21</v>
      </c>
      <c r="L959" s="7">
        <v>42346.15972222222</v>
      </c>
      <c r="M959" s="14" t="s">
        <v>69</v>
      </c>
      <c r="N959" s="14" t="s">
        <v>633</v>
      </c>
      <c r="O959" s="11" t="str">
        <f t="shared" si="82"/>
        <v>View</v>
      </c>
      <c r="P959" s="15"/>
    </row>
    <row r="960">
      <c r="A960" s="7">
        <v>42425.46527777778</v>
      </c>
      <c r="B960" s="8" t="str">
        <f t="shared" si="81"/>
        <v>@NowLivecodingtv</v>
      </c>
      <c r="C960" s="10" t="s">
        <v>2320</v>
      </c>
      <c r="D960" s="10" t="s">
        <v>2322</v>
      </c>
      <c r="E960" s="11" t="str">
        <f>HYPERLINK("https://twitter.com/NowLivecodingtv/status/702933583745282048","702933583745282048")</f>
        <v>702933583745282048</v>
      </c>
      <c r="F960" s="12" t="s">
        <v>2321</v>
      </c>
      <c r="G960" s="13">
        <v>131.0</v>
      </c>
      <c r="H960" s="13">
        <v>16.0</v>
      </c>
      <c r="I960" s="13">
        <v>5.0</v>
      </c>
      <c r="J960" s="13">
        <v>0.0</v>
      </c>
      <c r="K960" s="12" t="s">
        <v>21</v>
      </c>
      <c r="L960" s="7">
        <v>42346.15972222222</v>
      </c>
      <c r="M960" s="14" t="s">
        <v>69</v>
      </c>
      <c r="N960" s="14" t="s">
        <v>633</v>
      </c>
      <c r="O960" s="11" t="str">
        <f t="shared" si="82"/>
        <v>View</v>
      </c>
      <c r="P960" s="15"/>
    </row>
    <row r="961">
      <c r="A961" s="7">
        <v>42425.46533564814</v>
      </c>
      <c r="B961" s="8" t="str">
        <f t="shared" si="81"/>
        <v>@NowLivecodingtv</v>
      </c>
      <c r="C961" s="10" t="s">
        <v>2320</v>
      </c>
      <c r="D961" s="10" t="s">
        <v>2084</v>
      </c>
      <c r="E961" s="11" t="str">
        <f>HYPERLINK("https://twitter.com/NowLivecodingtv/status/702933602435100672","702933602435100672")</f>
        <v>702933602435100672</v>
      </c>
      <c r="F961" s="12" t="s">
        <v>2321</v>
      </c>
      <c r="G961" s="13">
        <v>131.0</v>
      </c>
      <c r="H961" s="13">
        <v>16.0</v>
      </c>
      <c r="I961" s="13">
        <v>8.0</v>
      </c>
      <c r="J961" s="13">
        <v>0.0</v>
      </c>
      <c r="K961" s="12" t="s">
        <v>21</v>
      </c>
      <c r="L961" s="7">
        <v>42346.15972222222</v>
      </c>
      <c r="M961" s="14" t="s">
        <v>69</v>
      </c>
      <c r="N961" s="14" t="s">
        <v>633</v>
      </c>
      <c r="O961" s="11" t="str">
        <f t="shared" si="82"/>
        <v>View</v>
      </c>
      <c r="P961" s="15"/>
    </row>
    <row r="962">
      <c r="A962" s="7">
        <v>42425.46534722223</v>
      </c>
      <c r="B962" s="8" t="str">
        <f t="shared" si="81"/>
        <v>@NowLivecodingtv</v>
      </c>
      <c r="C962" s="10" t="s">
        <v>2320</v>
      </c>
      <c r="D962" s="10" t="s">
        <v>2323</v>
      </c>
      <c r="E962" s="11" t="str">
        <f>HYPERLINK("https://twitter.com/NowLivecodingtv/status/702933607489208320","702933607489208320")</f>
        <v>702933607489208320</v>
      </c>
      <c r="F962" s="12" t="s">
        <v>2321</v>
      </c>
      <c r="G962" s="13">
        <v>131.0</v>
      </c>
      <c r="H962" s="13">
        <v>16.0</v>
      </c>
      <c r="I962" s="13">
        <v>18.0</v>
      </c>
      <c r="J962" s="13">
        <v>0.0</v>
      </c>
      <c r="K962" s="12" t="s">
        <v>21</v>
      </c>
      <c r="L962" s="7">
        <v>42346.15972222222</v>
      </c>
      <c r="M962" s="14" t="s">
        <v>69</v>
      </c>
      <c r="N962" s="14" t="s">
        <v>633</v>
      </c>
      <c r="O962" s="11" t="str">
        <f t="shared" si="82"/>
        <v>View</v>
      </c>
      <c r="P962" s="15"/>
    </row>
    <row r="963">
      <c r="A963" s="7">
        <v>42425.465370370366</v>
      </c>
      <c r="B963" s="8" t="str">
        <f t="shared" si="81"/>
        <v>@NowLivecodingtv</v>
      </c>
      <c r="C963" s="10" t="s">
        <v>2320</v>
      </c>
      <c r="D963" s="10" t="s">
        <v>2324</v>
      </c>
      <c r="E963" s="11" t="str">
        <f>HYPERLINK("https://twitter.com/NowLivecodingtv/status/702933615278030848","702933615278030848")</f>
        <v>702933615278030848</v>
      </c>
      <c r="F963" s="12" t="s">
        <v>2321</v>
      </c>
      <c r="G963" s="13">
        <v>131.0</v>
      </c>
      <c r="H963" s="13">
        <v>16.0</v>
      </c>
      <c r="I963" s="13">
        <v>7.0</v>
      </c>
      <c r="J963" s="13">
        <v>0.0</v>
      </c>
      <c r="K963" s="12" t="s">
        <v>21</v>
      </c>
      <c r="L963" s="7">
        <v>42346.15972222222</v>
      </c>
      <c r="M963" s="14" t="s">
        <v>69</v>
      </c>
      <c r="N963" s="14" t="s">
        <v>633</v>
      </c>
      <c r="O963" s="11" t="str">
        <f t="shared" si="82"/>
        <v>View</v>
      </c>
      <c r="P963" s="15"/>
    </row>
    <row r="964">
      <c r="A964" s="7">
        <v>42425.46538194444</v>
      </c>
      <c r="B964" s="8" t="str">
        <f t="shared" si="81"/>
        <v>@NowLivecodingtv</v>
      </c>
      <c r="C964" s="10" t="s">
        <v>2320</v>
      </c>
      <c r="D964" s="10" t="s">
        <v>2325</v>
      </c>
      <c r="E964" s="11" t="str">
        <f>HYPERLINK("https://twitter.com/NowLivecodingtv/status/702933620634193920","702933620634193920")</f>
        <v>702933620634193920</v>
      </c>
      <c r="F964" s="12" t="s">
        <v>2321</v>
      </c>
      <c r="G964" s="13">
        <v>131.0</v>
      </c>
      <c r="H964" s="13">
        <v>16.0</v>
      </c>
      <c r="I964" s="13">
        <v>5.0</v>
      </c>
      <c r="J964" s="13">
        <v>0.0</v>
      </c>
      <c r="K964" s="12" t="s">
        <v>21</v>
      </c>
      <c r="L964" s="7">
        <v>42346.15972222222</v>
      </c>
      <c r="M964" s="14" t="s">
        <v>69</v>
      </c>
      <c r="N964" s="14" t="s">
        <v>633</v>
      </c>
      <c r="O964" s="11" t="str">
        <f t="shared" si="82"/>
        <v>View</v>
      </c>
      <c r="P964" s="15"/>
    </row>
    <row r="965">
      <c r="A965" s="7">
        <v>42425.465416666666</v>
      </c>
      <c r="B965" s="8" t="str">
        <f t="shared" si="81"/>
        <v>@NowLivecodingtv</v>
      </c>
      <c r="C965" s="10" t="s">
        <v>2320</v>
      </c>
      <c r="D965" s="10" t="s">
        <v>2326</v>
      </c>
      <c r="E965" s="11" t="str">
        <f>HYPERLINK("https://twitter.com/NowLivecodingtv/status/702933630507593728","702933630507593728")</f>
        <v>702933630507593728</v>
      </c>
      <c r="F965" s="12" t="s">
        <v>2321</v>
      </c>
      <c r="G965" s="13">
        <v>131.0</v>
      </c>
      <c r="H965" s="13">
        <v>16.0</v>
      </c>
      <c r="I965" s="13">
        <v>3.0</v>
      </c>
      <c r="J965" s="13">
        <v>0.0</v>
      </c>
      <c r="K965" s="12" t="s">
        <v>21</v>
      </c>
      <c r="L965" s="7">
        <v>42346.15972222222</v>
      </c>
      <c r="M965" s="14" t="s">
        <v>69</v>
      </c>
      <c r="N965" s="14" t="s">
        <v>633</v>
      </c>
      <c r="O965" s="11" t="str">
        <f t="shared" si="82"/>
        <v>View</v>
      </c>
      <c r="P965" s="15"/>
    </row>
    <row r="966">
      <c r="A966" s="7">
        <v>42425.46545138889</v>
      </c>
      <c r="B966" s="8" t="str">
        <f t="shared" si="81"/>
        <v>@NowLivecodingtv</v>
      </c>
      <c r="C966" s="10" t="s">
        <v>2320</v>
      </c>
      <c r="D966" s="10" t="s">
        <v>2327</v>
      </c>
      <c r="E966" s="11" t="str">
        <f>HYPERLINK("https://twitter.com/NowLivecodingtv/status/702933644751405057","702933644751405057")</f>
        <v>702933644751405057</v>
      </c>
      <c r="F966" s="12" t="s">
        <v>2321</v>
      </c>
      <c r="G966" s="13">
        <v>131.0</v>
      </c>
      <c r="H966" s="13">
        <v>16.0</v>
      </c>
      <c r="I966" s="13">
        <v>3.0</v>
      </c>
      <c r="J966" s="13">
        <v>0.0</v>
      </c>
      <c r="K966" s="12" t="s">
        <v>21</v>
      </c>
      <c r="L966" s="7">
        <v>42346.15972222222</v>
      </c>
      <c r="M966" s="14" t="s">
        <v>69</v>
      </c>
      <c r="N966" s="14" t="s">
        <v>633</v>
      </c>
      <c r="O966" s="11" t="str">
        <f t="shared" si="82"/>
        <v>View</v>
      </c>
      <c r="P966" s="15"/>
    </row>
    <row r="967">
      <c r="A967" s="7">
        <v>42425.46545138889</v>
      </c>
      <c r="B967" s="8" t="str">
        <f>HYPERLINK("https://twitter.com/GISPyQuestions","@GISPyQuestions")</f>
        <v>@GISPyQuestions</v>
      </c>
      <c r="C967" s="10" t="s">
        <v>1959</v>
      </c>
      <c r="D967" s="10" t="s">
        <v>2328</v>
      </c>
      <c r="E967" s="11" t="str">
        <f>HYPERLINK("https://twitter.com/GISPyQuestions/status/702933645888135168","702933645888135168")</f>
        <v>702933645888135168</v>
      </c>
      <c r="F967" s="12" t="s">
        <v>1961</v>
      </c>
      <c r="G967" s="13">
        <v>372.0</v>
      </c>
      <c r="H967" s="13">
        <v>0.0</v>
      </c>
      <c r="I967" s="13">
        <v>0.0</v>
      </c>
      <c r="J967" s="13">
        <v>0.0</v>
      </c>
      <c r="K967" s="12" t="s">
        <v>21</v>
      </c>
      <c r="L967" s="7">
        <v>40997.581712962965</v>
      </c>
      <c r="M967" s="16"/>
      <c r="N967" s="16"/>
      <c r="O967" s="11" t="str">
        <f>HYPERLINK("https://pbs.twimg.com/profile_images/1987767273/python-logo-glassy_normal.png","View")</f>
        <v>View</v>
      </c>
      <c r="P967" s="15"/>
    </row>
    <row r="968">
      <c r="A968" s="7">
        <v>42425.465462962966</v>
      </c>
      <c r="B968" s="8" t="str">
        <f t="shared" ref="B968:B975" si="83">HYPERLINK("https://twitter.com/NowLivecodingtv","@NowLivecodingtv")</f>
        <v>@NowLivecodingtv</v>
      </c>
      <c r="C968" s="10" t="s">
        <v>2320</v>
      </c>
      <c r="D968" s="10" t="s">
        <v>2329</v>
      </c>
      <c r="E968" s="11" t="str">
        <f>HYPERLINK("https://twitter.com/NowLivecodingtv/status/702933649948192768","702933649948192768")</f>
        <v>702933649948192768</v>
      </c>
      <c r="F968" s="12" t="s">
        <v>2321</v>
      </c>
      <c r="G968" s="13">
        <v>131.0</v>
      </c>
      <c r="H968" s="13">
        <v>16.0</v>
      </c>
      <c r="I968" s="13">
        <v>3.0</v>
      </c>
      <c r="J968" s="13">
        <v>0.0</v>
      </c>
      <c r="K968" s="12" t="s">
        <v>21</v>
      </c>
      <c r="L968" s="7">
        <v>42346.15972222222</v>
      </c>
      <c r="M968" s="14" t="s">
        <v>69</v>
      </c>
      <c r="N968" s="14" t="s">
        <v>633</v>
      </c>
      <c r="O968" s="11" t="str">
        <f t="shared" ref="O968:O975" si="84">HYPERLINK("https://pbs.twimg.com/profile_images/699984077877874688/aR2ovqId_normal.png","View")</f>
        <v>View</v>
      </c>
      <c r="P968" s="15"/>
    </row>
    <row r="969">
      <c r="A969" s="7">
        <v>42425.46549768519</v>
      </c>
      <c r="B969" s="8" t="str">
        <f t="shared" si="83"/>
        <v>@NowLivecodingtv</v>
      </c>
      <c r="C969" s="10" t="s">
        <v>2320</v>
      </c>
      <c r="D969" s="10" t="s">
        <v>2330</v>
      </c>
      <c r="E969" s="11" t="str">
        <f>HYPERLINK("https://twitter.com/NowLivecodingtv/status/702933660849168384","702933660849168384")</f>
        <v>702933660849168384</v>
      </c>
      <c r="F969" s="12" t="s">
        <v>2321</v>
      </c>
      <c r="G969" s="13">
        <v>131.0</v>
      </c>
      <c r="H969" s="13">
        <v>16.0</v>
      </c>
      <c r="I969" s="13">
        <v>5.0</v>
      </c>
      <c r="J969" s="13">
        <v>0.0</v>
      </c>
      <c r="K969" s="12" t="s">
        <v>21</v>
      </c>
      <c r="L969" s="7">
        <v>42346.15972222222</v>
      </c>
      <c r="M969" s="14" t="s">
        <v>69</v>
      </c>
      <c r="N969" s="14" t="s">
        <v>633</v>
      </c>
      <c r="O969" s="11" t="str">
        <f t="shared" si="84"/>
        <v>View</v>
      </c>
      <c r="P969" s="15"/>
    </row>
    <row r="970">
      <c r="A970" s="7">
        <v>42425.46554398148</v>
      </c>
      <c r="B970" s="8" t="str">
        <f t="shared" si="83"/>
        <v>@NowLivecodingtv</v>
      </c>
      <c r="C970" s="10" t="s">
        <v>2320</v>
      </c>
      <c r="D970" s="10" t="s">
        <v>2331</v>
      </c>
      <c r="E970" s="11" t="str">
        <f>HYPERLINK("https://twitter.com/NowLivecodingtv/status/702933678389760000","702933678389760000")</f>
        <v>702933678389760000</v>
      </c>
      <c r="F970" s="12" t="s">
        <v>2321</v>
      </c>
      <c r="G970" s="13">
        <v>131.0</v>
      </c>
      <c r="H970" s="13">
        <v>16.0</v>
      </c>
      <c r="I970" s="13">
        <v>4.0</v>
      </c>
      <c r="J970" s="13">
        <v>0.0</v>
      </c>
      <c r="K970" s="12" t="s">
        <v>21</v>
      </c>
      <c r="L970" s="7">
        <v>42346.15972222222</v>
      </c>
      <c r="M970" s="14" t="s">
        <v>69</v>
      </c>
      <c r="N970" s="14" t="s">
        <v>633</v>
      </c>
      <c r="O970" s="11" t="str">
        <f t="shared" si="84"/>
        <v>View</v>
      </c>
      <c r="P970" s="15"/>
    </row>
    <row r="971">
      <c r="A971" s="7">
        <v>42425.46555555555</v>
      </c>
      <c r="B971" s="8" t="str">
        <f t="shared" si="83"/>
        <v>@NowLivecodingtv</v>
      </c>
      <c r="C971" s="10" t="s">
        <v>2320</v>
      </c>
      <c r="D971" s="10" t="s">
        <v>626</v>
      </c>
      <c r="E971" s="11" t="str">
        <f>HYPERLINK("https://twitter.com/NowLivecodingtv/status/702933683569754112","702933683569754112")</f>
        <v>702933683569754112</v>
      </c>
      <c r="F971" s="12" t="s">
        <v>2321</v>
      </c>
      <c r="G971" s="13">
        <v>131.0</v>
      </c>
      <c r="H971" s="13">
        <v>16.0</v>
      </c>
      <c r="I971" s="13">
        <v>14.0</v>
      </c>
      <c r="J971" s="13">
        <v>0.0</v>
      </c>
      <c r="K971" s="12" t="s">
        <v>21</v>
      </c>
      <c r="L971" s="7">
        <v>42346.15972222222</v>
      </c>
      <c r="M971" s="14" t="s">
        <v>69</v>
      </c>
      <c r="N971" s="14" t="s">
        <v>633</v>
      </c>
      <c r="O971" s="11" t="str">
        <f t="shared" si="84"/>
        <v>View</v>
      </c>
      <c r="P971" s="15"/>
    </row>
    <row r="972">
      <c r="A972" s="7">
        <v>42425.465590277774</v>
      </c>
      <c r="B972" s="8" t="str">
        <f t="shared" si="83"/>
        <v>@NowLivecodingtv</v>
      </c>
      <c r="C972" s="10" t="s">
        <v>2320</v>
      </c>
      <c r="D972" s="10" t="s">
        <v>2332</v>
      </c>
      <c r="E972" s="11" t="str">
        <f>HYPERLINK("https://twitter.com/NowLivecodingtv/status/702933696316243968","702933696316243968")</f>
        <v>702933696316243968</v>
      </c>
      <c r="F972" s="12" t="s">
        <v>2321</v>
      </c>
      <c r="G972" s="13">
        <v>131.0</v>
      </c>
      <c r="H972" s="13">
        <v>16.0</v>
      </c>
      <c r="I972" s="13">
        <v>3.0</v>
      </c>
      <c r="J972" s="13">
        <v>0.0</v>
      </c>
      <c r="K972" s="12" t="s">
        <v>21</v>
      </c>
      <c r="L972" s="7">
        <v>42346.15972222222</v>
      </c>
      <c r="M972" s="14" t="s">
        <v>69</v>
      </c>
      <c r="N972" s="14" t="s">
        <v>633</v>
      </c>
      <c r="O972" s="11" t="str">
        <f t="shared" si="84"/>
        <v>View</v>
      </c>
      <c r="P972" s="15"/>
    </row>
    <row r="973">
      <c r="A973" s="7">
        <v>42425.465636574074</v>
      </c>
      <c r="B973" s="8" t="str">
        <f t="shared" si="83"/>
        <v>@NowLivecodingtv</v>
      </c>
      <c r="C973" s="10" t="s">
        <v>2320</v>
      </c>
      <c r="D973" s="10" t="s">
        <v>2333</v>
      </c>
      <c r="E973" s="11" t="str">
        <f>HYPERLINK("https://twitter.com/NowLivecodingtv/status/702933711960997888","702933711960997888")</f>
        <v>702933711960997888</v>
      </c>
      <c r="F973" s="12" t="s">
        <v>2321</v>
      </c>
      <c r="G973" s="13">
        <v>131.0</v>
      </c>
      <c r="H973" s="13">
        <v>16.0</v>
      </c>
      <c r="I973" s="13">
        <v>4.0</v>
      </c>
      <c r="J973" s="13">
        <v>0.0</v>
      </c>
      <c r="K973" s="12" t="s">
        <v>21</v>
      </c>
      <c r="L973" s="7">
        <v>42346.15972222222</v>
      </c>
      <c r="M973" s="14" t="s">
        <v>69</v>
      </c>
      <c r="N973" s="14" t="s">
        <v>633</v>
      </c>
      <c r="O973" s="11" t="str">
        <f t="shared" si="84"/>
        <v>View</v>
      </c>
      <c r="P973" s="15"/>
    </row>
    <row r="974">
      <c r="A974" s="7">
        <v>42425.46564814815</v>
      </c>
      <c r="B974" s="8" t="str">
        <f t="shared" si="83"/>
        <v>@NowLivecodingtv</v>
      </c>
      <c r="C974" s="10" t="s">
        <v>2320</v>
      </c>
      <c r="D974" s="10" t="s">
        <v>2334</v>
      </c>
      <c r="E974" s="11" t="str">
        <f>HYPERLINK("https://twitter.com/NowLivecodingtv/status/702933717111537664","702933717111537664")</f>
        <v>702933717111537664</v>
      </c>
      <c r="F974" s="12" t="s">
        <v>2321</v>
      </c>
      <c r="G974" s="13">
        <v>131.0</v>
      </c>
      <c r="H974" s="13">
        <v>16.0</v>
      </c>
      <c r="I974" s="13">
        <v>4.0</v>
      </c>
      <c r="J974" s="13">
        <v>0.0</v>
      </c>
      <c r="K974" s="12" t="s">
        <v>21</v>
      </c>
      <c r="L974" s="7">
        <v>42346.15972222222</v>
      </c>
      <c r="M974" s="14" t="s">
        <v>69</v>
      </c>
      <c r="N974" s="14" t="s">
        <v>633</v>
      </c>
      <c r="O974" s="11" t="str">
        <f t="shared" si="84"/>
        <v>View</v>
      </c>
      <c r="P974" s="15"/>
    </row>
    <row r="975">
      <c r="A975" s="7">
        <v>42425.46575231482</v>
      </c>
      <c r="B975" s="8" t="str">
        <f t="shared" si="83"/>
        <v>@NowLivecodingtv</v>
      </c>
      <c r="C975" s="10" t="s">
        <v>2320</v>
      </c>
      <c r="D975" s="10" t="s">
        <v>289</v>
      </c>
      <c r="E975" s="11" t="str">
        <f>HYPERLINK("https://twitter.com/NowLivecodingtv/status/702933755309092864","702933755309092864")</f>
        <v>702933755309092864</v>
      </c>
      <c r="F975" s="12" t="s">
        <v>2321</v>
      </c>
      <c r="G975" s="13">
        <v>131.0</v>
      </c>
      <c r="H975" s="13">
        <v>16.0</v>
      </c>
      <c r="I975" s="13">
        <v>13.0</v>
      </c>
      <c r="J975" s="13">
        <v>0.0</v>
      </c>
      <c r="K975" s="12" t="s">
        <v>21</v>
      </c>
      <c r="L975" s="7">
        <v>42346.15972222222</v>
      </c>
      <c r="M975" s="14" t="s">
        <v>69</v>
      </c>
      <c r="N975" s="14" t="s">
        <v>633</v>
      </c>
      <c r="O975" s="11" t="str">
        <f t="shared" si="84"/>
        <v>View</v>
      </c>
      <c r="P975" s="15"/>
    </row>
    <row r="976">
      <c r="A976" s="7">
        <v>42425.46581018518</v>
      </c>
      <c r="B976" s="8" t="str">
        <f>HYPERLINK("https://twitter.com/tzmuenchen","@tzmuenchen")</f>
        <v>@tzmuenchen</v>
      </c>
      <c r="C976" s="10" t="s">
        <v>2335</v>
      </c>
      <c r="D976" s="10" t="s">
        <v>2336</v>
      </c>
      <c r="E976" s="11" t="str">
        <f>HYPERLINK("https://twitter.com/tzmuenchen/status/702933774594666497","702933774594666497")</f>
        <v>702933774594666497</v>
      </c>
      <c r="F976" s="12" t="s">
        <v>446</v>
      </c>
      <c r="G976" s="13">
        <v>7220.0</v>
      </c>
      <c r="H976" s="13">
        <v>271.0</v>
      </c>
      <c r="I976" s="13">
        <v>0.0</v>
      </c>
      <c r="J976" s="13">
        <v>1.0</v>
      </c>
      <c r="K976" s="12" t="s">
        <v>21</v>
      </c>
      <c r="L976" s="7">
        <v>39749.29190972222</v>
      </c>
      <c r="M976" s="14" t="s">
        <v>2337</v>
      </c>
      <c r="N976" s="14" t="s">
        <v>2338</v>
      </c>
      <c r="O976" s="11" t="str">
        <f>HYPERLINK("https://pbs.twimg.com/profile_images/493742697622945792/qzJB7aUj_normal.jpeg","View")</f>
        <v>View</v>
      </c>
      <c r="P976" s="15"/>
    </row>
    <row r="977">
      <c r="A977" s="7">
        <v>42425.465833333335</v>
      </c>
      <c r="B977" s="8" t="str">
        <f>HYPERLINK("https://twitter.com/NowLivecodingtv","@NowLivecodingtv")</f>
        <v>@NowLivecodingtv</v>
      </c>
      <c r="C977" s="10" t="s">
        <v>2320</v>
      </c>
      <c r="D977" s="10" t="s">
        <v>2339</v>
      </c>
      <c r="E977" s="11" t="str">
        <f>HYPERLINK("https://twitter.com/NowLivecodingtv/status/702933784782442496","702933784782442496")</f>
        <v>702933784782442496</v>
      </c>
      <c r="F977" s="12" t="s">
        <v>2321</v>
      </c>
      <c r="G977" s="13">
        <v>131.0</v>
      </c>
      <c r="H977" s="13">
        <v>16.0</v>
      </c>
      <c r="I977" s="13">
        <v>7.0</v>
      </c>
      <c r="J977" s="13">
        <v>0.0</v>
      </c>
      <c r="K977" s="12" t="s">
        <v>21</v>
      </c>
      <c r="L977" s="7">
        <v>42346.15972222222</v>
      </c>
      <c r="M977" s="14" t="s">
        <v>69</v>
      </c>
      <c r="N977" s="14" t="s">
        <v>633</v>
      </c>
      <c r="O977" s="11" t="str">
        <f>HYPERLINK("https://pbs.twimg.com/profile_images/699984077877874688/aR2ovqId_normal.png","View")</f>
        <v>View</v>
      </c>
      <c r="P977" s="15"/>
    </row>
    <row r="978">
      <c r="A978" s="7">
        <v>42425.46601851852</v>
      </c>
      <c r="B978" s="8" t="str">
        <f>HYPERLINK("https://twitter.com/mwright_com","@mwright_com")</f>
        <v>@mwright_com</v>
      </c>
      <c r="C978" s="10" t="s">
        <v>2340</v>
      </c>
      <c r="D978" s="10" t="s">
        <v>2341</v>
      </c>
      <c r="E978" s="11" t="str">
        <f>HYPERLINK("https://twitter.com/mwright_com/status/702933851056648192","702933851056648192")</f>
        <v>702933851056648192</v>
      </c>
      <c r="F978" s="12" t="s">
        <v>20</v>
      </c>
      <c r="G978" s="13">
        <v>33457.0</v>
      </c>
      <c r="H978" s="13">
        <v>1880.0</v>
      </c>
      <c r="I978" s="13">
        <v>0.0</v>
      </c>
      <c r="J978" s="13">
        <v>2.0</v>
      </c>
      <c r="K978" s="12" t="s">
        <v>21</v>
      </c>
      <c r="L978" s="7">
        <v>40115.58452546296</v>
      </c>
      <c r="M978" s="14" t="s">
        <v>1500</v>
      </c>
      <c r="N978" s="14" t="s">
        <v>2342</v>
      </c>
      <c r="O978" s="11" t="str">
        <f>HYPERLINK("https://pbs.twimg.com/profile_images/614140211577159680/zkV4JA6z_normal.png","View")</f>
        <v>View</v>
      </c>
      <c r="P978" s="15"/>
    </row>
    <row r="979">
      <c r="A979" s="7">
        <v>42425.46771990741</v>
      </c>
      <c r="B979" s="8" t="str">
        <f>HYPERLINK("https://twitter.com/PythonDaily","@PythonDaily")</f>
        <v>@PythonDaily</v>
      </c>
      <c r="C979" s="10" t="s">
        <v>521</v>
      </c>
      <c r="D979" s="10" t="s">
        <v>2343</v>
      </c>
      <c r="E979" s="11" t="str">
        <f>HYPERLINK("https://twitter.com/PythonDaily/status/702934465165680640","702934465165680640")</f>
        <v>702934465165680640</v>
      </c>
      <c r="F979" s="12" t="s">
        <v>521</v>
      </c>
      <c r="G979" s="13">
        <v>3329.0</v>
      </c>
      <c r="H979" s="13">
        <v>57.0</v>
      </c>
      <c r="I979" s="13">
        <v>3.0</v>
      </c>
      <c r="J979" s="13">
        <v>7.0</v>
      </c>
      <c r="K979" s="12" t="s">
        <v>21</v>
      </c>
      <c r="L979" s="7">
        <v>41447.56123842593</v>
      </c>
      <c r="M979" s="16"/>
      <c r="N979" s="14" t="s">
        <v>523</v>
      </c>
      <c r="O979" s="11" t="str">
        <f>HYPERLINK("https://pbs.twimg.com/profile_images/378800000030851202/b6bb871a13825bae9004a9aab3a1d726_normal.jpeg","View")</f>
        <v>View</v>
      </c>
      <c r="P979" s="15"/>
    </row>
    <row r="980">
      <c r="A980" s="7">
        <v>42425.46872685185</v>
      </c>
      <c r="B980" s="8" t="str">
        <f>HYPERLINK("https://twitter.com/NowLivecodingtv","@NowLivecodingtv")</f>
        <v>@NowLivecodingtv</v>
      </c>
      <c r="C980" s="10" t="s">
        <v>2320</v>
      </c>
      <c r="D980" s="10" t="s">
        <v>2344</v>
      </c>
      <c r="E980" s="11" t="str">
        <f>HYPERLINK("https://twitter.com/NowLivecodingtv/status/702934831089332224","702934831089332224")</f>
        <v>702934831089332224</v>
      </c>
      <c r="F980" s="12" t="s">
        <v>2321</v>
      </c>
      <c r="G980" s="13">
        <v>131.0</v>
      </c>
      <c r="H980" s="13">
        <v>16.0</v>
      </c>
      <c r="I980" s="13">
        <v>4.0</v>
      </c>
      <c r="J980" s="13">
        <v>0.0</v>
      </c>
      <c r="K980" s="12" t="s">
        <v>21</v>
      </c>
      <c r="L980" s="7">
        <v>42346.15972222222</v>
      </c>
      <c r="M980" s="14" t="s">
        <v>69</v>
      </c>
      <c r="N980" s="14" t="s">
        <v>633</v>
      </c>
      <c r="O980" s="11" t="str">
        <f>HYPERLINK("https://pbs.twimg.com/profile_images/699984077877874688/aR2ovqId_normal.png","View")</f>
        <v>View</v>
      </c>
      <c r="P980" s="15"/>
    </row>
    <row r="981">
      <c r="A981" s="7">
        <v>42425.47001157407</v>
      </c>
      <c r="B981" s="8" t="str">
        <f>HYPERLINK("https://twitter.com/driscollis","@driscollis")</f>
        <v>@driscollis</v>
      </c>
      <c r="C981" s="10" t="s">
        <v>2345</v>
      </c>
      <c r="D981" s="10" t="s">
        <v>2346</v>
      </c>
      <c r="E981" s="11" t="str">
        <f>HYPERLINK("https://twitter.com/driscollis/status/702935296262799360","702935296262799360")</f>
        <v>702935296262799360</v>
      </c>
      <c r="F981" s="12" t="s">
        <v>20</v>
      </c>
      <c r="G981" s="13">
        <v>264.0</v>
      </c>
      <c r="H981" s="13">
        <v>59.0</v>
      </c>
      <c r="I981" s="13">
        <v>4.0</v>
      </c>
      <c r="J981" s="13">
        <v>10.0</v>
      </c>
      <c r="K981" s="12" t="s">
        <v>21</v>
      </c>
      <c r="L981" s="7">
        <v>39829.2484837963</v>
      </c>
      <c r="M981" s="14" t="s">
        <v>2347</v>
      </c>
      <c r="N981" s="14" t="s">
        <v>2348</v>
      </c>
      <c r="O981" s="11" t="str">
        <f>HYPERLINK("https://pbs.twimg.com/profile_images/1230999289/snakehead_blue_normal.jpg","View")</f>
        <v>View</v>
      </c>
      <c r="P981" s="15"/>
    </row>
    <row r="982">
      <c r="A982" s="7">
        <v>42425.47013888889</v>
      </c>
      <c r="B982" s="8" t="str">
        <f>HYPERLINK("https://twitter.com/NowLivecodingtv","@NowLivecodingtv")</f>
        <v>@NowLivecodingtv</v>
      </c>
      <c r="C982" s="10" t="s">
        <v>2320</v>
      </c>
      <c r="D982" s="10" t="s">
        <v>175</v>
      </c>
      <c r="E982" s="11" t="str">
        <f>HYPERLINK("https://twitter.com/NowLivecodingtv/status/702935343352279040","702935343352279040")</f>
        <v>702935343352279040</v>
      </c>
      <c r="F982" s="12" t="s">
        <v>2321</v>
      </c>
      <c r="G982" s="13">
        <v>131.0</v>
      </c>
      <c r="H982" s="13">
        <v>16.0</v>
      </c>
      <c r="I982" s="13">
        <v>3.0</v>
      </c>
      <c r="J982" s="13">
        <v>0.0</v>
      </c>
      <c r="K982" s="12" t="s">
        <v>21</v>
      </c>
      <c r="L982" s="7">
        <v>42346.15972222222</v>
      </c>
      <c r="M982" s="14" t="s">
        <v>69</v>
      </c>
      <c r="N982" s="14" t="s">
        <v>633</v>
      </c>
      <c r="O982" s="11" t="str">
        <f>HYPERLINK("https://pbs.twimg.com/profile_images/699984077877874688/aR2ovqId_normal.png","View")</f>
        <v>View</v>
      </c>
      <c r="P982" s="15"/>
    </row>
    <row r="983">
      <c r="A983" s="7">
        <v>42425.470613425925</v>
      </c>
      <c r="B983" s="8" t="str">
        <f>HYPERLINK("https://twitter.com/pathcl","@pathcl")</f>
        <v>@pathcl</v>
      </c>
      <c r="C983" s="10" t="s">
        <v>2349</v>
      </c>
      <c r="D983" s="10" t="s">
        <v>2313</v>
      </c>
      <c r="E983" s="11" t="str">
        <f>HYPERLINK("https://twitter.com/pathcl/status/702935516535267328","702935516535267328")</f>
        <v>702935516535267328</v>
      </c>
      <c r="F983" s="12" t="s">
        <v>446</v>
      </c>
      <c r="G983" s="13">
        <v>434.0</v>
      </c>
      <c r="H983" s="13">
        <v>996.0</v>
      </c>
      <c r="I983" s="13">
        <v>2.0</v>
      </c>
      <c r="J983" s="13">
        <v>0.0</v>
      </c>
      <c r="K983" s="12" t="s">
        <v>21</v>
      </c>
      <c r="L983" s="7">
        <v>40745.90613425926</v>
      </c>
      <c r="M983" s="14" t="s">
        <v>2350</v>
      </c>
      <c r="N983" s="14" t="s">
        <v>2351</v>
      </c>
      <c r="O983" s="11" t="str">
        <f>HYPERLINK("https://pbs.twimg.com/profile_images/549303220095311872/zfmOmqXR_normal.jpeg","View")</f>
        <v>View</v>
      </c>
      <c r="P983" s="15"/>
    </row>
    <row r="984">
      <c r="A984" s="7">
        <v>42425.47134259259</v>
      </c>
      <c r="B984" s="8" t="str">
        <f>HYPERLINK("https://twitter.com/PyBloggers","@PyBloggers")</f>
        <v>@PyBloggers</v>
      </c>
      <c r="C984" s="10" t="s">
        <v>1436</v>
      </c>
      <c r="D984" s="10" t="s">
        <v>2352</v>
      </c>
      <c r="E984" s="11" t="str">
        <f>HYPERLINK("https://twitter.com/PyBloggers/status/702935781602697221","702935781602697221")</f>
        <v>702935781602697221</v>
      </c>
      <c r="F984" s="12" t="s">
        <v>103</v>
      </c>
      <c r="G984" s="13">
        <v>140.0</v>
      </c>
      <c r="H984" s="13">
        <v>160.0</v>
      </c>
      <c r="I984" s="13">
        <v>1.0</v>
      </c>
      <c r="J984" s="13">
        <v>0.0</v>
      </c>
      <c r="K984" s="12" t="s">
        <v>21</v>
      </c>
      <c r="L984" s="7">
        <v>42353.56018518518</v>
      </c>
      <c r="M984" s="16"/>
      <c r="N984" s="14" t="s">
        <v>1438</v>
      </c>
      <c r="O984" s="11" t="str">
        <f>HYPERLINK("https://pbs.twimg.com/profile_images/682279186690621441/VjBmfdfj_normal.png","View")</f>
        <v>View</v>
      </c>
      <c r="P984" s="15"/>
    </row>
    <row r="985">
      <c r="A985" s="7">
        <v>42425.47226851852</v>
      </c>
      <c r="B985" s="8" t="str">
        <f>HYPERLINK("https://twitter.com/noemi_gutierrez","@noemi_gutierrez")</f>
        <v>@noemi_gutierrez</v>
      </c>
      <c r="C985" s="10" t="s">
        <v>2353</v>
      </c>
      <c r="D985" s="10" t="s">
        <v>2354</v>
      </c>
      <c r="E985" s="11" t="str">
        <f>HYPERLINK("https://twitter.com/noemi_gutierrez/status/702936113921531904","702936113921531904")</f>
        <v>702936113921531904</v>
      </c>
      <c r="F985" s="12" t="s">
        <v>152</v>
      </c>
      <c r="G985" s="13">
        <v>458.0</v>
      </c>
      <c r="H985" s="13">
        <v>1009.0</v>
      </c>
      <c r="I985" s="13">
        <v>2.0</v>
      </c>
      <c r="J985" s="13">
        <v>0.0</v>
      </c>
      <c r="K985" s="12" t="s">
        <v>21</v>
      </c>
      <c r="L985" s="7">
        <v>40784.514756944445</v>
      </c>
      <c r="M985" s="14" t="s">
        <v>2355</v>
      </c>
      <c r="N985" s="14" t="s">
        <v>2356</v>
      </c>
      <c r="O985" s="11" t="str">
        <f>HYPERLINK("https://pbs.twimg.com/profile_images/1519454893/Face_3-edited_normal.jpg","View")</f>
        <v>View</v>
      </c>
      <c r="P985" s="15"/>
    </row>
    <row r="986">
      <c r="A986" s="7">
        <v>42425.47234953704</v>
      </c>
      <c r="B986" s="8" t="str">
        <f>HYPERLINK("https://twitter.com/ViewYonder","@ViewYonder")</f>
        <v>@ViewYonder</v>
      </c>
      <c r="C986" s="10" t="s">
        <v>2357</v>
      </c>
      <c r="D986" s="10" t="s">
        <v>2358</v>
      </c>
      <c r="E986" s="11" t="str">
        <f>HYPERLINK("https://twitter.com/ViewYonder/status/702936144066043904","702936144066043904")</f>
        <v>702936144066043904</v>
      </c>
      <c r="F986" s="12" t="s">
        <v>294</v>
      </c>
      <c r="G986" s="13">
        <v>440.0</v>
      </c>
      <c r="H986" s="13">
        <v>1088.0</v>
      </c>
      <c r="I986" s="13">
        <v>0.0</v>
      </c>
      <c r="J986" s="13">
        <v>2.0</v>
      </c>
      <c r="K986" s="12" t="s">
        <v>21</v>
      </c>
      <c r="L986" s="7">
        <v>40308.775972222225</v>
      </c>
      <c r="M986" s="14" t="s">
        <v>104</v>
      </c>
      <c r="N986" s="14" t="s">
        <v>2359</v>
      </c>
      <c r="O986" s="11" t="str">
        <f>HYPERLINK("https://pbs.twimg.com/profile_images/600667838412681216/tCXLSs9n_normal.png","View")</f>
        <v>View</v>
      </c>
      <c r="P986" s="15"/>
    </row>
    <row r="987">
      <c r="A987" s="7">
        <v>42425.472407407404</v>
      </c>
      <c r="B987" s="8" t="str">
        <f>HYPERLINK("https://twitter.com/qba73","@qba73")</f>
        <v>@qba73</v>
      </c>
      <c r="C987" s="10" t="s">
        <v>2360</v>
      </c>
      <c r="D987" s="10" t="s">
        <v>2361</v>
      </c>
      <c r="E987" s="11" t="str">
        <f>HYPERLINK("https://twitter.com/qba73/status/702936163804389376","702936163804389376")</f>
        <v>702936163804389376</v>
      </c>
      <c r="F987" s="12" t="s">
        <v>152</v>
      </c>
      <c r="G987" s="13">
        <v>658.0</v>
      </c>
      <c r="H987" s="13">
        <v>480.0</v>
      </c>
      <c r="I987" s="13">
        <v>4.0</v>
      </c>
      <c r="J987" s="13">
        <v>0.0</v>
      </c>
      <c r="K987" s="12" t="s">
        <v>21</v>
      </c>
      <c r="L987" s="7">
        <v>39916.403229166666</v>
      </c>
      <c r="M987" s="14" t="s">
        <v>1031</v>
      </c>
      <c r="N987" s="14" t="s">
        <v>2362</v>
      </c>
      <c r="O987" s="11" t="str">
        <f>HYPERLINK("https://pbs.twimg.com/profile_images/579383462353854464/wiOuOiUP_normal.jpg","View")</f>
        <v>View</v>
      </c>
      <c r="P987" s="15"/>
    </row>
    <row r="988">
      <c r="A988" s="7">
        <v>42425.472453703704</v>
      </c>
      <c r="B988" s="8" t="str">
        <f>HYPERLINK("https://twitter.com/lennincaro","@lennincaro")</f>
        <v>@lennincaro</v>
      </c>
      <c r="C988" s="10" t="s">
        <v>2363</v>
      </c>
      <c r="D988" s="10" t="s">
        <v>2364</v>
      </c>
      <c r="E988" s="11" t="str">
        <f>HYPERLINK("https://twitter.com/lennincaro/status/702936181814726656","702936181814726656")</f>
        <v>702936181814726656</v>
      </c>
      <c r="F988" s="12" t="s">
        <v>20</v>
      </c>
      <c r="G988" s="13">
        <v>1057.0</v>
      </c>
      <c r="H988" s="13">
        <v>1362.0</v>
      </c>
      <c r="I988" s="13">
        <v>0.0</v>
      </c>
      <c r="J988" s="13">
        <v>3.0</v>
      </c>
      <c r="K988" s="12" t="s">
        <v>21</v>
      </c>
      <c r="L988" s="7">
        <v>40472.448125</v>
      </c>
      <c r="M988" s="16"/>
      <c r="N988" s="14" t="s">
        <v>2365</v>
      </c>
      <c r="O988" s="11" t="str">
        <f>HYPERLINK("https://pbs.twimg.com/profile_images/620976524448153600/FaP0gL2J_normal.jpg","View")</f>
        <v>View</v>
      </c>
      <c r="P988" s="15"/>
    </row>
    <row r="989">
      <c r="A989" s="7">
        <v>42425.472546296296</v>
      </c>
      <c r="B989" s="8" t="str">
        <f>HYPERLINK("https://twitter.com/jcrodriguezu","@jcrodriguezu")</f>
        <v>@jcrodriguezu</v>
      </c>
      <c r="C989" s="10" t="s">
        <v>2366</v>
      </c>
      <c r="D989" s="10" t="s">
        <v>2367</v>
      </c>
      <c r="E989" s="11" t="str">
        <f>HYPERLINK("https://twitter.com/jcrodriguezu/status/702936215679594496","702936215679594496")</f>
        <v>702936215679594496</v>
      </c>
      <c r="F989" s="12" t="s">
        <v>20</v>
      </c>
      <c r="G989" s="13">
        <v>408.0</v>
      </c>
      <c r="H989" s="13">
        <v>859.0</v>
      </c>
      <c r="I989" s="13">
        <v>0.0</v>
      </c>
      <c r="J989" s="13">
        <v>0.0</v>
      </c>
      <c r="K989" s="12" t="s">
        <v>21</v>
      </c>
      <c r="L989" s="7">
        <v>40857.85033564815</v>
      </c>
      <c r="M989" s="14" t="s">
        <v>2368</v>
      </c>
      <c r="N989" s="14" t="s">
        <v>2369</v>
      </c>
      <c r="O989" s="11" t="str">
        <f>HYPERLINK("https://pbs.twimg.com/profile_images/590027861098176512/3H8F-4B-_normal.jpg","View")</f>
        <v>View</v>
      </c>
      <c r="P989" s="15"/>
    </row>
    <row r="990">
      <c r="A990" s="7">
        <v>42425.47288194444</v>
      </c>
      <c r="B990" s="8" t="str">
        <f>HYPERLINK("https://twitter.com/lennincaro","@lennincaro")</f>
        <v>@lennincaro</v>
      </c>
      <c r="C990" s="10" t="s">
        <v>2363</v>
      </c>
      <c r="D990" s="10" t="s">
        <v>2370</v>
      </c>
      <c r="E990" s="11" t="str">
        <f>HYPERLINK("https://twitter.com/lennincaro/status/702936336722960385","702936336722960385")</f>
        <v>702936336722960385</v>
      </c>
      <c r="F990" s="12" t="s">
        <v>20</v>
      </c>
      <c r="G990" s="13">
        <v>1057.0</v>
      </c>
      <c r="H990" s="13">
        <v>1362.0</v>
      </c>
      <c r="I990" s="13">
        <v>1.0</v>
      </c>
      <c r="J990" s="13">
        <v>2.0</v>
      </c>
      <c r="K990" s="12" t="s">
        <v>21</v>
      </c>
      <c r="L990" s="7">
        <v>40472.448125</v>
      </c>
      <c r="M990" s="16"/>
      <c r="N990" s="14" t="s">
        <v>2365</v>
      </c>
      <c r="O990" s="11" t="str">
        <f>HYPERLINK("https://pbs.twimg.com/profile_images/620976524448153600/FaP0gL2J_normal.jpg","View")</f>
        <v>View</v>
      </c>
      <c r="P990" s="15"/>
    </row>
    <row r="991">
      <c r="A991" s="7">
        <v>42425.47295138889</v>
      </c>
      <c r="B991" s="8" t="str">
        <f>HYPERLINK("https://twitter.com/paulolehenn","@paulolehenn")</f>
        <v>@paulolehenn</v>
      </c>
      <c r="C991" s="10" t="s">
        <v>2371</v>
      </c>
      <c r="D991" s="10" t="s">
        <v>2372</v>
      </c>
      <c r="E991" s="11" t="str">
        <f>HYPERLINK("https://twitter.com/paulolehenn/status/702936364623523840","702936364623523840")</f>
        <v>702936364623523840</v>
      </c>
      <c r="F991" s="12" t="s">
        <v>20</v>
      </c>
      <c r="G991" s="13">
        <v>173.0</v>
      </c>
      <c r="H991" s="13">
        <v>246.0</v>
      </c>
      <c r="I991" s="13">
        <v>0.0</v>
      </c>
      <c r="J991" s="13">
        <v>1.0</v>
      </c>
      <c r="K991" s="12" t="s">
        <v>21</v>
      </c>
      <c r="L991" s="7">
        <v>41823.55207175926</v>
      </c>
      <c r="M991" s="14" t="s">
        <v>2373</v>
      </c>
      <c r="N991" s="14" t="s">
        <v>2374</v>
      </c>
      <c r="O991" s="11" t="str">
        <f>HYPERLINK("https://pbs.twimg.com/profile_images/484793285517402112/hv2iJhsO_normal.jpeg","View")</f>
        <v>View</v>
      </c>
      <c r="P991" s="15"/>
    </row>
    <row r="992">
      <c r="A992" s="7">
        <v>42425.473182870366</v>
      </c>
      <c r="B992" s="8" t="str">
        <f>HYPERLINK("https://twitter.com/sanasarwat80","@sanasarwat80")</f>
        <v>@sanasarwat80</v>
      </c>
      <c r="C992" s="10" t="s">
        <v>2375</v>
      </c>
      <c r="D992" s="10" t="s">
        <v>1575</v>
      </c>
      <c r="E992" s="11" t="str">
        <f>HYPERLINK("https://twitter.com/sanasarwat80/status/702936447037210624","702936447037210624")</f>
        <v>702936447037210624</v>
      </c>
      <c r="F992" s="12" t="s">
        <v>152</v>
      </c>
      <c r="G992" s="13">
        <v>11622.0</v>
      </c>
      <c r="H992" s="13">
        <v>54.0</v>
      </c>
      <c r="I992" s="13">
        <v>9.0</v>
      </c>
      <c r="J992" s="13">
        <v>0.0</v>
      </c>
      <c r="K992" s="12" t="s">
        <v>21</v>
      </c>
      <c r="L992" s="7">
        <v>41808.49612268519</v>
      </c>
      <c r="M992" s="14" t="s">
        <v>2376</v>
      </c>
      <c r="N992" s="14" t="s">
        <v>2377</v>
      </c>
      <c r="O992" s="11" t="str">
        <f>HYPERLINK("https://pbs.twimg.com/profile_images/479346109928587264/aEKzuGWt_normal.jpeg","View")</f>
        <v>View</v>
      </c>
      <c r="P992" s="15"/>
    </row>
    <row r="993">
      <c r="A993" s="7">
        <v>42425.47325231481</v>
      </c>
      <c r="B993" s="8" t="str">
        <f>HYPERLINK("https://twitter.com/lennincaro","@lennincaro")</f>
        <v>@lennincaro</v>
      </c>
      <c r="C993" s="10" t="s">
        <v>2363</v>
      </c>
      <c r="D993" s="10" t="s">
        <v>2378</v>
      </c>
      <c r="E993" s="11" t="str">
        <f>HYPERLINK("https://twitter.com/lennincaro/status/702936471813152768","702936471813152768")</f>
        <v>702936471813152768</v>
      </c>
      <c r="F993" s="12" t="s">
        <v>20</v>
      </c>
      <c r="G993" s="13">
        <v>1057.0</v>
      </c>
      <c r="H993" s="13">
        <v>1362.0</v>
      </c>
      <c r="I993" s="13">
        <v>3.0</v>
      </c>
      <c r="J993" s="13">
        <v>2.0</v>
      </c>
      <c r="K993" s="12" t="s">
        <v>21</v>
      </c>
      <c r="L993" s="7">
        <v>40472.448125</v>
      </c>
      <c r="M993" s="16"/>
      <c r="N993" s="14" t="s">
        <v>2365</v>
      </c>
      <c r="O993" s="11" t="str">
        <f>HYPERLINK("https://pbs.twimg.com/profile_images/620976524448153600/FaP0gL2J_normal.jpg","View")</f>
        <v>View</v>
      </c>
      <c r="P993" s="15"/>
    </row>
    <row r="994">
      <c r="A994" s="7">
        <v>42425.47341435185</v>
      </c>
      <c r="B994" s="8" t="str">
        <f>HYPERLINK("https://twitter.com/AlejoJamC","@AlejoJamC")</f>
        <v>@AlejoJamC</v>
      </c>
      <c r="C994" s="10" t="s">
        <v>2379</v>
      </c>
      <c r="D994" s="10" t="s">
        <v>2380</v>
      </c>
      <c r="E994" s="11" t="str">
        <f>HYPERLINK("https://twitter.com/AlejoJamC/status/702936531212832769","702936531212832769")</f>
        <v>702936531212832769</v>
      </c>
      <c r="F994" s="12" t="s">
        <v>20</v>
      </c>
      <c r="G994" s="13">
        <v>409.0</v>
      </c>
      <c r="H994" s="13">
        <v>812.0</v>
      </c>
      <c r="I994" s="13">
        <v>1.0</v>
      </c>
      <c r="J994" s="13">
        <v>4.0</v>
      </c>
      <c r="K994" s="12" t="s">
        <v>21</v>
      </c>
      <c r="L994" s="7">
        <v>40805.39266203703</v>
      </c>
      <c r="M994" s="14" t="s">
        <v>969</v>
      </c>
      <c r="N994" s="14" t="s">
        <v>2381</v>
      </c>
      <c r="O994" s="11" t="str">
        <f>HYPERLINK("https://pbs.twimg.com/profile_images/679033708003880960/3XtpgwuQ_normal.jpg","View")</f>
        <v>View</v>
      </c>
      <c r="P994" s="15"/>
    </row>
    <row r="995">
      <c r="A995" s="7">
        <v>42425.4734837963</v>
      </c>
      <c r="B995" s="8" t="str">
        <f>HYPERLINK("https://twitter.com/lennincaro","@lennincaro")</f>
        <v>@lennincaro</v>
      </c>
      <c r="C995" s="10" t="s">
        <v>2363</v>
      </c>
      <c r="D995" s="10" t="s">
        <v>2382</v>
      </c>
      <c r="E995" s="11" t="str">
        <f>HYPERLINK("https://twitter.com/lennincaro/status/702936556680712192","702936556680712192")</f>
        <v>702936556680712192</v>
      </c>
      <c r="F995" s="12" t="s">
        <v>20</v>
      </c>
      <c r="G995" s="13">
        <v>1057.0</v>
      </c>
      <c r="H995" s="13">
        <v>1362.0</v>
      </c>
      <c r="I995" s="13">
        <v>2.0</v>
      </c>
      <c r="J995" s="13">
        <v>2.0</v>
      </c>
      <c r="K995" s="12" t="s">
        <v>21</v>
      </c>
      <c r="L995" s="7">
        <v>40472.448125</v>
      </c>
      <c r="M995" s="16"/>
      <c r="N995" s="14" t="s">
        <v>2365</v>
      </c>
      <c r="O995" s="11" t="str">
        <f>HYPERLINK("https://pbs.twimg.com/profile_images/620976524448153600/FaP0gL2J_normal.jpg","View")</f>
        <v>View</v>
      </c>
      <c r="P995" s="15"/>
    </row>
    <row r="996">
      <c r="A996" s="7">
        <v>42425.473553240736</v>
      </c>
      <c r="B996" s="8" t="str">
        <f>HYPERLINK("https://twitter.com/bbddpp","@bbddpp")</f>
        <v>@bbddpp</v>
      </c>
      <c r="C996" s="20" t="s">
        <v>2383</v>
      </c>
      <c r="D996" s="10" t="s">
        <v>1992</v>
      </c>
      <c r="E996" s="11" t="str">
        <f>HYPERLINK("https://twitter.com/bbddpp/status/702936581309603840","702936581309603840")</f>
        <v>702936581309603840</v>
      </c>
      <c r="F996" s="12" t="s">
        <v>1573</v>
      </c>
      <c r="G996" s="13">
        <v>700.0</v>
      </c>
      <c r="H996" s="13">
        <v>2394.0</v>
      </c>
      <c r="I996" s="13">
        <v>3.0</v>
      </c>
      <c r="J996" s="13">
        <v>0.0</v>
      </c>
      <c r="K996" s="12" t="s">
        <v>21</v>
      </c>
      <c r="L996" s="7">
        <v>40093.202939814815</v>
      </c>
      <c r="M996" s="16"/>
      <c r="N996" s="16"/>
      <c r="O996" s="11" t="str">
        <f>HYPERLINK("https://pbs.twimg.com/profile_images/480083358534602753/5ks_h08H_normal.jpeg","View")</f>
        <v>View</v>
      </c>
      <c r="P996" s="15"/>
    </row>
    <row r="997">
      <c r="A997" s="7">
        <v>42425.473750000005</v>
      </c>
      <c r="B997" s="8" t="str">
        <f>HYPERLINK("https://twitter.com/lennincaro","@lennincaro")</f>
        <v>@lennincaro</v>
      </c>
      <c r="C997" s="10" t="s">
        <v>2363</v>
      </c>
      <c r="D997" s="10" t="s">
        <v>2384</v>
      </c>
      <c r="E997" s="11" t="str">
        <f>HYPERLINK("https://twitter.com/lennincaro/status/702936653367795716","702936653367795716")</f>
        <v>702936653367795716</v>
      </c>
      <c r="F997" s="12" t="s">
        <v>20</v>
      </c>
      <c r="G997" s="13">
        <v>1057.0</v>
      </c>
      <c r="H997" s="13">
        <v>1362.0</v>
      </c>
      <c r="I997" s="13">
        <v>2.0</v>
      </c>
      <c r="J997" s="13">
        <v>2.0</v>
      </c>
      <c r="K997" s="12" t="s">
        <v>21</v>
      </c>
      <c r="L997" s="7">
        <v>40472.448125</v>
      </c>
      <c r="M997" s="16"/>
      <c r="N997" s="14" t="s">
        <v>2365</v>
      </c>
      <c r="O997" s="11" t="str">
        <f>HYPERLINK("https://pbs.twimg.com/profile_images/620976524448153600/FaP0gL2J_normal.jpg","View")</f>
        <v>View</v>
      </c>
      <c r="P997" s="15"/>
    </row>
    <row r="998">
      <c r="A998" s="7">
        <v>42425.47393518519</v>
      </c>
      <c r="B998" s="8" t="str">
        <f>HYPERLINK("https://twitter.com/acloudguru","@acloudguru")</f>
        <v>@acloudguru</v>
      </c>
      <c r="C998" s="10" t="s">
        <v>2385</v>
      </c>
      <c r="D998" s="10" t="s">
        <v>2386</v>
      </c>
      <c r="E998" s="11" t="str">
        <f>HYPERLINK("https://twitter.com/acloudguru/status/702936717574193152","702936717574193152")</f>
        <v>702936717574193152</v>
      </c>
      <c r="F998" s="12" t="s">
        <v>52</v>
      </c>
      <c r="G998" s="13">
        <v>1572.0</v>
      </c>
      <c r="H998" s="13">
        <v>1326.0</v>
      </c>
      <c r="I998" s="13">
        <v>1.0</v>
      </c>
      <c r="J998" s="13">
        <v>0.0</v>
      </c>
      <c r="K998" s="12" t="s">
        <v>21</v>
      </c>
      <c r="L998" s="7">
        <v>42007.59825231481</v>
      </c>
      <c r="M998" s="14" t="s">
        <v>489</v>
      </c>
      <c r="N998" s="14" t="s">
        <v>2387</v>
      </c>
      <c r="O998" s="11" t="str">
        <f>HYPERLINK("https://pbs.twimg.com/profile_images/641284671305830400/ZUuLQMq6_normal.png","View")</f>
        <v>View</v>
      </c>
      <c r="P998" s="15"/>
    </row>
    <row r="999">
      <c r="A999" s="7">
        <v>42425.47483796296</v>
      </c>
      <c r="B999" s="8" t="str">
        <f>HYPERLINK("https://twitter.com/SmartSocialUK","@SmartSocialUK")</f>
        <v>@SmartSocialUK</v>
      </c>
      <c r="C999" s="10" t="s">
        <v>2388</v>
      </c>
      <c r="D999" s="10" t="s">
        <v>1689</v>
      </c>
      <c r="E999" s="11" t="str">
        <f>HYPERLINK("https://twitter.com/SmartSocialUK/status/702937048332763136","702937048332763136")</f>
        <v>702937048332763136</v>
      </c>
      <c r="F999" s="12" t="s">
        <v>52</v>
      </c>
      <c r="G999" s="13">
        <v>2107.0</v>
      </c>
      <c r="H999" s="13">
        <v>2437.0</v>
      </c>
      <c r="I999" s="13">
        <v>6.0</v>
      </c>
      <c r="J999" s="13">
        <v>0.0</v>
      </c>
      <c r="K999" s="12" t="s">
        <v>21</v>
      </c>
      <c r="L999" s="7">
        <v>40905.62395833334</v>
      </c>
      <c r="M999" s="14" t="s">
        <v>2389</v>
      </c>
      <c r="N999" s="14" t="s">
        <v>2390</v>
      </c>
      <c r="O999" s="11" t="str">
        <f>HYPERLINK("https://pbs.twimg.com/profile_images/567981950413971456/ZmTsSyL5_normal.jpeg","View")</f>
        <v>View</v>
      </c>
      <c r="P999" s="15"/>
    </row>
    <row r="1000">
      <c r="A1000" s="7">
        <v>42425.475439814814</v>
      </c>
      <c r="B1000" s="8" t="str">
        <f>HYPERLINK("https://twitter.com/lennincaro","@lennincaro")</f>
        <v>@lennincaro</v>
      </c>
      <c r="C1000" s="10" t="s">
        <v>2363</v>
      </c>
      <c r="D1000" s="10" t="s">
        <v>2391</v>
      </c>
      <c r="E1000" s="11" t="str">
        <f>HYPERLINK("https://twitter.com/lennincaro/status/702937266122039296","702937266122039296")</f>
        <v>702937266122039296</v>
      </c>
      <c r="F1000" s="12" t="s">
        <v>20</v>
      </c>
      <c r="G1000" s="13">
        <v>1057.0</v>
      </c>
      <c r="H1000" s="13">
        <v>1362.0</v>
      </c>
      <c r="I1000" s="13">
        <v>1.0</v>
      </c>
      <c r="J1000" s="13">
        <v>0.0</v>
      </c>
      <c r="K1000" s="12" t="s">
        <v>21</v>
      </c>
      <c r="L1000" s="7">
        <v>40472.448125</v>
      </c>
      <c r="M1000" s="16"/>
      <c r="N1000" s="14" t="s">
        <v>2365</v>
      </c>
      <c r="O1000" s="11" t="str">
        <f>HYPERLINK("https://pbs.twimg.com/profile_images/620976524448153600/FaP0gL2J_normal.jpg","View")</f>
        <v>View</v>
      </c>
      <c r="P1000" s="15"/>
    </row>
    <row r="1001">
      <c r="A1001" s="7">
        <v>42425.47546296296</v>
      </c>
      <c r="B1001" s="8" t="str">
        <f>HYPERLINK("https://twitter.com/Yvan_Rodriguez1","@Yvan_Rodriguez1")</f>
        <v>@Yvan_Rodriguez1</v>
      </c>
      <c r="C1001" s="10" t="s">
        <v>2392</v>
      </c>
      <c r="D1001" s="10" t="s">
        <v>2393</v>
      </c>
      <c r="E1001" s="11" t="str">
        <f>HYPERLINK("https://twitter.com/Yvan_Rodriguez1/status/702937273680207873","702937273680207873")</f>
        <v>702937273680207873</v>
      </c>
      <c r="F1001" s="12" t="s">
        <v>20</v>
      </c>
      <c r="G1001" s="13">
        <v>27.0</v>
      </c>
      <c r="H1001" s="13">
        <v>90.0</v>
      </c>
      <c r="I1001" s="13">
        <v>0.0</v>
      </c>
      <c r="J1001" s="13">
        <v>0.0</v>
      </c>
      <c r="K1001" s="12" t="s">
        <v>21</v>
      </c>
      <c r="L1001" s="7">
        <v>42151.4455787037</v>
      </c>
      <c r="M1001" s="14" t="s">
        <v>2394</v>
      </c>
      <c r="N1001" s="14" t="s">
        <v>2395</v>
      </c>
      <c r="O1001" s="11" t="str">
        <f>HYPERLINK("https://pbs.twimg.com/profile_images/603638205729091586/_xyhwlZj_normal.jpg","View")</f>
        <v>View</v>
      </c>
      <c r="P1001" s="15"/>
    </row>
    <row r="1002">
      <c r="A1002" s="7">
        <v>42425.4755787037</v>
      </c>
      <c r="B1002" s="8" t="str">
        <f t="shared" ref="B1002:B1005" si="85">HYPERLINK("https://twitter.com/GameDevBRbot","@GameDevBRbot")</f>
        <v>@GameDevBRbot</v>
      </c>
      <c r="C1002" s="10" t="s">
        <v>2396</v>
      </c>
      <c r="D1002" s="10" t="s">
        <v>2397</v>
      </c>
      <c r="E1002" s="11" t="str">
        <f>HYPERLINK("https://twitter.com/GameDevBRbot/status/702937314843074560","702937314843074560")</f>
        <v>702937314843074560</v>
      </c>
      <c r="F1002" s="12" t="s">
        <v>2398</v>
      </c>
      <c r="G1002" s="13">
        <v>5047.0</v>
      </c>
      <c r="H1002" s="13">
        <v>1380.0</v>
      </c>
      <c r="I1002" s="13">
        <v>2.0</v>
      </c>
      <c r="J1002" s="13">
        <v>0.0</v>
      </c>
      <c r="K1002" s="12" t="s">
        <v>21</v>
      </c>
      <c r="L1002" s="7">
        <v>41372.60420138889</v>
      </c>
      <c r="M1002" s="14" t="s">
        <v>432</v>
      </c>
      <c r="N1002" s="14" t="s">
        <v>2399</v>
      </c>
      <c r="O1002" s="11" t="str">
        <f t="shared" ref="O1002:O1005" si="86">HYPERLINK("https://pbs.twimg.com/profile_images/645761542269440000/a2TC8EJh_normal.jpg","View")</f>
        <v>View</v>
      </c>
      <c r="P1002" s="15"/>
    </row>
    <row r="1003">
      <c r="A1003" s="7">
        <v>42425.475590277776</v>
      </c>
      <c r="B1003" s="8" t="str">
        <f t="shared" si="85"/>
        <v>@GameDevBRbot</v>
      </c>
      <c r="C1003" s="10" t="s">
        <v>2396</v>
      </c>
      <c r="D1003" s="10" t="s">
        <v>2400</v>
      </c>
      <c r="E1003" s="11" t="str">
        <f>HYPERLINK("https://twitter.com/GameDevBRbot/status/702937317292404736","702937317292404736")</f>
        <v>702937317292404736</v>
      </c>
      <c r="F1003" s="12" t="s">
        <v>2398</v>
      </c>
      <c r="G1003" s="13">
        <v>5047.0</v>
      </c>
      <c r="H1003" s="13">
        <v>1380.0</v>
      </c>
      <c r="I1003" s="13">
        <v>2.0</v>
      </c>
      <c r="J1003" s="13">
        <v>0.0</v>
      </c>
      <c r="K1003" s="12" t="s">
        <v>21</v>
      </c>
      <c r="L1003" s="7">
        <v>41372.60420138889</v>
      </c>
      <c r="M1003" s="14" t="s">
        <v>432</v>
      </c>
      <c r="N1003" s="14" t="s">
        <v>2399</v>
      </c>
      <c r="O1003" s="11" t="str">
        <f t="shared" si="86"/>
        <v>View</v>
      </c>
      <c r="P1003" s="15"/>
    </row>
    <row r="1004">
      <c r="A1004" s="7">
        <v>42425.475590277776</v>
      </c>
      <c r="B1004" s="8" t="str">
        <f t="shared" si="85"/>
        <v>@GameDevBRbot</v>
      </c>
      <c r="C1004" s="10" t="s">
        <v>2396</v>
      </c>
      <c r="D1004" s="10" t="s">
        <v>2401</v>
      </c>
      <c r="E1004" s="11" t="str">
        <f>HYPERLINK("https://twitter.com/GameDevBRbot/status/702937319100321792","702937319100321792")</f>
        <v>702937319100321792</v>
      </c>
      <c r="F1004" s="12" t="s">
        <v>2398</v>
      </c>
      <c r="G1004" s="13">
        <v>5047.0</v>
      </c>
      <c r="H1004" s="13">
        <v>1380.0</v>
      </c>
      <c r="I1004" s="13">
        <v>3.0</v>
      </c>
      <c r="J1004" s="13">
        <v>0.0</v>
      </c>
      <c r="K1004" s="12" t="s">
        <v>21</v>
      </c>
      <c r="L1004" s="7">
        <v>41372.60420138889</v>
      </c>
      <c r="M1004" s="14" t="s">
        <v>432</v>
      </c>
      <c r="N1004" s="14" t="s">
        <v>2399</v>
      </c>
      <c r="O1004" s="11" t="str">
        <f t="shared" si="86"/>
        <v>View</v>
      </c>
      <c r="P1004" s="15"/>
    </row>
    <row r="1005">
      <c r="A1005" s="7">
        <v>42425.47560185185</v>
      </c>
      <c r="B1005" s="8" t="str">
        <f t="shared" si="85"/>
        <v>@GameDevBRbot</v>
      </c>
      <c r="C1005" s="10" t="s">
        <v>2396</v>
      </c>
      <c r="D1005" s="10" t="s">
        <v>2402</v>
      </c>
      <c r="E1005" s="11" t="str">
        <f>HYPERLINK("https://twitter.com/GameDevBRbot/status/702937322518659072","702937322518659072")</f>
        <v>702937322518659072</v>
      </c>
      <c r="F1005" s="12" t="s">
        <v>2398</v>
      </c>
      <c r="G1005" s="13">
        <v>5047.0</v>
      </c>
      <c r="H1005" s="13">
        <v>1380.0</v>
      </c>
      <c r="I1005" s="13">
        <v>1.0</v>
      </c>
      <c r="J1005" s="13">
        <v>0.0</v>
      </c>
      <c r="K1005" s="12" t="s">
        <v>21</v>
      </c>
      <c r="L1005" s="7">
        <v>41372.60420138889</v>
      </c>
      <c r="M1005" s="14" t="s">
        <v>432</v>
      </c>
      <c r="N1005" s="14" t="s">
        <v>2399</v>
      </c>
      <c r="O1005" s="11" t="str">
        <f t="shared" si="86"/>
        <v>View</v>
      </c>
      <c r="P1005" s="15"/>
    </row>
    <row r="1006">
      <c r="A1006" s="7">
        <v>42425.475810185184</v>
      </c>
      <c r="B1006" s="8" t="str">
        <f>HYPERLINK("https://twitter.com/jvabad","@jvabad")</f>
        <v>@jvabad</v>
      </c>
      <c r="C1006" s="10" t="s">
        <v>2403</v>
      </c>
      <c r="D1006" s="10" t="s">
        <v>2404</v>
      </c>
      <c r="E1006" s="11" t="str">
        <f>HYPERLINK("https://twitter.com/jvabad/status/702937398930493440","702937398930493440")</f>
        <v>702937398930493440</v>
      </c>
      <c r="F1006" s="12" t="s">
        <v>294</v>
      </c>
      <c r="G1006" s="13">
        <v>479.0</v>
      </c>
      <c r="H1006" s="13">
        <v>465.0</v>
      </c>
      <c r="I1006" s="13">
        <v>1.0</v>
      </c>
      <c r="J1006" s="13">
        <v>2.0</v>
      </c>
      <c r="K1006" s="12" t="s">
        <v>21</v>
      </c>
      <c r="L1006" s="7">
        <v>40784.41628472222</v>
      </c>
      <c r="M1006" s="14" t="s">
        <v>2405</v>
      </c>
      <c r="N1006" s="14" t="s">
        <v>2406</v>
      </c>
      <c r="O1006" s="11" t="str">
        <f>HYPERLINK("https://pbs.twimg.com/profile_images/1519236431/ja_normal.jpg","View")</f>
        <v>View</v>
      </c>
      <c r="P1006" s="15"/>
    </row>
    <row r="1007">
      <c r="A1007" s="7">
        <v>42425.47604166667</v>
      </c>
      <c r="B1007" s="8" t="str">
        <f>HYPERLINK("https://twitter.com/tonyojeda3","@tonyojeda3")</f>
        <v>@tonyojeda3</v>
      </c>
      <c r="C1007" s="10" t="s">
        <v>2407</v>
      </c>
      <c r="D1007" s="10" t="s">
        <v>2408</v>
      </c>
      <c r="E1007" s="11" t="str">
        <f>HYPERLINK("https://twitter.com/tonyojeda3/status/702937481189183488","702937481189183488")</f>
        <v>702937481189183488</v>
      </c>
      <c r="F1007" s="12" t="s">
        <v>52</v>
      </c>
      <c r="G1007" s="13">
        <v>3519.0</v>
      </c>
      <c r="H1007" s="13">
        <v>538.0</v>
      </c>
      <c r="I1007" s="13">
        <v>2.0</v>
      </c>
      <c r="J1007" s="13">
        <v>0.0</v>
      </c>
      <c r="K1007" s="12" t="s">
        <v>21</v>
      </c>
      <c r="L1007" s="7">
        <v>39969.75782407408</v>
      </c>
      <c r="M1007" s="14" t="s">
        <v>784</v>
      </c>
      <c r="N1007" s="14" t="s">
        <v>2409</v>
      </c>
      <c r="O1007" s="11" t="str">
        <f>HYPERLINK("https://pbs.twimg.com/profile_images/1211123351/Tony-Ojeda2_normal.JPG","View")</f>
        <v>View</v>
      </c>
      <c r="P1007" s="15"/>
    </row>
    <row r="1008">
      <c r="A1008" s="7">
        <v>42425.47657407407</v>
      </c>
      <c r="B1008" s="8" t="str">
        <f>HYPERLINK("https://twitter.com/sotapanna108","@sotapanna108")</f>
        <v>@sotapanna108</v>
      </c>
      <c r="C1008" s="10" t="s">
        <v>2410</v>
      </c>
      <c r="D1008" s="10" t="s">
        <v>2411</v>
      </c>
      <c r="E1008" s="11" t="str">
        <f>HYPERLINK("https://twitter.com/sotapanna108/status/702937675066691584","702937675066691584")</f>
        <v>702937675066691584</v>
      </c>
      <c r="F1008" s="12" t="s">
        <v>20</v>
      </c>
      <c r="G1008" s="13">
        <v>296.0</v>
      </c>
      <c r="H1008" s="13">
        <v>675.0</v>
      </c>
      <c r="I1008" s="13">
        <v>1201.0</v>
      </c>
      <c r="J1008" s="13">
        <v>0.0</v>
      </c>
      <c r="K1008" s="12" t="s">
        <v>21</v>
      </c>
      <c r="L1008" s="7">
        <v>40558.21020833333</v>
      </c>
      <c r="M1008" s="14" t="s">
        <v>2412</v>
      </c>
      <c r="N1008" s="14" t="s">
        <v>2413</v>
      </c>
      <c r="O1008" s="11" t="str">
        <f>HYPERLINK("https://pbs.twimg.com/profile_images/694690022897930242/qQkeGmQp_normal.jpg","View")</f>
        <v>View</v>
      </c>
      <c r="P1008" s="15"/>
    </row>
    <row r="1009">
      <c r="A1009" s="7">
        <v>42425.47712962963</v>
      </c>
      <c r="B1009" s="8" t="str">
        <f>HYPERLINK("https://twitter.com/wingston","@wingston")</f>
        <v>@wingston</v>
      </c>
      <c r="C1009" s="10" t="s">
        <v>2414</v>
      </c>
      <c r="D1009" s="10" t="s">
        <v>2415</v>
      </c>
      <c r="E1009" s="11" t="str">
        <f>HYPERLINK("https://twitter.com/wingston/status/702937878813249536","702937878813249536")</f>
        <v>702937878813249536</v>
      </c>
      <c r="F1009" s="12" t="s">
        <v>2416</v>
      </c>
      <c r="G1009" s="13">
        <v>903.0</v>
      </c>
      <c r="H1009" s="13">
        <v>1067.0</v>
      </c>
      <c r="I1009" s="13">
        <v>1.0</v>
      </c>
      <c r="J1009" s="13">
        <v>1.0</v>
      </c>
      <c r="K1009" s="12" t="s">
        <v>21</v>
      </c>
      <c r="L1009" s="7">
        <v>39865.490625</v>
      </c>
      <c r="M1009" s="14" t="s">
        <v>2038</v>
      </c>
      <c r="N1009" s="14" t="s">
        <v>2417</v>
      </c>
      <c r="O1009" s="11" t="str">
        <f>HYPERLINK("https://pbs.twimg.com/profile_images/3537672406/190f79c88052bd5078e91796fd0fffe1_normal.jpeg","View")</f>
        <v>View</v>
      </c>
      <c r="P1009" s="15"/>
    </row>
    <row r="1010">
      <c r="A1010" s="7">
        <v>42425.477534722224</v>
      </c>
      <c r="B1010" s="8" t="str">
        <f>HYPERLINK("https://twitter.com/math3uscom","@math3uscom")</f>
        <v>@math3uscom</v>
      </c>
      <c r="C1010" s="10" t="s">
        <v>2284</v>
      </c>
      <c r="D1010" s="10" t="s">
        <v>2418</v>
      </c>
      <c r="E1010" s="11" t="str">
        <f>HYPERLINK("https://twitter.com/math3uscom/status/702938022845796353","702938022845796353")</f>
        <v>702938022845796353</v>
      </c>
      <c r="F1010" s="12" t="s">
        <v>20</v>
      </c>
      <c r="G1010" s="13">
        <v>362.0</v>
      </c>
      <c r="H1010" s="13">
        <v>93.0</v>
      </c>
      <c r="I1010" s="13">
        <v>3.0</v>
      </c>
      <c r="J1010" s="13">
        <v>5.0</v>
      </c>
      <c r="K1010" s="12" t="s">
        <v>21</v>
      </c>
      <c r="L1010" s="7">
        <v>39993.38826388889</v>
      </c>
      <c r="M1010" s="14" t="s">
        <v>82</v>
      </c>
      <c r="N1010" s="14" t="s">
        <v>2286</v>
      </c>
      <c r="O1010" s="11" t="str">
        <f>HYPERLINK("https://pbs.twimg.com/profile_images/697855654577496064/ezrj73P__normal.png","View")</f>
        <v>View</v>
      </c>
      <c r="P1010" s="15"/>
    </row>
    <row r="1011">
      <c r="A1011" s="7">
        <v>42425.477534722224</v>
      </c>
      <c r="B1011" s="8" t="str">
        <f>HYPERLINK("https://twitter.com/GruPiotr","@GruPiotr")</f>
        <v>@GruPiotr</v>
      </c>
      <c r="C1011" s="10" t="s">
        <v>2419</v>
      </c>
      <c r="D1011" s="10" t="s">
        <v>2420</v>
      </c>
      <c r="E1011" s="11" t="str">
        <f>HYPERLINK("https://twitter.com/GruPiotr/status/702938023009378306","702938023009378306")</f>
        <v>702938023009378306</v>
      </c>
      <c r="F1011" s="12" t="s">
        <v>52</v>
      </c>
      <c r="G1011" s="13">
        <v>38.0</v>
      </c>
      <c r="H1011" s="13">
        <v>116.0</v>
      </c>
      <c r="I1011" s="13">
        <v>0.0</v>
      </c>
      <c r="J1011" s="13">
        <v>1.0</v>
      </c>
      <c r="K1011" s="12" t="s">
        <v>21</v>
      </c>
      <c r="L1011" s="7">
        <v>41808.088842592595</v>
      </c>
      <c r="M1011" s="16"/>
      <c r="N1011" s="14" t="s">
        <v>2421</v>
      </c>
      <c r="O1011" s="11" t="str">
        <f>HYPERLINK("https://pbs.twimg.com/profile_images/641182619724587008/7AY-Q5Qq_normal.jpg","View")</f>
        <v>View</v>
      </c>
      <c r="P1011" s="15"/>
    </row>
    <row r="1012">
      <c r="A1012" s="7">
        <v>42425.477581018524</v>
      </c>
      <c r="B1012" s="8" t="str">
        <f>HYPERLINK("https://twitter.com/siffolone","@siffolone")</f>
        <v>@siffolone</v>
      </c>
      <c r="C1012" s="10" t="s">
        <v>2422</v>
      </c>
      <c r="D1012" s="10" t="s">
        <v>2423</v>
      </c>
      <c r="E1012" s="11" t="str">
        <f>HYPERLINK("https://twitter.com/siffolone/status/702938042185719808","702938042185719808")</f>
        <v>702938042185719808</v>
      </c>
      <c r="F1012" s="12" t="s">
        <v>20</v>
      </c>
      <c r="G1012" s="13">
        <v>823.0</v>
      </c>
      <c r="H1012" s="13">
        <v>1979.0</v>
      </c>
      <c r="I1012" s="13">
        <v>1.0</v>
      </c>
      <c r="J1012" s="13">
        <v>1.0</v>
      </c>
      <c r="K1012" s="12" t="s">
        <v>21</v>
      </c>
      <c r="L1012" s="7">
        <v>40707.51664351852</v>
      </c>
      <c r="M1012" s="14" t="s">
        <v>2424</v>
      </c>
      <c r="N1012" s="14" t="s">
        <v>2425</v>
      </c>
      <c r="O1012" s="11" t="str">
        <f>HYPERLINK("https://pbs.twimg.com/profile_images/631839534846734336/yBw4IKrT_normal.jpg","View")</f>
        <v>View</v>
      </c>
      <c r="P1012" s="15"/>
    </row>
    <row r="1013">
      <c r="A1013" s="7">
        <v>42425.47761574074</v>
      </c>
      <c r="B1013" s="8" t="str">
        <f>HYPERLINK("https://twitter.com/StackDevJobs","@StackDevJobs")</f>
        <v>@StackDevJobs</v>
      </c>
      <c r="C1013" s="10" t="s">
        <v>24</v>
      </c>
      <c r="D1013" s="10" t="s">
        <v>2426</v>
      </c>
      <c r="E1013" s="11" t="str">
        <f>HYPERLINK("https://twitter.com/StackDevJobs/status/702938054584098816","702938054584098816")</f>
        <v>702938054584098816</v>
      </c>
      <c r="F1013" s="12" t="s">
        <v>26</v>
      </c>
      <c r="G1013" s="13">
        <v>12541.0</v>
      </c>
      <c r="H1013" s="13">
        <v>327.0</v>
      </c>
      <c r="I1013" s="13">
        <v>0.0</v>
      </c>
      <c r="J1013" s="13">
        <v>0.0</v>
      </c>
      <c r="K1013" s="12" t="s">
        <v>21</v>
      </c>
      <c r="L1013" s="7">
        <v>40435.245416666665</v>
      </c>
      <c r="M1013" s="16"/>
      <c r="N1013" s="14" t="s">
        <v>27</v>
      </c>
      <c r="O1013" s="11" t="str">
        <f>HYPERLINK("https://pbs.twimg.com/profile_images/643779014268579840/bRJStj7A_normal.png","View")</f>
        <v>View</v>
      </c>
      <c r="P1013" s="15"/>
    </row>
    <row r="1014">
      <c r="A1014" s="7">
        <v>42425.478738425925</v>
      </c>
      <c r="B1014" s="8" t="str">
        <f>HYPERLINK("https://twitter.com/KnelAst","@KnelAst")</f>
        <v>@KnelAst</v>
      </c>
      <c r="C1014" s="10" t="s">
        <v>2427</v>
      </c>
      <c r="D1014" s="10" t="s">
        <v>2266</v>
      </c>
      <c r="E1014" s="11" t="str">
        <f>HYPERLINK("https://twitter.com/KnelAst/status/702938458679971840","702938458679971840")</f>
        <v>702938458679971840</v>
      </c>
      <c r="F1014" s="12" t="s">
        <v>52</v>
      </c>
      <c r="G1014" s="13">
        <v>77.0</v>
      </c>
      <c r="H1014" s="13">
        <v>116.0</v>
      </c>
      <c r="I1014" s="13">
        <v>9.0</v>
      </c>
      <c r="J1014" s="13">
        <v>0.0</v>
      </c>
      <c r="K1014" s="12" t="s">
        <v>21</v>
      </c>
      <c r="L1014" s="7">
        <v>41081.77310185185</v>
      </c>
      <c r="M1014" s="16"/>
      <c r="N1014" s="14" t="s">
        <v>2428</v>
      </c>
      <c r="O1014" s="11" t="str">
        <f>HYPERLINK("https://pbs.twimg.com/profile_images/2329489605/image_normal.jpg","View")</f>
        <v>View</v>
      </c>
      <c r="P1014" s="15"/>
    </row>
    <row r="1015">
      <c r="A1015" s="7">
        <v>42425.47898148149</v>
      </c>
      <c r="B1015" s="8" t="str">
        <f>HYPERLINK("https://twitter.com/siffolone","@siffolone")</f>
        <v>@siffolone</v>
      </c>
      <c r="C1015" s="10" t="s">
        <v>2422</v>
      </c>
      <c r="D1015" s="10" t="s">
        <v>2429</v>
      </c>
      <c r="E1015" s="11" t="str">
        <f>HYPERLINK("https://twitter.com/siffolone/status/702938549419679749","702938549419679749")</f>
        <v>702938549419679749</v>
      </c>
      <c r="F1015" s="12" t="s">
        <v>20</v>
      </c>
      <c r="G1015" s="13">
        <v>823.0</v>
      </c>
      <c r="H1015" s="13">
        <v>1979.0</v>
      </c>
      <c r="I1015" s="13">
        <v>1.0</v>
      </c>
      <c r="J1015" s="13">
        <v>3.0</v>
      </c>
      <c r="K1015" s="12" t="s">
        <v>21</v>
      </c>
      <c r="L1015" s="7">
        <v>40707.51664351852</v>
      </c>
      <c r="M1015" s="14" t="s">
        <v>2424</v>
      </c>
      <c r="N1015" s="14" t="s">
        <v>2425</v>
      </c>
      <c r="O1015" s="11" t="str">
        <f>HYPERLINK("https://pbs.twimg.com/profile_images/631839534846734336/yBw4IKrT_normal.jpg","View")</f>
        <v>View</v>
      </c>
      <c r="P1015" s="15"/>
    </row>
    <row r="1016">
      <c r="A1016" s="7">
        <v>42425.47961805556</v>
      </c>
      <c r="B1016" s="8" t="str">
        <f t="shared" ref="B1016:B1025" si="87">HYPERLINK("https://twitter.com/artwisanggeni","@artwisanggeni")</f>
        <v>@artwisanggeni</v>
      </c>
      <c r="C1016" s="10" t="s">
        <v>74</v>
      </c>
      <c r="D1016" s="10" t="s">
        <v>2430</v>
      </c>
      <c r="E1016" s="11" t="str">
        <f>HYPERLINK("https://twitter.com/artwisanggeni/status/702938779380625408","702938779380625408")</f>
        <v>702938779380625408</v>
      </c>
      <c r="F1016" s="17" t="s">
        <v>76</v>
      </c>
      <c r="G1016" s="13">
        <v>236.0</v>
      </c>
      <c r="H1016" s="13">
        <v>61.0</v>
      </c>
      <c r="I1016" s="13">
        <v>0.0</v>
      </c>
      <c r="J1016" s="13">
        <v>0.0</v>
      </c>
      <c r="K1016" s="12" t="s">
        <v>21</v>
      </c>
      <c r="L1016" s="7">
        <v>41218.90608796296</v>
      </c>
      <c r="M1016" s="14" t="s">
        <v>77</v>
      </c>
      <c r="N1016" s="14" t="s">
        <v>78</v>
      </c>
      <c r="O1016" s="11" t="str">
        <f t="shared" ref="O1016:O1025" si="88">HYPERLINK("https://pbs.twimg.com/profile_images/2813636657/599521f69e2bc210a57323b64d8e39e6_normal.jpeg","View")</f>
        <v>View</v>
      </c>
      <c r="P1016" s="15"/>
    </row>
    <row r="1017">
      <c r="A1017" s="7">
        <v>42425.479629629626</v>
      </c>
      <c r="B1017" s="8" t="str">
        <f t="shared" si="87"/>
        <v>@artwisanggeni</v>
      </c>
      <c r="C1017" s="10" t="s">
        <v>74</v>
      </c>
      <c r="D1017" s="10" t="s">
        <v>2431</v>
      </c>
      <c r="E1017" s="11" t="str">
        <f>HYPERLINK("https://twitter.com/artwisanggeni/status/702938782111117312","702938782111117312")</f>
        <v>702938782111117312</v>
      </c>
      <c r="F1017" s="17" t="s">
        <v>76</v>
      </c>
      <c r="G1017" s="13">
        <v>236.0</v>
      </c>
      <c r="H1017" s="13">
        <v>61.0</v>
      </c>
      <c r="I1017" s="13">
        <v>0.0</v>
      </c>
      <c r="J1017" s="13">
        <v>0.0</v>
      </c>
      <c r="K1017" s="12" t="s">
        <v>21</v>
      </c>
      <c r="L1017" s="7">
        <v>41218.90608796296</v>
      </c>
      <c r="M1017" s="14" t="s">
        <v>77</v>
      </c>
      <c r="N1017" s="14" t="s">
        <v>78</v>
      </c>
      <c r="O1017" s="11" t="str">
        <f t="shared" si="88"/>
        <v>View</v>
      </c>
      <c r="P1017" s="15"/>
    </row>
    <row r="1018">
      <c r="A1018" s="7">
        <v>42425.479629629626</v>
      </c>
      <c r="B1018" s="8" t="str">
        <f t="shared" si="87"/>
        <v>@artwisanggeni</v>
      </c>
      <c r="C1018" s="10" t="s">
        <v>74</v>
      </c>
      <c r="D1018" s="10" t="s">
        <v>2432</v>
      </c>
      <c r="E1018" s="11" t="str">
        <f>HYPERLINK("https://twitter.com/artwisanggeni/status/702938784694796288","702938784694796288")</f>
        <v>702938784694796288</v>
      </c>
      <c r="F1018" s="17" t="s">
        <v>76</v>
      </c>
      <c r="G1018" s="13">
        <v>236.0</v>
      </c>
      <c r="H1018" s="13">
        <v>61.0</v>
      </c>
      <c r="I1018" s="13">
        <v>0.0</v>
      </c>
      <c r="J1018" s="13">
        <v>0.0</v>
      </c>
      <c r="K1018" s="12" t="s">
        <v>21</v>
      </c>
      <c r="L1018" s="7">
        <v>41218.90608796296</v>
      </c>
      <c r="M1018" s="14" t="s">
        <v>77</v>
      </c>
      <c r="N1018" s="14" t="s">
        <v>78</v>
      </c>
      <c r="O1018" s="11" t="str">
        <f t="shared" si="88"/>
        <v>View</v>
      </c>
      <c r="P1018" s="15"/>
    </row>
    <row r="1019">
      <c r="A1019" s="7">
        <v>42425.4796412037</v>
      </c>
      <c r="B1019" s="8" t="str">
        <f t="shared" si="87"/>
        <v>@artwisanggeni</v>
      </c>
      <c r="C1019" s="10" t="s">
        <v>74</v>
      </c>
      <c r="D1019" s="10" t="s">
        <v>2433</v>
      </c>
      <c r="E1019" s="11" t="str">
        <f>HYPERLINK("https://twitter.com/artwisanggeni/status/702938787400134656","702938787400134656")</f>
        <v>702938787400134656</v>
      </c>
      <c r="F1019" s="17" t="s">
        <v>76</v>
      </c>
      <c r="G1019" s="13">
        <v>236.0</v>
      </c>
      <c r="H1019" s="13">
        <v>61.0</v>
      </c>
      <c r="I1019" s="13">
        <v>0.0</v>
      </c>
      <c r="J1019" s="13">
        <v>0.0</v>
      </c>
      <c r="K1019" s="12" t="s">
        <v>21</v>
      </c>
      <c r="L1019" s="7">
        <v>41218.90608796296</v>
      </c>
      <c r="M1019" s="14" t="s">
        <v>77</v>
      </c>
      <c r="N1019" s="14" t="s">
        <v>78</v>
      </c>
      <c r="O1019" s="11" t="str">
        <f t="shared" si="88"/>
        <v>View</v>
      </c>
      <c r="P1019" s="15"/>
    </row>
    <row r="1020">
      <c r="A1020" s="7">
        <v>42425.47965277778</v>
      </c>
      <c r="B1020" s="8" t="str">
        <f t="shared" si="87"/>
        <v>@artwisanggeni</v>
      </c>
      <c r="C1020" s="10" t="s">
        <v>74</v>
      </c>
      <c r="D1020" s="10" t="s">
        <v>2434</v>
      </c>
      <c r="E1020" s="11" t="str">
        <f>HYPERLINK("https://twitter.com/artwisanggeni/status/702938790558433280","702938790558433280")</f>
        <v>702938790558433280</v>
      </c>
      <c r="F1020" s="17" t="s">
        <v>76</v>
      </c>
      <c r="G1020" s="13">
        <v>236.0</v>
      </c>
      <c r="H1020" s="13">
        <v>61.0</v>
      </c>
      <c r="I1020" s="13">
        <v>0.0</v>
      </c>
      <c r="J1020" s="13">
        <v>0.0</v>
      </c>
      <c r="K1020" s="12" t="s">
        <v>21</v>
      </c>
      <c r="L1020" s="7">
        <v>41218.90608796296</v>
      </c>
      <c r="M1020" s="14" t="s">
        <v>77</v>
      </c>
      <c r="N1020" s="14" t="s">
        <v>78</v>
      </c>
      <c r="O1020" s="11" t="str">
        <f t="shared" si="88"/>
        <v>View</v>
      </c>
      <c r="P1020" s="15"/>
    </row>
    <row r="1021">
      <c r="A1021" s="7">
        <v>42425.47965277778</v>
      </c>
      <c r="B1021" s="8" t="str">
        <f t="shared" si="87"/>
        <v>@artwisanggeni</v>
      </c>
      <c r="C1021" s="10" t="s">
        <v>74</v>
      </c>
      <c r="D1021" s="10" t="s">
        <v>2435</v>
      </c>
      <c r="E1021" s="11" t="str">
        <f>HYPERLINK("https://twitter.com/artwisanggeni/status/702938793251196928","702938793251196928")</f>
        <v>702938793251196928</v>
      </c>
      <c r="F1021" s="17" t="s">
        <v>76</v>
      </c>
      <c r="G1021" s="13">
        <v>236.0</v>
      </c>
      <c r="H1021" s="13">
        <v>61.0</v>
      </c>
      <c r="I1021" s="13">
        <v>0.0</v>
      </c>
      <c r="J1021" s="13">
        <v>0.0</v>
      </c>
      <c r="K1021" s="12" t="s">
        <v>21</v>
      </c>
      <c r="L1021" s="7">
        <v>41218.90608796296</v>
      </c>
      <c r="M1021" s="14" t="s">
        <v>77</v>
      </c>
      <c r="N1021" s="14" t="s">
        <v>78</v>
      </c>
      <c r="O1021" s="11" t="str">
        <f t="shared" si="88"/>
        <v>View</v>
      </c>
      <c r="P1021" s="15"/>
    </row>
    <row r="1022">
      <c r="A1022" s="7">
        <v>42425.47966435185</v>
      </c>
      <c r="B1022" s="8" t="str">
        <f t="shared" si="87"/>
        <v>@artwisanggeni</v>
      </c>
      <c r="C1022" s="10" t="s">
        <v>74</v>
      </c>
      <c r="D1022" s="10" t="s">
        <v>2436</v>
      </c>
      <c r="E1022" s="11" t="str">
        <f>HYPERLINK("https://twitter.com/artwisanggeni/status/702938795948113920","702938795948113920")</f>
        <v>702938795948113920</v>
      </c>
      <c r="F1022" s="17" t="s">
        <v>76</v>
      </c>
      <c r="G1022" s="13">
        <v>236.0</v>
      </c>
      <c r="H1022" s="13">
        <v>61.0</v>
      </c>
      <c r="I1022" s="13">
        <v>0.0</v>
      </c>
      <c r="J1022" s="13">
        <v>0.0</v>
      </c>
      <c r="K1022" s="12" t="s">
        <v>21</v>
      </c>
      <c r="L1022" s="7">
        <v>41218.90608796296</v>
      </c>
      <c r="M1022" s="14" t="s">
        <v>77</v>
      </c>
      <c r="N1022" s="14" t="s">
        <v>78</v>
      </c>
      <c r="O1022" s="11" t="str">
        <f t="shared" si="88"/>
        <v>View</v>
      </c>
      <c r="P1022" s="15"/>
    </row>
    <row r="1023">
      <c r="A1023" s="7">
        <v>42425.479675925926</v>
      </c>
      <c r="B1023" s="8" t="str">
        <f t="shared" si="87"/>
        <v>@artwisanggeni</v>
      </c>
      <c r="C1023" s="10" t="s">
        <v>74</v>
      </c>
      <c r="D1023" s="10" t="s">
        <v>2437</v>
      </c>
      <c r="E1023" s="11" t="str">
        <f>HYPERLINK("https://twitter.com/artwisanggeni/status/702938798951260160","702938798951260160")</f>
        <v>702938798951260160</v>
      </c>
      <c r="F1023" s="17" t="s">
        <v>76</v>
      </c>
      <c r="G1023" s="13">
        <v>236.0</v>
      </c>
      <c r="H1023" s="13">
        <v>61.0</v>
      </c>
      <c r="I1023" s="13">
        <v>0.0</v>
      </c>
      <c r="J1023" s="13">
        <v>0.0</v>
      </c>
      <c r="K1023" s="12" t="s">
        <v>21</v>
      </c>
      <c r="L1023" s="7">
        <v>41218.90608796296</v>
      </c>
      <c r="M1023" s="14" t="s">
        <v>77</v>
      </c>
      <c r="N1023" s="14" t="s">
        <v>78</v>
      </c>
      <c r="O1023" s="11" t="str">
        <f t="shared" si="88"/>
        <v>View</v>
      </c>
      <c r="P1023" s="15"/>
    </row>
    <row r="1024">
      <c r="A1024" s="7">
        <v>42425.479675925926</v>
      </c>
      <c r="B1024" s="8" t="str">
        <f t="shared" si="87"/>
        <v>@artwisanggeni</v>
      </c>
      <c r="C1024" s="10" t="s">
        <v>74</v>
      </c>
      <c r="D1024" s="10" t="s">
        <v>2438</v>
      </c>
      <c r="E1024" s="11" t="str">
        <f>HYPERLINK("https://twitter.com/artwisanggeni/status/702938801706905600","702938801706905600")</f>
        <v>702938801706905600</v>
      </c>
      <c r="F1024" s="17" t="s">
        <v>76</v>
      </c>
      <c r="G1024" s="13">
        <v>236.0</v>
      </c>
      <c r="H1024" s="13">
        <v>61.0</v>
      </c>
      <c r="I1024" s="13">
        <v>0.0</v>
      </c>
      <c r="J1024" s="13">
        <v>0.0</v>
      </c>
      <c r="K1024" s="12" t="s">
        <v>21</v>
      </c>
      <c r="L1024" s="7">
        <v>41218.90608796296</v>
      </c>
      <c r="M1024" s="14" t="s">
        <v>77</v>
      </c>
      <c r="N1024" s="14" t="s">
        <v>78</v>
      </c>
      <c r="O1024" s="11" t="str">
        <f t="shared" si="88"/>
        <v>View</v>
      </c>
      <c r="P1024" s="15"/>
    </row>
    <row r="1025">
      <c r="A1025" s="7">
        <v>42425.4796875</v>
      </c>
      <c r="B1025" s="8" t="str">
        <f t="shared" si="87"/>
        <v>@artwisanggeni</v>
      </c>
      <c r="C1025" s="10" t="s">
        <v>74</v>
      </c>
      <c r="D1025" s="10" t="s">
        <v>2439</v>
      </c>
      <c r="E1025" s="11" t="str">
        <f>HYPERLINK("https://twitter.com/artwisanggeni/status/702938804361961472","702938804361961472")</f>
        <v>702938804361961472</v>
      </c>
      <c r="F1025" s="17" t="s">
        <v>76</v>
      </c>
      <c r="G1025" s="13">
        <v>236.0</v>
      </c>
      <c r="H1025" s="13">
        <v>61.0</v>
      </c>
      <c r="I1025" s="13">
        <v>0.0</v>
      </c>
      <c r="J1025" s="13">
        <v>0.0</v>
      </c>
      <c r="K1025" s="12" t="s">
        <v>21</v>
      </c>
      <c r="L1025" s="7">
        <v>41218.90608796296</v>
      </c>
      <c r="M1025" s="14" t="s">
        <v>77</v>
      </c>
      <c r="N1025" s="14" t="s">
        <v>78</v>
      </c>
      <c r="O1025" s="11" t="str">
        <f t="shared" si="88"/>
        <v>View</v>
      </c>
      <c r="P1025" s="15"/>
    </row>
    <row r="1026">
      <c r="A1026" s="7">
        <v>42425.479849537034</v>
      </c>
      <c r="B1026" s="8" t="str">
        <f>HYPERLINK("https://twitter.com/asolntsev","@asolntsev")</f>
        <v>@asolntsev</v>
      </c>
      <c r="C1026" s="10" t="s">
        <v>2440</v>
      </c>
      <c r="D1026" s="10" t="s">
        <v>2441</v>
      </c>
      <c r="E1026" s="11" t="str">
        <f>HYPERLINK("https://twitter.com/asolntsev/status/702938864781017088","702938864781017088")</f>
        <v>702938864781017088</v>
      </c>
      <c r="F1026" s="12" t="s">
        <v>20</v>
      </c>
      <c r="G1026" s="13">
        <v>393.0</v>
      </c>
      <c r="H1026" s="13">
        <v>146.0</v>
      </c>
      <c r="I1026" s="13">
        <v>3.0</v>
      </c>
      <c r="J1026" s="13">
        <v>0.0</v>
      </c>
      <c r="K1026" s="12" t="s">
        <v>21</v>
      </c>
      <c r="L1026" s="7">
        <v>40240.24528935185</v>
      </c>
      <c r="M1026" s="14" t="s">
        <v>2442</v>
      </c>
      <c r="N1026" s="14" t="s">
        <v>2443</v>
      </c>
      <c r="O1026" s="11" t="str">
        <f>HYPERLINK("https://pbs.twimg.com/profile_images/729742252/asolntsev-avatar_normal.jpg","View")</f>
        <v>View</v>
      </c>
      <c r="P1026" s="15"/>
    </row>
    <row r="1027">
      <c r="A1027" s="7">
        <v>42425.47988425926</v>
      </c>
      <c r="B1027" s="8" t="str">
        <f>HYPERLINK("https://twitter.com/googletricks19","@googletricks19")</f>
        <v>@googletricks19</v>
      </c>
      <c r="C1027" s="10" t="s">
        <v>802</v>
      </c>
      <c r="D1027" s="10" t="s">
        <v>2444</v>
      </c>
      <c r="E1027" s="11" t="str">
        <f>HYPERLINK("https://twitter.com/googletricks19/status/702938875044470785","702938875044470785")</f>
        <v>702938875044470785</v>
      </c>
      <c r="F1027" s="12" t="s">
        <v>103</v>
      </c>
      <c r="G1027" s="13">
        <v>819.0</v>
      </c>
      <c r="H1027" s="13">
        <v>218.0</v>
      </c>
      <c r="I1027" s="13">
        <v>0.0</v>
      </c>
      <c r="J1027" s="13">
        <v>1.0</v>
      </c>
      <c r="K1027" s="12" t="s">
        <v>21</v>
      </c>
      <c r="L1027" s="7">
        <v>41974.4943287037</v>
      </c>
      <c r="M1027" s="16"/>
      <c r="N1027" s="16"/>
      <c r="O1027" s="11" t="str">
        <f>HYPERLINK("https://pbs.twimg.com/profile_images/578098320159051776/fZw6-_AW_normal.png","View")</f>
        <v>View</v>
      </c>
      <c r="P1027" s="15"/>
    </row>
    <row r="1028">
      <c r="A1028" s="7">
        <v>42425.479895833334</v>
      </c>
      <c r="B1028" s="8" t="str">
        <f>HYPERLINK("https://twitter.com/hanoverrec","@hanoverrec")</f>
        <v>@hanoverrec</v>
      </c>
      <c r="C1028" s="10" t="s">
        <v>2445</v>
      </c>
      <c r="D1028" s="10" t="s">
        <v>2446</v>
      </c>
      <c r="E1028" s="11" t="str">
        <f>HYPERLINK("https://twitter.com/hanoverrec/status/702938878311673856","702938878311673856")</f>
        <v>702938878311673856</v>
      </c>
      <c r="F1028" s="12" t="s">
        <v>659</v>
      </c>
      <c r="G1028" s="13">
        <v>930.0</v>
      </c>
      <c r="H1028" s="13">
        <v>1835.0</v>
      </c>
      <c r="I1028" s="13">
        <v>0.0</v>
      </c>
      <c r="J1028" s="13">
        <v>1.0</v>
      </c>
      <c r="K1028" s="12" t="s">
        <v>21</v>
      </c>
      <c r="L1028" s="7">
        <v>41039.35938657408</v>
      </c>
      <c r="M1028" s="14" t="s">
        <v>2447</v>
      </c>
      <c r="N1028" s="14" t="s">
        <v>2448</v>
      </c>
      <c r="O1028" s="11" t="str">
        <f>HYPERLINK("https://pbs.twimg.com/profile_images/553107281680666624/zA3r8tFm_normal.jpeg","View")</f>
        <v>View</v>
      </c>
      <c r="P1028" s="15"/>
    </row>
    <row r="1029">
      <c r="A1029" s="7">
        <v>42425.47996527777</v>
      </c>
      <c r="B1029" s="8" t="str">
        <f>HYPERLINK("https://twitter.com/NYC_TechEvents","@NYC_TechEvents")</f>
        <v>@NYC_TechEvents</v>
      </c>
      <c r="C1029" s="10" t="s">
        <v>1016</v>
      </c>
      <c r="D1029" s="10" t="s">
        <v>2449</v>
      </c>
      <c r="E1029" s="11" t="str">
        <f>HYPERLINK("https://twitter.com/NYC_TechEvents/status/702938903532142593","702938903532142593")</f>
        <v>702938903532142593</v>
      </c>
      <c r="F1029" s="12" t="s">
        <v>294</v>
      </c>
      <c r="G1029" s="13">
        <v>14.0</v>
      </c>
      <c r="H1029" s="13">
        <v>0.0</v>
      </c>
      <c r="I1029" s="13">
        <v>0.0</v>
      </c>
      <c r="J1029" s="13">
        <v>0.0</v>
      </c>
      <c r="K1029" s="12" t="s">
        <v>21</v>
      </c>
      <c r="L1029" s="7">
        <v>42407.571875</v>
      </c>
      <c r="M1029" s="14" t="s">
        <v>1018</v>
      </c>
      <c r="N1029" s="14" t="s">
        <v>1019</v>
      </c>
      <c r="O1029" s="11" t="str">
        <f>HYPERLINK("https://pbs.twimg.com/profile_images/698639359512195072/nmORkXm9_normal.png","View")</f>
        <v>View</v>
      </c>
      <c r="P1029" s="15"/>
    </row>
    <row r="1030">
      <c r="A1030" s="7">
        <v>42425.48027777778</v>
      </c>
      <c r="B1030" s="8" t="str">
        <f>HYPERLINK("https://twitter.com/ConnectionsNY","@ConnectionsNY")</f>
        <v>@ConnectionsNY</v>
      </c>
      <c r="C1030" s="10" t="s">
        <v>1088</v>
      </c>
      <c r="D1030" s="10" t="s">
        <v>2450</v>
      </c>
      <c r="E1030" s="11" t="str">
        <f>HYPERLINK("https://twitter.com/ConnectionsNY/status/702939017348849664","702939017348849664")</f>
        <v>702939017348849664</v>
      </c>
      <c r="F1030" s="12" t="s">
        <v>659</v>
      </c>
      <c r="G1030" s="13">
        <v>1272.0</v>
      </c>
      <c r="H1030" s="13">
        <v>825.0</v>
      </c>
      <c r="I1030" s="13">
        <v>1.0</v>
      </c>
      <c r="J1030" s="13">
        <v>0.0</v>
      </c>
      <c r="K1030" s="12" t="s">
        <v>21</v>
      </c>
      <c r="L1030" s="7">
        <v>39916.460486111115</v>
      </c>
      <c r="M1030" s="14" t="s">
        <v>1090</v>
      </c>
      <c r="N1030" s="14" t="s">
        <v>1091</v>
      </c>
      <c r="O1030" s="11" t="str">
        <f>HYPERLINK("https://pbs.twimg.com/profile_images/646430794391650304/jK6EaLeg_normal.jpg","View")</f>
        <v>View</v>
      </c>
      <c r="P1030" s="15"/>
    </row>
    <row r="1031">
      <c r="A1031" s="7">
        <v>42425.48140046296</v>
      </c>
      <c r="B1031" s="8" t="str">
        <f>HYPERLINK("https://twitter.com/jselenide","@jselenide")</f>
        <v>@jselenide</v>
      </c>
      <c r="C1031" s="10" t="s">
        <v>2451</v>
      </c>
      <c r="D1031" s="10" t="s">
        <v>2441</v>
      </c>
      <c r="E1031" s="11" t="str">
        <f>HYPERLINK("https://twitter.com/jselenide/status/702939423881764864","702939423881764864")</f>
        <v>702939423881764864</v>
      </c>
      <c r="F1031" s="12" t="s">
        <v>20</v>
      </c>
      <c r="G1031" s="13">
        <v>172.0</v>
      </c>
      <c r="H1031" s="13">
        <v>27.0</v>
      </c>
      <c r="I1031" s="13">
        <v>3.0</v>
      </c>
      <c r="J1031" s="13">
        <v>0.0</v>
      </c>
      <c r="K1031" s="12" t="s">
        <v>21</v>
      </c>
      <c r="L1031" s="7">
        <v>41254.539351851854</v>
      </c>
      <c r="M1031" s="14" t="s">
        <v>2442</v>
      </c>
      <c r="N1031" s="14" t="s">
        <v>2452</v>
      </c>
      <c r="O1031" s="11" t="str">
        <f>HYPERLINK("https://pbs.twimg.com/profile_images/378800000484627924/ff1d3d03ad85234b0168493123816da2_normal.png","View")</f>
        <v>View</v>
      </c>
      <c r="P1031" s="15"/>
    </row>
    <row r="1032">
      <c r="A1032" s="7">
        <v>42425.482187500005</v>
      </c>
      <c r="B1032" s="8" t="str">
        <f>HYPERLINK("https://twitter.com/pfctl","@pfctl")</f>
        <v>@pfctl</v>
      </c>
      <c r="C1032" s="10" t="s">
        <v>2453</v>
      </c>
      <c r="D1032" s="10" t="s">
        <v>2454</v>
      </c>
      <c r="E1032" s="11" t="str">
        <f>HYPERLINK("https://twitter.com/pfctl/status/702939711002775552","702939711002775552")</f>
        <v>702939711002775552</v>
      </c>
      <c r="F1032" s="12" t="s">
        <v>20</v>
      </c>
      <c r="G1032" s="13">
        <v>334.0</v>
      </c>
      <c r="H1032" s="13">
        <v>400.0</v>
      </c>
      <c r="I1032" s="13">
        <v>0.0</v>
      </c>
      <c r="J1032" s="13">
        <v>1.0</v>
      </c>
      <c r="K1032" s="12" t="s">
        <v>21</v>
      </c>
      <c r="L1032" s="7">
        <v>41463.032534722224</v>
      </c>
      <c r="M1032" s="14" t="s">
        <v>2002</v>
      </c>
      <c r="N1032" s="14" t="s">
        <v>2455</v>
      </c>
      <c r="O1032" s="11" t="str">
        <f>HYPERLINK("https://pbs.twimg.com/profile_images/515523114608754688/0OXyCVS2_normal.jpeg","View")</f>
        <v>View</v>
      </c>
      <c r="P1032" s="15"/>
    </row>
    <row r="1033">
      <c r="A1033" s="7">
        <v>42425.48305555555</v>
      </c>
      <c r="B1033" s="8" t="str">
        <f t="shared" ref="B1033:B1034" si="89">HYPERLINK("https://twitter.com/programmingncr","@programmingncr")</f>
        <v>@programmingncr</v>
      </c>
      <c r="C1033" s="10" t="s">
        <v>262</v>
      </c>
      <c r="D1033" s="10" t="s">
        <v>2456</v>
      </c>
      <c r="E1033" s="11" t="str">
        <f>HYPERLINK("https://twitter.com/programmingncr/status/702940023314849792","702940023314849792")</f>
        <v>702940023314849792</v>
      </c>
      <c r="F1033" s="12" t="s">
        <v>103</v>
      </c>
      <c r="G1033" s="13">
        <v>328.0</v>
      </c>
      <c r="H1033" s="13">
        <v>99.0</v>
      </c>
      <c r="I1033" s="13">
        <v>0.0</v>
      </c>
      <c r="J1033" s="13">
        <v>0.0</v>
      </c>
      <c r="K1033" s="12" t="s">
        <v>21</v>
      </c>
      <c r="L1033" s="7">
        <v>42220.86634259259</v>
      </c>
      <c r="M1033" s="14" t="s">
        <v>264</v>
      </c>
      <c r="N1033" s="14" t="s">
        <v>265</v>
      </c>
      <c r="O1033" s="11" t="str">
        <f t="shared" ref="O1033:O1034" si="90">HYPERLINK("https://pbs.twimg.com/profile_images/662602436222193664/qKuvsfnG_normal.jpg","View")</f>
        <v>View</v>
      </c>
      <c r="P1033" s="15"/>
    </row>
    <row r="1034">
      <c r="A1034" s="7">
        <v>42425.48305555555</v>
      </c>
      <c r="B1034" s="8" t="str">
        <f t="shared" si="89"/>
        <v>@programmingncr</v>
      </c>
      <c r="C1034" s="10" t="s">
        <v>262</v>
      </c>
      <c r="D1034" s="10" t="s">
        <v>2457</v>
      </c>
      <c r="E1034" s="11" t="str">
        <f>HYPERLINK("https://twitter.com/programmingncr/status/702940024384446466","702940024384446466")</f>
        <v>702940024384446466</v>
      </c>
      <c r="F1034" s="12" t="s">
        <v>103</v>
      </c>
      <c r="G1034" s="13">
        <v>328.0</v>
      </c>
      <c r="H1034" s="13">
        <v>99.0</v>
      </c>
      <c r="I1034" s="13">
        <v>1.0</v>
      </c>
      <c r="J1034" s="13">
        <v>0.0</v>
      </c>
      <c r="K1034" s="12" t="s">
        <v>21</v>
      </c>
      <c r="L1034" s="7">
        <v>42220.86634259259</v>
      </c>
      <c r="M1034" s="14" t="s">
        <v>264</v>
      </c>
      <c r="N1034" s="14" t="s">
        <v>265</v>
      </c>
      <c r="O1034" s="11" t="str">
        <f t="shared" si="90"/>
        <v>View</v>
      </c>
      <c r="P1034" s="15"/>
    </row>
    <row r="1035">
      <c r="A1035" s="7">
        <v>42425.48341435185</v>
      </c>
      <c r="B1035" s="8" t="str">
        <f>HYPERLINK("https://twitter.com/RebeccaBilbro","@RebeccaBilbro")</f>
        <v>@RebeccaBilbro</v>
      </c>
      <c r="C1035" s="10" t="s">
        <v>2458</v>
      </c>
      <c r="D1035" s="10" t="s">
        <v>2408</v>
      </c>
      <c r="E1035" s="11" t="str">
        <f>HYPERLINK("https://twitter.com/RebeccaBilbro/status/702940154445565952","702940154445565952")</f>
        <v>702940154445565952</v>
      </c>
      <c r="F1035" s="12" t="s">
        <v>20</v>
      </c>
      <c r="G1035" s="13">
        <v>161.0</v>
      </c>
      <c r="H1035" s="13">
        <v>92.0</v>
      </c>
      <c r="I1035" s="13">
        <v>2.0</v>
      </c>
      <c r="J1035" s="13">
        <v>0.0</v>
      </c>
      <c r="K1035" s="12" t="s">
        <v>21</v>
      </c>
      <c r="L1035" s="7">
        <v>41902.63648148148</v>
      </c>
      <c r="M1035" s="14" t="s">
        <v>784</v>
      </c>
      <c r="N1035" s="14" t="s">
        <v>2459</v>
      </c>
      <c r="O1035" s="11" t="str">
        <f>HYPERLINK("https://pbs.twimg.com/profile_images/593206975070085122/vQuaf1KM_normal.jpg","View")</f>
        <v>View</v>
      </c>
      <c r="P1035" s="15"/>
    </row>
    <row r="1036">
      <c r="A1036" s="7">
        <v>42425.48398148148</v>
      </c>
      <c r="B1036" s="8" t="str">
        <f>HYPERLINK("https://twitter.com/IndieGameDevBot","@IndieGameDevBot")</f>
        <v>@IndieGameDevBot</v>
      </c>
      <c r="C1036" s="10" t="s">
        <v>2460</v>
      </c>
      <c r="D1036" s="10" t="s">
        <v>2461</v>
      </c>
      <c r="E1036" s="11" t="str">
        <f>HYPERLINK("https://twitter.com/IndieGameDevBot/status/702940362155945989","702940362155945989")</f>
        <v>702940362155945989</v>
      </c>
      <c r="F1036" s="12" t="s">
        <v>2462</v>
      </c>
      <c r="G1036" s="13">
        <v>20955.0</v>
      </c>
      <c r="H1036" s="13">
        <v>5699.0</v>
      </c>
      <c r="I1036" s="13">
        <v>1.0</v>
      </c>
      <c r="J1036" s="13">
        <v>0.0</v>
      </c>
      <c r="K1036" s="12" t="s">
        <v>21</v>
      </c>
      <c r="L1036" s="7">
        <v>41927.697488425925</v>
      </c>
      <c r="M1036" s="16"/>
      <c r="N1036" s="14" t="s">
        <v>2463</v>
      </c>
      <c r="O1036" s="11" t="str">
        <f>HYPERLINK("https://pbs.twimg.com/profile_images/522536769502195712/cG1yitHo_normal.jpeg","View")</f>
        <v>View</v>
      </c>
      <c r="P1036" s="15"/>
    </row>
    <row r="1037">
      <c r="A1037" s="7">
        <v>42425.4840625</v>
      </c>
      <c r="B1037" s="8" t="str">
        <f>HYPERLINK("https://twitter.com/RotgeriS","@RotgeriS")</f>
        <v>@RotgeriS</v>
      </c>
      <c r="C1037" s="10" t="s">
        <v>2464</v>
      </c>
      <c r="D1037" s="10" t="s">
        <v>2465</v>
      </c>
      <c r="E1037" s="11" t="str">
        <f>HYPERLINK("https://twitter.com/RotgeriS/status/702940387829223424","702940387829223424")</f>
        <v>702940387829223424</v>
      </c>
      <c r="F1037" s="12" t="s">
        <v>20</v>
      </c>
      <c r="G1037" s="13">
        <v>106.0</v>
      </c>
      <c r="H1037" s="13">
        <v>214.0</v>
      </c>
      <c r="I1037" s="13">
        <v>3.0</v>
      </c>
      <c r="J1037" s="13">
        <v>0.0</v>
      </c>
      <c r="K1037" s="12" t="s">
        <v>21</v>
      </c>
      <c r="L1037" s="7">
        <v>41582.523460648146</v>
      </c>
      <c r="M1037" s="14" t="s">
        <v>1458</v>
      </c>
      <c r="N1037" s="14" t="s">
        <v>2466</v>
      </c>
      <c r="O1037" s="11" t="str">
        <f>HYPERLINK("https://pbs.twimg.com/profile_images/378800000695177945/7d9a76cb7385e416afa04a30b657a3e0_normal.jpeg","View")</f>
        <v>View</v>
      </c>
      <c r="P1037" s="15"/>
    </row>
    <row r="1038">
      <c r="A1038" s="7">
        <v>42425.48412037037</v>
      </c>
      <c r="B1038" s="8" t="str">
        <f>HYPERLINK("https://twitter.com/DataAnalyticss","@DataAnalyticss")</f>
        <v>@DataAnalyticss</v>
      </c>
      <c r="C1038" s="10" t="s">
        <v>2467</v>
      </c>
      <c r="D1038" s="10" t="s">
        <v>2468</v>
      </c>
      <c r="E1038" s="11" t="str">
        <f>HYPERLINK("https://twitter.com/DataAnalyticss/status/702940408435908608","702940408435908608")</f>
        <v>702940408435908608</v>
      </c>
      <c r="F1038" s="12" t="s">
        <v>38</v>
      </c>
      <c r="G1038" s="13">
        <v>718.0</v>
      </c>
      <c r="H1038" s="13">
        <v>456.0</v>
      </c>
      <c r="I1038" s="13">
        <v>1.0</v>
      </c>
      <c r="J1038" s="13">
        <v>0.0</v>
      </c>
      <c r="K1038" s="12" t="s">
        <v>21</v>
      </c>
      <c r="L1038" s="7">
        <v>41953.30762731482</v>
      </c>
      <c r="M1038" s="16"/>
      <c r="N1038" s="16"/>
      <c r="O1038" s="11" t="str">
        <f>HYPERLINK("https://pbs.twimg.com/profile_images/532798437897412608/flHdPUCx_normal.png","View")</f>
        <v>View</v>
      </c>
      <c r="P1038" s="15"/>
    </row>
    <row r="1039">
      <c r="A1039" s="7">
        <v>42425.486122685186</v>
      </c>
      <c r="B1039" s="8" t="str">
        <f>HYPERLINK("https://twitter.com/creative_punch","@creative_punch")</f>
        <v>@creative_punch</v>
      </c>
      <c r="C1039" s="10" t="s">
        <v>1199</v>
      </c>
      <c r="D1039" s="10" t="s">
        <v>2469</v>
      </c>
      <c r="E1039" s="11" t="str">
        <f>HYPERLINK("https://twitter.com/creative_punch/status/702941137250680832","702941137250680832")</f>
        <v>702941137250680832</v>
      </c>
      <c r="F1039" s="12" t="s">
        <v>1199</v>
      </c>
      <c r="G1039" s="13">
        <v>1650.0</v>
      </c>
      <c r="H1039" s="13">
        <v>800.0</v>
      </c>
      <c r="I1039" s="13">
        <v>2.0</v>
      </c>
      <c r="J1039" s="13">
        <v>6.0</v>
      </c>
      <c r="K1039" s="12" t="s">
        <v>21</v>
      </c>
      <c r="L1039" s="7">
        <v>41618.38722222222</v>
      </c>
      <c r="M1039" s="16"/>
      <c r="N1039" s="14" t="s">
        <v>1201</v>
      </c>
      <c r="O1039" s="11" t="str">
        <f>HYPERLINK("https://pbs.twimg.com/profile_images/420579444982431745/j7uTAxtF_normal.png","View")</f>
        <v>View</v>
      </c>
      <c r="P1039" s="15"/>
    </row>
    <row r="1040">
      <c r="A1040" s="7">
        <v>42425.4861574074</v>
      </c>
      <c r="B1040" s="8" t="str">
        <f>HYPERLINK("https://twitter.com/AusBatAws","@AusBatAws")</f>
        <v>@AusBatAws</v>
      </c>
      <c r="C1040" s="10" t="s">
        <v>2470</v>
      </c>
      <c r="D1040" s="10" t="s">
        <v>2471</v>
      </c>
      <c r="E1040" s="11" t="str">
        <f>HYPERLINK("https://twitter.com/AusBatAws/status/702941147912663040","702941147912663040")</f>
        <v>702941147912663040</v>
      </c>
      <c r="F1040" s="12" t="s">
        <v>2472</v>
      </c>
      <c r="G1040" s="13">
        <v>69.0</v>
      </c>
      <c r="H1040" s="13">
        <v>274.0</v>
      </c>
      <c r="I1040" s="13">
        <v>0.0</v>
      </c>
      <c r="J1040" s="13">
        <v>0.0</v>
      </c>
      <c r="K1040" s="12" t="s">
        <v>21</v>
      </c>
      <c r="L1040" s="7">
        <v>42397.746296296296</v>
      </c>
      <c r="M1040" s="14" t="s">
        <v>2473</v>
      </c>
      <c r="N1040" s="14" t="s">
        <v>2474</v>
      </c>
      <c r="O1040" s="11" t="str">
        <f>HYPERLINK("https://pbs.twimg.com/profile_images/692891971745030150/clbtNhen_normal.jpg","View")</f>
        <v>View</v>
      </c>
      <c r="P1040" s="15"/>
    </row>
    <row r="1041">
      <c r="A1041" s="7">
        <v>42425.48663194444</v>
      </c>
      <c r="B1041" s="8" t="str">
        <f>HYPERLINK("https://twitter.com/RotgeriS","@RotgeriS")</f>
        <v>@RotgeriS</v>
      </c>
      <c r="C1041" s="10" t="s">
        <v>2464</v>
      </c>
      <c r="D1041" s="10" t="s">
        <v>2475</v>
      </c>
      <c r="E1041" s="11" t="str">
        <f>HYPERLINK("https://twitter.com/RotgeriS/status/702941319459643392","702941319459643392")</f>
        <v>702941319459643392</v>
      </c>
      <c r="F1041" s="12" t="s">
        <v>20</v>
      </c>
      <c r="G1041" s="13">
        <v>106.0</v>
      </c>
      <c r="H1041" s="13">
        <v>214.0</v>
      </c>
      <c r="I1041" s="13">
        <v>0.0</v>
      </c>
      <c r="J1041" s="13">
        <v>0.0</v>
      </c>
      <c r="K1041" s="12" t="s">
        <v>21</v>
      </c>
      <c r="L1041" s="7">
        <v>41582.523460648146</v>
      </c>
      <c r="M1041" s="14" t="s">
        <v>1458</v>
      </c>
      <c r="N1041" s="14" t="s">
        <v>2466</v>
      </c>
      <c r="O1041" s="11" t="str">
        <f>HYPERLINK("https://pbs.twimg.com/profile_images/378800000695177945/7d9a76cb7385e416afa04a30b657a3e0_normal.jpeg","View")</f>
        <v>View</v>
      </c>
      <c r="P1041" s="15"/>
    </row>
    <row r="1042">
      <c r="A1042" s="7">
        <v>42425.48688657407</v>
      </c>
      <c r="B1042" s="8" t="str">
        <f>HYPERLINK("https://twitter.com/Phaseit","@Phaseit")</f>
        <v>@Phaseit</v>
      </c>
      <c r="C1042" s="10" t="s">
        <v>2476</v>
      </c>
      <c r="D1042" s="10" t="s">
        <v>2477</v>
      </c>
      <c r="E1042" s="11" t="str">
        <f>HYPERLINK("https://twitter.com/Phaseit/status/702941411079917568","702941411079917568")</f>
        <v>702941411079917568</v>
      </c>
      <c r="F1042" s="12" t="s">
        <v>20</v>
      </c>
      <c r="G1042" s="13">
        <v>408.0</v>
      </c>
      <c r="H1042" s="13">
        <v>422.0</v>
      </c>
      <c r="I1042" s="13">
        <v>11.0</v>
      </c>
      <c r="J1042" s="13">
        <v>0.0</v>
      </c>
      <c r="K1042" s="12" t="s">
        <v>21</v>
      </c>
      <c r="L1042" s="7">
        <v>40624.75653935185</v>
      </c>
      <c r="M1042" s="16"/>
      <c r="N1042" s="14" t="s">
        <v>2478</v>
      </c>
      <c r="O1042" s="11" t="str">
        <f>HYPERLINK("https://pbs.twimg.com/profile_images/648221948791517184/5NW8H1VO_normal.jpg","View")</f>
        <v>View</v>
      </c>
      <c r="P1042" s="15"/>
    </row>
    <row r="1043">
      <c r="A1043" s="7">
        <v>42425.4871412037</v>
      </c>
      <c r="B1043" s="8" t="str">
        <f>HYPERLINK("https://twitter.com/analyticbridge","@analyticbridge")</f>
        <v>@analyticbridge</v>
      </c>
      <c r="C1043" s="10" t="s">
        <v>2479</v>
      </c>
      <c r="D1043" s="10" t="s">
        <v>2480</v>
      </c>
      <c r="E1043" s="11" t="str">
        <f>HYPERLINK("https://twitter.com/analyticbridge/status/702941506663878656","702941506663878656")</f>
        <v>702941506663878656</v>
      </c>
      <c r="F1043" s="12" t="s">
        <v>20</v>
      </c>
      <c r="G1043" s="13">
        <v>133762.0</v>
      </c>
      <c r="H1043" s="13">
        <v>4293.0</v>
      </c>
      <c r="I1043" s="13">
        <v>3.0</v>
      </c>
      <c r="J1043" s="13">
        <v>0.0</v>
      </c>
      <c r="K1043" s="12" t="s">
        <v>21</v>
      </c>
      <c r="L1043" s="7">
        <v>39525.935057870374</v>
      </c>
      <c r="M1043" s="14" t="s">
        <v>1259</v>
      </c>
      <c r="N1043" s="14" t="s">
        <v>2481</v>
      </c>
      <c r="O1043" s="11" t="str">
        <f>HYPERLINK("https://pbs.twimg.com/profile_images/1198161733/analitycbridge_normal.png","View")</f>
        <v>View</v>
      </c>
      <c r="P1043" s="15"/>
    </row>
    <row r="1044">
      <c r="A1044" s="7">
        <v>42425.487708333334</v>
      </c>
      <c r="B1044" s="8" t="str">
        <f>HYPERLINK("https://twitter.com/mruktechreviews","@mruktechreviews")</f>
        <v>@mruktechreviews</v>
      </c>
      <c r="C1044" s="10" t="s">
        <v>2482</v>
      </c>
      <c r="D1044" s="10" t="s">
        <v>2483</v>
      </c>
      <c r="E1044" s="11" t="str">
        <f>HYPERLINK("https://twitter.com/mruktechreviews/status/702941709387304962","702941709387304962")</f>
        <v>702941709387304962</v>
      </c>
      <c r="F1044" s="12" t="s">
        <v>52</v>
      </c>
      <c r="G1044" s="13">
        <v>1832.0</v>
      </c>
      <c r="H1044" s="13">
        <v>526.0</v>
      </c>
      <c r="I1044" s="13">
        <v>0.0</v>
      </c>
      <c r="J1044" s="13">
        <v>1.0</v>
      </c>
      <c r="K1044" s="12" t="s">
        <v>21</v>
      </c>
      <c r="L1044" s="7">
        <v>40976.44565972222</v>
      </c>
      <c r="M1044" s="14" t="s">
        <v>519</v>
      </c>
      <c r="N1044" s="14" t="s">
        <v>2484</v>
      </c>
      <c r="O1044" s="11" t="str">
        <f>HYPERLINK("https://pbs.twimg.com/profile_images/413553816966266881/iqQOoyGA_normal.jpeg","View")</f>
        <v>View</v>
      </c>
      <c r="P1044" s="15"/>
    </row>
    <row r="1045">
      <c r="A1045" s="7">
        <v>42425.487754629634</v>
      </c>
      <c r="B1045" s="8" t="str">
        <f t="shared" ref="B1045:B1047" si="91">HYPERLINK("https://twitter.com/bychancestudios","@bychancestudios")</f>
        <v>@bychancestudios</v>
      </c>
      <c r="C1045" s="10" t="s">
        <v>2485</v>
      </c>
      <c r="D1045" s="10" t="s">
        <v>2397</v>
      </c>
      <c r="E1045" s="11" t="str">
        <f>HYPERLINK("https://twitter.com/bychancestudios/status/702941727825502209","702941727825502209")</f>
        <v>702941727825502209</v>
      </c>
      <c r="F1045" s="12" t="s">
        <v>152</v>
      </c>
      <c r="G1045" s="13">
        <v>67.0</v>
      </c>
      <c r="H1045" s="13">
        <v>110.0</v>
      </c>
      <c r="I1045" s="13">
        <v>2.0</v>
      </c>
      <c r="J1045" s="13">
        <v>0.0</v>
      </c>
      <c r="K1045" s="12" t="s">
        <v>21</v>
      </c>
      <c r="L1045" s="7">
        <v>42421.64506944444</v>
      </c>
      <c r="M1045" s="16"/>
      <c r="N1045" s="16"/>
      <c r="O1045" s="11" t="str">
        <f t="shared" ref="O1045:O1047" si="92">HYPERLINK("https://pbs.twimg.com/profile_images/701549721173667840/PU52Wf78_normal.png","View")</f>
        <v>View</v>
      </c>
      <c r="P1045" s="15"/>
    </row>
    <row r="1046">
      <c r="A1046" s="7">
        <v>42425.48809027778</v>
      </c>
      <c r="B1046" s="8" t="str">
        <f t="shared" si="91"/>
        <v>@bychancestudios</v>
      </c>
      <c r="C1046" s="10" t="s">
        <v>2485</v>
      </c>
      <c r="D1046" s="10" t="s">
        <v>2401</v>
      </c>
      <c r="E1046" s="11" t="str">
        <f>HYPERLINK("https://twitter.com/bychancestudios/status/702941849816854529","702941849816854529")</f>
        <v>702941849816854529</v>
      </c>
      <c r="F1046" s="12" t="s">
        <v>152</v>
      </c>
      <c r="G1046" s="13">
        <v>67.0</v>
      </c>
      <c r="H1046" s="13">
        <v>110.0</v>
      </c>
      <c r="I1046" s="13">
        <v>3.0</v>
      </c>
      <c r="J1046" s="13">
        <v>0.0</v>
      </c>
      <c r="K1046" s="12" t="s">
        <v>21</v>
      </c>
      <c r="L1046" s="7">
        <v>42421.64506944444</v>
      </c>
      <c r="M1046" s="16"/>
      <c r="N1046" s="16"/>
      <c r="O1046" s="11" t="str">
        <f t="shared" si="92"/>
        <v>View</v>
      </c>
      <c r="P1046" s="15"/>
    </row>
    <row r="1047">
      <c r="A1047" s="7">
        <v>42425.48809027778</v>
      </c>
      <c r="B1047" s="8" t="str">
        <f t="shared" si="91"/>
        <v>@bychancestudios</v>
      </c>
      <c r="C1047" s="10" t="s">
        <v>2485</v>
      </c>
      <c r="D1047" s="10" t="s">
        <v>2400</v>
      </c>
      <c r="E1047" s="11" t="str">
        <f>HYPERLINK("https://twitter.com/bychancestudios/status/702941849846214656","702941849846214656")</f>
        <v>702941849846214656</v>
      </c>
      <c r="F1047" s="12" t="s">
        <v>152</v>
      </c>
      <c r="G1047" s="13">
        <v>67.0</v>
      </c>
      <c r="H1047" s="13">
        <v>110.0</v>
      </c>
      <c r="I1047" s="13">
        <v>2.0</v>
      </c>
      <c r="J1047" s="13">
        <v>0.0</v>
      </c>
      <c r="K1047" s="12" t="s">
        <v>21</v>
      </c>
      <c r="L1047" s="7">
        <v>42421.64506944444</v>
      </c>
      <c r="M1047" s="16"/>
      <c r="N1047" s="16"/>
      <c r="O1047" s="11" t="str">
        <f t="shared" si="92"/>
        <v>View</v>
      </c>
      <c r="P1047" s="15"/>
    </row>
    <row r="1048">
      <c r="A1048" s="7">
        <v>42425.488229166665</v>
      </c>
      <c r="B1048" s="8" t="str">
        <f>HYPERLINK("https://twitter.com/techmix_","@techmix_")</f>
        <v>@techmix_</v>
      </c>
      <c r="C1048" s="10" t="s">
        <v>1190</v>
      </c>
      <c r="D1048" s="10" t="s">
        <v>2486</v>
      </c>
      <c r="E1048" s="11" t="str">
        <f>HYPERLINK("https://twitter.com/techmix_/status/702941899951316993","702941899951316993")</f>
        <v>702941899951316993</v>
      </c>
      <c r="F1048" s="12" t="s">
        <v>1192</v>
      </c>
      <c r="G1048" s="13">
        <v>547.0</v>
      </c>
      <c r="H1048" s="13">
        <v>1444.0</v>
      </c>
      <c r="I1048" s="13">
        <v>1.0</v>
      </c>
      <c r="J1048" s="13">
        <v>0.0</v>
      </c>
      <c r="K1048" s="12" t="s">
        <v>21</v>
      </c>
      <c r="L1048" s="7">
        <v>42400.79513888889</v>
      </c>
      <c r="M1048" s="16"/>
      <c r="N1048" s="14" t="s">
        <v>1193</v>
      </c>
      <c r="O1048" s="11" t="str">
        <f>HYPERLINK("https://pbs.twimg.com/profile_images/700674879540981761/fKiyB9Ye_normal.png","View")</f>
        <v>View</v>
      </c>
      <c r="P1048" s="15"/>
    </row>
    <row r="1049">
      <c r="A1049" s="7">
        <v>42425.48849537037</v>
      </c>
      <c r="B1049" s="8" t="str">
        <f>HYPERLINK("https://twitter.com/jcouch50","@jcouch50")</f>
        <v>@jcouch50</v>
      </c>
      <c r="C1049" s="10" t="s">
        <v>2487</v>
      </c>
      <c r="D1049" s="10" t="s">
        <v>2488</v>
      </c>
      <c r="E1049" s="11" t="str">
        <f>HYPERLINK("https://twitter.com/jcouch50/status/702941994927177728","702941994927177728")</f>
        <v>702941994927177728</v>
      </c>
      <c r="F1049" s="12" t="s">
        <v>20</v>
      </c>
      <c r="G1049" s="13">
        <v>238.0</v>
      </c>
      <c r="H1049" s="13">
        <v>329.0</v>
      </c>
      <c r="I1049" s="13">
        <v>1.0</v>
      </c>
      <c r="J1049" s="13">
        <v>0.0</v>
      </c>
      <c r="K1049" s="12" t="s">
        <v>21</v>
      </c>
      <c r="L1049" s="7">
        <v>41628.47678240741</v>
      </c>
      <c r="M1049" s="14" t="s">
        <v>2489</v>
      </c>
      <c r="N1049" s="14" t="s">
        <v>2490</v>
      </c>
      <c r="O1049" s="11" t="str">
        <f>HYPERLINK("https://pbs.twimg.com/profile_images/586630962831872000/COcDkO5V_normal.jpg","View")</f>
        <v>View</v>
      </c>
      <c r="P1049" s="15"/>
    </row>
    <row r="1050">
      <c r="A1050" s="7">
        <v>42425.489016203705</v>
      </c>
      <c r="B1050" s="8" t="str">
        <f>HYPERLINK("https://twitter.com/viniciusban","@viniciusban")</f>
        <v>@viniciusban</v>
      </c>
      <c r="C1050" s="10" t="s">
        <v>2491</v>
      </c>
      <c r="D1050" s="10" t="s">
        <v>2492</v>
      </c>
      <c r="E1050" s="11" t="str">
        <f>HYPERLINK("https://twitter.com/viniciusban/status/702942183935107075","702942183935107075")</f>
        <v>702942183935107075</v>
      </c>
      <c r="F1050" s="12" t="s">
        <v>52</v>
      </c>
      <c r="G1050" s="13">
        <v>431.0</v>
      </c>
      <c r="H1050" s="13">
        <v>42.0</v>
      </c>
      <c r="I1050" s="13">
        <v>0.0</v>
      </c>
      <c r="J1050" s="13">
        <v>0.0</v>
      </c>
      <c r="K1050" s="12" t="s">
        <v>21</v>
      </c>
      <c r="L1050" s="7">
        <v>40099.363020833334</v>
      </c>
      <c r="M1050" s="14" t="s">
        <v>1386</v>
      </c>
      <c r="N1050" s="14" t="s">
        <v>2493</v>
      </c>
      <c r="O1050" s="11" t="str">
        <f>HYPERLINK("https://pbs.twimg.com/profile_images/607019239661301760/dwP4tw91_normal.jpg","View")</f>
        <v>View</v>
      </c>
      <c r="P1050" s="15"/>
    </row>
    <row r="1051">
      <c r="A1051" s="7">
        <v>42425.48914351852</v>
      </c>
      <c r="B1051" s="8" t="str">
        <f>HYPERLINK("https://twitter.com/riversevans","@riversevans")</f>
        <v>@riversevans</v>
      </c>
      <c r="C1051" s="10" t="s">
        <v>2494</v>
      </c>
      <c r="D1051" s="10" t="s">
        <v>2495</v>
      </c>
      <c r="E1051" s="11" t="str">
        <f>HYPERLINK("https://twitter.com/riversevans/status/702942230617714688","702942230617714688")</f>
        <v>702942230617714688</v>
      </c>
      <c r="F1051" s="12" t="s">
        <v>294</v>
      </c>
      <c r="G1051" s="13">
        <v>152.0</v>
      </c>
      <c r="H1051" s="13">
        <v>237.0</v>
      </c>
      <c r="I1051" s="13">
        <v>1.0</v>
      </c>
      <c r="J1051" s="13">
        <v>0.0</v>
      </c>
      <c r="K1051" s="12" t="s">
        <v>21</v>
      </c>
      <c r="L1051" s="7">
        <v>40375.47399305555</v>
      </c>
      <c r="M1051" s="14" t="s">
        <v>2496</v>
      </c>
      <c r="N1051" s="14" t="s">
        <v>2497</v>
      </c>
      <c r="O1051" s="11" t="str">
        <f>HYPERLINK("https://pbs.twimg.com/profile_images/621880598227894272/D76i5ZmY_normal.jpg","View")</f>
        <v>View</v>
      </c>
      <c r="P1051" s="15"/>
    </row>
    <row r="1052">
      <c r="A1052" s="7">
        <v>42425.489282407405</v>
      </c>
      <c r="B1052" s="8" t="str">
        <f>HYPERLINK("https://twitter.com/binishala","@binishala")</f>
        <v>@binishala</v>
      </c>
      <c r="C1052" s="10" t="s">
        <v>2498</v>
      </c>
      <c r="D1052" s="10" t="s">
        <v>2499</v>
      </c>
      <c r="E1052" s="11" t="str">
        <f>HYPERLINK("https://twitter.com/binishala/status/702942280420876288","702942280420876288")</f>
        <v>702942280420876288</v>
      </c>
      <c r="F1052" s="12" t="s">
        <v>450</v>
      </c>
      <c r="G1052" s="13">
        <v>2990.0</v>
      </c>
      <c r="H1052" s="13">
        <v>86.0</v>
      </c>
      <c r="I1052" s="13">
        <v>0.0</v>
      </c>
      <c r="J1052" s="13">
        <v>1.0</v>
      </c>
      <c r="K1052" s="12" t="s">
        <v>21</v>
      </c>
      <c r="L1052" s="7">
        <v>42373.281875</v>
      </c>
      <c r="M1052" s="14" t="s">
        <v>2500</v>
      </c>
      <c r="N1052" s="14" t="s">
        <v>2501</v>
      </c>
      <c r="O1052" s="11" t="str">
        <f>HYPERLINK("https://pbs.twimg.com/profile_images/690591840408592384/RHq2CSP5_normal.jpg","View")</f>
        <v>View</v>
      </c>
      <c r="P1052" s="15"/>
    </row>
    <row r="1053">
      <c r="A1053" s="7">
        <v>42425.490173611106</v>
      </c>
      <c r="B1053" s="8" t="str">
        <f>HYPERLINK("https://twitter.com/pvergain","@pvergain")</f>
        <v>@pvergain</v>
      </c>
      <c r="C1053" s="10" t="s">
        <v>878</v>
      </c>
      <c r="D1053" s="10" t="s">
        <v>2477</v>
      </c>
      <c r="E1053" s="11" t="str">
        <f>HYPERLINK("https://twitter.com/pvergain/status/702942605164814336","702942605164814336")</f>
        <v>702942605164814336</v>
      </c>
      <c r="F1053" s="12" t="s">
        <v>152</v>
      </c>
      <c r="G1053" s="13">
        <v>909.0</v>
      </c>
      <c r="H1053" s="13">
        <v>1654.0</v>
      </c>
      <c r="I1053" s="13">
        <v>11.0</v>
      </c>
      <c r="J1053" s="13">
        <v>0.0</v>
      </c>
      <c r="K1053" s="12" t="s">
        <v>21</v>
      </c>
      <c r="L1053" s="7">
        <v>40003.974375</v>
      </c>
      <c r="M1053" s="14" t="s">
        <v>879</v>
      </c>
      <c r="N1053" s="14" t="s">
        <v>880</v>
      </c>
      <c r="O1053" s="11" t="str">
        <f>HYPERLINK("https://pbs.twimg.com/profile_images/528272392766779392/5AeOFtlc_normal.jpeg","View")</f>
        <v>View</v>
      </c>
      <c r="P1053" s="15"/>
    </row>
    <row r="1054">
      <c r="A1054" s="7">
        <v>42425.49047453704</v>
      </c>
      <c r="B1054" s="8" t="str">
        <f t="shared" ref="B1054:B1055" si="93">HYPERLINK("https://twitter.com/py_coding","@py_coding")</f>
        <v>@py_coding</v>
      </c>
      <c r="C1054" s="10" t="s">
        <v>2502</v>
      </c>
      <c r="D1054" s="10" t="s">
        <v>2503</v>
      </c>
      <c r="E1054" s="11" t="str">
        <f>HYPERLINK("https://twitter.com/py_coding/status/702942711528169474","702942711528169474")</f>
        <v>702942711528169474</v>
      </c>
      <c r="F1054" s="12" t="s">
        <v>152</v>
      </c>
      <c r="G1054" s="13">
        <v>933.0</v>
      </c>
      <c r="H1054" s="13">
        <v>1608.0</v>
      </c>
      <c r="I1054" s="13">
        <v>1.0</v>
      </c>
      <c r="J1054" s="13">
        <v>0.0</v>
      </c>
      <c r="K1054" s="12" t="s">
        <v>21</v>
      </c>
      <c r="L1054" s="7">
        <v>42095.147141203706</v>
      </c>
      <c r="M1054" s="16"/>
      <c r="N1054" s="14" t="s">
        <v>2504</v>
      </c>
      <c r="O1054" s="11" t="str">
        <f t="shared" ref="O1054:O1055" si="94">HYPERLINK("https://pbs.twimg.com/profile_images/595719736782168064/pGGE0S1o_normal.jpg","View")</f>
        <v>View</v>
      </c>
      <c r="P1054" s="15"/>
    </row>
    <row r="1055">
      <c r="A1055" s="7">
        <v>42425.490532407406</v>
      </c>
      <c r="B1055" s="8" t="str">
        <f t="shared" si="93"/>
        <v>@py_coding</v>
      </c>
      <c r="C1055" s="10" t="s">
        <v>2502</v>
      </c>
      <c r="D1055" s="10" t="s">
        <v>2505</v>
      </c>
      <c r="E1055" s="11" t="str">
        <f>HYPERLINK("https://twitter.com/py_coding/status/702942734701694977","702942734701694977")</f>
        <v>702942734701694977</v>
      </c>
      <c r="F1055" s="12" t="s">
        <v>152</v>
      </c>
      <c r="G1055" s="13">
        <v>933.0</v>
      </c>
      <c r="H1055" s="13">
        <v>1608.0</v>
      </c>
      <c r="I1055" s="13">
        <v>1.0</v>
      </c>
      <c r="J1055" s="13">
        <v>0.0</v>
      </c>
      <c r="K1055" s="12" t="s">
        <v>21</v>
      </c>
      <c r="L1055" s="7">
        <v>42095.147141203706</v>
      </c>
      <c r="M1055" s="16"/>
      <c r="N1055" s="14" t="s">
        <v>2504</v>
      </c>
      <c r="O1055" s="11" t="str">
        <f t="shared" si="94"/>
        <v>View</v>
      </c>
      <c r="P1055" s="15"/>
    </row>
    <row r="1056">
      <c r="A1056" s="7">
        <v>42425.4905787037</v>
      </c>
      <c r="B1056" s="8" t="str">
        <f>HYPERLINK("https://twitter.com/bevfacey","@bevfacey")</f>
        <v>@bevfacey</v>
      </c>
      <c r="C1056" s="10" t="s">
        <v>2506</v>
      </c>
      <c r="D1056" s="10" t="s">
        <v>2507</v>
      </c>
      <c r="E1056" s="11" t="str">
        <f>HYPERLINK("https://twitter.com/bevfacey/status/702942752649007105","702942752649007105")</f>
        <v>702942752649007105</v>
      </c>
      <c r="F1056" s="12" t="s">
        <v>52</v>
      </c>
      <c r="G1056" s="13">
        <v>1124.0</v>
      </c>
      <c r="H1056" s="13">
        <v>376.0</v>
      </c>
      <c r="I1056" s="13">
        <v>1.0</v>
      </c>
      <c r="J1056" s="13">
        <v>0.0</v>
      </c>
      <c r="K1056" s="12" t="s">
        <v>21</v>
      </c>
      <c r="L1056" s="7">
        <v>40408.42865740741</v>
      </c>
      <c r="M1056" s="14" t="s">
        <v>2508</v>
      </c>
      <c r="N1056" s="14" t="s">
        <v>2509</v>
      </c>
      <c r="O1056" s="11" t="str">
        <f>HYPERLINK("https://pbs.twimg.com/profile_images/443869617211969536/pXPaWuT8_normal.jpeg","View")</f>
        <v>View</v>
      </c>
      <c r="P1056" s="15"/>
    </row>
    <row r="1057">
      <c r="A1057" s="7">
        <v>42425.490636574075</v>
      </c>
      <c r="B1057" s="8" t="str">
        <f t="shared" ref="B1057:B1059" si="95">HYPERLINK("https://twitter.com/py_coding","@py_coding")</f>
        <v>@py_coding</v>
      </c>
      <c r="C1057" s="10" t="s">
        <v>2502</v>
      </c>
      <c r="D1057" s="10" t="s">
        <v>2510</v>
      </c>
      <c r="E1057" s="11" t="str">
        <f>HYPERLINK("https://twitter.com/py_coding/status/702942770252681217","702942770252681217")</f>
        <v>702942770252681217</v>
      </c>
      <c r="F1057" s="12" t="s">
        <v>152</v>
      </c>
      <c r="G1057" s="13">
        <v>933.0</v>
      </c>
      <c r="H1057" s="13">
        <v>1608.0</v>
      </c>
      <c r="I1057" s="13">
        <v>2.0</v>
      </c>
      <c r="J1057" s="13">
        <v>0.0</v>
      </c>
      <c r="K1057" s="12" t="s">
        <v>21</v>
      </c>
      <c r="L1057" s="7">
        <v>42095.147141203706</v>
      </c>
      <c r="M1057" s="16"/>
      <c r="N1057" s="14" t="s">
        <v>2504</v>
      </c>
      <c r="O1057" s="11" t="str">
        <f t="shared" ref="O1057:O1059" si="96">HYPERLINK("https://pbs.twimg.com/profile_images/595719736782168064/pGGE0S1o_normal.jpg","View")</f>
        <v>View</v>
      </c>
      <c r="P1057" s="15"/>
    </row>
    <row r="1058">
      <c r="A1058" s="7">
        <v>42425.490636574075</v>
      </c>
      <c r="B1058" s="8" t="str">
        <f t="shared" si="95"/>
        <v>@py_coding</v>
      </c>
      <c r="C1058" s="10" t="s">
        <v>2502</v>
      </c>
      <c r="D1058" s="10" t="s">
        <v>2511</v>
      </c>
      <c r="E1058" s="11" t="str">
        <f>HYPERLINK("https://twitter.com/py_coding/status/702942770273636352","702942770273636352")</f>
        <v>702942770273636352</v>
      </c>
      <c r="F1058" s="12" t="s">
        <v>152</v>
      </c>
      <c r="G1058" s="13">
        <v>933.0</v>
      </c>
      <c r="H1058" s="13">
        <v>1608.0</v>
      </c>
      <c r="I1058" s="13">
        <v>1.0</v>
      </c>
      <c r="J1058" s="13">
        <v>0.0</v>
      </c>
      <c r="K1058" s="12" t="s">
        <v>21</v>
      </c>
      <c r="L1058" s="7">
        <v>42095.147141203706</v>
      </c>
      <c r="M1058" s="16"/>
      <c r="N1058" s="14" t="s">
        <v>2504</v>
      </c>
      <c r="O1058" s="11" t="str">
        <f t="shared" si="96"/>
        <v>View</v>
      </c>
      <c r="P1058" s="15"/>
    </row>
    <row r="1059">
      <c r="A1059" s="7">
        <v>42425.490995370375</v>
      </c>
      <c r="B1059" s="8" t="str">
        <f t="shared" si="95"/>
        <v>@py_coding</v>
      </c>
      <c r="C1059" s="10" t="s">
        <v>2502</v>
      </c>
      <c r="D1059" s="10" t="s">
        <v>2512</v>
      </c>
      <c r="E1059" s="11" t="str">
        <f>HYPERLINK("https://twitter.com/py_coding/status/702942901597315074","702942901597315074")</f>
        <v>702942901597315074</v>
      </c>
      <c r="F1059" s="12" t="s">
        <v>152</v>
      </c>
      <c r="G1059" s="13">
        <v>933.0</v>
      </c>
      <c r="H1059" s="13">
        <v>1608.0</v>
      </c>
      <c r="I1059" s="13">
        <v>1.0</v>
      </c>
      <c r="J1059" s="13">
        <v>0.0</v>
      </c>
      <c r="K1059" s="12" t="s">
        <v>21</v>
      </c>
      <c r="L1059" s="7">
        <v>42095.147141203706</v>
      </c>
      <c r="M1059" s="16"/>
      <c r="N1059" s="14" t="s">
        <v>2504</v>
      </c>
      <c r="O1059" s="11" t="str">
        <f t="shared" si="96"/>
        <v>View</v>
      </c>
      <c r="P1059" s="15"/>
    </row>
    <row r="1060">
      <c r="A1060" s="7">
        <v>42425.491736111115</v>
      </c>
      <c r="B1060" s="8" t="str">
        <f>HYPERLINK("https://twitter.com/GamerThriftBot","@GamerThriftBot")</f>
        <v>@GamerThriftBot</v>
      </c>
      <c r="C1060" s="10" t="s">
        <v>2513</v>
      </c>
      <c r="D1060" s="10" t="s">
        <v>2401</v>
      </c>
      <c r="E1060" s="11" t="str">
        <f>HYPERLINK("https://twitter.com/GamerThriftBot/status/702943169550225408","702943169550225408")</f>
        <v>702943169550225408</v>
      </c>
      <c r="F1060" s="12" t="s">
        <v>38</v>
      </c>
      <c r="G1060" s="13">
        <v>502.0</v>
      </c>
      <c r="H1060" s="13">
        <v>603.0</v>
      </c>
      <c r="I1060" s="13">
        <v>3.0</v>
      </c>
      <c r="J1060" s="13">
        <v>0.0</v>
      </c>
      <c r="K1060" s="12" t="s">
        <v>21</v>
      </c>
      <c r="L1060" s="7">
        <v>42370.82915509259</v>
      </c>
      <c r="M1060" s="14" t="s">
        <v>2514</v>
      </c>
      <c r="N1060" s="14" t="s">
        <v>2515</v>
      </c>
      <c r="O1060" s="11" t="str">
        <f>HYPERLINK("https://pbs.twimg.com/profile_images/683144332971384832/RFFdHIXW_normal.png","View")</f>
        <v>View</v>
      </c>
      <c r="P1060" s="15"/>
    </row>
    <row r="1061">
      <c r="A1061" s="7">
        <v>42425.49223379629</v>
      </c>
      <c r="B1061" s="8" t="str">
        <f>HYPERLINK("https://twitter.com/proinsanitus","@proinsanitus")</f>
        <v>@proinsanitus</v>
      </c>
      <c r="C1061" s="10" t="s">
        <v>2516</v>
      </c>
      <c r="D1061" s="10" t="s">
        <v>2517</v>
      </c>
      <c r="E1061" s="11" t="str">
        <f>HYPERLINK("https://twitter.com/proinsanitus/status/702943352451371010","702943352451371010")</f>
        <v>702943352451371010</v>
      </c>
      <c r="F1061" s="12" t="s">
        <v>20</v>
      </c>
      <c r="G1061" s="13">
        <v>176.0</v>
      </c>
      <c r="H1061" s="13">
        <v>199.0</v>
      </c>
      <c r="I1061" s="13">
        <v>0.0</v>
      </c>
      <c r="J1061" s="13">
        <v>0.0</v>
      </c>
      <c r="K1061" s="12" t="s">
        <v>21</v>
      </c>
      <c r="L1061" s="7">
        <v>41808.74601851852</v>
      </c>
      <c r="M1061" s="16"/>
      <c r="N1061" s="14" t="s">
        <v>2518</v>
      </c>
      <c r="O1061" s="11" t="str">
        <f>HYPERLINK("https://pbs.twimg.com/profile_images/690780193535819780/SzAvsI5D_normal.png","View")</f>
        <v>View</v>
      </c>
      <c r="P1061" s="15"/>
    </row>
    <row r="1062">
      <c r="A1062" s="7">
        <v>42425.49359953703</v>
      </c>
      <c r="B1062" s="8" t="str">
        <f>HYPERLINK("https://twitter.com/bustmykeyboard","@bustmykeyboard")</f>
        <v>@bustmykeyboard</v>
      </c>
      <c r="C1062" s="10" t="s">
        <v>2519</v>
      </c>
      <c r="D1062" s="10" t="s">
        <v>2520</v>
      </c>
      <c r="E1062" s="11" t="str">
        <f>HYPERLINK("https://twitter.com/bustmykeyboard/status/702943846573875200","702943846573875200")</f>
        <v>702943846573875200</v>
      </c>
      <c r="F1062" s="12" t="s">
        <v>124</v>
      </c>
      <c r="G1062" s="13">
        <v>1771.0</v>
      </c>
      <c r="H1062" s="13">
        <v>1770.0</v>
      </c>
      <c r="I1062" s="13">
        <v>1.0</v>
      </c>
      <c r="J1062" s="13">
        <v>0.0</v>
      </c>
      <c r="K1062" s="12" t="s">
        <v>21</v>
      </c>
      <c r="L1062" s="7">
        <v>41213.39472222222</v>
      </c>
      <c r="M1062" s="14" t="s">
        <v>2521</v>
      </c>
      <c r="N1062" s="14" t="s">
        <v>2522</v>
      </c>
      <c r="O1062" s="11" t="str">
        <f>HYPERLINK("https://pbs.twimg.com/profile_images/684610289082355712/LQ0gVH0f_normal.jpg","View")</f>
        <v>View</v>
      </c>
      <c r="P1062" s="15"/>
    </row>
    <row r="1063">
      <c r="A1063" s="7">
        <v>42425.49387731482</v>
      </c>
      <c r="B1063" s="8" t="str">
        <f>HYPERLINK("https://twitter.com/__pythonist__","@__pythonist__")</f>
        <v>@__pythonist__</v>
      </c>
      <c r="C1063" s="10" t="s">
        <v>2523</v>
      </c>
      <c r="D1063" s="10" t="s">
        <v>2524</v>
      </c>
      <c r="E1063" s="11" t="str">
        <f>HYPERLINK("https://twitter.com/__pythonist__/status/702943944276123649","702943944276123649")</f>
        <v>702943944276123649</v>
      </c>
      <c r="F1063" s="12" t="s">
        <v>20</v>
      </c>
      <c r="G1063" s="13">
        <v>206.0</v>
      </c>
      <c r="H1063" s="13">
        <v>422.0</v>
      </c>
      <c r="I1063" s="13">
        <v>0.0</v>
      </c>
      <c r="J1063" s="13">
        <v>1.0</v>
      </c>
      <c r="K1063" s="12" t="s">
        <v>21</v>
      </c>
      <c r="L1063" s="7">
        <v>42184.978634259256</v>
      </c>
      <c r="M1063" s="14" t="s">
        <v>2525</v>
      </c>
      <c r="N1063" s="14" t="s">
        <v>2526</v>
      </c>
      <c r="O1063" s="11" t="str">
        <f>HYPERLINK("https://pbs.twimg.com/profile_images/671078379500658688/PDOMM_Xp_normal.jpg","View")</f>
        <v>View</v>
      </c>
      <c r="P1063" s="15"/>
    </row>
    <row r="1064">
      <c r="A1064" s="7">
        <v>42425.49423611111</v>
      </c>
      <c r="B1064" s="8" t="str">
        <f>HYPERLINK("https://twitter.com/HartwigMicheal","@HartwigMicheal")</f>
        <v>@HartwigMicheal</v>
      </c>
      <c r="C1064" s="10" t="s">
        <v>842</v>
      </c>
      <c r="D1064" s="10" t="s">
        <v>2527</v>
      </c>
      <c r="E1064" s="11" t="str">
        <f>HYPERLINK("https://twitter.com/HartwigMicheal/status/702944076144971780","702944076144971780")</f>
        <v>702944076144971780</v>
      </c>
      <c r="F1064" s="12" t="s">
        <v>103</v>
      </c>
      <c r="G1064" s="13">
        <v>541.0</v>
      </c>
      <c r="H1064" s="13">
        <v>830.0</v>
      </c>
      <c r="I1064" s="13">
        <v>0.0</v>
      </c>
      <c r="J1064" s="13">
        <v>0.0</v>
      </c>
      <c r="K1064" s="12" t="s">
        <v>21</v>
      </c>
      <c r="L1064" s="7">
        <v>42362.00148148148</v>
      </c>
      <c r="M1064" s="14" t="s">
        <v>844</v>
      </c>
      <c r="N1064" s="14" t="s">
        <v>845</v>
      </c>
      <c r="O1064" s="11" t="str">
        <f>HYPERLINK("https://pbs.twimg.com/profile_images/679948461953781761/pDo9356K_normal.jpg","View")</f>
        <v>View</v>
      </c>
      <c r="P1064" s="15"/>
    </row>
    <row r="1065">
      <c r="A1065" s="7">
        <v>42425.494351851856</v>
      </c>
      <c r="B1065" s="8" t="str">
        <f t="shared" ref="B1065:B1067" si="97">HYPERLINK("https://twitter.com/JoshuaLongUK","@JoshuaLongUK")</f>
        <v>@JoshuaLongUK</v>
      </c>
      <c r="C1065" s="10" t="s">
        <v>101</v>
      </c>
      <c r="D1065" s="10" t="s">
        <v>2528</v>
      </c>
      <c r="E1065" s="11" t="str">
        <f>HYPERLINK("https://twitter.com/JoshuaLongUK/status/702944116586508288","702944116586508288")</f>
        <v>702944116586508288</v>
      </c>
      <c r="F1065" s="12" t="s">
        <v>103</v>
      </c>
      <c r="G1065" s="13">
        <v>25832.0</v>
      </c>
      <c r="H1065" s="13">
        <v>93.0</v>
      </c>
      <c r="I1065" s="13">
        <v>0.0</v>
      </c>
      <c r="J1065" s="13">
        <v>0.0</v>
      </c>
      <c r="K1065" s="12" t="s">
        <v>21</v>
      </c>
      <c r="L1065" s="7">
        <v>41149.39659722222</v>
      </c>
      <c r="M1065" s="14" t="s">
        <v>104</v>
      </c>
      <c r="N1065" s="14" t="s">
        <v>105</v>
      </c>
      <c r="O1065" s="11" t="str">
        <f t="shared" ref="O1065:O1067" si="98">HYPERLINK("https://pbs.twimg.com/profile_images/627996138403168256/DaASdgVr_normal.jpg","View")</f>
        <v>View</v>
      </c>
      <c r="P1065" s="15"/>
    </row>
    <row r="1066">
      <c r="A1066" s="7">
        <v>42425.494351851856</v>
      </c>
      <c r="B1066" s="8" t="str">
        <f t="shared" si="97"/>
        <v>@JoshuaLongUK</v>
      </c>
      <c r="C1066" s="10" t="s">
        <v>101</v>
      </c>
      <c r="D1066" s="10" t="s">
        <v>2529</v>
      </c>
      <c r="E1066" s="11" t="str">
        <f>HYPERLINK("https://twitter.com/JoshuaLongUK/status/702944118020960258","702944118020960258")</f>
        <v>702944118020960258</v>
      </c>
      <c r="F1066" s="12" t="s">
        <v>103</v>
      </c>
      <c r="G1066" s="13">
        <v>25832.0</v>
      </c>
      <c r="H1066" s="13">
        <v>93.0</v>
      </c>
      <c r="I1066" s="13">
        <v>0.0</v>
      </c>
      <c r="J1066" s="13">
        <v>0.0</v>
      </c>
      <c r="K1066" s="12" t="s">
        <v>21</v>
      </c>
      <c r="L1066" s="7">
        <v>41149.39659722222</v>
      </c>
      <c r="M1066" s="14" t="s">
        <v>104</v>
      </c>
      <c r="N1066" s="14" t="s">
        <v>105</v>
      </c>
      <c r="O1066" s="11" t="str">
        <f t="shared" si="98"/>
        <v>View</v>
      </c>
      <c r="P1066" s="15"/>
    </row>
    <row r="1067">
      <c r="A1067" s="7">
        <v>42425.494351851856</v>
      </c>
      <c r="B1067" s="8" t="str">
        <f t="shared" si="97"/>
        <v>@JoshuaLongUK</v>
      </c>
      <c r="C1067" s="10" t="s">
        <v>101</v>
      </c>
      <c r="D1067" s="10" t="s">
        <v>2530</v>
      </c>
      <c r="E1067" s="11" t="str">
        <f>HYPERLINK("https://twitter.com/JoshuaLongUK/status/702944119090450432","702944119090450432")</f>
        <v>702944119090450432</v>
      </c>
      <c r="F1067" s="12" t="s">
        <v>103</v>
      </c>
      <c r="G1067" s="13">
        <v>25832.0</v>
      </c>
      <c r="H1067" s="13">
        <v>93.0</v>
      </c>
      <c r="I1067" s="13">
        <v>0.0</v>
      </c>
      <c r="J1067" s="13">
        <v>0.0</v>
      </c>
      <c r="K1067" s="12" t="s">
        <v>21</v>
      </c>
      <c r="L1067" s="7">
        <v>41149.39659722222</v>
      </c>
      <c r="M1067" s="14" t="s">
        <v>104</v>
      </c>
      <c r="N1067" s="14" t="s">
        <v>105</v>
      </c>
      <c r="O1067" s="11" t="str">
        <f t="shared" si="98"/>
        <v>View</v>
      </c>
      <c r="P1067" s="15"/>
    </row>
    <row r="1068">
      <c r="A1068" s="7">
        <v>42425.4945949074</v>
      </c>
      <c r="B1068" s="8" t="str">
        <f>HYPERLINK("https://twitter.com/MTotolrahaman","@MTotolrahaman")</f>
        <v>@MTotolrahaman</v>
      </c>
      <c r="C1068" s="10" t="s">
        <v>848</v>
      </c>
      <c r="D1068" s="10" t="s">
        <v>2531</v>
      </c>
      <c r="E1068" s="11" t="str">
        <f>HYPERLINK("https://twitter.com/MTotolrahaman/status/702944206822744064","702944206822744064")</f>
        <v>702944206822744064</v>
      </c>
      <c r="F1068" s="12" t="s">
        <v>103</v>
      </c>
      <c r="G1068" s="13">
        <v>766.0</v>
      </c>
      <c r="H1068" s="13">
        <v>846.0</v>
      </c>
      <c r="I1068" s="13">
        <v>0.0</v>
      </c>
      <c r="J1068" s="13">
        <v>0.0</v>
      </c>
      <c r="K1068" s="12" t="s">
        <v>21</v>
      </c>
      <c r="L1068" s="7">
        <v>42355.250798611116</v>
      </c>
      <c r="M1068" s="14" t="s">
        <v>850</v>
      </c>
      <c r="N1068" s="14" t="s">
        <v>851</v>
      </c>
      <c r="O1068" s="11" t="str">
        <f>HYPERLINK("https://pbs.twimg.com/profile_images/677493910256484352/-EdVaVPl_normal.jpg","View")</f>
        <v>View</v>
      </c>
      <c r="P1068" s="15"/>
    </row>
    <row r="1069">
      <c r="A1069" s="7">
        <v>42425.49532407407</v>
      </c>
      <c r="B1069" s="8" t="str">
        <f>HYPERLINK("https://twitter.com/programmableweb","@programmableweb")</f>
        <v>@programmableweb</v>
      </c>
      <c r="C1069" s="10" t="s">
        <v>2532</v>
      </c>
      <c r="D1069" s="10" t="s">
        <v>2533</v>
      </c>
      <c r="E1069" s="11" t="str">
        <f>HYPERLINK("https://twitter.com/programmableweb/status/702944468446609412","702944468446609412")</f>
        <v>702944468446609412</v>
      </c>
      <c r="F1069" s="12" t="s">
        <v>294</v>
      </c>
      <c r="G1069" s="13">
        <v>24586.0</v>
      </c>
      <c r="H1069" s="13">
        <v>2414.0</v>
      </c>
      <c r="I1069" s="13">
        <v>0.0</v>
      </c>
      <c r="J1069" s="13">
        <v>2.0</v>
      </c>
      <c r="K1069" s="12" t="s">
        <v>21</v>
      </c>
      <c r="L1069" s="7">
        <v>39767.5812037037</v>
      </c>
      <c r="M1069" s="14" t="s">
        <v>1325</v>
      </c>
      <c r="N1069" s="14" t="s">
        <v>2534</v>
      </c>
      <c r="O1069" s="11" t="str">
        <f>HYPERLINK("https://pbs.twimg.com/profile_images/461304924672774144/7Y4K_YPl_normal.png","View")</f>
        <v>View</v>
      </c>
      <c r="P1069" s="15"/>
    </row>
    <row r="1070">
      <c r="A1070" s="7">
        <v>42425.49578703704</v>
      </c>
      <c r="B1070" s="8" t="str">
        <f>HYPERLINK("https://twitter.com/vasudevram","@vasudevram")</f>
        <v>@vasudevram</v>
      </c>
      <c r="C1070" s="10" t="s">
        <v>2273</v>
      </c>
      <c r="D1070" s="10" t="s">
        <v>2535</v>
      </c>
      <c r="E1070" s="11" t="str">
        <f>HYPERLINK("https://twitter.com/vasudevram/status/702944636717785088","702944636717785088")</f>
        <v>702944636717785088</v>
      </c>
      <c r="F1070" s="12" t="s">
        <v>2063</v>
      </c>
      <c r="G1070" s="13">
        <v>589.0</v>
      </c>
      <c r="H1070" s="13">
        <v>73.0</v>
      </c>
      <c r="I1070" s="13">
        <v>0.0</v>
      </c>
      <c r="J1070" s="13">
        <v>0.0</v>
      </c>
      <c r="K1070" s="12" t="s">
        <v>21</v>
      </c>
      <c r="L1070" s="7">
        <v>39262.603472222225</v>
      </c>
      <c r="M1070" s="14" t="s">
        <v>2275</v>
      </c>
      <c r="N1070" s="14" t="s">
        <v>2276</v>
      </c>
      <c r="O1070" s="11" t="str">
        <f>HYPERLINK("https://pbs.twimg.com/profile_images/831115122/indian-bison-gaur_normal.jpg","View")</f>
        <v>View</v>
      </c>
      <c r="P1070" s="15"/>
    </row>
    <row r="1071">
      <c r="A1071" s="7">
        <v>42425.49587962963</v>
      </c>
      <c r="B1071" s="8" t="str">
        <f>HYPERLINK("https://twitter.com/importpython","@importpython")</f>
        <v>@importpython</v>
      </c>
      <c r="C1071" s="10" t="s">
        <v>2536</v>
      </c>
      <c r="D1071" s="10" t="s">
        <v>2537</v>
      </c>
      <c r="E1071" s="11" t="str">
        <f>HYPERLINK("https://twitter.com/importpython/status/702944671190818816","702944671190818816")</f>
        <v>702944671190818816</v>
      </c>
      <c r="F1071" s="12" t="s">
        <v>2538</v>
      </c>
      <c r="G1071" s="13">
        <v>1603.0</v>
      </c>
      <c r="H1071" s="13">
        <v>498.0</v>
      </c>
      <c r="I1071" s="13">
        <v>3.0</v>
      </c>
      <c r="J1071" s="13">
        <v>1.0</v>
      </c>
      <c r="K1071" s="12" t="s">
        <v>21</v>
      </c>
      <c r="L1071" s="7">
        <v>41912.04583333334</v>
      </c>
      <c r="M1071" s="14" t="s">
        <v>432</v>
      </c>
      <c r="N1071" s="14" t="s">
        <v>2539</v>
      </c>
      <c r="O1071" s="11" t="str">
        <f>HYPERLINK("https://pbs.twimg.com/profile_images/518108253121552384/ClpFqPbX_normal.png","View")</f>
        <v>View</v>
      </c>
      <c r="P1071" s="15"/>
    </row>
    <row r="1072">
      <c r="A1072" s="7">
        <v>42425.4966087963</v>
      </c>
      <c r="B1072" s="8" t="str">
        <f t="shared" ref="B1072:B1073" si="99">HYPERLINK("https://twitter.com/PythonBooks","@PythonBooks")</f>
        <v>@PythonBooks</v>
      </c>
      <c r="C1072" s="10" t="s">
        <v>267</v>
      </c>
      <c r="D1072" s="10" t="s">
        <v>2540</v>
      </c>
      <c r="E1072" s="11" t="str">
        <f>HYPERLINK("https://twitter.com/PythonBooks/status/702944935289356288","702944935289356288")</f>
        <v>702944935289356288</v>
      </c>
      <c r="F1072" s="17" t="s">
        <v>76</v>
      </c>
      <c r="G1072" s="13">
        <v>20.0</v>
      </c>
      <c r="H1072" s="13">
        <v>70.0</v>
      </c>
      <c r="I1072" s="13">
        <v>0.0</v>
      </c>
      <c r="J1072" s="13">
        <v>0.0</v>
      </c>
      <c r="K1072" s="12" t="s">
        <v>21</v>
      </c>
      <c r="L1072" s="7">
        <v>42424.13631944444</v>
      </c>
      <c r="M1072" s="14" t="s">
        <v>269</v>
      </c>
      <c r="N1072" s="14" t="s">
        <v>270</v>
      </c>
      <c r="O1072" s="11" t="str">
        <f t="shared" ref="O1072:O1073" si="100">HYPERLINK("https://pbs.twimg.com/profile_images/702455638157168640/AeDgtn0C_normal.jpg","View")</f>
        <v>View</v>
      </c>
      <c r="P1072" s="15"/>
    </row>
    <row r="1073">
      <c r="A1073" s="7">
        <v>42425.496620370366</v>
      </c>
      <c r="B1073" s="8" t="str">
        <f t="shared" si="99"/>
        <v>@PythonBooks</v>
      </c>
      <c r="C1073" s="10" t="s">
        <v>267</v>
      </c>
      <c r="D1073" s="10" t="s">
        <v>2541</v>
      </c>
      <c r="E1073" s="11" t="str">
        <f>HYPERLINK("https://twitter.com/PythonBooks/status/702944938644762624","702944938644762624")</f>
        <v>702944938644762624</v>
      </c>
      <c r="F1073" s="17" t="s">
        <v>76</v>
      </c>
      <c r="G1073" s="13">
        <v>20.0</v>
      </c>
      <c r="H1073" s="13">
        <v>70.0</v>
      </c>
      <c r="I1073" s="13">
        <v>0.0</v>
      </c>
      <c r="J1073" s="13">
        <v>0.0</v>
      </c>
      <c r="K1073" s="12" t="s">
        <v>21</v>
      </c>
      <c r="L1073" s="7">
        <v>42424.13631944444</v>
      </c>
      <c r="M1073" s="14" t="s">
        <v>269</v>
      </c>
      <c r="N1073" s="14" t="s">
        <v>270</v>
      </c>
      <c r="O1073" s="11" t="str">
        <f t="shared" si="100"/>
        <v>View</v>
      </c>
      <c r="P1073" s="15"/>
    </row>
    <row r="1074">
      <c r="A1074" s="7">
        <v>42425.49689814815</v>
      </c>
      <c r="B1074" s="8" t="str">
        <f>HYPERLINK("https://twitter.com/1871Chicago","@1871Chicago")</f>
        <v>@1871Chicago</v>
      </c>
      <c r="C1074" s="10" t="s">
        <v>2542</v>
      </c>
      <c r="D1074" s="10" t="s">
        <v>2543</v>
      </c>
      <c r="E1074" s="11" t="str">
        <f>HYPERLINK("https://twitter.com/1871Chicago/status/702945038976880640","702945038976880640")</f>
        <v>702945038976880640</v>
      </c>
      <c r="F1074" s="12" t="s">
        <v>659</v>
      </c>
      <c r="G1074" s="13">
        <v>41699.0</v>
      </c>
      <c r="H1074" s="13">
        <v>1386.0</v>
      </c>
      <c r="I1074" s="13">
        <v>4.0</v>
      </c>
      <c r="J1074" s="13">
        <v>3.0</v>
      </c>
      <c r="K1074" s="12" t="s">
        <v>21</v>
      </c>
      <c r="L1074" s="7">
        <v>40880.265451388885</v>
      </c>
      <c r="M1074" s="14" t="s">
        <v>2544</v>
      </c>
      <c r="N1074" s="14" t="s">
        <v>2545</v>
      </c>
      <c r="O1074" s="11" t="str">
        <f>HYPERLINK("https://pbs.twimg.com/profile_images/565990504408440832/onbh66fx_normal.png","View")</f>
        <v>View</v>
      </c>
      <c r="P1074" s="15"/>
    </row>
    <row r="1075">
      <c r="A1075" s="7">
        <v>42425.49724537037</v>
      </c>
      <c r="B1075" s="8" t="str">
        <f>HYPERLINK("https://twitter.com/PythonBooks","@PythonBooks")</f>
        <v>@PythonBooks</v>
      </c>
      <c r="C1075" s="10" t="s">
        <v>267</v>
      </c>
      <c r="D1075" s="10" t="s">
        <v>2546</v>
      </c>
      <c r="E1075" s="11" t="str">
        <f>HYPERLINK("https://twitter.com/PythonBooks/status/702945167704064000","702945167704064000")</f>
        <v>702945167704064000</v>
      </c>
      <c r="F1075" s="17" t="s">
        <v>76</v>
      </c>
      <c r="G1075" s="13">
        <v>20.0</v>
      </c>
      <c r="H1075" s="13">
        <v>70.0</v>
      </c>
      <c r="I1075" s="13">
        <v>0.0</v>
      </c>
      <c r="J1075" s="13">
        <v>0.0</v>
      </c>
      <c r="K1075" s="12" t="s">
        <v>21</v>
      </c>
      <c r="L1075" s="7">
        <v>42424.13631944444</v>
      </c>
      <c r="M1075" s="14" t="s">
        <v>269</v>
      </c>
      <c r="N1075" s="14" t="s">
        <v>270</v>
      </c>
      <c r="O1075" s="11" t="str">
        <f>HYPERLINK("https://pbs.twimg.com/profile_images/702455638157168640/AeDgtn0C_normal.jpg","View")</f>
        <v>View</v>
      </c>
      <c r="P1075" s="15"/>
    </row>
    <row r="1076">
      <c r="A1076" s="7">
        <v>42425.49840277778</v>
      </c>
      <c r="B1076" s="8" t="str">
        <f>HYPERLINK("https://twitter.com/cool_python","@cool_python")</f>
        <v>@cool_python</v>
      </c>
      <c r="C1076" s="10" t="s">
        <v>249</v>
      </c>
      <c r="D1076" s="10" t="s">
        <v>2547</v>
      </c>
      <c r="E1076" s="11" t="str">
        <f>HYPERLINK("https://twitter.com/cool_python/status/702945584131481600","702945584131481600")</f>
        <v>702945584131481600</v>
      </c>
      <c r="F1076" s="12" t="s">
        <v>251</v>
      </c>
      <c r="G1076" s="13">
        <v>235.0</v>
      </c>
      <c r="H1076" s="13">
        <v>91.0</v>
      </c>
      <c r="I1076" s="13">
        <v>3.0</v>
      </c>
      <c r="J1076" s="13">
        <v>0.0</v>
      </c>
      <c r="K1076" s="12" t="s">
        <v>21</v>
      </c>
      <c r="L1076" s="7">
        <v>42064.325</v>
      </c>
      <c r="M1076" s="14" t="s">
        <v>252</v>
      </c>
      <c r="N1076" s="14" t="s">
        <v>253</v>
      </c>
      <c r="O1076" s="11" t="str">
        <f>HYPERLINK("https://pbs.twimg.com/profile_images/572091631055028224/Pkx__FSB_normal.png","View")</f>
        <v>View</v>
      </c>
      <c r="P1076" s="15"/>
    </row>
    <row r="1077">
      <c r="A1077" s="7">
        <v>42425.498831018514</v>
      </c>
      <c r="B1077" s="8" t="str">
        <f>HYPERLINK("https://twitter.com/elDomino_pl","@elDomino_pl")</f>
        <v>@elDomino_pl</v>
      </c>
      <c r="C1077" s="10" t="s">
        <v>2548</v>
      </c>
      <c r="D1077" s="10" t="s">
        <v>2549</v>
      </c>
      <c r="E1077" s="11" t="str">
        <f>HYPERLINK("https://twitter.com/elDomino_pl/status/702945742483230721","702945742483230721")</f>
        <v>702945742483230721</v>
      </c>
      <c r="F1077" s="12" t="s">
        <v>98</v>
      </c>
      <c r="G1077" s="13">
        <v>43.0</v>
      </c>
      <c r="H1077" s="13">
        <v>167.0</v>
      </c>
      <c r="I1077" s="13">
        <v>0.0</v>
      </c>
      <c r="J1077" s="13">
        <v>0.0</v>
      </c>
      <c r="K1077" s="12" t="s">
        <v>21</v>
      </c>
      <c r="L1077" s="7">
        <v>40137.757731481484</v>
      </c>
      <c r="M1077" s="14" t="s">
        <v>2550</v>
      </c>
      <c r="N1077" s="16"/>
      <c r="O1077" s="11" t="str">
        <f>HYPERLINK("https://pbs.twimg.com/profile_images/702153842339803136/SMaManXp_normal.jpg","View")</f>
        <v>View</v>
      </c>
      <c r="P1077" s="15"/>
    </row>
    <row r="1078">
      <c r="A1078" s="7">
        <v>42425.49888888889</v>
      </c>
      <c r="B1078" s="8" t="str">
        <f>HYPERLINK("https://twitter.com/proinsanitus","@proinsanitus")</f>
        <v>@proinsanitus</v>
      </c>
      <c r="C1078" s="10" t="s">
        <v>2516</v>
      </c>
      <c r="D1078" s="10" t="s">
        <v>2551</v>
      </c>
      <c r="E1078" s="11" t="str">
        <f>HYPERLINK("https://twitter.com/proinsanitus/status/702945761760145408","702945761760145408")</f>
        <v>702945761760145408</v>
      </c>
      <c r="F1078" s="12" t="s">
        <v>20</v>
      </c>
      <c r="G1078" s="13">
        <v>176.0</v>
      </c>
      <c r="H1078" s="13">
        <v>199.0</v>
      </c>
      <c r="I1078" s="13">
        <v>0.0</v>
      </c>
      <c r="J1078" s="13">
        <v>0.0</v>
      </c>
      <c r="K1078" s="12" t="s">
        <v>21</v>
      </c>
      <c r="L1078" s="7">
        <v>41808.74601851852</v>
      </c>
      <c r="M1078" s="16"/>
      <c r="N1078" s="14" t="s">
        <v>2518</v>
      </c>
      <c r="O1078" s="11" t="str">
        <f>HYPERLINK("https://pbs.twimg.com/profile_images/690780193535819780/SzAvsI5D_normal.png","View")</f>
        <v>View</v>
      </c>
      <c r="P1078" s="15"/>
    </row>
    <row r="1079">
      <c r="A1079" s="7">
        <v>42425.49895833334</v>
      </c>
      <c r="B1079" s="8" t="str">
        <f>HYPERLINK("https://twitter.com/herczogzoltan","@herczogzoltan")</f>
        <v>@herczogzoltan</v>
      </c>
      <c r="C1079" s="10" t="s">
        <v>2552</v>
      </c>
      <c r="D1079" s="10" t="s">
        <v>2287</v>
      </c>
      <c r="E1079" s="11" t="str">
        <f>HYPERLINK("https://twitter.com/herczogzoltan/status/702945785495822337","702945785495822337")</f>
        <v>702945785495822337</v>
      </c>
      <c r="F1079" s="12" t="s">
        <v>124</v>
      </c>
      <c r="G1079" s="13">
        <v>106.0</v>
      </c>
      <c r="H1079" s="13">
        <v>146.0</v>
      </c>
      <c r="I1079" s="13">
        <v>16.0</v>
      </c>
      <c r="J1079" s="13">
        <v>0.0</v>
      </c>
      <c r="K1079" s="12" t="s">
        <v>21</v>
      </c>
      <c r="L1079" s="7">
        <v>40263.08799768519</v>
      </c>
      <c r="M1079" s="14" t="s">
        <v>2553</v>
      </c>
      <c r="N1079" s="14" t="s">
        <v>2554</v>
      </c>
      <c r="O1079" s="11" t="str">
        <f>HYPERLINK("https://pbs.twimg.com/profile_images/429569747324108800/x56Bl29Y_normal.jpeg","View")</f>
        <v>View</v>
      </c>
      <c r="P1079" s="15"/>
    </row>
    <row r="1080">
      <c r="A1080" s="7">
        <v>42425.49952546296</v>
      </c>
      <c r="B1080" s="8" t="str">
        <f>HYPERLINK("https://twitter.com/ZacErnst","@ZacErnst")</f>
        <v>@ZacErnst</v>
      </c>
      <c r="C1080" s="10" t="s">
        <v>2555</v>
      </c>
      <c r="D1080" s="10" t="s">
        <v>2556</v>
      </c>
      <c r="E1080" s="11" t="str">
        <f>HYPERLINK("https://twitter.com/ZacErnst/status/702945994539819008","702945994539819008")</f>
        <v>702945994539819008</v>
      </c>
      <c r="F1080" s="12" t="s">
        <v>446</v>
      </c>
      <c r="G1080" s="13">
        <v>357.0</v>
      </c>
      <c r="H1080" s="13">
        <v>96.0</v>
      </c>
      <c r="I1080" s="13">
        <v>0.0</v>
      </c>
      <c r="J1080" s="13">
        <v>2.0</v>
      </c>
      <c r="K1080" s="12" t="s">
        <v>21</v>
      </c>
      <c r="L1080" s="7">
        <v>40014.47045138889</v>
      </c>
      <c r="M1080" s="14" t="s">
        <v>2557</v>
      </c>
      <c r="N1080" s="14" t="s">
        <v>2558</v>
      </c>
      <c r="O1080" s="11" t="str">
        <f>HYPERLINK("https://pbs.twimg.com/profile_images/2163169197/meagain_normal.jpg","View")</f>
        <v>View</v>
      </c>
      <c r="P1080" s="15"/>
    </row>
    <row r="1081">
      <c r="A1081" s="7">
        <v>42425.50002314815</v>
      </c>
      <c r="B1081" s="8" t="str">
        <f>HYPERLINK("https://twitter.com/srcport","@srcport")</f>
        <v>@srcport</v>
      </c>
      <c r="C1081" s="10" t="s">
        <v>2091</v>
      </c>
      <c r="D1081" s="10" t="s">
        <v>2559</v>
      </c>
      <c r="E1081" s="11" t="str">
        <f>HYPERLINK("https://twitter.com/srcport/status/702946174207205377","702946174207205377")</f>
        <v>702946174207205377</v>
      </c>
      <c r="F1081" s="12" t="s">
        <v>2091</v>
      </c>
      <c r="G1081" s="13">
        <v>206.0</v>
      </c>
      <c r="H1081" s="13">
        <v>313.0</v>
      </c>
      <c r="I1081" s="13">
        <v>0.0</v>
      </c>
      <c r="J1081" s="13">
        <v>0.0</v>
      </c>
      <c r="K1081" s="12" t="s">
        <v>21</v>
      </c>
      <c r="L1081" s="7">
        <v>42141.33273148148</v>
      </c>
      <c r="M1081" s="14" t="s">
        <v>1134</v>
      </c>
      <c r="N1081" s="14" t="s">
        <v>2093</v>
      </c>
      <c r="O1081" s="11" t="str">
        <f>HYPERLINK("https://pbs.twimg.com/profile_images/625824019783266305/CqN4VuZW_normal.png","View")</f>
        <v>View</v>
      </c>
      <c r="P1081" s="15"/>
    </row>
    <row r="1082">
      <c r="A1082" s="7">
        <v>42425.50002314815</v>
      </c>
      <c r="B1082" s="8" t="str">
        <f>HYPERLINK("https://twitter.com/soiqbot","@soiqbot")</f>
        <v>@soiqbot</v>
      </c>
      <c r="C1082" s="10" t="s">
        <v>2016</v>
      </c>
      <c r="D1082" s="10" t="s">
        <v>2560</v>
      </c>
      <c r="E1082" s="11" t="str">
        <f>HYPERLINK("https://twitter.com/soiqbot/status/702946174337155073","702946174337155073")</f>
        <v>702946174337155073</v>
      </c>
      <c r="F1082" s="12" t="s">
        <v>2018</v>
      </c>
      <c r="G1082" s="13">
        <v>45.0</v>
      </c>
      <c r="H1082" s="13">
        <v>1.0</v>
      </c>
      <c r="I1082" s="13">
        <v>0.0</v>
      </c>
      <c r="J1082" s="13">
        <v>0.0</v>
      </c>
      <c r="K1082" s="12" t="s">
        <v>21</v>
      </c>
      <c r="L1082" s="7">
        <v>42364.57996527778</v>
      </c>
      <c r="M1082" s="16"/>
      <c r="N1082" s="14" t="s">
        <v>2019</v>
      </c>
      <c r="O1082" s="11" t="str">
        <f>HYPERLINK("https://pbs.twimg.com/profile_images/680887029845110784/iWdan2Gf_normal.jpg","View")</f>
        <v>View</v>
      </c>
      <c r="P1082" s="15"/>
    </row>
    <row r="1083">
      <c r="A1083" s="7">
        <v>42425.500127314815</v>
      </c>
      <c r="B1083" s="8" t="str">
        <f>HYPERLINK("https://twitter.com/LearntoCodeGame","@LearntoCodeGame")</f>
        <v>@LearntoCodeGame</v>
      </c>
      <c r="C1083" s="10" t="s">
        <v>2561</v>
      </c>
      <c r="D1083" s="10" t="s">
        <v>2562</v>
      </c>
      <c r="E1083" s="11" t="str">
        <f>HYPERLINK("https://twitter.com/LearntoCodeGame/status/702946211192512512","702946211192512512")</f>
        <v>702946211192512512</v>
      </c>
      <c r="F1083" s="12" t="s">
        <v>20</v>
      </c>
      <c r="G1083" s="13">
        <v>176.0</v>
      </c>
      <c r="H1083" s="13">
        <v>789.0</v>
      </c>
      <c r="I1083" s="13">
        <v>0.0</v>
      </c>
      <c r="J1083" s="13">
        <v>1.0</v>
      </c>
      <c r="K1083" s="12" t="s">
        <v>21</v>
      </c>
      <c r="L1083" s="7">
        <v>42391.35671296297</v>
      </c>
      <c r="M1083" s="16"/>
      <c r="N1083" s="14" t="s">
        <v>2563</v>
      </c>
      <c r="O1083" s="11" t="str">
        <f>HYPERLINK("https://pbs.twimg.com/profile_images/690573526856814592/iIpFBX_m_normal.jpg","View")</f>
        <v>View</v>
      </c>
      <c r="P1083" s="15"/>
    </row>
    <row r="1084">
      <c r="A1084" s="7">
        <v>42425.500659722224</v>
      </c>
      <c r="B1084" s="8" t="str">
        <f>HYPERLINK("https://twitter.com/PythonWeekly","@PythonWeekly")</f>
        <v>@PythonWeekly</v>
      </c>
      <c r="C1084" s="10" t="s">
        <v>948</v>
      </c>
      <c r="D1084" s="10" t="s">
        <v>2564</v>
      </c>
      <c r="E1084" s="11" t="str">
        <f>HYPERLINK("https://twitter.com/PythonWeekly/status/702946404096987136","702946404096987136")</f>
        <v>702946404096987136</v>
      </c>
      <c r="F1084" s="12" t="s">
        <v>294</v>
      </c>
      <c r="G1084" s="13">
        <v>15565.0</v>
      </c>
      <c r="H1084" s="13">
        <v>0.0</v>
      </c>
      <c r="I1084" s="13">
        <v>5.0</v>
      </c>
      <c r="J1084" s="13">
        <v>8.0</v>
      </c>
      <c r="K1084" s="12" t="s">
        <v>21</v>
      </c>
      <c r="L1084" s="7">
        <v>40800.65934027778</v>
      </c>
      <c r="M1084" s="16"/>
      <c r="N1084" s="14" t="s">
        <v>950</v>
      </c>
      <c r="O1084" s="11" t="str">
        <f>HYPERLINK("https://pbs.twimg.com/profile_images/1554238582/python_normal.jpg","View")</f>
        <v>View</v>
      </c>
      <c r="P1084" s="15"/>
    </row>
    <row r="1085">
      <c r="A1085" s="7">
        <v>42425.50099537037</v>
      </c>
      <c r="B1085" s="8" t="str">
        <f>HYPERLINK("https://twitter.com/walkops","@walkops")</f>
        <v>@walkops</v>
      </c>
      <c r="C1085" s="10" t="s">
        <v>743</v>
      </c>
      <c r="D1085" s="10" t="s">
        <v>2565</v>
      </c>
      <c r="E1085" s="11" t="str">
        <f>HYPERLINK("https://twitter.com/walkops/status/702946524565782528","702946524565782528")</f>
        <v>702946524565782528</v>
      </c>
      <c r="F1085" s="12" t="s">
        <v>745</v>
      </c>
      <c r="G1085" s="13">
        <v>228.0</v>
      </c>
      <c r="H1085" s="13">
        <v>5.0</v>
      </c>
      <c r="I1085" s="13">
        <v>0.0</v>
      </c>
      <c r="J1085" s="13">
        <v>0.0</v>
      </c>
      <c r="K1085" s="12" t="s">
        <v>21</v>
      </c>
      <c r="L1085" s="7">
        <v>41278.36125</v>
      </c>
      <c r="M1085" s="14" t="s">
        <v>746</v>
      </c>
      <c r="N1085" s="14" t="s">
        <v>747</v>
      </c>
      <c r="O1085" s="11" t="str">
        <f>HYPERLINK("https://pbs.twimg.com/profile_images/414665160217739264/Vjqlxhz8_normal.jpeg","View")</f>
        <v>View</v>
      </c>
      <c r="P1085" s="15"/>
    </row>
    <row r="1086">
      <c r="A1086" s="7">
        <v>42425.50122685185</v>
      </c>
      <c r="B1086" s="8" t="str">
        <f>HYPERLINK("https://twitter.com/nightwalker","@nightwalker")</f>
        <v>@nightwalker</v>
      </c>
      <c r="C1086" s="10" t="s">
        <v>1169</v>
      </c>
      <c r="D1086" s="10" t="s">
        <v>2547</v>
      </c>
      <c r="E1086" s="11" t="str">
        <f>HYPERLINK("https://twitter.com/nightwalker/status/702946610297212928","702946610297212928")</f>
        <v>702946610297212928</v>
      </c>
      <c r="F1086" s="12" t="s">
        <v>52</v>
      </c>
      <c r="G1086" s="13">
        <v>159.0</v>
      </c>
      <c r="H1086" s="13">
        <v>692.0</v>
      </c>
      <c r="I1086" s="13">
        <v>3.0</v>
      </c>
      <c r="J1086" s="13">
        <v>0.0</v>
      </c>
      <c r="K1086" s="12" t="s">
        <v>21</v>
      </c>
      <c r="L1086" s="7">
        <v>39288.179976851854</v>
      </c>
      <c r="M1086" s="14" t="s">
        <v>1170</v>
      </c>
      <c r="N1086" s="16"/>
      <c r="O1086" s="11" t="str">
        <f>HYPERLINK("https://pbs.twimg.com/profile_images/25542182/flickr_icon_20070307_normal.jpg","View")</f>
        <v>View</v>
      </c>
      <c r="P1086" s="15"/>
    </row>
    <row r="1087">
      <c r="A1087" s="7">
        <v>42425.50126157407</v>
      </c>
      <c r="B1087" s="8" t="str">
        <f>HYPERLINK("https://twitter.com/cedrickrier","@cedrickrier")</f>
        <v>@cedrickrier</v>
      </c>
      <c r="C1087" s="10" t="s">
        <v>2566</v>
      </c>
      <c r="D1087" s="10" t="s">
        <v>2567</v>
      </c>
      <c r="E1087" s="11" t="str">
        <f>HYPERLINK("https://twitter.com/cedrickrier/status/702946621403881472","702946621403881472")</f>
        <v>702946621403881472</v>
      </c>
      <c r="F1087" s="12" t="s">
        <v>20</v>
      </c>
      <c r="G1087" s="13">
        <v>722.0</v>
      </c>
      <c r="H1087" s="13">
        <v>101.0</v>
      </c>
      <c r="I1087" s="13">
        <v>0.0</v>
      </c>
      <c r="J1087" s="13">
        <v>1.0</v>
      </c>
      <c r="K1087" s="12" t="s">
        <v>21</v>
      </c>
      <c r="L1087" s="7">
        <v>40142.310625</v>
      </c>
      <c r="M1087" s="14" t="s">
        <v>2568</v>
      </c>
      <c r="N1087" s="14" t="s">
        <v>2569</v>
      </c>
      <c r="O1087" s="11" t="str">
        <f>HYPERLINK("https://pbs.twimg.com/profile_images/2945146809/7e973d9b39d9663f3466f2af9855129c_normal.jpeg","View")</f>
        <v>View</v>
      </c>
      <c r="P1087" s="15"/>
    </row>
    <row r="1088">
      <c r="A1088" s="7">
        <v>42425.501793981486</v>
      </c>
      <c r="B1088" s="8" t="str">
        <f t="shared" ref="B1088:B1097" si="101">HYPERLINK("https://twitter.com/artwisanggeni","@artwisanggeni")</f>
        <v>@artwisanggeni</v>
      </c>
      <c r="C1088" s="10" t="s">
        <v>74</v>
      </c>
      <c r="D1088" s="10" t="s">
        <v>2570</v>
      </c>
      <c r="E1088" s="11" t="str">
        <f>HYPERLINK("https://twitter.com/artwisanggeni/status/702946816342388737","702946816342388737")</f>
        <v>702946816342388737</v>
      </c>
      <c r="F1088" s="17" t="s">
        <v>76</v>
      </c>
      <c r="G1088" s="13">
        <v>236.0</v>
      </c>
      <c r="H1088" s="13">
        <v>61.0</v>
      </c>
      <c r="I1088" s="13">
        <v>0.0</v>
      </c>
      <c r="J1088" s="13">
        <v>0.0</v>
      </c>
      <c r="K1088" s="12" t="s">
        <v>21</v>
      </c>
      <c r="L1088" s="7">
        <v>41218.90608796296</v>
      </c>
      <c r="M1088" s="14" t="s">
        <v>77</v>
      </c>
      <c r="N1088" s="14" t="s">
        <v>78</v>
      </c>
      <c r="O1088" s="11" t="str">
        <f t="shared" ref="O1088:O1097" si="102">HYPERLINK("https://pbs.twimg.com/profile_images/2813636657/599521f69e2bc210a57323b64d8e39e6_normal.jpeg","View")</f>
        <v>View</v>
      </c>
      <c r="P1088" s="15"/>
    </row>
    <row r="1089">
      <c r="A1089" s="7">
        <v>42425.501817129625</v>
      </c>
      <c r="B1089" s="8" t="str">
        <f t="shared" si="101"/>
        <v>@artwisanggeni</v>
      </c>
      <c r="C1089" s="10" t="s">
        <v>74</v>
      </c>
      <c r="D1089" s="10" t="s">
        <v>2571</v>
      </c>
      <c r="E1089" s="11" t="str">
        <f>HYPERLINK("https://twitter.com/artwisanggeni/status/702946821660737537","702946821660737537")</f>
        <v>702946821660737537</v>
      </c>
      <c r="F1089" s="17" t="s">
        <v>76</v>
      </c>
      <c r="G1089" s="13">
        <v>236.0</v>
      </c>
      <c r="H1089" s="13">
        <v>61.0</v>
      </c>
      <c r="I1089" s="13">
        <v>0.0</v>
      </c>
      <c r="J1089" s="13">
        <v>0.0</v>
      </c>
      <c r="K1089" s="12" t="s">
        <v>21</v>
      </c>
      <c r="L1089" s="7">
        <v>41218.90608796296</v>
      </c>
      <c r="M1089" s="14" t="s">
        <v>77</v>
      </c>
      <c r="N1089" s="14" t="s">
        <v>78</v>
      </c>
      <c r="O1089" s="11" t="str">
        <f t="shared" si="102"/>
        <v>View</v>
      </c>
      <c r="P1089" s="15"/>
    </row>
    <row r="1090">
      <c r="A1090" s="7">
        <v>42425.501817129625</v>
      </c>
      <c r="B1090" s="8" t="str">
        <f t="shared" si="101"/>
        <v>@artwisanggeni</v>
      </c>
      <c r="C1090" s="10" t="s">
        <v>74</v>
      </c>
      <c r="D1090" s="10" t="s">
        <v>2572</v>
      </c>
      <c r="E1090" s="11" t="str">
        <f>HYPERLINK("https://twitter.com/artwisanggeni/status/702946825544683520","702946825544683520")</f>
        <v>702946825544683520</v>
      </c>
      <c r="F1090" s="17" t="s">
        <v>76</v>
      </c>
      <c r="G1090" s="13">
        <v>236.0</v>
      </c>
      <c r="H1090" s="13">
        <v>61.0</v>
      </c>
      <c r="I1090" s="13">
        <v>0.0</v>
      </c>
      <c r="J1090" s="13">
        <v>0.0</v>
      </c>
      <c r="K1090" s="12" t="s">
        <v>21</v>
      </c>
      <c r="L1090" s="7">
        <v>41218.90608796296</v>
      </c>
      <c r="M1090" s="14" t="s">
        <v>77</v>
      </c>
      <c r="N1090" s="14" t="s">
        <v>78</v>
      </c>
      <c r="O1090" s="11" t="str">
        <f t="shared" si="102"/>
        <v>View</v>
      </c>
      <c r="P1090" s="15"/>
    </row>
    <row r="1091">
      <c r="A1091" s="7">
        <v>42425.50184027778</v>
      </c>
      <c r="B1091" s="8" t="str">
        <f t="shared" si="101"/>
        <v>@artwisanggeni</v>
      </c>
      <c r="C1091" s="10" t="s">
        <v>74</v>
      </c>
      <c r="D1091" s="10" t="s">
        <v>2573</v>
      </c>
      <c r="E1091" s="11" t="str">
        <f>HYPERLINK("https://twitter.com/artwisanggeni/status/702946829843828738","702946829843828738")</f>
        <v>702946829843828738</v>
      </c>
      <c r="F1091" s="17" t="s">
        <v>76</v>
      </c>
      <c r="G1091" s="13">
        <v>236.0</v>
      </c>
      <c r="H1091" s="13">
        <v>61.0</v>
      </c>
      <c r="I1091" s="13">
        <v>0.0</v>
      </c>
      <c r="J1091" s="13">
        <v>0.0</v>
      </c>
      <c r="K1091" s="12" t="s">
        <v>21</v>
      </c>
      <c r="L1091" s="7">
        <v>41218.90608796296</v>
      </c>
      <c r="M1091" s="14" t="s">
        <v>77</v>
      </c>
      <c r="N1091" s="14" t="s">
        <v>78</v>
      </c>
      <c r="O1091" s="11" t="str">
        <f t="shared" si="102"/>
        <v>View</v>
      </c>
      <c r="P1091" s="15"/>
    </row>
    <row r="1092">
      <c r="A1092" s="7">
        <v>42425.50185185185</v>
      </c>
      <c r="B1092" s="8" t="str">
        <f t="shared" si="101"/>
        <v>@artwisanggeni</v>
      </c>
      <c r="C1092" s="10" t="s">
        <v>74</v>
      </c>
      <c r="D1092" s="10" t="s">
        <v>2574</v>
      </c>
      <c r="E1092" s="11" t="str">
        <f>HYPERLINK("https://twitter.com/artwisanggeni/status/702946834054926336","702946834054926336")</f>
        <v>702946834054926336</v>
      </c>
      <c r="F1092" s="17" t="s">
        <v>76</v>
      </c>
      <c r="G1092" s="13">
        <v>236.0</v>
      </c>
      <c r="H1092" s="13">
        <v>61.0</v>
      </c>
      <c r="I1092" s="13">
        <v>0.0</v>
      </c>
      <c r="J1092" s="13">
        <v>0.0</v>
      </c>
      <c r="K1092" s="12" t="s">
        <v>21</v>
      </c>
      <c r="L1092" s="7">
        <v>41218.90608796296</v>
      </c>
      <c r="M1092" s="14" t="s">
        <v>77</v>
      </c>
      <c r="N1092" s="14" t="s">
        <v>78</v>
      </c>
      <c r="O1092" s="11" t="str">
        <f t="shared" si="102"/>
        <v>View</v>
      </c>
      <c r="P1092" s="15"/>
    </row>
    <row r="1093">
      <c r="A1093" s="7">
        <v>42425.501863425925</v>
      </c>
      <c r="B1093" s="8" t="str">
        <f t="shared" si="101"/>
        <v>@artwisanggeni</v>
      </c>
      <c r="C1093" s="10" t="s">
        <v>74</v>
      </c>
      <c r="D1093" s="10" t="s">
        <v>2575</v>
      </c>
      <c r="E1093" s="11" t="str">
        <f>HYPERLINK("https://twitter.com/artwisanggeni/status/702946838828052480","702946838828052480")</f>
        <v>702946838828052480</v>
      </c>
      <c r="F1093" s="17" t="s">
        <v>76</v>
      </c>
      <c r="G1093" s="13">
        <v>236.0</v>
      </c>
      <c r="H1093" s="13">
        <v>61.0</v>
      </c>
      <c r="I1093" s="13">
        <v>0.0</v>
      </c>
      <c r="J1093" s="13">
        <v>0.0</v>
      </c>
      <c r="K1093" s="12" t="s">
        <v>21</v>
      </c>
      <c r="L1093" s="7">
        <v>41218.90608796296</v>
      </c>
      <c r="M1093" s="14" t="s">
        <v>77</v>
      </c>
      <c r="N1093" s="14" t="s">
        <v>78</v>
      </c>
      <c r="O1093" s="11" t="str">
        <f t="shared" si="102"/>
        <v>View</v>
      </c>
      <c r="P1093" s="15"/>
    </row>
    <row r="1094">
      <c r="A1094" s="7">
        <v>42425.501875</v>
      </c>
      <c r="B1094" s="8" t="str">
        <f t="shared" si="101"/>
        <v>@artwisanggeni</v>
      </c>
      <c r="C1094" s="10" t="s">
        <v>74</v>
      </c>
      <c r="D1094" s="10" t="s">
        <v>2576</v>
      </c>
      <c r="E1094" s="11" t="str">
        <f>HYPERLINK("https://twitter.com/artwisanggeni/status/702946842883919872","702946842883919872")</f>
        <v>702946842883919872</v>
      </c>
      <c r="F1094" s="17" t="s">
        <v>76</v>
      </c>
      <c r="G1094" s="13">
        <v>236.0</v>
      </c>
      <c r="H1094" s="13">
        <v>61.0</v>
      </c>
      <c r="I1094" s="13">
        <v>0.0</v>
      </c>
      <c r="J1094" s="13">
        <v>0.0</v>
      </c>
      <c r="K1094" s="12" t="s">
        <v>21</v>
      </c>
      <c r="L1094" s="7">
        <v>41218.90608796296</v>
      </c>
      <c r="M1094" s="14" t="s">
        <v>77</v>
      </c>
      <c r="N1094" s="14" t="s">
        <v>78</v>
      </c>
      <c r="O1094" s="11" t="str">
        <f t="shared" si="102"/>
        <v>View</v>
      </c>
      <c r="P1094" s="15"/>
    </row>
    <row r="1095">
      <c r="A1095" s="7">
        <v>42425.50188657407</v>
      </c>
      <c r="B1095" s="8" t="str">
        <f t="shared" si="101"/>
        <v>@artwisanggeni</v>
      </c>
      <c r="C1095" s="10" t="s">
        <v>74</v>
      </c>
      <c r="D1095" s="10" t="s">
        <v>2577</v>
      </c>
      <c r="E1095" s="11" t="str">
        <f>HYPERLINK("https://twitter.com/artwisanggeni/status/702946847074029568","702946847074029568")</f>
        <v>702946847074029568</v>
      </c>
      <c r="F1095" s="17" t="s">
        <v>76</v>
      </c>
      <c r="G1095" s="13">
        <v>236.0</v>
      </c>
      <c r="H1095" s="13">
        <v>61.0</v>
      </c>
      <c r="I1095" s="13">
        <v>0.0</v>
      </c>
      <c r="J1095" s="13">
        <v>0.0</v>
      </c>
      <c r="K1095" s="12" t="s">
        <v>21</v>
      </c>
      <c r="L1095" s="7">
        <v>41218.90608796296</v>
      </c>
      <c r="M1095" s="14" t="s">
        <v>77</v>
      </c>
      <c r="N1095" s="14" t="s">
        <v>78</v>
      </c>
      <c r="O1095" s="11" t="str">
        <f t="shared" si="102"/>
        <v>View</v>
      </c>
      <c r="P1095" s="15"/>
    </row>
    <row r="1096">
      <c r="A1096" s="7">
        <v>42425.50189814815</v>
      </c>
      <c r="B1096" s="8" t="str">
        <f t="shared" si="101"/>
        <v>@artwisanggeni</v>
      </c>
      <c r="C1096" s="10" t="s">
        <v>74</v>
      </c>
      <c r="D1096" s="10" t="s">
        <v>2578</v>
      </c>
      <c r="E1096" s="11" t="str">
        <f>HYPERLINK("https://twitter.com/artwisanggeni/status/702946851037663232","702946851037663232")</f>
        <v>702946851037663232</v>
      </c>
      <c r="F1096" s="17" t="s">
        <v>76</v>
      </c>
      <c r="G1096" s="13">
        <v>236.0</v>
      </c>
      <c r="H1096" s="13">
        <v>61.0</v>
      </c>
      <c r="I1096" s="13">
        <v>0.0</v>
      </c>
      <c r="J1096" s="13">
        <v>0.0</v>
      </c>
      <c r="K1096" s="12" t="s">
        <v>21</v>
      </c>
      <c r="L1096" s="7">
        <v>41218.90608796296</v>
      </c>
      <c r="M1096" s="14" t="s">
        <v>77</v>
      </c>
      <c r="N1096" s="14" t="s">
        <v>78</v>
      </c>
      <c r="O1096" s="11" t="str">
        <f t="shared" si="102"/>
        <v>View</v>
      </c>
      <c r="P1096" s="15"/>
    </row>
    <row r="1097">
      <c r="A1097" s="7">
        <v>42425.50189814815</v>
      </c>
      <c r="B1097" s="8" t="str">
        <f t="shared" si="101"/>
        <v>@artwisanggeni</v>
      </c>
      <c r="C1097" s="10" t="s">
        <v>74</v>
      </c>
      <c r="D1097" s="10" t="s">
        <v>2579</v>
      </c>
      <c r="E1097" s="11" t="str">
        <f>HYPERLINK("https://twitter.com/artwisanggeni/status/702946854485385216","702946854485385216")</f>
        <v>702946854485385216</v>
      </c>
      <c r="F1097" s="17" t="s">
        <v>76</v>
      </c>
      <c r="G1097" s="13">
        <v>236.0</v>
      </c>
      <c r="H1097" s="13">
        <v>61.0</v>
      </c>
      <c r="I1097" s="13">
        <v>0.0</v>
      </c>
      <c r="J1097" s="13">
        <v>0.0</v>
      </c>
      <c r="K1097" s="12" t="s">
        <v>21</v>
      </c>
      <c r="L1097" s="7">
        <v>41218.90608796296</v>
      </c>
      <c r="M1097" s="14" t="s">
        <v>77</v>
      </c>
      <c r="N1097" s="14" t="s">
        <v>78</v>
      </c>
      <c r="O1097" s="11" t="str">
        <f t="shared" si="102"/>
        <v>View</v>
      </c>
      <c r="P1097" s="15"/>
    </row>
    <row r="1098">
      <c r="A1098" s="7">
        <v>42425.50212962963</v>
      </c>
      <c r="B1098" s="8" t="str">
        <f>HYPERLINK("https://twitter.com/Pvalsfr","@Pvalsfr")</f>
        <v>@Pvalsfr</v>
      </c>
      <c r="C1098" s="10" t="s">
        <v>771</v>
      </c>
      <c r="D1098" s="10" t="s">
        <v>2480</v>
      </c>
      <c r="E1098" s="11" t="str">
        <f>HYPERLINK("https://twitter.com/Pvalsfr/status/702946936647786496","702946936647786496")</f>
        <v>702946936647786496</v>
      </c>
      <c r="F1098" s="12" t="s">
        <v>152</v>
      </c>
      <c r="G1098" s="13">
        <v>1045.0</v>
      </c>
      <c r="H1098" s="13">
        <v>1081.0</v>
      </c>
      <c r="I1098" s="13">
        <v>3.0</v>
      </c>
      <c r="J1098" s="13">
        <v>0.0</v>
      </c>
      <c r="K1098" s="12" t="s">
        <v>21</v>
      </c>
      <c r="L1098" s="7">
        <v>40867.68900462963</v>
      </c>
      <c r="M1098" s="16"/>
      <c r="N1098" s="16"/>
      <c r="O1098" s="11" t="str">
        <f>HYPERLINK("https://abs.twimg.com/sticky/default_profile_images/default_profile_4_normal.png","View")</f>
        <v>View</v>
      </c>
      <c r="P1098" s="15"/>
    </row>
    <row r="1099">
      <c r="A1099" s="7">
        <v>42425.50219907408</v>
      </c>
      <c r="B1099" s="8" t="str">
        <f>HYPERLINK("https://twitter.com/dewomser","@dewomser")</f>
        <v>@dewomser</v>
      </c>
      <c r="C1099" s="10" t="s">
        <v>2580</v>
      </c>
      <c r="D1099" s="10" t="s">
        <v>2581</v>
      </c>
      <c r="E1099" s="11" t="str">
        <f>HYPERLINK("https://twitter.com/dewomser/status/702946961620652032","702946961620652032")</f>
        <v>702946961620652032</v>
      </c>
      <c r="F1099" s="12" t="s">
        <v>20</v>
      </c>
      <c r="G1099" s="13">
        <v>104.0</v>
      </c>
      <c r="H1099" s="13">
        <v>282.0</v>
      </c>
      <c r="I1099" s="13">
        <v>0.0</v>
      </c>
      <c r="J1099" s="13">
        <v>2.0</v>
      </c>
      <c r="K1099" s="12" t="s">
        <v>21</v>
      </c>
      <c r="L1099" s="7">
        <v>39991.47048611111</v>
      </c>
      <c r="M1099" s="14" t="s">
        <v>2582</v>
      </c>
      <c r="N1099" s="14" t="s">
        <v>2583</v>
      </c>
      <c r="O1099" s="11" t="str">
        <f>HYPERLINK("https://pbs.twimg.com/profile_images/406053671/ich0909_normal.png","View")</f>
        <v>View</v>
      </c>
      <c r="P1099" s="15"/>
    </row>
    <row r="1100">
      <c r="A1100" s="7">
        <v>42425.50256944445</v>
      </c>
      <c r="B1100" s="8" t="str">
        <f>HYPERLINK("https://twitter.com/korezian","@korezian")</f>
        <v>@korezian</v>
      </c>
      <c r="C1100" s="10" t="s">
        <v>2584</v>
      </c>
      <c r="D1100" s="10" t="s">
        <v>2094</v>
      </c>
      <c r="E1100" s="11" t="str">
        <f>HYPERLINK("https://twitter.com/korezian/status/702947096522051584","702947096522051584")</f>
        <v>702947096522051584</v>
      </c>
      <c r="F1100" s="12" t="s">
        <v>152</v>
      </c>
      <c r="G1100" s="13">
        <v>336.0</v>
      </c>
      <c r="H1100" s="13">
        <v>662.0</v>
      </c>
      <c r="I1100" s="13">
        <v>2.0</v>
      </c>
      <c r="J1100" s="13">
        <v>0.0</v>
      </c>
      <c r="K1100" s="12" t="s">
        <v>21</v>
      </c>
      <c r="L1100" s="7">
        <v>41318.54667824074</v>
      </c>
      <c r="M1100" s="16"/>
      <c r="N1100" s="14" t="s">
        <v>2585</v>
      </c>
      <c r="O1100" s="11" t="str">
        <f>HYPERLINK("https://pbs.twimg.com/profile_images/460099412526518272/aNXvaTyn_normal.jpeg","View")</f>
        <v>View</v>
      </c>
      <c r="P1100" s="15"/>
    </row>
    <row r="1101">
      <c r="A1101" s="7">
        <v>42425.50284722222</v>
      </c>
      <c r="B1101" s="8" t="str">
        <f>HYPERLINK("https://twitter.com/ribcrackr","@ribcrackr")</f>
        <v>@ribcrackr</v>
      </c>
      <c r="C1101" s="10" t="s">
        <v>2586</v>
      </c>
      <c r="D1101" s="10" t="s">
        <v>2587</v>
      </c>
      <c r="E1101" s="11" t="str">
        <f>HYPERLINK("https://twitter.com/ribcrackr/status/702947198472843264","702947198472843264")</f>
        <v>702947198472843264</v>
      </c>
      <c r="F1101" s="12" t="s">
        <v>446</v>
      </c>
      <c r="G1101" s="13">
        <v>40.0</v>
      </c>
      <c r="H1101" s="13">
        <v>43.0</v>
      </c>
      <c r="I1101" s="13">
        <v>0.0</v>
      </c>
      <c r="J1101" s="13">
        <v>2.0</v>
      </c>
      <c r="K1101" s="12" t="s">
        <v>21</v>
      </c>
      <c r="L1101" s="7">
        <v>42034.632743055554</v>
      </c>
      <c r="M1101" s="14" t="s">
        <v>995</v>
      </c>
      <c r="N1101" s="14" t="s">
        <v>2588</v>
      </c>
      <c r="O1101" s="11" t="str">
        <f>HYPERLINK("https://pbs.twimg.com/profile_images/695671925100716037/wM_7ofSA_normal.jpg","View")</f>
        <v>View</v>
      </c>
      <c r="P1101" s="15"/>
    </row>
    <row r="1102">
      <c r="A1102" s="7">
        <v>42425.50295138889</v>
      </c>
      <c r="B1102" s="8" t="str">
        <f>HYPERLINK("https://twitter.com/Urist_McProgger","@Urist_McProgger")</f>
        <v>@Urist_McProgger</v>
      </c>
      <c r="C1102" s="10" t="s">
        <v>2589</v>
      </c>
      <c r="D1102" s="10" t="s">
        <v>2590</v>
      </c>
      <c r="E1102" s="11" t="str">
        <f>HYPERLINK("https://twitter.com/Urist_McProgger/status/702947234078466048","702947234078466048")</f>
        <v>702947234078466048</v>
      </c>
      <c r="F1102" s="12" t="s">
        <v>152</v>
      </c>
      <c r="G1102" s="13">
        <v>9.0</v>
      </c>
      <c r="H1102" s="13">
        <v>60.0</v>
      </c>
      <c r="I1102" s="13">
        <v>0.0</v>
      </c>
      <c r="J1102" s="13">
        <v>1.0</v>
      </c>
      <c r="K1102" s="12" t="s">
        <v>21</v>
      </c>
      <c r="L1102" s="7">
        <v>41854.2431712963</v>
      </c>
      <c r="M1102" s="16"/>
      <c r="N1102" s="14" t="s">
        <v>2591</v>
      </c>
      <c r="O1102" s="11" t="str">
        <f>HYPERLINK("https://pbs.twimg.com/profile_images/558932528350760960/Yw6eN8Hy_normal.jpeg","View")</f>
        <v>View</v>
      </c>
      <c r="P1102" s="15"/>
    </row>
    <row r="1103">
      <c r="A1103" s="7">
        <v>42425.50309027778</v>
      </c>
      <c r="B1103" s="8" t="str">
        <f>HYPERLINK("https://twitter.com/walkops","@walkops")</f>
        <v>@walkops</v>
      </c>
      <c r="C1103" s="10" t="s">
        <v>743</v>
      </c>
      <c r="D1103" s="10" t="s">
        <v>2592</v>
      </c>
      <c r="E1103" s="11" t="str">
        <f>HYPERLINK("https://twitter.com/walkops/status/702947283453743106","702947283453743106")</f>
        <v>702947283453743106</v>
      </c>
      <c r="F1103" s="12" t="s">
        <v>745</v>
      </c>
      <c r="G1103" s="13">
        <v>228.0</v>
      </c>
      <c r="H1103" s="13">
        <v>5.0</v>
      </c>
      <c r="I1103" s="13">
        <v>0.0</v>
      </c>
      <c r="J1103" s="13">
        <v>1.0</v>
      </c>
      <c r="K1103" s="12" t="s">
        <v>21</v>
      </c>
      <c r="L1103" s="7">
        <v>41278.36125</v>
      </c>
      <c r="M1103" s="14" t="s">
        <v>746</v>
      </c>
      <c r="N1103" s="14" t="s">
        <v>747</v>
      </c>
      <c r="O1103" s="11" t="str">
        <f>HYPERLINK("https://pbs.twimg.com/profile_images/414665160217739264/Vjqlxhz8_normal.jpeg","View")</f>
        <v>View</v>
      </c>
      <c r="P1103" s="15"/>
    </row>
    <row r="1104">
      <c r="A1104" s="7">
        <v>42425.50431712963</v>
      </c>
      <c r="B1104" s="8" t="str">
        <f>HYPERLINK("https://twitter.com/rey_atkinson","@rey_atkinson")</f>
        <v>@rey_atkinson</v>
      </c>
      <c r="C1104" s="10" t="s">
        <v>2593</v>
      </c>
      <c r="D1104" s="10" t="s">
        <v>2594</v>
      </c>
      <c r="E1104" s="11" t="str">
        <f>HYPERLINK("https://twitter.com/rey_atkinson/status/702947728259682304","702947728259682304")</f>
        <v>702947728259682304</v>
      </c>
      <c r="F1104" s="12" t="s">
        <v>2595</v>
      </c>
      <c r="G1104" s="13">
        <v>375.0</v>
      </c>
      <c r="H1104" s="13">
        <v>160.0</v>
      </c>
      <c r="I1104" s="13">
        <v>0.0</v>
      </c>
      <c r="J1104" s="13">
        <v>2.0</v>
      </c>
      <c r="K1104" s="12" t="s">
        <v>21</v>
      </c>
      <c r="L1104" s="7">
        <v>42130.34451388889</v>
      </c>
      <c r="M1104" s="14" t="s">
        <v>332</v>
      </c>
      <c r="N1104" s="14" t="s">
        <v>2596</v>
      </c>
      <c r="O1104" s="11" t="str">
        <f>HYPERLINK("https://pbs.twimg.com/profile_images/595972448320933889/a6gFOD38_normal.jpg","View")</f>
        <v>View</v>
      </c>
      <c r="P1104" s="15"/>
    </row>
    <row r="1105">
      <c r="A1105" s="7">
        <v>42425.50575231481</v>
      </c>
      <c r="B1105" s="8" t="str">
        <f>HYPERLINK("https://twitter.com/b_smoke","@b_smoke")</f>
        <v>@b_smoke</v>
      </c>
      <c r="C1105" s="10" t="s">
        <v>2597</v>
      </c>
      <c r="D1105" s="10" t="s">
        <v>2088</v>
      </c>
      <c r="E1105" s="11" t="str">
        <f>HYPERLINK("https://twitter.com/b_smoke/status/702948250970554368","702948250970554368")</f>
        <v>702948250970554368</v>
      </c>
      <c r="F1105" s="12" t="s">
        <v>20</v>
      </c>
      <c r="G1105" s="13">
        <v>347.0</v>
      </c>
      <c r="H1105" s="13">
        <v>241.0</v>
      </c>
      <c r="I1105" s="13">
        <v>12.0</v>
      </c>
      <c r="J1105" s="13">
        <v>0.0</v>
      </c>
      <c r="K1105" s="12" t="s">
        <v>21</v>
      </c>
      <c r="L1105" s="7">
        <v>39646.01834490741</v>
      </c>
      <c r="M1105" s="14" t="s">
        <v>129</v>
      </c>
      <c r="N1105" s="14" t="s">
        <v>2598</v>
      </c>
      <c r="O1105" s="11" t="str">
        <f>HYPERLINK("https://pbs.twimg.com/profile_images/1289491245/oops_normal.jpg","View")</f>
        <v>View</v>
      </c>
      <c r="P1105" s="15"/>
    </row>
    <row r="1106">
      <c r="A1106" s="7">
        <v>42425.50581018519</v>
      </c>
      <c r="B1106" s="8" t="str">
        <f>HYPERLINK("https://twitter.com/HartwigMicheal","@HartwigMicheal")</f>
        <v>@HartwigMicheal</v>
      </c>
      <c r="C1106" s="10" t="s">
        <v>842</v>
      </c>
      <c r="D1106" s="10" t="s">
        <v>2599</v>
      </c>
      <c r="E1106" s="11" t="str">
        <f>HYPERLINK("https://twitter.com/HartwigMicheal/status/702948272231587840","702948272231587840")</f>
        <v>702948272231587840</v>
      </c>
      <c r="F1106" s="12" t="s">
        <v>103</v>
      </c>
      <c r="G1106" s="13">
        <v>541.0</v>
      </c>
      <c r="H1106" s="13">
        <v>830.0</v>
      </c>
      <c r="I1106" s="13">
        <v>0.0</v>
      </c>
      <c r="J1106" s="13">
        <v>1.0</v>
      </c>
      <c r="K1106" s="12" t="s">
        <v>21</v>
      </c>
      <c r="L1106" s="7">
        <v>42362.00148148148</v>
      </c>
      <c r="M1106" s="14" t="s">
        <v>844</v>
      </c>
      <c r="N1106" s="14" t="s">
        <v>845</v>
      </c>
      <c r="O1106" s="11" t="str">
        <f>HYPERLINK("https://pbs.twimg.com/profile_images/679948461953781761/pDo9356K_normal.jpg","View")</f>
        <v>View</v>
      </c>
      <c r="P1106" s="15"/>
    </row>
    <row r="1107">
      <c r="A1107" s="7">
        <v>42425.506006944444</v>
      </c>
      <c r="B1107" s="8" t="str">
        <f>HYPERLINK("https://twitter.com/MTotolrahaman","@MTotolrahaman")</f>
        <v>@MTotolrahaman</v>
      </c>
      <c r="C1107" s="10" t="s">
        <v>848</v>
      </c>
      <c r="D1107" s="10" t="s">
        <v>2600</v>
      </c>
      <c r="E1107" s="11" t="str">
        <f>HYPERLINK("https://twitter.com/MTotolrahaman/status/702948342150598657","702948342150598657")</f>
        <v>702948342150598657</v>
      </c>
      <c r="F1107" s="12" t="s">
        <v>103</v>
      </c>
      <c r="G1107" s="13">
        <v>766.0</v>
      </c>
      <c r="H1107" s="13">
        <v>846.0</v>
      </c>
      <c r="I1107" s="13">
        <v>0.0</v>
      </c>
      <c r="J1107" s="13">
        <v>0.0</v>
      </c>
      <c r="K1107" s="12" t="s">
        <v>21</v>
      </c>
      <c r="L1107" s="7">
        <v>42355.250798611116</v>
      </c>
      <c r="M1107" s="14" t="s">
        <v>850</v>
      </c>
      <c r="N1107" s="14" t="s">
        <v>851</v>
      </c>
      <c r="O1107" s="11" t="str">
        <f>HYPERLINK("https://pbs.twimg.com/profile_images/677493910256484352/-EdVaVPl_normal.jpg","View")</f>
        <v>View</v>
      </c>
      <c r="P1107" s="15"/>
    </row>
    <row r="1108">
      <c r="A1108" s="7">
        <v>42425.50719907407</v>
      </c>
      <c r="B1108" s="8" t="str">
        <f>HYPERLINK("https://twitter.com/DistrictDataLab","@DistrictDataLab")</f>
        <v>@DistrictDataLab</v>
      </c>
      <c r="C1108" s="10" t="s">
        <v>2228</v>
      </c>
      <c r="D1108" s="10" t="s">
        <v>2601</v>
      </c>
      <c r="E1108" s="11" t="str">
        <f>HYPERLINK("https://twitter.com/DistrictDataLab/status/702948774486908928","702948774486908928")</f>
        <v>702948774486908928</v>
      </c>
      <c r="F1108" s="12" t="s">
        <v>294</v>
      </c>
      <c r="G1108" s="13">
        <v>1844.0</v>
      </c>
      <c r="H1108" s="13">
        <v>1146.0</v>
      </c>
      <c r="I1108" s="13">
        <v>0.0</v>
      </c>
      <c r="J1108" s="13">
        <v>6.0</v>
      </c>
      <c r="K1108" s="12" t="s">
        <v>21</v>
      </c>
      <c r="L1108" s="7">
        <v>41599.44584490741</v>
      </c>
      <c r="M1108" s="14" t="s">
        <v>784</v>
      </c>
      <c r="N1108" s="14" t="s">
        <v>2230</v>
      </c>
      <c r="O1108" s="11" t="str">
        <f>HYPERLINK("https://pbs.twimg.com/profile_images/676095885575634944/NXl4o2HU_normal.png","View")</f>
        <v>View</v>
      </c>
      <c r="P1108" s="15"/>
    </row>
    <row r="1109">
      <c r="A1109" s="7">
        <v>42425.507361111115</v>
      </c>
      <c r="B1109" s="8" t="str">
        <f>HYPERLINK("https://twitter.com/pauloxnet","@pauloxnet")</f>
        <v>@pauloxnet</v>
      </c>
      <c r="C1109" s="10" t="s">
        <v>1568</v>
      </c>
      <c r="D1109" s="10" t="s">
        <v>2602</v>
      </c>
      <c r="E1109" s="11" t="str">
        <f>HYPERLINK("https://twitter.com/pauloxnet/status/702948830573101056","702948830573101056")</f>
        <v>702948830573101056</v>
      </c>
      <c r="F1109" s="12" t="s">
        <v>152</v>
      </c>
      <c r="G1109" s="13">
        <v>154.0</v>
      </c>
      <c r="H1109" s="13">
        <v>385.0</v>
      </c>
      <c r="I1109" s="13">
        <v>3.0</v>
      </c>
      <c r="J1109" s="13">
        <v>0.0</v>
      </c>
      <c r="K1109" s="12" t="s">
        <v>21</v>
      </c>
      <c r="L1109" s="7">
        <v>40232.2446412037</v>
      </c>
      <c r="M1109" s="14" t="s">
        <v>129</v>
      </c>
      <c r="N1109" s="14" t="s">
        <v>1569</v>
      </c>
      <c r="O1109" s="11" t="str">
        <f>HYPERLINK("https://pbs.twimg.com/profile_images/588686612281708544/xm0xerTE_normal.jpg","View")</f>
        <v>View</v>
      </c>
      <c r="P1109" s="15"/>
    </row>
    <row r="1110">
      <c r="A1110" s="7">
        <v>42425.508831018524</v>
      </c>
      <c r="B1110" s="8" t="str">
        <f>HYPERLINK("https://twitter.com/rddave","@rddave")</f>
        <v>@rddave</v>
      </c>
      <c r="C1110" s="10" t="s">
        <v>2603</v>
      </c>
      <c r="D1110" s="10" t="s">
        <v>2604</v>
      </c>
      <c r="E1110" s="11" t="str">
        <f>HYPERLINK("https://twitter.com/rddave/status/702949366873595904","702949366873595904")</f>
        <v>702949366873595904</v>
      </c>
      <c r="F1110" s="12" t="s">
        <v>152</v>
      </c>
      <c r="G1110" s="13">
        <v>1173.0</v>
      </c>
      <c r="H1110" s="13">
        <v>1965.0</v>
      </c>
      <c r="I1110" s="13">
        <v>1.0</v>
      </c>
      <c r="J1110" s="13">
        <v>2.0</v>
      </c>
      <c r="K1110" s="12" t="s">
        <v>21</v>
      </c>
      <c r="L1110" s="7">
        <v>39869.28313657407</v>
      </c>
      <c r="M1110" s="14" t="s">
        <v>2605</v>
      </c>
      <c r="N1110" s="14" t="s">
        <v>2606</v>
      </c>
      <c r="O1110" s="11" t="str">
        <f>HYPERLINK("https://pbs.twimg.com/profile_images/107229739/Daves_Head_normal.jpg","View")</f>
        <v>View</v>
      </c>
      <c r="P1110" s="15"/>
    </row>
    <row r="1111">
      <c r="A1111" s="7">
        <v>42425.509375</v>
      </c>
      <c r="B1111" s="8" t="str">
        <f>HYPERLINK("https://twitter.com/fsarradin","@fsarradin")</f>
        <v>@fsarradin</v>
      </c>
      <c r="C1111" s="10" t="s">
        <v>2607</v>
      </c>
      <c r="D1111" s="10" t="s">
        <v>2608</v>
      </c>
      <c r="E1111" s="11" t="str">
        <f>HYPERLINK("https://twitter.com/fsarradin/status/702949561732562944","702949561732562944")</f>
        <v>702949561732562944</v>
      </c>
      <c r="F1111" s="12" t="s">
        <v>52</v>
      </c>
      <c r="G1111" s="13">
        <v>721.0</v>
      </c>
      <c r="H1111" s="13">
        <v>584.0</v>
      </c>
      <c r="I1111" s="13">
        <v>0.0</v>
      </c>
      <c r="J1111" s="13">
        <v>2.0</v>
      </c>
      <c r="K1111" s="12" t="s">
        <v>21</v>
      </c>
      <c r="L1111" s="7">
        <v>40303.57613425926</v>
      </c>
      <c r="M1111" s="14" t="s">
        <v>2609</v>
      </c>
      <c r="N1111" s="14" t="s">
        <v>2610</v>
      </c>
      <c r="O1111" s="11" t="str">
        <f>HYPERLINK("https://pbs.twimg.com/profile_images/594904959071694848/jF340Hcf_normal.jpg","View")</f>
        <v>View</v>
      </c>
      <c r="P1111" s="15"/>
    </row>
    <row r="1112">
      <c r="A1112" s="7">
        <v>42425.509884259256</v>
      </c>
      <c r="B1112" s="8" t="str">
        <f>HYPERLINK("https://twitter.com/GergoB","@GergoB")</f>
        <v>@GergoB</v>
      </c>
      <c r="C1112" s="10" t="s">
        <v>2611</v>
      </c>
      <c r="D1112" s="10" t="s">
        <v>2612</v>
      </c>
      <c r="E1112" s="11" t="str">
        <f>HYPERLINK("https://twitter.com/GergoB/status/702949744965001216","702949744965001216")</f>
        <v>702949744965001216</v>
      </c>
      <c r="F1112" s="12" t="s">
        <v>98</v>
      </c>
      <c r="G1112" s="13">
        <v>96.0</v>
      </c>
      <c r="H1112" s="13">
        <v>280.0</v>
      </c>
      <c r="I1112" s="13">
        <v>5.0</v>
      </c>
      <c r="J1112" s="13">
        <v>0.0</v>
      </c>
      <c r="K1112" s="12" t="s">
        <v>21</v>
      </c>
      <c r="L1112" s="7">
        <v>40686.54503472222</v>
      </c>
      <c r="M1112" s="14" t="s">
        <v>2613</v>
      </c>
      <c r="N1112" s="14" t="s">
        <v>2614</v>
      </c>
      <c r="O1112" s="11" t="str">
        <f>HYPERLINK("https://pbs.twimg.com/profile_images/539158781720924160/vP4gjbDx_normal.jpeg","View")</f>
        <v>View</v>
      </c>
      <c r="P1112" s="15"/>
    </row>
    <row r="1113">
      <c r="A1113" s="7">
        <v>42425.50989583333</v>
      </c>
      <c r="B1113" s="8" t="str">
        <f>HYPERLINK("https://twitter.com/raymondwanyoike","@raymondwanyoike")</f>
        <v>@raymondwanyoike</v>
      </c>
      <c r="C1113" s="10" t="s">
        <v>2615</v>
      </c>
      <c r="D1113" s="10" t="s">
        <v>2616</v>
      </c>
      <c r="E1113" s="11" t="str">
        <f>HYPERLINK("https://twitter.com/raymondwanyoike/status/702949749339594753","702949749339594753")</f>
        <v>702949749339594753</v>
      </c>
      <c r="F1113" s="12" t="s">
        <v>294</v>
      </c>
      <c r="G1113" s="13">
        <v>153.0</v>
      </c>
      <c r="H1113" s="13">
        <v>223.0</v>
      </c>
      <c r="I1113" s="13">
        <v>0.0</v>
      </c>
      <c r="J1113" s="13">
        <v>1.0</v>
      </c>
      <c r="K1113" s="12" t="s">
        <v>21</v>
      </c>
      <c r="L1113" s="7">
        <v>40782.5747337963</v>
      </c>
      <c r="M1113" s="14" t="s">
        <v>2617</v>
      </c>
      <c r="N1113" s="14" t="s">
        <v>2618</v>
      </c>
      <c r="O1113" s="11" t="str">
        <f>HYPERLINK("https://pbs.twimg.com/profile_images/660550135571550208/97NGZgUy_normal.jpg","View")</f>
        <v>View</v>
      </c>
      <c r="P1113" s="15"/>
    </row>
    <row r="1114">
      <c r="A1114" s="7">
        <v>42425.51006944444</v>
      </c>
      <c r="B1114" s="8" t="str">
        <f t="shared" ref="B1114:B1120" si="103">HYPERLINK("https://twitter.com/techpearce2","@techpearce2")</f>
        <v>@techpearce2</v>
      </c>
      <c r="C1114" s="10" t="s">
        <v>2619</v>
      </c>
      <c r="D1114" s="10" t="s">
        <v>2620</v>
      </c>
      <c r="E1114" s="11" t="str">
        <f>HYPERLINK("https://twitter.com/techpearce2/status/702949813416038400","702949813416038400")</f>
        <v>702949813416038400</v>
      </c>
      <c r="F1114" s="12" t="s">
        <v>2621</v>
      </c>
      <c r="G1114" s="13">
        <v>11677.0</v>
      </c>
      <c r="H1114" s="13">
        <v>11059.0</v>
      </c>
      <c r="I1114" s="13">
        <v>0.0</v>
      </c>
      <c r="J1114" s="13">
        <v>0.0</v>
      </c>
      <c r="K1114" s="12" t="s">
        <v>21</v>
      </c>
      <c r="L1114" s="7">
        <v>42276.432476851856</v>
      </c>
      <c r="M1114" s="14" t="s">
        <v>2622</v>
      </c>
      <c r="N1114" s="14" t="s">
        <v>2623</v>
      </c>
      <c r="O1114" s="11" t="str">
        <f t="shared" ref="O1114:O1120" si="104">HYPERLINK("https://pbs.twimg.com/profile_images/648912420275154944/Ab4szUPV_normal.jpg","View")</f>
        <v>View</v>
      </c>
      <c r="P1114" s="15"/>
    </row>
    <row r="1115">
      <c r="A1115" s="7">
        <v>42425.510243055556</v>
      </c>
      <c r="B1115" s="8" t="str">
        <f t="shared" si="103"/>
        <v>@techpearce2</v>
      </c>
      <c r="C1115" s="10" t="s">
        <v>2619</v>
      </c>
      <c r="D1115" s="10" t="s">
        <v>2287</v>
      </c>
      <c r="E1115" s="11" t="str">
        <f>HYPERLINK("https://twitter.com/techpearce2/status/702949878515765248","702949878515765248")</f>
        <v>702949878515765248</v>
      </c>
      <c r="F1115" s="12" t="s">
        <v>20</v>
      </c>
      <c r="G1115" s="13">
        <v>11677.0</v>
      </c>
      <c r="H1115" s="13">
        <v>11059.0</v>
      </c>
      <c r="I1115" s="13">
        <v>16.0</v>
      </c>
      <c r="J1115" s="13">
        <v>0.0</v>
      </c>
      <c r="K1115" s="12" t="s">
        <v>21</v>
      </c>
      <c r="L1115" s="7">
        <v>42276.432476851856</v>
      </c>
      <c r="M1115" s="14" t="s">
        <v>2622</v>
      </c>
      <c r="N1115" s="14" t="s">
        <v>2623</v>
      </c>
      <c r="O1115" s="11" t="str">
        <f t="shared" si="104"/>
        <v>View</v>
      </c>
      <c r="P1115" s="15"/>
    </row>
    <row r="1116">
      <c r="A1116" s="7">
        <v>42425.51033564815</v>
      </c>
      <c r="B1116" s="8" t="str">
        <f t="shared" si="103"/>
        <v>@techpearce2</v>
      </c>
      <c r="C1116" s="10" t="s">
        <v>2619</v>
      </c>
      <c r="D1116" s="10" t="s">
        <v>2088</v>
      </c>
      <c r="E1116" s="11" t="str">
        <f>HYPERLINK("https://twitter.com/techpearce2/status/702949912309342209","702949912309342209")</f>
        <v>702949912309342209</v>
      </c>
      <c r="F1116" s="12" t="s">
        <v>20</v>
      </c>
      <c r="G1116" s="13">
        <v>11677.0</v>
      </c>
      <c r="H1116" s="13">
        <v>11059.0</v>
      </c>
      <c r="I1116" s="13">
        <v>12.0</v>
      </c>
      <c r="J1116" s="13">
        <v>0.0</v>
      </c>
      <c r="K1116" s="12" t="s">
        <v>21</v>
      </c>
      <c r="L1116" s="7">
        <v>42276.432476851856</v>
      </c>
      <c r="M1116" s="14" t="s">
        <v>2622</v>
      </c>
      <c r="N1116" s="14" t="s">
        <v>2623</v>
      </c>
      <c r="O1116" s="11" t="str">
        <f t="shared" si="104"/>
        <v>View</v>
      </c>
      <c r="P1116" s="15"/>
    </row>
    <row r="1117">
      <c r="A1117" s="7">
        <v>42425.51047453703</v>
      </c>
      <c r="B1117" s="8" t="str">
        <f t="shared" si="103"/>
        <v>@techpearce2</v>
      </c>
      <c r="C1117" s="10" t="s">
        <v>2619</v>
      </c>
      <c r="D1117" s="10" t="s">
        <v>2624</v>
      </c>
      <c r="E1117" s="11" t="str">
        <f>HYPERLINK("https://twitter.com/techpearce2/status/702949962083135490","702949962083135490")</f>
        <v>702949962083135490</v>
      </c>
      <c r="F1117" s="12" t="s">
        <v>20</v>
      </c>
      <c r="G1117" s="13">
        <v>11677.0</v>
      </c>
      <c r="H1117" s="13">
        <v>11059.0</v>
      </c>
      <c r="I1117" s="13">
        <v>1.0</v>
      </c>
      <c r="J1117" s="13">
        <v>0.0</v>
      </c>
      <c r="K1117" s="12" t="s">
        <v>21</v>
      </c>
      <c r="L1117" s="7">
        <v>42276.432476851856</v>
      </c>
      <c r="M1117" s="14" t="s">
        <v>2622</v>
      </c>
      <c r="N1117" s="14" t="s">
        <v>2623</v>
      </c>
      <c r="O1117" s="11" t="str">
        <f t="shared" si="104"/>
        <v>View</v>
      </c>
      <c r="P1117" s="15"/>
    </row>
    <row r="1118">
      <c r="A1118" s="7">
        <v>42425.51053240741</v>
      </c>
      <c r="B1118" s="8" t="str">
        <f t="shared" si="103"/>
        <v>@techpearce2</v>
      </c>
      <c r="C1118" s="10" t="s">
        <v>2619</v>
      </c>
      <c r="D1118" s="10" t="s">
        <v>2625</v>
      </c>
      <c r="E1118" s="11" t="str">
        <f>HYPERLINK("https://twitter.com/techpearce2/status/702949981116715008","702949981116715008")</f>
        <v>702949981116715008</v>
      </c>
      <c r="F1118" s="12" t="s">
        <v>236</v>
      </c>
      <c r="G1118" s="13">
        <v>11677.0</v>
      </c>
      <c r="H1118" s="13">
        <v>11059.0</v>
      </c>
      <c r="I1118" s="13">
        <v>0.0</v>
      </c>
      <c r="J1118" s="13">
        <v>0.0</v>
      </c>
      <c r="K1118" s="12" t="s">
        <v>21</v>
      </c>
      <c r="L1118" s="7">
        <v>42276.432476851856</v>
      </c>
      <c r="M1118" s="14" t="s">
        <v>2622</v>
      </c>
      <c r="N1118" s="14" t="s">
        <v>2623</v>
      </c>
      <c r="O1118" s="11" t="str">
        <f t="shared" si="104"/>
        <v>View</v>
      </c>
      <c r="P1118" s="15"/>
    </row>
    <row r="1119">
      <c r="A1119" s="7">
        <v>42425.5105787037</v>
      </c>
      <c r="B1119" s="8" t="str">
        <f t="shared" si="103"/>
        <v>@techpearce2</v>
      </c>
      <c r="C1119" s="10" t="s">
        <v>2619</v>
      </c>
      <c r="D1119" s="10" t="s">
        <v>1996</v>
      </c>
      <c r="E1119" s="11" t="str">
        <f>HYPERLINK("https://twitter.com/techpearce2/status/702949998019944448","702949998019944448")</f>
        <v>702949998019944448</v>
      </c>
      <c r="F1119" s="12" t="s">
        <v>20</v>
      </c>
      <c r="G1119" s="13">
        <v>11677.0</v>
      </c>
      <c r="H1119" s="13">
        <v>11059.0</v>
      </c>
      <c r="I1119" s="13">
        <v>5.0</v>
      </c>
      <c r="J1119" s="13">
        <v>0.0</v>
      </c>
      <c r="K1119" s="12" t="s">
        <v>21</v>
      </c>
      <c r="L1119" s="7">
        <v>42276.432476851856</v>
      </c>
      <c r="M1119" s="14" t="s">
        <v>2622</v>
      </c>
      <c r="N1119" s="14" t="s">
        <v>2623</v>
      </c>
      <c r="O1119" s="11" t="str">
        <f t="shared" si="104"/>
        <v>View</v>
      </c>
      <c r="P1119" s="15"/>
    </row>
    <row r="1120">
      <c r="A1120" s="7">
        <v>42425.51065972222</v>
      </c>
      <c r="B1120" s="8" t="str">
        <f t="shared" si="103"/>
        <v>@techpearce2</v>
      </c>
      <c r="C1120" s="10" t="s">
        <v>2619</v>
      </c>
      <c r="D1120" s="10" t="s">
        <v>2159</v>
      </c>
      <c r="E1120" s="11" t="str">
        <f>HYPERLINK("https://twitter.com/techpearce2/status/702950028411858944","702950028411858944")</f>
        <v>702950028411858944</v>
      </c>
      <c r="F1120" s="12" t="s">
        <v>20</v>
      </c>
      <c r="G1120" s="13">
        <v>11677.0</v>
      </c>
      <c r="H1120" s="13">
        <v>11059.0</v>
      </c>
      <c r="I1120" s="13">
        <v>6.0</v>
      </c>
      <c r="J1120" s="13">
        <v>0.0</v>
      </c>
      <c r="K1120" s="12" t="s">
        <v>21</v>
      </c>
      <c r="L1120" s="7">
        <v>42276.432476851856</v>
      </c>
      <c r="M1120" s="14" t="s">
        <v>2622</v>
      </c>
      <c r="N1120" s="14" t="s">
        <v>2623</v>
      </c>
      <c r="O1120" s="11" t="str">
        <f t="shared" si="104"/>
        <v>View</v>
      </c>
      <c r="P1120" s="15"/>
    </row>
    <row r="1121">
      <c r="A1121" s="7">
        <v>42425.51068287037</v>
      </c>
      <c r="B1121" s="8" t="str">
        <f>HYPERLINK("https://twitter.com/ManAHLTech","@ManAHLTech")</f>
        <v>@ManAHLTech</v>
      </c>
      <c r="C1121" s="10" t="s">
        <v>2032</v>
      </c>
      <c r="D1121" s="10" t="s">
        <v>2626</v>
      </c>
      <c r="E1121" s="11" t="str">
        <f>HYPERLINK("https://twitter.com/ManAHLTech/status/702950035252711425","702950035252711425")</f>
        <v>702950035252711425</v>
      </c>
      <c r="F1121" s="12" t="s">
        <v>659</v>
      </c>
      <c r="G1121" s="13">
        <v>500.0</v>
      </c>
      <c r="H1121" s="13">
        <v>248.0</v>
      </c>
      <c r="I1121" s="13">
        <v>0.0</v>
      </c>
      <c r="J1121" s="13">
        <v>2.0</v>
      </c>
      <c r="K1121" s="12" t="s">
        <v>21</v>
      </c>
      <c r="L1121" s="7">
        <v>42142.32065972222</v>
      </c>
      <c r="M1121" s="14" t="s">
        <v>2034</v>
      </c>
      <c r="N1121" s="14" t="s">
        <v>2035</v>
      </c>
      <c r="O1121" s="11" t="str">
        <f>HYPERLINK("https://pbs.twimg.com/profile_images/606122549626445824/F381wuJT_normal.jpg","View")</f>
        <v>View</v>
      </c>
      <c r="P1121" s="15"/>
    </row>
    <row r="1122">
      <c r="A1122" s="7">
        <v>42425.51074074074</v>
      </c>
      <c r="B1122" s="8" t="str">
        <f t="shared" ref="B1122:B1127" si="105">HYPERLINK("https://twitter.com/techpearce2","@techpearce2")</f>
        <v>@techpearce2</v>
      </c>
      <c r="C1122" s="10" t="s">
        <v>2619</v>
      </c>
      <c r="D1122" s="10" t="s">
        <v>2627</v>
      </c>
      <c r="E1122" s="11" t="str">
        <f>HYPERLINK("https://twitter.com/techpearce2/status/702950056194920448","702950056194920448")</f>
        <v>702950056194920448</v>
      </c>
      <c r="F1122" s="12" t="s">
        <v>20</v>
      </c>
      <c r="G1122" s="13">
        <v>11677.0</v>
      </c>
      <c r="H1122" s="13">
        <v>11059.0</v>
      </c>
      <c r="I1122" s="13">
        <v>1.0</v>
      </c>
      <c r="J1122" s="13">
        <v>0.0</v>
      </c>
      <c r="K1122" s="12" t="s">
        <v>21</v>
      </c>
      <c r="L1122" s="7">
        <v>42276.432476851856</v>
      </c>
      <c r="M1122" s="14" t="s">
        <v>2622</v>
      </c>
      <c r="N1122" s="14" t="s">
        <v>2623</v>
      </c>
      <c r="O1122" s="11" t="str">
        <f t="shared" ref="O1122:O1127" si="106">HYPERLINK("https://pbs.twimg.com/profile_images/648912420275154944/Ab4szUPV_normal.jpg","View")</f>
        <v>View</v>
      </c>
      <c r="P1122" s="15"/>
    </row>
    <row r="1123">
      <c r="A1123" s="7">
        <v>42425.51078703704</v>
      </c>
      <c r="B1123" s="8" t="str">
        <f t="shared" si="105"/>
        <v>@techpearce2</v>
      </c>
      <c r="C1123" s="10" t="s">
        <v>2619</v>
      </c>
      <c r="D1123" s="10" t="s">
        <v>2628</v>
      </c>
      <c r="E1123" s="11" t="str">
        <f>HYPERLINK("https://twitter.com/techpearce2/status/702950072795983872","702950072795983872")</f>
        <v>702950072795983872</v>
      </c>
      <c r="F1123" s="12" t="s">
        <v>236</v>
      </c>
      <c r="G1123" s="13">
        <v>11677.0</v>
      </c>
      <c r="H1123" s="13">
        <v>11059.0</v>
      </c>
      <c r="I1123" s="13">
        <v>0.0</v>
      </c>
      <c r="J1123" s="13">
        <v>0.0</v>
      </c>
      <c r="K1123" s="12" t="s">
        <v>21</v>
      </c>
      <c r="L1123" s="7">
        <v>42276.432476851856</v>
      </c>
      <c r="M1123" s="14" t="s">
        <v>2622</v>
      </c>
      <c r="N1123" s="14" t="s">
        <v>2623</v>
      </c>
      <c r="O1123" s="11" t="str">
        <f t="shared" si="106"/>
        <v>View</v>
      </c>
      <c r="P1123" s="15"/>
    </row>
    <row r="1124">
      <c r="A1124" s="7">
        <v>42425.51081018518</v>
      </c>
      <c r="B1124" s="8" t="str">
        <f t="shared" si="105"/>
        <v>@techpearce2</v>
      </c>
      <c r="C1124" s="10" t="s">
        <v>2619</v>
      </c>
      <c r="D1124" s="10" t="s">
        <v>1823</v>
      </c>
      <c r="E1124" s="11" t="str">
        <f>HYPERLINK("https://twitter.com/techpearce2/status/702950081117429764","702950081117429764")</f>
        <v>702950081117429764</v>
      </c>
      <c r="F1124" s="12" t="s">
        <v>20</v>
      </c>
      <c r="G1124" s="13">
        <v>11677.0</v>
      </c>
      <c r="H1124" s="13">
        <v>11059.0</v>
      </c>
      <c r="I1124" s="13">
        <v>5.0</v>
      </c>
      <c r="J1124" s="13">
        <v>0.0</v>
      </c>
      <c r="K1124" s="12" t="s">
        <v>21</v>
      </c>
      <c r="L1124" s="7">
        <v>42276.432476851856</v>
      </c>
      <c r="M1124" s="14" t="s">
        <v>2622</v>
      </c>
      <c r="N1124" s="14" t="s">
        <v>2623</v>
      </c>
      <c r="O1124" s="11" t="str">
        <f t="shared" si="106"/>
        <v>View</v>
      </c>
      <c r="P1124" s="15"/>
    </row>
    <row r="1125">
      <c r="A1125" s="7">
        <v>42425.510925925926</v>
      </c>
      <c r="B1125" s="8" t="str">
        <f t="shared" si="105"/>
        <v>@techpearce2</v>
      </c>
      <c r="C1125" s="10" t="s">
        <v>2619</v>
      </c>
      <c r="D1125" s="10" t="s">
        <v>2629</v>
      </c>
      <c r="E1125" s="11" t="str">
        <f>HYPERLINK("https://twitter.com/techpearce2/status/702950123630940161","702950123630940161")</f>
        <v>702950123630940161</v>
      </c>
      <c r="F1125" s="12" t="s">
        <v>20</v>
      </c>
      <c r="G1125" s="13">
        <v>11677.0</v>
      </c>
      <c r="H1125" s="13">
        <v>11059.0</v>
      </c>
      <c r="I1125" s="13">
        <v>1.0</v>
      </c>
      <c r="J1125" s="13">
        <v>0.0</v>
      </c>
      <c r="K1125" s="12" t="s">
        <v>21</v>
      </c>
      <c r="L1125" s="7">
        <v>42276.432476851856</v>
      </c>
      <c r="M1125" s="14" t="s">
        <v>2622</v>
      </c>
      <c r="N1125" s="14" t="s">
        <v>2623</v>
      </c>
      <c r="O1125" s="11" t="str">
        <f t="shared" si="106"/>
        <v>View</v>
      </c>
      <c r="P1125" s="15"/>
    </row>
    <row r="1126">
      <c r="A1126" s="7">
        <v>42425.510972222226</v>
      </c>
      <c r="B1126" s="8" t="str">
        <f t="shared" si="105"/>
        <v>@techpearce2</v>
      </c>
      <c r="C1126" s="10" t="s">
        <v>2619</v>
      </c>
      <c r="D1126" s="10" t="s">
        <v>2630</v>
      </c>
      <c r="E1126" s="11" t="str">
        <f>HYPERLINK("https://twitter.com/techpearce2/status/702950139342749701","702950139342749701")</f>
        <v>702950139342749701</v>
      </c>
      <c r="F1126" s="12" t="s">
        <v>236</v>
      </c>
      <c r="G1126" s="13">
        <v>11677.0</v>
      </c>
      <c r="H1126" s="13">
        <v>11059.0</v>
      </c>
      <c r="I1126" s="13">
        <v>0.0</v>
      </c>
      <c r="J1126" s="13">
        <v>0.0</v>
      </c>
      <c r="K1126" s="12" t="s">
        <v>21</v>
      </c>
      <c r="L1126" s="7">
        <v>42276.432476851856</v>
      </c>
      <c r="M1126" s="14" t="s">
        <v>2622</v>
      </c>
      <c r="N1126" s="14" t="s">
        <v>2623</v>
      </c>
      <c r="O1126" s="11" t="str">
        <f t="shared" si="106"/>
        <v>View</v>
      </c>
      <c r="P1126" s="15"/>
    </row>
    <row r="1127">
      <c r="A1127" s="7">
        <v>42425.510995370365</v>
      </c>
      <c r="B1127" s="8" t="str">
        <f t="shared" si="105"/>
        <v>@techpearce2</v>
      </c>
      <c r="C1127" s="10" t="s">
        <v>2619</v>
      </c>
      <c r="D1127" s="10" t="s">
        <v>1445</v>
      </c>
      <c r="E1127" s="11" t="str">
        <f>HYPERLINK("https://twitter.com/techpearce2/status/702950148113096704","702950148113096704")</f>
        <v>702950148113096704</v>
      </c>
      <c r="F1127" s="12" t="s">
        <v>20</v>
      </c>
      <c r="G1127" s="13">
        <v>11677.0</v>
      </c>
      <c r="H1127" s="13">
        <v>11059.0</v>
      </c>
      <c r="I1127" s="13">
        <v>2.0</v>
      </c>
      <c r="J1127" s="13">
        <v>0.0</v>
      </c>
      <c r="K1127" s="12" t="s">
        <v>21</v>
      </c>
      <c r="L1127" s="7">
        <v>42276.432476851856</v>
      </c>
      <c r="M1127" s="14" t="s">
        <v>2622</v>
      </c>
      <c r="N1127" s="14" t="s">
        <v>2623</v>
      </c>
      <c r="O1127" s="11" t="str">
        <f t="shared" si="106"/>
        <v>View</v>
      </c>
      <c r="P1127" s="15"/>
    </row>
    <row r="1128">
      <c r="A1128" s="7">
        <v>42425.51111111111</v>
      </c>
      <c r="B1128" s="8" t="str">
        <f>HYPERLINK("https://twitter.com/iMasters","@iMasters")</f>
        <v>@iMasters</v>
      </c>
      <c r="C1128" s="10" t="s">
        <v>2631</v>
      </c>
      <c r="D1128" s="10" t="s">
        <v>2632</v>
      </c>
      <c r="E1128" s="11" t="str">
        <f>HYPERLINK("https://twitter.com/iMasters/status/702950190253285377","702950190253285377")</f>
        <v>702950190253285377</v>
      </c>
      <c r="F1128" s="12" t="s">
        <v>659</v>
      </c>
      <c r="G1128" s="13">
        <v>52291.0</v>
      </c>
      <c r="H1128" s="13">
        <v>302.0</v>
      </c>
      <c r="I1128" s="13">
        <v>5.0</v>
      </c>
      <c r="J1128" s="13">
        <v>5.0</v>
      </c>
      <c r="K1128" s="12" t="s">
        <v>21</v>
      </c>
      <c r="L1128" s="7">
        <v>39351.20196759259</v>
      </c>
      <c r="M1128" s="14" t="s">
        <v>1386</v>
      </c>
      <c r="N1128" s="14" t="s">
        <v>2633</v>
      </c>
      <c r="O1128" s="11" t="str">
        <f>HYPERLINK("https://pbs.twimg.com/profile_images/459026323269095424/BUAJKg7g_normal.jpeg","View")</f>
        <v>View</v>
      </c>
      <c r="P1128" s="15"/>
    </row>
    <row r="1129">
      <c r="A1129" s="7">
        <v>42425.51111111111</v>
      </c>
      <c r="B1129" s="8" t="str">
        <f t="shared" ref="B1129:B1130" si="107">HYPERLINK("https://twitter.com/techpearce2","@techpearce2")</f>
        <v>@techpearce2</v>
      </c>
      <c r="C1129" s="10" t="s">
        <v>2619</v>
      </c>
      <c r="D1129" s="10" t="s">
        <v>1102</v>
      </c>
      <c r="E1129" s="11" t="str">
        <f>HYPERLINK("https://twitter.com/techpearce2/status/702950193000534017","702950193000534017")</f>
        <v>702950193000534017</v>
      </c>
      <c r="F1129" s="12" t="s">
        <v>20</v>
      </c>
      <c r="G1129" s="13">
        <v>11677.0</v>
      </c>
      <c r="H1129" s="13">
        <v>11059.0</v>
      </c>
      <c r="I1129" s="13">
        <v>14.0</v>
      </c>
      <c r="J1129" s="13">
        <v>0.0</v>
      </c>
      <c r="K1129" s="12" t="s">
        <v>21</v>
      </c>
      <c r="L1129" s="7">
        <v>42276.432476851856</v>
      </c>
      <c r="M1129" s="14" t="s">
        <v>2622</v>
      </c>
      <c r="N1129" s="14" t="s">
        <v>2623</v>
      </c>
      <c r="O1129" s="11" t="str">
        <f t="shared" ref="O1129:O1130" si="108">HYPERLINK("https://pbs.twimg.com/profile_images/648912420275154944/Ab4szUPV_normal.jpg","View")</f>
        <v>View</v>
      </c>
      <c r="P1129" s="15"/>
    </row>
    <row r="1130">
      <c r="A1130" s="7">
        <v>42425.51113425926</v>
      </c>
      <c r="B1130" s="8" t="str">
        <f t="shared" si="107"/>
        <v>@techpearce2</v>
      </c>
      <c r="C1130" s="10" t="s">
        <v>2619</v>
      </c>
      <c r="D1130" s="10" t="s">
        <v>2634</v>
      </c>
      <c r="E1130" s="11" t="str">
        <f>HYPERLINK("https://twitter.com/techpearce2/status/702950200726450180","702950200726450180")</f>
        <v>702950200726450180</v>
      </c>
      <c r="F1130" s="12" t="s">
        <v>236</v>
      </c>
      <c r="G1130" s="13">
        <v>11677.0</v>
      </c>
      <c r="H1130" s="13">
        <v>11059.0</v>
      </c>
      <c r="I1130" s="13">
        <v>0.0</v>
      </c>
      <c r="J1130" s="13">
        <v>1.0</v>
      </c>
      <c r="K1130" s="12" t="s">
        <v>21</v>
      </c>
      <c r="L1130" s="7">
        <v>42276.432476851856</v>
      </c>
      <c r="M1130" s="14" t="s">
        <v>2622</v>
      </c>
      <c r="N1130" s="14" t="s">
        <v>2623</v>
      </c>
      <c r="O1130" s="11" t="str">
        <f t="shared" si="108"/>
        <v>View</v>
      </c>
      <c r="P1130" s="15"/>
    </row>
    <row r="1131">
      <c r="A1131" s="7">
        <v>42425.51131944444</v>
      </c>
      <c r="B1131" s="8" t="str">
        <f>HYPERLINK("https://twitter.com/pwang","@pwang")</f>
        <v>@pwang</v>
      </c>
      <c r="C1131" s="10" t="s">
        <v>1378</v>
      </c>
      <c r="D1131" s="10" t="s">
        <v>2088</v>
      </c>
      <c r="E1131" s="11" t="str">
        <f>HYPERLINK("https://twitter.com/pwang/status/702950267776475137","702950267776475137")</f>
        <v>702950267776475137</v>
      </c>
      <c r="F1131" s="12" t="s">
        <v>20</v>
      </c>
      <c r="G1131" s="13">
        <v>6019.0</v>
      </c>
      <c r="H1131" s="13">
        <v>691.0</v>
      </c>
      <c r="I1131" s="13">
        <v>12.0</v>
      </c>
      <c r="J1131" s="13">
        <v>0.0</v>
      </c>
      <c r="K1131" s="12" t="s">
        <v>21</v>
      </c>
      <c r="L1131" s="7">
        <v>39321.633356481485</v>
      </c>
      <c r="M1131" s="14" t="s">
        <v>1380</v>
      </c>
      <c r="N1131" s="14" t="s">
        <v>1381</v>
      </c>
      <c r="O1131" s="11" t="str">
        <f>HYPERLINK("https://pbs.twimg.com/profile_images/568795658375557120/on4iBzsD_normal.jpeg","View")</f>
        <v>View</v>
      </c>
      <c r="P1131" s="15"/>
    </row>
    <row r="1132">
      <c r="A1132" s="7">
        <v>42425.51133101852</v>
      </c>
      <c r="B1132" s="8" t="str">
        <f t="shared" ref="B1132:B1136" si="109">HYPERLINK("https://twitter.com/techpearce2","@techpearce2")</f>
        <v>@techpearce2</v>
      </c>
      <c r="C1132" s="10" t="s">
        <v>2619</v>
      </c>
      <c r="D1132" s="10" t="s">
        <v>966</v>
      </c>
      <c r="E1132" s="11" t="str">
        <f>HYPERLINK("https://twitter.com/techpearce2/status/702950271496929281","702950271496929281")</f>
        <v>702950271496929281</v>
      </c>
      <c r="F1132" s="12" t="s">
        <v>20</v>
      </c>
      <c r="G1132" s="13">
        <v>11677.0</v>
      </c>
      <c r="H1132" s="13">
        <v>11059.0</v>
      </c>
      <c r="I1132" s="13">
        <v>11.0</v>
      </c>
      <c r="J1132" s="13">
        <v>0.0</v>
      </c>
      <c r="K1132" s="12" t="s">
        <v>21</v>
      </c>
      <c r="L1132" s="7">
        <v>42276.432476851856</v>
      </c>
      <c r="M1132" s="14" t="s">
        <v>2622</v>
      </c>
      <c r="N1132" s="14" t="s">
        <v>2623</v>
      </c>
      <c r="O1132" s="11" t="str">
        <f t="shared" ref="O1132:O1136" si="110">HYPERLINK("https://pbs.twimg.com/profile_images/648912420275154944/Ab4szUPV_normal.jpg","View")</f>
        <v>View</v>
      </c>
      <c r="P1132" s="15"/>
    </row>
    <row r="1133">
      <c r="A1133" s="7">
        <v>42425.511354166665</v>
      </c>
      <c r="B1133" s="8" t="str">
        <f t="shared" si="109"/>
        <v>@techpearce2</v>
      </c>
      <c r="C1133" s="10" t="s">
        <v>2619</v>
      </c>
      <c r="D1133" s="10" t="s">
        <v>2635</v>
      </c>
      <c r="E1133" s="11" t="str">
        <f>HYPERLINK("https://twitter.com/techpearce2/status/702950280531345410","702950280531345410")</f>
        <v>702950280531345410</v>
      </c>
      <c r="F1133" s="12" t="s">
        <v>236</v>
      </c>
      <c r="G1133" s="13">
        <v>11677.0</v>
      </c>
      <c r="H1133" s="13">
        <v>11059.0</v>
      </c>
      <c r="I1133" s="13">
        <v>0.0</v>
      </c>
      <c r="J1133" s="13">
        <v>0.0</v>
      </c>
      <c r="K1133" s="12" t="s">
        <v>21</v>
      </c>
      <c r="L1133" s="7">
        <v>42276.432476851856</v>
      </c>
      <c r="M1133" s="14" t="s">
        <v>2622</v>
      </c>
      <c r="N1133" s="14" t="s">
        <v>2623</v>
      </c>
      <c r="O1133" s="11" t="str">
        <f t="shared" si="110"/>
        <v>View</v>
      </c>
      <c r="P1133" s="15"/>
    </row>
    <row r="1134">
      <c r="A1134" s="7">
        <v>42425.51140046296</v>
      </c>
      <c r="B1134" s="8" t="str">
        <f t="shared" si="109"/>
        <v>@techpearce2</v>
      </c>
      <c r="C1134" s="10" t="s">
        <v>2619</v>
      </c>
      <c r="D1134" s="10" t="s">
        <v>626</v>
      </c>
      <c r="E1134" s="11" t="str">
        <f>HYPERLINK("https://twitter.com/techpearce2/status/702950296813772801","702950296813772801")</f>
        <v>702950296813772801</v>
      </c>
      <c r="F1134" s="12" t="s">
        <v>20</v>
      </c>
      <c r="G1134" s="13">
        <v>11677.0</v>
      </c>
      <c r="H1134" s="13">
        <v>11059.0</v>
      </c>
      <c r="I1134" s="13">
        <v>14.0</v>
      </c>
      <c r="J1134" s="13">
        <v>0.0</v>
      </c>
      <c r="K1134" s="12" t="s">
        <v>21</v>
      </c>
      <c r="L1134" s="7">
        <v>42276.432476851856</v>
      </c>
      <c r="M1134" s="14" t="s">
        <v>2622</v>
      </c>
      <c r="N1134" s="14" t="s">
        <v>2623</v>
      </c>
      <c r="O1134" s="11" t="str">
        <f t="shared" si="110"/>
        <v>View</v>
      </c>
      <c r="P1134" s="15"/>
    </row>
    <row r="1135">
      <c r="A1135" s="7">
        <v>42425.51149305556</v>
      </c>
      <c r="B1135" s="8" t="str">
        <f t="shared" si="109"/>
        <v>@techpearce2</v>
      </c>
      <c r="C1135" s="10" t="s">
        <v>2619</v>
      </c>
      <c r="D1135" s="10" t="s">
        <v>2636</v>
      </c>
      <c r="E1135" s="11" t="str">
        <f>HYPERLINK("https://twitter.com/techpearce2/status/702950331974492160","702950331974492160")</f>
        <v>702950331974492160</v>
      </c>
      <c r="F1135" s="12" t="s">
        <v>236</v>
      </c>
      <c r="G1135" s="13">
        <v>11677.0</v>
      </c>
      <c r="H1135" s="13">
        <v>11059.0</v>
      </c>
      <c r="I1135" s="13">
        <v>0.0</v>
      </c>
      <c r="J1135" s="13">
        <v>0.0</v>
      </c>
      <c r="K1135" s="12" t="s">
        <v>21</v>
      </c>
      <c r="L1135" s="7">
        <v>42276.432476851856</v>
      </c>
      <c r="M1135" s="14" t="s">
        <v>2622</v>
      </c>
      <c r="N1135" s="14" t="s">
        <v>2623</v>
      </c>
      <c r="O1135" s="11" t="str">
        <f t="shared" si="110"/>
        <v>View</v>
      </c>
      <c r="P1135" s="15"/>
    </row>
    <row r="1136">
      <c r="A1136" s="7">
        <v>42425.511516203704</v>
      </c>
      <c r="B1136" s="8" t="str">
        <f t="shared" si="109"/>
        <v>@techpearce2</v>
      </c>
      <c r="C1136" s="10" t="s">
        <v>2619</v>
      </c>
      <c r="D1136" s="10" t="s">
        <v>2637</v>
      </c>
      <c r="E1136" s="11" t="str">
        <f>HYPERLINK("https://twitter.com/techpearce2/status/702950337305563136","702950337305563136")</f>
        <v>702950337305563136</v>
      </c>
      <c r="F1136" s="12" t="s">
        <v>20</v>
      </c>
      <c r="G1136" s="13">
        <v>11677.0</v>
      </c>
      <c r="H1136" s="13">
        <v>11059.0</v>
      </c>
      <c r="I1136" s="13">
        <v>4.0</v>
      </c>
      <c r="J1136" s="13">
        <v>0.0</v>
      </c>
      <c r="K1136" s="12" t="s">
        <v>21</v>
      </c>
      <c r="L1136" s="7">
        <v>42276.432476851856</v>
      </c>
      <c r="M1136" s="14" t="s">
        <v>2622</v>
      </c>
      <c r="N1136" s="14" t="s">
        <v>2623</v>
      </c>
      <c r="O1136" s="11" t="str">
        <f t="shared" si="110"/>
        <v>View</v>
      </c>
      <c r="P1136" s="15"/>
    </row>
    <row r="1137">
      <c r="A1137" s="7">
        <v>42425.51152777778</v>
      </c>
      <c r="B1137" s="8" t="str">
        <f>HYPERLINK("https://twitter.com/pwang","@pwang")</f>
        <v>@pwang</v>
      </c>
      <c r="C1137" s="10" t="s">
        <v>1378</v>
      </c>
      <c r="D1137" s="10" t="s">
        <v>2299</v>
      </c>
      <c r="E1137" s="11" t="str">
        <f>HYPERLINK("https://twitter.com/pwang/status/702950344418930688","702950344418930688")</f>
        <v>702950344418930688</v>
      </c>
      <c r="F1137" s="12" t="s">
        <v>20</v>
      </c>
      <c r="G1137" s="13">
        <v>6019.0</v>
      </c>
      <c r="H1137" s="13">
        <v>691.0</v>
      </c>
      <c r="I1137" s="13">
        <v>2.0</v>
      </c>
      <c r="J1137" s="13">
        <v>0.0</v>
      </c>
      <c r="K1137" s="12" t="s">
        <v>21</v>
      </c>
      <c r="L1137" s="7">
        <v>39321.633356481485</v>
      </c>
      <c r="M1137" s="14" t="s">
        <v>1380</v>
      </c>
      <c r="N1137" s="14" t="s">
        <v>1381</v>
      </c>
      <c r="O1137" s="11" t="str">
        <f>HYPERLINK("https://pbs.twimg.com/profile_images/568795658375557120/on4iBzsD_normal.jpeg","View")</f>
        <v>View</v>
      </c>
      <c r="P1137" s="15"/>
    </row>
    <row r="1138">
      <c r="A1138" s="7">
        <v>42425.51157407407</v>
      </c>
      <c r="B1138" s="8" t="str">
        <f t="shared" ref="B1138:B1143" si="111">HYPERLINK("https://twitter.com/techpearce2","@techpearce2")</f>
        <v>@techpearce2</v>
      </c>
      <c r="C1138" s="10" t="s">
        <v>2619</v>
      </c>
      <c r="D1138" s="10" t="s">
        <v>2638</v>
      </c>
      <c r="E1138" s="11" t="str">
        <f>HYPERLINK("https://twitter.com/techpearce2/status/702950358176374784","702950358176374784")</f>
        <v>702950358176374784</v>
      </c>
      <c r="F1138" s="12" t="s">
        <v>236</v>
      </c>
      <c r="G1138" s="13">
        <v>11677.0</v>
      </c>
      <c r="H1138" s="13">
        <v>11059.0</v>
      </c>
      <c r="I1138" s="13">
        <v>0.0</v>
      </c>
      <c r="J1138" s="13">
        <v>0.0</v>
      </c>
      <c r="K1138" s="12" t="s">
        <v>21</v>
      </c>
      <c r="L1138" s="7">
        <v>42276.432476851856</v>
      </c>
      <c r="M1138" s="14" t="s">
        <v>2622</v>
      </c>
      <c r="N1138" s="14" t="s">
        <v>2623</v>
      </c>
      <c r="O1138" s="11" t="str">
        <f t="shared" ref="O1138:O1143" si="112">HYPERLINK("https://pbs.twimg.com/profile_images/648912420275154944/Ab4szUPV_normal.jpg","View")</f>
        <v>View</v>
      </c>
      <c r="P1138" s="15"/>
    </row>
    <row r="1139">
      <c r="A1139" s="7">
        <v>42425.511608796296</v>
      </c>
      <c r="B1139" s="8" t="str">
        <f t="shared" si="111"/>
        <v>@techpearce2</v>
      </c>
      <c r="C1139" s="10" t="s">
        <v>2619</v>
      </c>
      <c r="D1139" s="10" t="s">
        <v>2639</v>
      </c>
      <c r="E1139" s="11" t="str">
        <f>HYPERLINK("https://twitter.com/techpearce2/status/702950372470607872","702950372470607872")</f>
        <v>702950372470607872</v>
      </c>
      <c r="F1139" s="12" t="s">
        <v>20</v>
      </c>
      <c r="G1139" s="13">
        <v>11677.0</v>
      </c>
      <c r="H1139" s="13">
        <v>11059.0</v>
      </c>
      <c r="I1139" s="13">
        <v>9.0</v>
      </c>
      <c r="J1139" s="13">
        <v>0.0</v>
      </c>
      <c r="K1139" s="12" t="s">
        <v>21</v>
      </c>
      <c r="L1139" s="7">
        <v>42276.432476851856</v>
      </c>
      <c r="M1139" s="14" t="s">
        <v>2622</v>
      </c>
      <c r="N1139" s="14" t="s">
        <v>2623</v>
      </c>
      <c r="O1139" s="11" t="str">
        <f t="shared" si="112"/>
        <v>View</v>
      </c>
      <c r="P1139" s="15"/>
    </row>
    <row r="1140">
      <c r="A1140" s="7">
        <v>42425.511712962965</v>
      </c>
      <c r="B1140" s="8" t="str">
        <f t="shared" si="111"/>
        <v>@techpearce2</v>
      </c>
      <c r="C1140" s="10" t="s">
        <v>2619</v>
      </c>
      <c r="D1140" s="10" t="s">
        <v>2640</v>
      </c>
      <c r="E1140" s="11" t="str">
        <f>HYPERLINK("https://twitter.com/techpearce2/status/702950410630373376","702950410630373376")</f>
        <v>702950410630373376</v>
      </c>
      <c r="F1140" s="12" t="s">
        <v>236</v>
      </c>
      <c r="G1140" s="13">
        <v>11677.0</v>
      </c>
      <c r="H1140" s="13">
        <v>11059.0</v>
      </c>
      <c r="I1140" s="13">
        <v>0.0</v>
      </c>
      <c r="J1140" s="13">
        <v>0.0</v>
      </c>
      <c r="K1140" s="12" t="s">
        <v>21</v>
      </c>
      <c r="L1140" s="7">
        <v>42276.432476851856</v>
      </c>
      <c r="M1140" s="14" t="s">
        <v>2622</v>
      </c>
      <c r="N1140" s="14" t="s">
        <v>2623</v>
      </c>
      <c r="O1140" s="11" t="str">
        <f t="shared" si="112"/>
        <v>View</v>
      </c>
      <c r="P1140" s="15"/>
    </row>
    <row r="1141">
      <c r="A1141" s="7">
        <v>42425.511724537035</v>
      </c>
      <c r="B1141" s="8" t="str">
        <f t="shared" si="111"/>
        <v>@techpearce2</v>
      </c>
      <c r="C1141" s="10" t="s">
        <v>2619</v>
      </c>
      <c r="D1141" s="10" t="s">
        <v>2641</v>
      </c>
      <c r="E1141" s="11" t="str">
        <f>HYPERLINK("https://twitter.com/techpearce2/status/702950414988271616","702950414988271616")</f>
        <v>702950414988271616</v>
      </c>
      <c r="F1141" s="12" t="s">
        <v>20</v>
      </c>
      <c r="G1141" s="13">
        <v>11677.0</v>
      </c>
      <c r="H1141" s="13">
        <v>11059.0</v>
      </c>
      <c r="I1141" s="13">
        <v>1.0</v>
      </c>
      <c r="J1141" s="13">
        <v>0.0</v>
      </c>
      <c r="K1141" s="12" t="s">
        <v>21</v>
      </c>
      <c r="L1141" s="7">
        <v>42276.432476851856</v>
      </c>
      <c r="M1141" s="14" t="s">
        <v>2622</v>
      </c>
      <c r="N1141" s="14" t="s">
        <v>2623</v>
      </c>
      <c r="O1141" s="11" t="str">
        <f t="shared" si="112"/>
        <v>View</v>
      </c>
      <c r="P1141" s="15"/>
    </row>
    <row r="1142">
      <c r="A1142" s="7">
        <v>42425.51180555555</v>
      </c>
      <c r="B1142" s="8" t="str">
        <f t="shared" si="111"/>
        <v>@techpearce2</v>
      </c>
      <c r="C1142" s="10" t="s">
        <v>2619</v>
      </c>
      <c r="D1142" s="10" t="s">
        <v>338</v>
      </c>
      <c r="E1142" s="11" t="str">
        <f>HYPERLINK("https://twitter.com/techpearce2/status/702950443354365952","702950443354365952")</f>
        <v>702950443354365952</v>
      </c>
      <c r="F1142" s="12" t="s">
        <v>20</v>
      </c>
      <c r="G1142" s="13">
        <v>11677.0</v>
      </c>
      <c r="H1142" s="13">
        <v>11059.0</v>
      </c>
      <c r="I1142" s="13">
        <v>27.0</v>
      </c>
      <c r="J1142" s="13">
        <v>0.0</v>
      </c>
      <c r="K1142" s="12" t="s">
        <v>21</v>
      </c>
      <c r="L1142" s="7">
        <v>42276.432476851856</v>
      </c>
      <c r="M1142" s="14" t="s">
        <v>2622</v>
      </c>
      <c r="N1142" s="14" t="s">
        <v>2623</v>
      </c>
      <c r="O1142" s="11" t="str">
        <f t="shared" si="112"/>
        <v>View</v>
      </c>
      <c r="P1142" s="15"/>
    </row>
    <row r="1143">
      <c r="A1143" s="7">
        <v>42425.51185185185</v>
      </c>
      <c r="B1143" s="8" t="str">
        <f t="shared" si="111"/>
        <v>@techpearce2</v>
      </c>
      <c r="C1143" s="10" t="s">
        <v>2619</v>
      </c>
      <c r="D1143" s="10" t="s">
        <v>2642</v>
      </c>
      <c r="E1143" s="11" t="str">
        <f>HYPERLINK("https://twitter.com/techpearce2/status/702950458432704513","702950458432704513")</f>
        <v>702950458432704513</v>
      </c>
      <c r="F1143" s="12" t="s">
        <v>236</v>
      </c>
      <c r="G1143" s="13">
        <v>11677.0</v>
      </c>
      <c r="H1143" s="13">
        <v>11059.0</v>
      </c>
      <c r="I1143" s="13">
        <v>0.0</v>
      </c>
      <c r="J1143" s="13">
        <v>1.0</v>
      </c>
      <c r="K1143" s="12" t="s">
        <v>21</v>
      </c>
      <c r="L1143" s="7">
        <v>42276.432476851856</v>
      </c>
      <c r="M1143" s="14" t="s">
        <v>2622</v>
      </c>
      <c r="N1143" s="14" t="s">
        <v>2623</v>
      </c>
      <c r="O1143" s="11" t="str">
        <f t="shared" si="112"/>
        <v>View</v>
      </c>
      <c r="P1143" s="15"/>
    </row>
    <row r="1144">
      <c r="A1144" s="7">
        <v>42425.51190972222</v>
      </c>
      <c r="B1144" s="8" t="str">
        <f>HYPERLINK("https://twitter.com/PyQR","@PyQR")</f>
        <v>@PyQR</v>
      </c>
      <c r="C1144" s="10" t="s">
        <v>2643</v>
      </c>
      <c r="D1144" s="10" t="s">
        <v>2547</v>
      </c>
      <c r="E1144" s="11" t="str">
        <f>HYPERLINK("https://twitter.com/PyQR/status/702950480255840257","702950480255840257")</f>
        <v>702950480255840257</v>
      </c>
      <c r="F1144" s="12" t="s">
        <v>152</v>
      </c>
      <c r="G1144" s="13">
        <v>1612.0</v>
      </c>
      <c r="H1144" s="13">
        <v>1357.0</v>
      </c>
      <c r="I1144" s="13">
        <v>3.0</v>
      </c>
      <c r="J1144" s="13">
        <v>0.0</v>
      </c>
      <c r="K1144" s="12" t="s">
        <v>21</v>
      </c>
      <c r="L1144" s="7">
        <v>41133.60995370371</v>
      </c>
      <c r="M1144" s="14" t="s">
        <v>2644</v>
      </c>
      <c r="N1144" s="14" t="s">
        <v>2645</v>
      </c>
      <c r="O1144" s="11" t="str">
        <f>HYPERLINK("https://pbs.twimg.com/profile_images/697722209880707072/SvTOptqw_normal.jpg","View")</f>
        <v>View</v>
      </c>
      <c r="P1144" s="15"/>
    </row>
    <row r="1145">
      <c r="A1145" s="7">
        <v>42425.511921296296</v>
      </c>
      <c r="B1145" s="8" t="str">
        <f t="shared" ref="B1145:B1147" si="113">HYPERLINK("https://twitter.com/techpearce2","@techpearce2")</f>
        <v>@techpearce2</v>
      </c>
      <c r="C1145" s="10" t="s">
        <v>2619</v>
      </c>
      <c r="D1145" s="10" t="s">
        <v>2646</v>
      </c>
      <c r="E1145" s="11" t="str">
        <f>HYPERLINK("https://twitter.com/techpearce2/status/702950485259624448","702950485259624448")</f>
        <v>702950485259624448</v>
      </c>
      <c r="F1145" s="12" t="s">
        <v>20</v>
      </c>
      <c r="G1145" s="13">
        <v>11677.0</v>
      </c>
      <c r="H1145" s="13">
        <v>11059.0</v>
      </c>
      <c r="I1145" s="13">
        <v>82.0</v>
      </c>
      <c r="J1145" s="13">
        <v>0.0</v>
      </c>
      <c r="K1145" s="12" t="s">
        <v>21</v>
      </c>
      <c r="L1145" s="7">
        <v>42276.432476851856</v>
      </c>
      <c r="M1145" s="14" t="s">
        <v>2622</v>
      </c>
      <c r="N1145" s="14" t="s">
        <v>2623</v>
      </c>
      <c r="O1145" s="11" t="str">
        <f t="shared" ref="O1145:O1147" si="114">HYPERLINK("https://pbs.twimg.com/profile_images/648912420275154944/Ab4szUPV_normal.jpg","View")</f>
        <v>View</v>
      </c>
      <c r="P1145" s="15"/>
    </row>
    <row r="1146">
      <c r="A1146" s="7">
        <v>42425.51199074074</v>
      </c>
      <c r="B1146" s="8" t="str">
        <f t="shared" si="113"/>
        <v>@techpearce2</v>
      </c>
      <c r="C1146" s="10" t="s">
        <v>2619</v>
      </c>
      <c r="D1146" s="10" t="s">
        <v>2647</v>
      </c>
      <c r="E1146" s="11" t="str">
        <f>HYPERLINK("https://twitter.com/techpearce2/status/702950511696289792","702950511696289792")</f>
        <v>702950511696289792</v>
      </c>
      <c r="F1146" s="12" t="s">
        <v>20</v>
      </c>
      <c r="G1146" s="13">
        <v>11677.0</v>
      </c>
      <c r="H1146" s="13">
        <v>11059.0</v>
      </c>
      <c r="I1146" s="13">
        <v>35.0</v>
      </c>
      <c r="J1146" s="13">
        <v>0.0</v>
      </c>
      <c r="K1146" s="12" t="s">
        <v>21</v>
      </c>
      <c r="L1146" s="7">
        <v>42276.432476851856</v>
      </c>
      <c r="M1146" s="14" t="s">
        <v>2622</v>
      </c>
      <c r="N1146" s="14" t="s">
        <v>2623</v>
      </c>
      <c r="O1146" s="11" t="str">
        <f t="shared" si="114"/>
        <v>View</v>
      </c>
      <c r="P1146" s="15"/>
    </row>
    <row r="1147">
      <c r="A1147" s="7">
        <v>42425.51201388889</v>
      </c>
      <c r="B1147" s="8" t="str">
        <f t="shared" si="113"/>
        <v>@techpearce2</v>
      </c>
      <c r="C1147" s="10" t="s">
        <v>2619</v>
      </c>
      <c r="D1147" s="10" t="s">
        <v>2648</v>
      </c>
      <c r="E1147" s="11" t="str">
        <f>HYPERLINK("https://twitter.com/techpearce2/status/702950518595801088","702950518595801088")</f>
        <v>702950518595801088</v>
      </c>
      <c r="F1147" s="12" t="s">
        <v>236</v>
      </c>
      <c r="G1147" s="13">
        <v>11677.0</v>
      </c>
      <c r="H1147" s="13">
        <v>11059.0</v>
      </c>
      <c r="I1147" s="13">
        <v>2.0</v>
      </c>
      <c r="J1147" s="13">
        <v>3.0</v>
      </c>
      <c r="K1147" s="12" t="s">
        <v>21</v>
      </c>
      <c r="L1147" s="7">
        <v>42276.432476851856</v>
      </c>
      <c r="M1147" s="14" t="s">
        <v>2622</v>
      </c>
      <c r="N1147" s="14" t="s">
        <v>2623</v>
      </c>
      <c r="O1147" s="11" t="str">
        <f t="shared" si="114"/>
        <v>View</v>
      </c>
      <c r="P1147" s="15"/>
    </row>
    <row r="1148">
      <c r="A1148" s="7">
        <v>42425.51262731482</v>
      </c>
      <c r="B1148" s="8" t="str">
        <f>HYPERLINK("https://twitter.com/ismael_vc","@ismael_vc")</f>
        <v>@ismael_vc</v>
      </c>
      <c r="C1148" s="10" t="s">
        <v>1788</v>
      </c>
      <c r="D1148" s="10" t="s">
        <v>2649</v>
      </c>
      <c r="E1148" s="11" t="str">
        <f>HYPERLINK("https://twitter.com/ismael_vc/status/702950740885508096","702950740885508096")</f>
        <v>702950740885508096</v>
      </c>
      <c r="F1148" s="12" t="s">
        <v>446</v>
      </c>
      <c r="G1148" s="13">
        <v>519.0</v>
      </c>
      <c r="H1148" s="13">
        <v>4278.0</v>
      </c>
      <c r="I1148" s="13">
        <v>3.0</v>
      </c>
      <c r="J1148" s="13">
        <v>0.0</v>
      </c>
      <c r="K1148" s="12" t="s">
        <v>21</v>
      </c>
      <c r="L1148" s="7">
        <v>41181.33966435185</v>
      </c>
      <c r="M1148" s="14" t="s">
        <v>1789</v>
      </c>
      <c r="N1148" s="14" t="s">
        <v>1790</v>
      </c>
      <c r="O1148" s="11" t="str">
        <f>HYPERLINK("https://pbs.twimg.com/profile_images/643074023430057984/Oh7q-TYL_normal.jpg","View")</f>
        <v>View</v>
      </c>
      <c r="P1148" s="15"/>
    </row>
    <row r="1149">
      <c r="A1149" s="7">
        <v>42425.51262731482</v>
      </c>
      <c r="B1149" s="8" t="str">
        <f>HYPERLINK("https://twitter.com/JuliaLanguage","@JuliaLanguage")</f>
        <v>@JuliaLanguage</v>
      </c>
      <c r="C1149" s="10" t="s">
        <v>1785</v>
      </c>
      <c r="D1149" s="10" t="s">
        <v>2649</v>
      </c>
      <c r="E1149" s="11" t="str">
        <f>HYPERLINK("https://twitter.com/JuliaLanguage/status/702950740902326272","702950740902326272")</f>
        <v>702950740902326272</v>
      </c>
      <c r="F1149" s="12" t="s">
        <v>446</v>
      </c>
      <c r="G1149" s="13">
        <v>3051.0</v>
      </c>
      <c r="H1149" s="13">
        <v>336.0</v>
      </c>
      <c r="I1149" s="13">
        <v>3.0</v>
      </c>
      <c r="J1149" s="13">
        <v>0.0</v>
      </c>
      <c r="K1149" s="12" t="s">
        <v>21</v>
      </c>
      <c r="L1149" s="7">
        <v>41335.85346064815</v>
      </c>
      <c r="M1149" s="14" t="s">
        <v>1786</v>
      </c>
      <c r="N1149" s="14" t="s">
        <v>1787</v>
      </c>
      <c r="O1149" s="11" t="str">
        <f>HYPERLINK("https://pbs.twimg.com/profile_images/3331406046/647b7cf75cb5662b96901bc521968e94_normal.png","View")</f>
        <v>View</v>
      </c>
      <c r="P1149" s="15"/>
    </row>
    <row r="1150">
      <c r="A1150" s="7">
        <v>42425.51262731482</v>
      </c>
      <c r="B1150" s="8" t="str">
        <f>HYPERLINK("https://twitter.com/JuliaLangsEs","@JuliaLangsEs")</f>
        <v>@JuliaLangsEs</v>
      </c>
      <c r="C1150" s="10" t="s">
        <v>1781</v>
      </c>
      <c r="D1150" s="10" t="s">
        <v>2649</v>
      </c>
      <c r="E1150" s="11" t="str">
        <f>HYPERLINK("https://twitter.com/JuliaLangsEs/status/702950740906479616","702950740906479616")</f>
        <v>702950740906479616</v>
      </c>
      <c r="F1150" s="12" t="s">
        <v>446</v>
      </c>
      <c r="G1150" s="13">
        <v>204.0</v>
      </c>
      <c r="H1150" s="13">
        <v>582.0</v>
      </c>
      <c r="I1150" s="13">
        <v>3.0</v>
      </c>
      <c r="J1150" s="13">
        <v>0.0</v>
      </c>
      <c r="K1150" s="12" t="s">
        <v>21</v>
      </c>
      <c r="L1150" s="7">
        <v>42178.59483796296</v>
      </c>
      <c r="M1150" s="14" t="s">
        <v>1783</v>
      </c>
      <c r="N1150" s="14" t="s">
        <v>1784</v>
      </c>
      <c r="O1150" s="11" t="str">
        <f>HYPERLINK("https://pbs.twimg.com/profile_images/613456073979092992/1Bd3LSz1_normal.png","View")</f>
        <v>View</v>
      </c>
      <c r="P1150" s="15"/>
    </row>
    <row r="1151">
      <c r="A1151" s="7">
        <v>42425.513078703705</v>
      </c>
      <c r="B1151" s="8" t="str">
        <f>HYPERLINK("https://twitter.com/WillR_AppNeta","@WillR_AppNeta")</f>
        <v>@WillR_AppNeta</v>
      </c>
      <c r="C1151" s="10" t="s">
        <v>2650</v>
      </c>
      <c r="D1151" s="10" t="s">
        <v>2651</v>
      </c>
      <c r="E1151" s="11" t="str">
        <f>HYPERLINK("https://twitter.com/WillR_AppNeta/status/702950902743830528","702950902743830528")</f>
        <v>702950902743830528</v>
      </c>
      <c r="F1151" s="12" t="s">
        <v>20</v>
      </c>
      <c r="G1151" s="13">
        <v>63.0</v>
      </c>
      <c r="H1151" s="13">
        <v>99.0</v>
      </c>
      <c r="I1151" s="13">
        <v>0.0</v>
      </c>
      <c r="J1151" s="13">
        <v>1.0</v>
      </c>
      <c r="K1151" s="12" t="s">
        <v>21</v>
      </c>
      <c r="L1151" s="7">
        <v>41597.48695601852</v>
      </c>
      <c r="M1151" s="14" t="s">
        <v>332</v>
      </c>
      <c r="N1151" s="14" t="s">
        <v>2652</v>
      </c>
      <c r="O1151" s="11" t="str">
        <f>HYPERLINK("https://pbs.twimg.com/profile_images/596317085610807296/Vw5p8LqN_normal.jpg","View")</f>
        <v>View</v>
      </c>
      <c r="P1151" s="15"/>
    </row>
    <row r="1152">
      <c r="A1152" s="7">
        <v>42425.513344907406</v>
      </c>
      <c r="B1152" s="8" t="str">
        <f>HYPERLINK("https://twitter.com/wcmckeedotcom","@wcmckeedotcom")</f>
        <v>@wcmckeedotcom</v>
      </c>
      <c r="C1152" s="10" t="s">
        <v>476</v>
      </c>
      <c r="D1152" s="10" t="s">
        <v>2653</v>
      </c>
      <c r="E1152" s="11" t="str">
        <f>HYPERLINK("https://twitter.com/wcmckeedotcom/status/702951003046416384","702951003046416384")</f>
        <v>702951003046416384</v>
      </c>
      <c r="F1152" s="12" t="s">
        <v>478</v>
      </c>
      <c r="G1152" s="13">
        <v>1011.0</v>
      </c>
      <c r="H1152" s="13">
        <v>875.0</v>
      </c>
      <c r="I1152" s="13">
        <v>0.0</v>
      </c>
      <c r="J1152" s="13">
        <v>0.0</v>
      </c>
      <c r="K1152" s="12" t="s">
        <v>21</v>
      </c>
      <c r="L1152" s="7">
        <v>41902.048368055555</v>
      </c>
      <c r="M1152" s="14" t="s">
        <v>479</v>
      </c>
      <c r="N1152" s="14" t="s">
        <v>480</v>
      </c>
      <c r="O1152" s="11" t="str">
        <f>HYPERLINK("https://pbs.twimg.com/profile_images/621211385746161664/tGchJstD_normal.jpg","View")</f>
        <v>View</v>
      </c>
      <c r="P1152" s="15"/>
    </row>
    <row r="1153">
      <c r="A1153" s="7">
        <v>42425.51340277778</v>
      </c>
      <c r="B1153" s="8" t="str">
        <f>HYPERLINK("https://twitter.com/brobeur","@brobeur")</f>
        <v>@brobeur</v>
      </c>
      <c r="C1153" s="9" t="s">
        <v>319</v>
      </c>
      <c r="D1153" s="10" t="s">
        <v>2654</v>
      </c>
      <c r="E1153" s="11" t="str">
        <f>HYPERLINK("https://twitter.com/brobeur/status/702951020381511680","702951020381511680")</f>
        <v>702951020381511680</v>
      </c>
      <c r="F1153" s="12" t="s">
        <v>321</v>
      </c>
      <c r="G1153" s="13">
        <v>1097.0</v>
      </c>
      <c r="H1153" s="13">
        <v>1945.0</v>
      </c>
      <c r="I1153" s="13">
        <v>0.0</v>
      </c>
      <c r="J1153" s="13">
        <v>0.0</v>
      </c>
      <c r="K1153" s="12" t="s">
        <v>21</v>
      </c>
      <c r="L1153" s="7">
        <v>41362.78061342593</v>
      </c>
      <c r="M1153" s="14" t="s">
        <v>322</v>
      </c>
      <c r="N1153" s="14" t="s">
        <v>323</v>
      </c>
      <c r="O1153" s="11" t="str">
        <f>HYPERLINK("https://pbs.twimg.com/profile_images/487211737284739072/HBzP949-_normal.png","View")</f>
        <v>View</v>
      </c>
      <c r="P1153" s="15"/>
    </row>
    <row r="1154">
      <c r="A1154" s="7">
        <v>42425.513761574075</v>
      </c>
      <c r="B1154" s="8" t="str">
        <f>HYPERLINK("https://twitter.com/javascriptd","@javascriptd")</f>
        <v>@javascriptd</v>
      </c>
      <c r="C1154" s="10" t="s">
        <v>2655</v>
      </c>
      <c r="D1154" s="10" t="s">
        <v>2656</v>
      </c>
      <c r="E1154" s="11" t="str">
        <f>HYPERLINK("https://twitter.com/javascriptd/status/702951152686510080","702951152686510080")</f>
        <v>702951152686510080</v>
      </c>
      <c r="F1154" s="12" t="s">
        <v>2657</v>
      </c>
      <c r="G1154" s="13">
        <v>9923.0</v>
      </c>
      <c r="H1154" s="13">
        <v>5.0</v>
      </c>
      <c r="I1154" s="13">
        <v>1.0</v>
      </c>
      <c r="J1154" s="13">
        <v>0.0</v>
      </c>
      <c r="K1154" s="12" t="s">
        <v>21</v>
      </c>
      <c r="L1154" s="7">
        <v>41854.45717592593</v>
      </c>
      <c r="M1154" s="14" t="s">
        <v>2658</v>
      </c>
      <c r="N1154" s="14" t="s">
        <v>2659</v>
      </c>
      <c r="O1154" s="11" t="str">
        <f>HYPERLINK("https://pbs.twimg.com/profile_images/544034757730779136/-jOL7GnN_normal.jpeg","View")</f>
        <v>View</v>
      </c>
      <c r="P1154" s="15"/>
    </row>
    <row r="1155">
      <c r="A1155" s="7">
        <v>42425.51457175926</v>
      </c>
      <c r="B1155" s="8" t="str">
        <f>HYPERLINK("https://twitter.com/beugenio","@beugenio")</f>
        <v>@beugenio</v>
      </c>
      <c r="C1155" s="10" t="s">
        <v>2660</v>
      </c>
      <c r="D1155" s="10" t="s">
        <v>2661</v>
      </c>
      <c r="E1155" s="11" t="str">
        <f>HYPERLINK("https://twitter.com/beugenio/status/702951445335773184","702951445335773184")</f>
        <v>702951445335773184</v>
      </c>
      <c r="F1155" s="12" t="s">
        <v>152</v>
      </c>
      <c r="G1155" s="13">
        <v>230.0</v>
      </c>
      <c r="H1155" s="13">
        <v>413.0</v>
      </c>
      <c r="I1155" s="13">
        <v>5.0</v>
      </c>
      <c r="J1155" s="13">
        <v>0.0</v>
      </c>
      <c r="K1155" s="12" t="s">
        <v>21</v>
      </c>
      <c r="L1155" s="7">
        <v>39991.575578703705</v>
      </c>
      <c r="M1155" s="14" t="s">
        <v>2662</v>
      </c>
      <c r="N1155" s="14" t="s">
        <v>2663</v>
      </c>
      <c r="O1155" s="11" t="str">
        <f>HYPERLINK("https://pbs.twimg.com/profile_images/677301306508386304/Q6Psac-p_normal.jpg","View")</f>
        <v>View</v>
      </c>
      <c r="P1155" s="15"/>
    </row>
    <row r="1156">
      <c r="A1156" s="7">
        <v>42425.51494212963</v>
      </c>
      <c r="B1156" s="8" t="str">
        <f>HYPERLINK("https://twitter.com/Cruor99","@Cruor99")</f>
        <v>@Cruor99</v>
      </c>
      <c r="C1156" s="10" t="s">
        <v>2664</v>
      </c>
      <c r="D1156" s="10" t="s">
        <v>2665</v>
      </c>
      <c r="E1156" s="11" t="str">
        <f>HYPERLINK("https://twitter.com/Cruor99/status/702951578278326272","702951578278326272")</f>
        <v>702951578278326272</v>
      </c>
      <c r="F1156" s="17" t="s">
        <v>632</v>
      </c>
      <c r="G1156" s="13">
        <v>115.0</v>
      </c>
      <c r="H1156" s="13">
        <v>746.0</v>
      </c>
      <c r="I1156" s="13">
        <v>0.0</v>
      </c>
      <c r="J1156" s="13">
        <v>2.0</v>
      </c>
      <c r="K1156" s="12" t="s">
        <v>21</v>
      </c>
      <c r="L1156" s="7">
        <v>39586.372708333336</v>
      </c>
      <c r="M1156" s="14" t="s">
        <v>2666</v>
      </c>
      <c r="N1156" s="16"/>
      <c r="O1156" s="11" t="str">
        <f>HYPERLINK("https://pbs.twimg.com/profile_images/492714097683603456/prZbtSFV_normal.png","View")</f>
        <v>View</v>
      </c>
      <c r="P1156" s="15"/>
    </row>
    <row r="1157">
      <c r="A1157" s="7">
        <v>42425.51494212963</v>
      </c>
      <c r="B1157" s="8" t="str">
        <f>HYPERLINK("https://twitter.com/livecodingtv","@livecodingtv")</f>
        <v>@livecodingtv</v>
      </c>
      <c r="C1157" s="9" t="s">
        <v>630</v>
      </c>
      <c r="D1157" s="10" t="s">
        <v>2667</v>
      </c>
      <c r="E1157" s="11" t="str">
        <f>HYPERLINK("https://twitter.com/livecodingtv/status/702951580094459904","702951580094459904")</f>
        <v>702951580094459904</v>
      </c>
      <c r="F1157" s="17" t="s">
        <v>632</v>
      </c>
      <c r="G1157" s="13">
        <v>4224.0</v>
      </c>
      <c r="H1157" s="13">
        <v>1766.0</v>
      </c>
      <c r="I1157" s="13">
        <v>0.0</v>
      </c>
      <c r="J1157" s="13">
        <v>0.0</v>
      </c>
      <c r="K1157" s="12" t="s">
        <v>21</v>
      </c>
      <c r="L1157" s="7">
        <v>41919.33319444444</v>
      </c>
      <c r="M1157" s="14" t="s">
        <v>69</v>
      </c>
      <c r="N1157" s="14" t="s">
        <v>633</v>
      </c>
      <c r="O1157" s="11" t="str">
        <f>HYPERLINK("https://pbs.twimg.com/profile_images/539451988929294337/hCieN16A_normal.png","View")</f>
        <v>View</v>
      </c>
      <c r="P1157" s="15"/>
    </row>
    <row r="1158">
      <c r="A1158" s="7">
        <v>42425.51685185185</v>
      </c>
      <c r="B1158" s="8" t="str">
        <f>HYPERLINK("https://twitter.com/mattmcd","@mattmcd")</f>
        <v>@mattmcd</v>
      </c>
      <c r="C1158" s="10" t="s">
        <v>2668</v>
      </c>
      <c r="D1158" s="10" t="s">
        <v>2669</v>
      </c>
      <c r="E1158" s="11" t="str">
        <f>HYPERLINK("https://twitter.com/mattmcd/status/702952272389677057","702952272389677057")</f>
        <v>702952272389677057</v>
      </c>
      <c r="F1158" s="12" t="s">
        <v>152</v>
      </c>
      <c r="G1158" s="13">
        <v>539.0</v>
      </c>
      <c r="H1158" s="13">
        <v>639.0</v>
      </c>
      <c r="I1158" s="13">
        <v>0.0</v>
      </c>
      <c r="J1158" s="13">
        <v>1.0</v>
      </c>
      <c r="K1158" s="12" t="s">
        <v>21</v>
      </c>
      <c r="L1158" s="7">
        <v>39249.37799768519</v>
      </c>
      <c r="M1158" s="14" t="s">
        <v>519</v>
      </c>
      <c r="N1158" s="14" t="s">
        <v>2670</v>
      </c>
      <c r="O1158" s="11" t="str">
        <f>HYPERLINK("https://pbs.twimg.com/profile_images/1401189383/me_skecth_no2_dark_800x800_normal.jpg","View")</f>
        <v>View</v>
      </c>
      <c r="P1158" s="15"/>
    </row>
    <row r="1159">
      <c r="A1159" s="7">
        <v>42425.51710648148</v>
      </c>
      <c r="B1159" s="8" t="str">
        <f>HYPERLINK("https://twitter.com/javascriptd","@javascriptd")</f>
        <v>@javascriptd</v>
      </c>
      <c r="C1159" s="10" t="s">
        <v>2655</v>
      </c>
      <c r="D1159" s="10" t="s">
        <v>2671</v>
      </c>
      <c r="E1159" s="11" t="str">
        <f>HYPERLINK("https://twitter.com/javascriptd/status/702952362097283074","702952362097283074")</f>
        <v>702952362097283074</v>
      </c>
      <c r="F1159" s="12" t="s">
        <v>2657</v>
      </c>
      <c r="G1159" s="13">
        <v>9923.0</v>
      </c>
      <c r="H1159" s="13">
        <v>5.0</v>
      </c>
      <c r="I1159" s="13">
        <v>3.0</v>
      </c>
      <c r="J1159" s="13">
        <v>0.0</v>
      </c>
      <c r="K1159" s="12" t="s">
        <v>21</v>
      </c>
      <c r="L1159" s="7">
        <v>41854.45717592593</v>
      </c>
      <c r="M1159" s="14" t="s">
        <v>2658</v>
      </c>
      <c r="N1159" s="14" t="s">
        <v>2659</v>
      </c>
      <c r="O1159" s="11" t="str">
        <f>HYPERLINK("https://pbs.twimg.com/profile_images/544034757730779136/-jOL7GnN_normal.jpeg","View")</f>
        <v>View</v>
      </c>
      <c r="P1159" s="15"/>
    </row>
    <row r="1160">
      <c r="A1160" s="7">
        <v>42425.51765046296</v>
      </c>
      <c r="B1160" s="8" t="str">
        <f>HYPERLINK("https://twitter.com/HartwigMicheal","@HartwigMicheal")</f>
        <v>@HartwigMicheal</v>
      </c>
      <c r="C1160" s="10" t="s">
        <v>842</v>
      </c>
      <c r="D1160" s="10" t="s">
        <v>2672</v>
      </c>
      <c r="E1160" s="11" t="str">
        <f>HYPERLINK("https://twitter.com/HartwigMicheal/status/702952561159094272","702952561159094272")</f>
        <v>702952561159094272</v>
      </c>
      <c r="F1160" s="12" t="s">
        <v>103</v>
      </c>
      <c r="G1160" s="13">
        <v>541.0</v>
      </c>
      <c r="H1160" s="13">
        <v>830.0</v>
      </c>
      <c r="I1160" s="13">
        <v>0.0</v>
      </c>
      <c r="J1160" s="13">
        <v>0.0</v>
      </c>
      <c r="K1160" s="12" t="s">
        <v>21</v>
      </c>
      <c r="L1160" s="7">
        <v>42362.00148148148</v>
      </c>
      <c r="M1160" s="14" t="s">
        <v>844</v>
      </c>
      <c r="N1160" s="14" t="s">
        <v>845</v>
      </c>
      <c r="O1160" s="11" t="str">
        <f>HYPERLINK("https://pbs.twimg.com/profile_images/679948461953781761/pDo9356K_normal.jpg","View")</f>
        <v>View</v>
      </c>
      <c r="P1160" s="15"/>
    </row>
    <row r="1161">
      <c r="A1161" s="7">
        <v>42425.517696759256</v>
      </c>
      <c r="B1161" s="8" t="str">
        <f>HYPERLINK("https://twitter.com/robertkern","@robertkern")</f>
        <v>@robertkern</v>
      </c>
      <c r="C1161" s="10" t="s">
        <v>2673</v>
      </c>
      <c r="D1161" s="10" t="s">
        <v>2674</v>
      </c>
      <c r="E1161" s="11" t="str">
        <f>HYPERLINK("https://twitter.com/robertkern/status/702952576552075265","702952576552075265")</f>
        <v>702952576552075265</v>
      </c>
      <c r="F1161" s="12" t="s">
        <v>20</v>
      </c>
      <c r="G1161" s="13">
        <v>247.0</v>
      </c>
      <c r="H1161" s="13">
        <v>702.0</v>
      </c>
      <c r="I1161" s="13">
        <v>2.0</v>
      </c>
      <c r="J1161" s="13">
        <v>0.0</v>
      </c>
      <c r="K1161" s="12" t="s">
        <v>21</v>
      </c>
      <c r="L1161" s="7">
        <v>39569.95046296297</v>
      </c>
      <c r="M1161" s="14" t="s">
        <v>2675</v>
      </c>
      <c r="N1161" s="14" t="s">
        <v>2676</v>
      </c>
      <c r="O1161" s="11" t="str">
        <f>HYPERLINK("https://pbs.twimg.com/profile_images/598395061563305984/Tow5EFlS_normal.jpg","View")</f>
        <v>View</v>
      </c>
      <c r="P1161" s="15"/>
    </row>
    <row r="1162">
      <c r="A1162" s="7">
        <v>42425.51771990741</v>
      </c>
      <c r="B1162" s="8" t="str">
        <f>HYPERLINK("https://twitter.com/unwiredasia","@unwiredasia")</f>
        <v>@unwiredasia</v>
      </c>
      <c r="C1162" s="10" t="s">
        <v>2677</v>
      </c>
      <c r="D1162" s="10" t="s">
        <v>2678</v>
      </c>
      <c r="E1162" s="11" t="str">
        <f>HYPERLINK("https://twitter.com/unwiredasia/status/702952588405313536","702952588405313536")</f>
        <v>702952588405313536</v>
      </c>
      <c r="F1162" s="17" t="s">
        <v>718</v>
      </c>
      <c r="G1162" s="13">
        <v>219.0</v>
      </c>
      <c r="H1162" s="13">
        <v>994.0</v>
      </c>
      <c r="I1162" s="13">
        <v>0.0</v>
      </c>
      <c r="J1162" s="13">
        <v>0.0</v>
      </c>
      <c r="K1162" s="12" t="s">
        <v>21</v>
      </c>
      <c r="L1162" s="7">
        <v>40493.49518518519</v>
      </c>
      <c r="M1162" s="14" t="s">
        <v>2679</v>
      </c>
      <c r="N1162" s="14" t="s">
        <v>2680</v>
      </c>
      <c r="O1162" s="11" t="str">
        <f>HYPERLINK("https://pbs.twimg.com/profile_images/1166430084/qrcode.v1.2_normal.jpg","View")</f>
        <v>View</v>
      </c>
      <c r="P1162" s="15"/>
    </row>
    <row r="1163">
      <c r="A1163" s="7">
        <v>42425.5180324074</v>
      </c>
      <c r="B1163" s="8" t="str">
        <f>HYPERLINK("https://twitter.com/sixfeetup","@sixfeetup")</f>
        <v>@sixfeetup</v>
      </c>
      <c r="C1163" s="10" t="s">
        <v>2681</v>
      </c>
      <c r="D1163" s="10" t="s">
        <v>2477</v>
      </c>
      <c r="E1163" s="11" t="str">
        <f>HYPERLINK("https://twitter.com/sixfeetup/status/702952701534064640","702952701534064640")</f>
        <v>702952701534064640</v>
      </c>
      <c r="F1163" s="12" t="s">
        <v>20</v>
      </c>
      <c r="G1163" s="13">
        <v>812.0</v>
      </c>
      <c r="H1163" s="13">
        <v>465.0</v>
      </c>
      <c r="I1163" s="13">
        <v>11.0</v>
      </c>
      <c r="J1163" s="13">
        <v>0.0</v>
      </c>
      <c r="K1163" s="12" t="s">
        <v>21</v>
      </c>
      <c r="L1163" s="7">
        <v>39589.5528125</v>
      </c>
      <c r="M1163" s="14" t="s">
        <v>2682</v>
      </c>
      <c r="N1163" s="14" t="s">
        <v>2683</v>
      </c>
      <c r="O1163" s="11" t="str">
        <f>HYPERLINK("https://pbs.twimg.com/profile_images/652128672078524416/cMCPeb2G_normal.png","View")</f>
        <v>View</v>
      </c>
      <c r="P1163" s="15"/>
    </row>
    <row r="1164">
      <c r="A1164" s="7">
        <v>42425.51809027778</v>
      </c>
      <c r="B1164" s="8" t="str">
        <f>HYPERLINK("https://twitter.com/AdamSmitht1","@AdamSmitht1")</f>
        <v>@AdamSmitht1</v>
      </c>
      <c r="C1164" s="10" t="s">
        <v>468</v>
      </c>
      <c r="D1164" s="10" t="s">
        <v>2684</v>
      </c>
      <c r="E1164" s="11" t="str">
        <f>HYPERLINK("https://twitter.com/AdamSmitht1/status/702952721264017409","702952721264017409")</f>
        <v>702952721264017409</v>
      </c>
      <c r="F1164" s="12" t="s">
        <v>103</v>
      </c>
      <c r="G1164" s="13">
        <v>849.0</v>
      </c>
      <c r="H1164" s="13">
        <v>793.0</v>
      </c>
      <c r="I1164" s="13">
        <v>0.0</v>
      </c>
      <c r="J1164" s="13">
        <v>0.0</v>
      </c>
      <c r="K1164" s="12" t="s">
        <v>21</v>
      </c>
      <c r="L1164" s="7">
        <v>42336.12709490741</v>
      </c>
      <c r="M1164" s="14" t="s">
        <v>470</v>
      </c>
      <c r="N1164" s="14" t="s">
        <v>471</v>
      </c>
      <c r="O1164" s="11" t="str">
        <f>HYPERLINK("https://pbs.twimg.com/profile_images/671623862916812800/yGsDKiP4_normal.jpg","View")</f>
        <v>View</v>
      </c>
      <c r="P1164" s="15"/>
    </row>
    <row r="1165">
      <c r="A1165" s="7">
        <v>42425.51814814815</v>
      </c>
      <c r="B1165" s="8" t="str">
        <f>HYPERLINK("https://twitter.com/cristian_veiga","@cristian_veiga")</f>
        <v>@cristian_veiga</v>
      </c>
      <c r="C1165" s="10" t="s">
        <v>2685</v>
      </c>
      <c r="D1165" s="10" t="s">
        <v>2661</v>
      </c>
      <c r="E1165" s="11" t="str">
        <f>HYPERLINK("https://twitter.com/cristian_veiga/status/702952741023440896","702952741023440896")</f>
        <v>702952741023440896</v>
      </c>
      <c r="F1165" s="12" t="s">
        <v>152</v>
      </c>
      <c r="G1165" s="13">
        <v>117.0</v>
      </c>
      <c r="H1165" s="13">
        <v>510.0</v>
      </c>
      <c r="I1165" s="13">
        <v>5.0</v>
      </c>
      <c r="J1165" s="13">
        <v>0.0</v>
      </c>
      <c r="K1165" s="12" t="s">
        <v>21</v>
      </c>
      <c r="L1165" s="7">
        <v>40057.148125</v>
      </c>
      <c r="M1165" s="14" t="s">
        <v>2686</v>
      </c>
      <c r="N1165" s="16"/>
      <c r="O1165" s="11" t="str">
        <f>HYPERLINK("https://pbs.twimg.com/profile_images/497667175508111360/8T04r9jQ_normal.jpeg","View")</f>
        <v>View</v>
      </c>
      <c r="P1165" s="15"/>
    </row>
    <row r="1166">
      <c r="A1166" s="7">
        <v>42425.51835648148</v>
      </c>
      <c r="B1166" s="8" t="str">
        <f>HYPERLINK("https://twitter.com/MTotolrahaman","@MTotolrahaman")</f>
        <v>@MTotolrahaman</v>
      </c>
      <c r="C1166" s="10" t="s">
        <v>848</v>
      </c>
      <c r="D1166" s="10" t="s">
        <v>2687</v>
      </c>
      <c r="E1166" s="11" t="str">
        <f>HYPERLINK("https://twitter.com/MTotolrahaman/status/702952817745645568","702952817745645568")</f>
        <v>702952817745645568</v>
      </c>
      <c r="F1166" s="12" t="s">
        <v>103</v>
      </c>
      <c r="G1166" s="13">
        <v>766.0</v>
      </c>
      <c r="H1166" s="13">
        <v>846.0</v>
      </c>
      <c r="I1166" s="13">
        <v>0.0</v>
      </c>
      <c r="J1166" s="13">
        <v>0.0</v>
      </c>
      <c r="K1166" s="12" t="s">
        <v>21</v>
      </c>
      <c r="L1166" s="7">
        <v>42355.250798611116</v>
      </c>
      <c r="M1166" s="14" t="s">
        <v>850</v>
      </c>
      <c r="N1166" s="14" t="s">
        <v>851</v>
      </c>
      <c r="O1166" s="11" t="str">
        <f>HYPERLINK("https://pbs.twimg.com/profile_images/677493910256484352/-EdVaVPl_normal.jpg","View")</f>
        <v>View</v>
      </c>
      <c r="P1166" s="15"/>
    </row>
    <row r="1167">
      <c r="A1167" s="7">
        <v>42425.5187037037</v>
      </c>
      <c r="B1167" s="8" t="str">
        <f>HYPERLINK("https://twitter.com/mattmcd","@mattmcd")</f>
        <v>@mattmcd</v>
      </c>
      <c r="C1167" s="10" t="s">
        <v>2668</v>
      </c>
      <c r="D1167" s="10" t="s">
        <v>2688</v>
      </c>
      <c r="E1167" s="11" t="str">
        <f>HYPERLINK("https://twitter.com/mattmcd/status/702952944581406720","702952944581406720")</f>
        <v>702952944581406720</v>
      </c>
      <c r="F1167" s="12" t="s">
        <v>152</v>
      </c>
      <c r="G1167" s="13">
        <v>539.0</v>
      </c>
      <c r="H1167" s="13">
        <v>639.0</v>
      </c>
      <c r="I1167" s="13">
        <v>0.0</v>
      </c>
      <c r="J1167" s="13">
        <v>1.0</v>
      </c>
      <c r="K1167" s="12" t="s">
        <v>21</v>
      </c>
      <c r="L1167" s="7">
        <v>39249.37799768519</v>
      </c>
      <c r="M1167" s="14" t="s">
        <v>519</v>
      </c>
      <c r="N1167" s="14" t="s">
        <v>2670</v>
      </c>
      <c r="O1167" s="11" t="str">
        <f>HYPERLINK("https://pbs.twimg.com/profile_images/1401189383/me_skecth_no2_dark_800x800_normal.jpg","View")</f>
        <v>View</v>
      </c>
      <c r="P1167" s="15"/>
    </row>
    <row r="1168">
      <c r="A1168" s="7">
        <v>42425.51945601852</v>
      </c>
      <c r="B1168" s="8" t="str">
        <f>HYPERLINK("https://twitter.com/fornarifabio","@fornarifabio")</f>
        <v>@fornarifabio</v>
      </c>
      <c r="C1168" s="10" t="s">
        <v>2689</v>
      </c>
      <c r="D1168" s="10" t="s">
        <v>2690</v>
      </c>
      <c r="E1168" s="11" t="str">
        <f>HYPERLINK("https://twitter.com/fornarifabio/status/702953214870757377","702953214870757377")</f>
        <v>702953214870757377</v>
      </c>
      <c r="F1168" s="12" t="s">
        <v>991</v>
      </c>
      <c r="G1168" s="13">
        <v>124.0</v>
      </c>
      <c r="H1168" s="13">
        <v>153.0</v>
      </c>
      <c r="I1168" s="13">
        <v>0.0</v>
      </c>
      <c r="J1168" s="13">
        <v>2.0</v>
      </c>
      <c r="K1168" s="12" t="s">
        <v>21</v>
      </c>
      <c r="L1168" s="7">
        <v>40551.42290509259</v>
      </c>
      <c r="M1168" s="16"/>
      <c r="N1168" s="14" t="s">
        <v>2691</v>
      </c>
      <c r="O1168" s="11" t="str">
        <f>HYPERLINK("https://pbs.twimg.com/profile_images/689551270831587332/2GaIOoRY_normal.png","View")</f>
        <v>View</v>
      </c>
      <c r="P1168" s="15"/>
    </row>
    <row r="1169">
      <c r="A1169" s="7">
        <v>42425.520162037035</v>
      </c>
      <c r="B1169" s="8" t="str">
        <f>HYPERLINK("https://twitter.com/FerreraEnrico","@FerreraEnrico")</f>
        <v>@FerreraEnrico</v>
      </c>
      <c r="C1169" s="10" t="s">
        <v>2692</v>
      </c>
      <c r="D1169" s="10" t="s">
        <v>2480</v>
      </c>
      <c r="E1169" s="11" t="str">
        <f>HYPERLINK("https://twitter.com/FerreraEnrico/status/702953469783777280","702953469783777280")</f>
        <v>702953469783777280</v>
      </c>
      <c r="F1169" s="12" t="s">
        <v>152</v>
      </c>
      <c r="G1169" s="13">
        <v>81.0</v>
      </c>
      <c r="H1169" s="13">
        <v>221.0</v>
      </c>
      <c r="I1169" s="13">
        <v>3.0</v>
      </c>
      <c r="J1169" s="13">
        <v>0.0</v>
      </c>
      <c r="K1169" s="12" t="s">
        <v>21</v>
      </c>
      <c r="L1169" s="7">
        <v>42061.45643518519</v>
      </c>
      <c r="M1169" s="14" t="s">
        <v>2693</v>
      </c>
      <c r="N1169" s="14" t="s">
        <v>2694</v>
      </c>
      <c r="O1169" s="11" t="str">
        <f>HYPERLINK("https://pbs.twimg.com/profile_images/571071349678825472/48vu7Bw2_normal.png","View")</f>
        <v>View</v>
      </c>
      <c r="P1169" s="15"/>
    </row>
    <row r="1170">
      <c r="A1170" s="7">
        <v>42425.520625000005</v>
      </c>
      <c r="B1170" s="8" t="str">
        <f>HYPERLINK("https://twitter.com/CientiH","@CientiH")</f>
        <v>@CientiH</v>
      </c>
      <c r="C1170" s="10" t="s">
        <v>2695</v>
      </c>
      <c r="D1170" s="10" t="s">
        <v>2696</v>
      </c>
      <c r="E1170" s="11" t="str">
        <f>HYPERLINK("https://twitter.com/CientiH/status/702953640609374208","702953640609374208")</f>
        <v>702953640609374208</v>
      </c>
      <c r="F1170" s="12" t="s">
        <v>20</v>
      </c>
      <c r="G1170" s="13">
        <v>216.0</v>
      </c>
      <c r="H1170" s="13">
        <v>964.0</v>
      </c>
      <c r="I1170" s="13">
        <v>3.0</v>
      </c>
      <c r="J1170" s="13">
        <v>0.0</v>
      </c>
      <c r="K1170" s="12" t="s">
        <v>21</v>
      </c>
      <c r="L1170" s="7">
        <v>42081.519583333335</v>
      </c>
      <c r="M1170" s="14" t="s">
        <v>2697</v>
      </c>
      <c r="N1170" s="14" t="s">
        <v>2698</v>
      </c>
      <c r="O1170" s="11" t="str">
        <f>HYPERLINK("https://pbs.twimg.com/profile_images/578962206148157440/lovL3qr7_normal.jpeg","View")</f>
        <v>View</v>
      </c>
      <c r="P1170" s="15"/>
    </row>
    <row r="1171">
      <c r="A1171" s="7">
        <v>42425.52068287037</v>
      </c>
      <c r="B1171" s="8" t="str">
        <f>HYPERLINK("https://twitter.com/ICanPlaceYou","@ICanPlaceYou")</f>
        <v>@ICanPlaceYou</v>
      </c>
      <c r="C1171" s="10" t="s">
        <v>2699</v>
      </c>
      <c r="D1171" s="10" t="s">
        <v>2700</v>
      </c>
      <c r="E1171" s="11" t="str">
        <f>HYPERLINK("https://twitter.com/ICanPlaceYou/status/702953662293757952","702953662293757952")</f>
        <v>702953662293757952</v>
      </c>
      <c r="F1171" s="12" t="s">
        <v>20</v>
      </c>
      <c r="G1171" s="13">
        <v>5.0</v>
      </c>
      <c r="H1171" s="13">
        <v>67.0</v>
      </c>
      <c r="I1171" s="13">
        <v>0.0</v>
      </c>
      <c r="J1171" s="13">
        <v>0.0</v>
      </c>
      <c r="K1171" s="12" t="s">
        <v>21</v>
      </c>
      <c r="L1171" s="7">
        <v>41886.69547453704</v>
      </c>
      <c r="M1171" s="14" t="s">
        <v>2701</v>
      </c>
      <c r="N1171" s="14" t="s">
        <v>2702</v>
      </c>
      <c r="O1171" s="11" t="str">
        <f>HYPERLINK("https://pbs.twimg.com/profile_images/511184621912870912/53U_hyqW_normal.png","View")</f>
        <v>View</v>
      </c>
      <c r="P1171" s="15"/>
    </row>
    <row r="1172">
      <c r="A1172" s="7">
        <v>42425.52072916667</v>
      </c>
      <c r="B1172" s="8" t="str">
        <f>HYPERLINK("https://twitter.com/egomarklondonuk","@egomarklondonuk")</f>
        <v>@egomarklondonuk</v>
      </c>
      <c r="C1172" s="10" t="s">
        <v>2703</v>
      </c>
      <c r="D1172" s="10" t="s">
        <v>2704</v>
      </c>
      <c r="E1172" s="11" t="str">
        <f>HYPERLINK("https://twitter.com/egomarklondonuk/status/702953678789935104","702953678789935104")</f>
        <v>702953678789935104</v>
      </c>
      <c r="F1172" s="12" t="s">
        <v>450</v>
      </c>
      <c r="G1172" s="13">
        <v>180.0</v>
      </c>
      <c r="H1172" s="13">
        <v>833.0</v>
      </c>
      <c r="I1172" s="13">
        <v>0.0</v>
      </c>
      <c r="J1172" s="13">
        <v>2.0</v>
      </c>
      <c r="K1172" s="12" t="s">
        <v>21</v>
      </c>
      <c r="L1172" s="7">
        <v>41737.54158564815</v>
      </c>
      <c r="M1172" s="14" t="s">
        <v>2705</v>
      </c>
      <c r="N1172" s="14" t="s">
        <v>2706</v>
      </c>
      <c r="O1172" s="11" t="str">
        <f>HYPERLINK("https://pbs.twimg.com/profile_images/519142967437955072/KIOPEEYo_normal.jpeg","View")</f>
        <v>View</v>
      </c>
      <c r="P1172" s="15"/>
    </row>
    <row r="1173">
      <c r="A1173" s="7">
        <v>42425.52084490741</v>
      </c>
      <c r="B1173" s="8" t="str">
        <f>HYPERLINK("https://twitter.com/0x626F74","@0x626F74")</f>
        <v>@0x626F74</v>
      </c>
      <c r="C1173" s="10" t="s">
        <v>2707</v>
      </c>
      <c r="D1173" s="10" t="s">
        <v>2708</v>
      </c>
      <c r="E1173" s="11" t="str">
        <f>HYPERLINK("https://twitter.com/0x626F74/status/702953717121691648","702953717121691648")</f>
        <v>702953717121691648</v>
      </c>
      <c r="F1173" s="12" t="s">
        <v>2709</v>
      </c>
      <c r="G1173" s="13">
        <v>44.0</v>
      </c>
      <c r="H1173" s="13">
        <v>0.0</v>
      </c>
      <c r="I1173" s="13">
        <v>0.0</v>
      </c>
      <c r="J1173" s="13">
        <v>0.0</v>
      </c>
      <c r="K1173" s="12" t="s">
        <v>21</v>
      </c>
      <c r="L1173" s="7">
        <v>41484.2893287037</v>
      </c>
      <c r="M1173" s="16"/>
      <c r="N1173" s="16"/>
      <c r="O1173" s="11" t="str">
        <f>HYPERLINK("https://abs.twimg.com/sticky/default_profile_images/default_profile_3_normal.png","View")</f>
        <v>View</v>
      </c>
      <c r="P1173" s="15"/>
    </row>
    <row r="1174">
      <c r="A1174" s="7">
        <v>42425.521006944444</v>
      </c>
      <c r="B1174" s="8" t="str">
        <f>HYPERLINK("https://twitter.com/C3inc","@C3inc")</f>
        <v>@C3inc</v>
      </c>
      <c r="C1174" s="10" t="s">
        <v>2710</v>
      </c>
      <c r="D1174" s="10" t="s">
        <v>2711</v>
      </c>
      <c r="E1174" s="11" t="str">
        <f>HYPERLINK("https://twitter.com/C3inc/status/702953778312519680","702953778312519680")</f>
        <v>702953778312519680</v>
      </c>
      <c r="F1174" s="12" t="s">
        <v>294</v>
      </c>
      <c r="G1174" s="13">
        <v>784.0</v>
      </c>
      <c r="H1174" s="13">
        <v>1544.0</v>
      </c>
      <c r="I1174" s="13">
        <v>0.0</v>
      </c>
      <c r="J1174" s="13">
        <v>4.0</v>
      </c>
      <c r="K1174" s="12" t="s">
        <v>21</v>
      </c>
      <c r="L1174" s="7">
        <v>40459.644282407404</v>
      </c>
      <c r="M1174" s="14" t="s">
        <v>2712</v>
      </c>
      <c r="N1174" s="14" t="s">
        <v>2713</v>
      </c>
      <c r="O1174" s="11" t="str">
        <f>HYPERLINK("https://pbs.twimg.com/profile_images/488749320749842432/Z9cOWJVg_normal.jpeg","View")</f>
        <v>View</v>
      </c>
      <c r="P1174" s="15"/>
    </row>
    <row r="1175">
      <c r="A1175" s="7">
        <v>42425.521157407406</v>
      </c>
      <c r="B1175" s="8" t="str">
        <f>HYPERLINK("https://twitter.com/emergya","@emergya")</f>
        <v>@emergya</v>
      </c>
      <c r="C1175" s="10" t="s">
        <v>2714</v>
      </c>
      <c r="D1175" s="10" t="s">
        <v>2715</v>
      </c>
      <c r="E1175" s="11" t="str">
        <f>HYPERLINK("https://twitter.com/emergya/status/702953830602907655","702953830602907655")</f>
        <v>702953830602907655</v>
      </c>
      <c r="F1175" s="12" t="s">
        <v>294</v>
      </c>
      <c r="G1175" s="13">
        <v>1975.0</v>
      </c>
      <c r="H1175" s="13">
        <v>1134.0</v>
      </c>
      <c r="I1175" s="13">
        <v>3.0</v>
      </c>
      <c r="J1175" s="13">
        <v>1.0</v>
      </c>
      <c r="K1175" s="12" t="s">
        <v>21</v>
      </c>
      <c r="L1175" s="7">
        <v>39576.16505787037</v>
      </c>
      <c r="M1175" s="14" t="s">
        <v>2716</v>
      </c>
      <c r="N1175" s="14" t="s">
        <v>2717</v>
      </c>
      <c r="O1175" s="11" t="str">
        <f>HYPERLINK("https://pbs.twimg.com/profile_images/469010761591713792/qraTovRF_normal.jpeg","View")</f>
        <v>View</v>
      </c>
      <c r="P1175" s="15"/>
    </row>
    <row r="1176">
      <c r="A1176" s="7">
        <v>42425.52217592593</v>
      </c>
      <c r="B1176" s="8" t="str">
        <f>HYPERLINK("https://twitter.com/livecodingtv","@livecodingtv")</f>
        <v>@livecodingtv</v>
      </c>
      <c r="C1176" s="9" t="s">
        <v>630</v>
      </c>
      <c r="D1176" s="10" t="s">
        <v>2718</v>
      </c>
      <c r="E1176" s="11" t="str">
        <f>HYPERLINK("https://twitter.com/livecodingtv/status/702954201307959296","702954201307959296")</f>
        <v>702954201307959296</v>
      </c>
      <c r="F1176" s="12" t="s">
        <v>20</v>
      </c>
      <c r="G1176" s="13">
        <v>4224.0</v>
      </c>
      <c r="H1176" s="13">
        <v>1766.0</v>
      </c>
      <c r="I1176" s="13">
        <v>0.0</v>
      </c>
      <c r="J1176" s="13">
        <v>1.0</v>
      </c>
      <c r="K1176" s="12" t="s">
        <v>21</v>
      </c>
      <c r="L1176" s="7">
        <v>41919.33319444444</v>
      </c>
      <c r="M1176" s="14" t="s">
        <v>69</v>
      </c>
      <c r="N1176" s="14" t="s">
        <v>633</v>
      </c>
      <c r="O1176" s="11" t="str">
        <f>HYPERLINK("https://pbs.twimg.com/profile_images/539451988929294337/hCieN16A_normal.png","View")</f>
        <v>View</v>
      </c>
      <c r="P1176" s="15"/>
    </row>
    <row r="1177">
      <c r="A1177" s="7">
        <v>42425.524409722224</v>
      </c>
      <c r="B1177" s="8" t="str">
        <f t="shared" ref="B1177:B1180" si="115">HYPERLINK("https://twitter.com/artwisanggeni","@artwisanggeni")</f>
        <v>@artwisanggeni</v>
      </c>
      <c r="C1177" s="10" t="s">
        <v>74</v>
      </c>
      <c r="D1177" s="10" t="s">
        <v>2719</v>
      </c>
      <c r="E1177" s="11" t="str">
        <f>HYPERLINK("https://twitter.com/artwisanggeni/status/702955011932729344","702955011932729344")</f>
        <v>702955011932729344</v>
      </c>
      <c r="F1177" s="17" t="s">
        <v>76</v>
      </c>
      <c r="G1177" s="13">
        <v>236.0</v>
      </c>
      <c r="H1177" s="13">
        <v>61.0</v>
      </c>
      <c r="I1177" s="13">
        <v>0.0</v>
      </c>
      <c r="J1177" s="13">
        <v>0.0</v>
      </c>
      <c r="K1177" s="12" t="s">
        <v>21</v>
      </c>
      <c r="L1177" s="7">
        <v>41218.90608796296</v>
      </c>
      <c r="M1177" s="14" t="s">
        <v>77</v>
      </c>
      <c r="N1177" s="14" t="s">
        <v>78</v>
      </c>
      <c r="O1177" s="11" t="str">
        <f t="shared" ref="O1177:O1180" si="116">HYPERLINK("https://pbs.twimg.com/profile_images/2813636657/599521f69e2bc210a57323b64d8e39e6_normal.jpeg","View")</f>
        <v>View</v>
      </c>
      <c r="P1177" s="15"/>
    </row>
    <row r="1178">
      <c r="A1178" s="7">
        <v>42425.5244212963</v>
      </c>
      <c r="B1178" s="8" t="str">
        <f t="shared" si="115"/>
        <v>@artwisanggeni</v>
      </c>
      <c r="C1178" s="10" t="s">
        <v>74</v>
      </c>
      <c r="D1178" s="10" t="s">
        <v>2720</v>
      </c>
      <c r="E1178" s="11" t="str">
        <f>HYPERLINK("https://twitter.com/artwisanggeni/status/702955016953303041","702955016953303041")</f>
        <v>702955016953303041</v>
      </c>
      <c r="F1178" s="17" t="s">
        <v>76</v>
      </c>
      <c r="G1178" s="13">
        <v>236.0</v>
      </c>
      <c r="H1178" s="13">
        <v>61.0</v>
      </c>
      <c r="I1178" s="13">
        <v>0.0</v>
      </c>
      <c r="J1178" s="13">
        <v>0.0</v>
      </c>
      <c r="K1178" s="12" t="s">
        <v>21</v>
      </c>
      <c r="L1178" s="7">
        <v>41218.90608796296</v>
      </c>
      <c r="M1178" s="14" t="s">
        <v>77</v>
      </c>
      <c r="N1178" s="14" t="s">
        <v>78</v>
      </c>
      <c r="O1178" s="11" t="str">
        <f t="shared" si="116"/>
        <v>View</v>
      </c>
      <c r="P1178" s="15"/>
    </row>
    <row r="1179">
      <c r="A1179" s="7">
        <v>42425.52443287037</v>
      </c>
      <c r="B1179" s="8" t="str">
        <f t="shared" si="115"/>
        <v>@artwisanggeni</v>
      </c>
      <c r="C1179" s="10" t="s">
        <v>74</v>
      </c>
      <c r="D1179" s="10" t="s">
        <v>2721</v>
      </c>
      <c r="E1179" s="11" t="str">
        <f>HYPERLINK("https://twitter.com/artwisanggeni/status/702955020434612224","702955020434612224")</f>
        <v>702955020434612224</v>
      </c>
      <c r="F1179" s="17" t="s">
        <v>76</v>
      </c>
      <c r="G1179" s="13">
        <v>236.0</v>
      </c>
      <c r="H1179" s="13">
        <v>61.0</v>
      </c>
      <c r="I1179" s="13">
        <v>0.0</v>
      </c>
      <c r="J1179" s="13">
        <v>0.0</v>
      </c>
      <c r="K1179" s="12" t="s">
        <v>21</v>
      </c>
      <c r="L1179" s="7">
        <v>41218.90608796296</v>
      </c>
      <c r="M1179" s="14" t="s">
        <v>77</v>
      </c>
      <c r="N1179" s="14" t="s">
        <v>78</v>
      </c>
      <c r="O1179" s="11" t="str">
        <f t="shared" si="116"/>
        <v>View</v>
      </c>
      <c r="P1179" s="15"/>
    </row>
    <row r="1180">
      <c r="A1180" s="7">
        <v>42425.52444444444</v>
      </c>
      <c r="B1180" s="8" t="str">
        <f t="shared" si="115"/>
        <v>@artwisanggeni</v>
      </c>
      <c r="C1180" s="10" t="s">
        <v>74</v>
      </c>
      <c r="D1180" s="10" t="s">
        <v>2722</v>
      </c>
      <c r="E1180" s="11" t="str">
        <f>HYPERLINK("https://twitter.com/artwisanggeni/status/702955023748042752","702955023748042752")</f>
        <v>702955023748042752</v>
      </c>
      <c r="F1180" s="17" t="s">
        <v>76</v>
      </c>
      <c r="G1180" s="13">
        <v>236.0</v>
      </c>
      <c r="H1180" s="13">
        <v>61.0</v>
      </c>
      <c r="I1180" s="13">
        <v>0.0</v>
      </c>
      <c r="J1180" s="13">
        <v>0.0</v>
      </c>
      <c r="K1180" s="12" t="s">
        <v>21</v>
      </c>
      <c r="L1180" s="7">
        <v>41218.90608796296</v>
      </c>
      <c r="M1180" s="14" t="s">
        <v>77</v>
      </c>
      <c r="N1180" s="14" t="s">
        <v>78</v>
      </c>
      <c r="O1180" s="11" t="str">
        <f t="shared" si="116"/>
        <v>View</v>
      </c>
      <c r="P1180" s="15"/>
    </row>
    <row r="1181">
      <c r="A1181" s="7">
        <v>42425.52447916666</v>
      </c>
      <c r="B1181" s="8" t="str">
        <f>HYPERLINK("https://twitter.com/lobsters","@lobsters")</f>
        <v>@lobsters</v>
      </c>
      <c r="C1181" s="10" t="s">
        <v>2723</v>
      </c>
      <c r="D1181" s="10" t="s">
        <v>2724</v>
      </c>
      <c r="E1181" s="11" t="str">
        <f>HYPERLINK("https://twitter.com/lobsters/status/702955036402327552","702955036402327552")</f>
        <v>702955036402327552</v>
      </c>
      <c r="F1181" s="12" t="s">
        <v>2725</v>
      </c>
      <c r="G1181" s="13">
        <v>1267.0</v>
      </c>
      <c r="H1181" s="13">
        <v>3.0</v>
      </c>
      <c r="I1181" s="13">
        <v>0.0</v>
      </c>
      <c r="J1181" s="13">
        <v>0.0</v>
      </c>
      <c r="K1181" s="12" t="s">
        <v>21</v>
      </c>
      <c r="L1181" s="7">
        <v>41133.55768518519</v>
      </c>
      <c r="M1181" s="16"/>
      <c r="N1181" s="14" t="s">
        <v>2726</v>
      </c>
      <c r="O1181" s="11" t="str">
        <f>HYPERLINK("https://pbs.twimg.com/profile_images/601409734768394240/jpOhhNOO_normal.png","View")</f>
        <v>View</v>
      </c>
      <c r="P1181" s="15"/>
    </row>
    <row r="1182">
      <c r="A1182" s="7">
        <v>42425.5253125</v>
      </c>
      <c r="B1182" s="8" t="str">
        <f>HYPERLINK("https://twitter.com/FrancescaMariaG","@FrancescaMariaG")</f>
        <v>@FrancescaMariaG</v>
      </c>
      <c r="C1182" s="10" t="s">
        <v>2727</v>
      </c>
      <c r="D1182" s="10" t="s">
        <v>2728</v>
      </c>
      <c r="E1182" s="11" t="str">
        <f>HYPERLINK("https://twitter.com/FrancescaMariaG/status/702955338333458432","702955338333458432")</f>
        <v>702955338333458432</v>
      </c>
      <c r="F1182" s="12" t="s">
        <v>450</v>
      </c>
      <c r="G1182" s="13">
        <v>12746.0</v>
      </c>
      <c r="H1182" s="13">
        <v>387.0</v>
      </c>
      <c r="I1182" s="13">
        <v>0.0</v>
      </c>
      <c r="J1182" s="13">
        <v>1.0</v>
      </c>
      <c r="K1182" s="12" t="s">
        <v>21</v>
      </c>
      <c r="L1182" s="7">
        <v>39887.54204861111</v>
      </c>
      <c r="M1182" s="14" t="s">
        <v>432</v>
      </c>
      <c r="N1182" s="14" t="s">
        <v>2729</v>
      </c>
      <c r="O1182" s="11" t="str">
        <f>HYPERLINK("https://pbs.twimg.com/profile_images/640258559419269120/2M5O7t7M_normal.jpg","View")</f>
        <v>View</v>
      </c>
      <c r="P1182" s="11" t="str">
        <f>HYPERLINK("http://ctrlq.org/maps/address/#25.78973351,-80.26927912","Map")</f>
        <v>Map</v>
      </c>
    </row>
    <row r="1183">
      <c r="A1183" s="7">
        <v>42425.52675925926</v>
      </c>
      <c r="B1183" s="8" t="str">
        <f>HYPERLINK("https://twitter.com/StackCodeReview","@StackCodeReview")</f>
        <v>@StackCodeReview</v>
      </c>
      <c r="C1183" s="10" t="s">
        <v>83</v>
      </c>
      <c r="D1183" s="10" t="s">
        <v>2730</v>
      </c>
      <c r="E1183" s="11" t="str">
        <f>HYPERLINK("https://twitter.com/StackCodeReview/status/702955863451914240","702955863451914240")</f>
        <v>702955863451914240</v>
      </c>
      <c r="F1183" s="12" t="s">
        <v>85</v>
      </c>
      <c r="G1183" s="13">
        <v>595.0</v>
      </c>
      <c r="H1183" s="13">
        <v>0.0</v>
      </c>
      <c r="I1183" s="13">
        <v>0.0</v>
      </c>
      <c r="J1183" s="13">
        <v>0.0</v>
      </c>
      <c r="K1183" s="12" t="s">
        <v>21</v>
      </c>
      <c r="L1183" s="7">
        <v>40562.104942129634</v>
      </c>
      <c r="M1183" s="14" t="s">
        <v>86</v>
      </c>
      <c r="N1183" s="14" t="s">
        <v>87</v>
      </c>
      <c r="O1183" s="11" t="str">
        <f>HYPERLINK("https://pbs.twimg.com/profile_images/669613362255282176/8iApenAA_normal.png","View")</f>
        <v>View</v>
      </c>
      <c r="P1183" s="15"/>
    </row>
    <row r="1184">
      <c r="A1184" s="7">
        <v>42425.5271875</v>
      </c>
      <c r="B1184" s="8" t="str">
        <f>HYPERLINK("https://twitter.com/whaleygeek","@whaleygeek")</f>
        <v>@whaleygeek</v>
      </c>
      <c r="C1184" s="10" t="s">
        <v>2731</v>
      </c>
      <c r="D1184" s="10" t="s">
        <v>2732</v>
      </c>
      <c r="E1184" s="11" t="str">
        <f>HYPERLINK("https://twitter.com/whaleygeek/status/702956019010371585","702956019010371585")</f>
        <v>702956019010371585</v>
      </c>
      <c r="F1184" s="12" t="s">
        <v>20</v>
      </c>
      <c r="G1184" s="13">
        <v>1866.0</v>
      </c>
      <c r="H1184" s="13">
        <v>859.0</v>
      </c>
      <c r="I1184" s="13">
        <v>0.0</v>
      </c>
      <c r="J1184" s="13">
        <v>4.0</v>
      </c>
      <c r="K1184" s="12" t="s">
        <v>21</v>
      </c>
      <c r="L1184" s="7">
        <v>39756.11898148148</v>
      </c>
      <c r="M1184" s="14" t="s">
        <v>2733</v>
      </c>
      <c r="N1184" s="14" t="s">
        <v>2734</v>
      </c>
      <c r="O1184" s="11" t="str">
        <f>HYPERLINK("https://pbs.twimg.com/profile_images/76151974/DavidWhaleProfilePicture_normal.jpg","View")</f>
        <v>View</v>
      </c>
      <c r="P1184" s="15"/>
    </row>
    <row r="1185">
      <c r="A1185" s="7">
        <v>42425.52810185185</v>
      </c>
      <c r="B1185" s="8" t="str">
        <f>HYPERLINK("https://twitter.com/WeCanCodeIT","@WeCanCodeIT")</f>
        <v>@WeCanCodeIT</v>
      </c>
      <c r="C1185" s="10" t="s">
        <v>2735</v>
      </c>
      <c r="D1185" s="10" t="s">
        <v>2736</v>
      </c>
      <c r="E1185" s="11" t="str">
        <f>HYPERLINK("https://twitter.com/WeCanCodeIT/status/702956348342996993","702956348342996993")</f>
        <v>702956348342996993</v>
      </c>
      <c r="F1185" s="12" t="s">
        <v>2737</v>
      </c>
      <c r="G1185" s="13">
        <v>1299.0</v>
      </c>
      <c r="H1185" s="13">
        <v>1395.0</v>
      </c>
      <c r="I1185" s="13">
        <v>0.0</v>
      </c>
      <c r="J1185" s="13">
        <v>4.0</v>
      </c>
      <c r="K1185" s="12" t="s">
        <v>21</v>
      </c>
      <c r="L1185" s="7">
        <v>41651.37594907408</v>
      </c>
      <c r="M1185" s="14" t="s">
        <v>2738</v>
      </c>
      <c r="N1185" s="14" t="s">
        <v>2739</v>
      </c>
      <c r="O1185" s="11" t="str">
        <f>HYPERLINK("https://pbs.twimg.com/profile_images/618784550311841792/2wCfJG5A_normal.png","View")</f>
        <v>View</v>
      </c>
      <c r="P1185" s="15"/>
    </row>
    <row r="1186">
      <c r="A1186" s="7">
        <v>42425.53028935185</v>
      </c>
      <c r="B1186" s="8" t="str">
        <f>HYPERLINK("https://twitter.com/cssdeck","@cssdeck")</f>
        <v>@cssdeck</v>
      </c>
      <c r="C1186" s="10" t="s">
        <v>2740</v>
      </c>
      <c r="D1186" s="10" t="s">
        <v>2741</v>
      </c>
      <c r="E1186" s="11" t="str">
        <f>HYPERLINK("https://twitter.com/cssdeck/status/702957141615886337","702957141615886337")</f>
        <v>702957141615886337</v>
      </c>
      <c r="F1186" s="12" t="s">
        <v>20</v>
      </c>
      <c r="G1186" s="13">
        <v>10261.0</v>
      </c>
      <c r="H1186" s="13">
        <v>5974.0</v>
      </c>
      <c r="I1186" s="13">
        <v>0.0</v>
      </c>
      <c r="J1186" s="13">
        <v>3.0</v>
      </c>
      <c r="K1186" s="12" t="s">
        <v>21</v>
      </c>
      <c r="L1186" s="7">
        <v>40868.13976851852</v>
      </c>
      <c r="M1186" s="16"/>
      <c r="N1186" s="14" t="s">
        <v>2742</v>
      </c>
      <c r="O1186" s="11" t="str">
        <f>HYPERLINK("https://pbs.twimg.com/profile_images/2450743953/kfc4z276frzqm6v1uoys_normal.png","View")</f>
        <v>View</v>
      </c>
      <c r="P1186" s="15"/>
    </row>
    <row r="1187">
      <c r="A1187" s="7">
        <v>42425.53229166666</v>
      </c>
      <c r="B1187" s="8" t="str">
        <f>HYPERLINK("https://twitter.com/WebScraperDB","@WebScraperDB")</f>
        <v>@WebScraperDB</v>
      </c>
      <c r="C1187" s="10" t="s">
        <v>2743</v>
      </c>
      <c r="D1187" s="10" t="s">
        <v>2744</v>
      </c>
      <c r="E1187" s="11" t="str">
        <f>HYPERLINK("https://twitter.com/WebScraperDB/status/702957868589441024","702957868589441024")</f>
        <v>702957868589441024</v>
      </c>
      <c r="F1187" s="12" t="s">
        <v>2743</v>
      </c>
      <c r="G1187" s="13">
        <v>298.0</v>
      </c>
      <c r="H1187" s="13">
        <v>927.0</v>
      </c>
      <c r="I1187" s="13">
        <v>0.0</v>
      </c>
      <c r="J1187" s="13">
        <v>1.0</v>
      </c>
      <c r="K1187" s="12" t="s">
        <v>21</v>
      </c>
      <c r="L1187" s="7">
        <v>42410.33493055556</v>
      </c>
      <c r="M1187" s="14" t="s">
        <v>2745</v>
      </c>
      <c r="N1187" s="14" t="s">
        <v>2746</v>
      </c>
      <c r="O1187" s="11" t="str">
        <f>HYPERLINK("https://pbs.twimg.com/profile_images/699545598450606080/s8CU8cVg_normal.png","View")</f>
        <v>View</v>
      </c>
      <c r="P1187" s="15"/>
    </row>
    <row r="1188">
      <c r="A1188" s="7">
        <v>42425.53328703703</v>
      </c>
      <c r="B1188" s="8" t="str">
        <f>HYPERLINK("https://twitter.com/joonoopenstory","@joonoopenstory")</f>
        <v>@joonoopenstory</v>
      </c>
      <c r="C1188" s="10" t="s">
        <v>2747</v>
      </c>
      <c r="D1188" s="10" t="s">
        <v>2748</v>
      </c>
      <c r="E1188" s="11" t="str">
        <f>HYPERLINK("https://twitter.com/joonoopenstory/status/702958229051977729","702958229051977729")</f>
        <v>702958229051977729</v>
      </c>
      <c r="F1188" s="17" t="s">
        <v>2749</v>
      </c>
      <c r="G1188" s="13">
        <v>2478.0</v>
      </c>
      <c r="H1188" s="13">
        <v>2435.0</v>
      </c>
      <c r="I1188" s="13">
        <v>0.0</v>
      </c>
      <c r="J1188" s="13">
        <v>0.0</v>
      </c>
      <c r="K1188" s="12" t="s">
        <v>21</v>
      </c>
      <c r="L1188" s="7">
        <v>41385.88618055556</v>
      </c>
      <c r="M1188" s="16"/>
      <c r="N1188" s="14" t="s">
        <v>2750</v>
      </c>
      <c r="O1188" s="11" t="str">
        <f>HYPERLINK("https://pbs.twimg.com/profile_images/485962916626067456/IlECTKMq_normal.jpeg","View")</f>
        <v>View</v>
      </c>
      <c r="P1188" s="15"/>
    </row>
    <row r="1189">
      <c r="A1189" s="7">
        <v>42425.5337037037</v>
      </c>
      <c r="B1189" s="8" t="str">
        <f>HYPERLINK("https://twitter.com/LillianEdmiston","@LillianEdmiston")</f>
        <v>@LillianEdmiston</v>
      </c>
      <c r="C1189" s="10" t="s">
        <v>170</v>
      </c>
      <c r="D1189" s="10" t="s">
        <v>2751</v>
      </c>
      <c r="E1189" s="11" t="str">
        <f>HYPERLINK("https://twitter.com/LillianEdmiston/status/702958377090097153","702958377090097153")</f>
        <v>702958377090097153</v>
      </c>
      <c r="F1189" s="12" t="s">
        <v>103</v>
      </c>
      <c r="G1189" s="13">
        <v>1050.0</v>
      </c>
      <c r="H1189" s="13">
        <v>40.0</v>
      </c>
      <c r="I1189" s="13">
        <v>0.0</v>
      </c>
      <c r="J1189" s="13">
        <v>0.0</v>
      </c>
      <c r="K1189" s="12" t="s">
        <v>21</v>
      </c>
      <c r="L1189" s="7">
        <v>42293.27416666667</v>
      </c>
      <c r="M1189" s="14" t="s">
        <v>172</v>
      </c>
      <c r="N1189" s="14" t="s">
        <v>173</v>
      </c>
      <c r="O1189" s="11" t="str">
        <f>HYPERLINK("https://pbs.twimg.com/profile_images/655014978101993476/ZpsnJW8B_normal.jpg","View")</f>
        <v>View</v>
      </c>
      <c r="P1189" s="15"/>
    </row>
    <row r="1190">
      <c r="A1190" s="7">
        <v>42425.53466435186</v>
      </c>
      <c r="B1190" s="8" t="str">
        <f>HYPERLINK("https://twitter.com/thought_module","@thought_module")</f>
        <v>@thought_module</v>
      </c>
      <c r="C1190" s="10" t="s">
        <v>2752</v>
      </c>
      <c r="D1190" s="10" t="s">
        <v>2753</v>
      </c>
      <c r="E1190" s="11" t="str">
        <f>HYPERLINK("https://twitter.com/thought_module/status/702958725871616000","702958725871616000")</f>
        <v>702958725871616000</v>
      </c>
      <c r="F1190" s="12" t="s">
        <v>20</v>
      </c>
      <c r="G1190" s="13">
        <v>325.0</v>
      </c>
      <c r="H1190" s="13">
        <v>417.0</v>
      </c>
      <c r="I1190" s="13">
        <v>0.0</v>
      </c>
      <c r="J1190" s="13">
        <v>1.0</v>
      </c>
      <c r="K1190" s="12" t="s">
        <v>21</v>
      </c>
      <c r="L1190" s="7">
        <v>42215.49020833333</v>
      </c>
      <c r="M1190" s="16"/>
      <c r="N1190" s="16"/>
      <c r="O1190" s="11" t="str">
        <f>HYPERLINK("https://pbs.twimg.com/profile_images/695309999090716672/EOC02zPz_normal.jpg","View")</f>
        <v>View</v>
      </c>
      <c r="P1190" s="15"/>
    </row>
    <row r="1191">
      <c r="A1191" s="7">
        <v>42425.53508101852</v>
      </c>
      <c r="B1191" s="8" t="str">
        <f>HYPERLINK("https://twitter.com/climboid","@climboid")</f>
        <v>@climboid</v>
      </c>
      <c r="C1191" s="10" t="s">
        <v>2754</v>
      </c>
      <c r="D1191" s="10" t="s">
        <v>2612</v>
      </c>
      <c r="E1191" s="11" t="str">
        <f>HYPERLINK("https://twitter.com/climboid/status/702958879584477184","702958879584477184")</f>
        <v>702958879584477184</v>
      </c>
      <c r="F1191" s="12" t="s">
        <v>98</v>
      </c>
      <c r="G1191" s="13">
        <v>262.0</v>
      </c>
      <c r="H1191" s="13">
        <v>311.0</v>
      </c>
      <c r="I1191" s="13">
        <v>5.0</v>
      </c>
      <c r="J1191" s="13">
        <v>0.0</v>
      </c>
      <c r="K1191" s="12" t="s">
        <v>21</v>
      </c>
      <c r="L1191" s="7">
        <v>40493.50880787037</v>
      </c>
      <c r="M1191" s="14" t="s">
        <v>2755</v>
      </c>
      <c r="N1191" s="14" t="s">
        <v>2756</v>
      </c>
      <c r="O1191" s="11" t="str">
        <f>HYPERLINK("https://pbs.twimg.com/profile_images/641946934924603392/Y6ToFzSP_normal.jpg","View")</f>
        <v>View</v>
      </c>
      <c r="P1191" s="15"/>
    </row>
    <row r="1192">
      <c r="A1192" s="7">
        <v>42425.5362962963</v>
      </c>
      <c r="B1192" s="8" t="str">
        <f>HYPERLINK("https://twitter.com/livecodingtv","@livecodingtv")</f>
        <v>@livecodingtv</v>
      </c>
      <c r="C1192" s="9" t="s">
        <v>630</v>
      </c>
      <c r="D1192" s="10" t="s">
        <v>2757</v>
      </c>
      <c r="E1192" s="11" t="str">
        <f>HYPERLINK("https://twitter.com/livecodingtv/status/702959318354624512","702959318354624512")</f>
        <v>702959318354624512</v>
      </c>
      <c r="F1192" s="12" t="s">
        <v>20</v>
      </c>
      <c r="G1192" s="13">
        <v>4224.0</v>
      </c>
      <c r="H1192" s="13">
        <v>1766.0</v>
      </c>
      <c r="I1192" s="13">
        <v>1.0</v>
      </c>
      <c r="J1192" s="13">
        <v>1.0</v>
      </c>
      <c r="K1192" s="12" t="s">
        <v>21</v>
      </c>
      <c r="L1192" s="7">
        <v>41919.33319444444</v>
      </c>
      <c r="M1192" s="14" t="s">
        <v>69</v>
      </c>
      <c r="N1192" s="14" t="s">
        <v>633</v>
      </c>
      <c r="O1192" s="11" t="str">
        <f>HYPERLINK("https://pbs.twimg.com/profile_images/539451988929294337/hCieN16A_normal.png","View")</f>
        <v>View</v>
      </c>
      <c r="P1192" s="15"/>
    </row>
    <row r="1193">
      <c r="A1193" s="7">
        <v>42425.536631944444</v>
      </c>
      <c r="B1193" s="8" t="str">
        <f>HYPERLINK("https://twitter.com/IndieGameDevBot","@IndieGameDevBot")</f>
        <v>@IndieGameDevBot</v>
      </c>
      <c r="C1193" s="10" t="s">
        <v>2460</v>
      </c>
      <c r="D1193" s="10" t="s">
        <v>2758</v>
      </c>
      <c r="E1193" s="11" t="str">
        <f>HYPERLINK("https://twitter.com/IndieGameDevBot/status/702959441063370752","702959441063370752")</f>
        <v>702959441063370752</v>
      </c>
      <c r="F1193" s="12" t="s">
        <v>2462</v>
      </c>
      <c r="G1193" s="13">
        <v>20955.0</v>
      </c>
      <c r="H1193" s="13">
        <v>5699.0</v>
      </c>
      <c r="I1193" s="13">
        <v>1.0</v>
      </c>
      <c r="J1193" s="13">
        <v>0.0</v>
      </c>
      <c r="K1193" s="12" t="s">
        <v>21</v>
      </c>
      <c r="L1193" s="7">
        <v>41927.697488425925</v>
      </c>
      <c r="M1193" s="16"/>
      <c r="N1193" s="14" t="s">
        <v>2463</v>
      </c>
      <c r="O1193" s="11" t="str">
        <f>HYPERLINK("https://pbs.twimg.com/profile_images/522536769502195712/cG1yitHo_normal.jpeg","View")</f>
        <v>View</v>
      </c>
      <c r="P1193" s="15"/>
    </row>
    <row r="1194">
      <c r="A1194" s="7">
        <v>42425.53753472222</v>
      </c>
      <c r="B1194" s="8" t="str">
        <f>HYPERLINK("https://twitter.com/FLFLElGeniena","@FLFLElGeniena")</f>
        <v>@FLFLElGeniena</v>
      </c>
      <c r="C1194" s="10" t="s">
        <v>2759</v>
      </c>
      <c r="D1194" s="10" t="s">
        <v>2760</v>
      </c>
      <c r="E1194" s="11" t="str">
        <f>HYPERLINK("https://twitter.com/FLFLElGeniena/status/702959767141146625","702959767141146625")</f>
        <v>702959767141146625</v>
      </c>
      <c r="F1194" s="12" t="s">
        <v>450</v>
      </c>
      <c r="G1194" s="13">
        <v>23.0</v>
      </c>
      <c r="H1194" s="13">
        <v>114.0</v>
      </c>
      <c r="I1194" s="13">
        <v>0.0</v>
      </c>
      <c r="J1194" s="13">
        <v>0.0</v>
      </c>
      <c r="K1194" s="12" t="s">
        <v>21</v>
      </c>
      <c r="L1194" s="7">
        <v>42061.5825462963</v>
      </c>
      <c r="M1194" s="16"/>
      <c r="N1194" s="14" t="s">
        <v>2761</v>
      </c>
      <c r="O1194" s="11" t="str">
        <f>HYPERLINK("https://pbs.twimg.com/profile_images/688688222864539648/0k4Ms9HP_normal.jpg","View")</f>
        <v>View</v>
      </c>
      <c r="P1194" s="15"/>
    </row>
    <row r="1195">
      <c r="A1195" s="7">
        <v>42425.53865740741</v>
      </c>
      <c r="B1195" s="8" t="str">
        <f>HYPERLINK("https://twitter.com/importpython","@importpython")</f>
        <v>@importpython</v>
      </c>
      <c r="C1195" s="10" t="s">
        <v>2536</v>
      </c>
      <c r="D1195" s="10" t="s">
        <v>2762</v>
      </c>
      <c r="E1195" s="11" t="str">
        <f>HYPERLINK("https://twitter.com/importpython/status/702960171903922176","702960171903922176")</f>
        <v>702960171903922176</v>
      </c>
      <c r="F1195" s="12" t="s">
        <v>2538</v>
      </c>
      <c r="G1195" s="13">
        <v>1603.0</v>
      </c>
      <c r="H1195" s="13">
        <v>498.0</v>
      </c>
      <c r="I1195" s="13">
        <v>2.0</v>
      </c>
      <c r="J1195" s="13">
        <v>2.0</v>
      </c>
      <c r="K1195" s="12" t="s">
        <v>21</v>
      </c>
      <c r="L1195" s="7">
        <v>41912.04583333334</v>
      </c>
      <c r="M1195" s="14" t="s">
        <v>432</v>
      </c>
      <c r="N1195" s="14" t="s">
        <v>2539</v>
      </c>
      <c r="O1195" s="11" t="str">
        <f>HYPERLINK("https://pbs.twimg.com/profile_images/518108253121552384/ClpFqPbX_normal.png","View")</f>
        <v>View</v>
      </c>
      <c r="P1195" s="15"/>
    </row>
    <row r="1196">
      <c r="A1196" s="7">
        <v>42425.53929398148</v>
      </c>
      <c r="B1196" s="8" t="str">
        <f>HYPERLINK("https://twitter.com/pjd0014","@pjd0014")</f>
        <v>@pjd0014</v>
      </c>
      <c r="C1196" s="10" t="s">
        <v>2763</v>
      </c>
      <c r="D1196" s="10" t="s">
        <v>2764</v>
      </c>
      <c r="E1196" s="11" t="str">
        <f>HYPERLINK("https://twitter.com/pjd0014/status/702960403396096000","702960403396096000")</f>
        <v>702960403396096000</v>
      </c>
      <c r="F1196" s="12" t="s">
        <v>20</v>
      </c>
      <c r="G1196" s="13">
        <v>211.0</v>
      </c>
      <c r="H1196" s="13">
        <v>267.0</v>
      </c>
      <c r="I1196" s="13">
        <v>0.0</v>
      </c>
      <c r="J1196" s="13">
        <v>0.0</v>
      </c>
      <c r="K1196" s="12" t="s">
        <v>21</v>
      </c>
      <c r="L1196" s="7">
        <v>40632.32915509259</v>
      </c>
      <c r="M1196" s="16"/>
      <c r="N1196" s="14" t="s">
        <v>2765</v>
      </c>
      <c r="O1196" s="11" t="str">
        <f>HYPERLINK("https://pbs.twimg.com/profile_images/701156692193628160/p8mhO9e4_normal.jpg","View")</f>
        <v>View</v>
      </c>
      <c r="P1196" s="15"/>
    </row>
    <row r="1197">
      <c r="A1197" s="7">
        <v>42425.54078703704</v>
      </c>
      <c r="B1197" s="8" t="str">
        <f>HYPERLINK("https://twitter.com/jvorhauer","@jvorhauer")</f>
        <v>@jvorhauer</v>
      </c>
      <c r="C1197" s="10" t="s">
        <v>2766</v>
      </c>
      <c r="D1197" s="10" t="s">
        <v>1006</v>
      </c>
      <c r="E1197" s="11" t="str">
        <f>HYPERLINK("https://twitter.com/jvorhauer/status/702960943660187648","702960943660187648")</f>
        <v>702960943660187648</v>
      </c>
      <c r="F1197" s="12" t="s">
        <v>52</v>
      </c>
      <c r="G1197" s="13">
        <v>366.0</v>
      </c>
      <c r="H1197" s="13">
        <v>357.0</v>
      </c>
      <c r="I1197" s="13">
        <v>2.0</v>
      </c>
      <c r="J1197" s="13">
        <v>0.0</v>
      </c>
      <c r="K1197" s="12" t="s">
        <v>21</v>
      </c>
      <c r="L1197" s="7">
        <v>40275.98125</v>
      </c>
      <c r="M1197" s="14" t="s">
        <v>2767</v>
      </c>
      <c r="N1197" s="14" t="s">
        <v>2768</v>
      </c>
      <c r="O1197" s="11" t="str">
        <f>HYPERLINK("https://pbs.twimg.com/profile_images/615432611071172608/Tpj3Ml2__normal.jpg","View")</f>
        <v>View</v>
      </c>
      <c r="P1197" s="15"/>
    </row>
    <row r="1198">
      <c r="A1198" s="7">
        <v>42425.54105324074</v>
      </c>
      <c r="B1198" s="8" t="str">
        <f>HYPERLINK("https://twitter.com/tonyjiazihu","@tonyjiazihu")</f>
        <v>@tonyjiazihu</v>
      </c>
      <c r="C1198" s="10" t="s">
        <v>2769</v>
      </c>
      <c r="D1198" s="10" t="s">
        <v>2770</v>
      </c>
      <c r="E1198" s="11" t="str">
        <f>HYPERLINK("https://twitter.com/tonyjiazihu/status/702961040720535552","702961040720535552")</f>
        <v>702961040720535552</v>
      </c>
      <c r="F1198" s="12" t="s">
        <v>20</v>
      </c>
      <c r="G1198" s="13">
        <v>320.0</v>
      </c>
      <c r="H1198" s="13">
        <v>139.0</v>
      </c>
      <c r="I1198" s="13">
        <v>0.0</v>
      </c>
      <c r="J1198" s="13">
        <v>0.0</v>
      </c>
      <c r="K1198" s="12" t="s">
        <v>21</v>
      </c>
      <c r="L1198" s="7">
        <v>41767.48699074074</v>
      </c>
      <c r="M1198" s="14" t="s">
        <v>2771</v>
      </c>
      <c r="N1198" s="14" t="s">
        <v>2772</v>
      </c>
      <c r="O1198" s="11" t="str">
        <f>HYPERLINK("https://pbs.twimg.com/profile_images/701948459092410370/M-Rhg5_z_normal.jpg","View")</f>
        <v>View</v>
      </c>
      <c r="P1198" s="15"/>
    </row>
    <row r="1199">
      <c r="A1199" s="7">
        <v>42425.541550925926</v>
      </c>
      <c r="B1199" s="8" t="str">
        <f>HYPERLINK("https://twitter.com/shakamunyi","@shakamunyi")</f>
        <v>@shakamunyi</v>
      </c>
      <c r="C1199" s="10" t="s">
        <v>2773</v>
      </c>
      <c r="D1199" s="10" t="s">
        <v>2774</v>
      </c>
      <c r="E1199" s="11" t="str">
        <f>HYPERLINK("https://twitter.com/shakamunyi/status/702961222224900096","702961222224900096")</f>
        <v>702961222224900096</v>
      </c>
      <c r="F1199" s="12" t="s">
        <v>38</v>
      </c>
      <c r="G1199" s="13">
        <v>1863.0</v>
      </c>
      <c r="H1199" s="13">
        <v>1075.0</v>
      </c>
      <c r="I1199" s="13">
        <v>2.0</v>
      </c>
      <c r="J1199" s="13">
        <v>0.0</v>
      </c>
      <c r="K1199" s="12" t="s">
        <v>21</v>
      </c>
      <c r="L1199" s="7">
        <v>41726.41787037037</v>
      </c>
      <c r="M1199" s="14" t="s">
        <v>2775</v>
      </c>
      <c r="N1199" s="14" t="s">
        <v>2776</v>
      </c>
      <c r="O1199" s="11" t="str">
        <f>HYPERLINK("https://pbs.twimg.com/profile_images/598640478657978368/PgSHeCsJ_normal.jpg","View")</f>
        <v>View</v>
      </c>
      <c r="P1199" s="15"/>
    </row>
    <row r="1200">
      <c r="A1200" s="7">
        <v>42425.54170138889</v>
      </c>
      <c r="B1200" s="8" t="str">
        <f>HYPERLINK("https://twitter.com/ContinuumIO","@ContinuumIO")</f>
        <v>@ContinuumIO</v>
      </c>
      <c r="C1200" s="10" t="s">
        <v>2020</v>
      </c>
      <c r="D1200" s="10" t="s">
        <v>2777</v>
      </c>
      <c r="E1200" s="11" t="str">
        <f>HYPERLINK("https://twitter.com/ContinuumIO/status/702961279082737665","702961279082737665")</f>
        <v>702961279082737665</v>
      </c>
      <c r="F1200" s="12" t="s">
        <v>47</v>
      </c>
      <c r="G1200" s="13">
        <v>9548.0</v>
      </c>
      <c r="H1200" s="13">
        <v>1427.0</v>
      </c>
      <c r="I1200" s="13">
        <v>4.0</v>
      </c>
      <c r="J1200" s="13">
        <v>8.0</v>
      </c>
      <c r="K1200" s="12" t="s">
        <v>21</v>
      </c>
      <c r="L1200" s="7">
        <v>40841.34633101852</v>
      </c>
      <c r="M1200" s="14" t="s">
        <v>2022</v>
      </c>
      <c r="N1200" s="14" t="s">
        <v>2023</v>
      </c>
      <c r="O1200" s="11" t="str">
        <f>HYPERLINK("https://pbs.twimg.com/profile_images/624030560457850880/17LrFnZt_normal.png","View")</f>
        <v>View</v>
      </c>
      <c r="P1200" s="15"/>
    </row>
    <row r="1201">
      <c r="A1201" s="7">
        <v>42425.54174768519</v>
      </c>
      <c r="B1201" s="8" t="str">
        <f>HYPERLINK("https://twitter.com/DailyTechVideo","@DailyTechVideo")</f>
        <v>@DailyTechVideo</v>
      </c>
      <c r="C1201" s="10" t="s">
        <v>2778</v>
      </c>
      <c r="D1201" s="10" t="s">
        <v>2779</v>
      </c>
      <c r="E1201" s="11" t="str">
        <f>HYPERLINK("https://twitter.com/DailyTechVideo/status/702961295776059392","702961295776059392")</f>
        <v>702961295776059392</v>
      </c>
      <c r="F1201" s="17" t="s">
        <v>349</v>
      </c>
      <c r="G1201" s="13">
        <v>288.0</v>
      </c>
      <c r="H1201" s="13">
        <v>370.0</v>
      </c>
      <c r="I1201" s="13">
        <v>2.0</v>
      </c>
      <c r="J1201" s="13">
        <v>1.0</v>
      </c>
      <c r="K1201" s="12" t="s">
        <v>21</v>
      </c>
      <c r="L1201" s="7">
        <v>41952.154131944444</v>
      </c>
      <c r="M1201" s="14" t="s">
        <v>1213</v>
      </c>
      <c r="N1201" s="14" t="s">
        <v>2780</v>
      </c>
      <c r="O1201" s="11" t="str">
        <f>HYPERLINK("https://pbs.twimg.com/profile_images/619272597272858624/apZfgyGV_normal.png","View")</f>
        <v>View</v>
      </c>
      <c r="P1201" s="15"/>
    </row>
    <row r="1202">
      <c r="A1202" s="7">
        <v>42425.54200231482</v>
      </c>
      <c r="B1202" s="8" t="str">
        <f>HYPERLINK("https://twitter.com/newsafaribooks","@newsafaribooks")</f>
        <v>@newsafaribooks</v>
      </c>
      <c r="C1202" s="10" t="s">
        <v>2781</v>
      </c>
      <c r="D1202" s="10" t="s">
        <v>2782</v>
      </c>
      <c r="E1202" s="11" t="str">
        <f>HYPERLINK("https://twitter.com/newsafaribooks/status/702961387392208896","702961387392208896")</f>
        <v>702961387392208896</v>
      </c>
      <c r="F1202" s="12" t="s">
        <v>2783</v>
      </c>
      <c r="G1202" s="13">
        <v>18.0</v>
      </c>
      <c r="H1202" s="13">
        <v>8.0</v>
      </c>
      <c r="I1202" s="13">
        <v>1.0</v>
      </c>
      <c r="J1202" s="13">
        <v>0.0</v>
      </c>
      <c r="K1202" s="12" t="s">
        <v>21</v>
      </c>
      <c r="L1202" s="7">
        <v>42341.03934027778</v>
      </c>
      <c r="M1202" s="16"/>
      <c r="N1202" s="14" t="s">
        <v>2784</v>
      </c>
      <c r="O1202" s="11" t="str">
        <f>HYPERLINK("https://pbs.twimg.com/profile_images/672348497442684928/qlc4WOPj_normal.jpg","View")</f>
        <v>View</v>
      </c>
      <c r="P1202" s="15"/>
    </row>
    <row r="1203">
      <c r="A1203" s="7">
        <v>42425.54241898148</v>
      </c>
      <c r="B1203" s="8" t="str">
        <f>HYPERLINK("https://twitter.com/cool_python","@cool_python")</f>
        <v>@cool_python</v>
      </c>
      <c r="C1203" s="10" t="s">
        <v>249</v>
      </c>
      <c r="D1203" s="10" t="s">
        <v>2785</v>
      </c>
      <c r="E1203" s="11" t="str">
        <f>HYPERLINK("https://twitter.com/cool_python/status/702961536856416256","702961536856416256")</f>
        <v>702961536856416256</v>
      </c>
      <c r="F1203" s="12" t="s">
        <v>251</v>
      </c>
      <c r="G1203" s="13">
        <v>235.0</v>
      </c>
      <c r="H1203" s="13">
        <v>91.0</v>
      </c>
      <c r="I1203" s="13">
        <v>2.0</v>
      </c>
      <c r="J1203" s="13">
        <v>0.0</v>
      </c>
      <c r="K1203" s="12" t="s">
        <v>21</v>
      </c>
      <c r="L1203" s="7">
        <v>42064.325</v>
      </c>
      <c r="M1203" s="14" t="s">
        <v>252</v>
      </c>
      <c r="N1203" s="14" t="s">
        <v>253</v>
      </c>
      <c r="O1203" s="11" t="str">
        <f>HYPERLINK("https://pbs.twimg.com/profile_images/572091631055028224/Pkx__FSB_normal.png","View")</f>
        <v>View</v>
      </c>
      <c r="P1203" s="15"/>
    </row>
    <row r="1204">
      <c r="A1204" s="7">
        <v>42425.54277777778</v>
      </c>
      <c r="B1204" s="8" t="str">
        <f>HYPERLINK("https://twitter.com/rakran1985","@rakran1985")</f>
        <v>@rakran1985</v>
      </c>
      <c r="C1204" s="10" t="s">
        <v>2786</v>
      </c>
      <c r="D1204" s="10" t="s">
        <v>2787</v>
      </c>
      <c r="E1204" s="11" t="str">
        <f>HYPERLINK("https://twitter.com/rakran1985/status/702961666409963520","702961666409963520")</f>
        <v>702961666409963520</v>
      </c>
      <c r="F1204" s="12" t="s">
        <v>164</v>
      </c>
      <c r="G1204" s="13">
        <v>854.0</v>
      </c>
      <c r="H1204" s="13">
        <v>1429.0</v>
      </c>
      <c r="I1204" s="13">
        <v>0.0</v>
      </c>
      <c r="J1204" s="13">
        <v>1.0</v>
      </c>
      <c r="K1204" s="12" t="s">
        <v>21</v>
      </c>
      <c r="L1204" s="7">
        <v>42107.180347222224</v>
      </c>
      <c r="M1204" s="14" t="s">
        <v>1877</v>
      </c>
      <c r="N1204" s="14" t="s">
        <v>2788</v>
      </c>
      <c r="O1204" s="11" t="str">
        <f>HYPERLINK("https://pbs.twimg.com/profile_images/588355105855963136/BRSWymff_normal.jpg","View")</f>
        <v>View</v>
      </c>
      <c r="P1204" s="15"/>
    </row>
    <row r="1205">
      <c r="A1205" s="7">
        <v>42425.54347222223</v>
      </c>
      <c r="B1205" s="8" t="str">
        <f>HYPERLINK("https://twitter.com/guadatech","@guadatech")</f>
        <v>@guadatech</v>
      </c>
      <c r="C1205" s="10" t="s">
        <v>2789</v>
      </c>
      <c r="D1205" s="10" t="s">
        <v>2790</v>
      </c>
      <c r="E1205" s="11" t="str">
        <f>HYPERLINK("https://twitter.com/guadatech/status/702961917527236609","702961917527236609")</f>
        <v>702961917527236609</v>
      </c>
      <c r="F1205" s="12" t="s">
        <v>20</v>
      </c>
      <c r="G1205" s="13">
        <v>407.0</v>
      </c>
      <c r="H1205" s="13">
        <v>807.0</v>
      </c>
      <c r="I1205" s="13">
        <v>0.0</v>
      </c>
      <c r="J1205" s="13">
        <v>1.0</v>
      </c>
      <c r="K1205" s="12" t="s">
        <v>21</v>
      </c>
      <c r="L1205" s="7">
        <v>41653.2139699074</v>
      </c>
      <c r="M1205" s="16"/>
      <c r="N1205" s="14" t="s">
        <v>2791</v>
      </c>
      <c r="O1205" s="11" t="str">
        <f>HYPERLINK("https://pbs.twimg.com/profile_images/667276356091289600/JZ_Xndcs_normal.jpg","View")</f>
        <v>View</v>
      </c>
      <c r="P1205" s="15"/>
    </row>
    <row r="1206">
      <c r="A1206" s="7">
        <v>42425.544062500005</v>
      </c>
      <c r="B1206" s="8" t="str">
        <f>HYPERLINK("https://twitter.com/homeAInews","@homeAInews")</f>
        <v>@homeAInews</v>
      </c>
      <c r="C1206" s="10" t="s">
        <v>136</v>
      </c>
      <c r="D1206" s="10" t="s">
        <v>2774</v>
      </c>
      <c r="E1206" s="11" t="str">
        <f>HYPERLINK("https://twitter.com/homeAInews/status/702962132061650944","702962132061650944")</f>
        <v>702962132061650944</v>
      </c>
      <c r="F1206" s="12" t="s">
        <v>38</v>
      </c>
      <c r="G1206" s="13">
        <v>307.0</v>
      </c>
      <c r="H1206" s="13">
        <v>0.0</v>
      </c>
      <c r="I1206" s="13">
        <v>2.0</v>
      </c>
      <c r="J1206" s="13">
        <v>0.0</v>
      </c>
      <c r="K1206" s="12" t="s">
        <v>21</v>
      </c>
      <c r="L1206" s="7">
        <v>42264.53649305555</v>
      </c>
      <c r="M1206" s="16"/>
      <c r="N1206" s="14" t="s">
        <v>138</v>
      </c>
      <c r="O1206" s="11" t="str">
        <f>HYPERLINK("https://pbs.twimg.com/profile_images/669260981319704576/H1vV6FFm_normal.png","View")</f>
        <v>View</v>
      </c>
      <c r="P1206" s="15"/>
    </row>
    <row r="1207">
      <c r="A1207" s="7">
        <v>42425.54493055555</v>
      </c>
      <c r="B1207" s="8" t="str">
        <f>HYPERLINK("https://twitter.com/bmurph15","@bmurph15")</f>
        <v>@bmurph15</v>
      </c>
      <c r="C1207" s="10" t="s">
        <v>2792</v>
      </c>
      <c r="D1207" s="10" t="s">
        <v>2793</v>
      </c>
      <c r="E1207" s="11" t="str">
        <f>HYPERLINK("https://twitter.com/bmurph15/status/702962448878403584","702962448878403584")</f>
        <v>702962448878403584</v>
      </c>
      <c r="F1207" s="12" t="s">
        <v>20</v>
      </c>
      <c r="G1207" s="13">
        <v>28.0</v>
      </c>
      <c r="H1207" s="13">
        <v>41.0</v>
      </c>
      <c r="I1207" s="13">
        <v>3.0</v>
      </c>
      <c r="J1207" s="13">
        <v>5.0</v>
      </c>
      <c r="K1207" s="12" t="s">
        <v>21</v>
      </c>
      <c r="L1207" s="7">
        <v>40625.47238425926</v>
      </c>
      <c r="M1207" s="14" t="s">
        <v>2794</v>
      </c>
      <c r="N1207" s="14" t="s">
        <v>2795</v>
      </c>
      <c r="O1207" s="11" t="str">
        <f>HYPERLINK("https://pbs.twimg.com/profile_images/689874723702845440/ah6BbCZd_normal.jpg","View")</f>
        <v>View</v>
      </c>
      <c r="P1207" s="15"/>
    </row>
    <row r="1208">
      <c r="A1208" s="7">
        <v>42425.544953703706</v>
      </c>
      <c r="B1208" s="8" t="str">
        <f>HYPERLINK("https://twitter.com/sentiwire","@sentiwire")</f>
        <v>@sentiwire</v>
      </c>
      <c r="C1208" s="10" t="s">
        <v>381</v>
      </c>
      <c r="D1208" s="10" t="s">
        <v>2796</v>
      </c>
      <c r="E1208" s="11" t="str">
        <f>HYPERLINK("https://twitter.com/sentiwire/status/702962453638836224","702962453638836224")</f>
        <v>702962453638836224</v>
      </c>
      <c r="F1208" s="12" t="s">
        <v>383</v>
      </c>
      <c r="G1208" s="13">
        <v>515.0</v>
      </c>
      <c r="H1208" s="13">
        <v>1716.0</v>
      </c>
      <c r="I1208" s="13">
        <v>3.0</v>
      </c>
      <c r="J1208" s="13">
        <v>0.0</v>
      </c>
      <c r="K1208" s="12" t="s">
        <v>21</v>
      </c>
      <c r="L1208" s="7">
        <v>41422.629641203705</v>
      </c>
      <c r="M1208" s="16"/>
      <c r="N1208" s="14" t="s">
        <v>384</v>
      </c>
      <c r="O1208" s="11" t="str">
        <f>HYPERLINK("https://pbs.twimg.com/profile_images/686965105473396736/B9V5UtGS_normal.jpg","View")</f>
        <v>View</v>
      </c>
      <c r="P1208" s="15"/>
    </row>
    <row r="1209">
      <c r="A1209" s="7">
        <v>42425.54515046296</v>
      </c>
      <c r="B1209" s="8" t="str">
        <f>HYPERLINK("https://twitter.com/bbelderbos","@bbelderbos")</f>
        <v>@bbelderbos</v>
      </c>
      <c r="C1209" s="10" t="s">
        <v>2797</v>
      </c>
      <c r="D1209" s="10" t="s">
        <v>2798</v>
      </c>
      <c r="E1209" s="11" t="str">
        <f>HYPERLINK("https://twitter.com/bbelderbos/status/702962527697817600","702962527697817600")</f>
        <v>702962527697817600</v>
      </c>
      <c r="F1209" s="12" t="s">
        <v>152</v>
      </c>
      <c r="G1209" s="13">
        <v>316.0</v>
      </c>
      <c r="H1209" s="13">
        <v>311.0</v>
      </c>
      <c r="I1209" s="13">
        <v>1.0</v>
      </c>
      <c r="J1209" s="13">
        <v>0.0</v>
      </c>
      <c r="K1209" s="12" t="s">
        <v>21</v>
      </c>
      <c r="L1209" s="7">
        <v>40401.67270833333</v>
      </c>
      <c r="M1209" s="14" t="s">
        <v>168</v>
      </c>
      <c r="N1209" s="14" t="s">
        <v>2799</v>
      </c>
      <c r="O1209" s="11" t="str">
        <f>HYPERLINK("https://pbs.twimg.com/profile_images/691734012130398208/rq61_XYr_normal.png","View")</f>
        <v>View</v>
      </c>
      <c r="P1209" s="15"/>
    </row>
    <row r="1210">
      <c r="A1210" s="7">
        <v>42425.54539351852</v>
      </c>
      <c r="B1210" s="8" t="str">
        <f>HYPERLINK("https://twitter.com/jolson88","@jolson88")</f>
        <v>@jolson88</v>
      </c>
      <c r="C1210" s="10" t="s">
        <v>2800</v>
      </c>
      <c r="D1210" s="10" t="s">
        <v>2801</v>
      </c>
      <c r="E1210" s="11" t="str">
        <f>HYPERLINK("https://twitter.com/jolson88/status/702962613768970240","702962613768970240")</f>
        <v>702962613768970240</v>
      </c>
      <c r="F1210" s="12" t="s">
        <v>20</v>
      </c>
      <c r="G1210" s="13">
        <v>1523.0</v>
      </c>
      <c r="H1210" s="13">
        <v>265.0</v>
      </c>
      <c r="I1210" s="13">
        <v>0.0</v>
      </c>
      <c r="J1210" s="13">
        <v>0.0</v>
      </c>
      <c r="K1210" s="12" t="s">
        <v>21</v>
      </c>
      <c r="L1210" s="7">
        <v>39437.538460648146</v>
      </c>
      <c r="M1210" s="14" t="s">
        <v>2802</v>
      </c>
      <c r="N1210" s="14" t="s">
        <v>2803</v>
      </c>
      <c r="O1210" s="11" t="str">
        <f>HYPERLINK("https://pbs.twimg.com/profile_images/141063441/Caricature_normal.jpg","View")</f>
        <v>View</v>
      </c>
      <c r="P1210" s="15"/>
    </row>
    <row r="1211">
      <c r="A1211" s="7">
        <v>42425.54540509259</v>
      </c>
      <c r="B1211" s="8" t="str">
        <f>HYPERLINK("https://twitter.com/EnrikeLopez","@EnrikeLopez")</f>
        <v>@EnrikeLopez</v>
      </c>
      <c r="C1211" s="10" t="s">
        <v>2804</v>
      </c>
      <c r="D1211" s="10" t="s">
        <v>2805</v>
      </c>
      <c r="E1211" s="11" t="str">
        <f>HYPERLINK("https://twitter.com/EnrikeLopez/status/702962618206691328","702962618206691328")</f>
        <v>702962618206691328</v>
      </c>
      <c r="F1211" s="12" t="s">
        <v>1573</v>
      </c>
      <c r="G1211" s="13">
        <v>846.0</v>
      </c>
      <c r="H1211" s="13">
        <v>1888.0</v>
      </c>
      <c r="I1211" s="13">
        <v>5.0</v>
      </c>
      <c r="J1211" s="13">
        <v>0.0</v>
      </c>
      <c r="K1211" s="12" t="s">
        <v>21</v>
      </c>
      <c r="L1211" s="7">
        <v>40061.176041666666</v>
      </c>
      <c r="M1211" s="14" t="s">
        <v>2806</v>
      </c>
      <c r="N1211" s="16"/>
      <c r="O1211" s="11" t="str">
        <f>HYPERLINK("https://pbs.twimg.com/profile_images/474249917565636608/XjM9GUjo_normal.jpeg","View")</f>
        <v>View</v>
      </c>
      <c r="P1211" s="15"/>
    </row>
    <row r="1212">
      <c r="A1212" s="7">
        <v>42425.54664351852</v>
      </c>
      <c r="B1212" s="8" t="str">
        <f t="shared" ref="B1212:B1219" si="117">HYPERLINK("https://twitter.com/artwisanggeni","@artwisanggeni")</f>
        <v>@artwisanggeni</v>
      </c>
      <c r="C1212" s="10" t="s">
        <v>74</v>
      </c>
      <c r="D1212" s="10" t="s">
        <v>2807</v>
      </c>
      <c r="E1212" s="11" t="str">
        <f>HYPERLINK("https://twitter.com/artwisanggeni/status/702963069727604737","702963069727604737")</f>
        <v>702963069727604737</v>
      </c>
      <c r="F1212" s="17" t="s">
        <v>76</v>
      </c>
      <c r="G1212" s="13">
        <v>236.0</v>
      </c>
      <c r="H1212" s="13">
        <v>61.0</v>
      </c>
      <c r="I1212" s="13">
        <v>0.0</v>
      </c>
      <c r="J1212" s="13">
        <v>0.0</v>
      </c>
      <c r="K1212" s="12" t="s">
        <v>21</v>
      </c>
      <c r="L1212" s="7">
        <v>41218.90608796296</v>
      </c>
      <c r="M1212" s="14" t="s">
        <v>77</v>
      </c>
      <c r="N1212" s="14" t="s">
        <v>78</v>
      </c>
      <c r="O1212" s="11" t="str">
        <f t="shared" ref="O1212:O1219" si="118">HYPERLINK("https://pbs.twimg.com/profile_images/2813636657/599521f69e2bc210a57323b64d8e39e6_normal.jpeg","View")</f>
        <v>View</v>
      </c>
      <c r="P1212" s="15"/>
    </row>
    <row r="1213">
      <c r="A1213" s="7">
        <v>42425.54665509259</v>
      </c>
      <c r="B1213" s="8" t="str">
        <f t="shared" si="117"/>
        <v>@artwisanggeni</v>
      </c>
      <c r="C1213" s="10" t="s">
        <v>74</v>
      </c>
      <c r="D1213" s="10" t="s">
        <v>2808</v>
      </c>
      <c r="E1213" s="11" t="str">
        <f>HYPERLINK("https://twitter.com/artwisanggeni/status/702963074093883392","702963074093883392")</f>
        <v>702963074093883392</v>
      </c>
      <c r="F1213" s="17" t="s">
        <v>76</v>
      </c>
      <c r="G1213" s="13">
        <v>236.0</v>
      </c>
      <c r="H1213" s="13">
        <v>61.0</v>
      </c>
      <c r="I1213" s="13">
        <v>0.0</v>
      </c>
      <c r="J1213" s="13">
        <v>0.0</v>
      </c>
      <c r="K1213" s="12" t="s">
        <v>21</v>
      </c>
      <c r="L1213" s="7">
        <v>41218.90608796296</v>
      </c>
      <c r="M1213" s="14" t="s">
        <v>77</v>
      </c>
      <c r="N1213" s="14" t="s">
        <v>78</v>
      </c>
      <c r="O1213" s="11" t="str">
        <f t="shared" si="118"/>
        <v>View</v>
      </c>
      <c r="P1213" s="15"/>
    </row>
    <row r="1214">
      <c r="A1214" s="7">
        <v>42425.54666666666</v>
      </c>
      <c r="B1214" s="8" t="str">
        <f t="shared" si="117"/>
        <v>@artwisanggeni</v>
      </c>
      <c r="C1214" s="10" t="s">
        <v>74</v>
      </c>
      <c r="D1214" s="10" t="s">
        <v>2809</v>
      </c>
      <c r="E1214" s="11" t="str">
        <f>HYPERLINK("https://twitter.com/artwisanggeni/status/702963078489444352","702963078489444352")</f>
        <v>702963078489444352</v>
      </c>
      <c r="F1214" s="17" t="s">
        <v>76</v>
      </c>
      <c r="G1214" s="13">
        <v>236.0</v>
      </c>
      <c r="H1214" s="13">
        <v>61.0</v>
      </c>
      <c r="I1214" s="13">
        <v>0.0</v>
      </c>
      <c r="J1214" s="13">
        <v>0.0</v>
      </c>
      <c r="K1214" s="12" t="s">
        <v>21</v>
      </c>
      <c r="L1214" s="7">
        <v>41218.90608796296</v>
      </c>
      <c r="M1214" s="14" t="s">
        <v>77</v>
      </c>
      <c r="N1214" s="14" t="s">
        <v>78</v>
      </c>
      <c r="O1214" s="11" t="str">
        <f t="shared" si="118"/>
        <v>View</v>
      </c>
      <c r="P1214" s="15"/>
    </row>
    <row r="1215">
      <c r="A1215" s="7">
        <v>42425.546678240746</v>
      </c>
      <c r="B1215" s="8" t="str">
        <f t="shared" si="117"/>
        <v>@artwisanggeni</v>
      </c>
      <c r="C1215" s="10" t="s">
        <v>74</v>
      </c>
      <c r="D1215" s="10" t="s">
        <v>2810</v>
      </c>
      <c r="E1215" s="11" t="str">
        <f>HYPERLINK("https://twitter.com/artwisanggeni/status/702963082700546048","702963082700546048")</f>
        <v>702963082700546048</v>
      </c>
      <c r="F1215" s="17" t="s">
        <v>76</v>
      </c>
      <c r="G1215" s="13">
        <v>236.0</v>
      </c>
      <c r="H1215" s="13">
        <v>61.0</v>
      </c>
      <c r="I1215" s="13">
        <v>0.0</v>
      </c>
      <c r="J1215" s="13">
        <v>0.0</v>
      </c>
      <c r="K1215" s="12" t="s">
        <v>21</v>
      </c>
      <c r="L1215" s="7">
        <v>41218.90608796296</v>
      </c>
      <c r="M1215" s="14" t="s">
        <v>77</v>
      </c>
      <c r="N1215" s="14" t="s">
        <v>78</v>
      </c>
      <c r="O1215" s="11" t="str">
        <f t="shared" si="118"/>
        <v>View</v>
      </c>
      <c r="P1215" s="15"/>
    </row>
    <row r="1216">
      <c r="A1216" s="7">
        <v>42425.546701388885</v>
      </c>
      <c r="B1216" s="8" t="str">
        <f t="shared" si="117"/>
        <v>@artwisanggeni</v>
      </c>
      <c r="C1216" s="10" t="s">
        <v>74</v>
      </c>
      <c r="D1216" s="10" t="s">
        <v>2811</v>
      </c>
      <c r="E1216" s="11" t="str">
        <f>HYPERLINK("https://twitter.com/artwisanggeni/status/702963087825960960","702963087825960960")</f>
        <v>702963087825960960</v>
      </c>
      <c r="F1216" s="17" t="s">
        <v>76</v>
      </c>
      <c r="G1216" s="13">
        <v>236.0</v>
      </c>
      <c r="H1216" s="13">
        <v>61.0</v>
      </c>
      <c r="I1216" s="13">
        <v>0.0</v>
      </c>
      <c r="J1216" s="13">
        <v>0.0</v>
      </c>
      <c r="K1216" s="12" t="s">
        <v>21</v>
      </c>
      <c r="L1216" s="7">
        <v>41218.90608796296</v>
      </c>
      <c r="M1216" s="14" t="s">
        <v>77</v>
      </c>
      <c r="N1216" s="14" t="s">
        <v>78</v>
      </c>
      <c r="O1216" s="11" t="str">
        <f t="shared" si="118"/>
        <v>View</v>
      </c>
      <c r="P1216" s="15"/>
    </row>
    <row r="1217">
      <c r="A1217" s="7">
        <v>42425.54671296296</v>
      </c>
      <c r="B1217" s="8" t="str">
        <f t="shared" si="117"/>
        <v>@artwisanggeni</v>
      </c>
      <c r="C1217" s="10" t="s">
        <v>74</v>
      </c>
      <c r="D1217" s="10" t="s">
        <v>2812</v>
      </c>
      <c r="E1217" s="11" t="str">
        <f>HYPERLINK("https://twitter.com/artwisanggeni/status/702963092934627328","702963092934627328")</f>
        <v>702963092934627328</v>
      </c>
      <c r="F1217" s="17" t="s">
        <v>76</v>
      </c>
      <c r="G1217" s="13">
        <v>236.0</v>
      </c>
      <c r="H1217" s="13">
        <v>61.0</v>
      </c>
      <c r="I1217" s="13">
        <v>0.0</v>
      </c>
      <c r="J1217" s="13">
        <v>0.0</v>
      </c>
      <c r="K1217" s="12" t="s">
        <v>21</v>
      </c>
      <c r="L1217" s="7">
        <v>41218.90608796296</v>
      </c>
      <c r="M1217" s="14" t="s">
        <v>77</v>
      </c>
      <c r="N1217" s="14" t="s">
        <v>78</v>
      </c>
      <c r="O1217" s="11" t="str">
        <f t="shared" si="118"/>
        <v>View</v>
      </c>
      <c r="P1217" s="15"/>
    </row>
    <row r="1218">
      <c r="A1218" s="7">
        <v>42425.54672453704</v>
      </c>
      <c r="B1218" s="8" t="str">
        <f t="shared" si="117"/>
        <v>@artwisanggeni</v>
      </c>
      <c r="C1218" s="10" t="s">
        <v>74</v>
      </c>
      <c r="D1218" s="10" t="s">
        <v>2813</v>
      </c>
      <c r="E1218" s="11" t="str">
        <f>HYPERLINK("https://twitter.com/artwisanggeni/status/702963098408235009","702963098408235009")</f>
        <v>702963098408235009</v>
      </c>
      <c r="F1218" s="17" t="s">
        <v>76</v>
      </c>
      <c r="G1218" s="13">
        <v>236.0</v>
      </c>
      <c r="H1218" s="13">
        <v>61.0</v>
      </c>
      <c r="I1218" s="13">
        <v>0.0</v>
      </c>
      <c r="J1218" s="13">
        <v>0.0</v>
      </c>
      <c r="K1218" s="12" t="s">
        <v>21</v>
      </c>
      <c r="L1218" s="7">
        <v>41218.90608796296</v>
      </c>
      <c r="M1218" s="14" t="s">
        <v>77</v>
      </c>
      <c r="N1218" s="14" t="s">
        <v>78</v>
      </c>
      <c r="O1218" s="11" t="str">
        <f t="shared" si="118"/>
        <v>View</v>
      </c>
      <c r="P1218" s="15"/>
    </row>
    <row r="1219">
      <c r="A1219" s="7">
        <v>42425.54673611111</v>
      </c>
      <c r="B1219" s="8" t="str">
        <f t="shared" si="117"/>
        <v>@artwisanggeni</v>
      </c>
      <c r="C1219" s="10" t="s">
        <v>74</v>
      </c>
      <c r="D1219" s="10" t="s">
        <v>2814</v>
      </c>
      <c r="E1219" s="11" t="str">
        <f>HYPERLINK("https://twitter.com/artwisanggeni/status/702963102686392320","702963102686392320")</f>
        <v>702963102686392320</v>
      </c>
      <c r="F1219" s="17" t="s">
        <v>76</v>
      </c>
      <c r="G1219" s="13">
        <v>236.0</v>
      </c>
      <c r="H1219" s="13">
        <v>61.0</v>
      </c>
      <c r="I1219" s="13">
        <v>0.0</v>
      </c>
      <c r="J1219" s="13">
        <v>0.0</v>
      </c>
      <c r="K1219" s="12" t="s">
        <v>21</v>
      </c>
      <c r="L1219" s="7">
        <v>41218.90608796296</v>
      </c>
      <c r="M1219" s="14" t="s">
        <v>77</v>
      </c>
      <c r="N1219" s="14" t="s">
        <v>78</v>
      </c>
      <c r="O1219" s="11" t="str">
        <f t="shared" si="118"/>
        <v>View</v>
      </c>
      <c r="P1219" s="15"/>
    </row>
    <row r="1220">
      <c r="A1220" s="7">
        <v>42425.54736111111</v>
      </c>
      <c r="B1220" s="8" t="str">
        <f>HYPERLINK("https://twitter.com/victorbabiuc","@victorbabiuc")</f>
        <v>@victorbabiuc</v>
      </c>
      <c r="C1220" s="10" t="s">
        <v>2815</v>
      </c>
      <c r="D1220" s="10" t="s">
        <v>2816</v>
      </c>
      <c r="E1220" s="11" t="str">
        <f>HYPERLINK("https://twitter.com/victorbabiuc/status/702963328231088128","702963328231088128")</f>
        <v>702963328231088128</v>
      </c>
      <c r="F1220" s="12" t="s">
        <v>1258</v>
      </c>
      <c r="G1220" s="13">
        <v>81.0</v>
      </c>
      <c r="H1220" s="13">
        <v>243.0</v>
      </c>
      <c r="I1220" s="13">
        <v>0.0</v>
      </c>
      <c r="J1220" s="13">
        <v>0.0</v>
      </c>
      <c r="K1220" s="12" t="s">
        <v>21</v>
      </c>
      <c r="L1220" s="7">
        <v>41252.610185185185</v>
      </c>
      <c r="M1220" s="14" t="s">
        <v>2817</v>
      </c>
      <c r="N1220" s="14" t="s">
        <v>2818</v>
      </c>
      <c r="O1220" s="11" t="str">
        <f>HYPERLINK("https://pbs.twimg.com/profile_images/2970482455/bf6a1e507881ae7f7bd250ad21709411_normal.jpeg","View")</f>
        <v>View</v>
      </c>
      <c r="P1220" s="15"/>
    </row>
    <row r="1221">
      <c r="A1221" s="7">
        <v>42425.54736111111</v>
      </c>
      <c r="B1221" s="8" t="str">
        <f>HYPERLINK("https://twitter.com/art_control","@art_control")</f>
        <v>@art_control</v>
      </c>
      <c r="C1221" s="10" t="s">
        <v>309</v>
      </c>
      <c r="D1221" s="10" t="s">
        <v>2819</v>
      </c>
      <c r="E1221" s="11" t="str">
        <f>HYPERLINK("https://twitter.com/art_control/status/702963328986038273","702963328986038273")</f>
        <v>702963328986038273</v>
      </c>
      <c r="F1221" s="12" t="s">
        <v>311</v>
      </c>
      <c r="G1221" s="13">
        <v>989.0</v>
      </c>
      <c r="H1221" s="13">
        <v>850.0</v>
      </c>
      <c r="I1221" s="13">
        <v>0.0</v>
      </c>
      <c r="J1221" s="13">
        <v>0.0</v>
      </c>
      <c r="K1221" s="12" t="s">
        <v>21</v>
      </c>
      <c r="L1221" s="7">
        <v>39896.869675925926</v>
      </c>
      <c r="M1221" s="14" t="s">
        <v>312</v>
      </c>
      <c r="N1221" s="14" t="s">
        <v>313</v>
      </c>
      <c r="O1221" s="11" t="str">
        <f>HYPERLINK("https://pbs.twimg.com/profile_images/649004216690675712/UAcrP6ol_normal.png","View")</f>
        <v>View</v>
      </c>
      <c r="P1221" s="15"/>
    </row>
    <row r="1222">
      <c r="A1222" s="7">
        <v>42425.54759259259</v>
      </c>
      <c r="B1222" s="8" t="str">
        <f>HYPERLINK("https://twitter.com/oburoni2","@oburoni2")</f>
        <v>@oburoni2</v>
      </c>
      <c r="C1222" s="10" t="s">
        <v>993</v>
      </c>
      <c r="D1222" s="10" t="s">
        <v>2820</v>
      </c>
      <c r="E1222" s="11" t="str">
        <f>HYPERLINK("https://twitter.com/oburoni2/status/702963413224460288","702963413224460288")</f>
        <v>702963413224460288</v>
      </c>
      <c r="F1222" s="12" t="s">
        <v>20</v>
      </c>
      <c r="G1222" s="13">
        <v>38.0</v>
      </c>
      <c r="H1222" s="13">
        <v>36.0</v>
      </c>
      <c r="I1222" s="13">
        <v>0.0</v>
      </c>
      <c r="J1222" s="13">
        <v>0.0</v>
      </c>
      <c r="K1222" s="12" t="s">
        <v>21</v>
      </c>
      <c r="L1222" s="7">
        <v>42139.361030092594</v>
      </c>
      <c r="M1222" s="14" t="s">
        <v>995</v>
      </c>
      <c r="N1222" s="14" t="s">
        <v>996</v>
      </c>
      <c r="O1222" s="11" t="str">
        <f>HYPERLINK("https://pbs.twimg.com/profile_images/599238942244872193/DpTu63Z__normal.jpg","View")</f>
        <v>View</v>
      </c>
      <c r="P1222" s="15"/>
    </row>
    <row r="1223">
      <c r="A1223" s="7">
        <v>42425.54775462963</v>
      </c>
      <c r="B1223" s="8" t="str">
        <f>HYPERLINK("https://twitter.com/DataAnalyticss","@DataAnalyticss")</f>
        <v>@DataAnalyticss</v>
      </c>
      <c r="C1223" s="10" t="s">
        <v>2467</v>
      </c>
      <c r="D1223" s="10" t="s">
        <v>2821</v>
      </c>
      <c r="E1223" s="11" t="str">
        <f>HYPERLINK("https://twitter.com/DataAnalyticss/status/702963471051300864","702963471051300864")</f>
        <v>702963471051300864</v>
      </c>
      <c r="F1223" s="12" t="s">
        <v>38</v>
      </c>
      <c r="G1223" s="13">
        <v>718.0</v>
      </c>
      <c r="H1223" s="13">
        <v>456.0</v>
      </c>
      <c r="I1223" s="13">
        <v>2.0</v>
      </c>
      <c r="J1223" s="13">
        <v>0.0</v>
      </c>
      <c r="K1223" s="12" t="s">
        <v>21</v>
      </c>
      <c r="L1223" s="7">
        <v>41953.30762731482</v>
      </c>
      <c r="M1223" s="16"/>
      <c r="N1223" s="16"/>
      <c r="O1223" s="11" t="str">
        <f>HYPERLINK("https://pbs.twimg.com/profile_images/532798437897412608/flHdPUCx_normal.png","View")</f>
        <v>View</v>
      </c>
      <c r="P1223" s="15"/>
    </row>
    <row r="1224">
      <c r="A1224" s="7">
        <v>42425.54850694444</v>
      </c>
      <c r="B1224" s="8" t="str">
        <f>HYPERLINK("https://twitter.com/zioale","@zioale")</f>
        <v>@zioale</v>
      </c>
      <c r="C1224" s="10" t="s">
        <v>2822</v>
      </c>
      <c r="D1224" s="10" t="s">
        <v>1102</v>
      </c>
      <c r="E1224" s="11" t="str">
        <f>HYPERLINK("https://twitter.com/zioale/status/702963744746434560","702963744746434560")</f>
        <v>702963744746434560</v>
      </c>
      <c r="F1224" s="12" t="s">
        <v>2823</v>
      </c>
      <c r="G1224" s="13">
        <v>41.0</v>
      </c>
      <c r="H1224" s="13">
        <v>49.0</v>
      </c>
      <c r="I1224" s="13">
        <v>14.0</v>
      </c>
      <c r="J1224" s="13">
        <v>0.0</v>
      </c>
      <c r="K1224" s="12" t="s">
        <v>21</v>
      </c>
      <c r="L1224" s="7">
        <v>40361.30741898148</v>
      </c>
      <c r="M1224" s="16"/>
      <c r="N1224" s="16"/>
      <c r="O1224" s="11" t="str">
        <f>HYPERLINK("https://pbs.twimg.com/profile_images/1529485215/South_Park_-_Ned_normal.jpg","View")</f>
        <v>View</v>
      </c>
      <c r="P1224" s="15"/>
    </row>
    <row r="1225">
      <c r="A1225" s="7">
        <v>42425.55010416667</v>
      </c>
      <c r="B1225" s="8" t="str">
        <f>HYPERLINK("https://twitter.com/artur_leao","@artur_leao")</f>
        <v>@artur_leao</v>
      </c>
      <c r="C1225" s="10" t="s">
        <v>2824</v>
      </c>
      <c r="D1225" s="10" t="s">
        <v>2825</v>
      </c>
      <c r="E1225" s="11" t="str">
        <f>HYPERLINK("https://twitter.com/artur_leao/status/702964321651924994","702964321651924994")</f>
        <v>702964321651924994</v>
      </c>
      <c r="F1225" s="12" t="s">
        <v>20</v>
      </c>
      <c r="G1225" s="13">
        <v>616.0</v>
      </c>
      <c r="H1225" s="13">
        <v>1736.0</v>
      </c>
      <c r="I1225" s="13">
        <v>1.0</v>
      </c>
      <c r="J1225" s="13">
        <v>3.0</v>
      </c>
      <c r="K1225" s="12" t="s">
        <v>21</v>
      </c>
      <c r="L1225" s="7">
        <v>40193.177453703705</v>
      </c>
      <c r="M1225" s="14" t="s">
        <v>2826</v>
      </c>
      <c r="N1225" s="14" t="s">
        <v>2827</v>
      </c>
      <c r="O1225" s="11" t="str">
        <f>HYPERLINK("https://pbs.twimg.com/profile_images/1669912879/photo_4__1__normal.jpg","View")</f>
        <v>View</v>
      </c>
      <c r="P1225" s="15"/>
    </row>
    <row r="1226">
      <c r="A1226" s="7">
        <v>42425.550254629634</v>
      </c>
      <c r="B1226" s="8" t="str">
        <f>HYPERLINK("https://twitter.com/pythontrending","@pythontrending")</f>
        <v>@pythontrending</v>
      </c>
      <c r="C1226" s="10" t="s">
        <v>2074</v>
      </c>
      <c r="D1226" s="10" t="s">
        <v>2828</v>
      </c>
      <c r="E1226" s="11" t="str">
        <f>HYPERLINK("https://twitter.com/pythontrending/status/702964377138421760","702964377138421760")</f>
        <v>702964377138421760</v>
      </c>
      <c r="F1226" s="12" t="s">
        <v>2076</v>
      </c>
      <c r="G1226" s="13">
        <v>3966.0</v>
      </c>
      <c r="H1226" s="13">
        <v>4420.0</v>
      </c>
      <c r="I1226" s="13">
        <v>8.0</v>
      </c>
      <c r="J1226" s="13">
        <v>11.0</v>
      </c>
      <c r="K1226" s="12" t="s">
        <v>21</v>
      </c>
      <c r="L1226" s="7">
        <v>41744.47299768518</v>
      </c>
      <c r="M1226" s="14" t="s">
        <v>2077</v>
      </c>
      <c r="N1226" s="14" t="s">
        <v>2078</v>
      </c>
      <c r="O1226" s="11" t="str">
        <f>HYPERLINK("https://pbs.twimg.com/profile_images/456490947287605248/4oklmBWe_normal.png","View")</f>
        <v>View</v>
      </c>
      <c r="P1226" s="15"/>
    </row>
    <row r="1227">
      <c r="A1227" s="7">
        <v>42425.55034722222</v>
      </c>
      <c r="B1227" s="8" t="str">
        <f t="shared" ref="B1227:B1228" si="119">HYPERLINK("https://twitter.com/programmingncr","@programmingncr")</f>
        <v>@programmingncr</v>
      </c>
      <c r="C1227" s="10" t="s">
        <v>262</v>
      </c>
      <c r="D1227" s="10" t="s">
        <v>2829</v>
      </c>
      <c r="E1227" s="11" t="str">
        <f>HYPERLINK("https://twitter.com/programmingncr/status/702964411934314497","702964411934314497")</f>
        <v>702964411934314497</v>
      </c>
      <c r="F1227" s="12" t="s">
        <v>103</v>
      </c>
      <c r="G1227" s="13">
        <v>328.0</v>
      </c>
      <c r="H1227" s="13">
        <v>99.0</v>
      </c>
      <c r="I1227" s="13">
        <v>0.0</v>
      </c>
      <c r="J1227" s="13">
        <v>0.0</v>
      </c>
      <c r="K1227" s="12" t="s">
        <v>21</v>
      </c>
      <c r="L1227" s="7">
        <v>42220.86634259259</v>
      </c>
      <c r="M1227" s="14" t="s">
        <v>264</v>
      </c>
      <c r="N1227" s="14" t="s">
        <v>265</v>
      </c>
      <c r="O1227" s="11" t="str">
        <f t="shared" ref="O1227:O1228" si="120">HYPERLINK("https://pbs.twimg.com/profile_images/662602436222193664/qKuvsfnG_normal.jpg","View")</f>
        <v>View</v>
      </c>
      <c r="P1227" s="15"/>
    </row>
    <row r="1228">
      <c r="A1228" s="7">
        <v>42425.550358796296</v>
      </c>
      <c r="B1228" s="8" t="str">
        <f t="shared" si="119"/>
        <v>@programmingncr</v>
      </c>
      <c r="C1228" s="10" t="s">
        <v>262</v>
      </c>
      <c r="D1228" s="10" t="s">
        <v>2830</v>
      </c>
      <c r="E1228" s="11" t="str">
        <f>HYPERLINK("https://twitter.com/programmingncr/status/702964413159055360","702964413159055360")</f>
        <v>702964413159055360</v>
      </c>
      <c r="F1228" s="12" t="s">
        <v>103</v>
      </c>
      <c r="G1228" s="13">
        <v>328.0</v>
      </c>
      <c r="H1228" s="13">
        <v>99.0</v>
      </c>
      <c r="I1228" s="13">
        <v>0.0</v>
      </c>
      <c r="J1228" s="13">
        <v>0.0</v>
      </c>
      <c r="K1228" s="12" t="s">
        <v>21</v>
      </c>
      <c r="L1228" s="7">
        <v>42220.86634259259</v>
      </c>
      <c r="M1228" s="14" t="s">
        <v>264</v>
      </c>
      <c r="N1228" s="14" t="s">
        <v>265</v>
      </c>
      <c r="O1228" s="11" t="str">
        <f t="shared" si="120"/>
        <v>View</v>
      </c>
      <c r="P1228" s="15"/>
    </row>
    <row r="1229">
      <c r="A1229" s="7">
        <v>42425.55085648148</v>
      </c>
      <c r="B1229" s="8" t="str">
        <f>HYPERLINK("https://twitter.com/alexwlchan","@alexwlchan")</f>
        <v>@alexwlchan</v>
      </c>
      <c r="C1229" s="10" t="s">
        <v>2831</v>
      </c>
      <c r="D1229" s="10" t="s">
        <v>2832</v>
      </c>
      <c r="E1229" s="11" t="str">
        <f>HYPERLINK("https://twitter.com/alexwlchan/status/702964592734019585","702964592734019585")</f>
        <v>702964592734019585</v>
      </c>
      <c r="F1229" s="12" t="s">
        <v>20</v>
      </c>
      <c r="G1229" s="13">
        <v>123.0</v>
      </c>
      <c r="H1229" s="13">
        <v>128.0</v>
      </c>
      <c r="I1229" s="13">
        <v>0.0</v>
      </c>
      <c r="J1229" s="13">
        <v>0.0</v>
      </c>
      <c r="K1229" s="12" t="s">
        <v>21</v>
      </c>
      <c r="L1229" s="7">
        <v>40042.26427083333</v>
      </c>
      <c r="M1229" s="14" t="s">
        <v>2833</v>
      </c>
      <c r="N1229" s="14" t="s">
        <v>2834</v>
      </c>
      <c r="O1229" s="11" t="str">
        <f>HYPERLINK("https://pbs.twimg.com/profile_images/647309109663039488/UIOUUU3u_normal.png","View")</f>
        <v>View</v>
      </c>
      <c r="P1229" s="15"/>
    </row>
    <row r="1230">
      <c r="A1230" s="7">
        <v>42425.551203703704</v>
      </c>
      <c r="B1230" s="8" t="str">
        <f>HYPERLINK("https://twitter.com/JoshuaLongUK","@JoshuaLongUK")</f>
        <v>@JoshuaLongUK</v>
      </c>
      <c r="C1230" s="10" t="s">
        <v>101</v>
      </c>
      <c r="D1230" s="10" t="s">
        <v>2835</v>
      </c>
      <c r="E1230" s="11" t="str">
        <f>HYPERLINK("https://twitter.com/JoshuaLongUK/status/702964719888547844","702964719888547844")</f>
        <v>702964719888547844</v>
      </c>
      <c r="F1230" s="12" t="s">
        <v>103</v>
      </c>
      <c r="G1230" s="13">
        <v>25832.0</v>
      </c>
      <c r="H1230" s="13">
        <v>93.0</v>
      </c>
      <c r="I1230" s="13">
        <v>0.0</v>
      </c>
      <c r="J1230" s="13">
        <v>0.0</v>
      </c>
      <c r="K1230" s="12" t="s">
        <v>21</v>
      </c>
      <c r="L1230" s="7">
        <v>41149.39659722222</v>
      </c>
      <c r="M1230" s="14" t="s">
        <v>104</v>
      </c>
      <c r="N1230" s="14" t="s">
        <v>105</v>
      </c>
      <c r="O1230" s="11" t="str">
        <f>HYPERLINK("https://pbs.twimg.com/profile_images/627996138403168256/DaASdgVr_normal.jpg","View")</f>
        <v>View</v>
      </c>
      <c r="P1230" s="15"/>
    </row>
    <row r="1231">
      <c r="A1231" s="7">
        <v>42425.55216435185</v>
      </c>
      <c r="B1231" s="8" t="str">
        <f>HYPERLINK("https://twitter.com/coding_jobfeeds","@coding_jobfeeds")</f>
        <v>@coding_jobfeeds</v>
      </c>
      <c r="C1231" s="10" t="s">
        <v>685</v>
      </c>
      <c r="D1231" s="10" t="s">
        <v>2836</v>
      </c>
      <c r="E1231" s="11" t="str">
        <f>HYPERLINK("https://twitter.com/coding_jobfeeds/status/702965070670782466","702965070670782466")</f>
        <v>702965070670782466</v>
      </c>
      <c r="F1231" s="12" t="s">
        <v>687</v>
      </c>
      <c r="G1231" s="13">
        <v>1040.0</v>
      </c>
      <c r="H1231" s="13">
        <v>987.0</v>
      </c>
      <c r="I1231" s="13">
        <v>0.0</v>
      </c>
      <c r="J1231" s="13">
        <v>0.0</v>
      </c>
      <c r="K1231" s="12" t="s">
        <v>21</v>
      </c>
      <c r="L1231" s="7">
        <v>42173.56387731481</v>
      </c>
      <c r="M1231" s="14" t="s">
        <v>519</v>
      </c>
      <c r="N1231" s="14" t="s">
        <v>688</v>
      </c>
      <c r="O1231" s="11" t="str">
        <f>HYPERLINK("https://pbs.twimg.com/profile_images/611834314586750976/feZ5fZOO_normal.png","View")</f>
        <v>View</v>
      </c>
      <c r="P1231" s="15"/>
    </row>
    <row r="1232">
      <c r="A1232" s="7">
        <v>42425.5534375</v>
      </c>
      <c r="B1232" s="8" t="str">
        <f>HYPERLINK("https://twitter.com/3ative","@3ative")</f>
        <v>@3ative</v>
      </c>
      <c r="C1232" s="9" t="s">
        <v>2837</v>
      </c>
      <c r="D1232" s="10" t="s">
        <v>2838</v>
      </c>
      <c r="E1232" s="11" t="str">
        <f>HYPERLINK("https://twitter.com/3ative/status/702965531469549569","702965531469549569")</f>
        <v>702965531469549569</v>
      </c>
      <c r="F1232" s="12" t="s">
        <v>2839</v>
      </c>
      <c r="G1232" s="13">
        <v>384.0</v>
      </c>
      <c r="H1232" s="13">
        <v>175.0</v>
      </c>
      <c r="I1232" s="13">
        <v>1.0</v>
      </c>
      <c r="J1232" s="13">
        <v>0.0</v>
      </c>
      <c r="K1232" s="12" t="s">
        <v>21</v>
      </c>
      <c r="L1232" s="7">
        <v>39967.262337962966</v>
      </c>
      <c r="M1232" s="14" t="s">
        <v>104</v>
      </c>
      <c r="N1232" s="14" t="s">
        <v>2840</v>
      </c>
      <c r="O1232" s="11" t="str">
        <f>HYPERLINK("https://pbs.twimg.com/profile_images/701620886667993089/AuILWgQ3_normal.jpg","View")</f>
        <v>View</v>
      </c>
      <c r="P1232" s="15"/>
    </row>
    <row r="1233">
      <c r="A1233" s="7">
        <v>42425.55347222222</v>
      </c>
      <c r="B1233" s="8" t="str">
        <f>HYPERLINK("https://twitter.com/chiefenne","@chiefenne")</f>
        <v>@chiefenne</v>
      </c>
      <c r="C1233" s="10" t="s">
        <v>2841</v>
      </c>
      <c r="D1233" s="10" t="s">
        <v>2842</v>
      </c>
      <c r="E1233" s="11" t="str">
        <f>HYPERLINK("https://twitter.com/chiefenne/status/702965541850456069","702965541850456069")</f>
        <v>702965541850456069</v>
      </c>
      <c r="F1233" s="12" t="s">
        <v>52</v>
      </c>
      <c r="G1233" s="13">
        <v>30.0</v>
      </c>
      <c r="H1233" s="13">
        <v>41.0</v>
      </c>
      <c r="I1233" s="13">
        <v>8.0</v>
      </c>
      <c r="J1233" s="13">
        <v>0.0</v>
      </c>
      <c r="K1233" s="12" t="s">
        <v>21</v>
      </c>
      <c r="L1233" s="7">
        <v>41565.23657407407</v>
      </c>
      <c r="M1233" s="14" t="s">
        <v>2843</v>
      </c>
      <c r="N1233" s="14" t="s">
        <v>2844</v>
      </c>
      <c r="O1233" s="11" t="str">
        <f>HYPERLINK("https://pbs.twimg.com/profile_images/378800000613537814/b7d8d9e02dbbe646e1b039cdb568eb96_normal.png","View")</f>
        <v>View</v>
      </c>
      <c r="P1233" s="15"/>
    </row>
    <row r="1234">
      <c r="A1234" s="7">
        <v>42425.55357638889</v>
      </c>
      <c r="B1234" s="8" t="str">
        <f>HYPERLINK("https://twitter.com/MrTheodor","@MrTheodor")</f>
        <v>@MrTheodor</v>
      </c>
      <c r="C1234" s="10" t="s">
        <v>2845</v>
      </c>
      <c r="D1234" s="10" t="s">
        <v>2785</v>
      </c>
      <c r="E1234" s="11" t="str">
        <f>HYPERLINK("https://twitter.com/MrTheodor/status/702965580366798848","702965580366798848")</f>
        <v>702965580366798848</v>
      </c>
      <c r="F1234" s="12" t="s">
        <v>20</v>
      </c>
      <c r="G1234" s="13">
        <v>71.0</v>
      </c>
      <c r="H1234" s="13">
        <v>310.0</v>
      </c>
      <c r="I1234" s="13">
        <v>2.0</v>
      </c>
      <c r="J1234" s="13">
        <v>0.0</v>
      </c>
      <c r="K1234" s="12" t="s">
        <v>21</v>
      </c>
      <c r="L1234" s="7">
        <v>40081.27420138889</v>
      </c>
      <c r="M1234" s="14" t="s">
        <v>2846</v>
      </c>
      <c r="N1234" s="14" t="s">
        <v>2847</v>
      </c>
      <c r="O1234" s="11" t="str">
        <f>HYPERLINK("https://pbs.twimg.com/profile_images/478923099287478272/Jgrl1G3V_normal.jpeg","View")</f>
        <v>View</v>
      </c>
      <c r="P1234" s="15"/>
    </row>
    <row r="1235">
      <c r="A1235" s="7">
        <v>42425.55434027778</v>
      </c>
      <c r="B1235" s="8" t="str">
        <f>HYPERLINK("https://twitter.com/wcmckeedotcom","@wcmckeedotcom")</f>
        <v>@wcmckeedotcom</v>
      </c>
      <c r="C1235" s="10" t="s">
        <v>476</v>
      </c>
      <c r="D1235" s="10" t="s">
        <v>2848</v>
      </c>
      <c r="E1235" s="11" t="str">
        <f>HYPERLINK("https://twitter.com/wcmckeedotcom/status/702965859032154112","702965859032154112")</f>
        <v>702965859032154112</v>
      </c>
      <c r="F1235" s="12" t="s">
        <v>478</v>
      </c>
      <c r="G1235" s="13">
        <v>1011.0</v>
      </c>
      <c r="H1235" s="13">
        <v>875.0</v>
      </c>
      <c r="I1235" s="13">
        <v>0.0</v>
      </c>
      <c r="J1235" s="13">
        <v>0.0</v>
      </c>
      <c r="K1235" s="12" t="s">
        <v>21</v>
      </c>
      <c r="L1235" s="7">
        <v>41902.048368055555</v>
      </c>
      <c r="M1235" s="14" t="s">
        <v>479</v>
      </c>
      <c r="N1235" s="14" t="s">
        <v>480</v>
      </c>
      <c r="O1235" s="11" t="str">
        <f>HYPERLINK("https://pbs.twimg.com/profile_images/621211385746161664/tGchJstD_normal.jpg","View")</f>
        <v>View</v>
      </c>
      <c r="P1235" s="15"/>
    </row>
    <row r="1236">
      <c r="A1236" s="7">
        <v>42425.55435185185</v>
      </c>
      <c r="B1236" s="8" t="str">
        <f>HYPERLINK("https://twitter.com/beardedprojamz","@beardedprojamz")</f>
        <v>@beardedprojamz</v>
      </c>
      <c r="C1236" s="10" t="s">
        <v>2849</v>
      </c>
      <c r="D1236" s="10" t="s">
        <v>2850</v>
      </c>
      <c r="E1236" s="11" t="str">
        <f>HYPERLINK("https://twitter.com/beardedprojamz/status/702965860399316993","702965860399316993")</f>
        <v>702965860399316993</v>
      </c>
      <c r="F1236" s="12" t="s">
        <v>20</v>
      </c>
      <c r="G1236" s="13">
        <v>237.0</v>
      </c>
      <c r="H1236" s="13">
        <v>185.0</v>
      </c>
      <c r="I1236" s="13">
        <v>0.0</v>
      </c>
      <c r="J1236" s="13">
        <v>1.0</v>
      </c>
      <c r="K1236" s="12" t="s">
        <v>21</v>
      </c>
      <c r="L1236" s="7">
        <v>40490.53758101852</v>
      </c>
      <c r="M1236" s="14" t="s">
        <v>2851</v>
      </c>
      <c r="N1236" s="14" t="s">
        <v>2852</v>
      </c>
      <c r="O1236" s="11" t="str">
        <f>HYPERLINK("https://pbs.twimg.com/profile_images/658123061674119168/mOR2u_v5_normal.jpg","View")</f>
        <v>View</v>
      </c>
      <c r="P1236" s="15"/>
    </row>
    <row r="1237">
      <c r="A1237" s="7">
        <v>42425.55517361111</v>
      </c>
      <c r="B1237" s="8" t="str">
        <f>HYPERLINK("https://twitter.com/cool_python","@cool_python")</f>
        <v>@cool_python</v>
      </c>
      <c r="C1237" s="10" t="s">
        <v>249</v>
      </c>
      <c r="D1237" s="10" t="s">
        <v>2842</v>
      </c>
      <c r="E1237" s="11" t="str">
        <f>HYPERLINK("https://twitter.com/cool_python/status/702966158954250242","702966158954250242")</f>
        <v>702966158954250242</v>
      </c>
      <c r="F1237" s="12" t="s">
        <v>251</v>
      </c>
      <c r="G1237" s="13">
        <v>235.0</v>
      </c>
      <c r="H1237" s="13">
        <v>91.0</v>
      </c>
      <c r="I1237" s="13">
        <v>8.0</v>
      </c>
      <c r="J1237" s="13">
        <v>0.0</v>
      </c>
      <c r="K1237" s="12" t="s">
        <v>21</v>
      </c>
      <c r="L1237" s="7">
        <v>42064.325</v>
      </c>
      <c r="M1237" s="14" t="s">
        <v>252</v>
      </c>
      <c r="N1237" s="14" t="s">
        <v>253</v>
      </c>
      <c r="O1237" s="11" t="str">
        <f>HYPERLINK("https://pbs.twimg.com/profile_images/572091631055028224/Pkx__FSB_normal.png","View")</f>
        <v>View</v>
      </c>
      <c r="P1237" s="15"/>
    </row>
    <row r="1238">
      <c r="A1238" s="7">
        <v>42425.55527777778</v>
      </c>
      <c r="B1238" s="8" t="str">
        <f>HYPERLINK("https://twitter.com/CIO_PM","@CIO_PM")</f>
        <v>@CIO_PM</v>
      </c>
      <c r="C1238" s="10" t="s">
        <v>2853</v>
      </c>
      <c r="D1238" s="10" t="s">
        <v>2854</v>
      </c>
      <c r="E1238" s="11" t="str">
        <f>HYPERLINK("https://twitter.com/CIO_PM/status/702966196707037185","702966196707037185")</f>
        <v>702966196707037185</v>
      </c>
      <c r="F1238" s="12" t="s">
        <v>52</v>
      </c>
      <c r="G1238" s="13">
        <v>86.0</v>
      </c>
      <c r="H1238" s="13">
        <v>503.0</v>
      </c>
      <c r="I1238" s="13">
        <v>4.0</v>
      </c>
      <c r="J1238" s="13">
        <v>0.0</v>
      </c>
      <c r="K1238" s="12" t="s">
        <v>21</v>
      </c>
      <c r="L1238" s="7">
        <v>41549.570023148146</v>
      </c>
      <c r="M1238" s="16"/>
      <c r="N1238" s="14" t="s">
        <v>2855</v>
      </c>
      <c r="O1238" s="11" t="str">
        <f>HYPERLINK("https://pbs.twimg.com/profile_images/524289096684814336/Q2rb6rPq_normal.jpeg","View")</f>
        <v>View</v>
      </c>
      <c r="P1238" s="15"/>
    </row>
    <row r="1239">
      <c r="A1239" s="7">
        <v>42425.55528935185</v>
      </c>
      <c r="B1239" s="8" t="str">
        <f>HYPERLINK("https://twitter.com/sfkeller","@sfkeller")</f>
        <v>@sfkeller</v>
      </c>
      <c r="C1239" s="10" t="s">
        <v>2856</v>
      </c>
      <c r="D1239" s="10" t="s">
        <v>2287</v>
      </c>
      <c r="E1239" s="11" t="str">
        <f>HYPERLINK("https://twitter.com/sfkeller/status/702966202784677889","702966202784677889")</f>
        <v>702966202784677889</v>
      </c>
      <c r="F1239" s="12" t="s">
        <v>20</v>
      </c>
      <c r="G1239" s="13">
        <v>584.0</v>
      </c>
      <c r="H1239" s="13">
        <v>199.0</v>
      </c>
      <c r="I1239" s="13">
        <v>16.0</v>
      </c>
      <c r="J1239" s="13">
        <v>0.0</v>
      </c>
      <c r="K1239" s="12" t="s">
        <v>21</v>
      </c>
      <c r="L1239" s="7">
        <v>39652.042442129634</v>
      </c>
      <c r="M1239" s="14" t="s">
        <v>2857</v>
      </c>
      <c r="N1239" s="14" t="s">
        <v>2858</v>
      </c>
      <c r="O1239" s="11" t="str">
        <f>HYPERLINK("https://pbs.twimg.com/profile_images/478452232384311296/1aSJ2tkP_normal.png","View")</f>
        <v>View</v>
      </c>
      <c r="P1239" s="15"/>
    </row>
    <row r="1240">
      <c r="A1240" s="7">
        <v>42425.55700231482</v>
      </c>
      <c r="B1240" s="8" t="str">
        <f>HYPERLINK("https://twitter.com/CaktusGroup","@CaktusGroup")</f>
        <v>@CaktusGroup</v>
      </c>
      <c r="C1240" s="10" t="s">
        <v>2859</v>
      </c>
      <c r="D1240" s="10" t="s">
        <v>2860</v>
      </c>
      <c r="E1240" s="11" t="str">
        <f>HYPERLINK("https://twitter.com/CaktusGroup/status/702966823659184128","702966823659184128")</f>
        <v>702966823659184128</v>
      </c>
      <c r="F1240" s="12" t="s">
        <v>2737</v>
      </c>
      <c r="G1240" s="13">
        <v>987.0</v>
      </c>
      <c r="H1240" s="13">
        <v>364.0</v>
      </c>
      <c r="I1240" s="13">
        <v>0.0</v>
      </c>
      <c r="J1240" s="13">
        <v>4.0</v>
      </c>
      <c r="K1240" s="12" t="s">
        <v>21</v>
      </c>
      <c r="L1240" s="7">
        <v>39983.50111111111</v>
      </c>
      <c r="M1240" s="14" t="s">
        <v>2861</v>
      </c>
      <c r="N1240" s="14" t="s">
        <v>2862</v>
      </c>
      <c r="O1240" s="11" t="str">
        <f>HYPERLINK("https://pbs.twimg.com/profile_images/464122698486919168/qf8YnWJo_normal.png","View")</f>
        <v>View</v>
      </c>
      <c r="P1240" s="15"/>
    </row>
    <row r="1241">
      <c r="A1241" s="7">
        <v>42425.557025462964</v>
      </c>
      <c r="B1241" s="8" t="str">
        <f>HYPERLINK("https://twitter.com/reyes_richie","@reyes_richie")</f>
        <v>@reyes_richie</v>
      </c>
      <c r="C1241" s="10" t="s">
        <v>2863</v>
      </c>
      <c r="D1241" s="10" t="s">
        <v>2864</v>
      </c>
      <c r="E1241" s="11" t="str">
        <f>HYPERLINK("https://twitter.com/reyes_richie/status/702966830206312449","702966830206312449")</f>
        <v>702966830206312449</v>
      </c>
      <c r="F1241" s="12" t="s">
        <v>20</v>
      </c>
      <c r="G1241" s="13">
        <v>382.0</v>
      </c>
      <c r="H1241" s="13">
        <v>236.0</v>
      </c>
      <c r="I1241" s="13">
        <v>0.0</v>
      </c>
      <c r="J1241" s="13">
        <v>1.0</v>
      </c>
      <c r="K1241" s="12" t="s">
        <v>21</v>
      </c>
      <c r="L1241" s="7">
        <v>39695.603993055556</v>
      </c>
      <c r="M1241" s="14" t="s">
        <v>2865</v>
      </c>
      <c r="N1241" s="14" t="s">
        <v>2866</v>
      </c>
      <c r="O1241" s="11" t="str">
        <f>HYPERLINK("https://pbs.twimg.com/profile_images/539541227268354048/zWAW2SGY_normal.jpeg","View")</f>
        <v>View</v>
      </c>
      <c r="P1241" s="15"/>
    </row>
    <row r="1242">
      <c r="A1242" s="7">
        <v>42425.557129629626</v>
      </c>
      <c r="B1242" s="8" t="str">
        <f>HYPERLINK("https://twitter.com/Mikael_Furesjo","@Mikael_Furesjo")</f>
        <v>@Mikael_Furesjo</v>
      </c>
      <c r="C1242" s="10" t="s">
        <v>106</v>
      </c>
      <c r="D1242" s="10" t="s">
        <v>2867</v>
      </c>
      <c r="E1242" s="11" t="str">
        <f>HYPERLINK("https://twitter.com/Mikael_Furesjo/status/702966867418288128","702966867418288128")</f>
        <v>702966867418288128</v>
      </c>
      <c r="F1242" s="12" t="s">
        <v>108</v>
      </c>
      <c r="G1242" s="13">
        <v>3096.0</v>
      </c>
      <c r="H1242" s="13">
        <v>3192.0</v>
      </c>
      <c r="I1242" s="13">
        <v>0.0</v>
      </c>
      <c r="J1242" s="13">
        <v>0.0</v>
      </c>
      <c r="K1242" s="12" t="s">
        <v>21</v>
      </c>
      <c r="L1242" s="7">
        <v>41981.281909722224</v>
      </c>
      <c r="M1242" s="14" t="s">
        <v>109</v>
      </c>
      <c r="N1242" s="14" t="s">
        <v>110</v>
      </c>
      <c r="O1242" s="11" t="str">
        <f>HYPERLINK("https://pbs.twimg.com/profile_images/541967225691713536/sEjIUqRQ_normal.jpeg","View")</f>
        <v>View</v>
      </c>
      <c r="P1242" s="15"/>
    </row>
    <row r="1243">
      <c r="A1243" s="7">
        <v>42425.55777777778</v>
      </c>
      <c r="B1243" s="8" t="str">
        <f>HYPERLINK("https://twitter.com/rethumb","@rethumb")</f>
        <v>@rethumb</v>
      </c>
      <c r="C1243" s="10" t="s">
        <v>2868</v>
      </c>
      <c r="D1243" s="10" t="s">
        <v>2869</v>
      </c>
      <c r="E1243" s="11" t="str">
        <f>HYPERLINK("https://twitter.com/rethumb/status/702967103528243200","702967103528243200")</f>
        <v>702967103528243200</v>
      </c>
      <c r="F1243" s="12" t="s">
        <v>294</v>
      </c>
      <c r="G1243" s="13">
        <v>574.0</v>
      </c>
      <c r="H1243" s="13">
        <v>458.0</v>
      </c>
      <c r="I1243" s="13">
        <v>0.0</v>
      </c>
      <c r="J1243" s="13">
        <v>0.0</v>
      </c>
      <c r="K1243" s="12" t="s">
        <v>21</v>
      </c>
      <c r="L1243" s="7">
        <v>41111.52915509259</v>
      </c>
      <c r="M1243" s="14" t="s">
        <v>2870</v>
      </c>
      <c r="N1243" s="14" t="s">
        <v>2871</v>
      </c>
      <c r="O1243" s="11" t="str">
        <f>HYPERLINK("https://pbs.twimg.com/profile_images/606508575339511808/H8_RCT0z_normal.png","View")</f>
        <v>View</v>
      </c>
      <c r="P1243" s="15"/>
    </row>
    <row r="1244">
      <c r="A1244" s="7">
        <v>42425.55815972222</v>
      </c>
      <c r="B1244" s="8" t="str">
        <f>HYPERLINK("https://twitter.com/oPewmaker","@oPewmaker")</f>
        <v>@oPewmaker</v>
      </c>
      <c r="C1244" s="10" t="s">
        <v>2872</v>
      </c>
      <c r="D1244" s="10" t="s">
        <v>2287</v>
      </c>
      <c r="E1244" s="11" t="str">
        <f>HYPERLINK("https://twitter.com/oPewmaker/status/702967241407647745","702967241407647745")</f>
        <v>702967241407647745</v>
      </c>
      <c r="F1244" s="12" t="s">
        <v>152</v>
      </c>
      <c r="G1244" s="13">
        <v>53.0</v>
      </c>
      <c r="H1244" s="13">
        <v>170.0</v>
      </c>
      <c r="I1244" s="13">
        <v>16.0</v>
      </c>
      <c r="J1244" s="13">
        <v>0.0</v>
      </c>
      <c r="K1244" s="12" t="s">
        <v>21</v>
      </c>
      <c r="L1244" s="7">
        <v>40701.98983796296</v>
      </c>
      <c r="M1244" s="16"/>
      <c r="N1244" s="14" t="s">
        <v>2873</v>
      </c>
      <c r="O1244" s="11" t="str">
        <f>HYPERLINK("https://pbs.twimg.com/profile_images/491922725187756032/sZamKnBo_normal.png","View")</f>
        <v>View</v>
      </c>
      <c r="P1244" s="15"/>
    </row>
    <row r="1245">
      <c r="A1245" s="7">
        <v>42425.55862268519</v>
      </c>
      <c r="B1245" s="8" t="str">
        <f>HYPERLINK("https://twitter.com/GirishMBlore","@GirishMBlore")</f>
        <v>@GirishMBlore</v>
      </c>
      <c r="C1245" s="10" t="s">
        <v>2874</v>
      </c>
      <c r="D1245" s="10" t="s">
        <v>2875</v>
      </c>
      <c r="E1245" s="11" t="str">
        <f>HYPERLINK("https://twitter.com/GirishMBlore/status/702967410605707265","702967410605707265")</f>
        <v>702967410605707265</v>
      </c>
      <c r="F1245" s="12" t="s">
        <v>164</v>
      </c>
      <c r="G1245" s="13">
        <v>4.0</v>
      </c>
      <c r="H1245" s="13">
        <v>8.0</v>
      </c>
      <c r="I1245" s="13">
        <v>0.0</v>
      </c>
      <c r="J1245" s="13">
        <v>0.0</v>
      </c>
      <c r="K1245" s="12" t="s">
        <v>21</v>
      </c>
      <c r="L1245" s="7">
        <v>42415.42313657407</v>
      </c>
      <c r="M1245" s="16"/>
      <c r="N1245" s="16"/>
      <c r="O1245" s="11" t="str">
        <f>HYPERLINK("https://abs.twimg.com/sticky/default_profile_images/default_profile_2_normal.png","View")</f>
        <v>View</v>
      </c>
      <c r="P1245" s="15"/>
    </row>
    <row r="1246">
      <c r="A1246" s="7">
        <v>42425.560532407406</v>
      </c>
      <c r="B1246" s="8" t="str">
        <f>HYPERLINK("https://twitter.com/JesseJMcQuade","@JesseJMcQuade")</f>
        <v>@JesseJMcQuade</v>
      </c>
      <c r="C1246" s="10" t="s">
        <v>2876</v>
      </c>
      <c r="D1246" s="10" t="s">
        <v>2877</v>
      </c>
      <c r="E1246" s="11" t="str">
        <f>HYPERLINK("https://twitter.com/JesseJMcQuade/status/702968102523260928","702968102523260928")</f>
        <v>702968102523260928</v>
      </c>
      <c r="F1246" s="12" t="s">
        <v>164</v>
      </c>
      <c r="G1246" s="13">
        <v>6.0</v>
      </c>
      <c r="H1246" s="13">
        <v>19.0</v>
      </c>
      <c r="I1246" s="13">
        <v>0.0</v>
      </c>
      <c r="J1246" s="13">
        <v>0.0</v>
      </c>
      <c r="K1246" s="12" t="s">
        <v>21</v>
      </c>
      <c r="L1246" s="7">
        <v>42090.50252314815</v>
      </c>
      <c r="M1246" s="16"/>
      <c r="N1246" s="16"/>
      <c r="O1246" s="11" t="str">
        <f>HYPERLINK("https://abs.twimg.com/sticky/default_profile_images/default_profile_1_normal.png","View")</f>
        <v>View</v>
      </c>
      <c r="P1246" s="15"/>
    </row>
    <row r="1247">
      <c r="A1247" s="7">
        <v>42425.5607175926</v>
      </c>
      <c r="B1247" s="8" t="str">
        <f>HYPERLINK("https://twitter.com/HartwigMicheal","@HartwigMicheal")</f>
        <v>@HartwigMicheal</v>
      </c>
      <c r="C1247" s="10" t="s">
        <v>842</v>
      </c>
      <c r="D1247" s="10" t="s">
        <v>2878</v>
      </c>
      <c r="E1247" s="11" t="str">
        <f>HYPERLINK("https://twitter.com/HartwigMicheal/status/702968167828574208","702968167828574208")</f>
        <v>702968167828574208</v>
      </c>
      <c r="F1247" s="12" t="s">
        <v>103</v>
      </c>
      <c r="G1247" s="13">
        <v>541.0</v>
      </c>
      <c r="H1247" s="13">
        <v>830.0</v>
      </c>
      <c r="I1247" s="13">
        <v>0.0</v>
      </c>
      <c r="J1247" s="13">
        <v>0.0</v>
      </c>
      <c r="K1247" s="12" t="s">
        <v>21</v>
      </c>
      <c r="L1247" s="7">
        <v>42362.00148148148</v>
      </c>
      <c r="M1247" s="14" t="s">
        <v>844</v>
      </c>
      <c r="N1247" s="14" t="s">
        <v>845</v>
      </c>
      <c r="O1247" s="11" t="str">
        <f>HYPERLINK("https://pbs.twimg.com/profile_images/679948461953781761/pDo9356K_normal.jpg","View")</f>
        <v>View</v>
      </c>
      <c r="P1247" s="15"/>
    </row>
    <row r="1248">
      <c r="A1248" s="7">
        <v>42425.56128472222</v>
      </c>
      <c r="B1248" s="8" t="str">
        <f>HYPERLINK("https://twitter.com/MTotolrahaman","@MTotolrahaman")</f>
        <v>@MTotolrahaman</v>
      </c>
      <c r="C1248" s="10" t="s">
        <v>848</v>
      </c>
      <c r="D1248" s="10" t="s">
        <v>2879</v>
      </c>
      <c r="E1248" s="11" t="str">
        <f>HYPERLINK("https://twitter.com/MTotolrahaman/status/702968374150750209","702968374150750209")</f>
        <v>702968374150750209</v>
      </c>
      <c r="F1248" s="12" t="s">
        <v>103</v>
      </c>
      <c r="G1248" s="13">
        <v>766.0</v>
      </c>
      <c r="H1248" s="13">
        <v>846.0</v>
      </c>
      <c r="I1248" s="13">
        <v>0.0</v>
      </c>
      <c r="J1248" s="13">
        <v>0.0</v>
      </c>
      <c r="K1248" s="12" t="s">
        <v>21</v>
      </c>
      <c r="L1248" s="7">
        <v>42355.250798611116</v>
      </c>
      <c r="M1248" s="14" t="s">
        <v>850</v>
      </c>
      <c r="N1248" s="14" t="s">
        <v>851</v>
      </c>
      <c r="O1248" s="11" t="str">
        <f>HYPERLINK("https://pbs.twimg.com/profile_images/677493910256484352/-EdVaVPl_normal.jpg","View")</f>
        <v>View</v>
      </c>
      <c r="P1248" s="15"/>
    </row>
    <row r="1249">
      <c r="A1249" s="7">
        <v>42425.56178240741</v>
      </c>
      <c r="B1249" s="8" t="str">
        <f>HYPERLINK("https://twitter.com/gravelfastidiou","@gravelfastidiou")</f>
        <v>@gravelfastidiou</v>
      </c>
      <c r="C1249" s="10" t="s">
        <v>2880</v>
      </c>
      <c r="D1249" s="10" t="s">
        <v>2881</v>
      </c>
      <c r="E1249" s="11" t="str">
        <f>HYPERLINK("https://twitter.com/gravelfastidiou/status/702968554065412098","702968554065412098")</f>
        <v>702968554065412098</v>
      </c>
      <c r="F1249" s="12" t="s">
        <v>103</v>
      </c>
      <c r="G1249" s="13">
        <v>312.0</v>
      </c>
      <c r="H1249" s="13">
        <v>460.0</v>
      </c>
      <c r="I1249" s="13">
        <v>1.0</v>
      </c>
      <c r="J1249" s="13">
        <v>2.0</v>
      </c>
      <c r="K1249" s="12" t="s">
        <v>21</v>
      </c>
      <c r="L1249" s="7">
        <v>41737.63055555556</v>
      </c>
      <c r="M1249" s="14" t="s">
        <v>2882</v>
      </c>
      <c r="N1249" s="14" t="s">
        <v>2883</v>
      </c>
      <c r="O1249" s="11" t="str">
        <f>HYPERLINK("https://pbs.twimg.com/profile_images/626071840780369920/GNcGWCC5_normal.jpg","View")</f>
        <v>View</v>
      </c>
      <c r="P1249" s="15"/>
    </row>
    <row r="1250">
      <c r="A1250" s="7">
        <v>42425.56186342593</v>
      </c>
      <c r="B1250" s="8" t="str">
        <f>HYPERLINK("https://twitter.com/Boolerang","@Boolerang")</f>
        <v>@Boolerang</v>
      </c>
      <c r="C1250" s="9" t="s">
        <v>352</v>
      </c>
      <c r="D1250" s="10" t="s">
        <v>2884</v>
      </c>
      <c r="E1250" s="11" t="str">
        <f>HYPERLINK("https://twitter.com/Boolerang/status/702968584591564800","702968584591564800")</f>
        <v>702968584591564800</v>
      </c>
      <c r="F1250" s="12" t="s">
        <v>294</v>
      </c>
      <c r="G1250" s="13">
        <v>983.0</v>
      </c>
      <c r="H1250" s="13">
        <v>908.0</v>
      </c>
      <c r="I1250" s="13">
        <v>0.0</v>
      </c>
      <c r="J1250" s="13">
        <v>1.0</v>
      </c>
      <c r="K1250" s="12" t="s">
        <v>21</v>
      </c>
      <c r="L1250" s="7">
        <v>42289.70659722222</v>
      </c>
      <c r="M1250" s="14" t="s">
        <v>354</v>
      </c>
      <c r="N1250" s="14" t="s">
        <v>355</v>
      </c>
      <c r="O1250" s="11" t="str">
        <f>HYPERLINK("https://pbs.twimg.com/profile_images/703179032125267969/9Y-1Fllk_normal.jpg","View")</f>
        <v>View</v>
      </c>
      <c r="P1250" s="15"/>
    </row>
    <row r="1251">
      <c r="A1251" s="7">
        <v>42425.562002314815</v>
      </c>
      <c r="B1251" s="8" t="str">
        <f>HYPERLINK("https://twitter.com/NoSQLDigest","@NoSQLDigest")</f>
        <v>@NoSQLDigest</v>
      </c>
      <c r="C1251" s="10" t="s">
        <v>200</v>
      </c>
      <c r="D1251" s="10" t="s">
        <v>2885</v>
      </c>
      <c r="E1251" s="11" t="str">
        <f>HYPERLINK("https://twitter.com/NoSQLDigest/status/702968631898976256","702968631898976256")</f>
        <v>702968631898976256</v>
      </c>
      <c r="F1251" s="12" t="s">
        <v>202</v>
      </c>
      <c r="G1251" s="13">
        <v>11375.0</v>
      </c>
      <c r="H1251" s="13">
        <v>12.0</v>
      </c>
      <c r="I1251" s="13">
        <v>1.0</v>
      </c>
      <c r="J1251" s="13">
        <v>0.0</v>
      </c>
      <c r="K1251" s="12" t="s">
        <v>21</v>
      </c>
      <c r="L1251" s="7">
        <v>41854.421805555554</v>
      </c>
      <c r="M1251" s="16"/>
      <c r="N1251" s="14" t="s">
        <v>203</v>
      </c>
      <c r="O1251" s="11" t="str">
        <f>HYPERLINK("https://pbs.twimg.com/profile_images/499257180009529344/CSWhr7LZ_normal.jpeg","View")</f>
        <v>View</v>
      </c>
      <c r="P1251" s="15"/>
    </row>
    <row r="1252">
      <c r="A1252" s="7">
        <v>42425.5622337963</v>
      </c>
      <c r="B1252" s="8" t="str">
        <f>HYPERLINK("https://twitter.com/techpearce2","@techpearce2")</f>
        <v>@techpearce2</v>
      </c>
      <c r="C1252" s="10" t="s">
        <v>2619</v>
      </c>
      <c r="D1252" s="10" t="s">
        <v>2796</v>
      </c>
      <c r="E1252" s="11" t="str">
        <f>HYPERLINK("https://twitter.com/techpearce2/status/702968716443717634","702968716443717634")</f>
        <v>702968716443717634</v>
      </c>
      <c r="F1252" s="12" t="s">
        <v>20</v>
      </c>
      <c r="G1252" s="13">
        <v>11677.0</v>
      </c>
      <c r="H1252" s="13">
        <v>11059.0</v>
      </c>
      <c r="I1252" s="13">
        <v>3.0</v>
      </c>
      <c r="J1252" s="13">
        <v>0.0</v>
      </c>
      <c r="K1252" s="12" t="s">
        <v>21</v>
      </c>
      <c r="L1252" s="7">
        <v>42276.432476851856</v>
      </c>
      <c r="M1252" s="14" t="s">
        <v>2622</v>
      </c>
      <c r="N1252" s="14" t="s">
        <v>2623</v>
      </c>
      <c r="O1252" s="11" t="str">
        <f>HYPERLINK("https://pbs.twimg.com/profile_images/648912420275154944/Ab4szUPV_normal.jpg","View")</f>
        <v>View</v>
      </c>
      <c r="P1252" s="15"/>
    </row>
    <row r="1253">
      <c r="A1253" s="7">
        <v>42425.56254629629</v>
      </c>
      <c r="B1253" s="8" t="str">
        <f>HYPERLINK("https://twitter.com/GIS_Sharer","@GIS_Sharer")</f>
        <v>@GIS_Sharer</v>
      </c>
      <c r="C1253" s="10" t="s">
        <v>2886</v>
      </c>
      <c r="D1253" s="10" t="s">
        <v>2796</v>
      </c>
      <c r="E1253" s="11" t="str">
        <f>HYPERLINK("https://twitter.com/GIS_Sharer/status/702968831241617409","702968831241617409")</f>
        <v>702968831241617409</v>
      </c>
      <c r="F1253" s="12" t="s">
        <v>2886</v>
      </c>
      <c r="G1253" s="13">
        <v>1343.0</v>
      </c>
      <c r="H1253" s="13">
        <v>11.0</v>
      </c>
      <c r="I1253" s="13">
        <v>3.0</v>
      </c>
      <c r="J1253" s="13">
        <v>0.0</v>
      </c>
      <c r="K1253" s="12" t="s">
        <v>21</v>
      </c>
      <c r="L1253" s="7">
        <v>42346.215567129635</v>
      </c>
      <c r="M1253" s="14" t="s">
        <v>2887</v>
      </c>
      <c r="N1253" s="14" t="s">
        <v>2888</v>
      </c>
      <c r="O1253" s="11" t="str">
        <f>HYPERLINK("https://pbs.twimg.com/profile_images/674226896880582656/DhIYJPm-_normal.png","View")</f>
        <v>View</v>
      </c>
      <c r="P1253" s="15"/>
    </row>
    <row r="1254">
      <c r="A1254" s="7">
        <v>42425.56271990741</v>
      </c>
      <c r="B1254" s="8" t="str">
        <f>HYPERLINK("https://twitter.com/AH_TeamBusiness","@AH_TeamBusiness")</f>
        <v>@AH_TeamBusiness</v>
      </c>
      <c r="C1254" s="10" t="s">
        <v>2889</v>
      </c>
      <c r="D1254" s="10" t="s">
        <v>2890</v>
      </c>
      <c r="E1254" s="11" t="str">
        <f>HYPERLINK("https://twitter.com/AH_TeamBusiness/status/702968894710030336","702968894710030336")</f>
        <v>702968894710030336</v>
      </c>
      <c r="F1254" s="12" t="s">
        <v>52</v>
      </c>
      <c r="G1254" s="13">
        <v>514.0</v>
      </c>
      <c r="H1254" s="13">
        <v>928.0</v>
      </c>
      <c r="I1254" s="13">
        <v>1.0</v>
      </c>
      <c r="J1254" s="13">
        <v>5.0</v>
      </c>
      <c r="K1254" s="12" t="s">
        <v>21</v>
      </c>
      <c r="L1254" s="7">
        <v>41540.415509259255</v>
      </c>
      <c r="M1254" s="14" t="s">
        <v>2891</v>
      </c>
      <c r="N1254" s="14" t="s">
        <v>2892</v>
      </c>
      <c r="O1254" s="11" t="str">
        <f>HYPERLINK("https://pbs.twimg.com/profile_images/502422274314895362/yxmXXcnq_normal.jpeg","View")</f>
        <v>View</v>
      </c>
      <c r="P1254" s="15"/>
    </row>
    <row r="1255">
      <c r="A1255" s="7">
        <v>42425.562997685185</v>
      </c>
      <c r="B1255" s="8" t="str">
        <f>HYPERLINK("https://twitter.com/py3k","@py3k")</f>
        <v>@py3k</v>
      </c>
      <c r="C1255" s="10" t="s">
        <v>297</v>
      </c>
      <c r="D1255" s="10" t="s">
        <v>2893</v>
      </c>
      <c r="E1255" s="11" t="str">
        <f>HYPERLINK("https://twitter.com/py3k/status/702968992890281990","702968992890281990")</f>
        <v>702968992890281990</v>
      </c>
      <c r="F1255" s="12" t="s">
        <v>299</v>
      </c>
      <c r="G1255" s="13">
        <v>1623.0</v>
      </c>
      <c r="H1255" s="13">
        <v>676.0</v>
      </c>
      <c r="I1255" s="13">
        <v>1.0</v>
      </c>
      <c r="J1255" s="13">
        <v>0.0</v>
      </c>
      <c r="K1255" s="12" t="s">
        <v>21</v>
      </c>
      <c r="L1255" s="7">
        <v>41096.62268518518</v>
      </c>
      <c r="M1255" s="16"/>
      <c r="N1255" s="14" t="s">
        <v>300</v>
      </c>
      <c r="O1255" s="11" t="str">
        <f>HYPERLINK("https://pbs.twimg.com/profile_images/2474433856/p075cerxh0arpea6ceip_normal.png","View")</f>
        <v>View</v>
      </c>
      <c r="P1255" s="15"/>
    </row>
    <row r="1256">
      <c r="A1256" s="7">
        <v>42425.56372685185</v>
      </c>
      <c r="B1256" s="8" t="str">
        <f>HYPERLINK("https://twitter.com/Hostxido","@Hostxido")</f>
        <v>@Hostxido</v>
      </c>
      <c r="C1256" s="10" t="s">
        <v>2894</v>
      </c>
      <c r="D1256" s="10" t="s">
        <v>2895</v>
      </c>
      <c r="E1256" s="11" t="str">
        <f>HYPERLINK("https://twitter.com/Hostxido/status/702969258918199299","702969258918199299")</f>
        <v>702969258918199299</v>
      </c>
      <c r="F1256" s="12" t="s">
        <v>2894</v>
      </c>
      <c r="G1256" s="13">
        <v>642.0</v>
      </c>
      <c r="H1256" s="13">
        <v>1760.0</v>
      </c>
      <c r="I1256" s="13">
        <v>0.0</v>
      </c>
      <c r="J1256" s="13">
        <v>0.0</v>
      </c>
      <c r="K1256" s="12" t="s">
        <v>21</v>
      </c>
      <c r="L1256" s="7">
        <v>41187.5805787037</v>
      </c>
      <c r="M1256" s="16"/>
      <c r="N1256" s="14" t="s">
        <v>2896</v>
      </c>
      <c r="O1256" s="11" t="str">
        <f>HYPERLINK("https://pbs.twimg.com/profile_images/2722042695/dae07433e4737bfe801edd312504579b_normal.jpeg","View")</f>
        <v>View</v>
      </c>
      <c r="P1256" s="15"/>
    </row>
    <row r="1257">
      <c r="A1257" s="7">
        <v>42425.56409722222</v>
      </c>
      <c r="B1257" s="8" t="str">
        <f>HYPERLINK("https://twitter.com/zaphodikus","@zaphodikus")</f>
        <v>@zaphodikus</v>
      </c>
      <c r="C1257" s="10" t="s">
        <v>2897</v>
      </c>
      <c r="D1257" s="10" t="s">
        <v>2898</v>
      </c>
      <c r="E1257" s="11" t="str">
        <f>HYPERLINK("https://twitter.com/zaphodikus/status/702969394750746625","702969394750746625")</f>
        <v>702969394750746625</v>
      </c>
      <c r="F1257" s="12" t="s">
        <v>20</v>
      </c>
      <c r="G1257" s="13">
        <v>106.0</v>
      </c>
      <c r="H1257" s="13">
        <v>123.0</v>
      </c>
      <c r="I1257" s="13">
        <v>0.0</v>
      </c>
      <c r="J1257" s="13">
        <v>0.0</v>
      </c>
      <c r="K1257" s="12" t="s">
        <v>21</v>
      </c>
      <c r="L1257" s="7">
        <v>40023.20469907408</v>
      </c>
      <c r="M1257" s="14" t="s">
        <v>2899</v>
      </c>
      <c r="N1257" s="14" t="s">
        <v>2900</v>
      </c>
      <c r="O1257" s="11" t="str">
        <f>HYPERLINK("https://pbs.twimg.com/profile_images/1596587704/J9PHPVBs_normal","View")</f>
        <v>View</v>
      </c>
      <c r="P1257" s="15"/>
    </row>
    <row r="1258">
      <c r="A1258" s="7">
        <v>42425.56469907408</v>
      </c>
      <c r="B1258" s="8" t="str">
        <f>HYPERLINK("https://twitter.com/DevLifeExp","@DevLifeExp")</f>
        <v>@DevLifeExp</v>
      </c>
      <c r="C1258" s="10" t="s">
        <v>2901</v>
      </c>
      <c r="D1258" s="10" t="s">
        <v>2902</v>
      </c>
      <c r="E1258" s="11" t="str">
        <f>HYPERLINK("https://twitter.com/DevLifeExp/status/702969611789148161","702969611789148161")</f>
        <v>702969611789148161</v>
      </c>
      <c r="F1258" s="12" t="s">
        <v>152</v>
      </c>
      <c r="G1258" s="13">
        <v>1.0</v>
      </c>
      <c r="H1258" s="13">
        <v>1.0</v>
      </c>
      <c r="I1258" s="13">
        <v>0.0</v>
      </c>
      <c r="J1258" s="13">
        <v>0.0</v>
      </c>
      <c r="K1258" s="12" t="s">
        <v>21</v>
      </c>
      <c r="L1258" s="7">
        <v>42425.46105324074</v>
      </c>
      <c r="M1258" s="14" t="s">
        <v>2903</v>
      </c>
      <c r="N1258" s="14" t="s">
        <v>2904</v>
      </c>
      <c r="O1258" s="11" t="str">
        <f>HYPERLINK("https://pbs.twimg.com/profile_images/702965933195845632/LXNIE4nz_normal.jpg","View")</f>
        <v>View</v>
      </c>
      <c r="P1258" s="15"/>
    </row>
    <row r="1259">
      <c r="A1259" s="7">
        <v>42425.5649537037</v>
      </c>
      <c r="B1259" s="8" t="str">
        <f>HYPERLINK("https://twitter.com/LillianEdmiston","@LillianEdmiston")</f>
        <v>@LillianEdmiston</v>
      </c>
      <c r="C1259" s="10" t="s">
        <v>170</v>
      </c>
      <c r="D1259" s="10" t="s">
        <v>2905</v>
      </c>
      <c r="E1259" s="11" t="str">
        <f>HYPERLINK("https://twitter.com/LillianEdmiston/status/702969704978243584","702969704978243584")</f>
        <v>702969704978243584</v>
      </c>
      <c r="F1259" s="12" t="s">
        <v>103</v>
      </c>
      <c r="G1259" s="13">
        <v>1050.0</v>
      </c>
      <c r="H1259" s="13">
        <v>40.0</v>
      </c>
      <c r="I1259" s="13">
        <v>1.0</v>
      </c>
      <c r="J1259" s="13">
        <v>1.0</v>
      </c>
      <c r="K1259" s="12" t="s">
        <v>21</v>
      </c>
      <c r="L1259" s="7">
        <v>42293.27416666667</v>
      </c>
      <c r="M1259" s="14" t="s">
        <v>172</v>
      </c>
      <c r="N1259" s="14" t="s">
        <v>173</v>
      </c>
      <c r="O1259" s="11" t="str">
        <f>HYPERLINK("https://pbs.twimg.com/profile_images/655014978101993476/ZpsnJW8B_normal.jpg","View")</f>
        <v>View</v>
      </c>
      <c r="P1259" s="15"/>
    </row>
    <row r="1260">
      <c r="A1260" s="7">
        <v>42425.566157407404</v>
      </c>
      <c r="B1260" s="8" t="str">
        <f>HYPERLINK("https://twitter.com/davidemoro","@davidemoro")</f>
        <v>@davidemoro</v>
      </c>
      <c r="C1260" s="10" t="s">
        <v>2906</v>
      </c>
      <c r="D1260" s="10" t="s">
        <v>2602</v>
      </c>
      <c r="E1260" s="11" t="str">
        <f>HYPERLINK("https://twitter.com/davidemoro/status/702970139998863360","702970139998863360")</f>
        <v>702970139998863360</v>
      </c>
      <c r="F1260" s="12" t="s">
        <v>152</v>
      </c>
      <c r="G1260" s="13">
        <v>228.0</v>
      </c>
      <c r="H1260" s="13">
        <v>318.0</v>
      </c>
      <c r="I1260" s="13">
        <v>3.0</v>
      </c>
      <c r="J1260" s="13">
        <v>0.0</v>
      </c>
      <c r="K1260" s="12" t="s">
        <v>21</v>
      </c>
      <c r="L1260" s="7">
        <v>40099.598229166666</v>
      </c>
      <c r="M1260" s="14" t="s">
        <v>129</v>
      </c>
      <c r="N1260" s="14" t="s">
        <v>2907</v>
      </c>
      <c r="O1260" s="11" t="str">
        <f>HYPERLINK("https://pbs.twimg.com/profile_images/460873033670852609/ITpNBwFG_normal.jpeg","View")</f>
        <v>View</v>
      </c>
      <c r="P1260" s="15"/>
    </row>
    <row r="1261">
      <c r="A1261" s="7">
        <v>42425.56685185185</v>
      </c>
      <c r="B1261" s="8" t="str">
        <f>HYPERLINK("https://twitter.com/LeBlunt420","@LeBlunt420")</f>
        <v>@LeBlunt420</v>
      </c>
      <c r="C1261" s="10" t="s">
        <v>2908</v>
      </c>
      <c r="D1261" s="10" t="s">
        <v>2909</v>
      </c>
      <c r="E1261" s="11" t="str">
        <f>HYPERLINK("https://twitter.com/LeBlunt420/status/702970391392747520","702970391392747520")</f>
        <v>702970391392747520</v>
      </c>
      <c r="F1261" s="12" t="s">
        <v>152</v>
      </c>
      <c r="G1261" s="13">
        <v>696.0</v>
      </c>
      <c r="H1261" s="13">
        <v>627.0</v>
      </c>
      <c r="I1261" s="13">
        <v>1.0</v>
      </c>
      <c r="J1261" s="13">
        <v>0.0</v>
      </c>
      <c r="K1261" s="12" t="s">
        <v>21</v>
      </c>
      <c r="L1261" s="7">
        <v>40067.36075231482</v>
      </c>
      <c r="M1261" s="14" t="s">
        <v>69</v>
      </c>
      <c r="N1261" s="14" t="s">
        <v>2910</v>
      </c>
      <c r="O1261" s="11" t="str">
        <f>HYPERLINK("https://pbs.twimg.com/profile_images/702271237318246400/Av-UI7Pb_normal.jpg","View")</f>
        <v>View</v>
      </c>
      <c r="P1261" s="15"/>
    </row>
    <row r="1262">
      <c r="A1262" s="7">
        <v>42425.56835648148</v>
      </c>
      <c r="B1262" s="8" t="str">
        <f>HYPERLINK("https://twitter.com/echorand","@echorand")</f>
        <v>@echorand</v>
      </c>
      <c r="C1262" s="10" t="s">
        <v>2911</v>
      </c>
      <c r="D1262" s="10" t="s">
        <v>2912</v>
      </c>
      <c r="E1262" s="11" t="str">
        <f>HYPERLINK("https://twitter.com/echorand/status/702970936547389441","702970936547389441")</f>
        <v>702970936547389441</v>
      </c>
      <c r="F1262" s="12" t="s">
        <v>152</v>
      </c>
      <c r="G1262" s="13">
        <v>446.0</v>
      </c>
      <c r="H1262" s="13">
        <v>633.0</v>
      </c>
      <c r="I1262" s="13">
        <v>0.0</v>
      </c>
      <c r="J1262" s="13">
        <v>3.0</v>
      </c>
      <c r="K1262" s="12" t="s">
        <v>21</v>
      </c>
      <c r="L1262" s="7">
        <v>40672.949212962965</v>
      </c>
      <c r="M1262" s="14" t="s">
        <v>2913</v>
      </c>
      <c r="N1262" s="14" t="s">
        <v>2914</v>
      </c>
      <c r="O1262" s="11" t="str">
        <f>HYPERLINK("https://pbs.twimg.com/profile_images/640433458368548864/NmRTfx3G_normal.jpg","View")</f>
        <v>View</v>
      </c>
      <c r="P1262" s="15"/>
    </row>
    <row r="1263">
      <c r="A1263" s="7">
        <v>42425.56861111111</v>
      </c>
      <c r="B1263" s="8" t="str">
        <f>HYPERLINK("https://twitter.com/art_control","@art_control")</f>
        <v>@art_control</v>
      </c>
      <c r="C1263" s="10" t="s">
        <v>309</v>
      </c>
      <c r="D1263" s="10" t="s">
        <v>2915</v>
      </c>
      <c r="E1263" s="11" t="str">
        <f>HYPERLINK("https://twitter.com/art_control/status/702971030319603714","702971030319603714")</f>
        <v>702971030319603714</v>
      </c>
      <c r="F1263" s="12" t="s">
        <v>311</v>
      </c>
      <c r="G1263" s="13">
        <v>989.0</v>
      </c>
      <c r="H1263" s="13">
        <v>850.0</v>
      </c>
      <c r="I1263" s="13">
        <v>0.0</v>
      </c>
      <c r="J1263" s="13">
        <v>0.0</v>
      </c>
      <c r="K1263" s="12" t="s">
        <v>21</v>
      </c>
      <c r="L1263" s="7">
        <v>39896.869675925926</v>
      </c>
      <c r="M1263" s="14" t="s">
        <v>312</v>
      </c>
      <c r="N1263" s="14" t="s">
        <v>313</v>
      </c>
      <c r="O1263" s="11" t="str">
        <f>HYPERLINK("https://pbs.twimg.com/profile_images/649004216690675712/UAcrP6ol_normal.png","View")</f>
        <v>View</v>
      </c>
      <c r="P1263" s="15"/>
    </row>
    <row r="1264">
      <c r="A1264" s="7">
        <v>42425.56866898148</v>
      </c>
      <c r="B1264" s="8" t="str">
        <f>HYPERLINK("https://twitter.com/cool_python","@cool_python")</f>
        <v>@cool_python</v>
      </c>
      <c r="C1264" s="10" t="s">
        <v>249</v>
      </c>
      <c r="D1264" s="10" t="s">
        <v>2916</v>
      </c>
      <c r="E1264" s="11" t="str">
        <f>HYPERLINK("https://twitter.com/cool_python/status/702971049449820160","702971049449820160")</f>
        <v>702971049449820160</v>
      </c>
      <c r="F1264" s="12" t="s">
        <v>251</v>
      </c>
      <c r="G1264" s="13">
        <v>235.0</v>
      </c>
      <c r="H1264" s="13">
        <v>91.0</v>
      </c>
      <c r="I1264" s="13">
        <v>1.0</v>
      </c>
      <c r="J1264" s="13">
        <v>0.0</v>
      </c>
      <c r="K1264" s="12" t="s">
        <v>21</v>
      </c>
      <c r="L1264" s="7">
        <v>42064.325</v>
      </c>
      <c r="M1264" s="14" t="s">
        <v>252</v>
      </c>
      <c r="N1264" s="14" t="s">
        <v>253</v>
      </c>
      <c r="O1264" s="11" t="str">
        <f>HYPERLINK("https://pbs.twimg.com/profile_images/572091631055028224/Pkx__FSB_normal.png","View")</f>
        <v>View</v>
      </c>
      <c r="P1264" s="15"/>
    </row>
    <row r="1265">
      <c r="A1265" s="7">
        <v>42425.569606481484</v>
      </c>
      <c r="B1265" s="8" t="str">
        <f>HYPERLINK("https://twitter.com/codejobs","@codejobs")</f>
        <v>@codejobs</v>
      </c>
      <c r="C1265" s="10" t="s">
        <v>2917</v>
      </c>
      <c r="D1265" s="10" t="s">
        <v>2918</v>
      </c>
      <c r="E1265" s="11" t="str">
        <f>HYPERLINK("https://twitter.com/codejobs/status/702971388429258753","702971388429258753")</f>
        <v>702971388429258753</v>
      </c>
      <c r="F1265" s="12" t="s">
        <v>294</v>
      </c>
      <c r="G1265" s="13">
        <v>91635.0</v>
      </c>
      <c r="H1265" s="13">
        <v>28474.0</v>
      </c>
      <c r="I1265" s="13">
        <v>6.0</v>
      </c>
      <c r="J1265" s="13">
        <v>9.0</v>
      </c>
      <c r="K1265" s="12" t="s">
        <v>21</v>
      </c>
      <c r="L1265" s="7">
        <v>40919.93534722222</v>
      </c>
      <c r="M1265" s="14" t="s">
        <v>628</v>
      </c>
      <c r="N1265" s="14" t="s">
        <v>2919</v>
      </c>
      <c r="O1265" s="11" t="str">
        <f>HYPERLINK("https://pbs.twimg.com/profile_images/603310588190658560/6jLlKtr1_normal.png","View")</f>
        <v>View</v>
      </c>
      <c r="P1265" s="15"/>
    </row>
    <row r="1266">
      <c r="A1266" s="7">
        <v>42425.56997685185</v>
      </c>
      <c r="B1266" s="8" t="str">
        <f>HYPERLINK("https://twitter.com/lisaannefloyd","@lisaannefloyd")</f>
        <v>@lisaannefloyd</v>
      </c>
      <c r="C1266" s="10" t="s">
        <v>2920</v>
      </c>
      <c r="D1266" s="10" t="s">
        <v>2921</v>
      </c>
      <c r="E1266" s="11" t="str">
        <f>HYPERLINK("https://twitter.com/lisaannefloyd/status/702971524500819970","702971524500819970")</f>
        <v>702971524500819970</v>
      </c>
      <c r="F1266" s="12" t="s">
        <v>152</v>
      </c>
      <c r="G1266" s="13">
        <v>1217.0</v>
      </c>
      <c r="H1266" s="13">
        <v>1232.0</v>
      </c>
      <c r="I1266" s="13">
        <v>1.0</v>
      </c>
      <c r="J1266" s="13">
        <v>6.0</v>
      </c>
      <c r="K1266" s="12" t="s">
        <v>21</v>
      </c>
      <c r="L1266" s="7">
        <v>41946.72974537037</v>
      </c>
      <c r="M1266" s="16"/>
      <c r="N1266" s="14" t="s">
        <v>2922</v>
      </c>
      <c r="O1266" s="11" t="str">
        <f>HYPERLINK("https://pbs.twimg.com/profile_images/529449500130443264/WoxVNAeZ_normal.jpeg","View")</f>
        <v>View</v>
      </c>
      <c r="P1266" s="15"/>
    </row>
    <row r="1267">
      <c r="A1267" s="7">
        <v>42425.5703125</v>
      </c>
      <c r="B1267" s="8" t="str">
        <f>HYPERLINK("https://twitter.com/mintzworld","@mintzworld")</f>
        <v>@mintzworld</v>
      </c>
      <c r="C1267" s="10" t="s">
        <v>2923</v>
      </c>
      <c r="D1267" s="10" t="s">
        <v>2924</v>
      </c>
      <c r="E1267" s="11" t="str">
        <f>HYPERLINK("https://twitter.com/mintzworld/status/702971645837877249","702971645837877249")</f>
        <v>702971645837877249</v>
      </c>
      <c r="F1267" s="12" t="s">
        <v>52</v>
      </c>
      <c r="G1267" s="13">
        <v>424.0</v>
      </c>
      <c r="H1267" s="13">
        <v>235.0</v>
      </c>
      <c r="I1267" s="13">
        <v>1.0</v>
      </c>
      <c r="J1267" s="13">
        <v>0.0</v>
      </c>
      <c r="K1267" s="12" t="s">
        <v>21</v>
      </c>
      <c r="L1267" s="7">
        <v>40626.589374999996</v>
      </c>
      <c r="M1267" s="14" t="s">
        <v>332</v>
      </c>
      <c r="N1267" s="14" t="s">
        <v>2925</v>
      </c>
      <c r="O1267" s="11" t="str">
        <f>HYPERLINK("https://pbs.twimg.com/profile_images/1321484341/MichaelSq_normal.png","View")</f>
        <v>View</v>
      </c>
      <c r="P1267" s="15"/>
    </row>
    <row r="1268">
      <c r="A1268" s="7">
        <v>42425.57194444444</v>
      </c>
      <c r="B1268" s="8" t="str">
        <f>HYPERLINK("https://twitter.com/RubenGB_","@RubenGB_")</f>
        <v>@RubenGB_</v>
      </c>
      <c r="C1268" s="10" t="s">
        <v>2926</v>
      </c>
      <c r="D1268" s="10" t="s">
        <v>2927</v>
      </c>
      <c r="E1268" s="11" t="str">
        <f>HYPERLINK("https://twitter.com/RubenGB_/status/702972238396530688","702972238396530688")</f>
        <v>702972238396530688</v>
      </c>
      <c r="F1268" s="12" t="s">
        <v>152</v>
      </c>
      <c r="G1268" s="13">
        <v>202.0</v>
      </c>
      <c r="H1268" s="13">
        <v>217.0</v>
      </c>
      <c r="I1268" s="13">
        <v>3.0</v>
      </c>
      <c r="J1268" s="13">
        <v>0.0</v>
      </c>
      <c r="K1268" s="12" t="s">
        <v>21</v>
      </c>
      <c r="L1268" s="7">
        <v>40595.29734953704</v>
      </c>
      <c r="M1268" s="14" t="s">
        <v>2928</v>
      </c>
      <c r="N1268" s="14" t="s">
        <v>2929</v>
      </c>
      <c r="O1268" s="11" t="str">
        <f>HYPERLINK("https://pbs.twimg.com/profile_images/483373106816643072/Ij_Kefr5_normal.jpeg","View")</f>
        <v>View</v>
      </c>
      <c r="P1268" s="15"/>
    </row>
    <row r="1269">
      <c r="A1269" s="7">
        <v>42425.57241898148</v>
      </c>
      <c r="B1269" s="8" t="str">
        <f>HYPERLINK("https://twitter.com/sweetsnipergun","@sweetsnipergun")</f>
        <v>@sweetsnipergun</v>
      </c>
      <c r="C1269" s="10" t="s">
        <v>2930</v>
      </c>
      <c r="D1269" s="10" t="s">
        <v>2931</v>
      </c>
      <c r="E1269" s="11" t="str">
        <f>HYPERLINK("https://twitter.com/sweetsnipergun/status/702972408563691520","702972408563691520")</f>
        <v>702972408563691520</v>
      </c>
      <c r="F1269" s="12" t="s">
        <v>152</v>
      </c>
      <c r="G1269" s="13">
        <v>264.0</v>
      </c>
      <c r="H1269" s="13">
        <v>270.0</v>
      </c>
      <c r="I1269" s="13">
        <v>6.0</v>
      </c>
      <c r="J1269" s="13">
        <v>0.0</v>
      </c>
      <c r="K1269" s="12" t="s">
        <v>21</v>
      </c>
      <c r="L1269" s="7">
        <v>40346.725127314814</v>
      </c>
      <c r="M1269" s="14" t="s">
        <v>2932</v>
      </c>
      <c r="N1269" s="14" t="s">
        <v>2933</v>
      </c>
      <c r="O1269" s="11" t="str">
        <f>HYPERLINK("https://pbs.twimg.com/profile_images/702683386243104768/wWaQWSJL_normal.jpg","View")</f>
        <v>View</v>
      </c>
      <c r="P1269" s="15"/>
    </row>
    <row r="1270">
      <c r="A1270" s="7">
        <v>42425.573958333334</v>
      </c>
      <c r="B1270" s="8" t="str">
        <f>HYPERLINK("https://twitter.com/NoSQLDigest","@NoSQLDigest")</f>
        <v>@NoSQLDigest</v>
      </c>
      <c r="C1270" s="10" t="s">
        <v>200</v>
      </c>
      <c r="D1270" s="10" t="s">
        <v>2854</v>
      </c>
      <c r="E1270" s="11" t="str">
        <f>HYPERLINK("https://twitter.com/NoSQLDigest/status/702972965558702080","702972965558702080")</f>
        <v>702972965558702080</v>
      </c>
      <c r="F1270" s="12" t="s">
        <v>202</v>
      </c>
      <c r="G1270" s="13">
        <v>11375.0</v>
      </c>
      <c r="H1270" s="13">
        <v>12.0</v>
      </c>
      <c r="I1270" s="13">
        <v>4.0</v>
      </c>
      <c r="J1270" s="13">
        <v>0.0</v>
      </c>
      <c r="K1270" s="12" t="s">
        <v>21</v>
      </c>
      <c r="L1270" s="7">
        <v>41854.421805555554</v>
      </c>
      <c r="M1270" s="16"/>
      <c r="N1270" s="14" t="s">
        <v>203</v>
      </c>
      <c r="O1270" s="11" t="str">
        <f>HYPERLINK("https://pbs.twimg.com/profile_images/499257180009529344/CSWhr7LZ_normal.jpeg","View")</f>
        <v>View</v>
      </c>
      <c r="P1270" s="15"/>
    </row>
    <row r="1271">
      <c r="A1271" s="7">
        <v>42425.57414351852</v>
      </c>
      <c r="B1271" s="8" t="str">
        <f>HYPERLINK("https://twitter.com/AH_TeamBusiness","@AH_TeamBusiness")</f>
        <v>@AH_TeamBusiness</v>
      </c>
      <c r="C1271" s="10" t="s">
        <v>2889</v>
      </c>
      <c r="D1271" s="10" t="s">
        <v>2934</v>
      </c>
      <c r="E1271" s="11" t="str">
        <f>HYPERLINK("https://twitter.com/AH_TeamBusiness/status/702973035482116096","702973035482116096")</f>
        <v>702973035482116096</v>
      </c>
      <c r="F1271" s="12" t="s">
        <v>52</v>
      </c>
      <c r="G1271" s="13">
        <v>514.0</v>
      </c>
      <c r="H1271" s="13">
        <v>928.0</v>
      </c>
      <c r="I1271" s="13">
        <v>0.0</v>
      </c>
      <c r="J1271" s="13">
        <v>0.0</v>
      </c>
      <c r="K1271" s="12" t="s">
        <v>21</v>
      </c>
      <c r="L1271" s="7">
        <v>41540.415509259255</v>
      </c>
      <c r="M1271" s="14" t="s">
        <v>2891</v>
      </c>
      <c r="N1271" s="14" t="s">
        <v>2892</v>
      </c>
      <c r="O1271" s="11" t="str">
        <f>HYPERLINK("https://pbs.twimg.com/profile_images/502422274314895362/yxmXXcnq_normal.jpeg","View")</f>
        <v>View</v>
      </c>
      <c r="P1271" s="15"/>
    </row>
    <row r="1272">
      <c r="A1272" s="7">
        <v>42425.574849537035</v>
      </c>
      <c r="B1272" s="8" t="str">
        <f>HYPERLINK("https://twitter.com/LillianEdmiston","@LillianEdmiston")</f>
        <v>@LillianEdmiston</v>
      </c>
      <c r="C1272" s="10" t="s">
        <v>170</v>
      </c>
      <c r="D1272" s="10" t="s">
        <v>2935</v>
      </c>
      <c r="E1272" s="11" t="str">
        <f>HYPERLINK("https://twitter.com/LillianEdmiston/status/702973287920443396","702973287920443396")</f>
        <v>702973287920443396</v>
      </c>
      <c r="F1272" s="12" t="s">
        <v>103</v>
      </c>
      <c r="G1272" s="13">
        <v>1050.0</v>
      </c>
      <c r="H1272" s="13">
        <v>40.0</v>
      </c>
      <c r="I1272" s="13">
        <v>0.0</v>
      </c>
      <c r="J1272" s="13">
        <v>0.0</v>
      </c>
      <c r="K1272" s="12" t="s">
        <v>21</v>
      </c>
      <c r="L1272" s="7">
        <v>42293.27416666667</v>
      </c>
      <c r="M1272" s="14" t="s">
        <v>172</v>
      </c>
      <c r="N1272" s="14" t="s">
        <v>173</v>
      </c>
      <c r="O1272" s="11" t="str">
        <f>HYPERLINK("https://pbs.twimg.com/profile_images/655014978101993476/ZpsnJW8B_normal.jpg","View")</f>
        <v>View</v>
      </c>
      <c r="P1272" s="15"/>
    </row>
    <row r="1273">
      <c r="A1273" s="7">
        <v>42425.57486111111</v>
      </c>
      <c r="B1273" s="8" t="str">
        <f>HYPERLINK("https://twitter.com/J0hnWeb","@J0hnWeb")</f>
        <v>@J0hnWeb</v>
      </c>
      <c r="C1273" s="10" t="s">
        <v>2936</v>
      </c>
      <c r="D1273" s="10" t="s">
        <v>2937</v>
      </c>
      <c r="E1273" s="11" t="str">
        <f>HYPERLINK("https://twitter.com/J0hnWeb/status/702973294190833664","702973294190833664")</f>
        <v>702973294190833664</v>
      </c>
      <c r="F1273" s="12" t="s">
        <v>20</v>
      </c>
      <c r="G1273" s="13">
        <v>46.0</v>
      </c>
      <c r="H1273" s="13">
        <v>172.0</v>
      </c>
      <c r="I1273" s="13">
        <v>0.0</v>
      </c>
      <c r="J1273" s="13">
        <v>0.0</v>
      </c>
      <c r="K1273" s="12" t="s">
        <v>21</v>
      </c>
      <c r="L1273" s="7">
        <v>41451.49</v>
      </c>
      <c r="M1273" s="14" t="s">
        <v>2034</v>
      </c>
      <c r="N1273" s="14" t="s">
        <v>2938</v>
      </c>
      <c r="O1273" s="11" t="str">
        <f>HYPERLINK("https://pbs.twimg.com/profile_images/654070637502185472/c3nPe-Fn_normal.jpg","View")</f>
        <v>View</v>
      </c>
      <c r="P1273" s="15"/>
    </row>
    <row r="1274">
      <c r="A1274" s="7">
        <v>42425.575011574074</v>
      </c>
      <c r="B1274" s="8" t="str">
        <f>HYPERLINK("https://twitter.com/jamal_moir","@jamal_moir")</f>
        <v>@jamal_moir</v>
      </c>
      <c r="C1274" s="10" t="s">
        <v>2939</v>
      </c>
      <c r="D1274" s="10" t="s">
        <v>2940</v>
      </c>
      <c r="E1274" s="11" t="str">
        <f>HYPERLINK("https://twitter.com/jamal_moir/status/702973347722690560","702973347722690560")</f>
        <v>702973347722690560</v>
      </c>
      <c r="F1274" s="12" t="s">
        <v>152</v>
      </c>
      <c r="G1274" s="13">
        <v>124.0</v>
      </c>
      <c r="H1274" s="13">
        <v>104.0</v>
      </c>
      <c r="I1274" s="13">
        <v>0.0</v>
      </c>
      <c r="J1274" s="13">
        <v>0.0</v>
      </c>
      <c r="K1274" s="12" t="s">
        <v>21</v>
      </c>
      <c r="L1274" s="7">
        <v>41517.25885416666</v>
      </c>
      <c r="M1274" s="14" t="s">
        <v>2941</v>
      </c>
      <c r="N1274" s="14" t="s">
        <v>2942</v>
      </c>
      <c r="O1274" s="11" t="str">
        <f>HYPERLINK("https://pbs.twimg.com/profile_images/701940703329284096/L4xW77o2_normal.jpg","View")</f>
        <v>View</v>
      </c>
      <c r="P1274" s="15"/>
    </row>
    <row r="1275">
      <c r="A1275" s="7">
        <v>42425.576215277775</v>
      </c>
      <c r="B1275" s="8" t="str">
        <f>HYPERLINK("https://twitter.com/wcmckeedotcom","@wcmckeedotcom")</f>
        <v>@wcmckeedotcom</v>
      </c>
      <c r="C1275" s="10" t="s">
        <v>476</v>
      </c>
      <c r="D1275" s="10" t="s">
        <v>2943</v>
      </c>
      <c r="E1275" s="11" t="str">
        <f>HYPERLINK("https://twitter.com/wcmckeedotcom/status/702973784010137600","702973784010137600")</f>
        <v>702973784010137600</v>
      </c>
      <c r="F1275" s="12" t="s">
        <v>478</v>
      </c>
      <c r="G1275" s="13">
        <v>1011.0</v>
      </c>
      <c r="H1275" s="13">
        <v>875.0</v>
      </c>
      <c r="I1275" s="13">
        <v>0.0</v>
      </c>
      <c r="J1275" s="13">
        <v>0.0</v>
      </c>
      <c r="K1275" s="12" t="s">
        <v>21</v>
      </c>
      <c r="L1275" s="7">
        <v>41902.048368055555</v>
      </c>
      <c r="M1275" s="14" t="s">
        <v>479</v>
      </c>
      <c r="N1275" s="14" t="s">
        <v>480</v>
      </c>
      <c r="O1275" s="11" t="str">
        <f>HYPERLINK("https://pbs.twimg.com/profile_images/621211385746161664/tGchJstD_normal.jpg","View")</f>
        <v>View</v>
      </c>
      <c r="P1275" s="15"/>
    </row>
    <row r="1276">
      <c r="A1276" s="7">
        <v>42425.57759259259</v>
      </c>
      <c r="B1276" s="8" t="str">
        <f>HYPERLINK("https://twitter.com/EriChauveT","@EriChauveT")</f>
        <v>@EriChauveT</v>
      </c>
      <c r="C1276" s="10" t="s">
        <v>2944</v>
      </c>
      <c r="D1276" s="10" t="s">
        <v>2945</v>
      </c>
      <c r="E1276" s="11" t="str">
        <f>HYPERLINK("https://twitter.com/EriChauveT/status/702974283379818496","702974283379818496")</f>
        <v>702974283379818496</v>
      </c>
      <c r="F1276" s="12" t="s">
        <v>52</v>
      </c>
      <c r="G1276" s="13">
        <v>2158.0</v>
      </c>
      <c r="H1276" s="13">
        <v>2093.0</v>
      </c>
      <c r="I1276" s="13">
        <v>51.0</v>
      </c>
      <c r="J1276" s="13">
        <v>0.0</v>
      </c>
      <c r="K1276" s="12" t="s">
        <v>21</v>
      </c>
      <c r="L1276" s="7">
        <v>39777.34753472223</v>
      </c>
      <c r="M1276" s="14" t="s">
        <v>2946</v>
      </c>
      <c r="N1276" s="14" t="s">
        <v>2947</v>
      </c>
      <c r="O1276" s="11" t="str">
        <f>HYPERLINK("https://pbs.twimg.com/profile_images/680330294612852737/Ssw1iLq7_normal.jpg","View")</f>
        <v>View</v>
      </c>
      <c r="P1276" s="15"/>
    </row>
    <row r="1277">
      <c r="A1277" s="7">
        <v>42425.57789351852</v>
      </c>
      <c r="B1277" s="8" t="str">
        <f>HYPERLINK("https://twitter.com/dvek","@dvek")</f>
        <v>@dvek</v>
      </c>
      <c r="C1277" s="10" t="s">
        <v>2948</v>
      </c>
      <c r="D1277" s="10" t="s">
        <v>2927</v>
      </c>
      <c r="E1277" s="11" t="str">
        <f>HYPERLINK("https://twitter.com/dvek/status/702974392356184064","702974392356184064")</f>
        <v>702974392356184064</v>
      </c>
      <c r="F1277" s="12" t="s">
        <v>20</v>
      </c>
      <c r="G1277" s="13">
        <v>94.0</v>
      </c>
      <c r="H1277" s="13">
        <v>58.0</v>
      </c>
      <c r="I1277" s="13">
        <v>3.0</v>
      </c>
      <c r="J1277" s="13">
        <v>0.0</v>
      </c>
      <c r="K1277" s="12" t="s">
        <v>21</v>
      </c>
      <c r="L1277" s="7">
        <v>39673.206412037034</v>
      </c>
      <c r="M1277" s="14" t="s">
        <v>2949</v>
      </c>
      <c r="N1277" s="14" t="s">
        <v>2950</v>
      </c>
      <c r="O1277" s="11" t="str">
        <f>HYPERLINK("https://pbs.twimg.com/profile_images/1389382682/White_Glint_LOGO_by_ReckSio_-_Copy_normal.jpg","View")</f>
        <v>View</v>
      </c>
      <c r="P1277" s="15"/>
    </row>
    <row r="1278">
      <c r="A1278" s="7">
        <v>42425.57912037037</v>
      </c>
      <c r="B1278" s="8" t="str">
        <f>HYPERLINK("https://twitter.com/dallendoug","@dallendoug")</f>
        <v>@dallendoug</v>
      </c>
      <c r="C1278" s="10" t="s">
        <v>2951</v>
      </c>
      <c r="D1278" s="10" t="s">
        <v>1212</v>
      </c>
      <c r="E1278" s="11" t="str">
        <f>HYPERLINK("https://twitter.com/dallendoug/status/702974839234105344","702974839234105344")</f>
        <v>702974839234105344</v>
      </c>
      <c r="F1278" s="12" t="s">
        <v>98</v>
      </c>
      <c r="G1278" s="13">
        <v>1698.0</v>
      </c>
      <c r="H1278" s="13">
        <v>956.0</v>
      </c>
      <c r="I1278" s="13">
        <v>24.0</v>
      </c>
      <c r="J1278" s="13">
        <v>0.0</v>
      </c>
      <c r="K1278" s="12" t="s">
        <v>21</v>
      </c>
      <c r="L1278" s="7">
        <v>39665.392743055556</v>
      </c>
      <c r="M1278" s="14" t="s">
        <v>1357</v>
      </c>
      <c r="N1278" s="14" t="s">
        <v>2952</v>
      </c>
      <c r="O1278" s="11" t="str">
        <f>HYPERLINK("https://pbs.twimg.com/profile_images/57773442/yellowsignsmall_normal.JPG","View")</f>
        <v>View</v>
      </c>
      <c r="P1278" s="15"/>
    </row>
    <row r="1279">
      <c r="A1279" s="7">
        <v>42425.5799537037</v>
      </c>
      <c r="B1279" s="8" t="str">
        <f>HYPERLINK("https://twitter.com/xpinjection","@xpinjection")</f>
        <v>@xpinjection</v>
      </c>
      <c r="C1279" s="10" t="s">
        <v>2953</v>
      </c>
      <c r="D1279" s="10" t="s">
        <v>2441</v>
      </c>
      <c r="E1279" s="11" t="str">
        <f>HYPERLINK("https://twitter.com/xpinjection/status/702975140729114624","702975140729114624")</f>
        <v>702975140729114624</v>
      </c>
      <c r="F1279" s="12" t="s">
        <v>20</v>
      </c>
      <c r="G1279" s="13">
        <v>2397.0</v>
      </c>
      <c r="H1279" s="13">
        <v>34.0</v>
      </c>
      <c r="I1279" s="13">
        <v>3.0</v>
      </c>
      <c r="J1279" s="13">
        <v>0.0</v>
      </c>
      <c r="K1279" s="12" t="s">
        <v>21</v>
      </c>
      <c r="L1279" s="7">
        <v>40435.56780092593</v>
      </c>
      <c r="M1279" s="14" t="s">
        <v>2954</v>
      </c>
      <c r="N1279" s="14" t="s">
        <v>2955</v>
      </c>
      <c r="O1279" s="11" t="str">
        <f>HYPERLINK("https://pbs.twimg.com/profile_images/603544340548423680/dQqOfs5p_normal.jpg","View")</f>
        <v>View</v>
      </c>
      <c r="P1279" s="15"/>
    </row>
    <row r="1280">
      <c r="A1280" s="7">
        <v>42425.57996527778</v>
      </c>
      <c r="B1280" s="8" t="str">
        <f>HYPERLINK("https://twitter.com/TutsPlusCode","@TutsPlusCode")</f>
        <v>@TutsPlusCode</v>
      </c>
      <c r="C1280" s="10" t="s">
        <v>2956</v>
      </c>
      <c r="D1280" s="10" t="s">
        <v>2957</v>
      </c>
      <c r="E1280" s="11" t="str">
        <f>HYPERLINK("https://twitter.com/TutsPlusCode/status/702975143291830272","702975143291830272")</f>
        <v>702975143291830272</v>
      </c>
      <c r="F1280" s="12" t="s">
        <v>659</v>
      </c>
      <c r="G1280" s="13">
        <v>168701.0</v>
      </c>
      <c r="H1280" s="13">
        <v>290.0</v>
      </c>
      <c r="I1280" s="13">
        <v>6.0</v>
      </c>
      <c r="J1280" s="13">
        <v>9.0</v>
      </c>
      <c r="K1280" s="12" t="s">
        <v>21</v>
      </c>
      <c r="L1280" s="7">
        <v>39561.13769675926</v>
      </c>
      <c r="M1280" s="16"/>
      <c r="N1280" s="14" t="s">
        <v>2958</v>
      </c>
      <c r="O1280" s="11" t="str">
        <f>HYPERLINK("https://pbs.twimg.com/profile_images/440360139866910721/CSiOk6MT_normal.png","View")</f>
        <v>View</v>
      </c>
      <c r="P1280" s="15"/>
    </row>
    <row r="1281">
      <c r="A1281" s="7">
        <v>42425.58016203703</v>
      </c>
      <c r="B1281" s="8" t="str">
        <f>HYPERLINK("https://twitter.com/GERSolar","@GERSolar")</f>
        <v>@GERSolar</v>
      </c>
      <c r="C1281" s="10" t="s">
        <v>836</v>
      </c>
      <c r="D1281" s="10" t="s">
        <v>2959</v>
      </c>
      <c r="E1281" s="11" t="str">
        <f>HYPERLINK("https://twitter.com/GERSolar/status/702975215463170049","702975215463170049")</f>
        <v>702975215463170049</v>
      </c>
      <c r="F1281" s="12" t="s">
        <v>838</v>
      </c>
      <c r="G1281" s="13">
        <v>23.0</v>
      </c>
      <c r="H1281" s="13">
        <v>5.0</v>
      </c>
      <c r="I1281" s="13">
        <v>0.0</v>
      </c>
      <c r="J1281" s="13">
        <v>0.0</v>
      </c>
      <c r="K1281" s="12" t="s">
        <v>21</v>
      </c>
      <c r="L1281" s="7">
        <v>41617.237175925926</v>
      </c>
      <c r="M1281" s="14" t="s">
        <v>839</v>
      </c>
      <c r="N1281" s="14" t="s">
        <v>840</v>
      </c>
      <c r="O1281" s="11" t="str">
        <f>HYPERLINK("https://pbs.twimg.com/profile_images/524534389690994688/O2Q5bLyo_normal.png","View")</f>
        <v>View</v>
      </c>
      <c r="P1281" s="15"/>
    </row>
    <row r="1282">
      <c r="A1282" s="7">
        <v>42425.58106481482</v>
      </c>
      <c r="B1282" s="8" t="str">
        <f>HYPERLINK("https://twitter.com/py3k","@py3k")</f>
        <v>@py3k</v>
      </c>
      <c r="C1282" s="10" t="s">
        <v>297</v>
      </c>
      <c r="D1282" s="10" t="s">
        <v>2960</v>
      </c>
      <c r="E1282" s="11" t="str">
        <f>HYPERLINK("https://twitter.com/py3k/status/702975541398401024","702975541398401024")</f>
        <v>702975541398401024</v>
      </c>
      <c r="F1282" s="12" t="s">
        <v>299</v>
      </c>
      <c r="G1282" s="13">
        <v>1623.0</v>
      </c>
      <c r="H1282" s="13">
        <v>676.0</v>
      </c>
      <c r="I1282" s="13">
        <v>1.0</v>
      </c>
      <c r="J1282" s="13">
        <v>0.0</v>
      </c>
      <c r="K1282" s="12" t="s">
        <v>21</v>
      </c>
      <c r="L1282" s="7">
        <v>41096.62268518518</v>
      </c>
      <c r="M1282" s="16"/>
      <c r="N1282" s="14" t="s">
        <v>300</v>
      </c>
      <c r="O1282" s="11" t="str">
        <f>HYPERLINK("https://pbs.twimg.com/profile_images/2474433856/p075cerxh0arpea6ceip_normal.png","View")</f>
        <v>View</v>
      </c>
      <c r="P1282" s="15"/>
    </row>
    <row r="1283">
      <c r="A1283" s="7">
        <v>42425.582025462965</v>
      </c>
      <c r="B1283" s="8" t="str">
        <f>HYPERLINK("https://twitter.com/businessintel_a","@businessintel_a")</f>
        <v>@businessintel_a</v>
      </c>
      <c r="C1283" s="10" t="s">
        <v>2961</v>
      </c>
      <c r="D1283" s="10" t="s">
        <v>2962</v>
      </c>
      <c r="E1283" s="11" t="str">
        <f>HYPERLINK("https://twitter.com/businessintel_a/status/702975887935938560","702975887935938560")</f>
        <v>702975887935938560</v>
      </c>
      <c r="F1283" s="12" t="s">
        <v>2963</v>
      </c>
      <c r="G1283" s="13">
        <v>1749.0</v>
      </c>
      <c r="H1283" s="13">
        <v>1910.0</v>
      </c>
      <c r="I1283" s="13">
        <v>0.0</v>
      </c>
      <c r="J1283" s="13">
        <v>0.0</v>
      </c>
      <c r="K1283" s="12" t="s">
        <v>21</v>
      </c>
      <c r="L1283" s="7">
        <v>41694.15802083333</v>
      </c>
      <c r="M1283" s="16"/>
      <c r="N1283" s="14" t="s">
        <v>2964</v>
      </c>
      <c r="O1283" s="11" t="str">
        <f>HYPERLINK("https://pbs.twimg.com/profile_images/459292526579834880/N4Y3UZPh_normal.jpeg","View")</f>
        <v>View</v>
      </c>
      <c r="P1283" s="15"/>
    </row>
    <row r="1284">
      <c r="A1284" s="7">
        <v>42425.582141203704</v>
      </c>
      <c r="B1284" s="8" t="str">
        <f>HYPERLINK("https://twitter.com/pydigest","@pydigest")</f>
        <v>@pydigest</v>
      </c>
      <c r="C1284" s="10" t="s">
        <v>385</v>
      </c>
      <c r="D1284" s="10" t="s">
        <v>2965</v>
      </c>
      <c r="E1284" s="11" t="str">
        <f>HYPERLINK("https://twitter.com/pydigest/status/702975932328452096","702975932328452096")</f>
        <v>702975932328452096</v>
      </c>
      <c r="F1284" s="12" t="s">
        <v>103</v>
      </c>
      <c r="G1284" s="13">
        <v>634.0</v>
      </c>
      <c r="H1284" s="13">
        <v>22.0</v>
      </c>
      <c r="I1284" s="13">
        <v>0.0</v>
      </c>
      <c r="J1284" s="13">
        <v>0.0</v>
      </c>
      <c r="K1284" s="12" t="s">
        <v>21</v>
      </c>
      <c r="L1284" s="7">
        <v>41797.15729166666</v>
      </c>
      <c r="M1284" s="16"/>
      <c r="N1284" s="14" t="s">
        <v>387</v>
      </c>
      <c r="O1284" s="11" t="str">
        <f>HYPERLINK("https://pbs.twimg.com/profile_images/475228702922387457/6gYeuqxD_normal.jpeg","View")</f>
        <v>View</v>
      </c>
      <c r="P1284" s="15"/>
    </row>
    <row r="1285">
      <c r="A1285" s="7">
        <v>42425.582777777774</v>
      </c>
      <c r="B1285" s="8" t="str">
        <f>HYPERLINK("https://twitter.com/py3k","@py3k")</f>
        <v>@py3k</v>
      </c>
      <c r="C1285" s="10" t="s">
        <v>297</v>
      </c>
      <c r="D1285" s="10" t="s">
        <v>2966</v>
      </c>
      <c r="E1285" s="11" t="str">
        <f>HYPERLINK("https://twitter.com/py3k/status/702976163715653634","702976163715653634")</f>
        <v>702976163715653634</v>
      </c>
      <c r="F1285" s="12" t="s">
        <v>299</v>
      </c>
      <c r="G1285" s="13">
        <v>1623.0</v>
      </c>
      <c r="H1285" s="13">
        <v>676.0</v>
      </c>
      <c r="I1285" s="13">
        <v>1.0</v>
      </c>
      <c r="J1285" s="13">
        <v>0.0</v>
      </c>
      <c r="K1285" s="12" t="s">
        <v>21</v>
      </c>
      <c r="L1285" s="7">
        <v>41096.62268518518</v>
      </c>
      <c r="M1285" s="16"/>
      <c r="N1285" s="14" t="s">
        <v>300</v>
      </c>
      <c r="O1285" s="11" t="str">
        <f>HYPERLINK("https://pbs.twimg.com/profile_images/2474433856/p075cerxh0arpea6ceip_normal.png","View")</f>
        <v>View</v>
      </c>
      <c r="P1285" s="15"/>
    </row>
    <row r="1286">
      <c r="A1286" s="7">
        <v>42425.58335648148</v>
      </c>
      <c r="B1286" s="8" t="str">
        <f>HYPERLINK("https://twitter.com/DavidBatty","@DavidBatty")</f>
        <v>@DavidBatty</v>
      </c>
      <c r="C1286" s="10" t="s">
        <v>2967</v>
      </c>
      <c r="D1286" s="10" t="s">
        <v>2968</v>
      </c>
      <c r="E1286" s="11" t="str">
        <f>HYPERLINK("https://twitter.com/DavidBatty/status/702976372898136064","702976372898136064")</f>
        <v>702976372898136064</v>
      </c>
      <c r="F1286" s="12" t="s">
        <v>20</v>
      </c>
      <c r="G1286" s="13">
        <v>6827.0</v>
      </c>
      <c r="H1286" s="13">
        <v>3850.0</v>
      </c>
      <c r="I1286" s="13">
        <v>2.0</v>
      </c>
      <c r="J1286" s="13">
        <v>4.0</v>
      </c>
      <c r="K1286" s="12" t="s">
        <v>21</v>
      </c>
      <c r="L1286" s="7">
        <v>39840.72163194444</v>
      </c>
      <c r="M1286" s="14" t="s">
        <v>2969</v>
      </c>
      <c r="N1286" s="14" t="s">
        <v>2970</v>
      </c>
      <c r="O1286" s="11" t="str">
        <f>HYPERLINK("https://pbs.twimg.com/profile_images/1524208529/DavidHead29081011_normal.jpg","View")</f>
        <v>View</v>
      </c>
      <c r="P1286" s="15"/>
    </row>
    <row r="1287">
      <c r="A1287" s="7">
        <v>42425.583402777775</v>
      </c>
      <c r="B1287" s="8" t="str">
        <f>HYPERLINK("https://twitter.com/wp_digest","@wp_digest")</f>
        <v>@wp_digest</v>
      </c>
      <c r="C1287" s="10" t="s">
        <v>2971</v>
      </c>
      <c r="D1287" s="10" t="s">
        <v>2972</v>
      </c>
      <c r="E1287" s="11" t="str">
        <f>HYPERLINK("https://twitter.com/wp_digest/status/702976387913797632","702976387913797632")</f>
        <v>702976387913797632</v>
      </c>
      <c r="F1287" s="12" t="s">
        <v>2973</v>
      </c>
      <c r="G1287" s="13">
        <v>8686.0</v>
      </c>
      <c r="H1287" s="13">
        <v>37.0</v>
      </c>
      <c r="I1287" s="13">
        <v>6.0</v>
      </c>
      <c r="J1287" s="13">
        <v>0.0</v>
      </c>
      <c r="K1287" s="12" t="s">
        <v>21</v>
      </c>
      <c r="L1287" s="7">
        <v>41792.87552083333</v>
      </c>
      <c r="M1287" s="14" t="s">
        <v>2974</v>
      </c>
      <c r="N1287" s="14" t="s">
        <v>2975</v>
      </c>
      <c r="O1287" s="11" t="str">
        <f>HYPERLINK("https://pbs.twimg.com/profile_images/473679277053853696/xU--F2Ox_normal.png","View")</f>
        <v>View</v>
      </c>
      <c r="P1287" s="15"/>
    </row>
    <row r="1288">
      <c r="A1288" s="7">
        <v>42425.5834837963</v>
      </c>
      <c r="B1288" s="8" t="str">
        <f>HYPERLINK("https://twitter.com/omadson","@omadson")</f>
        <v>@omadson</v>
      </c>
      <c r="C1288" s="10" t="s">
        <v>2976</v>
      </c>
      <c r="D1288" s="10" t="s">
        <v>2977</v>
      </c>
      <c r="E1288" s="11" t="str">
        <f>HYPERLINK("https://twitter.com/omadson/status/702976420507721728","702976420507721728")</f>
        <v>702976420507721728</v>
      </c>
      <c r="F1288" s="12" t="s">
        <v>2978</v>
      </c>
      <c r="G1288" s="13">
        <v>708.0</v>
      </c>
      <c r="H1288" s="13">
        <v>148.0</v>
      </c>
      <c r="I1288" s="13">
        <v>0.0</v>
      </c>
      <c r="J1288" s="13">
        <v>0.0</v>
      </c>
      <c r="K1288" s="12" t="s">
        <v>21</v>
      </c>
      <c r="L1288" s="7">
        <v>40487.2115625</v>
      </c>
      <c r="M1288" s="14" t="s">
        <v>2979</v>
      </c>
      <c r="N1288" s="14" t="s">
        <v>2980</v>
      </c>
      <c r="O1288" s="11" t="str">
        <f>HYPERLINK("https://pbs.twimg.com/profile_images/685223250062917633/s6j2LZE3_normal.jpg","View")</f>
        <v>View</v>
      </c>
      <c r="P1288" s="15"/>
    </row>
    <row r="1289">
      <c r="A1289" s="7">
        <v>42425.583645833336</v>
      </c>
      <c r="B1289" s="8" t="str">
        <f>HYPERLINK("https://twitter.com/3DprintedTL","@3DprintedTL")</f>
        <v>@3DprintedTL</v>
      </c>
      <c r="C1289" s="10" t="s">
        <v>2981</v>
      </c>
      <c r="D1289" s="10" t="s">
        <v>2945</v>
      </c>
      <c r="E1289" s="11" t="str">
        <f>HYPERLINK("https://twitter.com/3DprintedTL/status/702976476824514561","702976476824514561")</f>
        <v>702976476824514561</v>
      </c>
      <c r="F1289" s="12" t="s">
        <v>2982</v>
      </c>
      <c r="G1289" s="13">
        <v>11893.0</v>
      </c>
      <c r="H1289" s="13">
        <v>692.0</v>
      </c>
      <c r="I1289" s="13">
        <v>51.0</v>
      </c>
      <c r="J1289" s="13">
        <v>0.0</v>
      </c>
      <c r="K1289" s="12" t="s">
        <v>21</v>
      </c>
      <c r="L1289" s="7">
        <v>42401.97938657408</v>
      </c>
      <c r="M1289" s="16"/>
      <c r="N1289" s="14" t="s">
        <v>2983</v>
      </c>
      <c r="O1289" s="11" t="str">
        <f>HYPERLINK("https://pbs.twimg.com/profile_images/694424077205794818/kVQpOccC_normal.jpg","View")</f>
        <v>View</v>
      </c>
      <c r="P1289" s="15"/>
    </row>
    <row r="1290">
      <c r="A1290" s="7">
        <v>42425.58403935185</v>
      </c>
      <c r="B1290" s="8" t="str">
        <f>HYPERLINK("https://twitter.com/mdf200","@mdf200")</f>
        <v>@mdf200</v>
      </c>
      <c r="C1290" s="10" t="s">
        <v>2984</v>
      </c>
      <c r="D1290" s="10" t="s">
        <v>2985</v>
      </c>
      <c r="E1290" s="11" t="str">
        <f>HYPERLINK("https://twitter.com/mdf200/status/702976621037428736","702976621037428736")</f>
        <v>702976621037428736</v>
      </c>
      <c r="F1290" s="12" t="s">
        <v>20</v>
      </c>
      <c r="G1290" s="13">
        <v>6630.0</v>
      </c>
      <c r="H1290" s="13">
        <v>561.0</v>
      </c>
      <c r="I1290" s="13">
        <v>2.0</v>
      </c>
      <c r="J1290" s="13">
        <v>0.0</v>
      </c>
      <c r="K1290" s="12" t="s">
        <v>21</v>
      </c>
      <c r="L1290" s="7">
        <v>40182.63527777778</v>
      </c>
      <c r="M1290" s="14" t="s">
        <v>2986</v>
      </c>
      <c r="N1290" s="14" t="s">
        <v>2987</v>
      </c>
      <c r="O1290" s="11" t="str">
        <f>HYPERLINK("https://pbs.twimg.com/profile_images/636894475072114690/TN_qIbvC_normal.png","View")</f>
        <v>View</v>
      </c>
      <c r="P1290" s="15"/>
    </row>
    <row r="1291">
      <c r="A1291" s="7">
        <v>42425.58405092593</v>
      </c>
      <c r="B1291" s="8" t="str">
        <f>HYPERLINK("https://twitter.com/BatBlue","@BatBlue")</f>
        <v>@BatBlue</v>
      </c>
      <c r="C1291" s="10" t="s">
        <v>2988</v>
      </c>
      <c r="D1291" s="10" t="s">
        <v>2989</v>
      </c>
      <c r="E1291" s="11" t="str">
        <f>HYPERLINK("https://twitter.com/BatBlue/status/702976623646216192","702976623646216192")</f>
        <v>702976623646216192</v>
      </c>
      <c r="F1291" s="12" t="s">
        <v>2990</v>
      </c>
      <c r="G1291" s="13">
        <v>820.0</v>
      </c>
      <c r="H1291" s="13">
        <v>639.0</v>
      </c>
      <c r="I1291" s="13">
        <v>0.0</v>
      </c>
      <c r="J1291" s="13">
        <v>1.0</v>
      </c>
      <c r="K1291" s="12" t="s">
        <v>21</v>
      </c>
      <c r="L1291" s="7">
        <v>40212.759351851855</v>
      </c>
      <c r="M1291" s="14" t="s">
        <v>1693</v>
      </c>
      <c r="N1291" s="14" t="s">
        <v>2991</v>
      </c>
      <c r="O1291" s="11" t="str">
        <f>HYPERLINK("https://pbs.twimg.com/profile_images/634037428404285440/g-giFkxq_normal.jpg","View")</f>
        <v>View</v>
      </c>
      <c r="P1291" s="15"/>
    </row>
    <row r="1292">
      <c r="A1292" s="7">
        <v>42425.58405092593</v>
      </c>
      <c r="B1292" s="8" t="str">
        <f>HYPERLINK("https://twitter.com/ggibach","@ggibach")</f>
        <v>@ggibach</v>
      </c>
      <c r="C1292" s="10" t="s">
        <v>2992</v>
      </c>
      <c r="D1292" s="10" t="s">
        <v>2993</v>
      </c>
      <c r="E1292" s="11" t="str">
        <f>HYPERLINK("https://twitter.com/ggibach/status/702976625420451844","702976625420451844")</f>
        <v>702976625420451844</v>
      </c>
      <c r="F1292" s="12" t="s">
        <v>2990</v>
      </c>
      <c r="G1292" s="13">
        <v>383.0</v>
      </c>
      <c r="H1292" s="13">
        <v>504.0</v>
      </c>
      <c r="I1292" s="13">
        <v>0.0</v>
      </c>
      <c r="J1292" s="13">
        <v>1.0</v>
      </c>
      <c r="K1292" s="12" t="s">
        <v>21</v>
      </c>
      <c r="L1292" s="7">
        <v>40253.67287037037</v>
      </c>
      <c r="M1292" s="14" t="s">
        <v>2994</v>
      </c>
      <c r="N1292" s="14" t="s">
        <v>2995</v>
      </c>
      <c r="O1292" s="11" t="str">
        <f>HYPERLINK("https://pbs.twimg.com/profile_images/622092267633774593/rojU5lYp_normal.jpg","View")</f>
        <v>View</v>
      </c>
      <c r="P1292" s="15"/>
    </row>
    <row r="1293">
      <c r="A1293" s="7">
        <v>42425.5840625</v>
      </c>
      <c r="B1293" s="8" t="str">
        <f>HYPERLINK("https://twitter.com/bpasdar","@bpasdar")</f>
        <v>@bpasdar</v>
      </c>
      <c r="C1293" s="10" t="s">
        <v>2996</v>
      </c>
      <c r="D1293" s="10" t="s">
        <v>2997</v>
      </c>
      <c r="E1293" s="11" t="str">
        <f>HYPERLINK("https://twitter.com/bpasdar/status/702976627341463552","702976627341463552")</f>
        <v>702976627341463552</v>
      </c>
      <c r="F1293" s="12" t="s">
        <v>2990</v>
      </c>
      <c r="G1293" s="13">
        <v>173.0</v>
      </c>
      <c r="H1293" s="13">
        <v>258.0</v>
      </c>
      <c r="I1293" s="13">
        <v>0.0</v>
      </c>
      <c r="J1293" s="13">
        <v>1.0</v>
      </c>
      <c r="K1293" s="12" t="s">
        <v>21</v>
      </c>
      <c r="L1293" s="7">
        <v>40703.84197916667</v>
      </c>
      <c r="M1293" s="16"/>
      <c r="N1293" s="16"/>
      <c r="O1293" s="11" t="str">
        <f>HYPERLINK("https://pbs.twimg.com/profile_images/3665422590/0b411a4aafe3c81d4459f3074400b13e_normal.jpeg","View")</f>
        <v>View</v>
      </c>
      <c r="P1293" s="15"/>
    </row>
    <row r="1294">
      <c r="A1294" s="7">
        <v>42425.58408564815</v>
      </c>
      <c r="B1294" s="8" t="str">
        <f>HYPERLINK("https://twitter.com/AnalyticsVidhya","@AnalyticsVidhya")</f>
        <v>@AnalyticsVidhya</v>
      </c>
      <c r="C1294" s="10" t="s">
        <v>2998</v>
      </c>
      <c r="D1294" s="10" t="s">
        <v>2999</v>
      </c>
      <c r="E1294" s="11" t="str">
        <f>HYPERLINK("https://twitter.com/AnalyticsVidhya/status/702976634664722436","702976634664722436")</f>
        <v>702976634664722436</v>
      </c>
      <c r="F1294" s="12" t="s">
        <v>294</v>
      </c>
      <c r="G1294" s="13">
        <v>4133.0</v>
      </c>
      <c r="H1294" s="13">
        <v>250.0</v>
      </c>
      <c r="I1294" s="13">
        <v>7.0</v>
      </c>
      <c r="J1294" s="13">
        <v>9.0</v>
      </c>
      <c r="K1294" s="12" t="s">
        <v>21</v>
      </c>
      <c r="L1294" s="7">
        <v>41665.11702546296</v>
      </c>
      <c r="M1294" s="16"/>
      <c r="N1294" s="14" t="s">
        <v>3000</v>
      </c>
      <c r="O1294" s="11" t="str">
        <f>HYPERLINK("https://pbs.twimg.com/profile_images/457775762108448768/XmO2C1-E_normal.png","View")</f>
        <v>View</v>
      </c>
      <c r="P1294" s="15"/>
    </row>
    <row r="1295">
      <c r="A1295" s="7">
        <v>42425.58408564815</v>
      </c>
      <c r="B1295" s="8" t="str">
        <f>HYPERLINK("https://twitter.com/esvhd","@esvhd")</f>
        <v>@esvhd</v>
      </c>
      <c r="C1295" s="10" t="s">
        <v>3001</v>
      </c>
      <c r="D1295" s="10" t="s">
        <v>2088</v>
      </c>
      <c r="E1295" s="11" t="str">
        <f>HYPERLINK("https://twitter.com/esvhd/status/702976635973332998","702976635973332998")</f>
        <v>702976635973332998</v>
      </c>
      <c r="F1295" s="12" t="s">
        <v>1573</v>
      </c>
      <c r="G1295" s="13">
        <v>32.0</v>
      </c>
      <c r="H1295" s="13">
        <v>198.0</v>
      </c>
      <c r="I1295" s="13">
        <v>12.0</v>
      </c>
      <c r="J1295" s="13">
        <v>0.0</v>
      </c>
      <c r="K1295" s="12" t="s">
        <v>21</v>
      </c>
      <c r="L1295" s="7">
        <v>40643.68877314815</v>
      </c>
      <c r="M1295" s="16"/>
      <c r="N1295" s="14" t="s">
        <v>3002</v>
      </c>
      <c r="O1295" s="11" t="str">
        <f>HYPERLINK("https://pbs.twimg.com/profile_images/680782859259490305/RmsOsBNy_normal.jpg","View")</f>
        <v>View</v>
      </c>
      <c r="P1295" s="15"/>
    </row>
    <row r="1296">
      <c r="A1296" s="7">
        <v>42425.58457175926</v>
      </c>
      <c r="B1296" s="8" t="str">
        <f>HYPERLINK("https://twitter.com/Hostxido","@Hostxido")</f>
        <v>@Hostxido</v>
      </c>
      <c r="C1296" s="10" t="s">
        <v>2894</v>
      </c>
      <c r="D1296" s="10" t="s">
        <v>3003</v>
      </c>
      <c r="E1296" s="11" t="str">
        <f>HYPERLINK("https://twitter.com/Hostxido/status/702976812356399105","702976812356399105")</f>
        <v>702976812356399105</v>
      </c>
      <c r="F1296" s="12" t="s">
        <v>2894</v>
      </c>
      <c r="G1296" s="13">
        <v>642.0</v>
      </c>
      <c r="H1296" s="13">
        <v>1760.0</v>
      </c>
      <c r="I1296" s="13">
        <v>0.0</v>
      </c>
      <c r="J1296" s="13">
        <v>0.0</v>
      </c>
      <c r="K1296" s="12" t="s">
        <v>21</v>
      </c>
      <c r="L1296" s="7">
        <v>41187.5805787037</v>
      </c>
      <c r="M1296" s="16"/>
      <c r="N1296" s="14" t="s">
        <v>2896</v>
      </c>
      <c r="O1296" s="11" t="str">
        <f>HYPERLINK("https://pbs.twimg.com/profile_images/2722042695/dae07433e4737bfe801edd312504579b_normal.jpeg","View")</f>
        <v>View</v>
      </c>
      <c r="P1296" s="15"/>
    </row>
    <row r="1297">
      <c r="A1297" s="7">
        <v>42425.58457175926</v>
      </c>
      <c r="B1297" s="8" t="str">
        <f>HYPERLINK("https://twitter.com/mthipparthi","@mthipparthi")</f>
        <v>@mthipparthi</v>
      </c>
      <c r="C1297" s="10" t="s">
        <v>143</v>
      </c>
      <c r="D1297" s="10" t="s">
        <v>3004</v>
      </c>
      <c r="E1297" s="11" t="str">
        <f>HYPERLINK("https://twitter.com/mthipparthi/status/702976813434208256","702976813434208256")</f>
        <v>702976813434208256</v>
      </c>
      <c r="F1297" s="12" t="s">
        <v>52</v>
      </c>
      <c r="G1297" s="13">
        <v>103.0</v>
      </c>
      <c r="H1297" s="13">
        <v>536.0</v>
      </c>
      <c r="I1297" s="13">
        <v>1.0</v>
      </c>
      <c r="J1297" s="13">
        <v>0.0</v>
      </c>
      <c r="K1297" s="12" t="s">
        <v>21</v>
      </c>
      <c r="L1297" s="7">
        <v>39954.14172453704</v>
      </c>
      <c r="M1297" s="14" t="s">
        <v>145</v>
      </c>
      <c r="N1297" s="14" t="s">
        <v>146</v>
      </c>
      <c r="O1297" s="11" t="str">
        <f>HYPERLINK("https://abs.twimg.com/sticky/default_profile_images/default_profile_3_normal.png","View")</f>
        <v>View</v>
      </c>
      <c r="P1297" s="15"/>
    </row>
    <row r="1298">
      <c r="A1298" s="7">
        <v>42425.58510416667</v>
      </c>
      <c r="B1298" s="8" t="str">
        <f t="shared" ref="B1298:B1299" si="121">HYPERLINK("https://twitter.com/PythonBooks","@PythonBooks")</f>
        <v>@PythonBooks</v>
      </c>
      <c r="C1298" s="10" t="s">
        <v>267</v>
      </c>
      <c r="D1298" s="10" t="s">
        <v>3005</v>
      </c>
      <c r="E1298" s="11" t="str">
        <f>HYPERLINK("https://twitter.com/PythonBooks/status/702977005583622144","702977005583622144")</f>
        <v>702977005583622144</v>
      </c>
      <c r="F1298" s="17" t="s">
        <v>76</v>
      </c>
      <c r="G1298" s="13">
        <v>20.0</v>
      </c>
      <c r="H1298" s="13">
        <v>70.0</v>
      </c>
      <c r="I1298" s="13">
        <v>0.0</v>
      </c>
      <c r="J1298" s="13">
        <v>0.0</v>
      </c>
      <c r="K1298" s="12" t="s">
        <v>21</v>
      </c>
      <c r="L1298" s="7">
        <v>42424.13631944444</v>
      </c>
      <c r="M1298" s="14" t="s">
        <v>269</v>
      </c>
      <c r="N1298" s="14" t="s">
        <v>270</v>
      </c>
      <c r="O1298" s="11" t="str">
        <f t="shared" ref="O1298:O1299" si="122">HYPERLINK("https://pbs.twimg.com/profile_images/702455638157168640/AeDgtn0C_normal.jpg","View")</f>
        <v>View</v>
      </c>
      <c r="P1298" s="15"/>
    </row>
    <row r="1299">
      <c r="A1299" s="7">
        <v>42425.58510416667</v>
      </c>
      <c r="B1299" s="8" t="str">
        <f t="shared" si="121"/>
        <v>@PythonBooks</v>
      </c>
      <c r="C1299" s="10" t="s">
        <v>267</v>
      </c>
      <c r="D1299" s="10" t="s">
        <v>3006</v>
      </c>
      <c r="E1299" s="11" t="str">
        <f>HYPERLINK("https://twitter.com/PythonBooks/status/702977007223635968","702977007223635968")</f>
        <v>702977007223635968</v>
      </c>
      <c r="F1299" s="17" t="s">
        <v>76</v>
      </c>
      <c r="G1299" s="13">
        <v>20.0</v>
      </c>
      <c r="H1299" s="13">
        <v>70.0</v>
      </c>
      <c r="I1299" s="13">
        <v>0.0</v>
      </c>
      <c r="J1299" s="13">
        <v>0.0</v>
      </c>
      <c r="K1299" s="12" t="s">
        <v>21</v>
      </c>
      <c r="L1299" s="7">
        <v>42424.13631944444</v>
      </c>
      <c r="M1299" s="14" t="s">
        <v>269</v>
      </c>
      <c r="N1299" s="14" t="s">
        <v>270</v>
      </c>
      <c r="O1299" s="11" t="str">
        <f t="shared" si="122"/>
        <v>View</v>
      </c>
      <c r="P1299" s="15"/>
    </row>
    <row r="1300">
      <c r="A1300" s="7">
        <v>42425.585393518515</v>
      </c>
      <c r="B1300" s="8" t="str">
        <f>HYPERLINK("https://twitter.com/trothaar","@trothaar")</f>
        <v>@trothaar</v>
      </c>
      <c r="C1300" s="10" t="s">
        <v>3007</v>
      </c>
      <c r="D1300" s="10" t="s">
        <v>3008</v>
      </c>
      <c r="E1300" s="11" t="str">
        <f>HYPERLINK("https://twitter.com/trothaar/status/702977112182026241","702977112182026241")</f>
        <v>702977112182026241</v>
      </c>
      <c r="F1300" s="12" t="s">
        <v>20</v>
      </c>
      <c r="G1300" s="13">
        <v>606.0</v>
      </c>
      <c r="H1300" s="13">
        <v>621.0</v>
      </c>
      <c r="I1300" s="13">
        <v>0.0</v>
      </c>
      <c r="J1300" s="13">
        <v>4.0</v>
      </c>
      <c r="K1300" s="12" t="s">
        <v>21</v>
      </c>
      <c r="L1300" s="7">
        <v>40710.62157407407</v>
      </c>
      <c r="M1300" s="14" t="s">
        <v>3009</v>
      </c>
      <c r="N1300" s="14" t="s">
        <v>3010</v>
      </c>
      <c r="O1300" s="11" t="str">
        <f>HYPERLINK("https://pbs.twimg.com/profile_images/671359835594612737/Jo0-65ei_normal.jpg","View")</f>
        <v>View</v>
      </c>
      <c r="P1300" s="15"/>
    </row>
    <row r="1301">
      <c r="A1301" s="7">
        <v>42425.58599537037</v>
      </c>
      <c r="B1301" s="8" t="str">
        <f>HYPERLINK("https://twitter.com/OAWintringham","@OAWintringham")</f>
        <v>@OAWintringham</v>
      </c>
      <c r="C1301" s="10" t="s">
        <v>3011</v>
      </c>
      <c r="D1301" s="10" t="s">
        <v>3012</v>
      </c>
      <c r="E1301" s="11" t="str">
        <f>HYPERLINK("https://twitter.com/OAWintringham/status/702977329954471936","702977329954471936")</f>
        <v>702977329954471936</v>
      </c>
      <c r="F1301" s="12" t="s">
        <v>52</v>
      </c>
      <c r="G1301" s="13">
        <v>237.0</v>
      </c>
      <c r="H1301" s="13">
        <v>89.0</v>
      </c>
      <c r="I1301" s="13">
        <v>0.0</v>
      </c>
      <c r="J1301" s="13">
        <v>2.0</v>
      </c>
      <c r="K1301" s="12" t="s">
        <v>21</v>
      </c>
      <c r="L1301" s="7">
        <v>41281.24290509259</v>
      </c>
      <c r="M1301" s="14" t="s">
        <v>3013</v>
      </c>
      <c r="N1301" s="14" t="s">
        <v>3014</v>
      </c>
      <c r="O1301" s="11" t="str">
        <f>HYPERLINK("https://pbs.twimg.com/profile_images/3077751393/3dbcaa49cda8f2ff238e5e748f82bd9d_normal.png","View")</f>
        <v>View</v>
      </c>
      <c r="P1301" s="15"/>
    </row>
    <row r="1302">
      <c r="A1302" s="7">
        <v>42425.586388888885</v>
      </c>
      <c r="B1302" s="8" t="str">
        <f>HYPERLINK("https://twitter.com/TangibleSolutns","@TangibleSolutns")</f>
        <v>@TangibleSolutns</v>
      </c>
      <c r="C1302" s="10" t="s">
        <v>3015</v>
      </c>
      <c r="D1302" s="10" t="s">
        <v>2945</v>
      </c>
      <c r="E1302" s="11" t="str">
        <f>HYPERLINK("https://twitter.com/TangibleSolutns/status/702977471759699969","702977471759699969")</f>
        <v>702977471759699969</v>
      </c>
      <c r="F1302" s="12" t="s">
        <v>20</v>
      </c>
      <c r="G1302" s="13">
        <v>370.0</v>
      </c>
      <c r="H1302" s="13">
        <v>906.0</v>
      </c>
      <c r="I1302" s="13">
        <v>51.0</v>
      </c>
      <c r="J1302" s="13">
        <v>0.0</v>
      </c>
      <c r="K1302" s="12" t="s">
        <v>21</v>
      </c>
      <c r="L1302" s="7">
        <v>41585.50009259259</v>
      </c>
      <c r="M1302" s="14" t="s">
        <v>3016</v>
      </c>
      <c r="N1302" s="14" t="s">
        <v>3017</v>
      </c>
      <c r="O1302" s="11" t="str">
        <f>HYPERLINK("https://pbs.twimg.com/profile_images/413417885642416128/n-KPu43N_normal.jpeg","View")</f>
        <v>View</v>
      </c>
      <c r="P1302" s="15"/>
    </row>
    <row r="1303">
      <c r="A1303" s="7">
        <v>42425.58679398148</v>
      </c>
      <c r="B1303" s="8" t="str">
        <f t="shared" ref="B1303:B1304" si="123">HYPERLINK("https://twitter.com/cool_python","@cool_python")</f>
        <v>@cool_python</v>
      </c>
      <c r="C1303" s="10" t="s">
        <v>249</v>
      </c>
      <c r="D1303" s="10" t="s">
        <v>3018</v>
      </c>
      <c r="E1303" s="11" t="str">
        <f>HYPERLINK("https://twitter.com/cool_python/status/702977618442850304","702977618442850304")</f>
        <v>702977618442850304</v>
      </c>
      <c r="F1303" s="12" t="s">
        <v>251</v>
      </c>
      <c r="G1303" s="13">
        <v>235.0</v>
      </c>
      <c r="H1303" s="13">
        <v>91.0</v>
      </c>
      <c r="I1303" s="13">
        <v>1.0</v>
      </c>
      <c r="J1303" s="13">
        <v>0.0</v>
      </c>
      <c r="K1303" s="12" t="s">
        <v>21</v>
      </c>
      <c r="L1303" s="7">
        <v>42064.325</v>
      </c>
      <c r="M1303" s="14" t="s">
        <v>252</v>
      </c>
      <c r="N1303" s="14" t="s">
        <v>253</v>
      </c>
      <c r="O1303" s="11" t="str">
        <f t="shared" ref="O1303:O1304" si="124">HYPERLINK("https://pbs.twimg.com/profile_images/572091631055028224/Pkx__FSB_normal.png","View")</f>
        <v>View</v>
      </c>
      <c r="P1303" s="15"/>
    </row>
    <row r="1304">
      <c r="A1304" s="7">
        <v>42425.58679398148</v>
      </c>
      <c r="B1304" s="8" t="str">
        <f t="shared" si="123"/>
        <v>@cool_python</v>
      </c>
      <c r="C1304" s="10" t="s">
        <v>249</v>
      </c>
      <c r="D1304" s="10" t="s">
        <v>3019</v>
      </c>
      <c r="E1304" s="11" t="str">
        <f>HYPERLINK("https://twitter.com/cool_python/status/702977619696943105","702977619696943105")</f>
        <v>702977619696943105</v>
      </c>
      <c r="F1304" s="12" t="s">
        <v>251</v>
      </c>
      <c r="G1304" s="13">
        <v>235.0</v>
      </c>
      <c r="H1304" s="13">
        <v>91.0</v>
      </c>
      <c r="I1304" s="13">
        <v>1.0</v>
      </c>
      <c r="J1304" s="13">
        <v>0.0</v>
      </c>
      <c r="K1304" s="12" t="s">
        <v>21</v>
      </c>
      <c r="L1304" s="7">
        <v>42064.325</v>
      </c>
      <c r="M1304" s="14" t="s">
        <v>252</v>
      </c>
      <c r="N1304" s="14" t="s">
        <v>253</v>
      </c>
      <c r="O1304" s="11" t="str">
        <f t="shared" si="124"/>
        <v>View</v>
      </c>
      <c r="P1304" s="15"/>
    </row>
    <row r="1305">
      <c r="A1305" s="7">
        <v>42425.587592592594</v>
      </c>
      <c r="B1305" s="8" t="str">
        <f>HYPERLINK("https://twitter.com/Boolerang","@Boolerang")</f>
        <v>@Boolerang</v>
      </c>
      <c r="C1305" s="9" t="s">
        <v>352</v>
      </c>
      <c r="D1305" s="10" t="s">
        <v>3020</v>
      </c>
      <c r="E1305" s="11" t="str">
        <f>HYPERLINK("https://twitter.com/Boolerang/status/702977908982341633","702977908982341633")</f>
        <v>702977908982341633</v>
      </c>
      <c r="F1305" s="12" t="s">
        <v>294</v>
      </c>
      <c r="G1305" s="13">
        <v>983.0</v>
      </c>
      <c r="H1305" s="13">
        <v>908.0</v>
      </c>
      <c r="I1305" s="13">
        <v>1.0</v>
      </c>
      <c r="J1305" s="13">
        <v>2.0</v>
      </c>
      <c r="K1305" s="12" t="s">
        <v>21</v>
      </c>
      <c r="L1305" s="7">
        <v>42289.70659722222</v>
      </c>
      <c r="M1305" s="14" t="s">
        <v>354</v>
      </c>
      <c r="N1305" s="14" t="s">
        <v>355</v>
      </c>
      <c r="O1305" s="11" t="str">
        <f>HYPERLINK("https://pbs.twimg.com/profile_images/703179032125267969/9Y-1Fllk_normal.jpg","View")</f>
        <v>View</v>
      </c>
      <c r="P1305" s="15"/>
    </row>
    <row r="1306">
      <c r="A1306" s="7">
        <v>42425.58862268519</v>
      </c>
      <c r="B1306" s="8" t="str">
        <f>HYPERLINK("https://twitter.com/OnurOzuduru","@OnurOzuduru")</f>
        <v>@OnurOzuduru</v>
      </c>
      <c r="C1306" s="10" t="s">
        <v>3021</v>
      </c>
      <c r="D1306" s="10" t="s">
        <v>3022</v>
      </c>
      <c r="E1306" s="11" t="str">
        <f>HYPERLINK("https://twitter.com/OnurOzuduru/status/702978279330942977","702978279330942977")</f>
        <v>702978279330942977</v>
      </c>
      <c r="F1306" s="12" t="s">
        <v>152</v>
      </c>
      <c r="G1306" s="13">
        <v>116.0</v>
      </c>
      <c r="H1306" s="13">
        <v>421.0</v>
      </c>
      <c r="I1306" s="13">
        <v>0.0</v>
      </c>
      <c r="J1306" s="13">
        <v>0.0</v>
      </c>
      <c r="K1306" s="12" t="s">
        <v>21</v>
      </c>
      <c r="L1306" s="7">
        <v>41119.51631944445</v>
      </c>
      <c r="M1306" s="14" t="s">
        <v>3023</v>
      </c>
      <c r="N1306" s="14" t="s">
        <v>3024</v>
      </c>
      <c r="O1306" s="11" t="str">
        <f>HYPERLINK("https://pbs.twimg.com/profile_images/638782531979079680/6n9g_4TO_normal.jpg","View")</f>
        <v>View</v>
      </c>
      <c r="P1306" s="15"/>
    </row>
    <row r="1307">
      <c r="A1307" s="7">
        <v>42425.58886574074</v>
      </c>
      <c r="B1307" s="8" t="str">
        <f>HYPERLINK("https://twitter.com/guerchele","@guerchele")</f>
        <v>@guerchele</v>
      </c>
      <c r="C1307" s="10" t="s">
        <v>3025</v>
      </c>
      <c r="D1307" s="10" t="s">
        <v>3026</v>
      </c>
      <c r="E1307" s="11" t="str">
        <f>HYPERLINK("https://twitter.com/guerchele/status/702978369848254464","702978369848254464")</f>
        <v>702978369848254464</v>
      </c>
      <c r="F1307" s="12" t="s">
        <v>20</v>
      </c>
      <c r="G1307" s="13">
        <v>2230.0</v>
      </c>
      <c r="H1307" s="13">
        <v>2489.0</v>
      </c>
      <c r="I1307" s="13">
        <v>0.0</v>
      </c>
      <c r="J1307" s="13">
        <v>0.0</v>
      </c>
      <c r="K1307" s="12" t="s">
        <v>21</v>
      </c>
      <c r="L1307" s="7">
        <v>38917.28435185185</v>
      </c>
      <c r="M1307" s="14" t="s">
        <v>3027</v>
      </c>
      <c r="N1307" s="14" t="s">
        <v>3028</v>
      </c>
      <c r="O1307" s="11" t="str">
        <f>HYPERLINK("https://pbs.twimg.com/profile_images/476415572259766272/yFnIg7J6_normal.jpeg","View")</f>
        <v>View</v>
      </c>
      <c r="P1307" s="15"/>
    </row>
    <row r="1308">
      <c r="A1308" s="7">
        <v>42425.589594907404</v>
      </c>
      <c r="B1308" s="8" t="str">
        <f>HYPERLINK("https://twitter.com/HumoyunUz","@HumoyunUz")</f>
        <v>@HumoyunUz</v>
      </c>
      <c r="C1308" s="10" t="s">
        <v>3029</v>
      </c>
      <c r="D1308" s="10" t="s">
        <v>2612</v>
      </c>
      <c r="E1308" s="11" t="str">
        <f>HYPERLINK("https://twitter.com/HumoyunUz/status/702978632671559680","702978632671559680")</f>
        <v>702978632671559680</v>
      </c>
      <c r="F1308" s="12" t="s">
        <v>152</v>
      </c>
      <c r="G1308" s="13">
        <v>59.0</v>
      </c>
      <c r="H1308" s="13">
        <v>261.0</v>
      </c>
      <c r="I1308" s="13">
        <v>5.0</v>
      </c>
      <c r="J1308" s="13">
        <v>0.0</v>
      </c>
      <c r="K1308" s="12" t="s">
        <v>21</v>
      </c>
      <c r="L1308" s="7">
        <v>40953.33012731482</v>
      </c>
      <c r="M1308" s="14" t="s">
        <v>3030</v>
      </c>
      <c r="N1308" s="14" t="s">
        <v>3031</v>
      </c>
      <c r="O1308" s="11" t="str">
        <f>HYPERLINK("https://pbs.twimg.com/profile_images/616490041422917632/2OEFqT-M_normal.jpg","View")</f>
        <v>View</v>
      </c>
      <c r="P1308" s="15"/>
    </row>
    <row r="1309">
      <c r="A1309" s="7">
        <v>42425.589641203704</v>
      </c>
      <c r="B1309" s="8" t="str">
        <f>HYPERLINK("https://twitter.com/UltimateJobs","@UltimateJobs")</f>
        <v>@UltimateJobs</v>
      </c>
      <c r="C1309" s="9" t="s">
        <v>3032</v>
      </c>
      <c r="D1309" s="10" t="s">
        <v>3033</v>
      </c>
      <c r="E1309" s="11" t="str">
        <f>HYPERLINK("https://twitter.com/UltimateJobs/status/702978650539339777","702978650539339777")</f>
        <v>702978650539339777</v>
      </c>
      <c r="F1309" s="12" t="s">
        <v>20</v>
      </c>
      <c r="G1309" s="13">
        <v>9056.0</v>
      </c>
      <c r="H1309" s="13">
        <v>7879.0</v>
      </c>
      <c r="I1309" s="13">
        <v>0.0</v>
      </c>
      <c r="J1309" s="13">
        <v>1.0</v>
      </c>
      <c r="K1309" s="12" t="s">
        <v>21</v>
      </c>
      <c r="L1309" s="7">
        <v>40182.71554398148</v>
      </c>
      <c r="M1309" s="14" t="s">
        <v>3034</v>
      </c>
      <c r="N1309" s="14" t="s">
        <v>3035</v>
      </c>
      <c r="O1309" s="11" t="str">
        <f>HYPERLINK("https://pbs.twimg.com/profile_images/567802026864566272/il4Ew0zi_normal.jpeg","View")</f>
        <v>View</v>
      </c>
      <c r="P1309" s="15"/>
    </row>
    <row r="1310">
      <c r="A1310" s="7">
        <v>42425.58966435185</v>
      </c>
      <c r="B1310" s="8" t="str">
        <f>HYPERLINK("https://twitter.com/guerchele","@guerchele")</f>
        <v>@guerchele</v>
      </c>
      <c r="C1310" s="10" t="s">
        <v>3025</v>
      </c>
      <c r="D1310" s="10" t="s">
        <v>3036</v>
      </c>
      <c r="E1310" s="11" t="str">
        <f>HYPERLINK("https://twitter.com/guerchele/status/702978659171364865","702978659171364865")</f>
        <v>702978659171364865</v>
      </c>
      <c r="F1310" s="12" t="s">
        <v>20</v>
      </c>
      <c r="G1310" s="13">
        <v>2230.0</v>
      </c>
      <c r="H1310" s="13">
        <v>2489.0</v>
      </c>
      <c r="I1310" s="13">
        <v>0.0</v>
      </c>
      <c r="J1310" s="13">
        <v>0.0</v>
      </c>
      <c r="K1310" s="12" t="s">
        <v>21</v>
      </c>
      <c r="L1310" s="7">
        <v>38917.28435185185</v>
      </c>
      <c r="M1310" s="14" t="s">
        <v>3027</v>
      </c>
      <c r="N1310" s="14" t="s">
        <v>3028</v>
      </c>
      <c r="O1310" s="11" t="str">
        <f>HYPERLINK("https://pbs.twimg.com/profile_images/476415572259766272/yFnIg7J6_normal.jpeg","View")</f>
        <v>View</v>
      </c>
      <c r="P1310" s="15"/>
    </row>
    <row r="1311">
      <c r="A1311" s="7">
        <v>42425.589837962965</v>
      </c>
      <c r="B1311" s="8" t="str">
        <f>HYPERLINK("https://twitter.com/tullman","@tullman")</f>
        <v>@tullman</v>
      </c>
      <c r="C1311" s="10" t="s">
        <v>3037</v>
      </c>
      <c r="D1311" s="10" t="s">
        <v>3038</v>
      </c>
      <c r="E1311" s="11" t="str">
        <f>HYPERLINK("https://twitter.com/tullman/status/702978719393189888","702978719393189888")</f>
        <v>702978719393189888</v>
      </c>
      <c r="F1311" s="12" t="s">
        <v>446</v>
      </c>
      <c r="G1311" s="13">
        <v>11311.0</v>
      </c>
      <c r="H1311" s="13">
        <v>2572.0</v>
      </c>
      <c r="I1311" s="13">
        <v>4.0</v>
      </c>
      <c r="J1311" s="13">
        <v>0.0</v>
      </c>
      <c r="K1311" s="12" t="s">
        <v>21</v>
      </c>
      <c r="L1311" s="7">
        <v>39258.25467592593</v>
      </c>
      <c r="M1311" s="14" t="s">
        <v>3039</v>
      </c>
      <c r="N1311" s="14" t="s">
        <v>3040</v>
      </c>
      <c r="O1311" s="11" t="str">
        <f>HYPERLINK("https://pbs.twimg.com/profile_images/605140445228900354/o1VtviXw_normal.jpg","View")</f>
        <v>View</v>
      </c>
      <c r="P1311" s="15"/>
    </row>
    <row r="1312">
      <c r="A1312" s="7">
        <v>42425.59038194444</v>
      </c>
      <c r="B1312" s="8" t="str">
        <f>HYPERLINK("https://twitter.com/crude2refined","@crude2refined")</f>
        <v>@crude2refined</v>
      </c>
      <c r="C1312" s="10" t="s">
        <v>3041</v>
      </c>
      <c r="D1312" s="10" t="s">
        <v>3042</v>
      </c>
      <c r="E1312" s="11" t="str">
        <f>HYPERLINK("https://twitter.com/crude2refined/status/702978919973019648","702978919973019648")</f>
        <v>702978919973019648</v>
      </c>
      <c r="F1312" s="12" t="s">
        <v>20</v>
      </c>
      <c r="G1312" s="13">
        <v>136.0</v>
      </c>
      <c r="H1312" s="13">
        <v>125.0</v>
      </c>
      <c r="I1312" s="13">
        <v>16.0</v>
      </c>
      <c r="J1312" s="13">
        <v>0.0</v>
      </c>
      <c r="K1312" s="12" t="s">
        <v>21</v>
      </c>
      <c r="L1312" s="7">
        <v>41632.48946759259</v>
      </c>
      <c r="M1312" s="14" t="s">
        <v>1899</v>
      </c>
      <c r="N1312" s="14" t="s">
        <v>3043</v>
      </c>
      <c r="O1312" s="11" t="str">
        <f>HYPERLINK("https://pbs.twimg.com/profile_images/420457609573847040/gXX8yrEU_normal.jpeg","View")</f>
        <v>View</v>
      </c>
      <c r="P1312" s="15"/>
    </row>
    <row r="1313">
      <c r="A1313" s="7">
        <v>42425.59065972222</v>
      </c>
      <c r="B1313" s="8" t="str">
        <f>HYPERLINK("https://twitter.com/UltimateJobs","@UltimateJobs")</f>
        <v>@UltimateJobs</v>
      </c>
      <c r="C1313" s="9" t="s">
        <v>3032</v>
      </c>
      <c r="D1313" s="10" t="s">
        <v>3044</v>
      </c>
      <c r="E1313" s="11" t="str">
        <f>HYPERLINK("https://twitter.com/UltimateJobs/status/702979017889050624","702979017889050624")</f>
        <v>702979017889050624</v>
      </c>
      <c r="F1313" s="12" t="s">
        <v>20</v>
      </c>
      <c r="G1313" s="13">
        <v>9056.0</v>
      </c>
      <c r="H1313" s="13">
        <v>7879.0</v>
      </c>
      <c r="I1313" s="13">
        <v>0.0</v>
      </c>
      <c r="J1313" s="13">
        <v>1.0</v>
      </c>
      <c r="K1313" s="12" t="s">
        <v>21</v>
      </c>
      <c r="L1313" s="7">
        <v>40182.71554398148</v>
      </c>
      <c r="M1313" s="14" t="s">
        <v>3034</v>
      </c>
      <c r="N1313" s="14" t="s">
        <v>3035</v>
      </c>
      <c r="O1313" s="11" t="str">
        <f>HYPERLINK("https://pbs.twimg.com/profile_images/567802026864566272/il4Ew0zi_normal.jpeg","View")</f>
        <v>View</v>
      </c>
      <c r="P1313" s="15"/>
    </row>
    <row r="1314">
      <c r="A1314" s="7">
        <v>42425.590729166666</v>
      </c>
      <c r="B1314" s="8" t="str">
        <f>HYPERLINK("https://twitter.com/scott_abt","@scott_abt")</f>
        <v>@scott_abt</v>
      </c>
      <c r="C1314" s="10" t="s">
        <v>3045</v>
      </c>
      <c r="D1314" s="10" t="s">
        <v>3046</v>
      </c>
      <c r="E1314" s="11" t="str">
        <f>HYPERLINK("https://twitter.com/scott_abt/status/702979042337648640","702979042337648640")</f>
        <v>702979042337648640</v>
      </c>
      <c r="F1314" s="12" t="s">
        <v>20</v>
      </c>
      <c r="G1314" s="13">
        <v>68.0</v>
      </c>
      <c r="H1314" s="13">
        <v>259.0</v>
      </c>
      <c r="I1314" s="13">
        <v>0.0</v>
      </c>
      <c r="J1314" s="13">
        <v>2.0</v>
      </c>
      <c r="K1314" s="12" t="s">
        <v>21</v>
      </c>
      <c r="L1314" s="7">
        <v>41965.55060185185</v>
      </c>
      <c r="M1314" s="14" t="s">
        <v>3047</v>
      </c>
      <c r="N1314" s="14" t="s">
        <v>3048</v>
      </c>
      <c r="O1314" s="11" t="str">
        <f>HYPERLINK("https://pbs.twimg.com/profile_images/682623756527779840/kAP0MJY8_normal.jpg","View")</f>
        <v>View</v>
      </c>
      <c r="P1314" s="15"/>
    </row>
    <row r="1315">
      <c r="A1315" s="7">
        <v>42425.59143518518</v>
      </c>
      <c r="B1315" s="8" t="str">
        <f>HYPERLINK("https://twitter.com/blackkolateral","@blackkolateral")</f>
        <v>@blackkolateral</v>
      </c>
      <c r="C1315" s="10" t="s">
        <v>3049</v>
      </c>
      <c r="D1315" s="10" t="s">
        <v>2931</v>
      </c>
      <c r="E1315" s="11" t="str">
        <f>HYPERLINK("https://twitter.com/blackkolateral/status/702979299272306688","702979299272306688")</f>
        <v>702979299272306688</v>
      </c>
      <c r="F1315" s="12" t="s">
        <v>152</v>
      </c>
      <c r="G1315" s="13">
        <v>127.0</v>
      </c>
      <c r="H1315" s="13">
        <v>320.0</v>
      </c>
      <c r="I1315" s="13">
        <v>6.0</v>
      </c>
      <c r="J1315" s="13">
        <v>0.0</v>
      </c>
      <c r="K1315" s="12" t="s">
        <v>21</v>
      </c>
      <c r="L1315" s="7">
        <v>40962.95119212963</v>
      </c>
      <c r="M1315" s="14" t="s">
        <v>3050</v>
      </c>
      <c r="N1315" s="14" t="s">
        <v>3051</v>
      </c>
      <c r="O1315" s="11" t="str">
        <f>HYPERLINK("https://pbs.twimg.com/profile_images/693113024232689664/zyTt3Gtv_normal.jpg","View")</f>
        <v>View</v>
      </c>
      <c r="P1315" s="15"/>
    </row>
    <row r="1316">
      <c r="A1316" s="7">
        <v>42425.59149305556</v>
      </c>
      <c r="B1316" s="8" t="str">
        <f>HYPERLINK("https://twitter.com/tomsnode","@tomsnode")</f>
        <v>@tomsnode</v>
      </c>
      <c r="C1316" s="10" t="s">
        <v>1369</v>
      </c>
      <c r="D1316" s="10" t="s">
        <v>3052</v>
      </c>
      <c r="E1316" s="11" t="str">
        <f>HYPERLINK("https://twitter.com/tomsnode/status/702979320525017090","702979320525017090")</f>
        <v>702979320525017090</v>
      </c>
      <c r="F1316" s="12" t="s">
        <v>152</v>
      </c>
      <c r="G1316" s="13">
        <v>26.0</v>
      </c>
      <c r="H1316" s="13">
        <v>40.0</v>
      </c>
      <c r="I1316" s="13">
        <v>0.0</v>
      </c>
      <c r="J1316" s="13">
        <v>1.0</v>
      </c>
      <c r="K1316" s="12" t="s">
        <v>21</v>
      </c>
      <c r="L1316" s="7">
        <v>42396.58653935185</v>
      </c>
      <c r="M1316" s="14" t="s">
        <v>1371</v>
      </c>
      <c r="N1316" s="14" t="s">
        <v>1372</v>
      </c>
      <c r="O1316" s="11" t="str">
        <f>HYPERLINK("https://pbs.twimg.com/profile_images/702871246984355840/ITe_q_Xl_normal.jpg","View")</f>
        <v>View</v>
      </c>
      <c r="P1316" s="15"/>
    </row>
    <row r="1317">
      <c r="A1317" s="7">
        <v>42425.5916087963</v>
      </c>
      <c r="B1317" s="8" t="str">
        <f>HYPERLINK("https://twitter.com/technawidotnet","@technawidotnet")</f>
        <v>@technawidotnet</v>
      </c>
      <c r="C1317" s="20" t="s">
        <v>3053</v>
      </c>
      <c r="D1317" s="20" t="s">
        <v>3054</v>
      </c>
      <c r="E1317" s="11" t="str">
        <f>HYPERLINK("https://twitter.com/technawidotnet/status/702979361520152576","702979361520152576")</f>
        <v>702979361520152576</v>
      </c>
      <c r="F1317" s="12" t="s">
        <v>20</v>
      </c>
      <c r="G1317" s="13">
        <v>1094.0</v>
      </c>
      <c r="H1317" s="13">
        <v>82.0</v>
      </c>
      <c r="I1317" s="13">
        <v>1.0</v>
      </c>
      <c r="J1317" s="13">
        <v>4.0</v>
      </c>
      <c r="K1317" s="12" t="s">
        <v>21</v>
      </c>
      <c r="L1317" s="7">
        <v>41731.03560185185</v>
      </c>
      <c r="M1317" s="16"/>
      <c r="N1317" s="21" t="s">
        <v>3055</v>
      </c>
      <c r="O1317" s="11" t="str">
        <f>HYPERLINK("https://pbs.twimg.com/profile_images/451266500007981056/rz-s9BRc_normal.png","View")</f>
        <v>View</v>
      </c>
      <c r="P1317" s="15"/>
    </row>
    <row r="1318">
      <c r="A1318" s="7">
        <v>42425.591678240744</v>
      </c>
      <c r="B1318" s="8" t="str">
        <f>HYPERLINK("https://twitter.com/marcorougeth","@marcorougeth")</f>
        <v>@marcorougeth</v>
      </c>
      <c r="C1318" s="10" t="s">
        <v>3056</v>
      </c>
      <c r="D1318" s="10" t="s">
        <v>1461</v>
      </c>
      <c r="E1318" s="11" t="str">
        <f>HYPERLINK("https://twitter.com/marcorougeth/status/702979387021463552","702979387021463552")</f>
        <v>702979387021463552</v>
      </c>
      <c r="F1318" s="12" t="s">
        <v>152</v>
      </c>
      <c r="G1318" s="13">
        <v>240.0</v>
      </c>
      <c r="H1318" s="13">
        <v>598.0</v>
      </c>
      <c r="I1318" s="13">
        <v>17.0</v>
      </c>
      <c r="J1318" s="13">
        <v>0.0</v>
      </c>
      <c r="K1318" s="12" t="s">
        <v>21</v>
      </c>
      <c r="L1318" s="7">
        <v>41432.43125</v>
      </c>
      <c r="M1318" s="16"/>
      <c r="N1318" s="16"/>
      <c r="O1318" s="11" t="str">
        <f>HYPERLINK("https://pbs.twimg.com/profile_images/685185723000029184/rQxIJGmV_normal.jpg","View")</f>
        <v>View</v>
      </c>
      <c r="P1318" s="15"/>
    </row>
    <row r="1319">
      <c r="A1319" s="7">
        <v>42425.592210648145</v>
      </c>
      <c r="B1319" s="8" t="str">
        <f>HYPERLINK("https://twitter.com/DdR333","@DdR333")</f>
        <v>@DdR333</v>
      </c>
      <c r="C1319" s="10" t="s">
        <v>3057</v>
      </c>
      <c r="D1319" s="10" t="s">
        <v>3058</v>
      </c>
      <c r="E1319" s="11" t="str">
        <f>HYPERLINK("https://twitter.com/DdR333/status/702979581003882496","702979581003882496")</f>
        <v>702979581003882496</v>
      </c>
      <c r="F1319" s="12" t="s">
        <v>3059</v>
      </c>
      <c r="G1319" s="13">
        <v>658.0</v>
      </c>
      <c r="H1319" s="13">
        <v>1372.0</v>
      </c>
      <c r="I1319" s="13">
        <v>1.0</v>
      </c>
      <c r="J1319" s="13">
        <v>0.0</v>
      </c>
      <c r="K1319" s="12" t="s">
        <v>21</v>
      </c>
      <c r="L1319" s="7">
        <v>40049.06618055556</v>
      </c>
      <c r="M1319" s="16"/>
      <c r="N1319" s="14" t="s">
        <v>3060</v>
      </c>
      <c r="O1319" s="11" t="str">
        <f>HYPERLINK("https://pbs.twimg.com/profile_images/699231619413053440/U8z4CUkO_normal.jpg","View")</f>
        <v>View</v>
      </c>
      <c r="P1319" s="15"/>
    </row>
    <row r="1320">
      <c r="A1320" s="7">
        <v>42425.59234953704</v>
      </c>
      <c r="B1320" s="8" t="str">
        <f>HYPERLINK("https://twitter.com/programmingncr","@programmingncr")</f>
        <v>@programmingncr</v>
      </c>
      <c r="C1320" s="10" t="s">
        <v>262</v>
      </c>
      <c r="D1320" s="10" t="s">
        <v>3061</v>
      </c>
      <c r="E1320" s="11" t="str">
        <f>HYPERLINK("https://twitter.com/programmingncr/status/702979632975495169","702979632975495169")</f>
        <v>702979632975495169</v>
      </c>
      <c r="F1320" s="12" t="s">
        <v>103</v>
      </c>
      <c r="G1320" s="13">
        <v>328.0</v>
      </c>
      <c r="H1320" s="13">
        <v>99.0</v>
      </c>
      <c r="I1320" s="13">
        <v>0.0</v>
      </c>
      <c r="J1320" s="13">
        <v>0.0</v>
      </c>
      <c r="K1320" s="12" t="s">
        <v>21</v>
      </c>
      <c r="L1320" s="7">
        <v>42220.86634259259</v>
      </c>
      <c r="M1320" s="14" t="s">
        <v>264</v>
      </c>
      <c r="N1320" s="14" t="s">
        <v>265</v>
      </c>
      <c r="O1320" s="11" t="str">
        <f>HYPERLINK("https://pbs.twimg.com/profile_images/662602436222193664/qKuvsfnG_normal.jpg","View")</f>
        <v>View</v>
      </c>
      <c r="P1320" s="15"/>
    </row>
    <row r="1321">
      <c r="A1321" s="7">
        <v>42425.59247685185</v>
      </c>
      <c r="B1321" s="8" t="str">
        <f t="shared" ref="B1321:B1329" si="125">HYPERLINK("https://twitter.com/artwisanggeni","@artwisanggeni")</f>
        <v>@artwisanggeni</v>
      </c>
      <c r="C1321" s="10" t="s">
        <v>74</v>
      </c>
      <c r="D1321" s="10" t="s">
        <v>3062</v>
      </c>
      <c r="E1321" s="11" t="str">
        <f>HYPERLINK("https://twitter.com/artwisanggeni/status/702979677288148992","702979677288148992")</f>
        <v>702979677288148992</v>
      </c>
      <c r="F1321" s="17" t="s">
        <v>76</v>
      </c>
      <c r="G1321" s="13">
        <v>236.0</v>
      </c>
      <c r="H1321" s="13">
        <v>61.0</v>
      </c>
      <c r="I1321" s="13">
        <v>0.0</v>
      </c>
      <c r="J1321" s="13">
        <v>0.0</v>
      </c>
      <c r="K1321" s="12" t="s">
        <v>21</v>
      </c>
      <c r="L1321" s="7">
        <v>41218.90608796296</v>
      </c>
      <c r="M1321" s="14" t="s">
        <v>77</v>
      </c>
      <c r="N1321" s="14" t="s">
        <v>78</v>
      </c>
      <c r="O1321" s="11" t="str">
        <f t="shared" ref="O1321:O1329" si="126">HYPERLINK("https://pbs.twimg.com/profile_images/2813636657/599521f69e2bc210a57323b64d8e39e6_normal.jpeg","View")</f>
        <v>View</v>
      </c>
      <c r="P1321" s="15"/>
    </row>
    <row r="1322">
      <c r="A1322" s="7">
        <v>42425.59248842593</v>
      </c>
      <c r="B1322" s="8" t="str">
        <f t="shared" si="125"/>
        <v>@artwisanggeni</v>
      </c>
      <c r="C1322" s="10" t="s">
        <v>74</v>
      </c>
      <c r="D1322" s="10" t="s">
        <v>3063</v>
      </c>
      <c r="E1322" s="11" t="str">
        <f>HYPERLINK("https://twitter.com/artwisanggeni/status/702979681822179328","702979681822179328")</f>
        <v>702979681822179328</v>
      </c>
      <c r="F1322" s="17" t="s">
        <v>76</v>
      </c>
      <c r="G1322" s="13">
        <v>236.0</v>
      </c>
      <c r="H1322" s="13">
        <v>61.0</v>
      </c>
      <c r="I1322" s="13">
        <v>0.0</v>
      </c>
      <c r="J1322" s="13">
        <v>0.0</v>
      </c>
      <c r="K1322" s="12" t="s">
        <v>21</v>
      </c>
      <c r="L1322" s="7">
        <v>41218.90608796296</v>
      </c>
      <c r="M1322" s="14" t="s">
        <v>77</v>
      </c>
      <c r="N1322" s="14" t="s">
        <v>78</v>
      </c>
      <c r="O1322" s="11" t="str">
        <f t="shared" si="126"/>
        <v>View</v>
      </c>
      <c r="P1322" s="15"/>
    </row>
    <row r="1323">
      <c r="A1323" s="7">
        <v>42425.5925</v>
      </c>
      <c r="B1323" s="8" t="str">
        <f t="shared" si="125"/>
        <v>@artwisanggeni</v>
      </c>
      <c r="C1323" s="10" t="s">
        <v>74</v>
      </c>
      <c r="D1323" s="10" t="s">
        <v>3064</v>
      </c>
      <c r="E1323" s="11" t="str">
        <f>HYPERLINK("https://twitter.com/artwisanggeni/status/702979686146519040","702979686146519040")</f>
        <v>702979686146519040</v>
      </c>
      <c r="F1323" s="17" t="s">
        <v>76</v>
      </c>
      <c r="G1323" s="13">
        <v>236.0</v>
      </c>
      <c r="H1323" s="13">
        <v>61.0</v>
      </c>
      <c r="I1323" s="13">
        <v>0.0</v>
      </c>
      <c r="J1323" s="13">
        <v>0.0</v>
      </c>
      <c r="K1323" s="12" t="s">
        <v>21</v>
      </c>
      <c r="L1323" s="7">
        <v>41218.90608796296</v>
      </c>
      <c r="M1323" s="14" t="s">
        <v>77</v>
      </c>
      <c r="N1323" s="14" t="s">
        <v>78</v>
      </c>
      <c r="O1323" s="11" t="str">
        <f t="shared" si="126"/>
        <v>View</v>
      </c>
      <c r="P1323" s="15"/>
    </row>
    <row r="1324">
      <c r="A1324" s="7">
        <v>42425.592511574076</v>
      </c>
      <c r="B1324" s="8" t="str">
        <f t="shared" si="125"/>
        <v>@artwisanggeni</v>
      </c>
      <c r="C1324" s="10" t="s">
        <v>74</v>
      </c>
      <c r="D1324" s="10" t="s">
        <v>3065</v>
      </c>
      <c r="E1324" s="11" t="str">
        <f>HYPERLINK("https://twitter.com/artwisanggeni/status/702979690449862657","702979690449862657")</f>
        <v>702979690449862657</v>
      </c>
      <c r="F1324" s="17" t="s">
        <v>76</v>
      </c>
      <c r="G1324" s="13">
        <v>236.0</v>
      </c>
      <c r="H1324" s="13">
        <v>61.0</v>
      </c>
      <c r="I1324" s="13">
        <v>0.0</v>
      </c>
      <c r="J1324" s="13">
        <v>0.0</v>
      </c>
      <c r="K1324" s="12" t="s">
        <v>21</v>
      </c>
      <c r="L1324" s="7">
        <v>41218.90608796296</v>
      </c>
      <c r="M1324" s="14" t="s">
        <v>77</v>
      </c>
      <c r="N1324" s="14" t="s">
        <v>78</v>
      </c>
      <c r="O1324" s="11" t="str">
        <f t="shared" si="126"/>
        <v>View</v>
      </c>
      <c r="P1324" s="15"/>
    </row>
    <row r="1325">
      <c r="A1325" s="7">
        <v>42425.59252314815</v>
      </c>
      <c r="B1325" s="8" t="str">
        <f t="shared" si="125"/>
        <v>@artwisanggeni</v>
      </c>
      <c r="C1325" s="10" t="s">
        <v>74</v>
      </c>
      <c r="D1325" s="10" t="s">
        <v>3066</v>
      </c>
      <c r="E1325" s="11" t="str">
        <f>HYPERLINK("https://twitter.com/artwisanggeni/status/702979694212227073","702979694212227073")</f>
        <v>702979694212227073</v>
      </c>
      <c r="F1325" s="17" t="s">
        <v>76</v>
      </c>
      <c r="G1325" s="13">
        <v>236.0</v>
      </c>
      <c r="H1325" s="13">
        <v>61.0</v>
      </c>
      <c r="I1325" s="13">
        <v>0.0</v>
      </c>
      <c r="J1325" s="13">
        <v>0.0</v>
      </c>
      <c r="K1325" s="12" t="s">
        <v>21</v>
      </c>
      <c r="L1325" s="7">
        <v>41218.90608796296</v>
      </c>
      <c r="M1325" s="14" t="s">
        <v>77</v>
      </c>
      <c r="N1325" s="14" t="s">
        <v>78</v>
      </c>
      <c r="O1325" s="11" t="str">
        <f t="shared" si="126"/>
        <v>View</v>
      </c>
      <c r="P1325" s="15"/>
    </row>
    <row r="1326">
      <c r="A1326" s="7">
        <v>42425.59253472222</v>
      </c>
      <c r="B1326" s="8" t="str">
        <f t="shared" si="125"/>
        <v>@artwisanggeni</v>
      </c>
      <c r="C1326" s="10" t="s">
        <v>74</v>
      </c>
      <c r="D1326" s="10" t="s">
        <v>3067</v>
      </c>
      <c r="E1326" s="11" t="str">
        <f>HYPERLINK("https://twitter.com/artwisanggeni/status/702979698448400385","702979698448400385")</f>
        <v>702979698448400385</v>
      </c>
      <c r="F1326" s="17" t="s">
        <v>76</v>
      </c>
      <c r="G1326" s="13">
        <v>236.0</v>
      </c>
      <c r="H1326" s="13">
        <v>61.0</v>
      </c>
      <c r="I1326" s="13">
        <v>0.0</v>
      </c>
      <c r="J1326" s="13">
        <v>0.0</v>
      </c>
      <c r="K1326" s="12" t="s">
        <v>21</v>
      </c>
      <c r="L1326" s="7">
        <v>41218.90608796296</v>
      </c>
      <c r="M1326" s="14" t="s">
        <v>77</v>
      </c>
      <c r="N1326" s="14" t="s">
        <v>78</v>
      </c>
      <c r="O1326" s="11" t="str">
        <f t="shared" si="126"/>
        <v>View</v>
      </c>
      <c r="P1326" s="15"/>
    </row>
    <row r="1327">
      <c r="A1327" s="7">
        <v>42425.59254629629</v>
      </c>
      <c r="B1327" s="8" t="str">
        <f t="shared" si="125"/>
        <v>@artwisanggeni</v>
      </c>
      <c r="C1327" s="10" t="s">
        <v>74</v>
      </c>
      <c r="D1327" s="10" t="s">
        <v>3068</v>
      </c>
      <c r="E1327" s="11" t="str">
        <f>HYPERLINK("https://twitter.com/artwisanggeni/status/702979702223298560","702979702223298560")</f>
        <v>702979702223298560</v>
      </c>
      <c r="F1327" s="17" t="s">
        <v>76</v>
      </c>
      <c r="G1327" s="13">
        <v>236.0</v>
      </c>
      <c r="H1327" s="13">
        <v>61.0</v>
      </c>
      <c r="I1327" s="13">
        <v>0.0</v>
      </c>
      <c r="J1327" s="13">
        <v>0.0</v>
      </c>
      <c r="K1327" s="12" t="s">
        <v>21</v>
      </c>
      <c r="L1327" s="7">
        <v>41218.90608796296</v>
      </c>
      <c r="M1327" s="14" t="s">
        <v>77</v>
      </c>
      <c r="N1327" s="14" t="s">
        <v>78</v>
      </c>
      <c r="O1327" s="11" t="str">
        <f t="shared" si="126"/>
        <v>View</v>
      </c>
      <c r="P1327" s="15"/>
    </row>
    <row r="1328">
      <c r="A1328" s="7">
        <v>42425.592557870375</v>
      </c>
      <c r="B1328" s="8" t="str">
        <f t="shared" si="125"/>
        <v>@artwisanggeni</v>
      </c>
      <c r="C1328" s="10" t="s">
        <v>74</v>
      </c>
      <c r="D1328" s="10" t="s">
        <v>3069</v>
      </c>
      <c r="E1328" s="11" t="str">
        <f>HYPERLINK("https://twitter.com/artwisanggeni/status/702979705960402944","702979705960402944")</f>
        <v>702979705960402944</v>
      </c>
      <c r="F1328" s="17" t="s">
        <v>76</v>
      </c>
      <c r="G1328" s="13">
        <v>236.0</v>
      </c>
      <c r="H1328" s="13">
        <v>61.0</v>
      </c>
      <c r="I1328" s="13">
        <v>0.0</v>
      </c>
      <c r="J1328" s="13">
        <v>0.0</v>
      </c>
      <c r="K1328" s="12" t="s">
        <v>21</v>
      </c>
      <c r="L1328" s="7">
        <v>41218.90608796296</v>
      </c>
      <c r="M1328" s="14" t="s">
        <v>77</v>
      </c>
      <c r="N1328" s="14" t="s">
        <v>78</v>
      </c>
      <c r="O1328" s="11" t="str">
        <f t="shared" si="126"/>
        <v>View</v>
      </c>
      <c r="P1328" s="15"/>
    </row>
    <row r="1329">
      <c r="A1329" s="7">
        <v>42425.592569444445</v>
      </c>
      <c r="B1329" s="8" t="str">
        <f t="shared" si="125"/>
        <v>@artwisanggeni</v>
      </c>
      <c r="C1329" s="10" t="s">
        <v>74</v>
      </c>
      <c r="D1329" s="10" t="s">
        <v>3070</v>
      </c>
      <c r="E1329" s="11" t="str">
        <f>HYPERLINK("https://twitter.com/artwisanggeni/status/702979709714305024","702979709714305024")</f>
        <v>702979709714305024</v>
      </c>
      <c r="F1329" s="17" t="s">
        <v>76</v>
      </c>
      <c r="G1329" s="13">
        <v>236.0</v>
      </c>
      <c r="H1329" s="13">
        <v>61.0</v>
      </c>
      <c r="I1329" s="13">
        <v>0.0</v>
      </c>
      <c r="J1329" s="13">
        <v>0.0</v>
      </c>
      <c r="K1329" s="12" t="s">
        <v>21</v>
      </c>
      <c r="L1329" s="7">
        <v>41218.90608796296</v>
      </c>
      <c r="M1329" s="14" t="s">
        <v>77</v>
      </c>
      <c r="N1329" s="14" t="s">
        <v>78</v>
      </c>
      <c r="O1329" s="11" t="str">
        <f t="shared" si="126"/>
        <v>View</v>
      </c>
      <c r="P1329" s="15"/>
    </row>
    <row r="1330">
      <c r="A1330" s="7">
        <v>42425.59260416667</v>
      </c>
      <c r="B1330" s="8" t="str">
        <f t="shared" ref="B1330:B1331" si="127">HYPERLINK("https://twitter.com/HartwigMicheal","@HartwigMicheal")</f>
        <v>@HartwigMicheal</v>
      </c>
      <c r="C1330" s="10" t="s">
        <v>842</v>
      </c>
      <c r="D1330" s="10" t="s">
        <v>3071</v>
      </c>
      <c r="E1330" s="11" t="str">
        <f>HYPERLINK("https://twitter.com/HartwigMicheal/status/702979722687483905","702979722687483905")</f>
        <v>702979722687483905</v>
      </c>
      <c r="F1330" s="12" t="s">
        <v>103</v>
      </c>
      <c r="G1330" s="13">
        <v>541.0</v>
      </c>
      <c r="H1330" s="13">
        <v>830.0</v>
      </c>
      <c r="I1330" s="13">
        <v>0.0</v>
      </c>
      <c r="J1330" s="13">
        <v>0.0</v>
      </c>
      <c r="K1330" s="12" t="s">
        <v>21</v>
      </c>
      <c r="L1330" s="7">
        <v>42362.00148148148</v>
      </c>
      <c r="M1330" s="14" t="s">
        <v>844</v>
      </c>
      <c r="N1330" s="14" t="s">
        <v>845</v>
      </c>
      <c r="O1330" s="11" t="str">
        <f t="shared" ref="O1330:O1331" si="128">HYPERLINK("https://pbs.twimg.com/profile_images/679948461953781761/pDo9356K_normal.jpg","View")</f>
        <v>View</v>
      </c>
      <c r="P1330" s="15"/>
    </row>
    <row r="1331">
      <c r="A1331" s="7">
        <v>42425.592627314814</v>
      </c>
      <c r="B1331" s="8" t="str">
        <f t="shared" si="127"/>
        <v>@HartwigMicheal</v>
      </c>
      <c r="C1331" s="10" t="s">
        <v>842</v>
      </c>
      <c r="D1331" s="10" t="s">
        <v>3072</v>
      </c>
      <c r="E1331" s="11" t="str">
        <f>HYPERLINK("https://twitter.com/HartwigMicheal/status/702979731831001090","702979731831001090")</f>
        <v>702979731831001090</v>
      </c>
      <c r="F1331" s="12" t="s">
        <v>103</v>
      </c>
      <c r="G1331" s="13">
        <v>541.0</v>
      </c>
      <c r="H1331" s="13">
        <v>830.0</v>
      </c>
      <c r="I1331" s="13">
        <v>0.0</v>
      </c>
      <c r="J1331" s="13">
        <v>0.0</v>
      </c>
      <c r="K1331" s="12" t="s">
        <v>21</v>
      </c>
      <c r="L1331" s="7">
        <v>42362.00148148148</v>
      </c>
      <c r="M1331" s="14" t="s">
        <v>844</v>
      </c>
      <c r="N1331" s="14" t="s">
        <v>845</v>
      </c>
      <c r="O1331" s="11" t="str">
        <f t="shared" si="128"/>
        <v>View</v>
      </c>
      <c r="P1331" s="15"/>
    </row>
    <row r="1332">
      <c r="A1332" s="7">
        <v>42425.5928587963</v>
      </c>
      <c r="B1332" s="8" t="str">
        <f t="shared" ref="B1332:B1333" si="129">HYPERLINK("https://twitter.com/JoshuaLongUK","@JoshuaLongUK")</f>
        <v>@JoshuaLongUK</v>
      </c>
      <c r="C1332" s="10" t="s">
        <v>101</v>
      </c>
      <c r="D1332" s="10" t="s">
        <v>3073</v>
      </c>
      <c r="E1332" s="11" t="str">
        <f>HYPERLINK("https://twitter.com/JoshuaLongUK/status/702979817004769280","702979817004769280")</f>
        <v>702979817004769280</v>
      </c>
      <c r="F1332" s="12" t="s">
        <v>103</v>
      </c>
      <c r="G1332" s="13">
        <v>25832.0</v>
      </c>
      <c r="H1332" s="13">
        <v>93.0</v>
      </c>
      <c r="I1332" s="13">
        <v>0.0</v>
      </c>
      <c r="J1332" s="13">
        <v>0.0</v>
      </c>
      <c r="K1332" s="12" t="s">
        <v>21</v>
      </c>
      <c r="L1332" s="7">
        <v>41149.39659722222</v>
      </c>
      <c r="M1332" s="14" t="s">
        <v>104</v>
      </c>
      <c r="N1332" s="14" t="s">
        <v>105</v>
      </c>
      <c r="O1332" s="11" t="str">
        <f t="shared" ref="O1332:O1333" si="130">HYPERLINK("https://pbs.twimg.com/profile_images/627996138403168256/DaASdgVr_normal.jpg","View")</f>
        <v>View</v>
      </c>
      <c r="P1332" s="15"/>
    </row>
    <row r="1333">
      <c r="A1333" s="7">
        <v>42425.5928587963</v>
      </c>
      <c r="B1333" s="8" t="str">
        <f t="shared" si="129"/>
        <v>@JoshuaLongUK</v>
      </c>
      <c r="C1333" s="10" t="s">
        <v>101</v>
      </c>
      <c r="D1333" s="10" t="s">
        <v>3074</v>
      </c>
      <c r="E1333" s="11" t="str">
        <f>HYPERLINK("https://twitter.com/JoshuaLongUK/status/702979817965285380","702979817965285380")</f>
        <v>702979817965285380</v>
      </c>
      <c r="F1333" s="12" t="s">
        <v>103</v>
      </c>
      <c r="G1333" s="13">
        <v>25832.0</v>
      </c>
      <c r="H1333" s="13">
        <v>93.0</v>
      </c>
      <c r="I1333" s="13">
        <v>0.0</v>
      </c>
      <c r="J1333" s="13">
        <v>0.0</v>
      </c>
      <c r="K1333" s="12" t="s">
        <v>21</v>
      </c>
      <c r="L1333" s="7">
        <v>41149.39659722222</v>
      </c>
      <c r="M1333" s="14" t="s">
        <v>104</v>
      </c>
      <c r="N1333" s="14" t="s">
        <v>105</v>
      </c>
      <c r="O1333" s="11" t="str">
        <f t="shared" si="130"/>
        <v>View</v>
      </c>
      <c r="P1333" s="15"/>
    </row>
    <row r="1334">
      <c r="A1334" s="7">
        <v>42425.59306712963</v>
      </c>
      <c r="B1334" s="8" t="str">
        <f t="shared" ref="B1334:B1335" si="131">HYPERLINK("https://twitter.com/MTotolrahaman","@MTotolrahaman")</f>
        <v>@MTotolrahaman</v>
      </c>
      <c r="C1334" s="10" t="s">
        <v>848</v>
      </c>
      <c r="D1334" s="10" t="s">
        <v>3075</v>
      </c>
      <c r="E1334" s="11" t="str">
        <f>HYPERLINK("https://twitter.com/MTotolrahaman/status/702979893429194752","702979893429194752")</f>
        <v>702979893429194752</v>
      </c>
      <c r="F1334" s="12" t="s">
        <v>103</v>
      </c>
      <c r="G1334" s="13">
        <v>766.0</v>
      </c>
      <c r="H1334" s="13">
        <v>846.0</v>
      </c>
      <c r="I1334" s="13">
        <v>0.0</v>
      </c>
      <c r="J1334" s="13">
        <v>0.0</v>
      </c>
      <c r="K1334" s="12" t="s">
        <v>21</v>
      </c>
      <c r="L1334" s="7">
        <v>42355.250798611116</v>
      </c>
      <c r="M1334" s="14" t="s">
        <v>850</v>
      </c>
      <c r="N1334" s="14" t="s">
        <v>851</v>
      </c>
      <c r="O1334" s="11" t="str">
        <f t="shared" ref="O1334:O1335" si="132">HYPERLINK("https://pbs.twimg.com/profile_images/677493910256484352/-EdVaVPl_normal.jpg","View")</f>
        <v>View</v>
      </c>
      <c r="P1334" s="15"/>
    </row>
    <row r="1335">
      <c r="A1335" s="7">
        <v>42425.59310185185</v>
      </c>
      <c r="B1335" s="8" t="str">
        <f t="shared" si="131"/>
        <v>@MTotolrahaman</v>
      </c>
      <c r="C1335" s="10" t="s">
        <v>848</v>
      </c>
      <c r="D1335" s="10" t="s">
        <v>3076</v>
      </c>
      <c r="E1335" s="11" t="str">
        <f>HYPERLINK("https://twitter.com/MTotolrahaman/status/702979902396637184","702979902396637184")</f>
        <v>702979902396637184</v>
      </c>
      <c r="F1335" s="12" t="s">
        <v>103</v>
      </c>
      <c r="G1335" s="13">
        <v>766.0</v>
      </c>
      <c r="H1335" s="13">
        <v>846.0</v>
      </c>
      <c r="I1335" s="13">
        <v>0.0</v>
      </c>
      <c r="J1335" s="13">
        <v>0.0</v>
      </c>
      <c r="K1335" s="12" t="s">
        <v>21</v>
      </c>
      <c r="L1335" s="7">
        <v>42355.250798611116</v>
      </c>
      <c r="M1335" s="14" t="s">
        <v>850</v>
      </c>
      <c r="N1335" s="14" t="s">
        <v>851</v>
      </c>
      <c r="O1335" s="11" t="str">
        <f t="shared" si="132"/>
        <v>View</v>
      </c>
      <c r="P1335" s="15"/>
    </row>
    <row r="1336">
      <c r="A1336" s="7">
        <v>42425.59340277778</v>
      </c>
      <c r="B1336" s="8" t="str">
        <f>HYPERLINK("https://twitter.com/mthipparthi","@mthipparthi")</f>
        <v>@mthipparthi</v>
      </c>
      <c r="C1336" s="10" t="s">
        <v>143</v>
      </c>
      <c r="D1336" s="10" t="s">
        <v>3077</v>
      </c>
      <c r="E1336" s="11" t="str">
        <f>HYPERLINK("https://twitter.com/mthipparthi/status/702980014971588608","702980014971588608")</f>
        <v>702980014971588608</v>
      </c>
      <c r="F1336" s="12" t="s">
        <v>52</v>
      </c>
      <c r="G1336" s="13">
        <v>103.0</v>
      </c>
      <c r="H1336" s="13">
        <v>536.0</v>
      </c>
      <c r="I1336" s="13">
        <v>1.0</v>
      </c>
      <c r="J1336" s="13">
        <v>0.0</v>
      </c>
      <c r="K1336" s="12" t="s">
        <v>21</v>
      </c>
      <c r="L1336" s="7">
        <v>39954.14172453704</v>
      </c>
      <c r="M1336" s="14" t="s">
        <v>145</v>
      </c>
      <c r="N1336" s="14" t="s">
        <v>146</v>
      </c>
      <c r="O1336" s="11" t="str">
        <f>HYPERLINK("https://abs.twimg.com/sticky/default_profile_images/default_profile_3_normal.png","View")</f>
        <v>View</v>
      </c>
      <c r="P1336" s="15"/>
    </row>
    <row r="1337">
      <c r="A1337" s="7">
        <v>42425.5934375</v>
      </c>
      <c r="B1337" s="8" t="str">
        <f>HYPERLINK("https://twitter.com/superbobry","@superbobry")</f>
        <v>@superbobry</v>
      </c>
      <c r="C1337" s="10" t="s">
        <v>3078</v>
      </c>
      <c r="D1337" s="10" t="s">
        <v>3079</v>
      </c>
      <c r="E1337" s="11" t="str">
        <f>HYPERLINK("https://twitter.com/superbobry/status/702980027655299074","702980027655299074")</f>
        <v>702980027655299074</v>
      </c>
      <c r="F1337" s="12" t="s">
        <v>240</v>
      </c>
      <c r="G1337" s="13">
        <v>191.0</v>
      </c>
      <c r="H1337" s="13">
        <v>132.0</v>
      </c>
      <c r="I1337" s="13">
        <v>0.0</v>
      </c>
      <c r="J1337" s="13">
        <v>1.0</v>
      </c>
      <c r="K1337" s="12" t="s">
        <v>21</v>
      </c>
      <c r="L1337" s="7">
        <v>39930.06989583334</v>
      </c>
      <c r="M1337" s="14" t="s">
        <v>3080</v>
      </c>
      <c r="N1337" s="14" t="s">
        <v>3081</v>
      </c>
      <c r="O1337" s="11" t="str">
        <f>HYPERLINK("https://pbs.twimg.com/profile_images/664519682137960448/LCW2x5sj_normal.jpg","View")</f>
        <v>View</v>
      </c>
      <c r="P1337" s="15"/>
    </row>
    <row r="1338">
      <c r="A1338" s="7">
        <v>42425.593923611115</v>
      </c>
      <c r="B1338" s="8" t="str">
        <f>HYPERLINK("https://twitter.com/vllanteng","@vllanteng")</f>
        <v>@vllanteng</v>
      </c>
      <c r="C1338" s="10" t="s">
        <v>3082</v>
      </c>
      <c r="D1338" s="10" t="s">
        <v>2931</v>
      </c>
      <c r="E1338" s="11" t="str">
        <f>HYPERLINK("https://twitter.com/vllanteng/status/702980200661983232","702980200661983232")</f>
        <v>702980200661983232</v>
      </c>
      <c r="F1338" s="12" t="s">
        <v>3083</v>
      </c>
      <c r="G1338" s="13">
        <v>251.0</v>
      </c>
      <c r="H1338" s="13">
        <v>122.0</v>
      </c>
      <c r="I1338" s="13">
        <v>6.0</v>
      </c>
      <c r="J1338" s="13">
        <v>0.0</v>
      </c>
      <c r="K1338" s="12" t="s">
        <v>21</v>
      </c>
      <c r="L1338" s="7">
        <v>40519.186944444446</v>
      </c>
      <c r="M1338" s="14" t="s">
        <v>2058</v>
      </c>
      <c r="N1338" s="14" t="s">
        <v>3084</v>
      </c>
      <c r="O1338" s="11" t="str">
        <f>HYPERLINK("https://pbs.twimg.com/profile_images/579336139586347008/MRhf1yvw_normal.jpg","View")</f>
        <v>View</v>
      </c>
      <c r="P1338" s="15"/>
    </row>
    <row r="1339">
      <c r="A1339" s="7">
        <v>42425.59432870371</v>
      </c>
      <c r="B1339" s="8" t="str">
        <f>HYPERLINK("https://twitter.com/TeamEdhesive","@TeamEdhesive")</f>
        <v>@TeamEdhesive</v>
      </c>
      <c r="C1339" s="10" t="s">
        <v>3085</v>
      </c>
      <c r="D1339" s="10" t="s">
        <v>3086</v>
      </c>
      <c r="E1339" s="11" t="str">
        <f>HYPERLINK("https://twitter.com/TeamEdhesive/status/702980347680661505","702980347680661505")</f>
        <v>702980347680661505</v>
      </c>
      <c r="F1339" s="12" t="s">
        <v>20</v>
      </c>
      <c r="G1339" s="13">
        <v>60.0</v>
      </c>
      <c r="H1339" s="13">
        <v>174.0</v>
      </c>
      <c r="I1339" s="13">
        <v>1.0</v>
      </c>
      <c r="J1339" s="13">
        <v>2.0</v>
      </c>
      <c r="K1339" s="12" t="s">
        <v>21</v>
      </c>
      <c r="L1339" s="7">
        <v>42214.482407407406</v>
      </c>
      <c r="M1339" s="14" t="s">
        <v>1018</v>
      </c>
      <c r="N1339" s="14" t="s">
        <v>3087</v>
      </c>
      <c r="O1339" s="11" t="str">
        <f>HYPERLINK("https://pbs.twimg.com/profile_images/626462458094452736/81icvhyd_normal.png","View")</f>
        <v>View</v>
      </c>
      <c r="P1339" s="15"/>
    </row>
    <row r="1340">
      <c r="A1340" s="7">
        <v>42425.59443287037</v>
      </c>
      <c r="B1340" s="8" t="str">
        <f>HYPERLINK("https://twitter.com/NeuvooNewYork0","@NeuvooNewYork0")</f>
        <v>@NeuvooNewYork0</v>
      </c>
      <c r="C1340" s="10" t="s">
        <v>314</v>
      </c>
      <c r="D1340" s="10" t="s">
        <v>3088</v>
      </c>
      <c r="E1340" s="11" t="str">
        <f>HYPERLINK("https://twitter.com/NeuvooNewYork0/status/702980388268937216","702980388268937216")</f>
        <v>702980388268937216</v>
      </c>
      <c r="F1340" s="12" t="s">
        <v>316</v>
      </c>
      <c r="G1340" s="13">
        <v>2443.0</v>
      </c>
      <c r="H1340" s="13">
        <v>1131.0</v>
      </c>
      <c r="I1340" s="13">
        <v>0.0</v>
      </c>
      <c r="J1340" s="13">
        <v>0.0</v>
      </c>
      <c r="K1340" s="12" t="s">
        <v>21</v>
      </c>
      <c r="L1340" s="7">
        <v>41988.573495370365</v>
      </c>
      <c r="M1340" s="14" t="s">
        <v>317</v>
      </c>
      <c r="N1340" s="14" t="s">
        <v>318</v>
      </c>
      <c r="O1340" s="11" t="str">
        <f>HYPERLINK("https://pbs.twimg.com/profile_images/698371768269021185/NWsl5goW_normal.png","View")</f>
        <v>View</v>
      </c>
      <c r="P1340" s="15"/>
    </row>
    <row r="1341">
      <c r="A1341" s="7">
        <v>42425.59459490741</v>
      </c>
      <c r="B1341" s="8" t="str">
        <f>HYPERLINK("https://twitter.com/majorhettich","@majorhettich")</f>
        <v>@majorhettich</v>
      </c>
      <c r="C1341" s="10" t="s">
        <v>3089</v>
      </c>
      <c r="D1341" s="10" t="s">
        <v>3090</v>
      </c>
      <c r="E1341" s="11" t="str">
        <f>HYPERLINK("https://twitter.com/majorhettich/status/702980445206663169","702980445206663169")</f>
        <v>702980445206663169</v>
      </c>
      <c r="F1341" s="12" t="s">
        <v>446</v>
      </c>
      <c r="G1341" s="13">
        <v>107.0</v>
      </c>
      <c r="H1341" s="13">
        <v>142.0</v>
      </c>
      <c r="I1341" s="13">
        <v>1.0</v>
      </c>
      <c r="J1341" s="13">
        <v>0.0</v>
      </c>
      <c r="K1341" s="12" t="s">
        <v>21</v>
      </c>
      <c r="L1341" s="7">
        <v>41956.34065972222</v>
      </c>
      <c r="M1341" s="14" t="s">
        <v>695</v>
      </c>
      <c r="N1341" s="14" t="s">
        <v>3091</v>
      </c>
      <c r="O1341" s="11" t="str">
        <f>HYPERLINK("https://pbs.twimg.com/profile_images/532929936688812032/nZpcuPFq_normal.jpeg","View")</f>
        <v>View</v>
      </c>
      <c r="P1341" s="15"/>
    </row>
    <row r="1342">
      <c r="A1342" s="7">
        <v>42425.59505787037</v>
      </c>
      <c r="B1342" s="8" t="str">
        <f>HYPERLINK("https://twitter.com/unicodeveloper","@unicodeveloper")</f>
        <v>@unicodeveloper</v>
      </c>
      <c r="C1342" s="10" t="s">
        <v>3092</v>
      </c>
      <c r="D1342" s="10" t="s">
        <v>3093</v>
      </c>
      <c r="E1342" s="11" t="str">
        <f>HYPERLINK("https://twitter.com/unicodeveloper/status/702980614174195712","702980614174195712")</f>
        <v>702980614174195712</v>
      </c>
      <c r="F1342" s="12" t="s">
        <v>446</v>
      </c>
      <c r="G1342" s="13">
        <v>4434.0</v>
      </c>
      <c r="H1342" s="13">
        <v>4107.0</v>
      </c>
      <c r="I1342" s="13">
        <v>1.0</v>
      </c>
      <c r="J1342" s="13">
        <v>0.0</v>
      </c>
      <c r="K1342" s="12" t="s">
        <v>21</v>
      </c>
      <c r="L1342" s="7">
        <v>40405.602858796294</v>
      </c>
      <c r="M1342" s="14" t="s">
        <v>3094</v>
      </c>
      <c r="N1342" s="14" t="s">
        <v>3095</v>
      </c>
      <c r="O1342" s="11" t="str">
        <f>HYPERLINK("https://pbs.twimg.com/profile_images/652935949198884864/A-dz00-a_normal.png","View")</f>
        <v>View</v>
      </c>
      <c r="P1342" s="15"/>
    </row>
    <row r="1343">
      <c r="A1343" s="7">
        <v>42425.59658564815</v>
      </c>
      <c r="B1343" s="8" t="str">
        <f>HYPERLINK("https://twitter.com/rwangca","@rwangca")</f>
        <v>@rwangca</v>
      </c>
      <c r="C1343" s="10" t="s">
        <v>3096</v>
      </c>
      <c r="D1343" s="10" t="s">
        <v>3097</v>
      </c>
      <c r="E1343" s="11" t="str">
        <f>HYPERLINK("https://twitter.com/rwangca/status/702981166731755520","702981166731755520")</f>
        <v>702981166731755520</v>
      </c>
      <c r="F1343" s="12" t="s">
        <v>659</v>
      </c>
      <c r="G1343" s="13">
        <v>892.0</v>
      </c>
      <c r="H1343" s="13">
        <v>1019.0</v>
      </c>
      <c r="I1343" s="13">
        <v>0.0</v>
      </c>
      <c r="J1343" s="13">
        <v>1.0</v>
      </c>
      <c r="K1343" s="12" t="s">
        <v>21</v>
      </c>
      <c r="L1343" s="7">
        <v>41087.48541666666</v>
      </c>
      <c r="M1343" s="14" t="s">
        <v>3098</v>
      </c>
      <c r="N1343" s="14" t="s">
        <v>3099</v>
      </c>
      <c r="O1343" s="11" t="str">
        <f>HYPERLINK("https://pbs.twimg.com/profile_images/702268908040945664/fUBmogWU_normal.jpg","View")</f>
        <v>View</v>
      </c>
      <c r="P1343" s="15"/>
    </row>
    <row r="1344">
      <c r="A1344" s="7">
        <v>42425.597280092596</v>
      </c>
      <c r="B1344" s="8" t="str">
        <f>HYPERLINK("https://twitter.com/clickiz","@clickiz")</f>
        <v>@clickiz</v>
      </c>
      <c r="C1344" s="9" t="s">
        <v>3100</v>
      </c>
      <c r="D1344" s="10" t="s">
        <v>3101</v>
      </c>
      <c r="E1344" s="11" t="str">
        <f>HYPERLINK("https://twitter.com/clickiz/status/702981416485838849","702981416485838849")</f>
        <v>702981416485838849</v>
      </c>
      <c r="F1344" s="12" t="s">
        <v>3102</v>
      </c>
      <c r="G1344" s="13">
        <v>1294.0</v>
      </c>
      <c r="H1344" s="13">
        <v>200.0</v>
      </c>
      <c r="I1344" s="13">
        <v>0.0</v>
      </c>
      <c r="J1344" s="13">
        <v>0.0</v>
      </c>
      <c r="K1344" s="12" t="s">
        <v>21</v>
      </c>
      <c r="L1344" s="7">
        <v>39986.11722222222</v>
      </c>
      <c r="M1344" s="14" t="s">
        <v>519</v>
      </c>
      <c r="N1344" s="14" t="s">
        <v>3103</v>
      </c>
      <c r="O1344" s="11" t="str">
        <f>HYPERLINK("https://pbs.twimg.com/profile_images/276189070/clickiz_normal.png","View")</f>
        <v>View</v>
      </c>
      <c r="P1344" s="15"/>
    </row>
    <row r="1345">
      <c r="A1345" s="7">
        <v>42425.59982638889</v>
      </c>
      <c r="B1345" s="8" t="str">
        <f>HYPERLINK("https://twitter.com/iamemmanouil","@iamemmanouil")</f>
        <v>@iamemmanouil</v>
      </c>
      <c r="C1345" s="10" t="s">
        <v>3104</v>
      </c>
      <c r="D1345" s="10" t="s">
        <v>3105</v>
      </c>
      <c r="E1345" s="11" t="str">
        <f>HYPERLINK("https://twitter.com/iamemmanouil/status/702982341518610432","702982341518610432")</f>
        <v>702982341518610432</v>
      </c>
      <c r="F1345" s="12" t="s">
        <v>20</v>
      </c>
      <c r="G1345" s="13">
        <v>128.0</v>
      </c>
      <c r="H1345" s="13">
        <v>219.0</v>
      </c>
      <c r="I1345" s="13">
        <v>2.0</v>
      </c>
      <c r="J1345" s="13">
        <v>3.0</v>
      </c>
      <c r="K1345" s="12" t="s">
        <v>21</v>
      </c>
      <c r="L1345" s="7">
        <v>41788.749456018515</v>
      </c>
      <c r="M1345" s="14" t="s">
        <v>3106</v>
      </c>
      <c r="N1345" s="14" t="s">
        <v>3107</v>
      </c>
      <c r="O1345" s="11" t="str">
        <f>HYPERLINK("https://pbs.twimg.com/profile_images/472181612063367169/kmoWUHvI_normal.jpeg","View")</f>
        <v>View</v>
      </c>
      <c r="P1345" s="15"/>
    </row>
    <row r="1346">
      <c r="A1346" s="7">
        <v>42425.60009259259</v>
      </c>
      <c r="B1346" s="8" t="str">
        <f>HYPERLINK("https://twitter.com/sinhrks","@sinhrks")</f>
        <v>@sinhrks</v>
      </c>
      <c r="C1346" s="10" t="s">
        <v>3108</v>
      </c>
      <c r="D1346" s="10" t="s">
        <v>2088</v>
      </c>
      <c r="E1346" s="11" t="str">
        <f>HYPERLINK("https://twitter.com/sinhrks/status/702982436796440576","702982436796440576")</f>
        <v>702982436796440576</v>
      </c>
      <c r="F1346" s="12" t="s">
        <v>52</v>
      </c>
      <c r="G1346" s="13">
        <v>755.0</v>
      </c>
      <c r="H1346" s="13">
        <v>388.0</v>
      </c>
      <c r="I1346" s="13">
        <v>12.0</v>
      </c>
      <c r="J1346" s="13">
        <v>0.0</v>
      </c>
      <c r="K1346" s="12" t="s">
        <v>21</v>
      </c>
      <c r="L1346" s="7">
        <v>39713.94915509259</v>
      </c>
      <c r="M1346" s="14" t="s">
        <v>3109</v>
      </c>
      <c r="N1346" s="14" t="s">
        <v>3110</v>
      </c>
      <c r="O1346" s="11" t="str">
        <f>HYPERLINK("https://pbs.twimg.com/profile_images/523300286975057920/Vy-Z9DPz_normal.jpeg","View")</f>
        <v>View</v>
      </c>
      <c r="P1346" s="15"/>
    </row>
    <row r="1347">
      <c r="A1347" s="7">
        <v>42425.60061342592</v>
      </c>
      <c r="B1347" s="8" t="str">
        <f>HYPERLINK("https://twitter.com/insights_js","@insights_js")</f>
        <v>@insights_js</v>
      </c>
      <c r="C1347" s="10" t="s">
        <v>139</v>
      </c>
      <c r="D1347" s="10" t="s">
        <v>3111</v>
      </c>
      <c r="E1347" s="11" t="str">
        <f>HYPERLINK("https://twitter.com/insights_js/status/702982626592714752","702982626592714752")</f>
        <v>702982626592714752</v>
      </c>
      <c r="F1347" s="12" t="s">
        <v>141</v>
      </c>
      <c r="G1347" s="13">
        <v>111.0</v>
      </c>
      <c r="H1347" s="13">
        <v>138.0</v>
      </c>
      <c r="I1347" s="13">
        <v>1.0</v>
      </c>
      <c r="J1347" s="13">
        <v>0.0</v>
      </c>
      <c r="K1347" s="12" t="s">
        <v>21</v>
      </c>
      <c r="L1347" s="7">
        <v>42381.537870370375</v>
      </c>
      <c r="M1347" s="16"/>
      <c r="N1347" s="14" t="s">
        <v>142</v>
      </c>
      <c r="O1347" s="11" t="str">
        <f>HYPERLINK("https://pbs.twimg.com/profile_images/687381862004715521/lsdcpGUk_normal.png","View")</f>
        <v>View</v>
      </c>
      <c r="P1347" s="15"/>
    </row>
    <row r="1348">
      <c r="A1348" s="7">
        <v>42425.600694444445</v>
      </c>
      <c r="B1348" s="8" t="str">
        <f>HYPERLINK("https://twitter.com/MSAdvAnalytics","@MSAdvAnalytics")</f>
        <v>@MSAdvAnalytics</v>
      </c>
      <c r="C1348" s="10" t="s">
        <v>3112</v>
      </c>
      <c r="D1348" s="10" t="s">
        <v>1820</v>
      </c>
      <c r="E1348" s="11" t="str">
        <f>HYPERLINK("https://twitter.com/MSAdvAnalytics/status/702982655084732416","702982655084732416")</f>
        <v>702982655084732416</v>
      </c>
      <c r="F1348" s="12" t="s">
        <v>3113</v>
      </c>
      <c r="G1348" s="13">
        <v>2269.0</v>
      </c>
      <c r="H1348" s="13">
        <v>1050.0</v>
      </c>
      <c r="I1348" s="13">
        <v>20.0</v>
      </c>
      <c r="J1348" s="13">
        <v>0.0</v>
      </c>
      <c r="K1348" s="12" t="s">
        <v>21</v>
      </c>
      <c r="L1348" s="7">
        <v>42195.547743055555</v>
      </c>
      <c r="M1348" s="14" t="s">
        <v>3114</v>
      </c>
      <c r="N1348" s="14" t="s">
        <v>3115</v>
      </c>
      <c r="O1348" s="11" t="str">
        <f>HYPERLINK("https://pbs.twimg.com/profile_images/620616216516767744/ag6N8-pg_normal.jpg","View")</f>
        <v>View</v>
      </c>
      <c r="P1348" s="15"/>
    </row>
    <row r="1349">
      <c r="A1349" s="7">
        <v>42425.60084490741</v>
      </c>
      <c r="B1349" s="8" t="str">
        <f>HYPERLINK("https://twitter.com/IndieGameDevBot","@IndieGameDevBot")</f>
        <v>@IndieGameDevBot</v>
      </c>
      <c r="C1349" s="10" t="s">
        <v>2460</v>
      </c>
      <c r="D1349" s="10" t="s">
        <v>2985</v>
      </c>
      <c r="E1349" s="11" t="str">
        <f>HYPERLINK("https://twitter.com/IndieGameDevBot/status/702982711347126276","702982711347126276")</f>
        <v>702982711347126276</v>
      </c>
      <c r="F1349" s="12" t="s">
        <v>2462</v>
      </c>
      <c r="G1349" s="13">
        <v>20955.0</v>
      </c>
      <c r="H1349" s="13">
        <v>5699.0</v>
      </c>
      <c r="I1349" s="13">
        <v>2.0</v>
      </c>
      <c r="J1349" s="13">
        <v>0.0</v>
      </c>
      <c r="K1349" s="12" t="s">
        <v>21</v>
      </c>
      <c r="L1349" s="7">
        <v>41927.697488425925</v>
      </c>
      <c r="M1349" s="16"/>
      <c r="N1349" s="14" t="s">
        <v>2463</v>
      </c>
      <c r="O1349" s="11" t="str">
        <f>HYPERLINK("https://pbs.twimg.com/profile_images/522536769502195712/cG1yitHo_normal.jpeg","View")</f>
        <v>View</v>
      </c>
      <c r="P1349" s="15"/>
    </row>
    <row r="1350">
      <c r="A1350" s="7">
        <v>42425.60293981481</v>
      </c>
      <c r="B1350" s="8" t="str">
        <f>HYPERLINK("https://twitter.com/MarinerLLC","@MarinerLLC")</f>
        <v>@MarinerLLC</v>
      </c>
      <c r="C1350" s="10" t="s">
        <v>3116</v>
      </c>
      <c r="D1350" s="10" t="s">
        <v>3117</v>
      </c>
      <c r="E1350" s="11" t="str">
        <f>HYPERLINK("https://twitter.com/MarinerLLC/status/702983471086641153","702983471086641153")</f>
        <v>702983471086641153</v>
      </c>
      <c r="F1350" s="12" t="s">
        <v>103</v>
      </c>
      <c r="G1350" s="13">
        <v>261.0</v>
      </c>
      <c r="H1350" s="13">
        <v>257.0</v>
      </c>
      <c r="I1350" s="13">
        <v>0.0</v>
      </c>
      <c r="J1350" s="13">
        <v>0.0</v>
      </c>
      <c r="K1350" s="12" t="s">
        <v>21</v>
      </c>
      <c r="L1350" s="7">
        <v>40897.82096064815</v>
      </c>
      <c r="M1350" s="14" t="s">
        <v>3118</v>
      </c>
      <c r="N1350" s="14" t="s">
        <v>3119</v>
      </c>
      <c r="O1350" s="11" t="str">
        <f>HYPERLINK("https://pbs.twimg.com/profile_images/3502729434/95675e6f45ad2e1bbc6c5736995ec15c_normal.png","View")</f>
        <v>View</v>
      </c>
      <c r="P1350" s="15"/>
    </row>
    <row r="1351">
      <c r="A1351" s="7">
        <v>42425.60431712963</v>
      </c>
      <c r="B1351" s="8" t="str">
        <f>HYPERLINK("https://twitter.com/RealJoeGuy","@RealJoeGuy")</f>
        <v>@RealJoeGuy</v>
      </c>
      <c r="C1351" s="10" t="s">
        <v>3120</v>
      </c>
      <c r="D1351" s="10" t="s">
        <v>3121</v>
      </c>
      <c r="E1351" s="11" t="str">
        <f>HYPERLINK("https://twitter.com/RealJoeGuy/status/702983967725785088","702983967725785088")</f>
        <v>702983967725785088</v>
      </c>
      <c r="F1351" s="12" t="s">
        <v>103</v>
      </c>
      <c r="G1351" s="13">
        <v>129.0</v>
      </c>
      <c r="H1351" s="13">
        <v>141.0</v>
      </c>
      <c r="I1351" s="13">
        <v>0.0</v>
      </c>
      <c r="J1351" s="13">
        <v>0.0</v>
      </c>
      <c r="K1351" s="12" t="s">
        <v>21</v>
      </c>
      <c r="L1351" s="7">
        <v>40886.83099537037</v>
      </c>
      <c r="M1351" s="14" t="s">
        <v>3122</v>
      </c>
      <c r="N1351" s="14" t="s">
        <v>3123</v>
      </c>
      <c r="O1351" s="11" t="str">
        <f>HYPERLINK("https://pbs.twimg.com/profile_images/1684373225/Joe_Guy_normal.jpg","View")</f>
        <v>View</v>
      </c>
      <c r="P1351" s="15"/>
    </row>
    <row r="1352">
      <c r="A1352" s="7">
        <v>42425.60449074074</v>
      </c>
      <c r="B1352" s="8" t="str">
        <f>HYPERLINK("https://twitter.com/tonyojeda3","@tonyojeda3")</f>
        <v>@tonyojeda3</v>
      </c>
      <c r="C1352" s="10" t="s">
        <v>2407</v>
      </c>
      <c r="D1352" s="10" t="s">
        <v>3124</v>
      </c>
      <c r="E1352" s="11" t="str">
        <f>HYPERLINK("https://twitter.com/tonyojeda3/status/702984029319122948","702984029319122948")</f>
        <v>702984029319122948</v>
      </c>
      <c r="F1352" s="12" t="s">
        <v>294</v>
      </c>
      <c r="G1352" s="13">
        <v>3519.0</v>
      </c>
      <c r="H1352" s="13">
        <v>538.0</v>
      </c>
      <c r="I1352" s="13">
        <v>1.0</v>
      </c>
      <c r="J1352" s="13">
        <v>0.0</v>
      </c>
      <c r="K1352" s="12" t="s">
        <v>21</v>
      </c>
      <c r="L1352" s="7">
        <v>39969.75782407408</v>
      </c>
      <c r="M1352" s="14" t="s">
        <v>784</v>
      </c>
      <c r="N1352" s="14" t="s">
        <v>2409</v>
      </c>
      <c r="O1352" s="11" t="str">
        <f>HYPERLINK("https://pbs.twimg.com/profile_images/1211123351/Tony-Ojeda2_normal.JPG","View")</f>
        <v>View</v>
      </c>
      <c r="P1352" s="15"/>
    </row>
    <row r="1353">
      <c r="A1353" s="7">
        <v>42425.60585648148</v>
      </c>
      <c r="B1353" s="8" t="str">
        <f>HYPERLINK("https://twitter.com/pypsych","@pypsych")</f>
        <v>@pypsych</v>
      </c>
      <c r="C1353" s="10" t="s">
        <v>3125</v>
      </c>
      <c r="D1353" s="10" t="s">
        <v>3126</v>
      </c>
      <c r="E1353" s="11" t="str">
        <f>HYPERLINK("https://twitter.com/pypsych/status/702984524821561346","702984524821561346")</f>
        <v>702984524821561346</v>
      </c>
      <c r="F1353" s="12" t="s">
        <v>20</v>
      </c>
      <c r="G1353" s="13">
        <v>1.0</v>
      </c>
      <c r="H1353" s="13">
        <v>2.0</v>
      </c>
      <c r="I1353" s="13">
        <v>0.0</v>
      </c>
      <c r="J1353" s="13">
        <v>1.0</v>
      </c>
      <c r="K1353" s="12" t="s">
        <v>21</v>
      </c>
      <c r="L1353" s="7">
        <v>42421.065833333334</v>
      </c>
      <c r="M1353" s="16"/>
      <c r="N1353" s="14" t="s">
        <v>3127</v>
      </c>
      <c r="O1353" s="11" t="str">
        <f>HYPERLINK("https://abs.twimg.com/sticky/default_profile_images/default_profile_1_normal.png","View")</f>
        <v>View</v>
      </c>
      <c r="P1353" s="15"/>
    </row>
    <row r="1354">
      <c r="A1354" s="7">
        <v>42425.605891203704</v>
      </c>
      <c r="B1354" s="8" t="str">
        <f>HYPERLINK("https://twitter.com/facilcloud","@facilcloud")</f>
        <v>@facilcloud</v>
      </c>
      <c r="C1354" s="10" t="s">
        <v>3128</v>
      </c>
      <c r="D1354" s="10" t="s">
        <v>3129</v>
      </c>
      <c r="E1354" s="11" t="str">
        <f>HYPERLINK("https://twitter.com/facilcloud/status/702984540441223169","702984540441223169")</f>
        <v>702984540441223169</v>
      </c>
      <c r="F1354" s="12" t="s">
        <v>1545</v>
      </c>
      <c r="G1354" s="13">
        <v>4997.0</v>
      </c>
      <c r="H1354" s="13">
        <v>2224.0</v>
      </c>
      <c r="I1354" s="13">
        <v>0.0</v>
      </c>
      <c r="J1354" s="13">
        <v>0.0</v>
      </c>
      <c r="K1354" s="12" t="s">
        <v>21</v>
      </c>
      <c r="L1354" s="7">
        <v>41374.626180555555</v>
      </c>
      <c r="M1354" s="14" t="s">
        <v>3130</v>
      </c>
      <c r="N1354" s="14" t="s">
        <v>3131</v>
      </c>
      <c r="O1354" s="11" t="str">
        <f>HYPERLINK("https://pbs.twimg.com/profile_images/613000942003351552/VXcNRVCX_normal.png","View")</f>
        <v>View</v>
      </c>
      <c r="P1354" s="15"/>
    </row>
    <row r="1355">
      <c r="A1355" s="7">
        <v>42425.608564814815</v>
      </c>
      <c r="B1355" s="8" t="str">
        <f t="shared" ref="B1355:B1358" si="133">HYPERLINK("https://twitter.com/AdamSmitht1","@AdamSmitht1")</f>
        <v>@AdamSmitht1</v>
      </c>
      <c r="C1355" s="10" t="s">
        <v>468</v>
      </c>
      <c r="D1355" s="10" t="s">
        <v>3132</v>
      </c>
      <c r="E1355" s="11" t="str">
        <f>HYPERLINK("https://twitter.com/AdamSmitht1/status/702985505676337152","702985505676337152")</f>
        <v>702985505676337152</v>
      </c>
      <c r="F1355" s="12" t="s">
        <v>103</v>
      </c>
      <c r="G1355" s="13">
        <v>849.0</v>
      </c>
      <c r="H1355" s="13">
        <v>793.0</v>
      </c>
      <c r="I1355" s="13">
        <v>0.0</v>
      </c>
      <c r="J1355" s="13">
        <v>0.0</v>
      </c>
      <c r="K1355" s="12" t="s">
        <v>21</v>
      </c>
      <c r="L1355" s="7">
        <v>42336.12709490741</v>
      </c>
      <c r="M1355" s="14" t="s">
        <v>470</v>
      </c>
      <c r="N1355" s="14" t="s">
        <v>471</v>
      </c>
      <c r="O1355" s="11" t="str">
        <f t="shared" ref="O1355:O1358" si="134">HYPERLINK("https://pbs.twimg.com/profile_images/671623862916812800/yGsDKiP4_normal.jpg","View")</f>
        <v>View</v>
      </c>
      <c r="P1355" s="15"/>
    </row>
    <row r="1356">
      <c r="A1356" s="7">
        <v>42425.608564814815</v>
      </c>
      <c r="B1356" s="8" t="str">
        <f t="shared" si="133"/>
        <v>@AdamSmitht1</v>
      </c>
      <c r="C1356" s="10" t="s">
        <v>468</v>
      </c>
      <c r="D1356" s="10" t="s">
        <v>3133</v>
      </c>
      <c r="E1356" s="11" t="str">
        <f>HYPERLINK("https://twitter.com/AdamSmitht1/status/702985507828047872","702985507828047872")</f>
        <v>702985507828047872</v>
      </c>
      <c r="F1356" s="12" t="s">
        <v>103</v>
      </c>
      <c r="G1356" s="13">
        <v>849.0</v>
      </c>
      <c r="H1356" s="13">
        <v>793.0</v>
      </c>
      <c r="I1356" s="13">
        <v>0.0</v>
      </c>
      <c r="J1356" s="13">
        <v>0.0</v>
      </c>
      <c r="K1356" s="12" t="s">
        <v>21</v>
      </c>
      <c r="L1356" s="7">
        <v>42336.12709490741</v>
      </c>
      <c r="M1356" s="14" t="s">
        <v>470</v>
      </c>
      <c r="N1356" s="14" t="s">
        <v>471</v>
      </c>
      <c r="O1356" s="11" t="str">
        <f t="shared" si="134"/>
        <v>View</v>
      </c>
      <c r="P1356" s="15"/>
    </row>
    <row r="1357">
      <c r="A1357" s="7">
        <v>42425.608576388884</v>
      </c>
      <c r="B1357" s="8" t="str">
        <f t="shared" si="133"/>
        <v>@AdamSmitht1</v>
      </c>
      <c r="C1357" s="10" t="s">
        <v>468</v>
      </c>
      <c r="D1357" s="10" t="s">
        <v>3134</v>
      </c>
      <c r="E1357" s="11" t="str">
        <f>HYPERLINK("https://twitter.com/AdamSmitht1/status/702985512500518914","702985512500518914")</f>
        <v>702985512500518914</v>
      </c>
      <c r="F1357" s="12" t="s">
        <v>103</v>
      </c>
      <c r="G1357" s="13">
        <v>849.0</v>
      </c>
      <c r="H1357" s="13">
        <v>793.0</v>
      </c>
      <c r="I1357" s="13">
        <v>0.0</v>
      </c>
      <c r="J1357" s="13">
        <v>0.0</v>
      </c>
      <c r="K1357" s="12" t="s">
        <v>21</v>
      </c>
      <c r="L1357" s="7">
        <v>42336.12709490741</v>
      </c>
      <c r="M1357" s="14" t="s">
        <v>470</v>
      </c>
      <c r="N1357" s="14" t="s">
        <v>471</v>
      </c>
      <c r="O1357" s="11" t="str">
        <f t="shared" si="134"/>
        <v>View</v>
      </c>
      <c r="P1357" s="15"/>
    </row>
    <row r="1358">
      <c r="A1358" s="7">
        <v>42425.60858796297</v>
      </c>
      <c r="B1358" s="8" t="str">
        <f t="shared" si="133"/>
        <v>@AdamSmitht1</v>
      </c>
      <c r="C1358" s="10" t="s">
        <v>468</v>
      </c>
      <c r="D1358" s="10" t="s">
        <v>3135</v>
      </c>
      <c r="E1358" s="11" t="str">
        <f>HYPERLINK("https://twitter.com/AdamSmitht1/status/702985516170477568","702985516170477568")</f>
        <v>702985516170477568</v>
      </c>
      <c r="F1358" s="12" t="s">
        <v>103</v>
      </c>
      <c r="G1358" s="13">
        <v>849.0</v>
      </c>
      <c r="H1358" s="13">
        <v>793.0</v>
      </c>
      <c r="I1358" s="13">
        <v>0.0</v>
      </c>
      <c r="J1358" s="13">
        <v>0.0</v>
      </c>
      <c r="K1358" s="12" t="s">
        <v>21</v>
      </c>
      <c r="L1358" s="7">
        <v>42336.12709490741</v>
      </c>
      <c r="M1358" s="14" t="s">
        <v>470</v>
      </c>
      <c r="N1358" s="14" t="s">
        <v>471</v>
      </c>
      <c r="O1358" s="11" t="str">
        <f t="shared" si="134"/>
        <v>View</v>
      </c>
      <c r="P1358" s="15"/>
    </row>
    <row r="1359">
      <c r="A1359" s="7">
        <v>42425.60873842593</v>
      </c>
      <c r="B1359" s="8" t="str">
        <f>HYPERLINK("https://twitter.com/yoavram","@yoavram")</f>
        <v>@yoavram</v>
      </c>
      <c r="C1359" s="10" t="s">
        <v>3136</v>
      </c>
      <c r="D1359" s="10" t="s">
        <v>3137</v>
      </c>
      <c r="E1359" s="11" t="str">
        <f>HYPERLINK("https://twitter.com/yoavram/status/702985571531157505","702985571531157505")</f>
        <v>702985571531157505</v>
      </c>
      <c r="F1359" s="12" t="s">
        <v>20</v>
      </c>
      <c r="G1359" s="13">
        <v>227.0</v>
      </c>
      <c r="H1359" s="13">
        <v>153.0</v>
      </c>
      <c r="I1359" s="13">
        <v>1.0</v>
      </c>
      <c r="J1359" s="13">
        <v>0.0</v>
      </c>
      <c r="K1359" s="12" t="s">
        <v>21</v>
      </c>
      <c r="L1359" s="7">
        <v>40822.25509259259</v>
      </c>
      <c r="M1359" s="14" t="s">
        <v>3138</v>
      </c>
      <c r="N1359" s="14" t="s">
        <v>3139</v>
      </c>
      <c r="O1359" s="11" t="str">
        <f>HYPERLINK("https://pbs.twimg.com/profile_images/627419146846732288/vTMPLcxC_normal.jpg","View")</f>
        <v>View</v>
      </c>
      <c r="P1359" s="15"/>
    </row>
    <row r="1360">
      <c r="A1360" s="7">
        <v>42425.60905092592</v>
      </c>
      <c r="B1360" s="8" t="str">
        <f>HYPERLINK("https://twitter.com/jessejiryudavis","@jessejiryudavis")</f>
        <v>@jessejiryudavis</v>
      </c>
      <c r="C1360" s="10" t="s">
        <v>3140</v>
      </c>
      <c r="D1360" s="10" t="s">
        <v>3141</v>
      </c>
      <c r="E1360" s="11" t="str">
        <f>HYPERLINK("https://twitter.com/jessejiryudavis/status/702985685305856000","702985685305856000")</f>
        <v>702985685305856000</v>
      </c>
      <c r="F1360" s="12" t="s">
        <v>294</v>
      </c>
      <c r="G1360" s="13">
        <v>1316.0</v>
      </c>
      <c r="H1360" s="13">
        <v>441.0</v>
      </c>
      <c r="I1360" s="13">
        <v>15.0</v>
      </c>
      <c r="J1360" s="13">
        <v>14.0</v>
      </c>
      <c r="K1360" s="12" t="s">
        <v>21</v>
      </c>
      <c r="L1360" s="7">
        <v>40276.84116898148</v>
      </c>
      <c r="M1360" s="14" t="s">
        <v>3142</v>
      </c>
      <c r="N1360" s="14" t="s">
        <v>3143</v>
      </c>
      <c r="O1360" s="11" t="str">
        <f>HYPERLINK("https://pbs.twimg.com/profile_images/808380981/profile_normal.jpg","View")</f>
        <v>View</v>
      </c>
      <c r="P1360" s="15"/>
    </row>
    <row r="1361">
      <c r="A1361" s="7">
        <v>42425.60927083333</v>
      </c>
      <c r="B1361" s="8" t="str">
        <f t="shared" ref="B1361:B1364" si="135">HYPERLINK("https://twitter.com/startechwall","@startechwall")</f>
        <v>@startechwall</v>
      </c>
      <c r="C1361" s="10" t="s">
        <v>1478</v>
      </c>
      <c r="D1361" s="10" t="s">
        <v>3144</v>
      </c>
      <c r="E1361" s="11" t="str">
        <f>HYPERLINK("https://twitter.com/startechwall/status/702985764976644097","702985764976644097")</f>
        <v>702985764976644097</v>
      </c>
      <c r="F1361" s="12" t="s">
        <v>103</v>
      </c>
      <c r="G1361" s="13">
        <v>557.0</v>
      </c>
      <c r="H1361" s="13">
        <v>859.0</v>
      </c>
      <c r="I1361" s="13">
        <v>0.0</v>
      </c>
      <c r="J1361" s="13">
        <v>0.0</v>
      </c>
      <c r="K1361" s="12" t="s">
        <v>21</v>
      </c>
      <c r="L1361" s="7">
        <v>42360.959502314814</v>
      </c>
      <c r="M1361" s="14" t="s">
        <v>1480</v>
      </c>
      <c r="N1361" s="14" t="s">
        <v>1481</v>
      </c>
      <c r="O1361" s="11" t="str">
        <f t="shared" ref="O1361:O1364" si="136">HYPERLINK("https://pbs.twimg.com/profile_images/679566117187145728/UUo30Zpm_normal.jpg","View")</f>
        <v>View</v>
      </c>
      <c r="P1361" s="15"/>
    </row>
    <row r="1362">
      <c r="A1362" s="7">
        <v>42425.60928240741</v>
      </c>
      <c r="B1362" s="8" t="str">
        <f t="shared" si="135"/>
        <v>@startechwall</v>
      </c>
      <c r="C1362" s="10" t="s">
        <v>1478</v>
      </c>
      <c r="D1362" s="10" t="s">
        <v>3145</v>
      </c>
      <c r="E1362" s="11" t="str">
        <f>HYPERLINK("https://twitter.com/startechwall/status/702985767698698240","702985767698698240")</f>
        <v>702985767698698240</v>
      </c>
      <c r="F1362" s="12" t="s">
        <v>103</v>
      </c>
      <c r="G1362" s="13">
        <v>557.0</v>
      </c>
      <c r="H1362" s="13">
        <v>859.0</v>
      </c>
      <c r="I1362" s="13">
        <v>0.0</v>
      </c>
      <c r="J1362" s="13">
        <v>0.0</v>
      </c>
      <c r="K1362" s="12" t="s">
        <v>21</v>
      </c>
      <c r="L1362" s="7">
        <v>42360.959502314814</v>
      </c>
      <c r="M1362" s="14" t="s">
        <v>1480</v>
      </c>
      <c r="N1362" s="14" t="s">
        <v>1481</v>
      </c>
      <c r="O1362" s="11" t="str">
        <f t="shared" si="136"/>
        <v>View</v>
      </c>
      <c r="P1362" s="15"/>
    </row>
    <row r="1363">
      <c r="A1363" s="7">
        <v>42425.609293981484</v>
      </c>
      <c r="B1363" s="8" t="str">
        <f t="shared" si="135"/>
        <v>@startechwall</v>
      </c>
      <c r="C1363" s="10" t="s">
        <v>1478</v>
      </c>
      <c r="D1363" s="10" t="s">
        <v>3146</v>
      </c>
      <c r="E1363" s="11" t="str">
        <f>HYPERLINK("https://twitter.com/startechwall/status/702985772446699520","702985772446699520")</f>
        <v>702985772446699520</v>
      </c>
      <c r="F1363" s="12" t="s">
        <v>103</v>
      </c>
      <c r="G1363" s="13">
        <v>557.0</v>
      </c>
      <c r="H1363" s="13">
        <v>859.0</v>
      </c>
      <c r="I1363" s="13">
        <v>0.0</v>
      </c>
      <c r="J1363" s="13">
        <v>0.0</v>
      </c>
      <c r="K1363" s="12" t="s">
        <v>21</v>
      </c>
      <c r="L1363" s="7">
        <v>42360.959502314814</v>
      </c>
      <c r="M1363" s="14" t="s">
        <v>1480</v>
      </c>
      <c r="N1363" s="14" t="s">
        <v>1481</v>
      </c>
      <c r="O1363" s="11" t="str">
        <f t="shared" si="136"/>
        <v>View</v>
      </c>
      <c r="P1363" s="15"/>
    </row>
    <row r="1364">
      <c r="A1364" s="7">
        <v>42425.609305555554</v>
      </c>
      <c r="B1364" s="8" t="str">
        <f t="shared" si="135"/>
        <v>@startechwall</v>
      </c>
      <c r="C1364" s="10" t="s">
        <v>1478</v>
      </c>
      <c r="D1364" s="10" t="s">
        <v>3147</v>
      </c>
      <c r="E1364" s="11" t="str">
        <f>HYPERLINK("https://twitter.com/startechwall/status/702985777022636032","702985777022636032")</f>
        <v>702985777022636032</v>
      </c>
      <c r="F1364" s="12" t="s">
        <v>103</v>
      </c>
      <c r="G1364" s="13">
        <v>557.0</v>
      </c>
      <c r="H1364" s="13">
        <v>859.0</v>
      </c>
      <c r="I1364" s="13">
        <v>1.0</v>
      </c>
      <c r="J1364" s="13">
        <v>0.0</v>
      </c>
      <c r="K1364" s="12" t="s">
        <v>21</v>
      </c>
      <c r="L1364" s="7">
        <v>42360.959502314814</v>
      </c>
      <c r="M1364" s="14" t="s">
        <v>1480</v>
      </c>
      <c r="N1364" s="14" t="s">
        <v>1481</v>
      </c>
      <c r="O1364" s="11" t="str">
        <f t="shared" si="136"/>
        <v>View</v>
      </c>
      <c r="P1364" s="15"/>
    </row>
    <row r="1365">
      <c r="A1365" s="7">
        <v>42425.60942129629</v>
      </c>
      <c r="B1365" s="8" t="str">
        <f>HYPERLINK("https://twitter.com/Philip_W_Morris","@Philip_W_Morris")</f>
        <v>@Philip_W_Morris</v>
      </c>
      <c r="C1365" s="10" t="s">
        <v>3148</v>
      </c>
      <c r="D1365" s="10" t="s">
        <v>3149</v>
      </c>
      <c r="E1365" s="11" t="str">
        <f>HYPERLINK("https://twitter.com/Philip_W_Morris/status/702985817699000320","702985817699000320")</f>
        <v>702985817699000320</v>
      </c>
      <c r="F1365" s="12" t="s">
        <v>103</v>
      </c>
      <c r="G1365" s="13">
        <v>274.0</v>
      </c>
      <c r="H1365" s="13">
        <v>301.0</v>
      </c>
      <c r="I1365" s="13">
        <v>0.0</v>
      </c>
      <c r="J1365" s="13">
        <v>0.0</v>
      </c>
      <c r="K1365" s="12" t="s">
        <v>21</v>
      </c>
      <c r="L1365" s="7">
        <v>40371.50991898148</v>
      </c>
      <c r="M1365" s="14" t="s">
        <v>3150</v>
      </c>
      <c r="N1365" s="14" t="s">
        <v>3151</v>
      </c>
      <c r="O1365" s="11" t="str">
        <f>HYPERLINK("https://pbs.twimg.com/profile_images/688093545148723201/hCPglEEy_normal.jpg","View")</f>
        <v>View</v>
      </c>
      <c r="P1365" s="15"/>
    </row>
    <row r="1366">
      <c r="A1366" s="7">
        <v>42425.60975694444</v>
      </c>
      <c r="B1366" s="8" t="str">
        <f>HYPERLINK("https://twitter.com/livecodingtv","@livecodingtv")</f>
        <v>@livecodingtv</v>
      </c>
      <c r="C1366" s="9" t="s">
        <v>630</v>
      </c>
      <c r="D1366" s="10" t="s">
        <v>3152</v>
      </c>
      <c r="E1366" s="11" t="str">
        <f>HYPERLINK("https://twitter.com/livecodingtv/status/702985938184441858","702985938184441858")</f>
        <v>702985938184441858</v>
      </c>
      <c r="F1366" s="17" t="s">
        <v>632</v>
      </c>
      <c r="G1366" s="13">
        <v>4224.0</v>
      </c>
      <c r="H1366" s="13">
        <v>1766.0</v>
      </c>
      <c r="I1366" s="13">
        <v>0.0</v>
      </c>
      <c r="J1366" s="13">
        <v>0.0</v>
      </c>
      <c r="K1366" s="12" t="s">
        <v>21</v>
      </c>
      <c r="L1366" s="7">
        <v>41919.33319444444</v>
      </c>
      <c r="M1366" s="14" t="s">
        <v>69</v>
      </c>
      <c r="N1366" s="14" t="s">
        <v>633</v>
      </c>
      <c r="O1366" s="11" t="str">
        <f>HYPERLINK("https://pbs.twimg.com/profile_images/539451988929294337/hCieN16A_normal.png","View")</f>
        <v>View</v>
      </c>
      <c r="P1366" s="15"/>
    </row>
    <row r="1367">
      <c r="A1367" s="7">
        <v>42425.609918981485</v>
      </c>
      <c r="B1367" s="8" t="str">
        <f>HYPERLINK("https://twitter.com/Available_ALIVE","@Available_ALIVE")</f>
        <v>@Available_ALIVE</v>
      </c>
      <c r="C1367" s="10" t="s">
        <v>3153</v>
      </c>
      <c r="D1367" s="10" t="s">
        <v>2972</v>
      </c>
      <c r="E1367" s="11" t="str">
        <f>HYPERLINK("https://twitter.com/Available_ALIVE/status/702985997202489344","702985997202489344")</f>
        <v>702985997202489344</v>
      </c>
      <c r="F1367" s="12" t="s">
        <v>3154</v>
      </c>
      <c r="G1367" s="13">
        <v>86.0</v>
      </c>
      <c r="H1367" s="13">
        <v>367.0</v>
      </c>
      <c r="I1367" s="13">
        <v>6.0</v>
      </c>
      <c r="J1367" s="13">
        <v>0.0</v>
      </c>
      <c r="K1367" s="12" t="s">
        <v>21</v>
      </c>
      <c r="L1367" s="7">
        <v>41634.979479166665</v>
      </c>
      <c r="M1367" s="14" t="s">
        <v>3155</v>
      </c>
      <c r="N1367" s="14" t="s">
        <v>3156</v>
      </c>
      <c r="O1367" s="11" t="str">
        <f>HYPERLINK("https://pbs.twimg.com/profile_images/574901856515719168/OjEU2rQn_normal.jpeg","View")</f>
        <v>View</v>
      </c>
      <c r="P1367" s="15"/>
    </row>
    <row r="1368">
      <c r="A1368" s="7">
        <v>42425.61033564815</v>
      </c>
      <c r="B1368" s="8" t="str">
        <f>HYPERLINK("https://twitter.com/homeAIinfo","@homeAIinfo")</f>
        <v>@homeAIinfo</v>
      </c>
      <c r="C1368" s="10" t="s">
        <v>36</v>
      </c>
      <c r="D1368" s="10" t="s">
        <v>3157</v>
      </c>
      <c r="E1368" s="11" t="str">
        <f>HYPERLINK("https://twitter.com/homeAIinfo/status/702986150298968068","702986150298968068")</f>
        <v>702986150298968068</v>
      </c>
      <c r="F1368" s="12" t="s">
        <v>38</v>
      </c>
      <c r="G1368" s="13">
        <v>52868.0</v>
      </c>
      <c r="H1368" s="13">
        <v>1328.0</v>
      </c>
      <c r="I1368" s="13">
        <v>1.0</v>
      </c>
      <c r="J1368" s="13">
        <v>0.0</v>
      </c>
      <c r="K1368" s="12" t="s">
        <v>21</v>
      </c>
      <c r="L1368" s="7">
        <v>42133.34662037037</v>
      </c>
      <c r="M1368" s="14" t="s">
        <v>39</v>
      </c>
      <c r="N1368" s="14" t="s">
        <v>40</v>
      </c>
      <c r="O1368" s="11" t="str">
        <f>HYPERLINK("https://pbs.twimg.com/profile_images/645650110374936580/-oQakt8x_normal.png","View")</f>
        <v>View</v>
      </c>
      <c r="P1368" s="15"/>
    </row>
    <row r="1369">
      <c r="A1369" s="7">
        <v>42425.61104166666</v>
      </c>
      <c r="B1369" s="8" t="str">
        <f>HYPERLINK("https://twitter.com/art_control","@art_control")</f>
        <v>@art_control</v>
      </c>
      <c r="C1369" s="10" t="s">
        <v>309</v>
      </c>
      <c r="D1369" s="10" t="s">
        <v>3158</v>
      </c>
      <c r="E1369" s="11" t="str">
        <f>HYPERLINK("https://twitter.com/art_control/status/702986404750618625","702986404750618625")</f>
        <v>702986404750618625</v>
      </c>
      <c r="F1369" s="12" t="s">
        <v>311</v>
      </c>
      <c r="G1369" s="13">
        <v>989.0</v>
      </c>
      <c r="H1369" s="13">
        <v>850.0</v>
      </c>
      <c r="I1369" s="13">
        <v>0.0</v>
      </c>
      <c r="J1369" s="13">
        <v>0.0</v>
      </c>
      <c r="K1369" s="12" t="s">
        <v>21</v>
      </c>
      <c r="L1369" s="7">
        <v>39896.869675925926</v>
      </c>
      <c r="M1369" s="14" t="s">
        <v>312</v>
      </c>
      <c r="N1369" s="14" t="s">
        <v>313</v>
      </c>
      <c r="O1369" s="11" t="str">
        <f>HYPERLINK("https://pbs.twimg.com/profile_images/649004216690675712/UAcrP6ol_normal.png","View")</f>
        <v>View</v>
      </c>
      <c r="P1369" s="15"/>
    </row>
    <row r="1370">
      <c r="A1370" s="7">
        <v>42425.611168981486</v>
      </c>
      <c r="B1370" s="8" t="str">
        <f>HYPERLINK("https://twitter.com/NumFOCUS","@NumFOCUS")</f>
        <v>@NumFOCUS</v>
      </c>
      <c r="C1370" s="10" t="s">
        <v>3159</v>
      </c>
      <c r="D1370" s="10" t="s">
        <v>1782</v>
      </c>
      <c r="E1370" s="11" t="str">
        <f>HYPERLINK("https://twitter.com/NumFOCUS/status/702986450887794688","702986450887794688")</f>
        <v>702986450887794688</v>
      </c>
      <c r="F1370" s="12" t="s">
        <v>20</v>
      </c>
      <c r="G1370" s="13">
        <v>1376.0</v>
      </c>
      <c r="H1370" s="13">
        <v>203.0</v>
      </c>
      <c r="I1370" s="13">
        <v>8.0</v>
      </c>
      <c r="J1370" s="13">
        <v>0.0</v>
      </c>
      <c r="K1370" s="12" t="s">
        <v>21</v>
      </c>
      <c r="L1370" s="7">
        <v>41281.439409722225</v>
      </c>
      <c r="M1370" s="14" t="s">
        <v>2022</v>
      </c>
      <c r="N1370" s="14" t="s">
        <v>3160</v>
      </c>
      <c r="O1370" s="11" t="str">
        <f>HYPERLINK("https://pbs.twimg.com/profile_images/702558144958869504/AIKaOGn__normal.png","View")</f>
        <v>View</v>
      </c>
      <c r="P1370" s="15"/>
    </row>
    <row r="1371">
      <c r="A1371" s="7">
        <v>42425.61152777778</v>
      </c>
      <c r="B1371" s="8" t="str">
        <f>HYPERLINK("https://twitter.com/randal_olson","@randal_olson")</f>
        <v>@randal_olson</v>
      </c>
      <c r="C1371" s="10" t="s">
        <v>1097</v>
      </c>
      <c r="D1371" s="10" t="s">
        <v>3161</v>
      </c>
      <c r="E1371" s="11" t="str">
        <f>HYPERLINK("https://twitter.com/randal_olson/status/702986580294815745","702986580294815745")</f>
        <v>702986580294815745</v>
      </c>
      <c r="F1371" s="12" t="s">
        <v>52</v>
      </c>
      <c r="G1371" s="13">
        <v>83114.0</v>
      </c>
      <c r="H1371" s="13">
        <v>91408.0</v>
      </c>
      <c r="I1371" s="13">
        <v>11.0</v>
      </c>
      <c r="J1371" s="13">
        <v>22.0</v>
      </c>
      <c r="K1371" s="12" t="s">
        <v>21</v>
      </c>
      <c r="L1371" s="7">
        <v>39985.55090277777</v>
      </c>
      <c r="M1371" s="14" t="s">
        <v>1099</v>
      </c>
      <c r="N1371" s="14" t="s">
        <v>1100</v>
      </c>
      <c r="O1371" s="11" t="str">
        <f>HYPERLINK("https://pbs.twimg.com/profile_images/618964235779862528/nLQhBWfq_normal.jpg","View")</f>
        <v>View</v>
      </c>
      <c r="P1371" s="15"/>
    </row>
    <row r="1372">
      <c r="A1372" s="7">
        <v>42425.612557870365</v>
      </c>
      <c r="B1372" s="8" t="str">
        <f>HYPERLINK("https://twitter.com/jordixou","@jordixou")</f>
        <v>@jordixou</v>
      </c>
      <c r="C1372" s="10" t="s">
        <v>3162</v>
      </c>
      <c r="D1372" s="10" t="s">
        <v>3163</v>
      </c>
      <c r="E1372" s="11" t="str">
        <f>HYPERLINK("https://twitter.com/jordixou/status/702986956226043904","702986956226043904")</f>
        <v>702986956226043904</v>
      </c>
      <c r="F1372" s="12" t="s">
        <v>3164</v>
      </c>
      <c r="G1372" s="13">
        <v>675.0</v>
      </c>
      <c r="H1372" s="13">
        <v>304.0</v>
      </c>
      <c r="I1372" s="13">
        <v>15.0</v>
      </c>
      <c r="J1372" s="13">
        <v>0.0</v>
      </c>
      <c r="K1372" s="12" t="s">
        <v>21</v>
      </c>
      <c r="L1372" s="7">
        <v>40101.107569444444</v>
      </c>
      <c r="M1372" s="14" t="s">
        <v>901</v>
      </c>
      <c r="N1372" s="14" t="s">
        <v>3165</v>
      </c>
      <c r="O1372" s="11" t="str">
        <f>HYPERLINK("https://pbs.twimg.com/profile_images/632203540761550848/-NqxCNiW_normal.jpg","View")</f>
        <v>View</v>
      </c>
      <c r="P1372" s="15"/>
    </row>
    <row r="1373">
      <c r="A1373" s="7">
        <v>42425.61292824074</v>
      </c>
      <c r="B1373" s="8" t="str">
        <f>HYPERLINK("https://twitter.com/programmingncr","@programmingncr")</f>
        <v>@programmingncr</v>
      </c>
      <c r="C1373" s="10" t="s">
        <v>262</v>
      </c>
      <c r="D1373" s="10" t="s">
        <v>3166</v>
      </c>
      <c r="E1373" s="11" t="str">
        <f>HYPERLINK("https://twitter.com/programmingncr/status/702987089802092544","702987089802092544")</f>
        <v>702987089802092544</v>
      </c>
      <c r="F1373" s="12" t="s">
        <v>103</v>
      </c>
      <c r="G1373" s="13">
        <v>328.0</v>
      </c>
      <c r="H1373" s="13">
        <v>99.0</v>
      </c>
      <c r="I1373" s="13">
        <v>0.0</v>
      </c>
      <c r="J1373" s="13">
        <v>0.0</v>
      </c>
      <c r="K1373" s="12" t="s">
        <v>21</v>
      </c>
      <c r="L1373" s="7">
        <v>42220.86634259259</v>
      </c>
      <c r="M1373" s="14" t="s">
        <v>264</v>
      </c>
      <c r="N1373" s="14" t="s">
        <v>265</v>
      </c>
      <c r="O1373" s="11" t="str">
        <f>HYPERLINK("https://pbs.twimg.com/profile_images/662602436222193664/qKuvsfnG_normal.jpg","View")</f>
        <v>View</v>
      </c>
      <c r="P1373" s="15"/>
    </row>
    <row r="1374">
      <c r="A1374" s="7">
        <v>42425.613287037035</v>
      </c>
      <c r="B1374" s="8" t="str">
        <f>HYPERLINK("https://twitter.com/HartwigMicheal","@HartwigMicheal")</f>
        <v>@HartwigMicheal</v>
      </c>
      <c r="C1374" s="10" t="s">
        <v>842</v>
      </c>
      <c r="D1374" s="10" t="s">
        <v>3167</v>
      </c>
      <c r="E1374" s="11" t="str">
        <f>HYPERLINK("https://twitter.com/HartwigMicheal/status/702987219842306048","702987219842306048")</f>
        <v>702987219842306048</v>
      </c>
      <c r="F1374" s="12" t="s">
        <v>103</v>
      </c>
      <c r="G1374" s="13">
        <v>541.0</v>
      </c>
      <c r="H1374" s="13">
        <v>830.0</v>
      </c>
      <c r="I1374" s="13">
        <v>0.0</v>
      </c>
      <c r="J1374" s="13">
        <v>0.0</v>
      </c>
      <c r="K1374" s="12" t="s">
        <v>21</v>
      </c>
      <c r="L1374" s="7">
        <v>42362.00148148148</v>
      </c>
      <c r="M1374" s="14" t="s">
        <v>844</v>
      </c>
      <c r="N1374" s="14" t="s">
        <v>845</v>
      </c>
      <c r="O1374" s="11" t="str">
        <f>HYPERLINK("https://pbs.twimg.com/profile_images/679948461953781761/pDo9356K_normal.jpg","View")</f>
        <v>View</v>
      </c>
      <c r="P1374" s="15"/>
    </row>
    <row r="1375">
      <c r="A1375" s="7">
        <v>42425.61366898148</v>
      </c>
      <c r="B1375" s="8" t="str">
        <f>HYPERLINK("https://twitter.com/reuvenmlerner","@reuvenmlerner")</f>
        <v>@reuvenmlerner</v>
      </c>
      <c r="C1375" s="10" t="s">
        <v>3168</v>
      </c>
      <c r="D1375" s="10" t="s">
        <v>2821</v>
      </c>
      <c r="E1375" s="11" t="str">
        <f>HYPERLINK("https://twitter.com/reuvenmlerner/status/702987355821645824","702987355821645824")</f>
        <v>702987355821645824</v>
      </c>
      <c r="F1375" s="12" t="s">
        <v>20</v>
      </c>
      <c r="G1375" s="13">
        <v>751.0</v>
      </c>
      <c r="H1375" s="13">
        <v>409.0</v>
      </c>
      <c r="I1375" s="13">
        <v>2.0</v>
      </c>
      <c r="J1375" s="13">
        <v>0.0</v>
      </c>
      <c r="K1375" s="12" t="s">
        <v>21</v>
      </c>
      <c r="L1375" s="7">
        <v>39889.56979166667</v>
      </c>
      <c r="M1375" s="14" t="s">
        <v>3169</v>
      </c>
      <c r="N1375" s="14" t="s">
        <v>3170</v>
      </c>
      <c r="O1375" s="11" t="str">
        <f>HYPERLINK("https://pbs.twimg.com/profile_images/468550904170291200/5-rmM1W9_normal.jpeg","View")</f>
        <v>View</v>
      </c>
      <c r="P1375" s="15"/>
    </row>
    <row r="1376">
      <c r="A1376" s="7">
        <v>42425.6137962963</v>
      </c>
      <c r="B1376" s="8" t="str">
        <f>HYPERLINK("https://twitter.com/MTotolrahaman","@MTotolrahaman")</f>
        <v>@MTotolrahaman</v>
      </c>
      <c r="C1376" s="10" t="s">
        <v>848</v>
      </c>
      <c r="D1376" s="10" t="s">
        <v>3171</v>
      </c>
      <c r="E1376" s="11" t="str">
        <f>HYPERLINK("https://twitter.com/MTotolrahaman/status/702987401711493120","702987401711493120")</f>
        <v>702987401711493120</v>
      </c>
      <c r="F1376" s="12" t="s">
        <v>103</v>
      </c>
      <c r="G1376" s="13">
        <v>766.0</v>
      </c>
      <c r="H1376" s="13">
        <v>846.0</v>
      </c>
      <c r="I1376" s="13">
        <v>0.0</v>
      </c>
      <c r="J1376" s="13">
        <v>0.0</v>
      </c>
      <c r="K1376" s="12" t="s">
        <v>21</v>
      </c>
      <c r="L1376" s="7">
        <v>42355.250798611116</v>
      </c>
      <c r="M1376" s="14" t="s">
        <v>850</v>
      </c>
      <c r="N1376" s="14" t="s">
        <v>851</v>
      </c>
      <c r="O1376" s="11" t="str">
        <f>HYPERLINK("https://pbs.twimg.com/profile_images/677493910256484352/-EdVaVPl_normal.jpg","View")</f>
        <v>View</v>
      </c>
      <c r="P1376" s="15"/>
    </row>
    <row r="1377">
      <c r="A1377" s="7">
        <v>42425.613900462966</v>
      </c>
      <c r="B1377" s="8" t="str">
        <f>HYPERLINK("https://twitter.com/SeiichiShiga","@SeiichiShiga")</f>
        <v>@SeiichiShiga</v>
      </c>
      <c r="C1377" s="10" t="s">
        <v>833</v>
      </c>
      <c r="D1377" s="10" t="s">
        <v>3172</v>
      </c>
      <c r="E1377" s="11" t="str">
        <f>HYPERLINK("https://twitter.com/SeiichiShiga/status/702987441569820672","702987441569820672")</f>
        <v>702987441569820672</v>
      </c>
      <c r="F1377" s="12" t="s">
        <v>20</v>
      </c>
      <c r="G1377" s="13">
        <v>1215.0</v>
      </c>
      <c r="H1377" s="13">
        <v>2729.0</v>
      </c>
      <c r="I1377" s="13">
        <v>0.0</v>
      </c>
      <c r="J1377" s="13">
        <v>0.0</v>
      </c>
      <c r="K1377" s="12" t="s">
        <v>21</v>
      </c>
      <c r="L1377" s="7">
        <v>42307.67229166666</v>
      </c>
      <c r="M1377" s="14" t="s">
        <v>328</v>
      </c>
      <c r="N1377" s="14" t="s">
        <v>835</v>
      </c>
      <c r="O1377" s="11" t="str">
        <f>HYPERLINK("https://pbs.twimg.com/profile_images/678592301489242113/Sfm3y8Po_normal.jpg","View")</f>
        <v>View</v>
      </c>
      <c r="P1377" s="15"/>
    </row>
    <row r="1378">
      <c r="A1378" s="7">
        <v>42425.6141087963</v>
      </c>
      <c r="B1378" s="8" t="str">
        <f>HYPERLINK("https://twitter.com/MissGoldieKnox","@MissGoldieKnox")</f>
        <v>@MissGoldieKnox</v>
      </c>
      <c r="C1378" s="10" t="s">
        <v>3173</v>
      </c>
      <c r="D1378" s="10" t="s">
        <v>3174</v>
      </c>
      <c r="E1378" s="11" t="str">
        <f>HYPERLINK("https://twitter.com/MissGoldieKnox/status/702987515834142720","702987515834142720")</f>
        <v>702987515834142720</v>
      </c>
      <c r="F1378" s="12" t="s">
        <v>52</v>
      </c>
      <c r="G1378" s="13">
        <v>993.0</v>
      </c>
      <c r="H1378" s="13">
        <v>69.0</v>
      </c>
      <c r="I1378" s="13">
        <v>0.0</v>
      </c>
      <c r="J1378" s="13">
        <v>3.0</v>
      </c>
      <c r="K1378" s="12" t="s">
        <v>21</v>
      </c>
      <c r="L1378" s="7">
        <v>41152.66790509259</v>
      </c>
      <c r="M1378" s="14" t="s">
        <v>3175</v>
      </c>
      <c r="N1378" s="14" t="s">
        <v>3176</v>
      </c>
      <c r="O1378" s="11" t="str">
        <f>HYPERLINK("https://pbs.twimg.com/profile_images/667795464817766400/Lk26SYp2_normal.jpg","View")</f>
        <v>View</v>
      </c>
      <c r="P1378" s="15"/>
    </row>
    <row r="1379">
      <c r="A1379" s="7">
        <v>42425.61423611111</v>
      </c>
      <c r="B1379" s="8" t="str">
        <f>HYPERLINK("https://twitter.com/TheWAnswer","@TheWAnswer")</f>
        <v>@TheWAnswer</v>
      </c>
      <c r="C1379" s="10" t="s">
        <v>3177</v>
      </c>
      <c r="D1379" s="10" t="s">
        <v>2931</v>
      </c>
      <c r="E1379" s="11" t="str">
        <f>HYPERLINK("https://twitter.com/TheWAnswer/status/702987560843345921","702987560843345921")</f>
        <v>702987560843345921</v>
      </c>
      <c r="F1379" s="12" t="s">
        <v>152</v>
      </c>
      <c r="G1379" s="13">
        <v>351.0</v>
      </c>
      <c r="H1379" s="13">
        <v>2467.0</v>
      </c>
      <c r="I1379" s="13">
        <v>6.0</v>
      </c>
      <c r="J1379" s="13">
        <v>0.0</v>
      </c>
      <c r="K1379" s="12" t="s">
        <v>21</v>
      </c>
      <c r="L1379" s="7">
        <v>39982.82424768519</v>
      </c>
      <c r="M1379" s="16"/>
      <c r="N1379" s="16"/>
      <c r="O1379" s="11" t="str">
        <f>HYPERLINK("https://abs.twimg.com/sticky/default_profile_images/default_profile_5_normal.png","View")</f>
        <v>View</v>
      </c>
      <c r="P1379" s="15"/>
    </row>
    <row r="1380">
      <c r="A1380" s="7">
        <v>42425.615266203706</v>
      </c>
      <c r="B1380" s="8" t="str">
        <f>HYPERLINK("https://twitter.com/SeiichiShiga","@SeiichiShiga")</f>
        <v>@SeiichiShiga</v>
      </c>
      <c r="C1380" s="10" t="s">
        <v>833</v>
      </c>
      <c r="D1380" s="10" t="s">
        <v>3178</v>
      </c>
      <c r="E1380" s="11" t="str">
        <f>HYPERLINK("https://twitter.com/SeiichiShiga/status/702987934853500928","702987934853500928")</f>
        <v>702987934853500928</v>
      </c>
      <c r="F1380" s="12" t="s">
        <v>20</v>
      </c>
      <c r="G1380" s="13">
        <v>1215.0</v>
      </c>
      <c r="H1380" s="13">
        <v>2729.0</v>
      </c>
      <c r="I1380" s="13">
        <v>0.0</v>
      </c>
      <c r="J1380" s="13">
        <v>0.0</v>
      </c>
      <c r="K1380" s="12" t="s">
        <v>21</v>
      </c>
      <c r="L1380" s="7">
        <v>42307.67229166666</v>
      </c>
      <c r="M1380" s="14" t="s">
        <v>328</v>
      </c>
      <c r="N1380" s="14" t="s">
        <v>835</v>
      </c>
      <c r="O1380" s="11" t="str">
        <f>HYPERLINK("https://pbs.twimg.com/profile_images/678592301489242113/Sfm3y8Po_normal.jpg","View")</f>
        <v>View</v>
      </c>
      <c r="P1380" s="15"/>
    </row>
    <row r="1381">
      <c r="A1381" s="7">
        <v>42425.61604166667</v>
      </c>
      <c r="B1381" s="8" t="str">
        <f>HYPERLINK("https://twitter.com/mpetyx","@mpetyx")</f>
        <v>@mpetyx</v>
      </c>
      <c r="C1381" s="10" t="s">
        <v>2222</v>
      </c>
      <c r="D1381" s="10" t="s">
        <v>3179</v>
      </c>
      <c r="E1381" s="11" t="str">
        <f>HYPERLINK("https://twitter.com/mpetyx/status/702988217751113728","702988217751113728")</f>
        <v>702988217751113728</v>
      </c>
      <c r="F1381" s="12" t="s">
        <v>294</v>
      </c>
      <c r="G1381" s="13">
        <v>876.0</v>
      </c>
      <c r="H1381" s="13">
        <v>653.0</v>
      </c>
      <c r="I1381" s="13">
        <v>0.0</v>
      </c>
      <c r="J1381" s="13">
        <v>1.0</v>
      </c>
      <c r="K1381" s="12" t="s">
        <v>21</v>
      </c>
      <c r="L1381" s="7">
        <v>40154.45451388889</v>
      </c>
      <c r="M1381" s="14" t="s">
        <v>2224</v>
      </c>
      <c r="N1381" s="14" t="s">
        <v>2225</v>
      </c>
      <c r="O1381" s="11" t="str">
        <f>HYPERLINK("https://pbs.twimg.com/profile_images/1376633950/michael_kouklos_normal.jpg","View")</f>
        <v>View</v>
      </c>
      <c r="P1381" s="15"/>
    </row>
    <row r="1382">
      <c r="A1382" s="7">
        <v>42425.61609953704</v>
      </c>
      <c r="B1382" s="8" t="str">
        <f>HYPERLINK("https://twitter.com/antoinearray","@antoinearray")</f>
        <v>@antoinearray</v>
      </c>
      <c r="C1382" s="10" t="s">
        <v>3180</v>
      </c>
      <c r="D1382" s="10" t="s">
        <v>2972</v>
      </c>
      <c r="E1382" s="11" t="str">
        <f>HYPERLINK("https://twitter.com/antoinearray/status/702988237577519104","702988237577519104")</f>
        <v>702988237577519104</v>
      </c>
      <c r="F1382" s="12" t="s">
        <v>52</v>
      </c>
      <c r="G1382" s="13">
        <v>356.0</v>
      </c>
      <c r="H1382" s="13">
        <v>284.0</v>
      </c>
      <c r="I1382" s="13">
        <v>6.0</v>
      </c>
      <c r="J1382" s="13">
        <v>0.0</v>
      </c>
      <c r="K1382" s="12" t="s">
        <v>21</v>
      </c>
      <c r="L1382" s="7">
        <v>40352.422800925924</v>
      </c>
      <c r="M1382" s="14" t="s">
        <v>1806</v>
      </c>
      <c r="N1382" s="14" t="s">
        <v>3181</v>
      </c>
      <c r="O1382" s="11" t="str">
        <f>HYPERLINK("https://pbs.twimg.com/profile_images/673840699347886080/4M7eHcJ0_normal.jpg","View")</f>
        <v>View</v>
      </c>
      <c r="P1382" s="15"/>
    </row>
    <row r="1383">
      <c r="A1383" s="7">
        <v>42425.61795138889</v>
      </c>
      <c r="B1383" s="8" t="str">
        <f>HYPERLINK("https://twitter.com/PuckAnalytics","@PuckAnalytics")</f>
        <v>@PuckAnalytics</v>
      </c>
      <c r="C1383" s="10" t="s">
        <v>3182</v>
      </c>
      <c r="D1383" s="10" t="s">
        <v>3183</v>
      </c>
      <c r="E1383" s="11" t="str">
        <f>HYPERLINK("https://twitter.com/PuckAnalytics/status/702988909601562625","702988909601562625")</f>
        <v>702988909601562625</v>
      </c>
      <c r="F1383" s="12" t="s">
        <v>52</v>
      </c>
      <c r="G1383" s="13">
        <v>325.0</v>
      </c>
      <c r="H1383" s="13">
        <v>572.0</v>
      </c>
      <c r="I1383" s="13">
        <v>11.0</v>
      </c>
      <c r="J1383" s="13">
        <v>0.0</v>
      </c>
      <c r="K1383" s="12" t="s">
        <v>21</v>
      </c>
      <c r="L1383" s="7">
        <v>41800.42034722222</v>
      </c>
      <c r="M1383" s="14" t="s">
        <v>3184</v>
      </c>
      <c r="N1383" s="14" t="s">
        <v>3185</v>
      </c>
      <c r="O1383" s="11" t="str">
        <f>HYPERLINK("https://pbs.twimg.com/profile_images/679401004023087104/00Rg4Yq7_normal.jpg","View")</f>
        <v>View</v>
      </c>
      <c r="P1383" s="15"/>
    </row>
    <row r="1384">
      <c r="A1384" s="7">
        <v>42425.61850694445</v>
      </c>
      <c r="B1384" s="8" t="str">
        <f>HYPERLINK("https://twitter.com/journocode","@journocode")</f>
        <v>@journocode</v>
      </c>
      <c r="C1384" s="10" t="s">
        <v>1456</v>
      </c>
      <c r="D1384" s="10" t="s">
        <v>3186</v>
      </c>
      <c r="E1384" s="11" t="str">
        <f>HYPERLINK("https://twitter.com/journocode/status/702989110089281536","702989110089281536")</f>
        <v>702989110089281536</v>
      </c>
      <c r="F1384" s="12" t="s">
        <v>20</v>
      </c>
      <c r="G1384" s="13">
        <v>272.0</v>
      </c>
      <c r="H1384" s="13">
        <v>129.0</v>
      </c>
      <c r="I1384" s="13">
        <v>0.0</v>
      </c>
      <c r="J1384" s="13">
        <v>0.0</v>
      </c>
      <c r="K1384" s="12" t="s">
        <v>21</v>
      </c>
      <c r="L1384" s="7">
        <v>42307.49438657408</v>
      </c>
      <c r="M1384" s="14" t="s">
        <v>1458</v>
      </c>
      <c r="N1384" s="14" t="s">
        <v>1459</v>
      </c>
      <c r="O1384" s="11" t="str">
        <f>HYPERLINK("https://pbs.twimg.com/profile_images/663285524162048000/leUzJIIa_normal.png","View")</f>
        <v>View</v>
      </c>
      <c r="P1384" s="15"/>
    </row>
    <row r="1385">
      <c r="A1385" s="7">
        <v>42425.61869212963</v>
      </c>
      <c r="B1385" s="8" t="str">
        <f>HYPERLINK("https://twitter.com/Ali_Al3siri","@Ali_Al3siri")</f>
        <v>@Ali_Al3siri</v>
      </c>
      <c r="C1385" s="10" t="s">
        <v>3187</v>
      </c>
      <c r="D1385" s="20" t="s">
        <v>3188</v>
      </c>
      <c r="E1385" s="11" t="str">
        <f>HYPERLINK("https://twitter.com/Ali_Al3siri/status/702989177625960448","702989177625960448")</f>
        <v>702989177625960448</v>
      </c>
      <c r="F1385" s="12" t="s">
        <v>152</v>
      </c>
      <c r="G1385" s="13">
        <v>244.0</v>
      </c>
      <c r="H1385" s="13">
        <v>1112.0</v>
      </c>
      <c r="I1385" s="13">
        <v>1.0</v>
      </c>
      <c r="J1385" s="13">
        <v>0.0</v>
      </c>
      <c r="K1385" s="12" t="s">
        <v>21</v>
      </c>
      <c r="L1385" s="7">
        <v>41161.38652777778</v>
      </c>
      <c r="M1385" s="14" t="s">
        <v>3189</v>
      </c>
      <c r="N1385" s="21" t="s">
        <v>3190</v>
      </c>
      <c r="O1385" s="11" t="str">
        <f>HYPERLINK("https://pbs.twimg.com/profile_images/634003850408497152/1N3K-Xbf_normal.jpg","View")</f>
        <v>View</v>
      </c>
      <c r="P1385" s="15"/>
    </row>
    <row r="1386">
      <c r="A1386" s="7">
        <v>42425.61966435185</v>
      </c>
      <c r="B1386" s="8" t="str">
        <f>HYPERLINK("https://twitter.com/Ginetto","@Ginetto")</f>
        <v>@Ginetto</v>
      </c>
      <c r="C1386" s="10" t="s">
        <v>3191</v>
      </c>
      <c r="D1386" s="10" t="s">
        <v>2287</v>
      </c>
      <c r="E1386" s="11" t="str">
        <f>HYPERLINK("https://twitter.com/Ginetto/status/702989530144641024","702989530144641024")</f>
        <v>702989530144641024</v>
      </c>
      <c r="F1386" s="12" t="s">
        <v>152</v>
      </c>
      <c r="G1386" s="13">
        <v>554.0</v>
      </c>
      <c r="H1386" s="13">
        <v>724.0</v>
      </c>
      <c r="I1386" s="13">
        <v>16.0</v>
      </c>
      <c r="J1386" s="13">
        <v>0.0</v>
      </c>
      <c r="K1386" s="12" t="s">
        <v>21</v>
      </c>
      <c r="L1386" s="7">
        <v>39163.06519675926</v>
      </c>
      <c r="M1386" s="14" t="s">
        <v>3192</v>
      </c>
      <c r="N1386" s="14" t="s">
        <v>3193</v>
      </c>
      <c r="O1386" s="11" t="str">
        <f>HYPERLINK("https://pbs.twimg.com/profile_images/459231364991053824/3NeXuA0D_normal.jpeg","View")</f>
        <v>View</v>
      </c>
      <c r="P1386" s="15"/>
    </row>
    <row r="1387">
      <c r="A1387" s="7">
        <v>42425.62081018518</v>
      </c>
      <c r="B1387" s="8" t="str">
        <f>HYPERLINK("https://twitter.com/BootFash","@BootFash")</f>
        <v>@BootFash</v>
      </c>
      <c r="C1387" s="10" t="s">
        <v>3194</v>
      </c>
      <c r="D1387" s="10" t="s">
        <v>3195</v>
      </c>
      <c r="E1387" s="11" t="str">
        <f>HYPERLINK("https://twitter.com/BootFash/status/702989943946256393","702989943946256393")</f>
        <v>702989943946256393</v>
      </c>
      <c r="F1387" s="12" t="s">
        <v>103</v>
      </c>
      <c r="G1387" s="13">
        <v>280.0</v>
      </c>
      <c r="H1387" s="13">
        <v>1005.0</v>
      </c>
      <c r="I1387" s="13">
        <v>0.0</v>
      </c>
      <c r="J1387" s="13">
        <v>0.0</v>
      </c>
      <c r="K1387" s="12" t="s">
        <v>21</v>
      </c>
      <c r="L1387" s="7">
        <v>42388.75849537037</v>
      </c>
      <c r="M1387" s="16"/>
      <c r="N1387" s="16"/>
      <c r="O1387" s="11" t="str">
        <f>HYPERLINK("https://pbs.twimg.com/profile_images/689631729431150593/56SFOUm2_normal.png","View")</f>
        <v>View</v>
      </c>
      <c r="P1387" s="15"/>
    </row>
    <row r="1388">
      <c r="A1388" s="7">
        <v>42425.62106481481</v>
      </c>
      <c r="B1388" s="8" t="str">
        <f>HYPERLINK("https://twitter.com/CzubeldiaM","@CzubeldiaM")</f>
        <v>@CzubeldiaM</v>
      </c>
      <c r="C1388" s="10" t="s">
        <v>3196</v>
      </c>
      <c r="D1388" s="10" t="s">
        <v>3197</v>
      </c>
      <c r="E1388" s="11" t="str">
        <f>HYPERLINK("https://twitter.com/CzubeldiaM/status/702990035335979008","702990035335979008")</f>
        <v>702990035335979008</v>
      </c>
      <c r="F1388" s="12" t="s">
        <v>20</v>
      </c>
      <c r="G1388" s="13">
        <v>107.0</v>
      </c>
      <c r="H1388" s="13">
        <v>441.0</v>
      </c>
      <c r="I1388" s="13">
        <v>2.0</v>
      </c>
      <c r="J1388" s="13">
        <v>0.0</v>
      </c>
      <c r="K1388" s="12" t="s">
        <v>21</v>
      </c>
      <c r="L1388" s="7">
        <v>41903.273611111115</v>
      </c>
      <c r="M1388" s="16"/>
      <c r="N1388" s="14" t="s">
        <v>3198</v>
      </c>
      <c r="O1388" s="11" t="str">
        <f>HYPERLINK("https://pbs.twimg.com/profile_images/518816441613950976/YTS280Ug_normal.jpeg","View")</f>
        <v>View</v>
      </c>
      <c r="P1388" s="15"/>
    </row>
    <row r="1389">
      <c r="A1389" s="7">
        <v>42425.622835648144</v>
      </c>
      <c r="B1389" s="8" t="str">
        <f>HYPERLINK("https://twitter.com/gbowerman","@gbowerman")</f>
        <v>@gbowerman</v>
      </c>
      <c r="C1389" s="10" t="s">
        <v>3199</v>
      </c>
      <c r="D1389" s="10" t="s">
        <v>3200</v>
      </c>
      <c r="E1389" s="11" t="str">
        <f>HYPERLINK("https://twitter.com/gbowerman/status/702990677324472321","702990677324472321")</f>
        <v>702990677324472321</v>
      </c>
      <c r="F1389" s="12" t="s">
        <v>20</v>
      </c>
      <c r="G1389" s="13">
        <v>219.0</v>
      </c>
      <c r="H1389" s="13">
        <v>62.0</v>
      </c>
      <c r="I1389" s="13">
        <v>1.0</v>
      </c>
      <c r="J1389" s="13">
        <v>0.0</v>
      </c>
      <c r="K1389" s="12" t="s">
        <v>21</v>
      </c>
      <c r="L1389" s="7">
        <v>39855.693657407406</v>
      </c>
      <c r="M1389" s="14" t="s">
        <v>3114</v>
      </c>
      <c r="N1389" s="14" t="s">
        <v>3201</v>
      </c>
      <c r="O1389" s="11" t="str">
        <f>HYPERLINK("https://pbs.twimg.com/profile_images/3317062948/994df7c584ed45a550cc0397288b4c39_normal.jpeg","View")</f>
        <v>View</v>
      </c>
      <c r="P1389" s="15"/>
    </row>
    <row r="1390">
      <c r="A1390" s="7">
        <v>42425.62342592592</v>
      </c>
      <c r="B1390" s="8" t="str">
        <f>HYPERLINK("https://twitter.com/najarvg","@najarvg")</f>
        <v>@najarvg</v>
      </c>
      <c r="C1390" s="10" t="s">
        <v>3202</v>
      </c>
      <c r="D1390" s="10" t="s">
        <v>3203</v>
      </c>
      <c r="E1390" s="11" t="str">
        <f>HYPERLINK("https://twitter.com/najarvg/status/702990892655878144","702990892655878144")</f>
        <v>702990892655878144</v>
      </c>
      <c r="F1390" s="12" t="s">
        <v>20</v>
      </c>
      <c r="G1390" s="13">
        <v>25.0</v>
      </c>
      <c r="H1390" s="13">
        <v>51.0</v>
      </c>
      <c r="I1390" s="13">
        <v>0.0</v>
      </c>
      <c r="J1390" s="13">
        <v>1.0</v>
      </c>
      <c r="K1390" s="12" t="s">
        <v>21</v>
      </c>
      <c r="L1390" s="7">
        <v>41569.226956018516</v>
      </c>
      <c r="M1390" s="14" t="s">
        <v>2544</v>
      </c>
      <c r="N1390" s="14" t="s">
        <v>3204</v>
      </c>
      <c r="O1390" s="11" t="str">
        <f>HYPERLINK("https://pbs.twimg.com/profile_images/687773568378212352/eTbB4wLE_normal.jpg","View")</f>
        <v>View</v>
      </c>
      <c r="P1390" s="15"/>
    </row>
    <row r="1391">
      <c r="A1391" s="7">
        <v>42425.62386574074</v>
      </c>
      <c r="B1391" s="8" t="str">
        <f>HYPERLINK("https://twitter.com/JoshuaLongUK","@JoshuaLongUK")</f>
        <v>@JoshuaLongUK</v>
      </c>
      <c r="C1391" s="10" t="s">
        <v>101</v>
      </c>
      <c r="D1391" s="10" t="s">
        <v>3205</v>
      </c>
      <c r="E1391" s="11" t="str">
        <f>HYPERLINK("https://twitter.com/JoshuaLongUK/status/702991052014231552","702991052014231552")</f>
        <v>702991052014231552</v>
      </c>
      <c r="F1391" s="12" t="s">
        <v>103</v>
      </c>
      <c r="G1391" s="13">
        <v>25832.0</v>
      </c>
      <c r="H1391" s="13">
        <v>93.0</v>
      </c>
      <c r="I1391" s="13">
        <v>0.0</v>
      </c>
      <c r="J1391" s="13">
        <v>0.0</v>
      </c>
      <c r="K1391" s="12" t="s">
        <v>21</v>
      </c>
      <c r="L1391" s="7">
        <v>41149.39659722222</v>
      </c>
      <c r="M1391" s="14" t="s">
        <v>104</v>
      </c>
      <c r="N1391" s="14" t="s">
        <v>105</v>
      </c>
      <c r="O1391" s="11" t="str">
        <f>HYPERLINK("https://pbs.twimg.com/profile_images/627996138403168256/DaASdgVr_normal.jpg","View")</f>
        <v>View</v>
      </c>
      <c r="P1391" s="15"/>
    </row>
    <row r="1392">
      <c r="A1392" s="7">
        <v>42425.62442129629</v>
      </c>
      <c r="B1392" s="8" t="str">
        <f>HYPERLINK("https://twitter.com/limiear","@limiear")</f>
        <v>@limiear</v>
      </c>
      <c r="C1392" s="10" t="s">
        <v>1066</v>
      </c>
      <c r="D1392" s="10" t="s">
        <v>3206</v>
      </c>
      <c r="E1392" s="11" t="str">
        <f>HYPERLINK("https://twitter.com/limiear/status/702991252858527744","702991252858527744")</f>
        <v>702991252858527744</v>
      </c>
      <c r="F1392" s="12" t="s">
        <v>1068</v>
      </c>
      <c r="G1392" s="13">
        <v>25.0</v>
      </c>
      <c r="H1392" s="13">
        <v>8.0</v>
      </c>
      <c r="I1392" s="13">
        <v>0.0</v>
      </c>
      <c r="J1392" s="13">
        <v>0.0</v>
      </c>
      <c r="K1392" s="12" t="s">
        <v>21</v>
      </c>
      <c r="L1392" s="7">
        <v>40647.71362268519</v>
      </c>
      <c r="M1392" s="14" t="s">
        <v>1069</v>
      </c>
      <c r="N1392" s="14" t="s">
        <v>1070</v>
      </c>
      <c r="O1392" s="11" t="str">
        <f>HYPERLINK("https://pbs.twimg.com/profile_images/529629909597949953/SVewJVqU_normal.png","View")</f>
        <v>View</v>
      </c>
      <c r="P1392" s="15"/>
    </row>
    <row r="1393">
      <c r="A1393" s="7">
        <v>42425.62501157407</v>
      </c>
      <c r="B1393" s="8" t="str">
        <f>HYPERLINK("https://twitter.com/0x626F74","@0x626F74")</f>
        <v>@0x626F74</v>
      </c>
      <c r="C1393" s="10" t="s">
        <v>2707</v>
      </c>
      <c r="D1393" s="10" t="s">
        <v>3207</v>
      </c>
      <c r="E1393" s="11" t="str">
        <f>HYPERLINK("https://twitter.com/0x626F74/status/702991467405377541","702991467405377541")</f>
        <v>702991467405377541</v>
      </c>
      <c r="F1393" s="12" t="s">
        <v>2709</v>
      </c>
      <c r="G1393" s="13">
        <v>44.0</v>
      </c>
      <c r="H1393" s="13">
        <v>0.0</v>
      </c>
      <c r="I1393" s="13">
        <v>0.0</v>
      </c>
      <c r="J1393" s="13">
        <v>0.0</v>
      </c>
      <c r="K1393" s="12" t="s">
        <v>21</v>
      </c>
      <c r="L1393" s="7">
        <v>41484.2893287037</v>
      </c>
      <c r="M1393" s="16"/>
      <c r="N1393" s="16"/>
      <c r="O1393" s="11" t="str">
        <f>HYPERLINK("https://abs.twimg.com/sticky/default_profile_images/default_profile_3_normal.png","View")</f>
        <v>View</v>
      </c>
      <c r="P1393" s="15"/>
    </row>
    <row r="1394">
      <c r="A1394" s="7">
        <v>42425.62611111111</v>
      </c>
      <c r="B1394" s="8" t="str">
        <f>HYPERLINK("https://twitter.com/korezian","@korezian")</f>
        <v>@korezian</v>
      </c>
      <c r="C1394" s="10" t="s">
        <v>2584</v>
      </c>
      <c r="D1394" s="10" t="s">
        <v>2842</v>
      </c>
      <c r="E1394" s="11" t="str">
        <f>HYPERLINK("https://twitter.com/korezian/status/702991864840847363","702991864840847363")</f>
        <v>702991864840847363</v>
      </c>
      <c r="F1394" s="12" t="s">
        <v>152</v>
      </c>
      <c r="G1394" s="13">
        <v>336.0</v>
      </c>
      <c r="H1394" s="13">
        <v>662.0</v>
      </c>
      <c r="I1394" s="13">
        <v>8.0</v>
      </c>
      <c r="J1394" s="13">
        <v>0.0</v>
      </c>
      <c r="K1394" s="12" t="s">
        <v>21</v>
      </c>
      <c r="L1394" s="7">
        <v>41318.54667824074</v>
      </c>
      <c r="M1394" s="16"/>
      <c r="N1394" s="14" t="s">
        <v>2585</v>
      </c>
      <c r="O1394" s="11" t="str">
        <f>HYPERLINK("https://pbs.twimg.com/profile_images/460099412526518272/aNXvaTyn_normal.jpeg","View")</f>
        <v>View</v>
      </c>
      <c r="P1394" s="15"/>
    </row>
    <row r="1395">
      <c r="A1395" s="7">
        <v>42425.6267824074</v>
      </c>
      <c r="B1395" s="8" t="str">
        <f>HYPERLINK("https://twitter.com/GovsInfo","@GovsInfo")</f>
        <v>@GovsInfo</v>
      </c>
      <c r="C1395" s="10" t="s">
        <v>3208</v>
      </c>
      <c r="D1395" s="10" t="s">
        <v>3209</v>
      </c>
      <c r="E1395" s="11" t="str">
        <f>HYPERLINK("https://twitter.com/GovsInfo/status/702992110132269057","702992110132269057")</f>
        <v>702992110132269057</v>
      </c>
      <c r="F1395" s="12" t="s">
        <v>103</v>
      </c>
      <c r="G1395" s="13">
        <v>53989.0</v>
      </c>
      <c r="H1395" s="13">
        <v>60772.0</v>
      </c>
      <c r="I1395" s="13">
        <v>0.0</v>
      </c>
      <c r="J1395" s="13">
        <v>0.0</v>
      </c>
      <c r="K1395" s="12" t="s">
        <v>21</v>
      </c>
      <c r="L1395" s="7">
        <v>41613.45927083334</v>
      </c>
      <c r="M1395" s="16"/>
      <c r="N1395" s="14" t="s">
        <v>3210</v>
      </c>
      <c r="O1395" s="11" t="str">
        <f>HYPERLINK("https://pbs.twimg.com/profile_images/607796949085855744/yiNwAzF__normal.jpg","View")</f>
        <v>View</v>
      </c>
      <c r="P1395" s="15"/>
    </row>
    <row r="1396">
      <c r="A1396" s="7">
        <v>42425.62695601852</v>
      </c>
      <c r="B1396" s="8" t="str">
        <f>HYPERLINK("https://twitter.com/Ginetto","@Ginetto")</f>
        <v>@Ginetto</v>
      </c>
      <c r="C1396" s="10" t="s">
        <v>3191</v>
      </c>
      <c r="D1396" s="10" t="s">
        <v>3211</v>
      </c>
      <c r="E1396" s="11" t="str">
        <f>HYPERLINK("https://twitter.com/Ginetto/status/702992173877346304","702992173877346304")</f>
        <v>702992173877346304</v>
      </c>
      <c r="F1396" s="12" t="s">
        <v>152</v>
      </c>
      <c r="G1396" s="13">
        <v>554.0</v>
      </c>
      <c r="H1396" s="13">
        <v>724.0</v>
      </c>
      <c r="I1396" s="13">
        <v>1.0</v>
      </c>
      <c r="J1396" s="13">
        <v>0.0</v>
      </c>
      <c r="K1396" s="12" t="s">
        <v>21</v>
      </c>
      <c r="L1396" s="7">
        <v>39163.06519675926</v>
      </c>
      <c r="M1396" s="14" t="s">
        <v>3192</v>
      </c>
      <c r="N1396" s="14" t="s">
        <v>3193</v>
      </c>
      <c r="O1396" s="11" t="str">
        <f>HYPERLINK("https://pbs.twimg.com/profile_images/459231364991053824/3NeXuA0D_normal.jpeg","View")</f>
        <v>View</v>
      </c>
      <c r="P1396" s="15"/>
    </row>
    <row r="1397">
      <c r="A1397" s="7">
        <v>42425.62697916667</v>
      </c>
      <c r="B1397" s="8" t="str">
        <f>HYPERLINK("https://twitter.com/odsc","@odsc")</f>
        <v>@odsc</v>
      </c>
      <c r="C1397" s="10" t="s">
        <v>3212</v>
      </c>
      <c r="D1397" s="10" t="s">
        <v>3213</v>
      </c>
      <c r="E1397" s="11" t="str">
        <f>HYPERLINK("https://twitter.com/odsc/status/702992179531280385","702992179531280385")</f>
        <v>702992179531280385</v>
      </c>
      <c r="F1397" s="12" t="s">
        <v>659</v>
      </c>
      <c r="G1397" s="13">
        <v>13823.0</v>
      </c>
      <c r="H1397" s="13">
        <v>6657.0</v>
      </c>
      <c r="I1397" s="13">
        <v>0.0</v>
      </c>
      <c r="J1397" s="13">
        <v>3.0</v>
      </c>
      <c r="K1397" s="12" t="s">
        <v>21</v>
      </c>
      <c r="L1397" s="7">
        <v>42039.6077662037</v>
      </c>
      <c r="M1397" s="14" t="s">
        <v>3214</v>
      </c>
      <c r="N1397" s="14" t="s">
        <v>3215</v>
      </c>
      <c r="O1397" s="11" t="str">
        <f>HYPERLINK("https://pbs.twimg.com/profile_images/623923923441348612/HxO7gaZZ_normal.png","View")</f>
        <v>View</v>
      </c>
      <c r="P1397" s="15"/>
    </row>
    <row r="1398">
      <c r="A1398" s="7">
        <v>42425.629641203705</v>
      </c>
      <c r="B1398" s="8" t="str">
        <f>HYPERLINK("https://twitter.com/importpython","@importpython")</f>
        <v>@importpython</v>
      </c>
      <c r="C1398" s="10" t="s">
        <v>2536</v>
      </c>
      <c r="D1398" s="10" t="s">
        <v>3216</v>
      </c>
      <c r="E1398" s="11" t="str">
        <f>HYPERLINK("https://twitter.com/importpython/status/702993143835144192","702993143835144192")</f>
        <v>702993143835144192</v>
      </c>
      <c r="F1398" s="12" t="s">
        <v>2538</v>
      </c>
      <c r="G1398" s="13">
        <v>1603.0</v>
      </c>
      <c r="H1398" s="13">
        <v>498.0</v>
      </c>
      <c r="I1398" s="13">
        <v>1.0</v>
      </c>
      <c r="J1398" s="13">
        <v>1.0</v>
      </c>
      <c r="K1398" s="12" t="s">
        <v>21</v>
      </c>
      <c r="L1398" s="7">
        <v>41912.04583333334</v>
      </c>
      <c r="M1398" s="14" t="s">
        <v>432</v>
      </c>
      <c r="N1398" s="14" t="s">
        <v>2539</v>
      </c>
      <c r="O1398" s="11" t="str">
        <f>HYPERLINK("https://pbs.twimg.com/profile_images/518108253121552384/ClpFqPbX_normal.png","View")</f>
        <v>View</v>
      </c>
      <c r="P1398" s="15"/>
    </row>
    <row r="1399">
      <c r="A1399" s="7">
        <v>42425.630000000005</v>
      </c>
      <c r="B1399" s="8" t="str">
        <f>HYPERLINK("https://twitter.com/azurekanio","@azurekanio")</f>
        <v>@azurekanio</v>
      </c>
      <c r="C1399" s="10" t="s">
        <v>3217</v>
      </c>
      <c r="D1399" s="10" t="s">
        <v>1820</v>
      </c>
      <c r="E1399" s="11" t="str">
        <f>HYPERLINK("https://twitter.com/azurekanio/status/702993277385986048","702993277385986048")</f>
        <v>702993277385986048</v>
      </c>
      <c r="F1399" s="12" t="s">
        <v>152</v>
      </c>
      <c r="G1399" s="13">
        <v>268.0</v>
      </c>
      <c r="H1399" s="13">
        <v>748.0</v>
      </c>
      <c r="I1399" s="13">
        <v>20.0</v>
      </c>
      <c r="J1399" s="13">
        <v>0.0</v>
      </c>
      <c r="K1399" s="12" t="s">
        <v>21</v>
      </c>
      <c r="L1399" s="7">
        <v>41773.74528935185</v>
      </c>
      <c r="M1399" s="14" t="s">
        <v>328</v>
      </c>
      <c r="N1399" s="14" t="s">
        <v>3218</v>
      </c>
      <c r="O1399" s="11" t="str">
        <f>HYPERLINK("https://pbs.twimg.com/profile_images/466762443050323968/PURoniQ5_normal.png","View")</f>
        <v>View</v>
      </c>
      <c r="P1399" s="15"/>
    </row>
    <row r="1400">
      <c r="A1400" s="7">
        <v>42425.63008101852</v>
      </c>
      <c r="B1400" s="8" t="str">
        <f>HYPERLINK("https://twitter.com/JAlshamri","@JAlshamri")</f>
        <v>@JAlshamri</v>
      </c>
      <c r="C1400" s="10" t="s">
        <v>3219</v>
      </c>
      <c r="D1400" s="10" t="s">
        <v>3183</v>
      </c>
      <c r="E1400" s="11" t="str">
        <f>HYPERLINK("https://twitter.com/JAlshamri/status/702993303088844800","702993303088844800")</f>
        <v>702993303088844800</v>
      </c>
      <c r="F1400" s="12" t="s">
        <v>152</v>
      </c>
      <c r="G1400" s="13">
        <v>293.0</v>
      </c>
      <c r="H1400" s="13">
        <v>676.0</v>
      </c>
      <c r="I1400" s="13">
        <v>11.0</v>
      </c>
      <c r="J1400" s="13">
        <v>0.0</v>
      </c>
      <c r="K1400" s="12" t="s">
        <v>21</v>
      </c>
      <c r="L1400" s="7">
        <v>40981.109976851854</v>
      </c>
      <c r="M1400" s="14" t="s">
        <v>3220</v>
      </c>
      <c r="N1400" s="21" t="s">
        <v>3221</v>
      </c>
      <c r="O1400" s="11" t="str">
        <f>HYPERLINK("https://pbs.twimg.com/profile_images/420466653256630272/VeSpHUUy_normal.jpeg","View")</f>
        <v>View</v>
      </c>
      <c r="P1400" s="15"/>
    </row>
    <row r="1401">
      <c r="A1401" s="7">
        <v>42425.63028935185</v>
      </c>
      <c r="B1401" s="8" t="str">
        <f>HYPERLINK("https://twitter.com/cool_python","@cool_python")</f>
        <v>@cool_python</v>
      </c>
      <c r="C1401" s="10" t="s">
        <v>249</v>
      </c>
      <c r="D1401" s="10" t="s">
        <v>3222</v>
      </c>
      <c r="E1401" s="11" t="str">
        <f>HYPERLINK("https://twitter.com/cool_python/status/702993382042427392","702993382042427392")</f>
        <v>702993382042427392</v>
      </c>
      <c r="F1401" s="12" t="s">
        <v>251</v>
      </c>
      <c r="G1401" s="13">
        <v>235.0</v>
      </c>
      <c r="H1401" s="13">
        <v>91.0</v>
      </c>
      <c r="I1401" s="13">
        <v>1.0</v>
      </c>
      <c r="J1401" s="13">
        <v>0.0</v>
      </c>
      <c r="K1401" s="12" t="s">
        <v>21</v>
      </c>
      <c r="L1401" s="7">
        <v>42064.325</v>
      </c>
      <c r="M1401" s="14" t="s">
        <v>252</v>
      </c>
      <c r="N1401" s="14" t="s">
        <v>253</v>
      </c>
      <c r="O1401" s="11" t="str">
        <f>HYPERLINK("https://pbs.twimg.com/profile_images/572091631055028224/Pkx__FSB_normal.png","View")</f>
        <v>View</v>
      </c>
      <c r="P1401" s="15"/>
    </row>
    <row r="1402">
      <c r="A1402" s="7">
        <v>42425.63193287037</v>
      </c>
      <c r="B1402" s="8" t="str">
        <f>HYPERLINK("https://twitter.com/s0urceCode1esme","@s0urceCode1esme")</f>
        <v>@s0urceCode1esme</v>
      </c>
      <c r="C1402" s="10" t="s">
        <v>3223</v>
      </c>
      <c r="D1402" s="10" t="s">
        <v>3224</v>
      </c>
      <c r="E1402" s="11" t="str">
        <f>HYPERLINK("https://twitter.com/s0urceCode1esme/status/702993976643616768","702993976643616768")</f>
        <v>702993976643616768</v>
      </c>
      <c r="F1402" s="12" t="s">
        <v>152</v>
      </c>
      <c r="G1402" s="13">
        <v>1899.0</v>
      </c>
      <c r="H1402" s="13">
        <v>1734.0</v>
      </c>
      <c r="I1402" s="13">
        <v>9.0</v>
      </c>
      <c r="J1402" s="13">
        <v>9.0</v>
      </c>
      <c r="K1402" s="12" t="s">
        <v>21</v>
      </c>
      <c r="L1402" s="7">
        <v>41660.09936342593</v>
      </c>
      <c r="M1402" s="14" t="s">
        <v>3225</v>
      </c>
      <c r="N1402" s="14" t="s">
        <v>3226</v>
      </c>
      <c r="O1402" s="11" t="str">
        <f>HYPERLINK("https://pbs.twimg.com/profile_images/685174809651642368/zqzShgt7_normal.jpg","View")</f>
        <v>View</v>
      </c>
      <c r="P1402" s="15"/>
    </row>
    <row r="1403">
      <c r="A1403" s="7">
        <v>42425.63223379629</v>
      </c>
      <c r="B1403" s="8" t="str">
        <f>HYPERLINK("https://twitter.com/wcmckeedotcom","@wcmckeedotcom")</f>
        <v>@wcmckeedotcom</v>
      </c>
      <c r="C1403" s="10" t="s">
        <v>476</v>
      </c>
      <c r="D1403" s="10" t="s">
        <v>3227</v>
      </c>
      <c r="E1403" s="11" t="str">
        <f>HYPERLINK("https://twitter.com/wcmckeedotcom/status/702994085125230592","702994085125230592")</f>
        <v>702994085125230592</v>
      </c>
      <c r="F1403" s="12" t="s">
        <v>478</v>
      </c>
      <c r="G1403" s="13">
        <v>1011.0</v>
      </c>
      <c r="H1403" s="13">
        <v>875.0</v>
      </c>
      <c r="I1403" s="13">
        <v>0.0</v>
      </c>
      <c r="J1403" s="13">
        <v>0.0</v>
      </c>
      <c r="K1403" s="12" t="s">
        <v>21</v>
      </c>
      <c r="L1403" s="7">
        <v>41902.048368055555</v>
      </c>
      <c r="M1403" s="14" t="s">
        <v>479</v>
      </c>
      <c r="N1403" s="14" t="s">
        <v>480</v>
      </c>
      <c r="O1403" s="11" t="str">
        <f>HYPERLINK("https://pbs.twimg.com/profile_images/621211385746161664/tGchJstD_normal.jpg","View")</f>
        <v>View</v>
      </c>
      <c r="P1403" s="15"/>
    </row>
    <row r="1404">
      <c r="A1404" s="7">
        <v>42425.63320601852</v>
      </c>
      <c r="B1404" s="8" t="str">
        <f>HYPERLINK("https://twitter.com/IndieGameDevBot","@IndieGameDevBot")</f>
        <v>@IndieGameDevBot</v>
      </c>
      <c r="C1404" s="10" t="s">
        <v>2460</v>
      </c>
      <c r="D1404" s="10" t="s">
        <v>3228</v>
      </c>
      <c r="E1404" s="11" t="str">
        <f>HYPERLINK("https://twitter.com/IndieGameDevBot/status/702994436955967488","702994436955967488")</f>
        <v>702994436955967488</v>
      </c>
      <c r="F1404" s="12" t="s">
        <v>2462</v>
      </c>
      <c r="G1404" s="13">
        <v>20955.0</v>
      </c>
      <c r="H1404" s="13">
        <v>5699.0</v>
      </c>
      <c r="I1404" s="13">
        <v>9.0</v>
      </c>
      <c r="J1404" s="13">
        <v>0.0</v>
      </c>
      <c r="K1404" s="12" t="s">
        <v>21</v>
      </c>
      <c r="L1404" s="7">
        <v>41927.697488425925</v>
      </c>
      <c r="M1404" s="16"/>
      <c r="N1404" s="14" t="s">
        <v>2463</v>
      </c>
      <c r="O1404" s="11" t="str">
        <f>HYPERLINK("https://pbs.twimg.com/profile_images/522536769502195712/cG1yitHo_normal.jpeg","View")</f>
        <v>View</v>
      </c>
      <c r="P1404" s="15"/>
    </row>
    <row r="1405">
      <c r="A1405" s="7">
        <v>42425.633611111116</v>
      </c>
      <c r="B1405" s="8" t="str">
        <f>HYPERLINK("https://twitter.com/PythonDaily","@PythonDaily")</f>
        <v>@PythonDaily</v>
      </c>
      <c r="C1405" s="10" t="s">
        <v>521</v>
      </c>
      <c r="D1405" s="10" t="s">
        <v>3229</v>
      </c>
      <c r="E1405" s="11" t="str">
        <f>HYPERLINK("https://twitter.com/PythonDaily/status/702994585304207360","702994585304207360")</f>
        <v>702994585304207360</v>
      </c>
      <c r="F1405" s="12" t="s">
        <v>521</v>
      </c>
      <c r="G1405" s="13">
        <v>3329.0</v>
      </c>
      <c r="H1405" s="13">
        <v>57.0</v>
      </c>
      <c r="I1405" s="13">
        <v>5.0</v>
      </c>
      <c r="J1405" s="13">
        <v>7.0</v>
      </c>
      <c r="K1405" s="12" t="s">
        <v>21</v>
      </c>
      <c r="L1405" s="7">
        <v>41447.56123842593</v>
      </c>
      <c r="M1405" s="16"/>
      <c r="N1405" s="14" t="s">
        <v>523</v>
      </c>
      <c r="O1405" s="11" t="str">
        <f>HYPERLINK("https://pbs.twimg.com/profile_images/378800000030851202/b6bb871a13825bae9004a9aab3a1d726_normal.jpeg","View")</f>
        <v>View</v>
      </c>
      <c r="P1405" s="15"/>
    </row>
    <row r="1406">
      <c r="A1406" s="7">
        <v>42425.63543981481</v>
      </c>
      <c r="B1406" s="8" t="str">
        <f>HYPERLINK("https://twitter.com/helloworldshow","@helloworldshow")</f>
        <v>@helloworldshow</v>
      </c>
      <c r="C1406" s="10" t="s">
        <v>1857</v>
      </c>
      <c r="D1406" s="10" t="s">
        <v>3230</v>
      </c>
      <c r="E1406" s="11" t="str">
        <f>HYPERLINK("https://twitter.com/helloworldshow/status/702995246888701957","702995246888701957")</f>
        <v>702995246888701957</v>
      </c>
      <c r="F1406" s="12" t="s">
        <v>1859</v>
      </c>
      <c r="G1406" s="13">
        <v>1089.0</v>
      </c>
      <c r="H1406" s="13">
        <v>734.0</v>
      </c>
      <c r="I1406" s="13">
        <v>0.0</v>
      </c>
      <c r="J1406" s="13">
        <v>0.0</v>
      </c>
      <c r="K1406" s="12" t="s">
        <v>21</v>
      </c>
      <c r="L1406" s="7">
        <v>41279.56596064815</v>
      </c>
      <c r="M1406" s="14" t="s">
        <v>1860</v>
      </c>
      <c r="N1406" s="14" t="s">
        <v>1861</v>
      </c>
      <c r="O1406" s="11" t="str">
        <f>HYPERLINK("https://pbs.twimg.com/profile_images/610153128227414016/yIRf6Nvm_normal.png","View")</f>
        <v>View</v>
      </c>
      <c r="P1406" s="15"/>
    </row>
    <row r="1407">
      <c r="A1407" s="7">
        <v>42425.63674768519</v>
      </c>
      <c r="B1407" s="8" t="str">
        <f>HYPERLINK("https://twitter.com/sm_mohr","@sm_mohr")</f>
        <v>@sm_mohr</v>
      </c>
      <c r="C1407" s="10" t="s">
        <v>3231</v>
      </c>
      <c r="D1407" s="10" t="s">
        <v>3232</v>
      </c>
      <c r="E1407" s="11" t="str">
        <f>HYPERLINK("https://twitter.com/sm_mohr/status/702995721876803584","702995721876803584")</f>
        <v>702995721876803584</v>
      </c>
      <c r="F1407" s="12" t="s">
        <v>152</v>
      </c>
      <c r="G1407" s="13">
        <v>342.0</v>
      </c>
      <c r="H1407" s="13">
        <v>1016.0</v>
      </c>
      <c r="I1407" s="13">
        <v>5.0</v>
      </c>
      <c r="J1407" s="13">
        <v>0.0</v>
      </c>
      <c r="K1407" s="12" t="s">
        <v>21</v>
      </c>
      <c r="L1407" s="7">
        <v>40460.26390046296</v>
      </c>
      <c r="M1407" s="14" t="s">
        <v>3233</v>
      </c>
      <c r="N1407" s="14" t="s">
        <v>3234</v>
      </c>
      <c r="O1407" s="11" t="str">
        <f>HYPERLINK("https://pbs.twimg.com/profile_images/696690105856233472/Lm4Xi9uM_normal.jpg","View")</f>
        <v>View</v>
      </c>
      <c r="P1407" s="15"/>
    </row>
    <row r="1408">
      <c r="A1408" s="7">
        <v>42425.6372337963</v>
      </c>
      <c r="B1408" s="8" t="str">
        <f t="shared" ref="B1408:B1417" si="137">HYPERLINK("https://twitter.com/artwisanggeni","@artwisanggeni")</f>
        <v>@artwisanggeni</v>
      </c>
      <c r="C1408" s="10" t="s">
        <v>74</v>
      </c>
      <c r="D1408" s="10" t="s">
        <v>3235</v>
      </c>
      <c r="E1408" s="11" t="str">
        <f>HYPERLINK("https://twitter.com/artwisanggeni/status/702995894887587843","702995894887587843")</f>
        <v>702995894887587843</v>
      </c>
      <c r="F1408" s="17" t="s">
        <v>76</v>
      </c>
      <c r="G1408" s="13">
        <v>236.0</v>
      </c>
      <c r="H1408" s="13">
        <v>61.0</v>
      </c>
      <c r="I1408" s="13">
        <v>0.0</v>
      </c>
      <c r="J1408" s="13">
        <v>0.0</v>
      </c>
      <c r="K1408" s="12" t="s">
        <v>21</v>
      </c>
      <c r="L1408" s="7">
        <v>41218.90608796296</v>
      </c>
      <c r="M1408" s="14" t="s">
        <v>77</v>
      </c>
      <c r="N1408" s="14" t="s">
        <v>78</v>
      </c>
      <c r="O1408" s="11" t="str">
        <f t="shared" ref="O1408:O1417" si="138">HYPERLINK("https://pbs.twimg.com/profile_images/2813636657/599521f69e2bc210a57323b64d8e39e6_normal.jpeg","View")</f>
        <v>View</v>
      </c>
      <c r="P1408" s="15"/>
    </row>
    <row r="1409">
      <c r="A1409" s="7">
        <v>42425.637245370366</v>
      </c>
      <c r="B1409" s="8" t="str">
        <f t="shared" si="137"/>
        <v>@artwisanggeni</v>
      </c>
      <c r="C1409" s="10" t="s">
        <v>74</v>
      </c>
      <c r="D1409" s="10" t="s">
        <v>3236</v>
      </c>
      <c r="E1409" s="11" t="str">
        <f>HYPERLINK("https://twitter.com/artwisanggeni/status/702995899111223296","702995899111223296")</f>
        <v>702995899111223296</v>
      </c>
      <c r="F1409" s="17" t="s">
        <v>76</v>
      </c>
      <c r="G1409" s="13">
        <v>236.0</v>
      </c>
      <c r="H1409" s="13">
        <v>61.0</v>
      </c>
      <c r="I1409" s="13">
        <v>0.0</v>
      </c>
      <c r="J1409" s="13">
        <v>0.0</v>
      </c>
      <c r="K1409" s="12" t="s">
        <v>21</v>
      </c>
      <c r="L1409" s="7">
        <v>41218.90608796296</v>
      </c>
      <c r="M1409" s="14" t="s">
        <v>77</v>
      </c>
      <c r="N1409" s="14" t="s">
        <v>78</v>
      </c>
      <c r="O1409" s="11" t="str">
        <f t="shared" si="138"/>
        <v>View</v>
      </c>
      <c r="P1409" s="15"/>
    </row>
    <row r="1410">
      <c r="A1410" s="7">
        <v>42425.63725694444</v>
      </c>
      <c r="B1410" s="8" t="str">
        <f t="shared" si="137"/>
        <v>@artwisanggeni</v>
      </c>
      <c r="C1410" s="10" t="s">
        <v>74</v>
      </c>
      <c r="D1410" s="10" t="s">
        <v>3237</v>
      </c>
      <c r="E1410" s="11" t="str">
        <f>HYPERLINK("https://twitter.com/artwisanggeni/status/702995903720730625","702995903720730625")</f>
        <v>702995903720730625</v>
      </c>
      <c r="F1410" s="17" t="s">
        <v>76</v>
      </c>
      <c r="G1410" s="13">
        <v>236.0</v>
      </c>
      <c r="H1410" s="13">
        <v>61.0</v>
      </c>
      <c r="I1410" s="13">
        <v>0.0</v>
      </c>
      <c r="J1410" s="13">
        <v>0.0</v>
      </c>
      <c r="K1410" s="12" t="s">
        <v>21</v>
      </c>
      <c r="L1410" s="7">
        <v>41218.90608796296</v>
      </c>
      <c r="M1410" s="14" t="s">
        <v>77</v>
      </c>
      <c r="N1410" s="14" t="s">
        <v>78</v>
      </c>
      <c r="O1410" s="11" t="str">
        <f t="shared" si="138"/>
        <v>View</v>
      </c>
      <c r="P1410" s="15"/>
    </row>
    <row r="1411">
      <c r="A1411" s="7">
        <v>42425.63726851852</v>
      </c>
      <c r="B1411" s="8" t="str">
        <f t="shared" si="137"/>
        <v>@artwisanggeni</v>
      </c>
      <c r="C1411" s="10" t="s">
        <v>74</v>
      </c>
      <c r="D1411" s="10" t="s">
        <v>3238</v>
      </c>
      <c r="E1411" s="11" t="str">
        <f>HYPERLINK("https://twitter.com/artwisanggeni/status/702995907952775168","702995907952775168")</f>
        <v>702995907952775168</v>
      </c>
      <c r="F1411" s="17" t="s">
        <v>76</v>
      </c>
      <c r="G1411" s="13">
        <v>236.0</v>
      </c>
      <c r="H1411" s="13">
        <v>61.0</v>
      </c>
      <c r="I1411" s="13">
        <v>0.0</v>
      </c>
      <c r="J1411" s="13">
        <v>0.0</v>
      </c>
      <c r="K1411" s="12" t="s">
        <v>21</v>
      </c>
      <c r="L1411" s="7">
        <v>41218.90608796296</v>
      </c>
      <c r="M1411" s="14" t="s">
        <v>77</v>
      </c>
      <c r="N1411" s="14" t="s">
        <v>78</v>
      </c>
      <c r="O1411" s="11" t="str">
        <f t="shared" si="138"/>
        <v>View</v>
      </c>
      <c r="P1411" s="15"/>
    </row>
    <row r="1412">
      <c r="A1412" s="7">
        <v>42425.63726851852</v>
      </c>
      <c r="B1412" s="8" t="str">
        <f t="shared" si="137"/>
        <v>@artwisanggeni</v>
      </c>
      <c r="C1412" s="10" t="s">
        <v>74</v>
      </c>
      <c r="D1412" s="10" t="s">
        <v>3239</v>
      </c>
      <c r="E1412" s="11" t="str">
        <f>HYPERLINK("https://twitter.com/artwisanggeni/status/702995911396433921","702995911396433921")</f>
        <v>702995911396433921</v>
      </c>
      <c r="F1412" s="17" t="s">
        <v>76</v>
      </c>
      <c r="G1412" s="13">
        <v>236.0</v>
      </c>
      <c r="H1412" s="13">
        <v>61.0</v>
      </c>
      <c r="I1412" s="13">
        <v>0.0</v>
      </c>
      <c r="J1412" s="13">
        <v>0.0</v>
      </c>
      <c r="K1412" s="12" t="s">
        <v>21</v>
      </c>
      <c r="L1412" s="7">
        <v>41218.90608796296</v>
      </c>
      <c r="M1412" s="14" t="s">
        <v>77</v>
      </c>
      <c r="N1412" s="14" t="s">
        <v>78</v>
      </c>
      <c r="O1412" s="11" t="str">
        <f t="shared" si="138"/>
        <v>View</v>
      </c>
      <c r="P1412" s="15"/>
    </row>
    <row r="1413">
      <c r="A1413" s="7">
        <v>42425.63728009259</v>
      </c>
      <c r="B1413" s="8" t="str">
        <f t="shared" si="137"/>
        <v>@artwisanggeni</v>
      </c>
      <c r="C1413" s="10" t="s">
        <v>74</v>
      </c>
      <c r="D1413" s="10" t="s">
        <v>3240</v>
      </c>
      <c r="E1413" s="11" t="str">
        <f>HYPERLINK("https://twitter.com/artwisanggeni/status/702995914898669568","702995914898669568")</f>
        <v>702995914898669568</v>
      </c>
      <c r="F1413" s="17" t="s">
        <v>76</v>
      </c>
      <c r="G1413" s="13">
        <v>236.0</v>
      </c>
      <c r="H1413" s="13">
        <v>61.0</v>
      </c>
      <c r="I1413" s="13">
        <v>0.0</v>
      </c>
      <c r="J1413" s="13">
        <v>0.0</v>
      </c>
      <c r="K1413" s="12" t="s">
        <v>21</v>
      </c>
      <c r="L1413" s="7">
        <v>41218.90608796296</v>
      </c>
      <c r="M1413" s="14" t="s">
        <v>77</v>
      </c>
      <c r="N1413" s="14" t="s">
        <v>78</v>
      </c>
      <c r="O1413" s="11" t="str">
        <f t="shared" si="138"/>
        <v>View</v>
      </c>
      <c r="P1413" s="15"/>
    </row>
    <row r="1414">
      <c r="A1414" s="7">
        <v>42425.637291666666</v>
      </c>
      <c r="B1414" s="8" t="str">
        <f t="shared" si="137"/>
        <v>@artwisanggeni</v>
      </c>
      <c r="C1414" s="10" t="s">
        <v>74</v>
      </c>
      <c r="D1414" s="10" t="s">
        <v>3241</v>
      </c>
      <c r="E1414" s="11" t="str">
        <f>HYPERLINK("https://twitter.com/artwisanggeni/status/702995918438551552","702995918438551552")</f>
        <v>702995918438551552</v>
      </c>
      <c r="F1414" s="17" t="s">
        <v>76</v>
      </c>
      <c r="G1414" s="13">
        <v>236.0</v>
      </c>
      <c r="H1414" s="13">
        <v>61.0</v>
      </c>
      <c r="I1414" s="13">
        <v>0.0</v>
      </c>
      <c r="J1414" s="13">
        <v>0.0</v>
      </c>
      <c r="K1414" s="12" t="s">
        <v>21</v>
      </c>
      <c r="L1414" s="7">
        <v>41218.90608796296</v>
      </c>
      <c r="M1414" s="14" t="s">
        <v>77</v>
      </c>
      <c r="N1414" s="14" t="s">
        <v>78</v>
      </c>
      <c r="O1414" s="11" t="str">
        <f t="shared" si="138"/>
        <v>View</v>
      </c>
      <c r="P1414" s="15"/>
    </row>
    <row r="1415">
      <c r="A1415" s="7">
        <v>42425.63730324074</v>
      </c>
      <c r="B1415" s="8" t="str">
        <f t="shared" si="137"/>
        <v>@artwisanggeni</v>
      </c>
      <c r="C1415" s="10" t="s">
        <v>74</v>
      </c>
      <c r="D1415" s="10" t="s">
        <v>3242</v>
      </c>
      <c r="E1415" s="11" t="str">
        <f>HYPERLINK("https://twitter.com/artwisanggeni/status/702995921554919424","702995921554919424")</f>
        <v>702995921554919424</v>
      </c>
      <c r="F1415" s="17" t="s">
        <v>76</v>
      </c>
      <c r="G1415" s="13">
        <v>236.0</v>
      </c>
      <c r="H1415" s="13">
        <v>61.0</v>
      </c>
      <c r="I1415" s="13">
        <v>0.0</v>
      </c>
      <c r="J1415" s="13">
        <v>0.0</v>
      </c>
      <c r="K1415" s="12" t="s">
        <v>21</v>
      </c>
      <c r="L1415" s="7">
        <v>41218.90608796296</v>
      </c>
      <c r="M1415" s="14" t="s">
        <v>77</v>
      </c>
      <c r="N1415" s="14" t="s">
        <v>78</v>
      </c>
      <c r="O1415" s="11" t="str">
        <f t="shared" si="138"/>
        <v>View</v>
      </c>
      <c r="P1415" s="15"/>
    </row>
    <row r="1416">
      <c r="A1416" s="7">
        <v>42425.63731481481</v>
      </c>
      <c r="B1416" s="8" t="str">
        <f t="shared" si="137"/>
        <v>@artwisanggeni</v>
      </c>
      <c r="C1416" s="10" t="s">
        <v>74</v>
      </c>
      <c r="D1416" s="10" t="s">
        <v>3243</v>
      </c>
      <c r="E1416" s="11" t="str">
        <f>HYPERLINK("https://twitter.com/artwisanggeni/status/702995924486721537","702995924486721537")</f>
        <v>702995924486721537</v>
      </c>
      <c r="F1416" s="17" t="s">
        <v>76</v>
      </c>
      <c r="G1416" s="13">
        <v>236.0</v>
      </c>
      <c r="H1416" s="13">
        <v>61.0</v>
      </c>
      <c r="I1416" s="13">
        <v>0.0</v>
      </c>
      <c r="J1416" s="13">
        <v>0.0</v>
      </c>
      <c r="K1416" s="12" t="s">
        <v>21</v>
      </c>
      <c r="L1416" s="7">
        <v>41218.90608796296</v>
      </c>
      <c r="M1416" s="14" t="s">
        <v>77</v>
      </c>
      <c r="N1416" s="14" t="s">
        <v>78</v>
      </c>
      <c r="O1416" s="11" t="str">
        <f t="shared" si="138"/>
        <v>View</v>
      </c>
      <c r="P1416" s="15"/>
    </row>
    <row r="1417">
      <c r="A1417" s="7">
        <v>42425.63731481481</v>
      </c>
      <c r="B1417" s="8" t="str">
        <f t="shared" si="137"/>
        <v>@artwisanggeni</v>
      </c>
      <c r="C1417" s="10" t="s">
        <v>74</v>
      </c>
      <c r="D1417" s="10" t="s">
        <v>3244</v>
      </c>
      <c r="E1417" s="11" t="str">
        <f>HYPERLINK("https://twitter.com/artwisanggeni/status/702995927598903296","702995927598903296")</f>
        <v>702995927598903296</v>
      </c>
      <c r="F1417" s="17" t="s">
        <v>76</v>
      </c>
      <c r="G1417" s="13">
        <v>236.0</v>
      </c>
      <c r="H1417" s="13">
        <v>61.0</v>
      </c>
      <c r="I1417" s="13">
        <v>0.0</v>
      </c>
      <c r="J1417" s="13">
        <v>0.0</v>
      </c>
      <c r="K1417" s="12" t="s">
        <v>21</v>
      </c>
      <c r="L1417" s="7">
        <v>41218.90608796296</v>
      </c>
      <c r="M1417" s="14" t="s">
        <v>77</v>
      </c>
      <c r="N1417" s="14" t="s">
        <v>78</v>
      </c>
      <c r="O1417" s="11" t="str">
        <f t="shared" si="138"/>
        <v>View</v>
      </c>
      <c r="P1417" s="15"/>
    </row>
    <row r="1418">
      <c r="A1418" s="7">
        <v>42425.637812500005</v>
      </c>
      <c r="B1418" s="8" t="str">
        <f>HYPERLINK("https://twitter.com/Tales_Balela","@Tales_Balela")</f>
        <v>@Tales_Balela</v>
      </c>
      <c r="C1418" s="10" t="s">
        <v>3245</v>
      </c>
      <c r="D1418" s="10" t="s">
        <v>3246</v>
      </c>
      <c r="E1418" s="11" t="str">
        <f>HYPERLINK("https://twitter.com/Tales_Balela/status/702996108415541249","702996108415541249")</f>
        <v>702996108415541249</v>
      </c>
      <c r="F1418" s="12" t="s">
        <v>20</v>
      </c>
      <c r="G1418" s="13">
        <v>29.0</v>
      </c>
      <c r="H1418" s="13">
        <v>53.0</v>
      </c>
      <c r="I1418" s="13">
        <v>0.0</v>
      </c>
      <c r="J1418" s="13">
        <v>0.0</v>
      </c>
      <c r="K1418" s="12" t="s">
        <v>21</v>
      </c>
      <c r="L1418" s="7">
        <v>40815.45392361111</v>
      </c>
      <c r="M1418" s="14" t="s">
        <v>3247</v>
      </c>
      <c r="N1418" s="14" t="s">
        <v>3248</v>
      </c>
      <c r="O1418" s="11" t="str">
        <f>HYPERLINK("https://pbs.twimg.com/profile_images/569322799047917568/kO0XS1hy_normal.jpeg","View")</f>
        <v>View</v>
      </c>
      <c r="P1418" s="15"/>
    </row>
    <row r="1419">
      <c r="A1419" s="7">
        <v>42425.63802083333</v>
      </c>
      <c r="B1419" s="8" t="str">
        <f t="shared" ref="B1419:B1420" si="139">HYPERLINK("https://twitter.com/LillianEdmiston","@LillianEdmiston")</f>
        <v>@LillianEdmiston</v>
      </c>
      <c r="C1419" s="10" t="s">
        <v>170</v>
      </c>
      <c r="D1419" s="10" t="s">
        <v>3249</v>
      </c>
      <c r="E1419" s="11" t="str">
        <f>HYPERLINK("https://twitter.com/LillianEdmiston/status/702996182222643203","702996182222643203")</f>
        <v>702996182222643203</v>
      </c>
      <c r="F1419" s="12" t="s">
        <v>103</v>
      </c>
      <c r="G1419" s="13">
        <v>1050.0</v>
      </c>
      <c r="H1419" s="13">
        <v>40.0</v>
      </c>
      <c r="I1419" s="13">
        <v>0.0</v>
      </c>
      <c r="J1419" s="13">
        <v>0.0</v>
      </c>
      <c r="K1419" s="12" t="s">
        <v>21</v>
      </c>
      <c r="L1419" s="7">
        <v>42293.27416666667</v>
      </c>
      <c r="M1419" s="14" t="s">
        <v>172</v>
      </c>
      <c r="N1419" s="14" t="s">
        <v>173</v>
      </c>
      <c r="O1419" s="11" t="str">
        <f t="shared" ref="O1419:O1420" si="140">HYPERLINK("https://pbs.twimg.com/profile_images/655014978101993476/ZpsnJW8B_normal.jpg","View")</f>
        <v>View</v>
      </c>
      <c r="P1419" s="15"/>
    </row>
    <row r="1420">
      <c r="A1420" s="7">
        <v>42425.63803240741</v>
      </c>
      <c r="B1420" s="8" t="str">
        <f t="shared" si="139"/>
        <v>@LillianEdmiston</v>
      </c>
      <c r="C1420" s="10" t="s">
        <v>170</v>
      </c>
      <c r="D1420" s="10" t="s">
        <v>3250</v>
      </c>
      <c r="E1420" s="11" t="str">
        <f>HYPERLINK("https://twitter.com/LillianEdmiston/status/702996185037074433","702996185037074433")</f>
        <v>702996185037074433</v>
      </c>
      <c r="F1420" s="12" t="s">
        <v>103</v>
      </c>
      <c r="G1420" s="13">
        <v>1050.0</v>
      </c>
      <c r="H1420" s="13">
        <v>40.0</v>
      </c>
      <c r="I1420" s="13">
        <v>1.0</v>
      </c>
      <c r="J1420" s="13">
        <v>0.0</v>
      </c>
      <c r="K1420" s="12" t="s">
        <v>21</v>
      </c>
      <c r="L1420" s="7">
        <v>42293.27416666667</v>
      </c>
      <c r="M1420" s="14" t="s">
        <v>172</v>
      </c>
      <c r="N1420" s="14" t="s">
        <v>173</v>
      </c>
      <c r="O1420" s="11" t="str">
        <f t="shared" si="140"/>
        <v>View</v>
      </c>
      <c r="P1420" s="15"/>
    </row>
    <row r="1421">
      <c r="A1421" s="7">
        <v>42425.63837962963</v>
      </c>
      <c r="B1421" s="8" t="str">
        <f>HYPERLINK("https://twitter.com/javascriptSaBOT","@javascriptSaBOT")</f>
        <v>@javascriptSaBOT</v>
      </c>
      <c r="C1421" s="10" t="s">
        <v>147</v>
      </c>
      <c r="D1421" s="10" t="s">
        <v>3251</v>
      </c>
      <c r="E1421" s="11" t="str">
        <f>HYPERLINK("https://twitter.com/javascriptSaBOT/status/702996312401121281","702996312401121281")</f>
        <v>702996312401121281</v>
      </c>
      <c r="F1421" s="12" t="s">
        <v>148</v>
      </c>
      <c r="G1421" s="13">
        <v>168.0</v>
      </c>
      <c r="H1421" s="13">
        <v>194.0</v>
      </c>
      <c r="I1421" s="13">
        <v>1.0</v>
      </c>
      <c r="J1421" s="13">
        <v>0.0</v>
      </c>
      <c r="K1421" s="12" t="s">
        <v>21</v>
      </c>
      <c r="L1421" s="7">
        <v>42416.8263425926</v>
      </c>
      <c r="M1421" s="16"/>
      <c r="N1421" s="14" t="s">
        <v>149</v>
      </c>
      <c r="O1421" s="11" t="str">
        <f>HYPERLINK("https://pbs.twimg.com/profile_images/699810062752059393/NQQfSM9g_normal.jpg","View")</f>
        <v>View</v>
      </c>
      <c r="P1421" s="15"/>
    </row>
    <row r="1422">
      <c r="A1422" s="7">
        <v>42425.638761574075</v>
      </c>
      <c r="B1422" s="8" t="str">
        <f>HYPERLINK("https://twitter.com/_jobonline","@_jobonline")</f>
        <v>@_jobonline</v>
      </c>
      <c r="C1422" s="10" t="s">
        <v>3252</v>
      </c>
      <c r="D1422" s="10" t="s">
        <v>3253</v>
      </c>
      <c r="E1422" s="11" t="str">
        <f>HYPERLINK("https://twitter.com/_jobonline/status/702996449336885249","702996449336885249")</f>
        <v>702996449336885249</v>
      </c>
      <c r="F1422" s="12" t="s">
        <v>431</v>
      </c>
      <c r="G1422" s="13">
        <v>3240.0</v>
      </c>
      <c r="H1422" s="13">
        <v>235.0</v>
      </c>
      <c r="I1422" s="13">
        <v>0.0</v>
      </c>
      <c r="J1422" s="13">
        <v>0.0</v>
      </c>
      <c r="K1422" s="12" t="s">
        <v>21</v>
      </c>
      <c r="L1422" s="7">
        <v>40702.98200231481</v>
      </c>
      <c r="M1422" s="14" t="s">
        <v>432</v>
      </c>
      <c r="N1422" s="14" t="s">
        <v>3254</v>
      </c>
      <c r="O1422" s="11" t="str">
        <f>HYPERLINK("https://pbs.twimg.com/profile_images/1388526758/_jobonline_normal.jpg","View")</f>
        <v>View</v>
      </c>
      <c r="P1422" s="15"/>
    </row>
    <row r="1423">
      <c r="A1423" s="7">
        <v>42425.63902777778</v>
      </c>
      <c r="B1423" s="8" t="str">
        <f>HYPERLINK("https://twitter.com/brobeur","@brobeur")</f>
        <v>@brobeur</v>
      </c>
      <c r="C1423" s="9" t="s">
        <v>319</v>
      </c>
      <c r="D1423" s="10" t="s">
        <v>3255</v>
      </c>
      <c r="E1423" s="11" t="str">
        <f>HYPERLINK("https://twitter.com/brobeur/status/702996547533983744","702996547533983744")</f>
        <v>702996547533983744</v>
      </c>
      <c r="F1423" s="12" t="s">
        <v>321</v>
      </c>
      <c r="G1423" s="13">
        <v>1097.0</v>
      </c>
      <c r="H1423" s="13">
        <v>1945.0</v>
      </c>
      <c r="I1423" s="13">
        <v>1.0</v>
      </c>
      <c r="J1423" s="13">
        <v>0.0</v>
      </c>
      <c r="K1423" s="12" t="s">
        <v>21</v>
      </c>
      <c r="L1423" s="7">
        <v>41362.78061342593</v>
      </c>
      <c r="M1423" s="14" t="s">
        <v>322</v>
      </c>
      <c r="N1423" s="14" t="s">
        <v>323</v>
      </c>
      <c r="O1423" s="11" t="str">
        <f>HYPERLINK("https://pbs.twimg.com/profile_images/487211737284739072/HBzP949-_normal.png","View")</f>
        <v>View</v>
      </c>
      <c r="P1423" s="15"/>
    </row>
    <row r="1424">
      <c r="A1424" s="7">
        <v>42425.63935185185</v>
      </c>
      <c r="B1424" s="8" t="str">
        <f>HYPERLINK("https://twitter.com/Datablabla","@Datablabla")</f>
        <v>@Datablabla</v>
      </c>
      <c r="C1424" s="10" t="s">
        <v>3256</v>
      </c>
      <c r="D1424" s="10" t="s">
        <v>3257</v>
      </c>
      <c r="E1424" s="11" t="str">
        <f>HYPERLINK("https://twitter.com/Datablabla/status/702996663049310208","702996663049310208")</f>
        <v>702996663049310208</v>
      </c>
      <c r="F1424" s="12" t="s">
        <v>20</v>
      </c>
      <c r="G1424" s="13">
        <v>138.0</v>
      </c>
      <c r="H1424" s="13">
        <v>232.0</v>
      </c>
      <c r="I1424" s="13">
        <v>7.0</v>
      </c>
      <c r="J1424" s="13">
        <v>0.0</v>
      </c>
      <c r="K1424" s="12" t="s">
        <v>21</v>
      </c>
      <c r="L1424" s="7">
        <v>42136.520277777774</v>
      </c>
      <c r="M1424" s="14" t="s">
        <v>3258</v>
      </c>
      <c r="N1424" s="14" t="s">
        <v>3259</v>
      </c>
      <c r="O1424" s="11" t="str">
        <f>HYPERLINK("https://pbs.twimg.com/profile_images/602274133083365376/dc0LC6zM_normal.png","View")</f>
        <v>View</v>
      </c>
      <c r="P1424" s="15"/>
    </row>
    <row r="1425">
      <c r="A1425" s="7">
        <v>42425.639652777776</v>
      </c>
      <c r="B1425" s="8" t="str">
        <f>HYPERLINK("https://twitter.com/PyData","@PyData")</f>
        <v>@PyData</v>
      </c>
      <c r="C1425" s="10" t="s">
        <v>3260</v>
      </c>
      <c r="D1425" s="10" t="s">
        <v>1782</v>
      </c>
      <c r="E1425" s="11" t="str">
        <f>HYPERLINK("https://twitter.com/PyData/status/702996774621835265","702996774621835265")</f>
        <v>702996774621835265</v>
      </c>
      <c r="F1425" s="12" t="s">
        <v>20</v>
      </c>
      <c r="G1425" s="13">
        <v>8469.0</v>
      </c>
      <c r="H1425" s="13">
        <v>283.0</v>
      </c>
      <c r="I1425" s="13">
        <v>8.0</v>
      </c>
      <c r="J1425" s="13">
        <v>0.0</v>
      </c>
      <c r="K1425" s="12" t="s">
        <v>21</v>
      </c>
      <c r="L1425" s="7">
        <v>41131.8497337963</v>
      </c>
      <c r="M1425" s="14" t="s">
        <v>2022</v>
      </c>
      <c r="N1425" s="14" t="s">
        <v>3261</v>
      </c>
      <c r="O1425" s="11" t="str">
        <f>HYPERLINK("https://pbs.twimg.com/profile_images/2928517227/19a21be5aacc105fda1a34cfc7696888_normal.png","View")</f>
        <v>View</v>
      </c>
      <c r="P1425" s="15"/>
    </row>
    <row r="1426">
      <c r="A1426" s="7">
        <v>42425.640497685185</v>
      </c>
      <c r="B1426" s="8" t="str">
        <f>HYPERLINK("https://twitter.com/RealPython","@RealPython")</f>
        <v>@RealPython</v>
      </c>
      <c r="C1426" s="9" t="s">
        <v>1021</v>
      </c>
      <c r="D1426" s="10" t="s">
        <v>2287</v>
      </c>
      <c r="E1426" s="11" t="str">
        <f>HYPERLINK("https://twitter.com/RealPython/status/702997077765140480","702997077765140480")</f>
        <v>702997077765140480</v>
      </c>
      <c r="F1426" s="12" t="s">
        <v>20</v>
      </c>
      <c r="G1426" s="13">
        <v>5088.0</v>
      </c>
      <c r="H1426" s="13">
        <v>39.0</v>
      </c>
      <c r="I1426" s="13">
        <v>16.0</v>
      </c>
      <c r="J1426" s="13">
        <v>0.0</v>
      </c>
      <c r="K1426" s="12" t="s">
        <v>21</v>
      </c>
      <c r="L1426" s="7">
        <v>41129.57270833333</v>
      </c>
      <c r="M1426" s="16"/>
      <c r="N1426" s="14" t="s">
        <v>1022</v>
      </c>
      <c r="O1426" s="11" t="str">
        <f>HYPERLINK("https://pbs.twimg.com/profile_images/3312468366/129323224633d71286101d517a2f9817_normal.png","View")</f>
        <v>View</v>
      </c>
      <c r="P1426" s="15"/>
    </row>
    <row r="1427">
      <c r="A1427" s="7">
        <v>42425.64052083333</v>
      </c>
      <c r="B1427" s="8" t="str">
        <f>HYPERLINK("https://twitter.com/figure8labs","@figure8labs")</f>
        <v>@figure8labs</v>
      </c>
      <c r="C1427" s="10" t="s">
        <v>3262</v>
      </c>
      <c r="D1427" s="10" t="s">
        <v>3263</v>
      </c>
      <c r="E1427" s="11" t="str">
        <f>HYPERLINK("https://twitter.com/figure8labs/status/702997088255217664","702997088255217664")</f>
        <v>702997088255217664</v>
      </c>
      <c r="F1427" s="12" t="s">
        <v>294</v>
      </c>
      <c r="G1427" s="13">
        <v>8734.0</v>
      </c>
      <c r="H1427" s="13">
        <v>6863.0</v>
      </c>
      <c r="I1427" s="13">
        <v>0.0</v>
      </c>
      <c r="J1427" s="13">
        <v>1.0</v>
      </c>
      <c r="K1427" s="12" t="s">
        <v>21</v>
      </c>
      <c r="L1427" s="7">
        <v>39429.68362268519</v>
      </c>
      <c r="M1427" s="14" t="s">
        <v>69</v>
      </c>
      <c r="N1427" s="14" t="s">
        <v>3264</v>
      </c>
      <c r="O1427" s="11" t="str">
        <f>HYPERLINK("https://pbs.twimg.com/profile_images/545619628580278274/UYKvJKA3_normal.jpeg","View")</f>
        <v>View</v>
      </c>
      <c r="P1427" s="15"/>
    </row>
    <row r="1428">
      <c r="A1428" s="7">
        <v>42425.640694444446</v>
      </c>
      <c r="B1428" s="8" t="str">
        <f>HYPERLINK("https://twitter.com/Mythic_Beasts","@Mythic_Beasts")</f>
        <v>@Mythic_Beasts</v>
      </c>
      <c r="C1428" s="10" t="s">
        <v>3265</v>
      </c>
      <c r="D1428" s="10" t="s">
        <v>3266</v>
      </c>
      <c r="E1428" s="11" t="str">
        <f>HYPERLINK("https://twitter.com/Mythic_Beasts/status/702997151010398208","702997151010398208")</f>
        <v>702997151010398208</v>
      </c>
      <c r="F1428" s="12" t="s">
        <v>52</v>
      </c>
      <c r="G1428" s="13">
        <v>662.0</v>
      </c>
      <c r="H1428" s="13">
        <v>154.0</v>
      </c>
      <c r="I1428" s="13">
        <v>0.0</v>
      </c>
      <c r="J1428" s="13">
        <v>3.0</v>
      </c>
      <c r="K1428" s="12" t="s">
        <v>21</v>
      </c>
      <c r="L1428" s="7">
        <v>41576.078148148146</v>
      </c>
      <c r="M1428" s="14" t="s">
        <v>2745</v>
      </c>
      <c r="N1428" s="14" t="s">
        <v>3267</v>
      </c>
      <c r="O1428" s="11" t="str">
        <f>HYPERLINK("https://pbs.twimg.com/profile_images/378800000666997818/7b51b3877621e1570079874a5d327f39_normal.png","View")</f>
        <v>View</v>
      </c>
      <c r="P1428" s="15"/>
    </row>
    <row r="1429">
      <c r="A1429" s="7">
        <v>42425.64255787037</v>
      </c>
      <c r="B1429" s="8" t="str">
        <f>HYPERLINK("https://twitter.com/py3k","@py3k")</f>
        <v>@py3k</v>
      </c>
      <c r="C1429" s="10" t="s">
        <v>297</v>
      </c>
      <c r="D1429" s="10" t="s">
        <v>3268</v>
      </c>
      <c r="E1429" s="11" t="str">
        <f>HYPERLINK("https://twitter.com/py3k/status/702997824313626624","702997824313626624")</f>
        <v>702997824313626624</v>
      </c>
      <c r="F1429" s="12" t="s">
        <v>299</v>
      </c>
      <c r="G1429" s="13">
        <v>1623.0</v>
      </c>
      <c r="H1429" s="13">
        <v>676.0</v>
      </c>
      <c r="I1429" s="13">
        <v>2.0</v>
      </c>
      <c r="J1429" s="13">
        <v>1.0</v>
      </c>
      <c r="K1429" s="12" t="s">
        <v>21</v>
      </c>
      <c r="L1429" s="7">
        <v>41096.62268518518</v>
      </c>
      <c r="M1429" s="16"/>
      <c r="N1429" s="14" t="s">
        <v>300</v>
      </c>
      <c r="O1429" s="11" t="str">
        <f>HYPERLINK("https://pbs.twimg.com/profile_images/2474433856/p075cerxh0arpea6ceip_normal.png","View")</f>
        <v>View</v>
      </c>
      <c r="P1429" s="15"/>
    </row>
    <row r="1430">
      <c r="A1430" s="7">
        <v>42425.64295138889</v>
      </c>
      <c r="B1430" s="8" t="str">
        <f>HYPERLINK("https://twitter.com/cool_python","@cool_python")</f>
        <v>@cool_python</v>
      </c>
      <c r="C1430" s="10" t="s">
        <v>249</v>
      </c>
      <c r="D1430" s="10" t="s">
        <v>3269</v>
      </c>
      <c r="E1430" s="11" t="str">
        <f>HYPERLINK("https://twitter.com/cool_python/status/702997968916488193","702997968916488193")</f>
        <v>702997968916488193</v>
      </c>
      <c r="F1430" s="12" t="s">
        <v>251</v>
      </c>
      <c r="G1430" s="13">
        <v>235.0</v>
      </c>
      <c r="H1430" s="13">
        <v>91.0</v>
      </c>
      <c r="I1430" s="13">
        <v>2.0</v>
      </c>
      <c r="J1430" s="13">
        <v>0.0</v>
      </c>
      <c r="K1430" s="12" t="s">
        <v>21</v>
      </c>
      <c r="L1430" s="7">
        <v>42064.325</v>
      </c>
      <c r="M1430" s="14" t="s">
        <v>252</v>
      </c>
      <c r="N1430" s="14" t="s">
        <v>253</v>
      </c>
      <c r="O1430" s="11" t="str">
        <f>HYPERLINK("https://pbs.twimg.com/profile_images/572091631055028224/Pkx__FSB_normal.png","View")</f>
        <v>View</v>
      </c>
      <c r="P1430" s="15"/>
    </row>
    <row r="1431">
      <c r="A1431" s="7">
        <v>42425.64472222222</v>
      </c>
      <c r="B1431" s="8" t="str">
        <f>HYPERLINK("https://twitter.com/EricSchles","@EricSchles")</f>
        <v>@EricSchles</v>
      </c>
      <c r="C1431" s="10" t="s">
        <v>3270</v>
      </c>
      <c r="D1431" s="10" t="s">
        <v>2287</v>
      </c>
      <c r="E1431" s="11" t="str">
        <f>HYPERLINK("https://twitter.com/EricSchles/status/702998608552050688","702998608552050688")</f>
        <v>702998608552050688</v>
      </c>
      <c r="F1431" s="12" t="s">
        <v>52</v>
      </c>
      <c r="G1431" s="13">
        <v>903.0</v>
      </c>
      <c r="H1431" s="13">
        <v>1990.0</v>
      </c>
      <c r="I1431" s="13">
        <v>16.0</v>
      </c>
      <c r="J1431" s="13">
        <v>0.0</v>
      </c>
      <c r="K1431" s="12" t="s">
        <v>21</v>
      </c>
      <c r="L1431" s="7">
        <v>40547.634930555556</v>
      </c>
      <c r="M1431" s="16"/>
      <c r="N1431" s="14" t="s">
        <v>3271</v>
      </c>
      <c r="O1431" s="11" t="str">
        <f>HYPERLINK("https://pbs.twimg.com/profile_images/378800000832302106/6d27373ca42fc853aaabdf6d7d719f5f_normal.jpeg","View")</f>
        <v>View</v>
      </c>
      <c r="P1431" s="15"/>
    </row>
    <row r="1432">
      <c r="A1432" s="7">
        <v>42425.64565972222</v>
      </c>
      <c r="B1432" s="8" t="str">
        <f>HYPERLINK("https://twitter.com/yutakashino","@yutakashino")</f>
        <v>@yutakashino</v>
      </c>
      <c r="C1432" s="10" t="s">
        <v>3272</v>
      </c>
      <c r="D1432" s="10" t="s">
        <v>2854</v>
      </c>
      <c r="E1432" s="11" t="str">
        <f>HYPERLINK("https://twitter.com/yutakashino/status/702998949037109249","702998949037109249")</f>
        <v>702998949037109249</v>
      </c>
      <c r="F1432" s="12" t="s">
        <v>52</v>
      </c>
      <c r="G1432" s="13">
        <v>2604.0</v>
      </c>
      <c r="H1432" s="13">
        <v>102.0</v>
      </c>
      <c r="I1432" s="13">
        <v>4.0</v>
      </c>
      <c r="J1432" s="13">
        <v>0.0</v>
      </c>
      <c r="K1432" s="12" t="s">
        <v>21</v>
      </c>
      <c r="L1432" s="7">
        <v>39183.22902777778</v>
      </c>
      <c r="M1432" s="14" t="s">
        <v>3273</v>
      </c>
      <c r="N1432" s="14" t="s">
        <v>3274</v>
      </c>
      <c r="O1432" s="11" t="str">
        <f>HYPERLINK("https://pbs.twimg.com/profile_images/616788330676531200/E7J1swBV_normal.jpg","View")</f>
        <v>View</v>
      </c>
      <c r="P1432" s="15"/>
    </row>
    <row r="1433">
      <c r="A1433" s="7">
        <v>42425.64569444444</v>
      </c>
      <c r="B1433" s="8" t="str">
        <f>HYPERLINK("https://twitter.com/EricSchles","@EricSchles")</f>
        <v>@EricSchles</v>
      </c>
      <c r="C1433" s="10" t="s">
        <v>3270</v>
      </c>
      <c r="D1433" s="10" t="s">
        <v>3269</v>
      </c>
      <c r="E1433" s="11" t="str">
        <f>HYPERLINK("https://twitter.com/EricSchles/status/702998964891734016","702998964891734016")</f>
        <v>702998964891734016</v>
      </c>
      <c r="F1433" s="12" t="s">
        <v>52</v>
      </c>
      <c r="G1433" s="13">
        <v>903.0</v>
      </c>
      <c r="H1433" s="13">
        <v>1990.0</v>
      </c>
      <c r="I1433" s="13">
        <v>2.0</v>
      </c>
      <c r="J1433" s="13">
        <v>0.0</v>
      </c>
      <c r="K1433" s="12" t="s">
        <v>21</v>
      </c>
      <c r="L1433" s="7">
        <v>40547.634930555556</v>
      </c>
      <c r="M1433" s="16"/>
      <c r="N1433" s="14" t="s">
        <v>3271</v>
      </c>
      <c r="O1433" s="11" t="str">
        <f>HYPERLINK("https://pbs.twimg.com/profile_images/378800000832302106/6d27373ca42fc853aaabdf6d7d719f5f_normal.jpeg","View")</f>
        <v>View</v>
      </c>
      <c r="P1433" s="15"/>
    </row>
    <row r="1434">
      <c r="A1434" s="7">
        <v>42425.64583333333</v>
      </c>
      <c r="B1434" s="8" t="str">
        <f>HYPERLINK("https://twitter.com/FrameworksM","@FrameworksM")</f>
        <v>@FrameworksM</v>
      </c>
      <c r="C1434" s="10" t="s">
        <v>795</v>
      </c>
      <c r="D1434" s="10" t="s">
        <v>3275</v>
      </c>
      <c r="E1434" s="11" t="str">
        <f>HYPERLINK("https://twitter.com/FrameworksM/status/702999014992699392","702999014992699392")</f>
        <v>702999014992699392</v>
      </c>
      <c r="F1434" s="12" t="s">
        <v>797</v>
      </c>
      <c r="G1434" s="13">
        <v>395.0</v>
      </c>
      <c r="H1434" s="13">
        <v>60.0</v>
      </c>
      <c r="I1434" s="13">
        <v>0.0</v>
      </c>
      <c r="J1434" s="13">
        <v>0.0</v>
      </c>
      <c r="K1434" s="12" t="s">
        <v>21</v>
      </c>
      <c r="L1434" s="7">
        <v>42067.85611111111</v>
      </c>
      <c r="M1434" s="16"/>
      <c r="N1434" s="16"/>
      <c r="O1434" s="11" t="str">
        <f>HYPERLINK("https://pbs.twimg.com/profile_images/581037724787822593/wTfuZ2Sd_normal.png","View")</f>
        <v>View</v>
      </c>
      <c r="P1434" s="15"/>
    </row>
    <row r="1435">
      <c r="A1435" s="7">
        <v>42425.64592592593</v>
      </c>
      <c r="B1435" s="8" t="str">
        <f>HYPERLINK("https://twitter.com/NeuvooTorontoCA","@NeuvooTorontoCA")</f>
        <v>@NeuvooTorontoCA</v>
      </c>
      <c r="C1435" s="10" t="s">
        <v>3276</v>
      </c>
      <c r="D1435" s="10" t="s">
        <v>3277</v>
      </c>
      <c r="E1435" s="11" t="str">
        <f>HYPERLINK("https://twitter.com/NeuvooTorontoCA/status/702999047876034561","702999047876034561")</f>
        <v>702999047876034561</v>
      </c>
      <c r="F1435" s="12" t="s">
        <v>316</v>
      </c>
      <c r="G1435" s="13">
        <v>3505.0</v>
      </c>
      <c r="H1435" s="13">
        <v>685.0</v>
      </c>
      <c r="I1435" s="13">
        <v>0.0</v>
      </c>
      <c r="J1435" s="13">
        <v>1.0</v>
      </c>
      <c r="K1435" s="12" t="s">
        <v>21</v>
      </c>
      <c r="L1435" s="7">
        <v>41956.44936342593</v>
      </c>
      <c r="M1435" s="14" t="s">
        <v>3278</v>
      </c>
      <c r="N1435" s="14" t="s">
        <v>3279</v>
      </c>
      <c r="O1435" s="11" t="str">
        <f>HYPERLINK("https://pbs.twimg.com/profile_images/701818757270863872/X9ROiq9__normal.png","View")</f>
        <v>View</v>
      </c>
      <c r="P1435" s="15"/>
    </row>
    <row r="1436">
      <c r="A1436" s="7">
        <v>42425.64775462963</v>
      </c>
      <c r="B1436" s="8" t="str">
        <f>HYPERLINK("https://twitter.com/GovsInfo","@GovsInfo")</f>
        <v>@GovsInfo</v>
      </c>
      <c r="C1436" s="10" t="s">
        <v>3208</v>
      </c>
      <c r="D1436" s="10" t="s">
        <v>3280</v>
      </c>
      <c r="E1436" s="11" t="str">
        <f>HYPERLINK("https://twitter.com/GovsInfo/status/702999708680261632","702999708680261632")</f>
        <v>702999708680261632</v>
      </c>
      <c r="F1436" s="12" t="s">
        <v>103</v>
      </c>
      <c r="G1436" s="13">
        <v>53989.0</v>
      </c>
      <c r="H1436" s="13">
        <v>60772.0</v>
      </c>
      <c r="I1436" s="13">
        <v>0.0</v>
      </c>
      <c r="J1436" s="13">
        <v>0.0</v>
      </c>
      <c r="K1436" s="12" t="s">
        <v>21</v>
      </c>
      <c r="L1436" s="7">
        <v>41613.45927083334</v>
      </c>
      <c r="M1436" s="16"/>
      <c r="N1436" s="14" t="s">
        <v>3210</v>
      </c>
      <c r="O1436" s="11" t="str">
        <f>HYPERLINK("https://pbs.twimg.com/profile_images/607796949085855744/yiNwAzF__normal.jpg","View")</f>
        <v>View</v>
      </c>
      <c r="P1436" s="15"/>
    </row>
    <row r="1437">
      <c r="A1437" s="7">
        <v>42425.648148148146</v>
      </c>
      <c r="B1437" s="8" t="str">
        <f>HYPERLINK("https://twitter.com/homeAIinfo","@homeAIinfo")</f>
        <v>@homeAIinfo</v>
      </c>
      <c r="C1437" s="10" t="s">
        <v>36</v>
      </c>
      <c r="D1437" s="10" t="s">
        <v>3183</v>
      </c>
      <c r="E1437" s="11" t="str">
        <f>HYPERLINK("https://twitter.com/homeAIinfo/status/702999851588575232","702999851588575232")</f>
        <v>702999851588575232</v>
      </c>
      <c r="F1437" s="12" t="s">
        <v>38</v>
      </c>
      <c r="G1437" s="13">
        <v>52868.0</v>
      </c>
      <c r="H1437" s="13">
        <v>1328.0</v>
      </c>
      <c r="I1437" s="13">
        <v>11.0</v>
      </c>
      <c r="J1437" s="13">
        <v>0.0</v>
      </c>
      <c r="K1437" s="12" t="s">
        <v>21</v>
      </c>
      <c r="L1437" s="7">
        <v>42133.34662037037</v>
      </c>
      <c r="M1437" s="14" t="s">
        <v>39</v>
      </c>
      <c r="N1437" s="14" t="s">
        <v>40</v>
      </c>
      <c r="O1437" s="11" t="str">
        <f>HYPERLINK("https://pbs.twimg.com/profile_images/645650110374936580/-oQakt8x_normal.png","View")</f>
        <v>View</v>
      </c>
      <c r="P1437" s="15"/>
    </row>
    <row r="1438">
      <c r="A1438" s="7">
        <v>42425.649722222224</v>
      </c>
      <c r="B1438" s="8" t="str">
        <f>HYPERLINK("https://twitter.com/AdamSmitht1","@AdamSmitht1")</f>
        <v>@AdamSmitht1</v>
      </c>
      <c r="C1438" s="10" t="s">
        <v>468</v>
      </c>
      <c r="D1438" s="10" t="s">
        <v>3281</v>
      </c>
      <c r="E1438" s="11" t="str">
        <f>HYPERLINK("https://twitter.com/AdamSmitht1/status/703000421175062528","703000421175062528")</f>
        <v>703000421175062528</v>
      </c>
      <c r="F1438" s="12" t="s">
        <v>103</v>
      </c>
      <c r="G1438" s="13">
        <v>849.0</v>
      </c>
      <c r="H1438" s="13">
        <v>793.0</v>
      </c>
      <c r="I1438" s="13">
        <v>0.0</v>
      </c>
      <c r="J1438" s="13">
        <v>0.0</v>
      </c>
      <c r="K1438" s="12" t="s">
        <v>21</v>
      </c>
      <c r="L1438" s="7">
        <v>42336.12709490741</v>
      </c>
      <c r="M1438" s="14" t="s">
        <v>470</v>
      </c>
      <c r="N1438" s="14" t="s">
        <v>471</v>
      </c>
      <c r="O1438" s="11" t="str">
        <f>HYPERLINK("https://pbs.twimg.com/profile_images/671623862916812800/yGsDKiP4_normal.jpg","View")</f>
        <v>View</v>
      </c>
      <c r="P1438" s="15"/>
    </row>
    <row r="1439">
      <c r="A1439" s="7">
        <v>42425.65041666667</v>
      </c>
      <c r="B1439" s="8" t="str">
        <f>HYPERLINK("https://twitter.com/startechwall","@startechwall")</f>
        <v>@startechwall</v>
      </c>
      <c r="C1439" s="10" t="s">
        <v>1478</v>
      </c>
      <c r="D1439" s="10" t="s">
        <v>3282</v>
      </c>
      <c r="E1439" s="11" t="str">
        <f>HYPERLINK("https://twitter.com/startechwall/status/703000673735086081","703000673735086081")</f>
        <v>703000673735086081</v>
      </c>
      <c r="F1439" s="12" t="s">
        <v>103</v>
      </c>
      <c r="G1439" s="13">
        <v>557.0</v>
      </c>
      <c r="H1439" s="13">
        <v>859.0</v>
      </c>
      <c r="I1439" s="13">
        <v>0.0</v>
      </c>
      <c r="J1439" s="13">
        <v>0.0</v>
      </c>
      <c r="K1439" s="12" t="s">
        <v>21</v>
      </c>
      <c r="L1439" s="7">
        <v>42360.959502314814</v>
      </c>
      <c r="M1439" s="14" t="s">
        <v>1480</v>
      </c>
      <c r="N1439" s="14" t="s">
        <v>1481</v>
      </c>
      <c r="O1439" s="11" t="str">
        <f>HYPERLINK("https://pbs.twimg.com/profile_images/679566117187145728/UUo30Zpm_normal.jpg","View")</f>
        <v>View</v>
      </c>
      <c r="P1439" s="15"/>
    </row>
    <row r="1440">
      <c r="A1440" s="7">
        <v>42425.650555555556</v>
      </c>
      <c r="B1440" s="8" t="str">
        <f>HYPERLINK("https://twitter.com/amuellerml","@amuellerml")</f>
        <v>@amuellerml</v>
      </c>
      <c r="C1440" s="10" t="s">
        <v>3283</v>
      </c>
      <c r="D1440" s="10" t="s">
        <v>3183</v>
      </c>
      <c r="E1440" s="11" t="str">
        <f>HYPERLINK("https://twitter.com/amuellerml/status/703000722682425344","703000722682425344")</f>
        <v>703000722682425344</v>
      </c>
      <c r="F1440" s="12" t="s">
        <v>152</v>
      </c>
      <c r="G1440" s="13">
        <v>7851.0</v>
      </c>
      <c r="H1440" s="13">
        <v>584.0</v>
      </c>
      <c r="I1440" s="13">
        <v>11.0</v>
      </c>
      <c r="J1440" s="13">
        <v>0.0</v>
      </c>
      <c r="K1440" s="12" t="s">
        <v>21</v>
      </c>
      <c r="L1440" s="7">
        <v>40930.6949537037</v>
      </c>
      <c r="M1440" s="14" t="s">
        <v>1939</v>
      </c>
      <c r="N1440" s="14" t="s">
        <v>3284</v>
      </c>
      <c r="O1440" s="11" t="str">
        <f>HYPERLINK("https://pbs.twimg.com/profile_images/626083612459462657/P_fICj8M_normal.jpg","View")</f>
        <v>View</v>
      </c>
      <c r="P1440" s="15"/>
    </row>
    <row r="1441">
      <c r="A1441" s="7">
        <v>42425.65081018519</v>
      </c>
      <c r="B1441" s="8" t="str">
        <f>HYPERLINK("https://twitter.com/freyduni","@freyduni")</f>
        <v>@freyduni</v>
      </c>
      <c r="C1441" s="10" t="s">
        <v>2218</v>
      </c>
      <c r="D1441" s="10" t="s">
        <v>3285</v>
      </c>
      <c r="E1441" s="11" t="str">
        <f>HYPERLINK("https://twitter.com/freyduni/status/703000815061979136","703000815061979136")</f>
        <v>703000815061979136</v>
      </c>
      <c r="F1441" s="17" t="s">
        <v>76</v>
      </c>
      <c r="G1441" s="13">
        <v>1596.0</v>
      </c>
      <c r="H1441" s="13">
        <v>2590.0</v>
      </c>
      <c r="I1441" s="13">
        <v>3.0</v>
      </c>
      <c r="J1441" s="13">
        <v>0.0</v>
      </c>
      <c r="K1441" s="12" t="s">
        <v>21</v>
      </c>
      <c r="L1441" s="7">
        <v>40905.24290509259</v>
      </c>
      <c r="M1441" s="14" t="s">
        <v>2220</v>
      </c>
      <c r="N1441" s="14" t="s">
        <v>2221</v>
      </c>
      <c r="O1441" s="11" t="str">
        <f>HYPERLINK("https://pbs.twimg.com/profile_images/525376074633334784/f5Nx-tIC_normal.jpeg","View")</f>
        <v>View</v>
      </c>
      <c r="P1441" s="15"/>
    </row>
    <row r="1442">
      <c r="A1442" s="7">
        <v>42425.651238425926</v>
      </c>
      <c r="B1442" s="8" t="str">
        <f>HYPERLINK("https://twitter.com/7light7blue","@7light7blue")</f>
        <v>@7light7blue</v>
      </c>
      <c r="C1442" s="10" t="s">
        <v>2236</v>
      </c>
      <c r="D1442" s="10" t="s">
        <v>3286</v>
      </c>
      <c r="E1442" s="11" t="str">
        <f>HYPERLINK("https://twitter.com/7light7blue/status/703000970788208641","703000970788208641")</f>
        <v>703000970788208641</v>
      </c>
      <c r="F1442" s="12" t="s">
        <v>38</v>
      </c>
      <c r="G1442" s="13">
        <v>391.0</v>
      </c>
      <c r="H1442" s="13">
        <v>594.0</v>
      </c>
      <c r="I1442" s="13">
        <v>3.0</v>
      </c>
      <c r="J1442" s="13">
        <v>0.0</v>
      </c>
      <c r="K1442" s="12" t="s">
        <v>21</v>
      </c>
      <c r="L1442" s="7">
        <v>41128.29875</v>
      </c>
      <c r="M1442" s="14" t="s">
        <v>2238</v>
      </c>
      <c r="N1442" s="14" t="s">
        <v>2239</v>
      </c>
      <c r="O1442" s="11" t="str">
        <f>HYPERLINK("https://pbs.twimg.com/profile_images/629304662051549184/UaWSbb_Y_normal.jpg","View")</f>
        <v>View</v>
      </c>
      <c r="P1442" s="15"/>
    </row>
    <row r="1443">
      <c r="A1443" s="7">
        <v>42425.651238425926</v>
      </c>
      <c r="B1443" s="8" t="str">
        <f>HYPERLINK("https://twitter.com/Gamificationir","@Gamificationir")</f>
        <v>@Gamificationir</v>
      </c>
      <c r="C1443" s="10" t="s">
        <v>3287</v>
      </c>
      <c r="D1443" s="10" t="s">
        <v>3286</v>
      </c>
      <c r="E1443" s="11" t="str">
        <f>HYPERLINK("https://twitter.com/Gamificationir/status/703000972008800257","703000972008800257")</f>
        <v>703000972008800257</v>
      </c>
      <c r="F1443" s="12" t="s">
        <v>38</v>
      </c>
      <c r="G1443" s="13">
        <v>148.0</v>
      </c>
      <c r="H1443" s="13">
        <v>279.0</v>
      </c>
      <c r="I1443" s="13">
        <v>3.0</v>
      </c>
      <c r="J1443" s="13">
        <v>0.0</v>
      </c>
      <c r="K1443" s="12" t="s">
        <v>21</v>
      </c>
      <c r="L1443" s="7">
        <v>41568.402812500004</v>
      </c>
      <c r="M1443" s="14" t="s">
        <v>1645</v>
      </c>
      <c r="N1443" s="21" t="s">
        <v>3288</v>
      </c>
      <c r="O1443" s="11" t="str">
        <f>HYPERLINK("https://pbs.twimg.com/profile_images/483888935991390208/Z-dZgLn-_normal.jpeg","View")</f>
        <v>View</v>
      </c>
      <c r="P1443" s="15"/>
    </row>
    <row r="1444">
      <c r="A1444" s="7">
        <v>42425.651238425926</v>
      </c>
      <c r="B1444" s="8" t="str">
        <f>HYPERLINK("https://twitter.com/farashod","@farashod")</f>
        <v>@farashod</v>
      </c>
      <c r="C1444" s="20" t="s">
        <v>3289</v>
      </c>
      <c r="D1444" s="10" t="s">
        <v>3286</v>
      </c>
      <c r="E1444" s="11" t="str">
        <f>HYPERLINK("https://twitter.com/farashod/status/703000972843474944","703000972843474944")</f>
        <v>703000972843474944</v>
      </c>
      <c r="F1444" s="12" t="s">
        <v>38</v>
      </c>
      <c r="G1444" s="13">
        <v>190.0</v>
      </c>
      <c r="H1444" s="13">
        <v>521.0</v>
      </c>
      <c r="I1444" s="13">
        <v>3.0</v>
      </c>
      <c r="J1444" s="13">
        <v>0.0</v>
      </c>
      <c r="K1444" s="12" t="s">
        <v>21</v>
      </c>
      <c r="L1444" s="7">
        <v>41577.27756944444</v>
      </c>
      <c r="M1444" s="21" t="s">
        <v>3290</v>
      </c>
      <c r="N1444" s="21" t="s">
        <v>3291</v>
      </c>
      <c r="O1444" s="11" t="str">
        <f>HYPERLINK("https://pbs.twimg.com/profile_images/378800000669383744/58af2acd445efe4c3c7eec73818e002c_normal.png","View")</f>
        <v>View</v>
      </c>
      <c r="P1444" s="15"/>
    </row>
    <row r="1445">
      <c r="A1445" s="7">
        <v>42425.65353009259</v>
      </c>
      <c r="B1445" s="8" t="str">
        <f>HYPERLINK("https://twitter.com/art_control","@art_control")</f>
        <v>@art_control</v>
      </c>
      <c r="C1445" s="10" t="s">
        <v>309</v>
      </c>
      <c r="D1445" s="10" t="s">
        <v>3292</v>
      </c>
      <c r="E1445" s="11" t="str">
        <f>HYPERLINK("https://twitter.com/art_control/status/703001801763786754","703001801763786754")</f>
        <v>703001801763786754</v>
      </c>
      <c r="F1445" s="12" t="s">
        <v>311</v>
      </c>
      <c r="G1445" s="13">
        <v>989.0</v>
      </c>
      <c r="H1445" s="13">
        <v>850.0</v>
      </c>
      <c r="I1445" s="13">
        <v>0.0</v>
      </c>
      <c r="J1445" s="13">
        <v>0.0</v>
      </c>
      <c r="K1445" s="12" t="s">
        <v>21</v>
      </c>
      <c r="L1445" s="7">
        <v>39896.869675925926</v>
      </c>
      <c r="M1445" s="14" t="s">
        <v>312</v>
      </c>
      <c r="N1445" s="14" t="s">
        <v>313</v>
      </c>
      <c r="O1445" s="11" t="str">
        <f>HYPERLINK("https://pbs.twimg.com/profile_images/649004216690675712/UAcrP6ol_normal.png","View")</f>
        <v>View</v>
      </c>
      <c r="P1445" s="15"/>
    </row>
    <row r="1446">
      <c r="A1446" s="7">
        <v>42425.65810185185</v>
      </c>
      <c r="B1446" s="8" t="str">
        <f>HYPERLINK("https://twitter.com/javascriptd","@javascriptd")</f>
        <v>@javascriptd</v>
      </c>
      <c r="C1446" s="10" t="s">
        <v>2655</v>
      </c>
      <c r="D1446" s="10" t="s">
        <v>3232</v>
      </c>
      <c r="E1446" s="11" t="str">
        <f>HYPERLINK("https://twitter.com/javascriptd/status/703003458069098496","703003458069098496")</f>
        <v>703003458069098496</v>
      </c>
      <c r="F1446" s="12" t="s">
        <v>2657</v>
      </c>
      <c r="G1446" s="13">
        <v>9923.0</v>
      </c>
      <c r="H1446" s="13">
        <v>5.0</v>
      </c>
      <c r="I1446" s="13">
        <v>5.0</v>
      </c>
      <c r="J1446" s="13">
        <v>0.0</v>
      </c>
      <c r="K1446" s="12" t="s">
        <v>21</v>
      </c>
      <c r="L1446" s="7">
        <v>41854.45717592593</v>
      </c>
      <c r="M1446" s="14" t="s">
        <v>2658</v>
      </c>
      <c r="N1446" s="14" t="s">
        <v>2659</v>
      </c>
      <c r="O1446" s="11" t="str">
        <f>HYPERLINK("https://pbs.twimg.com/profile_images/544034757730779136/-jOL7GnN_normal.jpeg","View")</f>
        <v>View</v>
      </c>
      <c r="P1446" s="15"/>
    </row>
    <row r="1447">
      <c r="A1447" s="7">
        <v>42425.65959490741</v>
      </c>
      <c r="B1447" s="8" t="str">
        <f>HYPERLINK("https://twitter.com/stummjr","@stummjr")</f>
        <v>@stummjr</v>
      </c>
      <c r="C1447" s="10" t="s">
        <v>3293</v>
      </c>
      <c r="D1447" s="10" t="s">
        <v>1461</v>
      </c>
      <c r="E1447" s="11" t="str">
        <f>HYPERLINK("https://twitter.com/stummjr/status/703004000506003456","703004000506003456")</f>
        <v>703004000506003456</v>
      </c>
      <c r="F1447" s="12" t="s">
        <v>152</v>
      </c>
      <c r="G1447" s="13">
        <v>178.0</v>
      </c>
      <c r="H1447" s="13">
        <v>145.0</v>
      </c>
      <c r="I1447" s="13">
        <v>17.0</v>
      </c>
      <c r="J1447" s="13">
        <v>0.0</v>
      </c>
      <c r="K1447" s="12" t="s">
        <v>21</v>
      </c>
      <c r="L1447" s="7">
        <v>40046.55758101852</v>
      </c>
      <c r="M1447" s="14" t="s">
        <v>1663</v>
      </c>
      <c r="N1447" s="14" t="s">
        <v>3294</v>
      </c>
      <c r="O1447" s="11" t="str">
        <f>HYPERLINK("https://pbs.twimg.com/profile_images/663810851900661760/waiIpYCV_normal.jpg","View")</f>
        <v>View</v>
      </c>
      <c r="P1447" s="15"/>
    </row>
    <row r="1448">
      <c r="A1448" s="7">
        <v>42425.659907407404</v>
      </c>
      <c r="B1448" s="8" t="str">
        <f>HYPERLINK("https://twitter.com/wcmckeedotcom","@wcmckeedotcom")</f>
        <v>@wcmckeedotcom</v>
      </c>
      <c r="C1448" s="10" t="s">
        <v>476</v>
      </c>
      <c r="D1448" s="10" t="s">
        <v>3295</v>
      </c>
      <c r="E1448" s="11" t="str">
        <f>HYPERLINK("https://twitter.com/wcmckeedotcom/status/703004115102732288","703004115102732288")</f>
        <v>703004115102732288</v>
      </c>
      <c r="F1448" s="12" t="s">
        <v>478</v>
      </c>
      <c r="G1448" s="13">
        <v>1011.0</v>
      </c>
      <c r="H1448" s="13">
        <v>875.0</v>
      </c>
      <c r="I1448" s="13">
        <v>0.0</v>
      </c>
      <c r="J1448" s="13">
        <v>0.0</v>
      </c>
      <c r="K1448" s="12" t="s">
        <v>21</v>
      </c>
      <c r="L1448" s="7">
        <v>41902.048368055555</v>
      </c>
      <c r="M1448" s="14" t="s">
        <v>479</v>
      </c>
      <c r="N1448" s="14" t="s">
        <v>480</v>
      </c>
      <c r="O1448" s="11" t="str">
        <f>HYPERLINK("https://pbs.twimg.com/profile_images/621211385746161664/tGchJstD_normal.jpg","View")</f>
        <v>View</v>
      </c>
      <c r="P1448" s="15"/>
    </row>
    <row r="1449">
      <c r="A1449" s="7">
        <v>42425.66296296296</v>
      </c>
      <c r="B1449" s="8" t="str">
        <f>HYPERLINK("https://twitter.com/ateixei","@ateixei")</f>
        <v>@ateixei</v>
      </c>
      <c r="C1449" s="10" t="s">
        <v>3296</v>
      </c>
      <c r="D1449" s="10" t="s">
        <v>1212</v>
      </c>
      <c r="E1449" s="11" t="str">
        <f>HYPERLINK("https://twitter.com/ateixei/status/703005219366375424","703005219366375424")</f>
        <v>703005219366375424</v>
      </c>
      <c r="F1449" s="12" t="s">
        <v>446</v>
      </c>
      <c r="G1449" s="13">
        <v>432.0</v>
      </c>
      <c r="H1449" s="13">
        <v>122.0</v>
      </c>
      <c r="I1449" s="13">
        <v>24.0</v>
      </c>
      <c r="J1449" s="13">
        <v>0.0</v>
      </c>
      <c r="K1449" s="12" t="s">
        <v>21</v>
      </c>
      <c r="L1449" s="7">
        <v>40483.734456018516</v>
      </c>
      <c r="M1449" s="14" t="s">
        <v>3297</v>
      </c>
      <c r="N1449" s="14" t="s">
        <v>3298</v>
      </c>
      <c r="O1449" s="11" t="str">
        <f>HYPERLINK("https://pbs.twimg.com/profile_images/694429076531060737/8qtztFgt_normal.jpg","View")</f>
        <v>View</v>
      </c>
      <c r="P1449" s="15"/>
    </row>
    <row r="1450">
      <c r="A1450" s="7">
        <v>42425.66616898148</v>
      </c>
      <c r="B1450" s="8" t="str">
        <f>HYPERLINK("https://twitter.com/kumamoto_eiji","@kumamoto_eiji")</f>
        <v>@kumamoto_eiji</v>
      </c>
      <c r="C1450" s="10" t="s">
        <v>3299</v>
      </c>
      <c r="D1450" s="10" t="s">
        <v>3300</v>
      </c>
      <c r="E1450" s="11" t="str">
        <f>HYPERLINK("https://twitter.com/kumamoto_eiji/status/703006380584779777","703006380584779777")</f>
        <v>703006380584779777</v>
      </c>
      <c r="F1450" s="12" t="s">
        <v>152</v>
      </c>
      <c r="G1450" s="13">
        <v>4.0</v>
      </c>
      <c r="H1450" s="13">
        <v>48.0</v>
      </c>
      <c r="I1450" s="13">
        <v>0.0</v>
      </c>
      <c r="J1450" s="13">
        <v>1.0</v>
      </c>
      <c r="K1450" s="12" t="s">
        <v>21</v>
      </c>
      <c r="L1450" s="7">
        <v>42389.42878472222</v>
      </c>
      <c r="M1450" s="14" t="s">
        <v>3301</v>
      </c>
      <c r="N1450" s="14" t="s">
        <v>3302</v>
      </c>
      <c r="O1450" s="11" t="str">
        <f>HYPERLINK("https://pbs.twimg.com/profile_images/689875351753879556/aqRfMsZk_normal.jpg","View")</f>
        <v>View</v>
      </c>
      <c r="P1450" s="15"/>
    </row>
    <row r="1451">
      <c r="A1451" s="7">
        <v>42425.66626157408</v>
      </c>
      <c r="B1451" s="8" t="str">
        <f>HYPERLINK("https://twitter.com/chakapokochin","@chakapokochin")</f>
        <v>@chakapokochin</v>
      </c>
      <c r="C1451" s="10" t="s">
        <v>3303</v>
      </c>
      <c r="D1451" s="10" t="s">
        <v>2854</v>
      </c>
      <c r="E1451" s="11" t="str">
        <f>HYPERLINK("https://twitter.com/chakapokochin/status/703006418111111168","703006418111111168")</f>
        <v>703006418111111168</v>
      </c>
      <c r="F1451" s="12" t="s">
        <v>52</v>
      </c>
      <c r="G1451" s="13">
        <v>626.0</v>
      </c>
      <c r="H1451" s="13">
        <v>1477.0</v>
      </c>
      <c r="I1451" s="13">
        <v>4.0</v>
      </c>
      <c r="J1451" s="13">
        <v>0.0</v>
      </c>
      <c r="K1451" s="12" t="s">
        <v>21</v>
      </c>
      <c r="L1451" s="7">
        <v>41926.582719907405</v>
      </c>
      <c r="M1451" s="16"/>
      <c r="N1451" s="14" t="s">
        <v>3304</v>
      </c>
      <c r="O1451" s="11" t="str">
        <f>HYPERLINK("https://pbs.twimg.com/profile_images/559294307991961600/JWetTB3J_normal.jpeg","View")</f>
        <v>View</v>
      </c>
      <c r="P1451" s="15"/>
    </row>
    <row r="1452">
      <c r="A1452" s="7">
        <v>42425.666712962964</v>
      </c>
      <c r="B1452" s="8" t="str">
        <f>HYPERLINK("https://twitter.com/rkedrin","@rkedrin")</f>
        <v>@rkedrin</v>
      </c>
      <c r="C1452" s="10" t="s">
        <v>3305</v>
      </c>
      <c r="D1452" s="10" t="s">
        <v>3306</v>
      </c>
      <c r="E1452" s="11" t="str">
        <f>HYPERLINK("https://twitter.com/rkedrin/status/703006581336764418","703006581336764418")</f>
        <v>703006581336764418</v>
      </c>
      <c r="F1452" s="12" t="s">
        <v>2472</v>
      </c>
      <c r="G1452" s="13">
        <v>170.0</v>
      </c>
      <c r="H1452" s="13">
        <v>95.0</v>
      </c>
      <c r="I1452" s="13">
        <v>0.0</v>
      </c>
      <c r="J1452" s="13">
        <v>0.0</v>
      </c>
      <c r="K1452" s="12" t="s">
        <v>21</v>
      </c>
      <c r="L1452" s="7">
        <v>39898.49965277778</v>
      </c>
      <c r="M1452" s="16"/>
      <c r="N1452" s="16"/>
      <c r="O1452" s="11" t="str">
        <f>HYPERLINK("https://pbs.twimg.com/profile_images/2759963854/fa0ed9dbf98a16ecee6295ac3793bc0c_normal.jpeg","View")</f>
        <v>View</v>
      </c>
      <c r="P1452" s="15"/>
    </row>
    <row r="1453">
      <c r="A1453" s="7">
        <v>42425.6668287037</v>
      </c>
      <c r="B1453" s="8" t="str">
        <f>HYPERLINK("https://twitter.com/omadson","@omadson")</f>
        <v>@omadson</v>
      </c>
      <c r="C1453" s="10" t="s">
        <v>2976</v>
      </c>
      <c r="D1453" s="10" t="s">
        <v>3307</v>
      </c>
      <c r="E1453" s="11" t="str">
        <f>HYPERLINK("https://twitter.com/omadson/status/703006619878166528","703006619878166528")</f>
        <v>703006619878166528</v>
      </c>
      <c r="F1453" s="12" t="s">
        <v>2978</v>
      </c>
      <c r="G1453" s="13">
        <v>708.0</v>
      </c>
      <c r="H1453" s="13">
        <v>148.0</v>
      </c>
      <c r="I1453" s="13">
        <v>0.0</v>
      </c>
      <c r="J1453" s="13">
        <v>0.0</v>
      </c>
      <c r="K1453" s="12" t="s">
        <v>21</v>
      </c>
      <c r="L1453" s="7">
        <v>40487.2115625</v>
      </c>
      <c r="M1453" s="14" t="s">
        <v>2979</v>
      </c>
      <c r="N1453" s="14" t="s">
        <v>2980</v>
      </c>
      <c r="O1453" s="11" t="str">
        <f>HYPERLINK("https://pbs.twimg.com/profile_images/685223250062917633/s6j2LZE3_normal.jpg","View")</f>
        <v>View</v>
      </c>
      <c r="P1453" s="15"/>
    </row>
    <row r="1454">
      <c r="A1454" s="7">
        <v>42425.66704861111</v>
      </c>
      <c r="B1454" s="8" t="str">
        <f>HYPERLINK("https://twitter.com/jaffri","@jaffri")</f>
        <v>@jaffri</v>
      </c>
      <c r="C1454" s="10" t="s">
        <v>3308</v>
      </c>
      <c r="D1454" s="10" t="s">
        <v>3309</v>
      </c>
      <c r="E1454" s="11" t="str">
        <f>HYPERLINK("https://twitter.com/jaffri/status/703006701432262656","703006701432262656")</f>
        <v>703006701432262656</v>
      </c>
      <c r="F1454" s="12" t="s">
        <v>103</v>
      </c>
      <c r="G1454" s="13">
        <v>2382.0</v>
      </c>
      <c r="H1454" s="13">
        <v>1034.0</v>
      </c>
      <c r="I1454" s="13">
        <v>1.0</v>
      </c>
      <c r="J1454" s="13">
        <v>3.0</v>
      </c>
      <c r="K1454" s="12" t="s">
        <v>21</v>
      </c>
      <c r="L1454" s="7">
        <v>39590.35542824074</v>
      </c>
      <c r="M1454" s="14" t="s">
        <v>3310</v>
      </c>
      <c r="N1454" s="14" t="s">
        <v>3311</v>
      </c>
      <c r="O1454" s="11" t="str">
        <f>HYPERLINK("https://pbs.twimg.com/profile_images/445831838687182848/aCVQDj7E_normal.jpeg","View")</f>
        <v>View</v>
      </c>
      <c r="P1454" s="15"/>
    </row>
    <row r="1455">
      <c r="A1455" s="7">
        <v>42425.668958333335</v>
      </c>
      <c r="B1455" s="8" t="str">
        <f>HYPERLINK("https://twitter.com/py3k","@py3k")</f>
        <v>@py3k</v>
      </c>
      <c r="C1455" s="10" t="s">
        <v>297</v>
      </c>
      <c r="D1455" s="10" t="s">
        <v>3312</v>
      </c>
      <c r="E1455" s="11" t="str">
        <f>HYPERLINK("https://twitter.com/py3k/status/703007395295924224","703007395295924224")</f>
        <v>703007395295924224</v>
      </c>
      <c r="F1455" s="12" t="s">
        <v>299</v>
      </c>
      <c r="G1455" s="13">
        <v>1623.0</v>
      </c>
      <c r="H1455" s="13">
        <v>676.0</v>
      </c>
      <c r="I1455" s="13">
        <v>0.0</v>
      </c>
      <c r="J1455" s="13">
        <v>0.0</v>
      </c>
      <c r="K1455" s="12" t="s">
        <v>21</v>
      </c>
      <c r="L1455" s="7">
        <v>41096.62268518518</v>
      </c>
      <c r="M1455" s="16"/>
      <c r="N1455" s="14" t="s">
        <v>300</v>
      </c>
      <c r="O1455" s="11" t="str">
        <f>HYPERLINK("https://pbs.twimg.com/profile_images/2474433856/p075cerxh0arpea6ceip_normal.png","View")</f>
        <v>View</v>
      </c>
      <c r="P1455" s="15"/>
    </row>
    <row r="1456">
      <c r="A1456" s="7">
        <v>42425.669594907406</v>
      </c>
      <c r="B1456" s="8" t="str">
        <f>HYPERLINK("https://twitter.com/misaleiva","@misaleiva")</f>
        <v>@misaleiva</v>
      </c>
      <c r="C1456" s="10" t="s">
        <v>3313</v>
      </c>
      <c r="D1456" s="10" t="s">
        <v>3314</v>
      </c>
      <c r="E1456" s="11" t="str">
        <f>HYPERLINK("https://twitter.com/misaleiva/status/703007626217582593","703007626217582593")</f>
        <v>703007626217582593</v>
      </c>
      <c r="F1456" s="12" t="s">
        <v>450</v>
      </c>
      <c r="G1456" s="13">
        <v>64.0</v>
      </c>
      <c r="H1456" s="13">
        <v>42.0</v>
      </c>
      <c r="I1456" s="13">
        <v>0.0</v>
      </c>
      <c r="J1456" s="13">
        <v>0.0</v>
      </c>
      <c r="K1456" s="12" t="s">
        <v>21</v>
      </c>
      <c r="L1456" s="7">
        <v>40470.389016203706</v>
      </c>
      <c r="M1456" s="14" t="s">
        <v>3315</v>
      </c>
      <c r="N1456" s="14" t="s">
        <v>3316</v>
      </c>
      <c r="O1456" s="11" t="str">
        <f>HYPERLINK("https://pbs.twimg.com/profile_images/553306978303242242/XhkGfCto_normal.jpeg","View")</f>
        <v>View</v>
      </c>
      <c r="P1456" s="15"/>
    </row>
    <row r="1457">
      <c r="A1457" s="7">
        <v>42425.66974537037</v>
      </c>
      <c r="B1457" s="8" t="str">
        <f>HYPERLINK("https://twitter.com/rtdbrito","@rtdbrito")</f>
        <v>@rtdbrito</v>
      </c>
      <c r="C1457" s="10" t="s">
        <v>3317</v>
      </c>
      <c r="D1457" s="10" t="s">
        <v>3318</v>
      </c>
      <c r="E1457" s="11" t="str">
        <f>HYPERLINK("https://twitter.com/rtdbrito/status/703007680043098114","703007680043098114")</f>
        <v>703007680043098114</v>
      </c>
      <c r="F1457" s="12" t="s">
        <v>20</v>
      </c>
      <c r="G1457" s="13">
        <v>109.0</v>
      </c>
      <c r="H1457" s="13">
        <v>446.0</v>
      </c>
      <c r="I1457" s="13">
        <v>0.0</v>
      </c>
      <c r="J1457" s="13">
        <v>1.0</v>
      </c>
      <c r="K1457" s="12" t="s">
        <v>21</v>
      </c>
      <c r="L1457" s="7">
        <v>41276.872511574074</v>
      </c>
      <c r="M1457" s="14" t="s">
        <v>3319</v>
      </c>
      <c r="N1457" s="14" t="s">
        <v>3320</v>
      </c>
      <c r="O1457" s="11" t="str">
        <f>HYPERLINK("https://pbs.twimg.com/profile_images/3058293300/b89f8a3330f874e44c5380d561232261_normal.jpeg","View")</f>
        <v>View</v>
      </c>
      <c r="P1457" s="15"/>
    </row>
    <row r="1458">
      <c r="A1458" s="7">
        <v>42425.6700925926</v>
      </c>
      <c r="B1458" s="8" t="str">
        <f>HYPERLINK("https://twitter.com/AutomatesXYZ","@AutomatesXYZ")</f>
        <v>@AutomatesXYZ</v>
      </c>
      <c r="C1458" s="10" t="s">
        <v>3321</v>
      </c>
      <c r="D1458" s="10" t="s">
        <v>3322</v>
      </c>
      <c r="E1458" s="11" t="str">
        <f>HYPERLINK("https://twitter.com/AutomatesXYZ/status/703007804618051584","703007804618051584")</f>
        <v>703007804618051584</v>
      </c>
      <c r="F1458" s="12" t="s">
        <v>659</v>
      </c>
      <c r="G1458" s="13">
        <v>18.0</v>
      </c>
      <c r="H1458" s="13">
        <v>54.0</v>
      </c>
      <c r="I1458" s="13">
        <v>0.0</v>
      </c>
      <c r="J1458" s="13">
        <v>1.0</v>
      </c>
      <c r="K1458" s="12" t="s">
        <v>21</v>
      </c>
      <c r="L1458" s="7">
        <v>42237.40900462963</v>
      </c>
      <c r="M1458" s="16"/>
      <c r="N1458" s="16"/>
      <c r="O1458" s="11" t="str">
        <f>HYPERLINK("https://pbs.twimg.com/profile_images/655331704270376960/VKadbMAP_normal.jpg","View")</f>
        <v>View</v>
      </c>
      <c r="P1458" s="15"/>
    </row>
    <row r="1459">
      <c r="A1459" s="7">
        <v>42425.67061342593</v>
      </c>
      <c r="B1459" s="8" t="str">
        <f>HYPERLINK("https://twitter.com/AskAppDev","@AskAppDev")</f>
        <v>@AskAppDev</v>
      </c>
      <c r="C1459" s="10" t="s">
        <v>3323</v>
      </c>
      <c r="D1459" s="10" t="s">
        <v>3324</v>
      </c>
      <c r="E1459" s="11" t="str">
        <f>HYPERLINK("https://twitter.com/AskAppDev/status/703007992346763264","703007992346763264")</f>
        <v>703007992346763264</v>
      </c>
      <c r="F1459" s="12" t="s">
        <v>38</v>
      </c>
      <c r="G1459" s="13">
        <v>1569.0</v>
      </c>
      <c r="H1459" s="13">
        <v>915.0</v>
      </c>
      <c r="I1459" s="13">
        <v>1.0</v>
      </c>
      <c r="J1459" s="13">
        <v>0.0</v>
      </c>
      <c r="K1459" s="12" t="s">
        <v>21</v>
      </c>
      <c r="L1459" s="7">
        <v>41575.00644675926</v>
      </c>
      <c r="M1459" s="14" t="s">
        <v>3325</v>
      </c>
      <c r="N1459" s="14" t="s">
        <v>3326</v>
      </c>
      <c r="O1459" s="11" t="str">
        <f>HYPERLINK("https://pbs.twimg.com/profile_images/378800000659198647/b60a5998f4f329641eb28f39f8e5a17b_normal.png","View")</f>
        <v>View</v>
      </c>
      <c r="P1459" s="15"/>
    </row>
    <row r="1460">
      <c r="A1460" s="7">
        <v>42425.67138888889</v>
      </c>
      <c r="B1460" s="8" t="str">
        <f>HYPERLINK("https://twitter.com/pdipao","@pdipao")</f>
        <v>@pdipao</v>
      </c>
      <c r="C1460" s="10" t="s">
        <v>657</v>
      </c>
      <c r="D1460" s="10" t="s">
        <v>3327</v>
      </c>
      <c r="E1460" s="11" t="str">
        <f>HYPERLINK("https://twitter.com/pdipao/status/703008274367586304","703008274367586304")</f>
        <v>703008274367586304</v>
      </c>
      <c r="F1460" s="12" t="s">
        <v>659</v>
      </c>
      <c r="G1460" s="13">
        <v>2629.0</v>
      </c>
      <c r="H1460" s="13">
        <v>1663.0</v>
      </c>
      <c r="I1460" s="13">
        <v>1.0</v>
      </c>
      <c r="J1460" s="13">
        <v>0.0</v>
      </c>
      <c r="K1460" s="12" t="s">
        <v>21</v>
      </c>
      <c r="L1460" s="7">
        <v>41079.41190972222</v>
      </c>
      <c r="M1460" s="16"/>
      <c r="N1460" s="14" t="s">
        <v>660</v>
      </c>
      <c r="O1460" s="11" t="str">
        <f>HYPERLINK("https://pbs.twimg.com/profile_images/2323096455/ie6d7zexkb52v6ojptfm_normal.jpeg","View")</f>
        <v>View</v>
      </c>
      <c r="P1460" s="15"/>
    </row>
    <row r="1461">
      <c r="A1461" s="7">
        <v>42425.672939814816</v>
      </c>
      <c r="B1461" s="8" t="str">
        <f>HYPERLINK("https://twitter.com/panseybard","@panseybard")</f>
        <v>@panseybard</v>
      </c>
      <c r="C1461" s="10" t="s">
        <v>1602</v>
      </c>
      <c r="D1461" s="10" t="s">
        <v>3328</v>
      </c>
      <c r="E1461" s="11" t="str">
        <f>HYPERLINK("https://twitter.com/panseybard/status/703008834311180288","703008834311180288")</f>
        <v>703008834311180288</v>
      </c>
      <c r="F1461" s="12" t="s">
        <v>1603</v>
      </c>
      <c r="G1461" s="13">
        <v>7596.0</v>
      </c>
      <c r="H1461" s="13">
        <v>7592.0</v>
      </c>
      <c r="I1461" s="13">
        <v>1.0</v>
      </c>
      <c r="J1461" s="13">
        <v>0.0</v>
      </c>
      <c r="K1461" s="12" t="s">
        <v>21</v>
      </c>
      <c r="L1461" s="7">
        <v>41222.09909722222</v>
      </c>
      <c r="M1461" s="14" t="s">
        <v>1604</v>
      </c>
      <c r="N1461" s="14" t="s">
        <v>1605</v>
      </c>
      <c r="O1461" s="11" t="str">
        <f>HYPERLINK("https://pbs.twimg.com/profile_images/583850259970822144/7EgtHLoT_normal.jpg","View")</f>
        <v>View</v>
      </c>
      <c r="P1461" s="15"/>
    </row>
    <row r="1462">
      <c r="A1462" s="7">
        <v>42425.67351851852</v>
      </c>
      <c r="B1462" s="8" t="str">
        <f>HYPERLINK("https://twitter.com/katmeresin","@katmeresin")</f>
        <v>@katmeresin</v>
      </c>
      <c r="C1462" s="10" t="s">
        <v>3329</v>
      </c>
      <c r="D1462" s="10" t="s">
        <v>3330</v>
      </c>
      <c r="E1462" s="11" t="str">
        <f>HYPERLINK("https://twitter.com/katmeresin/status/703009045330968576","703009045330968576")</f>
        <v>703009045330968576</v>
      </c>
      <c r="F1462" s="12" t="s">
        <v>52</v>
      </c>
      <c r="G1462" s="13">
        <v>1314.0</v>
      </c>
      <c r="H1462" s="13">
        <v>2252.0</v>
      </c>
      <c r="I1462" s="13">
        <v>2.0</v>
      </c>
      <c r="J1462" s="13">
        <v>0.0</v>
      </c>
      <c r="K1462" s="12" t="s">
        <v>21</v>
      </c>
      <c r="L1462" s="7">
        <v>40340.362812499996</v>
      </c>
      <c r="M1462" s="14" t="s">
        <v>784</v>
      </c>
      <c r="N1462" s="14" t="s">
        <v>3331</v>
      </c>
      <c r="O1462" s="11" t="str">
        <f>HYPERLINK("https://pbs.twimg.com/profile_images/637685661634400256/bDq1rkT1_normal.jpg","View")</f>
        <v>View</v>
      </c>
      <c r="P1462" s="15"/>
    </row>
    <row r="1463">
      <c r="A1463" s="7">
        <v>42425.675254629634</v>
      </c>
      <c r="B1463" s="8" t="str">
        <f t="shared" ref="B1463:B1464" si="141">HYPERLINK("https://twitter.com/pythontrending","@pythontrending")</f>
        <v>@pythontrending</v>
      </c>
      <c r="C1463" s="10" t="s">
        <v>2074</v>
      </c>
      <c r="D1463" s="10" t="s">
        <v>3332</v>
      </c>
      <c r="E1463" s="11" t="str">
        <f>HYPERLINK("https://twitter.com/pythontrending/status/703009673499246594","703009673499246594")</f>
        <v>703009673499246594</v>
      </c>
      <c r="F1463" s="12" t="s">
        <v>2076</v>
      </c>
      <c r="G1463" s="13">
        <v>3966.0</v>
      </c>
      <c r="H1463" s="13">
        <v>4420.0</v>
      </c>
      <c r="I1463" s="13">
        <v>2.0</v>
      </c>
      <c r="J1463" s="13">
        <v>0.0</v>
      </c>
      <c r="K1463" s="12" t="s">
        <v>21</v>
      </c>
      <c r="L1463" s="7">
        <v>41744.47299768518</v>
      </c>
      <c r="M1463" s="14" t="s">
        <v>2077</v>
      </c>
      <c r="N1463" s="14" t="s">
        <v>2078</v>
      </c>
      <c r="O1463" s="11" t="str">
        <f t="shared" ref="O1463:O1464" si="142">HYPERLINK("https://pbs.twimg.com/profile_images/456490947287605248/4oklmBWe_normal.png","View")</f>
        <v>View</v>
      </c>
      <c r="P1463" s="15"/>
    </row>
    <row r="1464">
      <c r="A1464" s="7">
        <v>42425.67532407407</v>
      </c>
      <c r="B1464" s="8" t="str">
        <f t="shared" si="141"/>
        <v>@pythontrending</v>
      </c>
      <c r="C1464" s="10" t="s">
        <v>2074</v>
      </c>
      <c r="D1464" s="10" t="s">
        <v>3333</v>
      </c>
      <c r="E1464" s="11" t="str">
        <f>HYPERLINK("https://twitter.com/pythontrending/status/703009702070898688","703009702070898688")</f>
        <v>703009702070898688</v>
      </c>
      <c r="F1464" s="12" t="s">
        <v>2076</v>
      </c>
      <c r="G1464" s="13">
        <v>3966.0</v>
      </c>
      <c r="H1464" s="13">
        <v>4420.0</v>
      </c>
      <c r="I1464" s="13">
        <v>10.0</v>
      </c>
      <c r="J1464" s="13">
        <v>6.0</v>
      </c>
      <c r="K1464" s="12" t="s">
        <v>21</v>
      </c>
      <c r="L1464" s="7">
        <v>41744.47299768518</v>
      </c>
      <c r="M1464" s="14" t="s">
        <v>2077</v>
      </c>
      <c r="N1464" s="14" t="s">
        <v>2078</v>
      </c>
      <c r="O1464" s="11" t="str">
        <f t="shared" si="142"/>
        <v>View</v>
      </c>
      <c r="P1464" s="15"/>
    </row>
    <row r="1465">
      <c r="A1465" s="7">
        <v>42425.677037037036</v>
      </c>
      <c r="B1465" s="8" t="str">
        <f>HYPERLINK("https://twitter.com/BLKNews","@BLKNews")</f>
        <v>@BLKNews</v>
      </c>
      <c r="C1465" s="10" t="s">
        <v>3334</v>
      </c>
      <c r="D1465" s="10" t="s">
        <v>3228</v>
      </c>
      <c r="E1465" s="11" t="str">
        <f>HYPERLINK("https://twitter.com/BLKNews/status/703010323024883712","703010323024883712")</f>
        <v>703010323024883712</v>
      </c>
      <c r="F1465" s="12" t="s">
        <v>152</v>
      </c>
      <c r="G1465" s="13">
        <v>951.0</v>
      </c>
      <c r="H1465" s="13">
        <v>183.0</v>
      </c>
      <c r="I1465" s="13">
        <v>9.0</v>
      </c>
      <c r="J1465" s="13">
        <v>0.0</v>
      </c>
      <c r="K1465" s="12" t="s">
        <v>21</v>
      </c>
      <c r="L1465" s="7">
        <v>41853.54791666666</v>
      </c>
      <c r="M1465" s="14" t="s">
        <v>3335</v>
      </c>
      <c r="N1465" s="14" t="s">
        <v>3336</v>
      </c>
      <c r="O1465" s="11" t="str">
        <f>HYPERLINK("https://pbs.twimg.com/profile_images/561418836906614784/CXUJC--6_normal.jpeg","View")</f>
        <v>View</v>
      </c>
      <c r="P1465" s="15"/>
    </row>
    <row r="1466">
      <c r="A1466" s="7">
        <v>42425.677199074074</v>
      </c>
      <c r="B1466" s="8" t="str">
        <f>HYPERLINK("https://twitter.com/coding_jobfeeds","@coding_jobfeeds")</f>
        <v>@coding_jobfeeds</v>
      </c>
      <c r="C1466" s="10" t="s">
        <v>685</v>
      </c>
      <c r="D1466" s="10" t="s">
        <v>3337</v>
      </c>
      <c r="E1466" s="11" t="str">
        <f>HYPERLINK("https://twitter.com/coding_jobfeeds/status/703010381204164608","703010381204164608")</f>
        <v>703010381204164608</v>
      </c>
      <c r="F1466" s="12" t="s">
        <v>687</v>
      </c>
      <c r="G1466" s="13">
        <v>1040.0</v>
      </c>
      <c r="H1466" s="13">
        <v>987.0</v>
      </c>
      <c r="I1466" s="13">
        <v>0.0</v>
      </c>
      <c r="J1466" s="13">
        <v>0.0</v>
      </c>
      <c r="K1466" s="12" t="s">
        <v>21</v>
      </c>
      <c r="L1466" s="7">
        <v>42173.56387731481</v>
      </c>
      <c r="M1466" s="14" t="s">
        <v>519</v>
      </c>
      <c r="N1466" s="14" t="s">
        <v>688</v>
      </c>
      <c r="O1466" s="11" t="str">
        <f>HYPERLINK("https://pbs.twimg.com/profile_images/611834314586750976/feZ5fZOO_normal.png","View")</f>
        <v>View</v>
      </c>
      <c r="P1466" s="15"/>
    </row>
    <row r="1467">
      <c r="A1467" s="7">
        <v>42425.677870370375</v>
      </c>
      <c r="B1467" s="8" t="str">
        <f>HYPERLINK("https://twitter.com/digitalocean","@digitalocean")</f>
        <v>@digitalocean</v>
      </c>
      <c r="C1467" s="10" t="s">
        <v>3338</v>
      </c>
      <c r="D1467" s="10" t="s">
        <v>3339</v>
      </c>
      <c r="E1467" s="11" t="str">
        <f>HYPERLINK("https://twitter.com/digitalocean/status/703010621894352898","703010621894352898")</f>
        <v>703010621894352898</v>
      </c>
      <c r="F1467" s="12" t="s">
        <v>3340</v>
      </c>
      <c r="G1467" s="13">
        <v>114600.0</v>
      </c>
      <c r="H1467" s="13">
        <v>1152.0</v>
      </c>
      <c r="I1467" s="13">
        <v>4.0</v>
      </c>
      <c r="J1467" s="13">
        <v>8.0</v>
      </c>
      <c r="K1467" s="12" t="s">
        <v>21</v>
      </c>
      <c r="L1467" s="7">
        <v>40914.64189814815</v>
      </c>
      <c r="M1467" s="14" t="s">
        <v>1939</v>
      </c>
      <c r="N1467" s="14" t="s">
        <v>3341</v>
      </c>
      <c r="O1467" s="11" t="str">
        <f>HYPERLINK("https://pbs.twimg.com/profile_images/667756760841613312/Ot0CLWpu_normal.png","View")</f>
        <v>View</v>
      </c>
      <c r="P1467" s="15"/>
    </row>
    <row r="1468">
      <c r="A1468" s="7">
        <v>42425.6780787037</v>
      </c>
      <c r="B1468" s="8" t="str">
        <f>HYPERLINK("https://twitter.com/tonyCI25","@tonyCI25")</f>
        <v>@tonyCI25</v>
      </c>
      <c r="C1468" s="10" t="s">
        <v>3342</v>
      </c>
      <c r="D1468" s="10" t="s">
        <v>3343</v>
      </c>
      <c r="E1468" s="11" t="str">
        <f>HYPERLINK("https://twitter.com/tonyCI25/status/703010697421131777","703010697421131777")</f>
        <v>703010697421131777</v>
      </c>
      <c r="F1468" s="12" t="s">
        <v>3344</v>
      </c>
      <c r="G1468" s="13">
        <v>333.0</v>
      </c>
      <c r="H1468" s="13">
        <v>1227.0</v>
      </c>
      <c r="I1468" s="13">
        <v>0.0</v>
      </c>
      <c r="J1468" s="13">
        <v>0.0</v>
      </c>
      <c r="K1468" s="12" t="s">
        <v>21</v>
      </c>
      <c r="L1468" s="7">
        <v>39824.78710648148</v>
      </c>
      <c r="M1468" s="14" t="s">
        <v>3345</v>
      </c>
      <c r="N1468" s="14" t="s">
        <v>3346</v>
      </c>
      <c r="O1468" s="11" t="str">
        <f>HYPERLINK("https://pbs.twimg.com/profile_images/579126685326450688/tEaNKEw6_normal.jpg","View")</f>
        <v>View</v>
      </c>
      <c r="P1468" s="15"/>
    </row>
    <row r="1469">
      <c r="A1469" s="7">
        <v>42425.678252314814</v>
      </c>
      <c r="B1469" s="8" t="str">
        <f>HYPERLINK("https://twitter.com/McArthurRecruit","@McArthurRecruit")</f>
        <v>@McArthurRecruit</v>
      </c>
      <c r="C1469" s="10" t="s">
        <v>1256</v>
      </c>
      <c r="D1469" s="10" t="s">
        <v>3347</v>
      </c>
      <c r="E1469" s="11" t="str">
        <f>HYPERLINK("https://twitter.com/McArthurRecruit/status/703010761937915905","703010761937915905")</f>
        <v>703010761937915905</v>
      </c>
      <c r="F1469" s="12" t="s">
        <v>1258</v>
      </c>
      <c r="G1469" s="13">
        <v>1047.0</v>
      </c>
      <c r="H1469" s="13">
        <v>766.0</v>
      </c>
      <c r="I1469" s="13">
        <v>0.0</v>
      </c>
      <c r="J1469" s="13">
        <v>0.0</v>
      </c>
      <c r="K1469" s="12" t="s">
        <v>21</v>
      </c>
      <c r="L1469" s="7">
        <v>39854.566828703704</v>
      </c>
      <c r="M1469" s="14" t="s">
        <v>1259</v>
      </c>
      <c r="N1469" s="14" t="s">
        <v>1260</v>
      </c>
      <c r="O1469" s="11" t="str">
        <f>HYPERLINK("https://pbs.twimg.com/profile_images/662039977849589760/-bw8hiZo_normal.jpg","View")</f>
        <v>View</v>
      </c>
      <c r="P1469" s="15"/>
    </row>
    <row r="1470">
      <c r="A1470" s="7">
        <v>42425.678495370375</v>
      </c>
      <c r="B1470" s="8" t="str">
        <f>HYPERLINK("https://twitter.com/getzegami","@getzegami")</f>
        <v>@getzegami</v>
      </c>
      <c r="C1470" s="10" t="s">
        <v>3348</v>
      </c>
      <c r="D1470" s="10" t="s">
        <v>3349</v>
      </c>
      <c r="E1470" s="11" t="str">
        <f>HYPERLINK("https://twitter.com/getzegami/status/703010847493197826","703010847493197826")</f>
        <v>703010847493197826</v>
      </c>
      <c r="F1470" s="12" t="s">
        <v>20</v>
      </c>
      <c r="G1470" s="13">
        <v>90.0</v>
      </c>
      <c r="H1470" s="13">
        <v>279.0</v>
      </c>
      <c r="I1470" s="13">
        <v>0.0</v>
      </c>
      <c r="J1470" s="13">
        <v>0.0</v>
      </c>
      <c r="K1470" s="12" t="s">
        <v>21</v>
      </c>
      <c r="L1470" s="7">
        <v>41949.34612268519</v>
      </c>
      <c r="M1470" s="16"/>
      <c r="N1470" s="14" t="s">
        <v>3350</v>
      </c>
      <c r="O1470" s="11" t="str">
        <f>HYPERLINK("https://pbs.twimg.com/profile_images/530395094528974848/vB7lc4U7_normal.png","View")</f>
        <v>View</v>
      </c>
      <c r="P1470" s="15"/>
    </row>
    <row r="1471">
      <c r="A1471" s="7">
        <v>42425.67854166667</v>
      </c>
      <c r="B1471" s="8" t="str">
        <f>HYPERLINK("https://twitter.com/DrAndyPardoe","@DrAndyPardoe")</f>
        <v>@DrAndyPardoe</v>
      </c>
      <c r="C1471" s="10" t="s">
        <v>3351</v>
      </c>
      <c r="D1471" s="10" t="s">
        <v>3183</v>
      </c>
      <c r="E1471" s="11" t="str">
        <f>HYPERLINK("https://twitter.com/DrAndyPardoe/status/703010866892042240","703010866892042240")</f>
        <v>703010866892042240</v>
      </c>
      <c r="F1471" s="12" t="s">
        <v>38</v>
      </c>
      <c r="G1471" s="13">
        <v>3759.0</v>
      </c>
      <c r="H1471" s="13">
        <v>2473.0</v>
      </c>
      <c r="I1471" s="13">
        <v>11.0</v>
      </c>
      <c r="J1471" s="13">
        <v>0.0</v>
      </c>
      <c r="K1471" s="12" t="s">
        <v>21</v>
      </c>
      <c r="L1471" s="7">
        <v>41826.237280092595</v>
      </c>
      <c r="M1471" s="14" t="s">
        <v>1093</v>
      </c>
      <c r="N1471" s="14" t="s">
        <v>3352</v>
      </c>
      <c r="O1471" s="11" t="str">
        <f>HYPERLINK("https://pbs.twimg.com/profile_images/485766134268837889/t4PLhSfT_normal.jpeg","View")</f>
        <v>View</v>
      </c>
      <c r="P1471" s="15"/>
    </row>
    <row r="1472">
      <c r="A1472" s="7">
        <v>42425.67857638889</v>
      </c>
      <c r="B1472" s="8" t="str">
        <f>HYPERLINK("https://twitter.com/LeMeteore","@LeMeteore")</f>
        <v>@LeMeteore</v>
      </c>
      <c r="C1472" s="10" t="s">
        <v>3353</v>
      </c>
      <c r="D1472" s="10" t="s">
        <v>3163</v>
      </c>
      <c r="E1472" s="11" t="str">
        <f>HYPERLINK("https://twitter.com/LeMeteore/status/703010880435441664","703010880435441664")</f>
        <v>703010880435441664</v>
      </c>
      <c r="F1472" s="12" t="s">
        <v>446</v>
      </c>
      <c r="G1472" s="13">
        <v>390.0</v>
      </c>
      <c r="H1472" s="13">
        <v>94.0</v>
      </c>
      <c r="I1472" s="13">
        <v>15.0</v>
      </c>
      <c r="J1472" s="13">
        <v>0.0</v>
      </c>
      <c r="K1472" s="12" t="s">
        <v>21</v>
      </c>
      <c r="L1472" s="7">
        <v>40439.60685185185</v>
      </c>
      <c r="M1472" s="14" t="s">
        <v>3354</v>
      </c>
      <c r="N1472" s="14" t="s">
        <v>3355</v>
      </c>
      <c r="O1472" s="11" t="str">
        <f>HYPERLINK("https://pbs.twimg.com/profile_images/428861005255278592/whrKsPik_normal.jpeg","View")</f>
        <v>View</v>
      </c>
      <c r="P1472" s="15"/>
    </row>
    <row r="1473">
      <c r="A1473" s="7">
        <v>42425.67858796296</v>
      </c>
      <c r="B1473" s="8" t="str">
        <f>HYPERLINK("https://twitter.com/releaseteam","@releaseteam")</f>
        <v>@releaseteam</v>
      </c>
      <c r="C1473" s="10" t="s">
        <v>3356</v>
      </c>
      <c r="D1473" s="10" t="s">
        <v>3228</v>
      </c>
      <c r="E1473" s="11" t="str">
        <f>HYPERLINK("https://twitter.com/releaseteam/status/703010881433538560","703010881433538560")</f>
        <v>703010881433538560</v>
      </c>
      <c r="F1473" s="12" t="s">
        <v>3357</v>
      </c>
      <c r="G1473" s="13">
        <v>18200.0</v>
      </c>
      <c r="H1473" s="13">
        <v>17402.0</v>
      </c>
      <c r="I1473" s="13">
        <v>9.0</v>
      </c>
      <c r="J1473" s="13">
        <v>0.0</v>
      </c>
      <c r="K1473" s="12" t="s">
        <v>21</v>
      </c>
      <c r="L1473" s="7">
        <v>39671.518958333334</v>
      </c>
      <c r="M1473" s="14" t="s">
        <v>3358</v>
      </c>
      <c r="N1473" s="14" t="s">
        <v>3359</v>
      </c>
      <c r="O1473" s="11" t="str">
        <f>HYPERLINK("https://pbs.twimg.com/profile_images/2229759095/rt_logo_symbol_glossy_normal.jpg","View")</f>
        <v>View</v>
      </c>
      <c r="P1473" s="15"/>
    </row>
    <row r="1474">
      <c r="A1474" s="7">
        <v>42425.67859953704</v>
      </c>
      <c r="B1474" s="8" t="str">
        <f>HYPERLINK("https://twitter.com/my_danutz","@my_danutz")</f>
        <v>@my_danutz</v>
      </c>
      <c r="C1474" s="10" t="s">
        <v>3360</v>
      </c>
      <c r="D1474" s="10" t="s">
        <v>3361</v>
      </c>
      <c r="E1474" s="11" t="str">
        <f>HYPERLINK("https://twitter.com/my_danutz/status/703010886437511168","703010886437511168")</f>
        <v>703010886437511168</v>
      </c>
      <c r="F1474" s="12" t="s">
        <v>152</v>
      </c>
      <c r="G1474" s="13">
        <v>1161.0</v>
      </c>
      <c r="H1474" s="13">
        <v>5005.0</v>
      </c>
      <c r="I1474" s="13">
        <v>4.0</v>
      </c>
      <c r="J1474" s="13">
        <v>0.0</v>
      </c>
      <c r="K1474" s="12" t="s">
        <v>21</v>
      </c>
      <c r="L1474" s="7">
        <v>40499.20658564815</v>
      </c>
      <c r="M1474" s="16"/>
      <c r="N1474" s="16"/>
      <c r="O1474" s="11" t="str">
        <f>HYPERLINK("https://pbs.twimg.com/profile_images/594567778604027906/M4yQoc1Y_normal.jpg","View")</f>
        <v>View</v>
      </c>
      <c r="P1474" s="15"/>
    </row>
    <row r="1475">
      <c r="A1475" s="7">
        <v>42425.67872685185</v>
      </c>
      <c r="B1475" s="8" t="str">
        <f>HYPERLINK("https://twitter.com/OnlineChatAsst","@OnlineChatAsst")</f>
        <v>@OnlineChatAsst</v>
      </c>
      <c r="C1475" s="10" t="s">
        <v>3362</v>
      </c>
      <c r="D1475" s="10" t="s">
        <v>3361</v>
      </c>
      <c r="E1475" s="11" t="str">
        <f>HYPERLINK("https://twitter.com/OnlineChatAsst/status/703010935238168576","703010935238168576")</f>
        <v>703010935238168576</v>
      </c>
      <c r="F1475" s="12" t="s">
        <v>38</v>
      </c>
      <c r="G1475" s="13">
        <v>605.0</v>
      </c>
      <c r="H1475" s="13">
        <v>1309.0</v>
      </c>
      <c r="I1475" s="13">
        <v>4.0</v>
      </c>
      <c r="J1475" s="13">
        <v>0.0</v>
      </c>
      <c r="K1475" s="12" t="s">
        <v>21</v>
      </c>
      <c r="L1475" s="7">
        <v>42235.55112268518</v>
      </c>
      <c r="M1475" s="14" t="s">
        <v>1365</v>
      </c>
      <c r="N1475" s="14" t="s">
        <v>3363</v>
      </c>
      <c r="O1475" s="11" t="str">
        <f>HYPERLINK("https://pbs.twimg.com/profile_images/634742736025952256/fN7PwZg8_normal.jpg","View")</f>
        <v>View</v>
      </c>
      <c r="P1475" s="15"/>
    </row>
    <row r="1476">
      <c r="A1476" s="7">
        <v>42425.67921296296</v>
      </c>
      <c r="B1476" s="8" t="str">
        <f>HYPERLINK("https://twitter.com/PFerate","@PFerate")</f>
        <v>@PFerate</v>
      </c>
      <c r="C1476" s="10" t="s">
        <v>3364</v>
      </c>
      <c r="D1476" s="10" t="s">
        <v>3365</v>
      </c>
      <c r="E1476" s="11" t="str">
        <f>HYPERLINK("https://twitter.com/PFerate/status/703011109679149056","703011109679149056")</f>
        <v>703011109679149056</v>
      </c>
      <c r="F1476" s="12" t="s">
        <v>3340</v>
      </c>
      <c r="G1476" s="13">
        <v>18.0</v>
      </c>
      <c r="H1476" s="13">
        <v>88.0</v>
      </c>
      <c r="I1476" s="13">
        <v>0.0</v>
      </c>
      <c r="J1476" s="13">
        <v>0.0</v>
      </c>
      <c r="K1476" s="12" t="s">
        <v>21</v>
      </c>
      <c r="L1476" s="7">
        <v>41318.843206018515</v>
      </c>
      <c r="M1476" s="14" t="s">
        <v>3366</v>
      </c>
      <c r="N1476" s="16"/>
      <c r="O1476" s="11" t="str">
        <f>HYPERLINK("https://pbs.twimg.com/profile_images/431556181966868480/OxyPeVdI_normal.jpeg","View")</f>
        <v>View</v>
      </c>
      <c r="P1476" s="15"/>
    </row>
    <row r="1477">
      <c r="A1477" s="7">
        <v>42425.67946759259</v>
      </c>
      <c r="B1477" s="8" t="str">
        <f>HYPERLINK("https://twitter.com/mikegr2518","@mikegr2518")</f>
        <v>@mikegr2518</v>
      </c>
      <c r="C1477" s="10" t="s">
        <v>3367</v>
      </c>
      <c r="D1477" s="10" t="s">
        <v>3368</v>
      </c>
      <c r="E1477" s="11" t="str">
        <f>HYPERLINK("https://twitter.com/mikegr2518/status/703011200703926277","703011200703926277")</f>
        <v>703011200703926277</v>
      </c>
      <c r="F1477" s="12" t="s">
        <v>52</v>
      </c>
      <c r="G1477" s="13">
        <v>175.0</v>
      </c>
      <c r="H1477" s="13">
        <v>1156.0</v>
      </c>
      <c r="I1477" s="13">
        <v>10.0</v>
      </c>
      <c r="J1477" s="13">
        <v>0.0</v>
      </c>
      <c r="K1477" s="12" t="s">
        <v>21</v>
      </c>
      <c r="L1477" s="7">
        <v>41035.76341435185</v>
      </c>
      <c r="M1477" s="14" t="s">
        <v>741</v>
      </c>
      <c r="N1477" s="14" t="s">
        <v>3369</v>
      </c>
      <c r="O1477" s="11" t="str">
        <f>HYPERLINK("https://pbs.twimg.com/profile_images/702674540489379840/mZQ6iiyS_normal.jpg","View")</f>
        <v>View</v>
      </c>
      <c r="P1477" s="15"/>
    </row>
    <row r="1478">
      <c r="A1478" s="7">
        <v>42425.67953703704</v>
      </c>
      <c r="B1478" s="8" t="str">
        <f t="shared" ref="B1478:B1479" si="143">HYPERLINK("https://twitter.com/LillianEdmiston","@LillianEdmiston")</f>
        <v>@LillianEdmiston</v>
      </c>
      <c r="C1478" s="10" t="s">
        <v>170</v>
      </c>
      <c r="D1478" s="10" t="s">
        <v>3370</v>
      </c>
      <c r="E1478" s="11" t="str">
        <f>HYPERLINK("https://twitter.com/LillianEdmiston/status/703011225765060608","703011225765060608")</f>
        <v>703011225765060608</v>
      </c>
      <c r="F1478" s="12" t="s">
        <v>103</v>
      </c>
      <c r="G1478" s="13">
        <v>1050.0</v>
      </c>
      <c r="H1478" s="13">
        <v>40.0</v>
      </c>
      <c r="I1478" s="13">
        <v>0.0</v>
      </c>
      <c r="J1478" s="13">
        <v>0.0</v>
      </c>
      <c r="K1478" s="12" t="s">
        <v>21</v>
      </c>
      <c r="L1478" s="7">
        <v>42293.27416666667</v>
      </c>
      <c r="M1478" s="14" t="s">
        <v>172</v>
      </c>
      <c r="N1478" s="14" t="s">
        <v>173</v>
      </c>
      <c r="O1478" s="11" t="str">
        <f t="shared" ref="O1478:O1479" si="144">HYPERLINK("https://pbs.twimg.com/profile_images/655014978101993476/ZpsnJW8B_normal.jpg","View")</f>
        <v>View</v>
      </c>
      <c r="P1478" s="15"/>
    </row>
    <row r="1479">
      <c r="A1479" s="7">
        <v>42425.67953703704</v>
      </c>
      <c r="B1479" s="8" t="str">
        <f t="shared" si="143"/>
        <v>@LillianEdmiston</v>
      </c>
      <c r="C1479" s="10" t="s">
        <v>170</v>
      </c>
      <c r="D1479" s="10" t="s">
        <v>3371</v>
      </c>
      <c r="E1479" s="11" t="str">
        <f>HYPERLINK("https://twitter.com/LillianEdmiston/status/703011228097052672","703011228097052672")</f>
        <v>703011228097052672</v>
      </c>
      <c r="F1479" s="12" t="s">
        <v>103</v>
      </c>
      <c r="G1479" s="13">
        <v>1050.0</v>
      </c>
      <c r="H1479" s="13">
        <v>40.0</v>
      </c>
      <c r="I1479" s="13">
        <v>0.0</v>
      </c>
      <c r="J1479" s="13">
        <v>0.0</v>
      </c>
      <c r="K1479" s="12" t="s">
        <v>21</v>
      </c>
      <c r="L1479" s="7">
        <v>42293.27416666667</v>
      </c>
      <c r="M1479" s="14" t="s">
        <v>172</v>
      </c>
      <c r="N1479" s="14" t="s">
        <v>173</v>
      </c>
      <c r="O1479" s="11" t="str">
        <f t="shared" si="144"/>
        <v>View</v>
      </c>
      <c r="P1479" s="15"/>
    </row>
    <row r="1480">
      <c r="A1480" s="7">
        <v>42425.68009259259</v>
      </c>
      <c r="B1480" s="8" t="str">
        <f t="shared" ref="B1480:B1481" si="145">HYPERLINK("https://twitter.com/cool_python","@cool_python")</f>
        <v>@cool_python</v>
      </c>
      <c r="C1480" s="10" t="s">
        <v>249</v>
      </c>
      <c r="D1480" s="10" t="s">
        <v>3372</v>
      </c>
      <c r="E1480" s="11" t="str">
        <f>HYPERLINK("https://twitter.com/cool_python/status/703011429671182337","703011429671182337")</f>
        <v>703011429671182337</v>
      </c>
      <c r="F1480" s="12" t="s">
        <v>251</v>
      </c>
      <c r="G1480" s="13">
        <v>235.0</v>
      </c>
      <c r="H1480" s="13">
        <v>91.0</v>
      </c>
      <c r="I1480" s="13">
        <v>2.0</v>
      </c>
      <c r="J1480" s="13">
        <v>0.0</v>
      </c>
      <c r="K1480" s="12" t="s">
        <v>21</v>
      </c>
      <c r="L1480" s="7">
        <v>42064.325</v>
      </c>
      <c r="M1480" s="14" t="s">
        <v>252</v>
      </c>
      <c r="N1480" s="14" t="s">
        <v>253</v>
      </c>
      <c r="O1480" s="11" t="str">
        <f t="shared" ref="O1480:O1481" si="146">HYPERLINK("https://pbs.twimg.com/profile_images/572091631055028224/Pkx__FSB_normal.png","View")</f>
        <v>View</v>
      </c>
      <c r="P1480" s="15"/>
    </row>
    <row r="1481">
      <c r="A1481" s="7">
        <v>42425.68010416666</v>
      </c>
      <c r="B1481" s="8" t="str">
        <f t="shared" si="145"/>
        <v>@cool_python</v>
      </c>
      <c r="C1481" s="10" t="s">
        <v>249</v>
      </c>
      <c r="D1481" s="10" t="s">
        <v>3368</v>
      </c>
      <c r="E1481" s="11" t="str">
        <f>HYPERLINK("https://twitter.com/cool_python/status/703011430614880256","703011430614880256")</f>
        <v>703011430614880256</v>
      </c>
      <c r="F1481" s="12" t="s">
        <v>251</v>
      </c>
      <c r="G1481" s="13">
        <v>235.0</v>
      </c>
      <c r="H1481" s="13">
        <v>91.0</v>
      </c>
      <c r="I1481" s="13">
        <v>10.0</v>
      </c>
      <c r="J1481" s="13">
        <v>0.0</v>
      </c>
      <c r="K1481" s="12" t="s">
        <v>21</v>
      </c>
      <c r="L1481" s="7">
        <v>42064.325</v>
      </c>
      <c r="M1481" s="14" t="s">
        <v>252</v>
      </c>
      <c r="N1481" s="14" t="s">
        <v>253</v>
      </c>
      <c r="O1481" s="11" t="str">
        <f t="shared" si="146"/>
        <v>View</v>
      </c>
      <c r="P1481" s="15"/>
    </row>
    <row r="1482">
      <c r="A1482" s="7">
        <v>42425.68045138889</v>
      </c>
      <c r="B1482" s="8" t="str">
        <f>HYPERLINK("https://twitter.com/getzegami","@getzegami")</f>
        <v>@getzegami</v>
      </c>
      <c r="C1482" s="10" t="s">
        <v>3348</v>
      </c>
      <c r="D1482" s="10" t="s">
        <v>3373</v>
      </c>
      <c r="E1482" s="11" t="str">
        <f>HYPERLINK("https://twitter.com/getzegami/status/703011558436184064","703011558436184064")</f>
        <v>703011558436184064</v>
      </c>
      <c r="F1482" s="12" t="s">
        <v>20</v>
      </c>
      <c r="G1482" s="13">
        <v>90.0</v>
      </c>
      <c r="H1482" s="13">
        <v>279.0</v>
      </c>
      <c r="I1482" s="13">
        <v>0.0</v>
      </c>
      <c r="J1482" s="13">
        <v>0.0</v>
      </c>
      <c r="K1482" s="12" t="s">
        <v>21</v>
      </c>
      <c r="L1482" s="7">
        <v>41949.34612268519</v>
      </c>
      <c r="M1482" s="16"/>
      <c r="N1482" s="14" t="s">
        <v>3350</v>
      </c>
      <c r="O1482" s="11" t="str">
        <f>HYPERLINK("https://pbs.twimg.com/profile_images/530395094528974848/vB7lc4U7_normal.png","View")</f>
        <v>View</v>
      </c>
      <c r="P1482" s="15"/>
    </row>
    <row r="1483">
      <c r="A1483" s="7">
        <v>42425.680763888886</v>
      </c>
      <c r="B1483" s="8" t="str">
        <f>HYPERLINK("https://twitter.com/b1eedr","@b1eedr")</f>
        <v>@b1eedr</v>
      </c>
      <c r="C1483" s="10" t="s">
        <v>3374</v>
      </c>
      <c r="D1483" s="10" t="s">
        <v>3375</v>
      </c>
      <c r="E1483" s="11" t="str">
        <f>HYPERLINK("https://twitter.com/b1eedr/status/703011669723713536","703011669723713536")</f>
        <v>703011669723713536</v>
      </c>
      <c r="F1483" s="12" t="s">
        <v>3340</v>
      </c>
      <c r="G1483" s="13">
        <v>765.0</v>
      </c>
      <c r="H1483" s="13">
        <v>1054.0</v>
      </c>
      <c r="I1483" s="13">
        <v>0.0</v>
      </c>
      <c r="J1483" s="13">
        <v>0.0</v>
      </c>
      <c r="K1483" s="12" t="s">
        <v>21</v>
      </c>
      <c r="L1483" s="7">
        <v>40984.43865740741</v>
      </c>
      <c r="M1483" s="14" t="s">
        <v>3376</v>
      </c>
      <c r="N1483" s="14" t="s">
        <v>3377</v>
      </c>
      <c r="O1483" s="11" t="str">
        <f>HYPERLINK("https://pbs.twimg.com/profile_images/653007517912461313/JlluQwPj_normal.jpg","View")</f>
        <v>View</v>
      </c>
      <c r="P1483" s="15"/>
    </row>
    <row r="1484">
      <c r="A1484" s="7">
        <v>42425.6815625</v>
      </c>
      <c r="B1484" s="8" t="str">
        <f>HYPERLINK("https://twitter.com/rahulmanelkar","@rahulmanelkar")</f>
        <v>@rahulmanelkar</v>
      </c>
      <c r="C1484" s="10" t="s">
        <v>3378</v>
      </c>
      <c r="D1484" s="10" t="s">
        <v>3368</v>
      </c>
      <c r="E1484" s="11" t="str">
        <f>HYPERLINK("https://twitter.com/rahulmanelkar/status/703011962708320257","703011962708320257")</f>
        <v>703011962708320257</v>
      </c>
      <c r="F1484" s="12" t="s">
        <v>52</v>
      </c>
      <c r="G1484" s="13">
        <v>206.0</v>
      </c>
      <c r="H1484" s="13">
        <v>199.0</v>
      </c>
      <c r="I1484" s="13">
        <v>10.0</v>
      </c>
      <c r="J1484" s="13">
        <v>0.0</v>
      </c>
      <c r="K1484" s="12" t="s">
        <v>21</v>
      </c>
      <c r="L1484" s="7">
        <v>40211.192974537036</v>
      </c>
      <c r="M1484" s="14" t="s">
        <v>3379</v>
      </c>
      <c r="N1484" s="16"/>
      <c r="O1484" s="11" t="str">
        <f>HYPERLINK("https://pbs.twimg.com/profile_images/941093029/s619941352_368138_3405_normal.jpg","View")</f>
        <v>View</v>
      </c>
      <c r="P1484" s="15"/>
    </row>
    <row r="1485">
      <c r="A1485" s="7">
        <v>42425.68171296296</v>
      </c>
      <c r="B1485" s="8" t="str">
        <f>HYPERLINK("https://twitter.com/wcmckeedotcom","@wcmckeedotcom")</f>
        <v>@wcmckeedotcom</v>
      </c>
      <c r="C1485" s="10" t="s">
        <v>476</v>
      </c>
      <c r="D1485" s="10" t="s">
        <v>3380</v>
      </c>
      <c r="E1485" s="11" t="str">
        <f>HYPERLINK("https://twitter.com/wcmckeedotcom/status/703012016227815425","703012016227815425")</f>
        <v>703012016227815425</v>
      </c>
      <c r="F1485" s="12" t="s">
        <v>478</v>
      </c>
      <c r="G1485" s="13">
        <v>1011.0</v>
      </c>
      <c r="H1485" s="13">
        <v>875.0</v>
      </c>
      <c r="I1485" s="13">
        <v>0.0</v>
      </c>
      <c r="J1485" s="13">
        <v>0.0</v>
      </c>
      <c r="K1485" s="12" t="s">
        <v>21</v>
      </c>
      <c r="L1485" s="7">
        <v>41902.048368055555</v>
      </c>
      <c r="M1485" s="14" t="s">
        <v>479</v>
      </c>
      <c r="N1485" s="14" t="s">
        <v>480</v>
      </c>
      <c r="O1485" s="11" t="str">
        <f>HYPERLINK("https://pbs.twimg.com/profile_images/621211385746161664/tGchJstD_normal.jpg","View")</f>
        <v>View</v>
      </c>
      <c r="P1485" s="15"/>
    </row>
    <row r="1486">
      <c r="A1486" s="7">
        <v>42425.68179398148</v>
      </c>
      <c r="B1486" s="8" t="str">
        <f>HYPERLINK("https://twitter.com/art_control","@art_control")</f>
        <v>@art_control</v>
      </c>
      <c r="C1486" s="10" t="s">
        <v>309</v>
      </c>
      <c r="D1486" s="10" t="s">
        <v>3381</v>
      </c>
      <c r="E1486" s="11" t="str">
        <f>HYPERLINK("https://twitter.com/art_control/status/703012044614868992","703012044614868992")</f>
        <v>703012044614868992</v>
      </c>
      <c r="F1486" s="12" t="s">
        <v>311</v>
      </c>
      <c r="G1486" s="13">
        <v>989.0</v>
      </c>
      <c r="H1486" s="13">
        <v>850.0</v>
      </c>
      <c r="I1486" s="13">
        <v>0.0</v>
      </c>
      <c r="J1486" s="13">
        <v>0.0</v>
      </c>
      <c r="K1486" s="12" t="s">
        <v>21</v>
      </c>
      <c r="L1486" s="7">
        <v>39896.869675925926</v>
      </c>
      <c r="M1486" s="14" t="s">
        <v>312</v>
      </c>
      <c r="N1486" s="14" t="s">
        <v>313</v>
      </c>
      <c r="O1486" s="11" t="str">
        <f>HYPERLINK("https://pbs.twimg.com/profile_images/649004216690675712/UAcrP6ol_normal.png","View")</f>
        <v>View</v>
      </c>
      <c r="P1486" s="15"/>
    </row>
    <row r="1487">
      <c r="A1487" s="7">
        <v>42425.68190972222</v>
      </c>
      <c r="B1487" s="8" t="str">
        <f>HYPERLINK("https://twitter.com/Emanuelstifler1","@Emanuelstifler1")</f>
        <v>@Emanuelstifler1</v>
      </c>
      <c r="C1487" s="10" t="s">
        <v>3382</v>
      </c>
      <c r="D1487" s="10" t="s">
        <v>3383</v>
      </c>
      <c r="E1487" s="11" t="str">
        <f>HYPERLINK("https://twitter.com/Emanuelstifler1/status/703012086134104064","703012086134104064")</f>
        <v>703012086134104064</v>
      </c>
      <c r="F1487" s="12" t="s">
        <v>450</v>
      </c>
      <c r="G1487" s="13">
        <v>51.0</v>
      </c>
      <c r="H1487" s="13">
        <v>368.0</v>
      </c>
      <c r="I1487" s="13">
        <v>0.0</v>
      </c>
      <c r="J1487" s="13">
        <v>0.0</v>
      </c>
      <c r="K1487" s="12" t="s">
        <v>21</v>
      </c>
      <c r="L1487" s="7">
        <v>41618.78901620371</v>
      </c>
      <c r="M1487" s="14" t="s">
        <v>3384</v>
      </c>
      <c r="N1487" s="14" t="s">
        <v>3385</v>
      </c>
      <c r="O1487" s="11" t="str">
        <f>HYPERLINK("https://pbs.twimg.com/profile_images/631909618130755585/nR2dXGKb_normal.jpg","View")</f>
        <v>View</v>
      </c>
      <c r="P1487" s="11" t="str">
        <f>HYPERLINK("http://ctrlq.org/maps/address/#-3.73405977,-40.99032337","Map")</f>
        <v>Map</v>
      </c>
    </row>
    <row r="1488">
      <c r="A1488" s="7">
        <v>42425.681921296295</v>
      </c>
      <c r="B1488" s="8" t="str">
        <f>HYPERLINK("https://twitter.com/p_andrefreitas","@p_andrefreitas")</f>
        <v>@p_andrefreitas</v>
      </c>
      <c r="C1488" s="10" t="s">
        <v>3386</v>
      </c>
      <c r="D1488" s="10" t="s">
        <v>3361</v>
      </c>
      <c r="E1488" s="11" t="str">
        <f>HYPERLINK("https://twitter.com/p_andrefreitas/status/703012091364560897","703012091364560897")</f>
        <v>703012091364560897</v>
      </c>
      <c r="F1488" s="12" t="s">
        <v>20</v>
      </c>
      <c r="G1488" s="13">
        <v>654.0</v>
      </c>
      <c r="H1488" s="13">
        <v>337.0</v>
      </c>
      <c r="I1488" s="13">
        <v>4.0</v>
      </c>
      <c r="J1488" s="13">
        <v>0.0</v>
      </c>
      <c r="K1488" s="12" t="s">
        <v>21</v>
      </c>
      <c r="L1488" s="7">
        <v>39856.53811342592</v>
      </c>
      <c r="M1488" s="14" t="s">
        <v>3387</v>
      </c>
      <c r="N1488" s="14" t="s">
        <v>3388</v>
      </c>
      <c r="O1488" s="11" t="str">
        <f>HYPERLINK("https://pbs.twimg.com/profile_images/690642991375978496/ghOFHJPd_normal.jpg","View")</f>
        <v>View</v>
      </c>
      <c r="P1488" s="15"/>
    </row>
    <row r="1489">
      <c r="A1489" s="7">
        <v>42425.68373842593</v>
      </c>
      <c r="B1489" s="8" t="str">
        <f>HYPERLINK("https://twitter.com/_walmik","@_walmik")</f>
        <v>@_walmik</v>
      </c>
      <c r="C1489" s="10" t="s">
        <v>3389</v>
      </c>
      <c r="D1489" s="10" t="s">
        <v>3390</v>
      </c>
      <c r="E1489" s="11" t="str">
        <f>HYPERLINK("https://twitter.com/_walmik/status/703012747760373760","703012747760373760")</f>
        <v>703012747760373760</v>
      </c>
      <c r="F1489" s="12" t="s">
        <v>20</v>
      </c>
      <c r="G1489" s="13">
        <v>166.0</v>
      </c>
      <c r="H1489" s="13">
        <v>23.0</v>
      </c>
      <c r="I1489" s="13">
        <v>0.0</v>
      </c>
      <c r="J1489" s="13">
        <v>1.0</v>
      </c>
      <c r="K1489" s="12" t="s">
        <v>21</v>
      </c>
      <c r="L1489" s="7">
        <v>40067.921956018516</v>
      </c>
      <c r="M1489" s="14" t="s">
        <v>3391</v>
      </c>
      <c r="N1489" s="14" t="s">
        <v>3392</v>
      </c>
      <c r="O1489" s="11" t="str">
        <f>HYPERLINK("https://pbs.twimg.com/profile_images/615244647468658688/f2VIL2Nv_normal.jpg","View")</f>
        <v>View</v>
      </c>
      <c r="P1489" s="15"/>
    </row>
    <row r="1490">
      <c r="A1490" s="7">
        <v>42425.6841087963</v>
      </c>
      <c r="B1490" s="8" t="str">
        <f t="shared" ref="B1490:B1495" si="147">HYPERLINK("https://twitter.com/artwisanggeni","@artwisanggeni")</f>
        <v>@artwisanggeni</v>
      </c>
      <c r="C1490" s="10" t="s">
        <v>74</v>
      </c>
      <c r="D1490" s="10" t="s">
        <v>3393</v>
      </c>
      <c r="E1490" s="11" t="str">
        <f>HYPERLINK("https://twitter.com/artwisanggeni/status/703012883760705537","703012883760705537")</f>
        <v>703012883760705537</v>
      </c>
      <c r="F1490" s="17" t="s">
        <v>76</v>
      </c>
      <c r="G1490" s="13">
        <v>236.0</v>
      </c>
      <c r="H1490" s="13">
        <v>61.0</v>
      </c>
      <c r="I1490" s="13">
        <v>0.0</v>
      </c>
      <c r="J1490" s="13">
        <v>0.0</v>
      </c>
      <c r="K1490" s="12" t="s">
        <v>21</v>
      </c>
      <c r="L1490" s="7">
        <v>41218.90608796296</v>
      </c>
      <c r="M1490" s="14" t="s">
        <v>77</v>
      </c>
      <c r="N1490" s="14" t="s">
        <v>78</v>
      </c>
      <c r="O1490" s="11" t="str">
        <f t="shared" ref="O1490:O1495" si="148">HYPERLINK("https://pbs.twimg.com/profile_images/2813636657/599521f69e2bc210a57323b64d8e39e6_normal.jpeg","View")</f>
        <v>View</v>
      </c>
      <c r="P1490" s="15"/>
    </row>
    <row r="1491">
      <c r="A1491" s="7">
        <v>42425.684120370366</v>
      </c>
      <c r="B1491" s="8" t="str">
        <f t="shared" si="147"/>
        <v>@artwisanggeni</v>
      </c>
      <c r="C1491" s="10" t="s">
        <v>74</v>
      </c>
      <c r="D1491" s="10" t="s">
        <v>3394</v>
      </c>
      <c r="E1491" s="11" t="str">
        <f>HYPERLINK("https://twitter.com/artwisanggeni/status/703012888106000386","703012888106000386")</f>
        <v>703012888106000386</v>
      </c>
      <c r="F1491" s="17" t="s">
        <v>76</v>
      </c>
      <c r="G1491" s="13">
        <v>236.0</v>
      </c>
      <c r="H1491" s="13">
        <v>61.0</v>
      </c>
      <c r="I1491" s="13">
        <v>0.0</v>
      </c>
      <c r="J1491" s="13">
        <v>0.0</v>
      </c>
      <c r="K1491" s="12" t="s">
        <v>21</v>
      </c>
      <c r="L1491" s="7">
        <v>41218.90608796296</v>
      </c>
      <c r="M1491" s="14" t="s">
        <v>77</v>
      </c>
      <c r="N1491" s="14" t="s">
        <v>78</v>
      </c>
      <c r="O1491" s="11" t="str">
        <f t="shared" si="148"/>
        <v>View</v>
      </c>
      <c r="P1491" s="15"/>
    </row>
    <row r="1492">
      <c r="A1492" s="7">
        <v>42425.68413194444</v>
      </c>
      <c r="B1492" s="8" t="str">
        <f t="shared" si="147"/>
        <v>@artwisanggeni</v>
      </c>
      <c r="C1492" s="10" t="s">
        <v>74</v>
      </c>
      <c r="D1492" s="10" t="s">
        <v>3395</v>
      </c>
      <c r="E1492" s="11" t="str">
        <f>HYPERLINK("https://twitter.com/artwisanggeni/status/703012892623261697","703012892623261697")</f>
        <v>703012892623261697</v>
      </c>
      <c r="F1492" s="17" t="s">
        <v>76</v>
      </c>
      <c r="G1492" s="13">
        <v>236.0</v>
      </c>
      <c r="H1492" s="13">
        <v>61.0</v>
      </c>
      <c r="I1492" s="13">
        <v>0.0</v>
      </c>
      <c r="J1492" s="13">
        <v>0.0</v>
      </c>
      <c r="K1492" s="12" t="s">
        <v>21</v>
      </c>
      <c r="L1492" s="7">
        <v>41218.90608796296</v>
      </c>
      <c r="M1492" s="14" t="s">
        <v>77</v>
      </c>
      <c r="N1492" s="14" t="s">
        <v>78</v>
      </c>
      <c r="O1492" s="11" t="str">
        <f t="shared" si="148"/>
        <v>View</v>
      </c>
      <c r="P1492" s="15"/>
    </row>
    <row r="1493">
      <c r="A1493" s="7">
        <v>42425.68414351852</v>
      </c>
      <c r="B1493" s="8" t="str">
        <f t="shared" si="147"/>
        <v>@artwisanggeni</v>
      </c>
      <c r="C1493" s="10" t="s">
        <v>74</v>
      </c>
      <c r="D1493" s="10" t="s">
        <v>3396</v>
      </c>
      <c r="E1493" s="11" t="str">
        <f>HYPERLINK("https://twitter.com/artwisanggeni/status/703012896389791745","703012896389791745")</f>
        <v>703012896389791745</v>
      </c>
      <c r="F1493" s="17" t="s">
        <v>76</v>
      </c>
      <c r="G1493" s="13">
        <v>236.0</v>
      </c>
      <c r="H1493" s="13">
        <v>61.0</v>
      </c>
      <c r="I1493" s="13">
        <v>0.0</v>
      </c>
      <c r="J1493" s="13">
        <v>0.0</v>
      </c>
      <c r="K1493" s="12" t="s">
        <v>21</v>
      </c>
      <c r="L1493" s="7">
        <v>41218.90608796296</v>
      </c>
      <c r="M1493" s="14" t="s">
        <v>77</v>
      </c>
      <c r="N1493" s="14" t="s">
        <v>78</v>
      </c>
      <c r="O1493" s="11" t="str">
        <f t="shared" si="148"/>
        <v>View</v>
      </c>
      <c r="P1493" s="15"/>
    </row>
    <row r="1494">
      <c r="A1494" s="7">
        <v>42425.684166666666</v>
      </c>
      <c r="B1494" s="8" t="str">
        <f t="shared" si="147"/>
        <v>@artwisanggeni</v>
      </c>
      <c r="C1494" s="10" t="s">
        <v>74</v>
      </c>
      <c r="D1494" s="10" t="s">
        <v>3397</v>
      </c>
      <c r="E1494" s="11" t="str">
        <f>HYPERLINK("https://twitter.com/artwisanggeni/status/703012903713046528","703012903713046528")</f>
        <v>703012903713046528</v>
      </c>
      <c r="F1494" s="17" t="s">
        <v>76</v>
      </c>
      <c r="G1494" s="13">
        <v>236.0</v>
      </c>
      <c r="H1494" s="13">
        <v>61.0</v>
      </c>
      <c r="I1494" s="13">
        <v>0.0</v>
      </c>
      <c r="J1494" s="13">
        <v>0.0</v>
      </c>
      <c r="K1494" s="12" t="s">
        <v>21</v>
      </c>
      <c r="L1494" s="7">
        <v>41218.90608796296</v>
      </c>
      <c r="M1494" s="14" t="s">
        <v>77</v>
      </c>
      <c r="N1494" s="14" t="s">
        <v>78</v>
      </c>
      <c r="O1494" s="11" t="str">
        <f t="shared" si="148"/>
        <v>View</v>
      </c>
      <c r="P1494" s="15"/>
    </row>
    <row r="1495">
      <c r="A1495" s="7">
        <v>42425.68417824074</v>
      </c>
      <c r="B1495" s="8" t="str">
        <f t="shared" si="147"/>
        <v>@artwisanggeni</v>
      </c>
      <c r="C1495" s="10" t="s">
        <v>74</v>
      </c>
      <c r="D1495" s="10" t="s">
        <v>3398</v>
      </c>
      <c r="E1495" s="11" t="str">
        <f>HYPERLINK("https://twitter.com/artwisanggeni/status/703012907055845376","703012907055845376")</f>
        <v>703012907055845376</v>
      </c>
      <c r="F1495" s="17" t="s">
        <v>76</v>
      </c>
      <c r="G1495" s="13">
        <v>236.0</v>
      </c>
      <c r="H1495" s="13">
        <v>61.0</v>
      </c>
      <c r="I1495" s="13">
        <v>0.0</v>
      </c>
      <c r="J1495" s="13">
        <v>0.0</v>
      </c>
      <c r="K1495" s="12" t="s">
        <v>21</v>
      </c>
      <c r="L1495" s="7">
        <v>41218.90608796296</v>
      </c>
      <c r="M1495" s="14" t="s">
        <v>77</v>
      </c>
      <c r="N1495" s="14" t="s">
        <v>78</v>
      </c>
      <c r="O1495" s="11" t="str">
        <f t="shared" si="148"/>
        <v>View</v>
      </c>
      <c r="P1495" s="15"/>
    </row>
    <row r="1496">
      <c r="A1496" s="7">
        <v>42425.68435185185</v>
      </c>
      <c r="B1496" s="8" t="str">
        <f>HYPERLINK("https://twitter.com/MauiCountyCSR","@MauiCountyCSR")</f>
        <v>@MauiCountyCSR</v>
      </c>
      <c r="C1496" s="10" t="s">
        <v>3399</v>
      </c>
      <c r="D1496" s="10" t="s">
        <v>3228</v>
      </c>
      <c r="E1496" s="11" t="str">
        <f>HYPERLINK("https://twitter.com/MauiCountyCSR/status/703012972868702209","703012972868702209")</f>
        <v>703012972868702209</v>
      </c>
      <c r="F1496" s="12" t="s">
        <v>152</v>
      </c>
      <c r="G1496" s="13">
        <v>496.0</v>
      </c>
      <c r="H1496" s="13">
        <v>476.0</v>
      </c>
      <c r="I1496" s="13">
        <v>9.0</v>
      </c>
      <c r="J1496" s="13">
        <v>0.0</v>
      </c>
      <c r="K1496" s="12" t="s">
        <v>21</v>
      </c>
      <c r="L1496" s="7">
        <v>41660.5844212963</v>
      </c>
      <c r="M1496" s="14" t="s">
        <v>3400</v>
      </c>
      <c r="N1496" s="14" t="s">
        <v>3401</v>
      </c>
      <c r="O1496" s="11" t="str">
        <f>HYPERLINK("https://pbs.twimg.com/profile_images/681652393382031360/RQnzNXK5_normal.jpg","View")</f>
        <v>View</v>
      </c>
      <c r="P1496" s="15"/>
    </row>
    <row r="1497">
      <c r="A1497" s="7">
        <v>42425.684953703705</v>
      </c>
      <c r="B1497" s="8" t="str">
        <f t="shared" ref="B1497:B1499" si="149">HYPERLINK("https://twitter.com/artwisanggeni","@artwisanggeni")</f>
        <v>@artwisanggeni</v>
      </c>
      <c r="C1497" s="10" t="s">
        <v>74</v>
      </c>
      <c r="D1497" s="10" t="s">
        <v>3402</v>
      </c>
      <c r="E1497" s="11" t="str">
        <f>HYPERLINK("https://twitter.com/artwisanggeni/status/703013188598542336","703013188598542336")</f>
        <v>703013188598542336</v>
      </c>
      <c r="F1497" s="17" t="s">
        <v>76</v>
      </c>
      <c r="G1497" s="13">
        <v>236.0</v>
      </c>
      <c r="H1497" s="13">
        <v>61.0</v>
      </c>
      <c r="I1497" s="13">
        <v>0.0</v>
      </c>
      <c r="J1497" s="13">
        <v>0.0</v>
      </c>
      <c r="K1497" s="12" t="s">
        <v>21</v>
      </c>
      <c r="L1497" s="7">
        <v>41218.90608796296</v>
      </c>
      <c r="M1497" s="14" t="s">
        <v>77</v>
      </c>
      <c r="N1497" s="14" t="s">
        <v>78</v>
      </c>
      <c r="O1497" s="11" t="str">
        <f t="shared" ref="O1497:O1499" si="150">HYPERLINK("https://pbs.twimg.com/profile_images/2813636657/599521f69e2bc210a57323b64d8e39e6_normal.jpeg","View")</f>
        <v>View</v>
      </c>
      <c r="P1497" s="15"/>
    </row>
    <row r="1498">
      <c r="A1498" s="7">
        <v>42425.684965277775</v>
      </c>
      <c r="B1498" s="8" t="str">
        <f t="shared" si="149"/>
        <v>@artwisanggeni</v>
      </c>
      <c r="C1498" s="10" t="s">
        <v>74</v>
      </c>
      <c r="D1498" s="10" t="s">
        <v>3403</v>
      </c>
      <c r="E1498" s="11" t="str">
        <f>HYPERLINK("https://twitter.com/artwisanggeni/status/703013192914501632","703013192914501632")</f>
        <v>703013192914501632</v>
      </c>
      <c r="F1498" s="17" t="s">
        <v>76</v>
      </c>
      <c r="G1498" s="13">
        <v>236.0</v>
      </c>
      <c r="H1498" s="13">
        <v>61.0</v>
      </c>
      <c r="I1498" s="13">
        <v>0.0</v>
      </c>
      <c r="J1498" s="13">
        <v>0.0</v>
      </c>
      <c r="K1498" s="12" t="s">
        <v>21</v>
      </c>
      <c r="L1498" s="7">
        <v>41218.90608796296</v>
      </c>
      <c r="M1498" s="14" t="s">
        <v>77</v>
      </c>
      <c r="N1498" s="14" t="s">
        <v>78</v>
      </c>
      <c r="O1498" s="11" t="str">
        <f t="shared" si="150"/>
        <v>View</v>
      </c>
      <c r="P1498" s="15"/>
    </row>
    <row r="1499">
      <c r="A1499" s="7">
        <v>42425.684965277775</v>
      </c>
      <c r="B1499" s="8" t="str">
        <f t="shared" si="149"/>
        <v>@artwisanggeni</v>
      </c>
      <c r="C1499" s="10" t="s">
        <v>74</v>
      </c>
      <c r="D1499" s="10" t="s">
        <v>3404</v>
      </c>
      <c r="E1499" s="11" t="str">
        <f>HYPERLINK("https://twitter.com/artwisanggeni/status/703013195737268224","703013195737268224")</f>
        <v>703013195737268224</v>
      </c>
      <c r="F1499" s="17" t="s">
        <v>76</v>
      </c>
      <c r="G1499" s="13">
        <v>236.0</v>
      </c>
      <c r="H1499" s="13">
        <v>61.0</v>
      </c>
      <c r="I1499" s="13">
        <v>0.0</v>
      </c>
      <c r="J1499" s="13">
        <v>0.0</v>
      </c>
      <c r="K1499" s="12" t="s">
        <v>21</v>
      </c>
      <c r="L1499" s="7">
        <v>41218.90608796296</v>
      </c>
      <c r="M1499" s="14" t="s">
        <v>77</v>
      </c>
      <c r="N1499" s="14" t="s">
        <v>78</v>
      </c>
      <c r="O1499" s="11" t="str">
        <f t="shared" si="150"/>
        <v>View</v>
      </c>
      <c r="P1499" s="15"/>
    </row>
    <row r="1500">
      <c r="A1500" s="7">
        <v>42425.68659722222</v>
      </c>
      <c r="B1500" s="8" t="str">
        <f>HYPERLINK("https://twitter.com/iMitwe","@iMitwe")</f>
        <v>@iMitwe</v>
      </c>
      <c r="C1500" s="10" t="s">
        <v>1218</v>
      </c>
      <c r="D1500" s="10" t="s">
        <v>3405</v>
      </c>
      <c r="E1500" s="11" t="str">
        <f>HYPERLINK("https://twitter.com/iMitwe/status/703013785083191298","703013785083191298")</f>
        <v>703013785083191298</v>
      </c>
      <c r="F1500" s="12" t="s">
        <v>2063</v>
      </c>
      <c r="G1500" s="13">
        <v>630.0</v>
      </c>
      <c r="H1500" s="13">
        <v>140.0</v>
      </c>
      <c r="I1500" s="13">
        <v>1.0</v>
      </c>
      <c r="J1500" s="13">
        <v>2.0</v>
      </c>
      <c r="K1500" s="12" t="s">
        <v>21</v>
      </c>
      <c r="L1500" s="7">
        <v>41750.69737268519</v>
      </c>
      <c r="M1500" s="14" t="s">
        <v>1219</v>
      </c>
      <c r="N1500" s="14" t="s">
        <v>1220</v>
      </c>
      <c r="O1500" s="11" t="str">
        <f>HYPERLINK("https://pbs.twimg.com/profile_images/686787791171248128/51m2zxZn_normal.jpg","View")</f>
        <v>View</v>
      </c>
      <c r="P1500" s="15"/>
    </row>
    <row r="1501">
      <c r="A1501" s="7">
        <v>42425.686793981484</v>
      </c>
      <c r="B1501" s="8" t="str">
        <f>HYPERLINK("https://twitter.com/korezian","@korezian")</f>
        <v>@korezian</v>
      </c>
      <c r="C1501" s="10" t="s">
        <v>2584</v>
      </c>
      <c r="D1501" s="10" t="s">
        <v>3368</v>
      </c>
      <c r="E1501" s="11" t="str">
        <f>HYPERLINK("https://twitter.com/korezian/status/703013858684735488","703013858684735488")</f>
        <v>703013858684735488</v>
      </c>
      <c r="F1501" s="12" t="s">
        <v>152</v>
      </c>
      <c r="G1501" s="13">
        <v>336.0</v>
      </c>
      <c r="H1501" s="13">
        <v>662.0</v>
      </c>
      <c r="I1501" s="13">
        <v>10.0</v>
      </c>
      <c r="J1501" s="13">
        <v>0.0</v>
      </c>
      <c r="K1501" s="12" t="s">
        <v>21</v>
      </c>
      <c r="L1501" s="7">
        <v>41318.54667824074</v>
      </c>
      <c r="M1501" s="16"/>
      <c r="N1501" s="14" t="s">
        <v>2585</v>
      </c>
      <c r="O1501" s="11" t="str">
        <f>HYPERLINK("https://pbs.twimg.com/profile_images/460099412526518272/aNXvaTyn_normal.jpeg","View")</f>
        <v>View</v>
      </c>
      <c r="P1501" s="15"/>
    </row>
    <row r="1502">
      <c r="A1502" s="7">
        <v>42425.686840277776</v>
      </c>
      <c r="B1502" s="8" t="str">
        <f>HYPERLINK("https://twitter.com/banks_william","@banks_william")</f>
        <v>@banks_william</v>
      </c>
      <c r="C1502" s="10" t="s">
        <v>3406</v>
      </c>
      <c r="D1502" s="10" t="s">
        <v>3407</v>
      </c>
      <c r="E1502" s="11" t="str">
        <f>HYPERLINK("https://twitter.com/banks_william/status/703013871557156864","703013871557156864")</f>
        <v>703013871557156864</v>
      </c>
      <c r="F1502" s="12" t="s">
        <v>3408</v>
      </c>
      <c r="G1502" s="13">
        <v>3361.0</v>
      </c>
      <c r="H1502" s="13">
        <v>3770.0</v>
      </c>
      <c r="I1502" s="13">
        <v>0.0</v>
      </c>
      <c r="J1502" s="13">
        <v>1.0</v>
      </c>
      <c r="K1502" s="12" t="s">
        <v>21</v>
      </c>
      <c r="L1502" s="7">
        <v>40849.67909722222</v>
      </c>
      <c r="M1502" s="14" t="s">
        <v>3409</v>
      </c>
      <c r="N1502" s="14" t="s">
        <v>3410</v>
      </c>
      <c r="O1502" s="11" t="str">
        <f>HYPERLINK("https://pbs.twimg.com/profile_images/666987561613684738/ocbEmvH-_normal.jpg","View")</f>
        <v>View</v>
      </c>
      <c r="P1502" s="15"/>
    </row>
    <row r="1503">
      <c r="A1503" s="7">
        <v>42425.68740740741</v>
      </c>
      <c r="B1503" s="8" t="str">
        <f>HYPERLINK("https://twitter.com/BrianDrake415","@BrianDrake415")</f>
        <v>@BrianDrake415</v>
      </c>
      <c r="C1503" s="10" t="s">
        <v>3411</v>
      </c>
      <c r="D1503" s="10" t="s">
        <v>3412</v>
      </c>
      <c r="E1503" s="11" t="str">
        <f>HYPERLINK("https://twitter.com/BrianDrake415/status/703014079028301824","703014079028301824")</f>
        <v>703014079028301824</v>
      </c>
      <c r="F1503" s="12" t="s">
        <v>1563</v>
      </c>
      <c r="G1503" s="13">
        <v>107.0</v>
      </c>
      <c r="H1503" s="13">
        <v>178.0</v>
      </c>
      <c r="I1503" s="13">
        <v>0.0</v>
      </c>
      <c r="J1503" s="13">
        <v>0.0</v>
      </c>
      <c r="K1503" s="12" t="s">
        <v>21</v>
      </c>
      <c r="L1503" s="7">
        <v>41031.65190972222</v>
      </c>
      <c r="M1503" s="14" t="s">
        <v>69</v>
      </c>
      <c r="N1503" s="14" t="s">
        <v>3413</v>
      </c>
      <c r="O1503" s="11" t="str">
        <f>HYPERLINK("https://pbs.twimg.com/profile_images/2185672884/Linked_normal.jpg","View")</f>
        <v>View</v>
      </c>
      <c r="P1503" s="15"/>
    </row>
    <row r="1504">
      <c r="A1504" s="7">
        <v>42425.68766203704</v>
      </c>
      <c r="B1504" s="8" t="str">
        <f>HYPERLINK("https://twitter.com/AnalyticsVidhya","@AnalyticsVidhya")</f>
        <v>@AnalyticsVidhya</v>
      </c>
      <c r="C1504" s="10" t="s">
        <v>2998</v>
      </c>
      <c r="D1504" s="10" t="s">
        <v>3414</v>
      </c>
      <c r="E1504" s="11" t="str">
        <f>HYPERLINK("https://twitter.com/AnalyticsVidhya/status/703014170300698625","703014170300698625")</f>
        <v>703014170300698625</v>
      </c>
      <c r="F1504" s="12" t="s">
        <v>294</v>
      </c>
      <c r="G1504" s="13">
        <v>4133.0</v>
      </c>
      <c r="H1504" s="13">
        <v>250.0</v>
      </c>
      <c r="I1504" s="13">
        <v>3.0</v>
      </c>
      <c r="J1504" s="13">
        <v>2.0</v>
      </c>
      <c r="K1504" s="12" t="s">
        <v>21</v>
      </c>
      <c r="L1504" s="7">
        <v>41665.11702546296</v>
      </c>
      <c r="M1504" s="16"/>
      <c r="N1504" s="14" t="s">
        <v>3000</v>
      </c>
      <c r="O1504" s="11" t="str">
        <f>HYPERLINK("https://pbs.twimg.com/profile_images/457775762108448768/XmO2C1-E_normal.png","View")</f>
        <v>View</v>
      </c>
      <c r="P1504" s="15"/>
    </row>
    <row r="1505">
      <c r="A1505" s="7">
        <v>42425.687951388885</v>
      </c>
      <c r="B1505" s="8" t="str">
        <f>HYPERLINK("https://twitter.com/sgodoy","@sgodoy")</f>
        <v>@sgodoy</v>
      </c>
      <c r="C1505" s="10" t="s">
        <v>3415</v>
      </c>
      <c r="D1505" s="10" t="s">
        <v>3416</v>
      </c>
      <c r="E1505" s="11" t="str">
        <f>HYPERLINK("https://twitter.com/sgodoy/status/703014278387752961","703014278387752961")</f>
        <v>703014278387752961</v>
      </c>
      <c r="F1505" s="12" t="s">
        <v>20</v>
      </c>
      <c r="G1505" s="13">
        <v>67.0</v>
      </c>
      <c r="H1505" s="13">
        <v>132.0</v>
      </c>
      <c r="I1505" s="13">
        <v>0.0</v>
      </c>
      <c r="J1505" s="13">
        <v>0.0</v>
      </c>
      <c r="K1505" s="12" t="s">
        <v>21</v>
      </c>
      <c r="L1505" s="7">
        <v>39877.367638888885</v>
      </c>
      <c r="M1505" s="14" t="s">
        <v>3417</v>
      </c>
      <c r="N1505" s="14" t="s">
        <v>3418</v>
      </c>
      <c r="O1505" s="11" t="str">
        <f>HYPERLINK("https://pbs.twimg.com/profile_images/3573957003/9e38683558a1687f65f7bedff441ee51_normal.jpeg","View")</f>
        <v>View</v>
      </c>
      <c r="P1505" s="15"/>
    </row>
    <row r="1506">
      <c r="A1506" s="7">
        <v>42425.688784722224</v>
      </c>
      <c r="B1506" s="8" t="str">
        <f>HYPERLINK("https://twitter.com/mrs_sills","@mrs_sills")</f>
        <v>@mrs_sills</v>
      </c>
      <c r="C1506" s="10" t="s">
        <v>3419</v>
      </c>
      <c r="D1506" s="10" t="s">
        <v>3420</v>
      </c>
      <c r="E1506" s="11" t="str">
        <f>HYPERLINK("https://twitter.com/mrs_sills/status/703014579886919680","703014579886919680")</f>
        <v>703014579886919680</v>
      </c>
      <c r="F1506" s="12" t="s">
        <v>52</v>
      </c>
      <c r="G1506" s="13">
        <v>121.0</v>
      </c>
      <c r="H1506" s="13">
        <v>178.0</v>
      </c>
      <c r="I1506" s="13">
        <v>0.0</v>
      </c>
      <c r="J1506" s="13">
        <v>1.0</v>
      </c>
      <c r="K1506" s="12" t="s">
        <v>21</v>
      </c>
      <c r="L1506" s="7">
        <v>41513.99238425926</v>
      </c>
      <c r="M1506" s="14" t="s">
        <v>3421</v>
      </c>
      <c r="N1506" s="14" t="s">
        <v>3422</v>
      </c>
      <c r="O1506" s="11" t="str">
        <f>HYPERLINK("https://pbs.twimg.com/profile_images/531536311350341632/NBRjyJ_n_normal.jpeg","View")</f>
        <v>View</v>
      </c>
      <c r="P1506" s="15"/>
    </row>
    <row r="1507">
      <c r="A1507" s="7">
        <v>42425.690046296295</v>
      </c>
      <c r="B1507" s="8" t="str">
        <f>HYPERLINK("https://twitter.com/LillianEdmiston","@LillianEdmiston")</f>
        <v>@LillianEdmiston</v>
      </c>
      <c r="C1507" s="10" t="s">
        <v>170</v>
      </c>
      <c r="D1507" s="10" t="s">
        <v>3423</v>
      </c>
      <c r="E1507" s="11" t="str">
        <f>HYPERLINK("https://twitter.com/LillianEdmiston/status/703015037263343616","703015037263343616")</f>
        <v>703015037263343616</v>
      </c>
      <c r="F1507" s="12" t="s">
        <v>103</v>
      </c>
      <c r="G1507" s="13">
        <v>1050.0</v>
      </c>
      <c r="H1507" s="13">
        <v>40.0</v>
      </c>
      <c r="I1507" s="13">
        <v>0.0</v>
      </c>
      <c r="J1507" s="13">
        <v>0.0</v>
      </c>
      <c r="K1507" s="12" t="s">
        <v>21</v>
      </c>
      <c r="L1507" s="7">
        <v>42293.27416666667</v>
      </c>
      <c r="M1507" s="14" t="s">
        <v>172</v>
      </c>
      <c r="N1507" s="14" t="s">
        <v>173</v>
      </c>
      <c r="O1507" s="11" t="str">
        <f>HYPERLINK("https://pbs.twimg.com/profile_images/655014978101993476/ZpsnJW8B_normal.jpg","View")</f>
        <v>View</v>
      </c>
      <c r="P1507" s="15"/>
    </row>
    <row r="1508">
      <c r="A1508" s="7">
        <v>42425.69097222222</v>
      </c>
      <c r="B1508" s="8" t="str">
        <f t="shared" ref="B1508:B1509" si="151">HYPERLINK("https://twitter.com/RealPython","@RealPython")</f>
        <v>@RealPython</v>
      </c>
      <c r="C1508" s="9" t="s">
        <v>1021</v>
      </c>
      <c r="D1508" s="10" t="s">
        <v>3163</v>
      </c>
      <c r="E1508" s="11" t="str">
        <f>HYPERLINK("https://twitter.com/RealPython/status/703015372807507968","703015372807507968")</f>
        <v>703015372807507968</v>
      </c>
      <c r="F1508" s="12" t="s">
        <v>20</v>
      </c>
      <c r="G1508" s="13">
        <v>5088.0</v>
      </c>
      <c r="H1508" s="13">
        <v>39.0</v>
      </c>
      <c r="I1508" s="13">
        <v>15.0</v>
      </c>
      <c r="J1508" s="13">
        <v>0.0</v>
      </c>
      <c r="K1508" s="12" t="s">
        <v>21</v>
      </c>
      <c r="L1508" s="7">
        <v>41129.57270833333</v>
      </c>
      <c r="M1508" s="16"/>
      <c r="N1508" s="14" t="s">
        <v>1022</v>
      </c>
      <c r="O1508" s="11" t="str">
        <f t="shared" ref="O1508:O1509" si="152">HYPERLINK("https://pbs.twimg.com/profile_images/3312468366/129323224633d71286101d517a2f9817_normal.png","View")</f>
        <v>View</v>
      </c>
      <c r="P1508" s="15"/>
    </row>
    <row r="1509">
      <c r="A1509" s="7">
        <v>42425.69123842593</v>
      </c>
      <c r="B1509" s="8" t="str">
        <f t="shared" si="151"/>
        <v>@RealPython</v>
      </c>
      <c r="C1509" s="9" t="s">
        <v>1021</v>
      </c>
      <c r="D1509" s="10" t="s">
        <v>2842</v>
      </c>
      <c r="E1509" s="11" t="str">
        <f>HYPERLINK("https://twitter.com/RealPython/status/703015468697669632","703015468697669632")</f>
        <v>703015468697669632</v>
      </c>
      <c r="F1509" s="12" t="s">
        <v>20</v>
      </c>
      <c r="G1509" s="13">
        <v>5088.0</v>
      </c>
      <c r="H1509" s="13">
        <v>39.0</v>
      </c>
      <c r="I1509" s="13">
        <v>8.0</v>
      </c>
      <c r="J1509" s="13">
        <v>0.0</v>
      </c>
      <c r="K1509" s="12" t="s">
        <v>21</v>
      </c>
      <c r="L1509" s="7">
        <v>41129.57270833333</v>
      </c>
      <c r="M1509" s="16"/>
      <c r="N1509" s="14" t="s">
        <v>1022</v>
      </c>
      <c r="O1509" s="11" t="str">
        <f t="shared" si="152"/>
        <v>View</v>
      </c>
      <c r="P1509" s="15"/>
    </row>
    <row r="1510">
      <c r="A1510" s="7">
        <v>42425.69237268518</v>
      </c>
      <c r="B1510" s="8" t="str">
        <f>HYPERLINK("https://twitter.com/offthemesh","@offthemesh")</f>
        <v>@offthemesh</v>
      </c>
      <c r="C1510" s="10" t="s">
        <v>3424</v>
      </c>
      <c r="D1510" s="10" t="s">
        <v>3228</v>
      </c>
      <c r="E1510" s="11" t="str">
        <f>HYPERLINK("https://twitter.com/offthemesh/status/703015880217612289","703015880217612289")</f>
        <v>703015880217612289</v>
      </c>
      <c r="F1510" s="12" t="s">
        <v>124</v>
      </c>
      <c r="G1510" s="13">
        <v>127.0</v>
      </c>
      <c r="H1510" s="13">
        <v>183.0</v>
      </c>
      <c r="I1510" s="13">
        <v>9.0</v>
      </c>
      <c r="J1510" s="13">
        <v>0.0</v>
      </c>
      <c r="K1510" s="12" t="s">
        <v>21</v>
      </c>
      <c r="L1510" s="7">
        <v>40597.95125</v>
      </c>
      <c r="M1510" s="14" t="s">
        <v>3425</v>
      </c>
      <c r="N1510" s="14" t="s">
        <v>3426</v>
      </c>
      <c r="O1510" s="11" t="str">
        <f>HYPERLINK("https://pbs.twimg.com/profile_images/2461671612/image_normal.jpg","View")</f>
        <v>View</v>
      </c>
      <c r="P1510" s="15"/>
    </row>
    <row r="1511">
      <c r="A1511" s="7">
        <v>42425.69253472222</v>
      </c>
      <c r="B1511" s="8" t="str">
        <f>HYPERLINK("https://twitter.com/rezakamalifard","@rezakamalifard")</f>
        <v>@rezakamalifard</v>
      </c>
      <c r="C1511" s="10" t="s">
        <v>3427</v>
      </c>
      <c r="D1511" s="10" t="s">
        <v>3163</v>
      </c>
      <c r="E1511" s="11" t="str">
        <f>HYPERLINK("https://twitter.com/rezakamalifard/status/703015937302142977","703015937302142977")</f>
        <v>703015937302142977</v>
      </c>
      <c r="F1511" s="12" t="s">
        <v>20</v>
      </c>
      <c r="G1511" s="13">
        <v>763.0</v>
      </c>
      <c r="H1511" s="13">
        <v>264.0</v>
      </c>
      <c r="I1511" s="13">
        <v>15.0</v>
      </c>
      <c r="J1511" s="13">
        <v>0.0</v>
      </c>
      <c r="K1511" s="12" t="s">
        <v>21</v>
      </c>
      <c r="L1511" s="7">
        <v>39964.41063657407</v>
      </c>
      <c r="M1511" s="16"/>
      <c r="N1511" s="14" t="s">
        <v>3428</v>
      </c>
      <c r="O1511" s="11" t="str">
        <f>HYPERLINK("https://pbs.twimg.com/profile_images/699296573696544768/wSj8Y5qX_normal.jpg","View")</f>
        <v>View</v>
      </c>
      <c r="P1511" s="15"/>
    </row>
    <row r="1512">
      <c r="A1512" s="7">
        <v>42425.693518518514</v>
      </c>
      <c r="B1512" s="8" t="str">
        <f>HYPERLINK("https://twitter.com/RealPython","@RealPython")</f>
        <v>@RealPython</v>
      </c>
      <c r="C1512" s="9" t="s">
        <v>1021</v>
      </c>
      <c r="D1512" s="10" t="s">
        <v>2088</v>
      </c>
      <c r="E1512" s="11" t="str">
        <f>HYPERLINK("https://twitter.com/RealPython/status/703016293125914624","703016293125914624")</f>
        <v>703016293125914624</v>
      </c>
      <c r="F1512" s="12" t="s">
        <v>20</v>
      </c>
      <c r="G1512" s="13">
        <v>5088.0</v>
      </c>
      <c r="H1512" s="13">
        <v>39.0</v>
      </c>
      <c r="I1512" s="13">
        <v>12.0</v>
      </c>
      <c r="J1512" s="13">
        <v>0.0</v>
      </c>
      <c r="K1512" s="12" t="s">
        <v>21</v>
      </c>
      <c r="L1512" s="7">
        <v>41129.57270833333</v>
      </c>
      <c r="M1512" s="16"/>
      <c r="N1512" s="14" t="s">
        <v>1022</v>
      </c>
      <c r="O1512" s="11" t="str">
        <f>HYPERLINK("https://pbs.twimg.com/profile_images/3312468366/129323224633d71286101d517a2f9817_normal.png","View")</f>
        <v>View</v>
      </c>
      <c r="P1512" s="15"/>
    </row>
    <row r="1513">
      <c r="A1513" s="7">
        <v>42425.69364583334</v>
      </c>
      <c r="B1513" s="8" t="str">
        <f>HYPERLINK("https://twitter.com/InstantCreatis","@InstantCreatis")</f>
        <v>@InstantCreatis</v>
      </c>
      <c r="C1513" s="10" t="s">
        <v>3429</v>
      </c>
      <c r="D1513" s="10" t="s">
        <v>3430</v>
      </c>
      <c r="E1513" s="11" t="str">
        <f>HYPERLINK("https://twitter.com/InstantCreatis/status/703016341507350528","703016341507350528")</f>
        <v>703016341507350528</v>
      </c>
      <c r="F1513" s="12" t="s">
        <v>912</v>
      </c>
      <c r="G1513" s="13">
        <v>32.0</v>
      </c>
      <c r="H1513" s="13">
        <v>24.0</v>
      </c>
      <c r="I1513" s="13">
        <v>0.0</v>
      </c>
      <c r="J1513" s="13">
        <v>1.0</v>
      </c>
      <c r="K1513" s="12" t="s">
        <v>21</v>
      </c>
      <c r="L1513" s="7">
        <v>42289.42623842593</v>
      </c>
      <c r="M1513" s="14" t="s">
        <v>3431</v>
      </c>
      <c r="N1513" s="14" t="s">
        <v>3432</v>
      </c>
      <c r="O1513" s="11" t="str">
        <f>HYPERLINK("https://pbs.twimg.com/profile_images/653620263142195200/BkaTWo-x_normal.png","View")</f>
        <v>View</v>
      </c>
      <c r="P1513" s="15"/>
    </row>
    <row r="1514">
      <c r="A1514" s="7">
        <v>42425.69375</v>
      </c>
      <c r="B1514" s="8" t="str">
        <f>HYPERLINK("https://twitter.com/Hana_Anber","@Hana_Anber")</f>
        <v>@Hana_Anber</v>
      </c>
      <c r="C1514" s="10" t="s">
        <v>3433</v>
      </c>
      <c r="D1514" s="10" t="s">
        <v>3434</v>
      </c>
      <c r="E1514" s="11" t="str">
        <f>HYPERLINK("https://twitter.com/Hana_Anber/status/703016377024704513","703016377024704513")</f>
        <v>703016377024704513</v>
      </c>
      <c r="F1514" s="12" t="s">
        <v>52</v>
      </c>
      <c r="G1514" s="13">
        <v>40.0</v>
      </c>
      <c r="H1514" s="13">
        <v>77.0</v>
      </c>
      <c r="I1514" s="13">
        <v>3.0</v>
      </c>
      <c r="J1514" s="13">
        <v>0.0</v>
      </c>
      <c r="K1514" s="12" t="s">
        <v>21</v>
      </c>
      <c r="L1514" s="7">
        <v>41381.81621527778</v>
      </c>
      <c r="M1514" s="16"/>
      <c r="N1514" s="14" t="s">
        <v>3435</v>
      </c>
      <c r="O1514" s="11" t="str">
        <f>HYPERLINK("https://pbs.twimg.com/profile_images/675159429629759490/U_ciM4bZ_normal.jpg","View")</f>
        <v>View</v>
      </c>
      <c r="P1514" s="15"/>
    </row>
    <row r="1515">
      <c r="A1515" s="7">
        <v>42425.69395833333</v>
      </c>
      <c r="B1515" s="8" t="str">
        <f>HYPERLINK("https://twitter.com/KealohaDudoit","@KealohaDudoit")</f>
        <v>@KealohaDudoit</v>
      </c>
      <c r="C1515" s="10" t="s">
        <v>3436</v>
      </c>
      <c r="D1515" s="10" t="s">
        <v>3228</v>
      </c>
      <c r="E1515" s="11" t="str">
        <f>HYPERLINK("https://twitter.com/KealohaDudoit/status/703016451364368384","703016451364368384")</f>
        <v>703016451364368384</v>
      </c>
      <c r="F1515" s="12" t="s">
        <v>152</v>
      </c>
      <c r="G1515" s="13">
        <v>1528.0</v>
      </c>
      <c r="H1515" s="13">
        <v>1128.0</v>
      </c>
      <c r="I1515" s="13">
        <v>9.0</v>
      </c>
      <c r="J1515" s="13">
        <v>0.0</v>
      </c>
      <c r="K1515" s="12" t="s">
        <v>21</v>
      </c>
      <c r="L1515" s="7">
        <v>39879.55707175926</v>
      </c>
      <c r="M1515" s="14" t="s">
        <v>3437</v>
      </c>
      <c r="N1515" s="14" t="s">
        <v>3438</v>
      </c>
      <c r="O1515" s="11" t="str">
        <f>HYPERLINK("https://pbs.twimg.com/profile_images/686102038078304257/p0euEO2l_normal.png","View")</f>
        <v>View</v>
      </c>
      <c r="P1515" s="15"/>
    </row>
    <row r="1516">
      <c r="A1516" s="7">
        <v>42425.694027777776</v>
      </c>
      <c r="B1516" s="8" t="str">
        <f>HYPERLINK("https://twitter.com/walkops","@walkops")</f>
        <v>@walkops</v>
      </c>
      <c r="C1516" s="10" t="s">
        <v>743</v>
      </c>
      <c r="D1516" s="10" t="s">
        <v>3439</v>
      </c>
      <c r="E1516" s="11" t="str">
        <f>HYPERLINK("https://twitter.com/walkops/status/703016477813673984","703016477813673984")</f>
        <v>703016477813673984</v>
      </c>
      <c r="F1516" s="12" t="s">
        <v>745</v>
      </c>
      <c r="G1516" s="13">
        <v>228.0</v>
      </c>
      <c r="H1516" s="13">
        <v>5.0</v>
      </c>
      <c r="I1516" s="13">
        <v>0.0</v>
      </c>
      <c r="J1516" s="13">
        <v>0.0</v>
      </c>
      <c r="K1516" s="12" t="s">
        <v>21</v>
      </c>
      <c r="L1516" s="7">
        <v>41278.36125</v>
      </c>
      <c r="M1516" s="14" t="s">
        <v>746</v>
      </c>
      <c r="N1516" s="14" t="s">
        <v>747</v>
      </c>
      <c r="O1516" s="11" t="str">
        <f>HYPERLINK("https://pbs.twimg.com/profile_images/414665160217739264/Vjqlxhz8_normal.jpeg","View")</f>
        <v>View</v>
      </c>
      <c r="P1516" s="15"/>
    </row>
    <row r="1517">
      <c r="A1517" s="7">
        <v>42425.6944212963</v>
      </c>
      <c r="B1517" s="8" t="str">
        <f>HYPERLINK("https://twitter.com/726D2D72662F","@726D2D72662F")</f>
        <v>@726D2D72662F</v>
      </c>
      <c r="C1517" s="10" t="s">
        <v>3440</v>
      </c>
      <c r="D1517" s="10" t="s">
        <v>3163</v>
      </c>
      <c r="E1517" s="11" t="str">
        <f>HYPERLINK("https://twitter.com/726D2D72662F/status/703016622034911232","703016622034911232")</f>
        <v>703016622034911232</v>
      </c>
      <c r="F1517" s="12" t="s">
        <v>152</v>
      </c>
      <c r="G1517" s="13">
        <v>169.0</v>
      </c>
      <c r="H1517" s="13">
        <v>414.0</v>
      </c>
      <c r="I1517" s="13">
        <v>15.0</v>
      </c>
      <c r="J1517" s="13">
        <v>0.0</v>
      </c>
      <c r="K1517" s="12" t="s">
        <v>21</v>
      </c>
      <c r="L1517" s="7">
        <v>41086.23289351852</v>
      </c>
      <c r="M1517" s="16"/>
      <c r="N1517" s="14" t="s">
        <v>3441</v>
      </c>
      <c r="O1517" s="11" t="str">
        <f>HYPERLINK("https://pbs.twimg.com/profile_images/647697744325443584/Bs1czcoD_normal.jpg","View")</f>
        <v>View</v>
      </c>
      <c r="P1517" s="15"/>
    </row>
    <row r="1518">
      <c r="A1518" s="7">
        <v>42425.69483796296</v>
      </c>
      <c r="B1518" s="8" t="str">
        <f>HYPERLINK("https://twitter.com/RealPython","@RealPython")</f>
        <v>@RealPython</v>
      </c>
      <c r="C1518" s="9" t="s">
        <v>1021</v>
      </c>
      <c r="D1518" s="10" t="s">
        <v>1102</v>
      </c>
      <c r="E1518" s="11" t="str">
        <f>HYPERLINK("https://twitter.com/RealPython/status/703016770731270144","703016770731270144")</f>
        <v>703016770731270144</v>
      </c>
      <c r="F1518" s="12" t="s">
        <v>20</v>
      </c>
      <c r="G1518" s="13">
        <v>5088.0</v>
      </c>
      <c r="H1518" s="13">
        <v>39.0</v>
      </c>
      <c r="I1518" s="13">
        <v>14.0</v>
      </c>
      <c r="J1518" s="13">
        <v>0.0</v>
      </c>
      <c r="K1518" s="12" t="s">
        <v>21</v>
      </c>
      <c r="L1518" s="7">
        <v>41129.57270833333</v>
      </c>
      <c r="M1518" s="16"/>
      <c r="N1518" s="14" t="s">
        <v>1022</v>
      </c>
      <c r="O1518" s="11" t="str">
        <f>HYPERLINK("https://pbs.twimg.com/profile_images/3312468366/129323224633d71286101d517a2f9817_normal.png","View")</f>
        <v>View</v>
      </c>
      <c r="P1518" s="15"/>
    </row>
    <row r="1519">
      <c r="A1519" s="7">
        <v>42425.69519675926</v>
      </c>
      <c r="B1519" s="8" t="str">
        <f>HYPERLINK("https://twitter.com/avilla73","@avilla73")</f>
        <v>@avilla73</v>
      </c>
      <c r="C1519" s="10" t="s">
        <v>3442</v>
      </c>
      <c r="D1519" s="10" t="s">
        <v>3232</v>
      </c>
      <c r="E1519" s="11" t="str">
        <f>HYPERLINK("https://twitter.com/avilla73/status/703016903850070017","703016903850070017")</f>
        <v>703016903850070017</v>
      </c>
      <c r="F1519" s="12" t="s">
        <v>152</v>
      </c>
      <c r="G1519" s="13">
        <v>400.0</v>
      </c>
      <c r="H1519" s="13">
        <v>753.0</v>
      </c>
      <c r="I1519" s="13">
        <v>5.0</v>
      </c>
      <c r="J1519" s="13">
        <v>0.0</v>
      </c>
      <c r="K1519" s="12" t="s">
        <v>21</v>
      </c>
      <c r="L1519" s="7">
        <v>40859.97917824074</v>
      </c>
      <c r="M1519" s="16"/>
      <c r="N1519" s="14" t="s">
        <v>3443</v>
      </c>
      <c r="O1519" s="11" t="str">
        <f>HYPERLINK("https://pbs.twimg.com/profile_images/470511744926760960/1Dj4r4ye_normal.jpeg","View")</f>
        <v>View</v>
      </c>
      <c r="P1519" s="15"/>
    </row>
    <row r="1520">
      <c r="A1520" s="7">
        <v>42425.695856481485</v>
      </c>
      <c r="B1520" s="8" t="str">
        <f>HYPERLINK("https://twitter.com/wcmckeedotcom","@wcmckeedotcom")</f>
        <v>@wcmckeedotcom</v>
      </c>
      <c r="C1520" s="10" t="s">
        <v>476</v>
      </c>
      <c r="D1520" s="10" t="s">
        <v>3444</v>
      </c>
      <c r="E1520" s="11" t="str">
        <f>HYPERLINK("https://twitter.com/wcmckeedotcom/status/703017140631302144","703017140631302144")</f>
        <v>703017140631302144</v>
      </c>
      <c r="F1520" s="12" t="s">
        <v>478</v>
      </c>
      <c r="G1520" s="13">
        <v>1011.0</v>
      </c>
      <c r="H1520" s="13">
        <v>875.0</v>
      </c>
      <c r="I1520" s="13">
        <v>0.0</v>
      </c>
      <c r="J1520" s="13">
        <v>0.0</v>
      </c>
      <c r="K1520" s="12" t="s">
        <v>21</v>
      </c>
      <c r="L1520" s="7">
        <v>41902.048368055555</v>
      </c>
      <c r="M1520" s="14" t="s">
        <v>479</v>
      </c>
      <c r="N1520" s="14" t="s">
        <v>480</v>
      </c>
      <c r="O1520" s="11" t="str">
        <f>HYPERLINK("https://pbs.twimg.com/profile_images/621211385746161664/tGchJstD_normal.jpg","View")</f>
        <v>View</v>
      </c>
      <c r="P1520" s="15"/>
    </row>
    <row r="1521">
      <c r="A1521" s="7">
        <v>42425.695972222224</v>
      </c>
      <c r="B1521" s="8" t="str">
        <f>HYPERLINK("https://twitter.com/_tomchristie","@_tomchristie")</f>
        <v>@_tomchristie</v>
      </c>
      <c r="C1521" s="10" t="s">
        <v>3445</v>
      </c>
      <c r="D1521" s="10" t="s">
        <v>3446</v>
      </c>
      <c r="E1521" s="11" t="str">
        <f>HYPERLINK("https://twitter.com/_tomchristie/status/703017184495312897","703017184495312897")</f>
        <v>703017184495312897</v>
      </c>
      <c r="F1521" s="12" t="s">
        <v>52</v>
      </c>
      <c r="G1521" s="13">
        <v>3079.0</v>
      </c>
      <c r="H1521" s="13">
        <v>1043.0</v>
      </c>
      <c r="I1521" s="13">
        <v>2.0</v>
      </c>
      <c r="J1521" s="13">
        <v>0.0</v>
      </c>
      <c r="K1521" s="12" t="s">
        <v>21</v>
      </c>
      <c r="L1521" s="7">
        <v>39896.61457175926</v>
      </c>
      <c r="M1521" s="16"/>
      <c r="N1521" s="14" t="s">
        <v>3447</v>
      </c>
      <c r="O1521" s="11" t="str">
        <f>HYPERLINK("https://pbs.twimg.com/profile_images/436813353155960832/4grnBd5p_normal.jpeg","View")</f>
        <v>View</v>
      </c>
      <c r="P1521" s="15"/>
    </row>
    <row r="1522">
      <c r="A1522" s="7">
        <v>42425.696284722224</v>
      </c>
      <c r="B1522" s="8" t="str">
        <f>HYPERLINK("https://twitter.com/freyduni","@freyduni")</f>
        <v>@freyduni</v>
      </c>
      <c r="C1522" s="10" t="s">
        <v>2218</v>
      </c>
      <c r="D1522" s="10" t="s">
        <v>3448</v>
      </c>
      <c r="E1522" s="11" t="str">
        <f>HYPERLINK("https://twitter.com/freyduni/status/703017296353107968","703017296353107968")</f>
        <v>703017296353107968</v>
      </c>
      <c r="F1522" s="17" t="s">
        <v>76</v>
      </c>
      <c r="G1522" s="13">
        <v>1596.0</v>
      </c>
      <c r="H1522" s="13">
        <v>2590.0</v>
      </c>
      <c r="I1522" s="13">
        <v>3.0</v>
      </c>
      <c r="J1522" s="13">
        <v>0.0</v>
      </c>
      <c r="K1522" s="12" t="s">
        <v>21</v>
      </c>
      <c r="L1522" s="7">
        <v>40905.24290509259</v>
      </c>
      <c r="M1522" s="14" t="s">
        <v>2220</v>
      </c>
      <c r="N1522" s="14" t="s">
        <v>2221</v>
      </c>
      <c r="O1522" s="11" t="str">
        <f>HYPERLINK("https://pbs.twimg.com/profile_images/525376074633334784/f5Nx-tIC_normal.jpeg","View")</f>
        <v>View</v>
      </c>
      <c r="P1522" s="15"/>
    </row>
    <row r="1523">
      <c r="A1523" s="7">
        <v>42425.69677083333</v>
      </c>
      <c r="B1523" s="8" t="str">
        <f>HYPERLINK("https://twitter.com/datamafia","@datamafia")</f>
        <v>@datamafia</v>
      </c>
      <c r="C1523" s="10" t="s">
        <v>3449</v>
      </c>
      <c r="D1523" s="10" t="s">
        <v>3450</v>
      </c>
      <c r="E1523" s="11" t="str">
        <f>HYPERLINK("https://twitter.com/datamafia/status/703017473415782400","703017473415782400")</f>
        <v>703017473415782400</v>
      </c>
      <c r="F1523" s="12" t="s">
        <v>20</v>
      </c>
      <c r="G1523" s="13">
        <v>735.0</v>
      </c>
      <c r="H1523" s="13">
        <v>99.0</v>
      </c>
      <c r="I1523" s="13">
        <v>0.0</v>
      </c>
      <c r="J1523" s="13">
        <v>1.0</v>
      </c>
      <c r="K1523" s="12" t="s">
        <v>21</v>
      </c>
      <c r="L1523" s="7">
        <v>39841.404074074075</v>
      </c>
      <c r="M1523" s="14" t="s">
        <v>3451</v>
      </c>
      <c r="N1523" s="14" t="s">
        <v>3452</v>
      </c>
      <c r="O1523" s="11" t="str">
        <f>HYPERLINK("https://pbs.twimg.com/profile_images/700782075595481088/NiHciBeU_normal.jpg","View")</f>
        <v>View</v>
      </c>
      <c r="P1523" s="15"/>
    </row>
    <row r="1524">
      <c r="A1524" s="7">
        <v>42425.6968287037</v>
      </c>
      <c r="B1524" s="8" t="str">
        <f>HYPERLINK("https://twitter.com/JoshuaLongUK","@JoshuaLongUK")</f>
        <v>@JoshuaLongUK</v>
      </c>
      <c r="C1524" s="10" t="s">
        <v>101</v>
      </c>
      <c r="D1524" s="10" t="s">
        <v>3453</v>
      </c>
      <c r="E1524" s="11" t="str">
        <f>HYPERLINK("https://twitter.com/JoshuaLongUK/status/703017495175757824","703017495175757824")</f>
        <v>703017495175757824</v>
      </c>
      <c r="F1524" s="12" t="s">
        <v>103</v>
      </c>
      <c r="G1524" s="13">
        <v>25832.0</v>
      </c>
      <c r="H1524" s="13">
        <v>93.0</v>
      </c>
      <c r="I1524" s="13">
        <v>0.0</v>
      </c>
      <c r="J1524" s="13">
        <v>0.0</v>
      </c>
      <c r="K1524" s="12" t="s">
        <v>21</v>
      </c>
      <c r="L1524" s="7">
        <v>41149.39659722222</v>
      </c>
      <c r="M1524" s="14" t="s">
        <v>104</v>
      </c>
      <c r="N1524" s="14" t="s">
        <v>105</v>
      </c>
      <c r="O1524" s="11" t="str">
        <f>HYPERLINK("https://pbs.twimg.com/profile_images/627996138403168256/DaASdgVr_normal.jpg","View")</f>
        <v>View</v>
      </c>
      <c r="P1524" s="15"/>
    </row>
    <row r="1525">
      <c r="A1525" s="7">
        <v>42425.697476851856</v>
      </c>
      <c r="B1525" s="8" t="str">
        <f>HYPERLINK("https://twitter.com/m_demonchaux","@m_demonchaux")</f>
        <v>@m_demonchaux</v>
      </c>
      <c r="C1525" s="10" t="s">
        <v>3454</v>
      </c>
      <c r="D1525" s="10" t="s">
        <v>3455</v>
      </c>
      <c r="E1525" s="11" t="str">
        <f>HYPERLINK("https://twitter.com/m_demonchaux/status/703017726982262784","703017726982262784")</f>
        <v>703017726982262784</v>
      </c>
      <c r="F1525" s="12" t="s">
        <v>20</v>
      </c>
      <c r="G1525" s="13">
        <v>17.0</v>
      </c>
      <c r="H1525" s="13">
        <v>48.0</v>
      </c>
      <c r="I1525" s="13">
        <v>11.0</v>
      </c>
      <c r="J1525" s="13">
        <v>0.0</v>
      </c>
      <c r="K1525" s="12" t="s">
        <v>21</v>
      </c>
      <c r="L1525" s="7">
        <v>42269.77648148148</v>
      </c>
      <c r="M1525" s="14" t="s">
        <v>3456</v>
      </c>
      <c r="N1525" s="14" t="s">
        <v>3457</v>
      </c>
      <c r="O1525" s="11" t="str">
        <f>HYPERLINK("https://pbs.twimg.com/profile_images/646500777737912320/zAcqGstm_normal.jpg","View")</f>
        <v>View</v>
      </c>
      <c r="P1525" s="15"/>
    </row>
    <row r="1526">
      <c r="A1526" s="7">
        <v>42425.6980787037</v>
      </c>
      <c r="B1526" s="8" t="str">
        <f>HYPERLINK("https://twitter.com/OldSkuGrad","@OldSkuGrad")</f>
        <v>@OldSkuGrad</v>
      </c>
      <c r="C1526" s="10" t="s">
        <v>3458</v>
      </c>
      <c r="D1526" s="10" t="s">
        <v>3459</v>
      </c>
      <c r="E1526" s="11" t="str">
        <f>HYPERLINK("https://twitter.com/OldSkuGrad/status/703017945450942465","703017945450942465")</f>
        <v>703017945450942465</v>
      </c>
      <c r="F1526" s="12" t="s">
        <v>52</v>
      </c>
      <c r="G1526" s="13">
        <v>1349.0</v>
      </c>
      <c r="H1526" s="13">
        <v>833.0</v>
      </c>
      <c r="I1526" s="13">
        <v>0.0</v>
      </c>
      <c r="J1526" s="13">
        <v>0.0</v>
      </c>
      <c r="K1526" s="12" t="s">
        <v>21</v>
      </c>
      <c r="L1526" s="7">
        <v>42110.40221064815</v>
      </c>
      <c r="M1526" s="14" t="s">
        <v>3278</v>
      </c>
      <c r="N1526" s="14" t="s">
        <v>3460</v>
      </c>
      <c r="O1526" s="11" t="str">
        <f>HYPERLINK("https://pbs.twimg.com/profile_images/588745176199389184/dsfo9vS6_normal.jpg","View")</f>
        <v>View</v>
      </c>
      <c r="P1526" s="15"/>
    </row>
    <row r="1527">
      <c r="A1527" s="7">
        <v>42425.698113425926</v>
      </c>
      <c r="B1527" s="8" t="str">
        <f>HYPERLINK("https://twitter.com/7light7blue","@7light7blue")</f>
        <v>@7light7blue</v>
      </c>
      <c r="C1527" s="10" t="s">
        <v>2236</v>
      </c>
      <c r="D1527" s="10" t="s">
        <v>3461</v>
      </c>
      <c r="E1527" s="11" t="str">
        <f>HYPERLINK("https://twitter.com/7light7blue/status/703017957237116928","703017957237116928")</f>
        <v>703017957237116928</v>
      </c>
      <c r="F1527" s="12" t="s">
        <v>38</v>
      </c>
      <c r="G1527" s="13">
        <v>391.0</v>
      </c>
      <c r="H1527" s="13">
        <v>594.0</v>
      </c>
      <c r="I1527" s="13">
        <v>3.0</v>
      </c>
      <c r="J1527" s="13">
        <v>0.0</v>
      </c>
      <c r="K1527" s="12" t="s">
        <v>21</v>
      </c>
      <c r="L1527" s="7">
        <v>41128.29875</v>
      </c>
      <c r="M1527" s="14" t="s">
        <v>2238</v>
      </c>
      <c r="N1527" s="14" t="s">
        <v>2239</v>
      </c>
      <c r="O1527" s="11" t="str">
        <f>HYPERLINK("https://pbs.twimg.com/profile_images/629304662051549184/UaWSbb_Y_normal.jpg","View")</f>
        <v>View</v>
      </c>
      <c r="P1527" s="15"/>
    </row>
    <row r="1528">
      <c r="A1528" s="7">
        <v>42425.698113425926</v>
      </c>
      <c r="B1528" s="8" t="str">
        <f>HYPERLINK("https://twitter.com/Gamificationir","@Gamificationir")</f>
        <v>@Gamificationir</v>
      </c>
      <c r="C1528" s="10" t="s">
        <v>3287</v>
      </c>
      <c r="D1528" s="10" t="s">
        <v>3461</v>
      </c>
      <c r="E1528" s="11" t="str">
        <f>HYPERLINK("https://twitter.com/Gamificationir/status/703017958075924480","703017958075924480")</f>
        <v>703017958075924480</v>
      </c>
      <c r="F1528" s="12" t="s">
        <v>38</v>
      </c>
      <c r="G1528" s="13">
        <v>148.0</v>
      </c>
      <c r="H1528" s="13">
        <v>279.0</v>
      </c>
      <c r="I1528" s="13">
        <v>3.0</v>
      </c>
      <c r="J1528" s="13">
        <v>0.0</v>
      </c>
      <c r="K1528" s="12" t="s">
        <v>21</v>
      </c>
      <c r="L1528" s="7">
        <v>41568.402812500004</v>
      </c>
      <c r="M1528" s="14" t="s">
        <v>1645</v>
      </c>
      <c r="N1528" s="21" t="s">
        <v>3288</v>
      </c>
      <c r="O1528" s="11" t="str">
        <f>HYPERLINK("https://pbs.twimg.com/profile_images/483888935991390208/Z-dZgLn-_normal.jpeg","View")</f>
        <v>View</v>
      </c>
      <c r="P1528" s="15"/>
    </row>
    <row r="1529">
      <c r="A1529" s="7">
        <v>42425.698113425926</v>
      </c>
      <c r="B1529" s="8" t="str">
        <f>HYPERLINK("https://twitter.com/farashod","@farashod")</f>
        <v>@farashod</v>
      </c>
      <c r="C1529" s="20" t="s">
        <v>3289</v>
      </c>
      <c r="D1529" s="10" t="s">
        <v>3461</v>
      </c>
      <c r="E1529" s="11" t="str">
        <f>HYPERLINK("https://twitter.com/farashod/status/703017959166496769","703017959166496769")</f>
        <v>703017959166496769</v>
      </c>
      <c r="F1529" s="12" t="s">
        <v>38</v>
      </c>
      <c r="G1529" s="13">
        <v>190.0</v>
      </c>
      <c r="H1529" s="13">
        <v>521.0</v>
      </c>
      <c r="I1529" s="13">
        <v>3.0</v>
      </c>
      <c r="J1529" s="13">
        <v>0.0</v>
      </c>
      <c r="K1529" s="12" t="s">
        <v>21</v>
      </c>
      <c r="L1529" s="7">
        <v>41577.27756944444</v>
      </c>
      <c r="M1529" s="21" t="s">
        <v>3290</v>
      </c>
      <c r="N1529" s="21" t="s">
        <v>3291</v>
      </c>
      <c r="O1529" s="11" t="str">
        <f>HYPERLINK("https://pbs.twimg.com/profile_images/378800000669383744/58af2acd445efe4c3c7eec73818e002c_normal.png","View")</f>
        <v>View</v>
      </c>
      <c r="P1529" s="15"/>
    </row>
    <row r="1530">
      <c r="A1530" s="7">
        <v>42425.69888888889</v>
      </c>
      <c r="B1530" s="8" t="str">
        <f>HYPERLINK("https://twitter.com/GetUdemyDeals","@GetUdemyDeals")</f>
        <v>@GetUdemyDeals</v>
      </c>
      <c r="C1530" s="10" t="s">
        <v>492</v>
      </c>
      <c r="D1530" s="10" t="s">
        <v>3462</v>
      </c>
      <c r="E1530" s="11" t="str">
        <f>HYPERLINK("https://twitter.com/GetUdemyDeals/status/703018240885264384","703018240885264384")</f>
        <v>703018240885264384</v>
      </c>
      <c r="F1530" s="12" t="s">
        <v>494</v>
      </c>
      <c r="G1530" s="13">
        <v>187.0</v>
      </c>
      <c r="H1530" s="13">
        <v>87.0</v>
      </c>
      <c r="I1530" s="13">
        <v>0.0</v>
      </c>
      <c r="J1530" s="13">
        <v>0.0</v>
      </c>
      <c r="K1530" s="12" t="s">
        <v>21</v>
      </c>
      <c r="L1530" s="7">
        <v>41928.48434027778</v>
      </c>
      <c r="M1530" s="14" t="s">
        <v>495</v>
      </c>
      <c r="N1530" s="14" t="s">
        <v>496</v>
      </c>
      <c r="O1530" s="11" t="str">
        <f>HYPERLINK("https://pbs.twimg.com/profile_images/523203529620484096/fzN_Plp5_normal.jpeg","View")</f>
        <v>View</v>
      </c>
      <c r="P1530" s="15"/>
    </row>
    <row r="1531">
      <c r="A1531" s="7">
        <v>42425.700324074074</v>
      </c>
      <c r="B1531" s="8" t="str">
        <f>HYPERLINK("https://twitter.com/walkops","@walkops")</f>
        <v>@walkops</v>
      </c>
      <c r="C1531" s="10" t="s">
        <v>743</v>
      </c>
      <c r="D1531" s="10" t="s">
        <v>758</v>
      </c>
      <c r="E1531" s="11" t="str">
        <f>HYPERLINK("https://twitter.com/walkops/status/703018759783583744","703018759783583744")</f>
        <v>703018759783583744</v>
      </c>
      <c r="F1531" s="12" t="s">
        <v>745</v>
      </c>
      <c r="G1531" s="13">
        <v>228.0</v>
      </c>
      <c r="H1531" s="13">
        <v>5.0</v>
      </c>
      <c r="I1531" s="13">
        <v>0.0</v>
      </c>
      <c r="J1531" s="13">
        <v>0.0</v>
      </c>
      <c r="K1531" s="12" t="s">
        <v>21</v>
      </c>
      <c r="L1531" s="7">
        <v>41278.36125</v>
      </c>
      <c r="M1531" s="14" t="s">
        <v>746</v>
      </c>
      <c r="N1531" s="14" t="s">
        <v>747</v>
      </c>
      <c r="O1531" s="11" t="str">
        <f>HYPERLINK("https://pbs.twimg.com/profile_images/414665160217739264/Vjqlxhz8_normal.jpeg","View")</f>
        <v>View</v>
      </c>
      <c r="P1531" s="15"/>
    </row>
    <row r="1532">
      <c r="A1532" s="7">
        <v>42425.70052083333</v>
      </c>
      <c r="B1532" s="8" t="str">
        <f t="shared" ref="B1532:B1533" si="153">HYPERLINK("https://twitter.com/LillianEdmiston","@LillianEdmiston")</f>
        <v>@LillianEdmiston</v>
      </c>
      <c r="C1532" s="10" t="s">
        <v>170</v>
      </c>
      <c r="D1532" s="10" t="s">
        <v>3463</v>
      </c>
      <c r="E1532" s="11" t="str">
        <f>HYPERLINK("https://twitter.com/LillianEdmiston/status/703018832772915201","703018832772915201")</f>
        <v>703018832772915201</v>
      </c>
      <c r="F1532" s="12" t="s">
        <v>103</v>
      </c>
      <c r="G1532" s="13">
        <v>1050.0</v>
      </c>
      <c r="H1532" s="13">
        <v>40.0</v>
      </c>
      <c r="I1532" s="13">
        <v>1.0</v>
      </c>
      <c r="J1532" s="13">
        <v>0.0</v>
      </c>
      <c r="K1532" s="12" t="s">
        <v>21</v>
      </c>
      <c r="L1532" s="7">
        <v>42293.27416666667</v>
      </c>
      <c r="M1532" s="14" t="s">
        <v>172</v>
      </c>
      <c r="N1532" s="14" t="s">
        <v>173</v>
      </c>
      <c r="O1532" s="11" t="str">
        <f t="shared" ref="O1532:O1533" si="154">HYPERLINK("https://pbs.twimg.com/profile_images/655014978101993476/ZpsnJW8B_normal.jpg","View")</f>
        <v>View</v>
      </c>
      <c r="P1532" s="15"/>
    </row>
    <row r="1533">
      <c r="A1533" s="7">
        <v>42425.70053240741</v>
      </c>
      <c r="B1533" s="8" t="str">
        <f t="shared" si="153"/>
        <v>@LillianEdmiston</v>
      </c>
      <c r="C1533" s="10" t="s">
        <v>170</v>
      </c>
      <c r="D1533" s="10" t="s">
        <v>3464</v>
      </c>
      <c r="E1533" s="11" t="str">
        <f>HYPERLINK("https://twitter.com/LillianEdmiston/status/703018835213996032","703018835213996032")</f>
        <v>703018835213996032</v>
      </c>
      <c r="F1533" s="12" t="s">
        <v>103</v>
      </c>
      <c r="G1533" s="13">
        <v>1050.0</v>
      </c>
      <c r="H1533" s="13">
        <v>40.0</v>
      </c>
      <c r="I1533" s="13">
        <v>0.0</v>
      </c>
      <c r="J1533" s="13">
        <v>0.0</v>
      </c>
      <c r="K1533" s="12" t="s">
        <v>21</v>
      </c>
      <c r="L1533" s="7">
        <v>42293.27416666667</v>
      </c>
      <c r="M1533" s="14" t="s">
        <v>172</v>
      </c>
      <c r="N1533" s="14" t="s">
        <v>173</v>
      </c>
      <c r="O1533" s="11" t="str">
        <f t="shared" si="154"/>
        <v>View</v>
      </c>
      <c r="P1533" s="15"/>
    </row>
    <row r="1534">
      <c r="A1534" s="7">
        <v>42425.70053240741</v>
      </c>
      <c r="B1534" s="8" t="str">
        <f>HYPERLINK("https://twitter.com/itknowingness","@itknowingness")</f>
        <v>@itknowingness</v>
      </c>
      <c r="C1534" s="10" t="s">
        <v>3465</v>
      </c>
      <c r="D1534" s="10" t="s">
        <v>3466</v>
      </c>
      <c r="E1534" s="11" t="str">
        <f>HYPERLINK("https://twitter.com/itknowingness/status/703018835549556740","703018835549556740")</f>
        <v>703018835549556740</v>
      </c>
      <c r="F1534" s="12" t="s">
        <v>3467</v>
      </c>
      <c r="G1534" s="13">
        <v>6904.0</v>
      </c>
      <c r="H1534" s="13">
        <v>3191.0</v>
      </c>
      <c r="I1534" s="13">
        <v>1.0</v>
      </c>
      <c r="J1534" s="13">
        <v>0.0</v>
      </c>
      <c r="K1534" s="12" t="s">
        <v>21</v>
      </c>
      <c r="L1534" s="7">
        <v>40490.39297453704</v>
      </c>
      <c r="M1534" s="14" t="s">
        <v>269</v>
      </c>
      <c r="N1534" s="14" t="s">
        <v>3468</v>
      </c>
      <c r="O1534" s="11" t="str">
        <f>HYPERLINK("https://pbs.twimg.com/profile_images/1164716874/favicon-triada-azul_normal.png","View")</f>
        <v>View</v>
      </c>
      <c r="P1534" s="15"/>
    </row>
    <row r="1535">
      <c r="A1535" s="7">
        <v>42425.702060185184</v>
      </c>
      <c r="B1535" s="8" t="str">
        <f>HYPERLINK("https://twitter.com/mintzworld","@mintzworld")</f>
        <v>@mintzworld</v>
      </c>
      <c r="C1535" s="10" t="s">
        <v>2923</v>
      </c>
      <c r="D1535" s="10" t="s">
        <v>3469</v>
      </c>
      <c r="E1535" s="11" t="str">
        <f>HYPERLINK("https://twitter.com/mintzworld/status/703019388526583810","703019388526583810")</f>
        <v>703019388526583810</v>
      </c>
      <c r="F1535" s="12" t="s">
        <v>52</v>
      </c>
      <c r="G1535" s="13">
        <v>424.0</v>
      </c>
      <c r="H1535" s="13">
        <v>235.0</v>
      </c>
      <c r="I1535" s="13">
        <v>1.0</v>
      </c>
      <c r="J1535" s="13">
        <v>0.0</v>
      </c>
      <c r="K1535" s="12" t="s">
        <v>21</v>
      </c>
      <c r="L1535" s="7">
        <v>40626.589374999996</v>
      </c>
      <c r="M1535" s="14" t="s">
        <v>332</v>
      </c>
      <c r="N1535" s="14" t="s">
        <v>2925</v>
      </c>
      <c r="O1535" s="11" t="str">
        <f>HYPERLINK("https://pbs.twimg.com/profile_images/1321484341/MichaelSq_normal.png","View")</f>
        <v>View</v>
      </c>
      <c r="P1535" s="15"/>
    </row>
    <row r="1536">
      <c r="A1536" s="7">
        <v>42425.70261574074</v>
      </c>
      <c r="B1536" s="8" t="str">
        <f>HYPERLINK("https://twitter.com/Microwavables","@Microwavables")</f>
        <v>@Microwavables</v>
      </c>
      <c r="C1536" s="10" t="s">
        <v>3470</v>
      </c>
      <c r="D1536" s="10" t="s">
        <v>3361</v>
      </c>
      <c r="E1536" s="11" t="str">
        <f>HYPERLINK("https://twitter.com/Microwavables/status/703019588435505153","703019588435505153")</f>
        <v>703019588435505153</v>
      </c>
      <c r="F1536" s="12" t="s">
        <v>20</v>
      </c>
      <c r="G1536" s="13">
        <v>214.0</v>
      </c>
      <c r="H1536" s="13">
        <v>391.0</v>
      </c>
      <c r="I1536" s="13">
        <v>4.0</v>
      </c>
      <c r="J1536" s="13">
        <v>0.0</v>
      </c>
      <c r="K1536" s="12" t="s">
        <v>21</v>
      </c>
      <c r="L1536" s="7">
        <v>40249.86827546296</v>
      </c>
      <c r="M1536" s="14" t="s">
        <v>695</v>
      </c>
      <c r="N1536" s="14" t="s">
        <v>3471</v>
      </c>
      <c r="O1536" s="11" t="str">
        <f>HYPERLINK("https://pbs.twimg.com/profile_images/672933454691090433/o65q37US_normal.jpg","View")</f>
        <v>View</v>
      </c>
      <c r="P1536" s="15"/>
    </row>
    <row r="1537">
      <c r="A1537" s="7">
        <v>42425.70318287037</v>
      </c>
      <c r="B1537" s="8" t="str">
        <f>HYPERLINK("https://twitter.com/ShaneRainville","@ShaneRainville")</f>
        <v>@ShaneRainville</v>
      </c>
      <c r="C1537" s="10" t="s">
        <v>3472</v>
      </c>
      <c r="D1537" s="10" t="s">
        <v>3473</v>
      </c>
      <c r="E1537" s="11" t="str">
        <f>HYPERLINK("https://twitter.com/ShaneRainville/status/703019794732294145","703019794732294145")</f>
        <v>703019794732294145</v>
      </c>
      <c r="F1537" s="12" t="s">
        <v>20</v>
      </c>
      <c r="G1537" s="13">
        <v>61.0</v>
      </c>
      <c r="H1537" s="13">
        <v>393.0</v>
      </c>
      <c r="I1537" s="13">
        <v>0.0</v>
      </c>
      <c r="J1537" s="13">
        <v>6.0</v>
      </c>
      <c r="K1537" s="12" t="s">
        <v>21</v>
      </c>
      <c r="L1537" s="7">
        <v>40926.653657407405</v>
      </c>
      <c r="M1537" s="14" t="s">
        <v>917</v>
      </c>
      <c r="N1537" s="14" t="s">
        <v>3474</v>
      </c>
      <c r="O1537" s="11" t="str">
        <f>HYPERLINK("https://pbs.twimg.com/profile_images/426208314515398656/-otm0jWT_normal.jpeg","View")</f>
        <v>View</v>
      </c>
      <c r="P1537" s="15"/>
    </row>
    <row r="1538">
      <c r="A1538" s="7">
        <v>42425.70417824074</v>
      </c>
      <c r="B1538" s="8" t="str">
        <f>HYPERLINK("https://twitter.com/RealPython","@RealPython")</f>
        <v>@RealPython</v>
      </c>
      <c r="C1538" s="9" t="s">
        <v>1021</v>
      </c>
      <c r="D1538" s="10" t="s">
        <v>3475</v>
      </c>
      <c r="E1538" s="11" t="str">
        <f>HYPERLINK("https://twitter.com/RealPython/status/703020158336397313","703020158336397313")</f>
        <v>703020158336397313</v>
      </c>
      <c r="F1538" s="12" t="s">
        <v>20</v>
      </c>
      <c r="G1538" s="13">
        <v>5088.0</v>
      </c>
      <c r="H1538" s="13">
        <v>39.0</v>
      </c>
      <c r="I1538" s="13">
        <v>2.0</v>
      </c>
      <c r="J1538" s="13">
        <v>0.0</v>
      </c>
      <c r="K1538" s="12" t="s">
        <v>21</v>
      </c>
      <c r="L1538" s="7">
        <v>41129.57270833333</v>
      </c>
      <c r="M1538" s="16"/>
      <c r="N1538" s="14" t="s">
        <v>1022</v>
      </c>
      <c r="O1538" s="11" t="str">
        <f>HYPERLINK("https://pbs.twimg.com/profile_images/3312468366/129323224633d71286101d517a2f9817_normal.png","View")</f>
        <v>View</v>
      </c>
      <c r="P1538" s="15"/>
    </row>
    <row r="1539">
      <c r="A1539" s="7">
        <v>42425.705312499995</v>
      </c>
      <c r="B1539" s="8" t="str">
        <f>HYPERLINK("https://twitter.com/naoufalelyousfi","@naoufalelyousfi")</f>
        <v>@naoufalelyousfi</v>
      </c>
      <c r="C1539" s="10" t="s">
        <v>3476</v>
      </c>
      <c r="D1539" s="10" t="s">
        <v>3477</v>
      </c>
      <c r="E1539" s="11" t="str">
        <f>HYPERLINK("https://twitter.com/naoufalelyousfi/status/703020566350045184","703020566350045184")</f>
        <v>703020566350045184</v>
      </c>
      <c r="F1539" s="12" t="s">
        <v>20</v>
      </c>
      <c r="G1539" s="13">
        <v>19.0</v>
      </c>
      <c r="H1539" s="13">
        <v>144.0</v>
      </c>
      <c r="I1539" s="13">
        <v>0.0</v>
      </c>
      <c r="J1539" s="13">
        <v>0.0</v>
      </c>
      <c r="K1539" s="12" t="s">
        <v>21</v>
      </c>
      <c r="L1539" s="7">
        <v>40960.22552083334</v>
      </c>
      <c r="M1539" s="14" t="s">
        <v>3478</v>
      </c>
      <c r="N1539" s="14" t="s">
        <v>3479</v>
      </c>
      <c r="O1539" s="11" t="str">
        <f>HYPERLINK("https://pbs.twimg.com/profile_images/378800000260539441/4f6be88d589fb1b821003b83f96fe4a0_normal.jpeg","View")</f>
        <v>View</v>
      </c>
      <c r="P1539" s="15"/>
    </row>
    <row r="1540">
      <c r="A1540" s="7">
        <v>42425.705625</v>
      </c>
      <c r="B1540" s="8" t="str">
        <f>HYPERLINK("https://twitter.com/pyquantnews","@pyquantnews")</f>
        <v>@pyquantnews</v>
      </c>
      <c r="C1540" s="10" t="s">
        <v>3480</v>
      </c>
      <c r="D1540" s="10" t="s">
        <v>3481</v>
      </c>
      <c r="E1540" s="11" t="str">
        <f>HYPERLINK("https://twitter.com/pyquantnews/status/703020679554150400","703020679554150400")</f>
        <v>703020679554150400</v>
      </c>
      <c r="F1540" s="12" t="s">
        <v>3480</v>
      </c>
      <c r="G1540" s="13">
        <v>421.0</v>
      </c>
      <c r="H1540" s="13">
        <v>978.0</v>
      </c>
      <c r="I1540" s="13">
        <v>3.0</v>
      </c>
      <c r="J1540" s="13">
        <v>5.0</v>
      </c>
      <c r="K1540" s="12" t="s">
        <v>21</v>
      </c>
      <c r="L1540" s="7">
        <v>42114.24664351852</v>
      </c>
      <c r="M1540" s="14" t="s">
        <v>3482</v>
      </c>
      <c r="N1540" s="14" t="s">
        <v>3483</v>
      </c>
      <c r="O1540" s="11" t="str">
        <f>HYPERLINK("https://pbs.twimg.com/profile_images/591563134751637504/d-n6ysw6_normal.png","View")</f>
        <v>View</v>
      </c>
      <c r="P1540" s="15"/>
    </row>
    <row r="1541">
      <c r="A1541" s="7">
        <v>42425.705625</v>
      </c>
      <c r="B1541" s="8" t="str">
        <f>HYPERLINK("https://twitter.com/MikeHerman","@MikeHerman")</f>
        <v>@MikeHerman</v>
      </c>
      <c r="C1541" s="10" t="s">
        <v>1323</v>
      </c>
      <c r="D1541" s="10" t="s">
        <v>3475</v>
      </c>
      <c r="E1541" s="11" t="str">
        <f>HYPERLINK("https://twitter.com/MikeHerman/status/703020681693237248","703020681693237248")</f>
        <v>703020681693237248</v>
      </c>
      <c r="F1541" s="12" t="s">
        <v>20</v>
      </c>
      <c r="G1541" s="13">
        <v>600.0</v>
      </c>
      <c r="H1541" s="13">
        <v>46.0</v>
      </c>
      <c r="I1541" s="13">
        <v>2.0</v>
      </c>
      <c r="J1541" s="13">
        <v>0.0</v>
      </c>
      <c r="K1541" s="12" t="s">
        <v>21</v>
      </c>
      <c r="L1541" s="7">
        <v>40955.65877314815</v>
      </c>
      <c r="M1541" s="14" t="s">
        <v>1325</v>
      </c>
      <c r="N1541" s="14" t="s">
        <v>1326</v>
      </c>
      <c r="O1541" s="11" t="str">
        <f>HYPERLINK("https://pbs.twimg.com/profile_images/1956395739/56358390A_normal.jpg","View")</f>
        <v>View</v>
      </c>
      <c r="P1541" s="15"/>
    </row>
    <row r="1542">
      <c r="A1542" s="7">
        <v>42425.706284722226</v>
      </c>
      <c r="B1542" s="8" t="str">
        <f>HYPERLINK("https://twitter.com/matthewswallace","@matthewswallace")</f>
        <v>@matthewswallace</v>
      </c>
      <c r="C1542" s="10" t="s">
        <v>3484</v>
      </c>
      <c r="D1542" s="10" t="s">
        <v>3485</v>
      </c>
      <c r="E1542" s="11" t="str">
        <f>HYPERLINK("https://twitter.com/matthewswallace/status/703020918897975296","703020918897975296")</f>
        <v>703020918897975296</v>
      </c>
      <c r="F1542" s="12" t="s">
        <v>240</v>
      </c>
      <c r="G1542" s="13">
        <v>1113.0</v>
      </c>
      <c r="H1542" s="13">
        <v>990.0</v>
      </c>
      <c r="I1542" s="13">
        <v>0.0</v>
      </c>
      <c r="J1542" s="13">
        <v>6.0</v>
      </c>
      <c r="K1542" s="12" t="s">
        <v>21</v>
      </c>
      <c r="L1542" s="7">
        <v>39196.588125</v>
      </c>
      <c r="M1542" s="14" t="s">
        <v>3486</v>
      </c>
      <c r="N1542" s="14" t="s">
        <v>3487</v>
      </c>
      <c r="O1542" s="11" t="str">
        <f>HYPERLINK("https://pbs.twimg.com/profile_images/669527011241537536/67fwBPE5_normal.jpg","View")</f>
        <v>View</v>
      </c>
      <c r="P1542" s="15"/>
    </row>
    <row r="1543">
      <c r="A1543" s="7">
        <v>42425.70633101852</v>
      </c>
      <c r="B1543" s="8" t="str">
        <f>HYPERLINK("https://twitter.com/programmingncr","@programmingncr")</f>
        <v>@programmingncr</v>
      </c>
      <c r="C1543" s="10" t="s">
        <v>262</v>
      </c>
      <c r="D1543" s="10" t="s">
        <v>3488</v>
      </c>
      <c r="E1543" s="11" t="str">
        <f>HYPERLINK("https://twitter.com/programmingncr/status/703020937600483329","703020937600483329")</f>
        <v>703020937600483329</v>
      </c>
      <c r="F1543" s="12" t="s">
        <v>103</v>
      </c>
      <c r="G1543" s="13">
        <v>328.0</v>
      </c>
      <c r="H1543" s="13">
        <v>99.0</v>
      </c>
      <c r="I1543" s="13">
        <v>0.0</v>
      </c>
      <c r="J1543" s="13">
        <v>0.0</v>
      </c>
      <c r="K1543" s="12" t="s">
        <v>21</v>
      </c>
      <c r="L1543" s="7">
        <v>42220.86634259259</v>
      </c>
      <c r="M1543" s="14" t="s">
        <v>264</v>
      </c>
      <c r="N1543" s="14" t="s">
        <v>265</v>
      </c>
      <c r="O1543" s="11" t="str">
        <f>HYPERLINK("https://pbs.twimg.com/profile_images/662602436222193664/qKuvsfnG_normal.jpg","View")</f>
        <v>View</v>
      </c>
      <c r="P1543" s="15"/>
    </row>
    <row r="1544">
      <c r="A1544" s="7">
        <v>42425.706458333334</v>
      </c>
      <c r="B1544" s="8" t="str">
        <f>HYPERLINK("https://twitter.com/pydigest","@pydigest")</f>
        <v>@pydigest</v>
      </c>
      <c r="C1544" s="10" t="s">
        <v>385</v>
      </c>
      <c r="D1544" s="10" t="s">
        <v>3489</v>
      </c>
      <c r="E1544" s="11" t="str">
        <f>HYPERLINK("https://twitter.com/pydigest/status/703020982345318400","703020982345318400")</f>
        <v>703020982345318400</v>
      </c>
      <c r="F1544" s="12" t="s">
        <v>103</v>
      </c>
      <c r="G1544" s="13">
        <v>634.0</v>
      </c>
      <c r="H1544" s="13">
        <v>22.0</v>
      </c>
      <c r="I1544" s="13">
        <v>0.0</v>
      </c>
      <c r="J1544" s="13">
        <v>1.0</v>
      </c>
      <c r="K1544" s="12" t="s">
        <v>21</v>
      </c>
      <c r="L1544" s="7">
        <v>41797.15729166666</v>
      </c>
      <c r="M1544" s="16"/>
      <c r="N1544" s="14" t="s">
        <v>387</v>
      </c>
      <c r="O1544" s="11" t="str">
        <f>HYPERLINK("https://pbs.twimg.com/profile_images/475228702922387457/6gYeuqxD_normal.jpeg","View")</f>
        <v>View</v>
      </c>
      <c r="P1544" s="15"/>
    </row>
    <row r="1545">
      <c r="A1545" s="7">
        <v>42425.70675925926</v>
      </c>
      <c r="B1545" s="8" t="str">
        <f>HYPERLINK("https://twitter.com/HartwigMicheal","@HartwigMicheal")</f>
        <v>@HartwigMicheal</v>
      </c>
      <c r="C1545" s="10" t="s">
        <v>842</v>
      </c>
      <c r="D1545" s="10" t="s">
        <v>3490</v>
      </c>
      <c r="E1545" s="11" t="str">
        <f>HYPERLINK("https://twitter.com/HartwigMicheal/status/703021091359465473","703021091359465473")</f>
        <v>703021091359465473</v>
      </c>
      <c r="F1545" s="12" t="s">
        <v>103</v>
      </c>
      <c r="G1545" s="13">
        <v>541.0</v>
      </c>
      <c r="H1545" s="13">
        <v>830.0</v>
      </c>
      <c r="I1545" s="13">
        <v>0.0</v>
      </c>
      <c r="J1545" s="13">
        <v>0.0</v>
      </c>
      <c r="K1545" s="12" t="s">
        <v>21</v>
      </c>
      <c r="L1545" s="7">
        <v>42362.00148148148</v>
      </c>
      <c r="M1545" s="14" t="s">
        <v>844</v>
      </c>
      <c r="N1545" s="14" t="s">
        <v>845</v>
      </c>
      <c r="O1545" s="11" t="str">
        <f>HYPERLINK("https://pbs.twimg.com/profile_images/679948461953781761/pDo9356K_normal.jpg","View")</f>
        <v>View</v>
      </c>
      <c r="P1545" s="15"/>
    </row>
    <row r="1546">
      <c r="A1546" s="7">
        <v>42425.707453703704</v>
      </c>
      <c r="B1546" s="8" t="str">
        <f>HYPERLINK("https://twitter.com/MTotolrahaman","@MTotolrahaman")</f>
        <v>@MTotolrahaman</v>
      </c>
      <c r="C1546" s="10" t="s">
        <v>848</v>
      </c>
      <c r="D1546" s="10" t="s">
        <v>3491</v>
      </c>
      <c r="E1546" s="11" t="str">
        <f>HYPERLINK("https://twitter.com/MTotolrahaman/status/703021344099835904","703021344099835904")</f>
        <v>703021344099835904</v>
      </c>
      <c r="F1546" s="12" t="s">
        <v>103</v>
      </c>
      <c r="G1546" s="13">
        <v>766.0</v>
      </c>
      <c r="H1546" s="13">
        <v>846.0</v>
      </c>
      <c r="I1546" s="13">
        <v>0.0</v>
      </c>
      <c r="J1546" s="13">
        <v>0.0</v>
      </c>
      <c r="K1546" s="12" t="s">
        <v>21</v>
      </c>
      <c r="L1546" s="7">
        <v>42355.250798611116</v>
      </c>
      <c r="M1546" s="14" t="s">
        <v>850</v>
      </c>
      <c r="N1546" s="14" t="s">
        <v>851</v>
      </c>
      <c r="O1546" s="11" t="str">
        <f>HYPERLINK("https://pbs.twimg.com/profile_images/677493910256484352/-EdVaVPl_normal.jpg","View")</f>
        <v>View</v>
      </c>
      <c r="P1546" s="15"/>
    </row>
    <row r="1547">
      <c r="A1547" s="7">
        <v>42425.70752314814</v>
      </c>
      <c r="B1547" s="8" t="str">
        <f>HYPERLINK("https://twitter.com/RealPython","@RealPython")</f>
        <v>@RealPython</v>
      </c>
      <c r="C1547" s="9" t="s">
        <v>1021</v>
      </c>
      <c r="D1547" s="10" t="s">
        <v>2361</v>
      </c>
      <c r="E1547" s="11" t="str">
        <f>HYPERLINK("https://twitter.com/RealPython/status/703021370091765760","703021370091765760")</f>
        <v>703021370091765760</v>
      </c>
      <c r="F1547" s="12" t="s">
        <v>20</v>
      </c>
      <c r="G1547" s="13">
        <v>5088.0</v>
      </c>
      <c r="H1547" s="13">
        <v>39.0</v>
      </c>
      <c r="I1547" s="13">
        <v>4.0</v>
      </c>
      <c r="J1547" s="13">
        <v>0.0</v>
      </c>
      <c r="K1547" s="12" t="s">
        <v>21</v>
      </c>
      <c r="L1547" s="7">
        <v>41129.57270833333</v>
      </c>
      <c r="M1547" s="16"/>
      <c r="N1547" s="14" t="s">
        <v>1022</v>
      </c>
      <c r="O1547" s="11" t="str">
        <f>HYPERLINK("https://pbs.twimg.com/profile_images/3312468366/129323224633d71286101d517a2f9817_normal.png","View")</f>
        <v>View</v>
      </c>
      <c r="P1547" s="15"/>
    </row>
    <row r="1548">
      <c r="A1548" s="7">
        <v>42425.70778935185</v>
      </c>
      <c r="B1548" s="8" t="str">
        <f t="shared" ref="B1548:B1556" si="155">HYPERLINK("https://twitter.com/artwisanggeni","@artwisanggeni")</f>
        <v>@artwisanggeni</v>
      </c>
      <c r="C1548" s="10" t="s">
        <v>74</v>
      </c>
      <c r="D1548" s="10" t="s">
        <v>3492</v>
      </c>
      <c r="E1548" s="11" t="str">
        <f>HYPERLINK("https://twitter.com/artwisanggeni/status/703021463511523328","703021463511523328")</f>
        <v>703021463511523328</v>
      </c>
      <c r="F1548" s="17" t="s">
        <v>76</v>
      </c>
      <c r="G1548" s="13">
        <v>236.0</v>
      </c>
      <c r="H1548" s="13">
        <v>61.0</v>
      </c>
      <c r="I1548" s="13">
        <v>0.0</v>
      </c>
      <c r="J1548" s="13">
        <v>0.0</v>
      </c>
      <c r="K1548" s="12" t="s">
        <v>21</v>
      </c>
      <c r="L1548" s="7">
        <v>41218.90608796296</v>
      </c>
      <c r="M1548" s="14" t="s">
        <v>77</v>
      </c>
      <c r="N1548" s="14" t="s">
        <v>78</v>
      </c>
      <c r="O1548" s="11" t="str">
        <f t="shared" ref="O1548:O1556" si="156">HYPERLINK("https://pbs.twimg.com/profile_images/2813636657/599521f69e2bc210a57323b64d8e39e6_normal.jpeg","View")</f>
        <v>View</v>
      </c>
      <c r="P1548" s="15"/>
    </row>
    <row r="1549">
      <c r="A1549" s="7">
        <v>42425.70780092593</v>
      </c>
      <c r="B1549" s="8" t="str">
        <f t="shared" si="155"/>
        <v>@artwisanggeni</v>
      </c>
      <c r="C1549" s="10" t="s">
        <v>74</v>
      </c>
      <c r="D1549" s="10" t="s">
        <v>3493</v>
      </c>
      <c r="E1549" s="11" t="str">
        <f>HYPERLINK("https://twitter.com/artwisanggeni/status/703021467441627136","703021467441627136")</f>
        <v>703021467441627136</v>
      </c>
      <c r="F1549" s="17" t="s">
        <v>76</v>
      </c>
      <c r="G1549" s="13">
        <v>236.0</v>
      </c>
      <c r="H1549" s="13">
        <v>61.0</v>
      </c>
      <c r="I1549" s="13">
        <v>0.0</v>
      </c>
      <c r="J1549" s="13">
        <v>0.0</v>
      </c>
      <c r="K1549" s="12" t="s">
        <v>21</v>
      </c>
      <c r="L1549" s="7">
        <v>41218.90608796296</v>
      </c>
      <c r="M1549" s="14" t="s">
        <v>77</v>
      </c>
      <c r="N1549" s="14" t="s">
        <v>78</v>
      </c>
      <c r="O1549" s="11" t="str">
        <f t="shared" si="156"/>
        <v>View</v>
      </c>
      <c r="P1549" s="15"/>
    </row>
    <row r="1550">
      <c r="A1550" s="7">
        <v>42425.70780092593</v>
      </c>
      <c r="B1550" s="8" t="str">
        <f t="shared" si="155"/>
        <v>@artwisanggeni</v>
      </c>
      <c r="C1550" s="10" t="s">
        <v>74</v>
      </c>
      <c r="D1550" s="10" t="s">
        <v>3494</v>
      </c>
      <c r="E1550" s="11" t="str">
        <f>HYPERLINK("https://twitter.com/artwisanggeni/status/703021470838972416","703021470838972416")</f>
        <v>703021470838972416</v>
      </c>
      <c r="F1550" s="17" t="s">
        <v>76</v>
      </c>
      <c r="G1550" s="13">
        <v>236.0</v>
      </c>
      <c r="H1550" s="13">
        <v>61.0</v>
      </c>
      <c r="I1550" s="13">
        <v>0.0</v>
      </c>
      <c r="J1550" s="13">
        <v>0.0</v>
      </c>
      <c r="K1550" s="12" t="s">
        <v>21</v>
      </c>
      <c r="L1550" s="7">
        <v>41218.90608796296</v>
      </c>
      <c r="M1550" s="14" t="s">
        <v>77</v>
      </c>
      <c r="N1550" s="14" t="s">
        <v>78</v>
      </c>
      <c r="O1550" s="11" t="str">
        <f t="shared" si="156"/>
        <v>View</v>
      </c>
      <c r="P1550" s="15"/>
    </row>
    <row r="1551">
      <c r="A1551" s="7">
        <v>42425.7078125</v>
      </c>
      <c r="B1551" s="8" t="str">
        <f t="shared" si="155"/>
        <v>@artwisanggeni</v>
      </c>
      <c r="C1551" s="10" t="s">
        <v>74</v>
      </c>
      <c r="D1551" s="10" t="s">
        <v>3495</v>
      </c>
      <c r="E1551" s="11" t="str">
        <f>HYPERLINK("https://twitter.com/artwisanggeni/status/703021474018258944","703021474018258944")</f>
        <v>703021474018258944</v>
      </c>
      <c r="F1551" s="17" t="s">
        <v>76</v>
      </c>
      <c r="G1551" s="13">
        <v>236.0</v>
      </c>
      <c r="H1551" s="13">
        <v>61.0</v>
      </c>
      <c r="I1551" s="13">
        <v>0.0</v>
      </c>
      <c r="J1551" s="13">
        <v>0.0</v>
      </c>
      <c r="K1551" s="12" t="s">
        <v>21</v>
      </c>
      <c r="L1551" s="7">
        <v>41218.90608796296</v>
      </c>
      <c r="M1551" s="14" t="s">
        <v>77</v>
      </c>
      <c r="N1551" s="14" t="s">
        <v>78</v>
      </c>
      <c r="O1551" s="11" t="str">
        <f t="shared" si="156"/>
        <v>View</v>
      </c>
      <c r="P1551" s="15"/>
    </row>
    <row r="1552">
      <c r="A1552" s="7">
        <v>42425.707824074074</v>
      </c>
      <c r="B1552" s="8" t="str">
        <f t="shared" si="155"/>
        <v>@artwisanggeni</v>
      </c>
      <c r="C1552" s="10" t="s">
        <v>74</v>
      </c>
      <c r="D1552" s="10" t="s">
        <v>3496</v>
      </c>
      <c r="E1552" s="11" t="str">
        <f>HYPERLINK("https://twitter.com/artwisanggeni/status/703021477126283265","703021477126283265")</f>
        <v>703021477126283265</v>
      </c>
      <c r="F1552" s="17" t="s">
        <v>76</v>
      </c>
      <c r="G1552" s="13">
        <v>236.0</v>
      </c>
      <c r="H1552" s="13">
        <v>61.0</v>
      </c>
      <c r="I1552" s="13">
        <v>0.0</v>
      </c>
      <c r="J1552" s="13">
        <v>0.0</v>
      </c>
      <c r="K1552" s="12" t="s">
        <v>21</v>
      </c>
      <c r="L1552" s="7">
        <v>41218.90608796296</v>
      </c>
      <c r="M1552" s="14" t="s">
        <v>77</v>
      </c>
      <c r="N1552" s="14" t="s">
        <v>78</v>
      </c>
      <c r="O1552" s="11" t="str">
        <f t="shared" si="156"/>
        <v>View</v>
      </c>
      <c r="P1552" s="15"/>
    </row>
    <row r="1553">
      <c r="A1553" s="7">
        <v>42425.70783564815</v>
      </c>
      <c r="B1553" s="8" t="str">
        <f t="shared" si="155"/>
        <v>@artwisanggeni</v>
      </c>
      <c r="C1553" s="10" t="s">
        <v>74</v>
      </c>
      <c r="D1553" s="10" t="s">
        <v>3497</v>
      </c>
      <c r="E1553" s="11" t="str">
        <f>HYPERLINK("https://twitter.com/artwisanggeni/status/703021480343244800","703021480343244800")</f>
        <v>703021480343244800</v>
      </c>
      <c r="F1553" s="17" t="s">
        <v>76</v>
      </c>
      <c r="G1553" s="13">
        <v>236.0</v>
      </c>
      <c r="H1553" s="13">
        <v>61.0</v>
      </c>
      <c r="I1553" s="13">
        <v>0.0</v>
      </c>
      <c r="J1553" s="13">
        <v>0.0</v>
      </c>
      <c r="K1553" s="12" t="s">
        <v>21</v>
      </c>
      <c r="L1553" s="7">
        <v>41218.90608796296</v>
      </c>
      <c r="M1553" s="14" t="s">
        <v>77</v>
      </c>
      <c r="N1553" s="14" t="s">
        <v>78</v>
      </c>
      <c r="O1553" s="11" t="str">
        <f t="shared" si="156"/>
        <v>View</v>
      </c>
      <c r="P1553" s="15"/>
    </row>
    <row r="1554">
      <c r="A1554" s="7">
        <v>42425.70783564815</v>
      </c>
      <c r="B1554" s="8" t="str">
        <f t="shared" si="155"/>
        <v>@artwisanggeni</v>
      </c>
      <c r="C1554" s="10" t="s">
        <v>74</v>
      </c>
      <c r="D1554" s="10" t="s">
        <v>3498</v>
      </c>
      <c r="E1554" s="11" t="str">
        <f>HYPERLINK("https://twitter.com/artwisanggeni/status/703021483459620864","703021483459620864")</f>
        <v>703021483459620864</v>
      </c>
      <c r="F1554" s="17" t="s">
        <v>76</v>
      </c>
      <c r="G1554" s="13">
        <v>236.0</v>
      </c>
      <c r="H1554" s="13">
        <v>61.0</v>
      </c>
      <c r="I1554" s="13">
        <v>0.0</v>
      </c>
      <c r="J1554" s="13">
        <v>0.0</v>
      </c>
      <c r="K1554" s="12" t="s">
        <v>21</v>
      </c>
      <c r="L1554" s="7">
        <v>41218.90608796296</v>
      </c>
      <c r="M1554" s="14" t="s">
        <v>77</v>
      </c>
      <c r="N1554" s="14" t="s">
        <v>78</v>
      </c>
      <c r="O1554" s="11" t="str">
        <f t="shared" si="156"/>
        <v>View</v>
      </c>
      <c r="P1554" s="15"/>
    </row>
    <row r="1555">
      <c r="A1555" s="7">
        <v>42425.70784722222</v>
      </c>
      <c r="B1555" s="8" t="str">
        <f t="shared" si="155"/>
        <v>@artwisanggeni</v>
      </c>
      <c r="C1555" s="10" t="s">
        <v>74</v>
      </c>
      <c r="D1555" s="10" t="s">
        <v>3499</v>
      </c>
      <c r="E1555" s="11" t="str">
        <f>HYPERLINK("https://twitter.com/artwisanggeni/status/703021487230308352","703021487230308352")</f>
        <v>703021487230308352</v>
      </c>
      <c r="F1555" s="17" t="s">
        <v>76</v>
      </c>
      <c r="G1555" s="13">
        <v>236.0</v>
      </c>
      <c r="H1555" s="13">
        <v>61.0</v>
      </c>
      <c r="I1555" s="13">
        <v>0.0</v>
      </c>
      <c r="J1555" s="13">
        <v>0.0</v>
      </c>
      <c r="K1555" s="12" t="s">
        <v>21</v>
      </c>
      <c r="L1555" s="7">
        <v>41218.90608796296</v>
      </c>
      <c r="M1555" s="14" t="s">
        <v>77</v>
      </c>
      <c r="N1555" s="14" t="s">
        <v>78</v>
      </c>
      <c r="O1555" s="11" t="str">
        <f t="shared" si="156"/>
        <v>View</v>
      </c>
      <c r="P1555" s="15"/>
    </row>
    <row r="1556">
      <c r="A1556" s="7">
        <v>42425.7078587963</v>
      </c>
      <c r="B1556" s="8" t="str">
        <f t="shared" si="155"/>
        <v>@artwisanggeni</v>
      </c>
      <c r="C1556" s="10" t="s">
        <v>74</v>
      </c>
      <c r="D1556" s="10" t="s">
        <v>3500</v>
      </c>
      <c r="E1556" s="11" t="str">
        <f>HYPERLINK("https://twitter.com/artwisanggeni/status/703021490199867392","703021490199867392")</f>
        <v>703021490199867392</v>
      </c>
      <c r="F1556" s="17" t="s">
        <v>76</v>
      </c>
      <c r="G1556" s="13">
        <v>236.0</v>
      </c>
      <c r="H1556" s="13">
        <v>61.0</v>
      </c>
      <c r="I1556" s="13">
        <v>0.0</v>
      </c>
      <c r="J1556" s="13">
        <v>0.0</v>
      </c>
      <c r="K1556" s="12" t="s">
        <v>21</v>
      </c>
      <c r="L1556" s="7">
        <v>41218.90608796296</v>
      </c>
      <c r="M1556" s="14" t="s">
        <v>77</v>
      </c>
      <c r="N1556" s="14" t="s">
        <v>78</v>
      </c>
      <c r="O1556" s="11" t="str">
        <f t="shared" si="156"/>
        <v>View</v>
      </c>
      <c r="P1556" s="15"/>
    </row>
    <row r="1557">
      <c r="A1557" s="7">
        <v>42425.70851851851</v>
      </c>
      <c r="B1557" s="8" t="str">
        <f>HYPERLINK("https://twitter.com/feliperuhland","@feliperuhland")</f>
        <v>@feliperuhland</v>
      </c>
      <c r="C1557" s="10" t="s">
        <v>3501</v>
      </c>
      <c r="D1557" s="10" t="s">
        <v>3163</v>
      </c>
      <c r="E1557" s="11" t="str">
        <f>HYPERLINK("https://twitter.com/feliperuhland/status/703021730370076672","703021730370076672")</f>
        <v>703021730370076672</v>
      </c>
      <c r="F1557" s="12" t="s">
        <v>3502</v>
      </c>
      <c r="G1557" s="13">
        <v>72.0</v>
      </c>
      <c r="H1557" s="13">
        <v>258.0</v>
      </c>
      <c r="I1557" s="13">
        <v>15.0</v>
      </c>
      <c r="J1557" s="13">
        <v>0.0</v>
      </c>
      <c r="K1557" s="12" t="s">
        <v>21</v>
      </c>
      <c r="L1557" s="7">
        <v>39872.35009259259</v>
      </c>
      <c r="M1557" s="14" t="s">
        <v>82</v>
      </c>
      <c r="N1557" s="14" t="s">
        <v>3503</v>
      </c>
      <c r="O1557" s="11" t="str">
        <f>HYPERLINK("https://pbs.twimg.com/profile_images/2550911595/3z6ilz9oqe42nvxjebgg_normal.jpeg","View")</f>
        <v>View</v>
      </c>
      <c r="P1557" s="15"/>
    </row>
    <row r="1558">
      <c r="A1558" s="7">
        <v>42425.709398148145</v>
      </c>
      <c r="B1558" s="8" t="str">
        <f>HYPERLINK("https://twitter.com/mthipparthi","@mthipparthi")</f>
        <v>@mthipparthi</v>
      </c>
      <c r="C1558" s="10" t="s">
        <v>143</v>
      </c>
      <c r="D1558" s="10" t="s">
        <v>2361</v>
      </c>
      <c r="E1558" s="11" t="str">
        <f>HYPERLINK("https://twitter.com/mthipparthi/status/703022049690673152","703022049690673152")</f>
        <v>703022049690673152</v>
      </c>
      <c r="F1558" s="12" t="s">
        <v>52</v>
      </c>
      <c r="G1558" s="13">
        <v>103.0</v>
      </c>
      <c r="H1558" s="13">
        <v>536.0</v>
      </c>
      <c r="I1558" s="13">
        <v>4.0</v>
      </c>
      <c r="J1558" s="13">
        <v>0.0</v>
      </c>
      <c r="K1558" s="12" t="s">
        <v>21</v>
      </c>
      <c r="L1558" s="7">
        <v>39954.14172453704</v>
      </c>
      <c r="M1558" s="14" t="s">
        <v>145</v>
      </c>
      <c r="N1558" s="14" t="s">
        <v>146</v>
      </c>
      <c r="O1558" s="11" t="str">
        <f>HYPERLINK("https://abs.twimg.com/sticky/default_profile_images/default_profile_3_normal.png","View")</f>
        <v>View</v>
      </c>
      <c r="P1558" s="15"/>
    </row>
    <row r="1559">
      <c r="A1559" s="7">
        <v>42425.70943287037</v>
      </c>
      <c r="B1559" s="8" t="str">
        <f>HYPERLINK("https://twitter.com/pedrocorreianet","@pedrocorreianet")</f>
        <v>@pedrocorreianet</v>
      </c>
      <c r="C1559" s="10" t="s">
        <v>3504</v>
      </c>
      <c r="D1559" s="10" t="s">
        <v>2972</v>
      </c>
      <c r="E1559" s="11" t="str">
        <f>HYPERLINK("https://twitter.com/pedrocorreianet/status/703022061313265665","703022061313265665")</f>
        <v>703022061313265665</v>
      </c>
      <c r="F1559" s="12" t="s">
        <v>152</v>
      </c>
      <c r="G1559" s="13">
        <v>187.0</v>
      </c>
      <c r="H1559" s="13">
        <v>49.0</v>
      </c>
      <c r="I1559" s="13">
        <v>6.0</v>
      </c>
      <c r="J1559" s="13">
        <v>0.0</v>
      </c>
      <c r="K1559" s="12" t="s">
        <v>21</v>
      </c>
      <c r="L1559" s="7">
        <v>40036.30762731482</v>
      </c>
      <c r="M1559" s="14" t="s">
        <v>3505</v>
      </c>
      <c r="N1559" s="14" t="s">
        <v>3506</v>
      </c>
      <c r="O1559" s="11" t="str">
        <f>HYPERLINK("https://pbs.twimg.com/profile_images/427667205392973824/Cdkc0BTK_normal.jpeg","View")</f>
        <v>View</v>
      </c>
      <c r="P1559" s="15"/>
    </row>
    <row r="1560">
      <c r="A1560" s="7">
        <v>42425.70946759259</v>
      </c>
      <c r="B1560" s="8" t="str">
        <f>HYPERLINK("https://twitter.com/johnkitchin","@johnkitchin")</f>
        <v>@johnkitchin</v>
      </c>
      <c r="C1560" s="10" t="s">
        <v>3507</v>
      </c>
      <c r="D1560" s="10" t="s">
        <v>3508</v>
      </c>
      <c r="E1560" s="11" t="str">
        <f>HYPERLINK("https://twitter.com/johnkitchin/status/703022073271205888","703022073271205888")</f>
        <v>703022073271205888</v>
      </c>
      <c r="F1560" s="12" t="s">
        <v>431</v>
      </c>
      <c r="G1560" s="13">
        <v>401.0</v>
      </c>
      <c r="H1560" s="13">
        <v>151.0</v>
      </c>
      <c r="I1560" s="13">
        <v>0.0</v>
      </c>
      <c r="J1560" s="13">
        <v>1.0</v>
      </c>
      <c r="K1560" s="12" t="s">
        <v>21</v>
      </c>
      <c r="L1560" s="7">
        <v>40571.391909722224</v>
      </c>
      <c r="M1560" s="14" t="s">
        <v>3509</v>
      </c>
      <c r="N1560" s="14" t="s">
        <v>3510</v>
      </c>
      <c r="O1560" s="11" t="str">
        <f>HYPERLINK("https://pbs.twimg.com/profile_images/1469623166/john_kitchin_thumb_normal.jpg","View")</f>
        <v>View</v>
      </c>
      <c r="P1560" s="15"/>
    </row>
    <row r="1561">
      <c r="A1561" s="7">
        <v>42425.70954861111</v>
      </c>
      <c r="B1561" s="8" t="str">
        <f>HYPERLINK("https://twitter.com/RealPython","@RealPython")</f>
        <v>@RealPython</v>
      </c>
      <c r="C1561" s="9" t="s">
        <v>1021</v>
      </c>
      <c r="D1561" s="10" t="s">
        <v>3511</v>
      </c>
      <c r="E1561" s="11" t="str">
        <f>HYPERLINK("https://twitter.com/RealPython/status/703022102358544384","703022102358544384")</f>
        <v>703022102358544384</v>
      </c>
      <c r="F1561" s="12" t="s">
        <v>20</v>
      </c>
      <c r="G1561" s="13">
        <v>5088.0</v>
      </c>
      <c r="H1561" s="13">
        <v>39.0</v>
      </c>
      <c r="I1561" s="13">
        <v>0.0</v>
      </c>
      <c r="J1561" s="13">
        <v>6.0</v>
      </c>
      <c r="K1561" s="12" t="s">
        <v>21</v>
      </c>
      <c r="L1561" s="7">
        <v>41129.57270833333</v>
      </c>
      <c r="M1561" s="16"/>
      <c r="N1561" s="14" t="s">
        <v>1022</v>
      </c>
      <c r="O1561" s="11" t="str">
        <f>HYPERLINK("https://pbs.twimg.com/profile_images/3312468366/129323224633d71286101d517a2f9817_normal.png","View")</f>
        <v>View</v>
      </c>
      <c r="P1561" s="15"/>
    </row>
    <row r="1562">
      <c r="A1562" s="7">
        <v>42425.71028935185</v>
      </c>
      <c r="B1562" s="8" t="str">
        <f>HYPERLINK("https://twitter.com/nezchal","@nezchal")</f>
        <v>@nezchal</v>
      </c>
      <c r="C1562" s="10" t="s">
        <v>3512</v>
      </c>
      <c r="D1562" s="10" t="s">
        <v>3513</v>
      </c>
      <c r="E1562" s="11" t="str">
        <f>HYPERLINK("https://twitter.com/nezchal/status/703022371511398400","703022371511398400")</f>
        <v>703022371511398400</v>
      </c>
      <c r="F1562" s="12" t="s">
        <v>152</v>
      </c>
      <c r="G1562" s="13">
        <v>2358.0</v>
      </c>
      <c r="H1562" s="13">
        <v>2819.0</v>
      </c>
      <c r="I1562" s="13">
        <v>51.0</v>
      </c>
      <c r="J1562" s="13">
        <v>0.0</v>
      </c>
      <c r="K1562" s="12" t="s">
        <v>21</v>
      </c>
      <c r="L1562" s="7">
        <v>41059.629224537035</v>
      </c>
      <c r="M1562" s="16"/>
      <c r="N1562" s="16"/>
      <c r="O1562" s="11" t="str">
        <f>HYPERLINK("https://pbs.twimg.com/profile_images/378800000844490868/b35cc180ef74c00510dba5288d8c6de1_normal.jpeg","View")</f>
        <v>View</v>
      </c>
      <c r="P1562" s="15"/>
    </row>
    <row r="1563">
      <c r="A1563" s="7">
        <v>42425.71089120371</v>
      </c>
      <c r="B1563" s="8" t="str">
        <f>HYPERLINK("https://twitter.com/NewReleaseNotes","@NewReleaseNotes")</f>
        <v>@NewReleaseNotes</v>
      </c>
      <c r="C1563" s="10" t="s">
        <v>3514</v>
      </c>
      <c r="D1563" s="10" t="s">
        <v>3515</v>
      </c>
      <c r="E1563" s="11" t="str">
        <f>HYPERLINK("https://twitter.com/NewReleaseNotes/status/703022588981678080","703022588981678080")</f>
        <v>703022588981678080</v>
      </c>
      <c r="F1563" s="12" t="s">
        <v>3516</v>
      </c>
      <c r="G1563" s="13">
        <v>45.0</v>
      </c>
      <c r="H1563" s="13">
        <v>3.0</v>
      </c>
      <c r="I1563" s="13">
        <v>0.0</v>
      </c>
      <c r="J1563" s="13">
        <v>0.0</v>
      </c>
      <c r="K1563" s="12" t="s">
        <v>21</v>
      </c>
      <c r="L1563" s="7">
        <v>42140.17746527778</v>
      </c>
      <c r="M1563" s="16"/>
      <c r="N1563" s="16"/>
      <c r="O1563" s="11" t="str">
        <f>HYPERLINK("https://pbs.twimg.com/profile_images/600142816094748672/qlLn3N1z_normal.png","View")</f>
        <v>View</v>
      </c>
      <c r="P1563" s="15"/>
    </row>
    <row r="1564">
      <c r="A1564" s="7">
        <v>42425.712129629625</v>
      </c>
      <c r="B1564" s="8" t="str">
        <f>HYPERLINK("https://twitter.com/AdamSmitht1","@AdamSmitht1")</f>
        <v>@AdamSmitht1</v>
      </c>
      <c r="C1564" s="10" t="s">
        <v>468</v>
      </c>
      <c r="D1564" s="10" t="s">
        <v>3517</v>
      </c>
      <c r="E1564" s="11" t="str">
        <f>HYPERLINK("https://twitter.com/AdamSmitht1/status/703023039609442304","703023039609442304")</f>
        <v>703023039609442304</v>
      </c>
      <c r="F1564" s="12" t="s">
        <v>103</v>
      </c>
      <c r="G1564" s="13">
        <v>849.0</v>
      </c>
      <c r="H1564" s="13">
        <v>793.0</v>
      </c>
      <c r="I1564" s="13">
        <v>0.0</v>
      </c>
      <c r="J1564" s="13">
        <v>0.0</v>
      </c>
      <c r="K1564" s="12" t="s">
        <v>21</v>
      </c>
      <c r="L1564" s="7">
        <v>42336.12709490741</v>
      </c>
      <c r="M1564" s="14" t="s">
        <v>470</v>
      </c>
      <c r="N1564" s="14" t="s">
        <v>471</v>
      </c>
      <c r="O1564" s="11" t="str">
        <f>HYPERLINK("https://pbs.twimg.com/profile_images/671623862916812800/yGsDKiP4_normal.jpg","View")</f>
        <v>View</v>
      </c>
      <c r="P1564" s="15"/>
    </row>
    <row r="1565">
      <c r="A1565" s="7">
        <v>42425.71241898148</v>
      </c>
      <c r="B1565" s="8" t="str">
        <f>HYPERLINK("https://twitter.com/RealPython","@RealPython")</f>
        <v>@RealPython</v>
      </c>
      <c r="C1565" s="9" t="s">
        <v>1021</v>
      </c>
      <c r="D1565" s="10" t="s">
        <v>3518</v>
      </c>
      <c r="E1565" s="11" t="str">
        <f>HYPERLINK("https://twitter.com/RealPython/status/703023143162482688","703023143162482688")</f>
        <v>703023143162482688</v>
      </c>
      <c r="F1565" s="12" t="s">
        <v>20</v>
      </c>
      <c r="G1565" s="13">
        <v>5088.0</v>
      </c>
      <c r="H1565" s="13">
        <v>39.0</v>
      </c>
      <c r="I1565" s="13">
        <v>3.0</v>
      </c>
      <c r="J1565" s="13">
        <v>12.0</v>
      </c>
      <c r="K1565" s="12" t="s">
        <v>21</v>
      </c>
      <c r="L1565" s="7">
        <v>41129.57270833333</v>
      </c>
      <c r="M1565" s="16"/>
      <c r="N1565" s="14" t="s">
        <v>1022</v>
      </c>
      <c r="O1565" s="11" t="str">
        <f>HYPERLINK("https://pbs.twimg.com/profile_images/3312468366/129323224633d71286101d517a2f9817_normal.png","View")</f>
        <v>View</v>
      </c>
      <c r="P1565" s="15"/>
    </row>
    <row r="1566">
      <c r="A1566" s="7">
        <v>42425.713009259256</v>
      </c>
      <c r="B1566" s="8" t="str">
        <f>HYPERLINK("https://twitter.com/startechwall","@startechwall")</f>
        <v>@startechwall</v>
      </c>
      <c r="C1566" s="10" t="s">
        <v>1478</v>
      </c>
      <c r="D1566" s="10" t="s">
        <v>3519</v>
      </c>
      <c r="E1566" s="11" t="str">
        <f>HYPERLINK("https://twitter.com/startechwall/status/703023358133334016","703023358133334016")</f>
        <v>703023358133334016</v>
      </c>
      <c r="F1566" s="12" t="s">
        <v>103</v>
      </c>
      <c r="G1566" s="13">
        <v>557.0</v>
      </c>
      <c r="H1566" s="13">
        <v>859.0</v>
      </c>
      <c r="I1566" s="13">
        <v>0.0</v>
      </c>
      <c r="J1566" s="13">
        <v>0.0</v>
      </c>
      <c r="K1566" s="12" t="s">
        <v>21</v>
      </c>
      <c r="L1566" s="7">
        <v>42360.959502314814</v>
      </c>
      <c r="M1566" s="14" t="s">
        <v>1480</v>
      </c>
      <c r="N1566" s="14" t="s">
        <v>1481</v>
      </c>
      <c r="O1566" s="11" t="str">
        <f>HYPERLINK("https://pbs.twimg.com/profile_images/679566117187145728/UUo30Zpm_normal.jpg","View")</f>
        <v>View</v>
      </c>
      <c r="P1566" s="15"/>
    </row>
    <row r="1567">
      <c r="A1567" s="7">
        <v>42425.713379629626</v>
      </c>
      <c r="B1567" s="8" t="str">
        <f>HYPERLINK("https://twitter.com/SpectralFilter","@SpectralFilter")</f>
        <v>@SpectralFilter</v>
      </c>
      <c r="C1567" s="10" t="s">
        <v>3520</v>
      </c>
      <c r="D1567" s="10" t="s">
        <v>3183</v>
      </c>
      <c r="E1567" s="11" t="str">
        <f>HYPERLINK("https://twitter.com/SpectralFilter/status/703023492967444480","703023492967444480")</f>
        <v>703023492967444480</v>
      </c>
      <c r="F1567" s="12" t="s">
        <v>20</v>
      </c>
      <c r="G1567" s="13">
        <v>152.0</v>
      </c>
      <c r="H1567" s="13">
        <v>103.0</v>
      </c>
      <c r="I1567" s="13">
        <v>11.0</v>
      </c>
      <c r="J1567" s="13">
        <v>0.0</v>
      </c>
      <c r="K1567" s="12" t="s">
        <v>21</v>
      </c>
      <c r="L1567" s="7">
        <v>41578.587002314816</v>
      </c>
      <c r="M1567" s="14" t="s">
        <v>3521</v>
      </c>
      <c r="N1567" s="14" t="s">
        <v>3522</v>
      </c>
      <c r="O1567" s="11" t="str">
        <f>HYPERLINK("https://pbs.twimg.com/profile_images/378800000675236193/a8751ce40a1ca9bf2e0209150ff2df79_normal.jpeg","View")</f>
        <v>View</v>
      </c>
      <c r="P1567" s="15"/>
    </row>
    <row r="1568">
      <c r="A1568" s="7">
        <v>42425.71465277778</v>
      </c>
      <c r="B1568" s="8" t="str">
        <f>HYPERLINK("https://twitter.com/astrofra","@astrofra")</f>
        <v>@astrofra</v>
      </c>
      <c r="C1568" s="10" t="s">
        <v>3523</v>
      </c>
      <c r="D1568" s="10" t="s">
        <v>3524</v>
      </c>
      <c r="E1568" s="11" t="str">
        <f>HYPERLINK("https://twitter.com/astrofra/status/703023950843002880","703023950843002880")</f>
        <v>703023950843002880</v>
      </c>
      <c r="F1568" s="12" t="s">
        <v>52</v>
      </c>
      <c r="G1568" s="13">
        <v>171.0</v>
      </c>
      <c r="H1568" s="13">
        <v>212.0</v>
      </c>
      <c r="I1568" s="13">
        <v>1.0</v>
      </c>
      <c r="J1568" s="13">
        <v>0.0</v>
      </c>
      <c r="K1568" s="12" t="s">
        <v>21</v>
      </c>
      <c r="L1568" s="7">
        <v>41810.96375</v>
      </c>
      <c r="M1568" s="14" t="s">
        <v>416</v>
      </c>
      <c r="N1568" s="14" t="s">
        <v>3525</v>
      </c>
      <c r="O1568" s="11" t="str">
        <f>HYPERLINK("https://pbs.twimg.com/profile_images/480235311906455552/ekUeBDr3_normal.jpeg","View")</f>
        <v>View</v>
      </c>
      <c r="P1568" s="15"/>
    </row>
    <row r="1569">
      <c r="A1569" s="7">
        <v>42425.714953703704</v>
      </c>
      <c r="B1569" s="8" t="str">
        <f>HYPERLINK("https://twitter.com/NewReleaseNotes","@NewReleaseNotes")</f>
        <v>@NewReleaseNotes</v>
      </c>
      <c r="C1569" s="10" t="s">
        <v>3514</v>
      </c>
      <c r="D1569" s="10" t="s">
        <v>3526</v>
      </c>
      <c r="E1569" s="11" t="str">
        <f>HYPERLINK("https://twitter.com/NewReleaseNotes/status/703024061102698496","703024061102698496")</f>
        <v>703024061102698496</v>
      </c>
      <c r="F1569" s="12" t="s">
        <v>3516</v>
      </c>
      <c r="G1569" s="13">
        <v>45.0</v>
      </c>
      <c r="H1569" s="13">
        <v>3.0</v>
      </c>
      <c r="I1569" s="13">
        <v>0.0</v>
      </c>
      <c r="J1569" s="13">
        <v>0.0</v>
      </c>
      <c r="K1569" s="12" t="s">
        <v>21</v>
      </c>
      <c r="L1569" s="7">
        <v>42140.17746527778</v>
      </c>
      <c r="M1569" s="16"/>
      <c r="N1569" s="16"/>
      <c r="O1569" s="11" t="str">
        <f>HYPERLINK("https://pbs.twimg.com/profile_images/600142816094748672/qlLn3N1z_normal.png","View")</f>
        <v>View</v>
      </c>
      <c r="P1569" s="15"/>
    </row>
    <row r="1570">
      <c r="A1570" s="7">
        <v>42425.715787037036</v>
      </c>
      <c r="B1570" s="8" t="str">
        <f>HYPERLINK("https://twitter.com/howmuch0515","@howmuch0515")</f>
        <v>@howmuch0515</v>
      </c>
      <c r="C1570" s="10" t="s">
        <v>3527</v>
      </c>
      <c r="D1570" s="10" t="s">
        <v>3528</v>
      </c>
      <c r="E1570" s="11" t="str">
        <f>HYPERLINK("https://twitter.com/howmuch0515/status/703024361750425600","703024361750425600")</f>
        <v>703024361750425600</v>
      </c>
      <c r="F1570" s="12" t="s">
        <v>152</v>
      </c>
      <c r="G1570" s="13">
        <v>279.0</v>
      </c>
      <c r="H1570" s="13">
        <v>424.0</v>
      </c>
      <c r="I1570" s="13">
        <v>0.0</v>
      </c>
      <c r="J1570" s="13">
        <v>0.0</v>
      </c>
      <c r="K1570" s="12" t="s">
        <v>21</v>
      </c>
      <c r="L1570" s="7">
        <v>42074.005520833336</v>
      </c>
      <c r="M1570" s="14" t="s">
        <v>3529</v>
      </c>
      <c r="N1570" s="14" t="s">
        <v>3530</v>
      </c>
      <c r="O1570" s="11" t="str">
        <f>HYPERLINK("https://pbs.twimg.com/profile_images/575590077117550592/a714OM5b_normal.jpeg","View")</f>
        <v>View</v>
      </c>
      <c r="P1570" s="15"/>
    </row>
    <row r="1571">
      <c r="A1571" s="7">
        <v>42425.71612268519</v>
      </c>
      <c r="B1571" s="8" t="str">
        <f>HYPERLINK("https://twitter.com/efaisal","@efaisal")</f>
        <v>@efaisal</v>
      </c>
      <c r="C1571" s="10" t="s">
        <v>3531</v>
      </c>
      <c r="D1571" s="10" t="s">
        <v>2842</v>
      </c>
      <c r="E1571" s="11" t="str">
        <f>HYPERLINK("https://twitter.com/efaisal/status/703024486300299264","703024486300299264")</f>
        <v>703024486300299264</v>
      </c>
      <c r="F1571" s="12" t="s">
        <v>152</v>
      </c>
      <c r="G1571" s="13">
        <v>150.0</v>
      </c>
      <c r="H1571" s="13">
        <v>330.0</v>
      </c>
      <c r="I1571" s="13">
        <v>8.0</v>
      </c>
      <c r="J1571" s="13">
        <v>0.0</v>
      </c>
      <c r="K1571" s="12" t="s">
        <v>21</v>
      </c>
      <c r="L1571" s="7">
        <v>40107.820439814815</v>
      </c>
      <c r="M1571" s="16"/>
      <c r="N1571" s="14" t="s">
        <v>3532</v>
      </c>
      <c r="O1571" s="11" t="str">
        <f>HYPERLINK("https://pbs.twimg.com/profile_images/666499602841899008/YQl0Dh9s_normal.png","View")</f>
        <v>View</v>
      </c>
      <c r="P1571" s="15"/>
    </row>
    <row r="1572">
      <c r="A1572" s="7">
        <v>42425.71627314815</v>
      </c>
      <c r="B1572" s="8" t="str">
        <f>HYPERLINK("https://twitter.com/importpython","@importpython")</f>
        <v>@importpython</v>
      </c>
      <c r="C1572" s="10" t="s">
        <v>2536</v>
      </c>
      <c r="D1572" s="10" t="s">
        <v>3533</v>
      </c>
      <c r="E1572" s="11" t="str">
        <f>HYPERLINK("https://twitter.com/importpython/status/703024539597303808","703024539597303808")</f>
        <v>703024539597303808</v>
      </c>
      <c r="F1572" s="12" t="s">
        <v>20</v>
      </c>
      <c r="G1572" s="13">
        <v>1603.0</v>
      </c>
      <c r="H1572" s="13">
        <v>498.0</v>
      </c>
      <c r="I1572" s="13">
        <v>1.0</v>
      </c>
      <c r="J1572" s="13">
        <v>1.0</v>
      </c>
      <c r="K1572" s="12" t="s">
        <v>21</v>
      </c>
      <c r="L1572" s="7">
        <v>41912.04583333334</v>
      </c>
      <c r="M1572" s="14" t="s">
        <v>432</v>
      </c>
      <c r="N1572" s="14" t="s">
        <v>2539</v>
      </c>
      <c r="O1572" s="11" t="str">
        <f>HYPERLINK("https://pbs.twimg.com/profile_images/518108253121552384/ClpFqPbX_normal.png","View")</f>
        <v>View</v>
      </c>
      <c r="P1572" s="15"/>
    </row>
    <row r="1573">
      <c r="A1573" s="7">
        <v>42425.71704861111</v>
      </c>
      <c r="B1573" s="8" t="str">
        <f>HYPERLINK("https://twitter.com/NewReleaseNotes","@NewReleaseNotes")</f>
        <v>@NewReleaseNotes</v>
      </c>
      <c r="C1573" s="10" t="s">
        <v>3514</v>
      </c>
      <c r="D1573" s="10" t="s">
        <v>3534</v>
      </c>
      <c r="E1573" s="11" t="str">
        <f>HYPERLINK("https://twitter.com/NewReleaseNotes/status/703024820020088832","703024820020088832")</f>
        <v>703024820020088832</v>
      </c>
      <c r="F1573" s="12" t="s">
        <v>3516</v>
      </c>
      <c r="G1573" s="13">
        <v>45.0</v>
      </c>
      <c r="H1573" s="13">
        <v>3.0</v>
      </c>
      <c r="I1573" s="13">
        <v>0.0</v>
      </c>
      <c r="J1573" s="13">
        <v>0.0</v>
      </c>
      <c r="K1573" s="12" t="s">
        <v>21</v>
      </c>
      <c r="L1573" s="7">
        <v>42140.17746527778</v>
      </c>
      <c r="M1573" s="16"/>
      <c r="N1573" s="16"/>
      <c r="O1573" s="11" t="str">
        <f>HYPERLINK("https://pbs.twimg.com/profile_images/600142816094748672/qlLn3N1z_normal.png","View")</f>
        <v>View</v>
      </c>
      <c r="P1573" s="15"/>
    </row>
    <row r="1574">
      <c r="A1574" s="7">
        <v>42425.717094907406</v>
      </c>
      <c r="B1574" s="8" t="str">
        <f>HYPERLINK("https://twitter.com/datamafia","@datamafia")</f>
        <v>@datamafia</v>
      </c>
      <c r="C1574" s="10" t="s">
        <v>3449</v>
      </c>
      <c r="D1574" s="10" t="s">
        <v>3535</v>
      </c>
      <c r="E1574" s="11" t="str">
        <f>HYPERLINK("https://twitter.com/datamafia/status/703024835740508161","703024835740508161")</f>
        <v>703024835740508161</v>
      </c>
      <c r="F1574" s="12" t="s">
        <v>20</v>
      </c>
      <c r="G1574" s="13">
        <v>735.0</v>
      </c>
      <c r="H1574" s="13">
        <v>99.0</v>
      </c>
      <c r="I1574" s="13">
        <v>0.0</v>
      </c>
      <c r="J1574" s="13">
        <v>0.0</v>
      </c>
      <c r="K1574" s="12" t="s">
        <v>21</v>
      </c>
      <c r="L1574" s="7">
        <v>39841.404074074075</v>
      </c>
      <c r="M1574" s="14" t="s">
        <v>3451</v>
      </c>
      <c r="N1574" s="14" t="s">
        <v>3452</v>
      </c>
      <c r="O1574" s="11" t="str">
        <f>HYPERLINK("https://pbs.twimg.com/profile_images/700782075595481088/NiHciBeU_normal.jpg","View")</f>
        <v>View</v>
      </c>
      <c r="P1574" s="15"/>
    </row>
    <row r="1575">
      <c r="A1575" s="7">
        <v>42425.71722222222</v>
      </c>
      <c r="B1575" s="8" t="str">
        <f>HYPERLINK("https://twitter.com/cah_anom","@cah_anom")</f>
        <v>@cah_anom</v>
      </c>
      <c r="C1575" s="10" t="s">
        <v>1071</v>
      </c>
      <c r="D1575" s="10" t="s">
        <v>3368</v>
      </c>
      <c r="E1575" s="11" t="str">
        <f>HYPERLINK("https://twitter.com/cah_anom/status/703024884792688640","703024884792688640")</f>
        <v>703024884792688640</v>
      </c>
      <c r="F1575" s="12" t="s">
        <v>52</v>
      </c>
      <c r="G1575" s="13">
        <v>777.0</v>
      </c>
      <c r="H1575" s="13">
        <v>716.0</v>
      </c>
      <c r="I1575" s="13">
        <v>10.0</v>
      </c>
      <c r="J1575" s="13">
        <v>0.0</v>
      </c>
      <c r="K1575" s="12" t="s">
        <v>21</v>
      </c>
      <c r="L1575" s="7">
        <v>40525.87648148148</v>
      </c>
      <c r="M1575" s="14" t="s">
        <v>1072</v>
      </c>
      <c r="N1575" s="14" t="s">
        <v>1073</v>
      </c>
      <c r="O1575" s="11" t="str">
        <f>HYPERLINK("https://pbs.twimg.com/profile_images/603265046479642624/EswzTJd1_normal.jpg","View")</f>
        <v>View</v>
      </c>
      <c r="P1575" s="15"/>
    </row>
    <row r="1576">
      <c r="A1576" s="7">
        <v>42425.717511574076</v>
      </c>
      <c r="B1576" s="8" t="str">
        <f>HYPERLINK("https://twitter.com/aaronchall","@aaronchall")</f>
        <v>@aaronchall</v>
      </c>
      <c r="C1576" s="10" t="s">
        <v>3536</v>
      </c>
      <c r="D1576" s="10" t="s">
        <v>3537</v>
      </c>
      <c r="E1576" s="11" t="str">
        <f>HYPERLINK("https://twitter.com/aaronchall/status/703024988383809541","703024988383809541")</f>
        <v>703024988383809541</v>
      </c>
      <c r="F1576" s="12" t="s">
        <v>20</v>
      </c>
      <c r="G1576" s="13">
        <v>231.0</v>
      </c>
      <c r="H1576" s="13">
        <v>519.0</v>
      </c>
      <c r="I1576" s="13">
        <v>0.0</v>
      </c>
      <c r="J1576" s="13">
        <v>1.0</v>
      </c>
      <c r="K1576" s="12" t="s">
        <v>21</v>
      </c>
      <c r="L1576" s="7">
        <v>39633.471284722225</v>
      </c>
      <c r="M1576" s="14" t="s">
        <v>1628</v>
      </c>
      <c r="N1576" s="14" t="s">
        <v>3538</v>
      </c>
      <c r="O1576" s="11" t="str">
        <f>HYPERLINK("https://pbs.twimg.com/profile_images/1409710317/fsuprofilecyangreydarker_normal.jpg","View")</f>
        <v>View</v>
      </c>
      <c r="P1576" s="15"/>
    </row>
    <row r="1577">
      <c r="A1577" s="7">
        <v>42425.71791666667</v>
      </c>
      <c r="B1577" s="8" t="str">
        <f>HYPERLINK("https://twitter.com/NoSQLDigest","@NoSQLDigest")</f>
        <v>@NoSQLDigest</v>
      </c>
      <c r="C1577" s="10" t="s">
        <v>200</v>
      </c>
      <c r="D1577" s="10" t="s">
        <v>3539</v>
      </c>
      <c r="E1577" s="11" t="str">
        <f>HYPERLINK("https://twitter.com/NoSQLDigest/status/703025137252069376","703025137252069376")</f>
        <v>703025137252069376</v>
      </c>
      <c r="F1577" s="12" t="s">
        <v>202</v>
      </c>
      <c r="G1577" s="13">
        <v>11375.0</v>
      </c>
      <c r="H1577" s="13">
        <v>12.0</v>
      </c>
      <c r="I1577" s="13">
        <v>3.0</v>
      </c>
      <c r="J1577" s="13">
        <v>0.0</v>
      </c>
      <c r="K1577" s="12" t="s">
        <v>21</v>
      </c>
      <c r="L1577" s="7">
        <v>41854.421805555554</v>
      </c>
      <c r="M1577" s="16"/>
      <c r="N1577" s="14" t="s">
        <v>203</v>
      </c>
      <c r="O1577" s="11" t="str">
        <f>HYPERLINK("https://pbs.twimg.com/profile_images/499257180009529344/CSWhr7LZ_normal.jpeg","View")</f>
        <v>View</v>
      </c>
      <c r="P1577" s="15"/>
    </row>
    <row r="1578">
      <c r="A1578" s="7">
        <v>42425.71810185185</v>
      </c>
      <c r="B1578" s="8" t="str">
        <f>HYPERLINK("https://twitter.com/DigiNomadNation","@DigiNomadNation")</f>
        <v>@DigiNomadNation</v>
      </c>
      <c r="C1578" s="10" t="s">
        <v>3540</v>
      </c>
      <c r="D1578" s="10" t="s">
        <v>3539</v>
      </c>
      <c r="E1578" s="11" t="str">
        <f>HYPERLINK("https://twitter.com/DigiNomadNation/status/703025201991323648","703025201991323648")</f>
        <v>703025201991323648</v>
      </c>
      <c r="F1578" s="12" t="s">
        <v>152</v>
      </c>
      <c r="G1578" s="13">
        <v>1577.0</v>
      </c>
      <c r="H1578" s="13">
        <v>3852.0</v>
      </c>
      <c r="I1578" s="13">
        <v>3.0</v>
      </c>
      <c r="J1578" s="13">
        <v>0.0</v>
      </c>
      <c r="K1578" s="12" t="s">
        <v>21</v>
      </c>
      <c r="L1578" s="7">
        <v>40525.55866898148</v>
      </c>
      <c r="M1578" s="14" t="s">
        <v>432</v>
      </c>
      <c r="N1578" s="14" t="s">
        <v>3541</v>
      </c>
      <c r="O1578" s="11" t="str">
        <f>HYPERLINK("https://pbs.twimg.com/profile_images/701708113653669888/Nzm67hhC_normal.png","View")</f>
        <v>View</v>
      </c>
      <c r="P1578" s="15"/>
    </row>
    <row r="1579">
      <c r="A1579" s="7">
        <v>42425.718819444446</v>
      </c>
      <c r="B1579" s="8" t="str">
        <f t="shared" ref="B1579:B1582" si="157">HYPERLINK("https://twitter.com/coding_jobfeeds","@coding_jobfeeds")</f>
        <v>@coding_jobfeeds</v>
      </c>
      <c r="C1579" s="10" t="s">
        <v>685</v>
      </c>
      <c r="D1579" s="10" t="s">
        <v>3542</v>
      </c>
      <c r="E1579" s="11" t="str">
        <f>HYPERLINK("https://twitter.com/coding_jobfeeds/status/703025463090929664","703025463090929664")</f>
        <v>703025463090929664</v>
      </c>
      <c r="F1579" s="12" t="s">
        <v>687</v>
      </c>
      <c r="G1579" s="13">
        <v>1040.0</v>
      </c>
      <c r="H1579" s="13">
        <v>987.0</v>
      </c>
      <c r="I1579" s="13">
        <v>0.0</v>
      </c>
      <c r="J1579" s="13">
        <v>0.0</v>
      </c>
      <c r="K1579" s="12" t="s">
        <v>21</v>
      </c>
      <c r="L1579" s="7">
        <v>42173.56387731481</v>
      </c>
      <c r="M1579" s="14" t="s">
        <v>519</v>
      </c>
      <c r="N1579" s="14" t="s">
        <v>688</v>
      </c>
      <c r="O1579" s="11" t="str">
        <f t="shared" ref="O1579:O1582" si="158">HYPERLINK("https://pbs.twimg.com/profile_images/611834314586750976/feZ5fZOO_normal.png","View")</f>
        <v>View</v>
      </c>
      <c r="P1579" s="15"/>
    </row>
    <row r="1580">
      <c r="A1580" s="7">
        <v>42425.718831018516</v>
      </c>
      <c r="B1580" s="8" t="str">
        <f t="shared" si="157"/>
        <v>@coding_jobfeeds</v>
      </c>
      <c r="C1580" s="10" t="s">
        <v>685</v>
      </c>
      <c r="D1580" s="10" t="s">
        <v>3543</v>
      </c>
      <c r="E1580" s="11" t="str">
        <f>HYPERLINK("https://twitter.com/coding_jobfeeds/status/703025465976614914","703025465976614914")</f>
        <v>703025465976614914</v>
      </c>
      <c r="F1580" s="12" t="s">
        <v>687</v>
      </c>
      <c r="G1580" s="13">
        <v>1040.0</v>
      </c>
      <c r="H1580" s="13">
        <v>987.0</v>
      </c>
      <c r="I1580" s="13">
        <v>0.0</v>
      </c>
      <c r="J1580" s="13">
        <v>1.0</v>
      </c>
      <c r="K1580" s="12" t="s">
        <v>21</v>
      </c>
      <c r="L1580" s="7">
        <v>42173.56387731481</v>
      </c>
      <c r="M1580" s="14" t="s">
        <v>519</v>
      </c>
      <c r="N1580" s="14" t="s">
        <v>688</v>
      </c>
      <c r="O1580" s="11" t="str">
        <f t="shared" si="158"/>
        <v>View</v>
      </c>
      <c r="P1580" s="15"/>
    </row>
    <row r="1581">
      <c r="A1581" s="7">
        <v>42425.71884259259</v>
      </c>
      <c r="B1581" s="8" t="str">
        <f t="shared" si="157"/>
        <v>@coding_jobfeeds</v>
      </c>
      <c r="C1581" s="10" t="s">
        <v>685</v>
      </c>
      <c r="D1581" s="10" t="s">
        <v>3544</v>
      </c>
      <c r="E1581" s="11" t="str">
        <f>HYPERLINK("https://twitter.com/coding_jobfeeds/status/703025469206175744","703025469206175744")</f>
        <v>703025469206175744</v>
      </c>
      <c r="F1581" s="12" t="s">
        <v>687</v>
      </c>
      <c r="G1581" s="13">
        <v>1040.0</v>
      </c>
      <c r="H1581" s="13">
        <v>987.0</v>
      </c>
      <c r="I1581" s="13">
        <v>0.0</v>
      </c>
      <c r="J1581" s="13">
        <v>0.0</v>
      </c>
      <c r="K1581" s="12" t="s">
        <v>21</v>
      </c>
      <c r="L1581" s="7">
        <v>42173.56387731481</v>
      </c>
      <c r="M1581" s="14" t="s">
        <v>519</v>
      </c>
      <c r="N1581" s="14" t="s">
        <v>688</v>
      </c>
      <c r="O1581" s="11" t="str">
        <f t="shared" si="158"/>
        <v>View</v>
      </c>
      <c r="P1581" s="15"/>
    </row>
    <row r="1582">
      <c r="A1582" s="7">
        <v>42425.71884259259</v>
      </c>
      <c r="B1582" s="8" t="str">
        <f t="shared" si="157"/>
        <v>@coding_jobfeeds</v>
      </c>
      <c r="C1582" s="10" t="s">
        <v>685</v>
      </c>
      <c r="D1582" s="10" t="s">
        <v>3545</v>
      </c>
      <c r="E1582" s="11" t="str">
        <f>HYPERLINK("https://twitter.com/coding_jobfeeds/status/703025471768948737","703025471768948737")</f>
        <v>703025471768948737</v>
      </c>
      <c r="F1582" s="12" t="s">
        <v>687</v>
      </c>
      <c r="G1582" s="13">
        <v>1040.0</v>
      </c>
      <c r="H1582" s="13">
        <v>987.0</v>
      </c>
      <c r="I1582" s="13">
        <v>0.0</v>
      </c>
      <c r="J1582" s="13">
        <v>0.0</v>
      </c>
      <c r="K1582" s="12" t="s">
        <v>21</v>
      </c>
      <c r="L1582" s="7">
        <v>42173.56387731481</v>
      </c>
      <c r="M1582" s="14" t="s">
        <v>519</v>
      </c>
      <c r="N1582" s="14" t="s">
        <v>688</v>
      </c>
      <c r="O1582" s="11" t="str">
        <f t="shared" si="158"/>
        <v>View</v>
      </c>
      <c r="P1582" s="15"/>
    </row>
    <row r="1583">
      <c r="A1583" s="7">
        <v>42425.72225694444</v>
      </c>
      <c r="B1583" s="8" t="str">
        <f>HYPERLINK("https://twitter.com/Luisfilho30","@Luisfilho30")</f>
        <v>@Luisfilho30</v>
      </c>
      <c r="C1583" s="10" t="s">
        <v>3546</v>
      </c>
      <c r="D1583" s="10" t="s">
        <v>2661</v>
      </c>
      <c r="E1583" s="11" t="str">
        <f>HYPERLINK("https://twitter.com/Luisfilho30/status/703026707197009923","703026707197009923")</f>
        <v>703026707197009923</v>
      </c>
      <c r="F1583" s="12" t="s">
        <v>52</v>
      </c>
      <c r="G1583" s="13">
        <v>50.0</v>
      </c>
      <c r="H1583" s="13">
        <v>317.0</v>
      </c>
      <c r="I1583" s="13">
        <v>5.0</v>
      </c>
      <c r="J1583" s="13">
        <v>0.0</v>
      </c>
      <c r="K1583" s="12" t="s">
        <v>21</v>
      </c>
      <c r="L1583" s="7">
        <v>41302.521620370375</v>
      </c>
      <c r="M1583" s="14" t="s">
        <v>82</v>
      </c>
      <c r="N1583" s="14" t="s">
        <v>3547</v>
      </c>
      <c r="O1583" s="11" t="str">
        <f>HYPERLINK("https://pbs.twimg.com/profile_images/666958583830040576/52TlS6eR_normal.jpg","View")</f>
        <v>View</v>
      </c>
      <c r="P1583" s="15"/>
    </row>
    <row r="1584">
      <c r="A1584" s="7">
        <v>42425.722280092596</v>
      </c>
      <c r="B1584" s="8" t="str">
        <f>HYPERLINK("https://twitter.com/Just_inTech","@Just_inTech")</f>
        <v>@Just_inTech</v>
      </c>
      <c r="C1584" s="10" t="s">
        <v>3548</v>
      </c>
      <c r="D1584" s="10" t="s">
        <v>3549</v>
      </c>
      <c r="E1584" s="11" t="str">
        <f>HYPERLINK("https://twitter.com/Just_inTech/status/703026716776775680","703026716776775680")</f>
        <v>703026716776775680</v>
      </c>
      <c r="F1584" s="12" t="s">
        <v>2472</v>
      </c>
      <c r="G1584" s="13">
        <v>59.0</v>
      </c>
      <c r="H1584" s="13">
        <v>124.0</v>
      </c>
      <c r="I1584" s="13">
        <v>0.0</v>
      </c>
      <c r="J1584" s="13">
        <v>0.0</v>
      </c>
      <c r="K1584" s="12" t="s">
        <v>21</v>
      </c>
      <c r="L1584" s="7">
        <v>41207.66984953704</v>
      </c>
      <c r="M1584" s="14" t="s">
        <v>2701</v>
      </c>
      <c r="N1584" s="14" t="s">
        <v>3550</v>
      </c>
      <c r="O1584" s="11" t="str">
        <f>HYPERLINK("https://pbs.twimg.com/profile_images/378800000292815377/f5c51fbda9a822768fe2b1fb2e0882dc_normal.jpeg","View")</f>
        <v>View</v>
      </c>
      <c r="P1584" s="15"/>
    </row>
    <row r="1585">
      <c r="A1585" s="7">
        <v>42425.72253472223</v>
      </c>
      <c r="B1585" s="8" t="str">
        <f>HYPERLINK("https://twitter.com/Luisfilho30","@Luisfilho30")</f>
        <v>@Luisfilho30</v>
      </c>
      <c r="C1585" s="10" t="s">
        <v>3546</v>
      </c>
      <c r="D1585" s="10" t="s">
        <v>1874</v>
      </c>
      <c r="E1585" s="11" t="str">
        <f>HYPERLINK("https://twitter.com/Luisfilho30/status/703026808871133186","703026808871133186")</f>
        <v>703026808871133186</v>
      </c>
      <c r="F1585" s="12" t="s">
        <v>52</v>
      </c>
      <c r="G1585" s="13">
        <v>50.0</v>
      </c>
      <c r="H1585" s="13">
        <v>317.0</v>
      </c>
      <c r="I1585" s="13">
        <v>2.0</v>
      </c>
      <c r="J1585" s="13">
        <v>0.0</v>
      </c>
      <c r="K1585" s="12" t="s">
        <v>21</v>
      </c>
      <c r="L1585" s="7">
        <v>41302.521620370375</v>
      </c>
      <c r="M1585" s="14" t="s">
        <v>82</v>
      </c>
      <c r="N1585" s="14" t="s">
        <v>3547</v>
      </c>
      <c r="O1585" s="11" t="str">
        <f>HYPERLINK("https://pbs.twimg.com/profile_images/666958583830040576/52TlS6eR_normal.jpg","View")</f>
        <v>View</v>
      </c>
      <c r="P1585" s="15"/>
    </row>
    <row r="1586">
      <c r="A1586" s="7">
        <v>42425.72398148148</v>
      </c>
      <c r="B1586" s="8" t="str">
        <f>HYPERLINK("https://twitter.com/datamafia","@datamafia")</f>
        <v>@datamafia</v>
      </c>
      <c r="C1586" s="10" t="s">
        <v>3449</v>
      </c>
      <c r="D1586" s="10" t="s">
        <v>3551</v>
      </c>
      <c r="E1586" s="11" t="str">
        <f>HYPERLINK("https://twitter.com/datamafia/status/703027333284896768","703027333284896768")</f>
        <v>703027333284896768</v>
      </c>
      <c r="F1586" s="12" t="s">
        <v>20</v>
      </c>
      <c r="G1586" s="13">
        <v>735.0</v>
      </c>
      <c r="H1586" s="13">
        <v>99.0</v>
      </c>
      <c r="I1586" s="13">
        <v>0.0</v>
      </c>
      <c r="J1586" s="13">
        <v>1.0</v>
      </c>
      <c r="K1586" s="12" t="s">
        <v>21</v>
      </c>
      <c r="L1586" s="7">
        <v>39841.404074074075</v>
      </c>
      <c r="M1586" s="14" t="s">
        <v>3451</v>
      </c>
      <c r="N1586" s="14" t="s">
        <v>3452</v>
      </c>
      <c r="O1586" s="11" t="str">
        <f>HYPERLINK("https://pbs.twimg.com/profile_images/700782075595481088/NiHciBeU_normal.jpg","View")</f>
        <v>View</v>
      </c>
      <c r="P1586" s="15"/>
    </row>
    <row r="1587">
      <c r="A1587" s="7">
        <v>42425.724375000005</v>
      </c>
      <c r="B1587" s="8" t="str">
        <f>HYPERLINK("https://twitter.com/amplerodotcom","@amplerodotcom")</f>
        <v>@amplerodotcom</v>
      </c>
      <c r="C1587" s="9" t="s">
        <v>3552</v>
      </c>
      <c r="D1587" s="10" t="s">
        <v>3553</v>
      </c>
      <c r="E1587" s="11" t="str">
        <f>HYPERLINK("https://twitter.com/amplerodotcom/status/703027477510234112","703027477510234112")</f>
        <v>703027477510234112</v>
      </c>
      <c r="F1587" s="12" t="s">
        <v>20</v>
      </c>
      <c r="G1587" s="13">
        <v>152.0</v>
      </c>
      <c r="H1587" s="13">
        <v>158.0</v>
      </c>
      <c r="I1587" s="13">
        <v>9.0</v>
      </c>
      <c r="J1587" s="13">
        <v>1.0</v>
      </c>
      <c r="K1587" s="12" t="s">
        <v>21</v>
      </c>
      <c r="L1587" s="7">
        <v>42091.433587962965</v>
      </c>
      <c r="M1587" s="14" t="s">
        <v>1259</v>
      </c>
      <c r="N1587" s="14" t="s">
        <v>3554</v>
      </c>
      <c r="O1587" s="11" t="str">
        <f>HYPERLINK("https://pbs.twimg.com/profile_images/581870504039964672/HJXT5xHC_normal.png","View")</f>
        <v>View</v>
      </c>
      <c r="P1587" s="15"/>
    </row>
    <row r="1588">
      <c r="A1588" s="7">
        <v>42425.7250462963</v>
      </c>
      <c r="B1588" s="8" t="str">
        <f>HYPERLINK("https://twitter.com/detectarte","@detectarte")</f>
        <v>@detectarte</v>
      </c>
      <c r="C1588" s="10" t="s">
        <v>3555</v>
      </c>
      <c r="D1588" s="10" t="s">
        <v>3556</v>
      </c>
      <c r="E1588" s="11" t="str">
        <f>HYPERLINK("https://twitter.com/detectarte/status/703027720758939649","703027720758939649")</f>
        <v>703027720758939649</v>
      </c>
      <c r="F1588" s="12" t="s">
        <v>20</v>
      </c>
      <c r="G1588" s="13">
        <v>148.0</v>
      </c>
      <c r="H1588" s="13">
        <v>217.0</v>
      </c>
      <c r="I1588" s="13">
        <v>9.0</v>
      </c>
      <c r="J1588" s="13">
        <v>0.0</v>
      </c>
      <c r="K1588" s="12" t="s">
        <v>21</v>
      </c>
      <c r="L1588" s="7">
        <v>40875.75701388889</v>
      </c>
      <c r="M1588" s="14" t="s">
        <v>3557</v>
      </c>
      <c r="N1588" s="14" t="s">
        <v>3558</v>
      </c>
      <c r="O1588" s="11" t="str">
        <f>HYPERLINK("https://pbs.twimg.com/profile_images/1663515697/Nuevo-DA_normal.jpg","View")</f>
        <v>View</v>
      </c>
      <c r="P1588" s="15"/>
    </row>
    <row r="1589">
      <c r="A1589" s="7">
        <v>42425.72546296296</v>
      </c>
      <c r="B1589" s="8" t="str">
        <f>HYPERLINK("https://twitter.com/securitybrew","@securitybrew")</f>
        <v>@securitybrew</v>
      </c>
      <c r="C1589" s="10" t="s">
        <v>3559</v>
      </c>
      <c r="D1589" s="10" t="s">
        <v>3560</v>
      </c>
      <c r="E1589" s="11" t="str">
        <f>HYPERLINK("https://twitter.com/securitybrew/status/703027871715954688","703027871715954688")</f>
        <v>703027871715954688</v>
      </c>
      <c r="F1589" s="12" t="s">
        <v>20</v>
      </c>
      <c r="G1589" s="13">
        <v>2912.0</v>
      </c>
      <c r="H1589" s="13">
        <v>2665.0</v>
      </c>
      <c r="I1589" s="13">
        <v>1.0</v>
      </c>
      <c r="J1589" s="13">
        <v>0.0</v>
      </c>
      <c r="K1589" s="12" t="s">
        <v>21</v>
      </c>
      <c r="L1589" s="7">
        <v>40105.47016203704</v>
      </c>
      <c r="M1589" s="14" t="s">
        <v>3561</v>
      </c>
      <c r="N1589" s="14" t="s">
        <v>3562</v>
      </c>
      <c r="O1589" s="11" t="str">
        <f>HYPERLINK("https://pbs.twimg.com/profile_images/451769662406008832/BUlr4PfN_normal.jpeg","View")</f>
        <v>View</v>
      </c>
      <c r="P1589" s="15"/>
    </row>
    <row r="1590">
      <c r="A1590" s="7">
        <v>42425.72572916667</v>
      </c>
      <c r="B1590" s="8" t="str">
        <f>HYPERLINK("https://twitter.com/openscad","@openscad")</f>
        <v>@openscad</v>
      </c>
      <c r="C1590" s="10" t="s">
        <v>3563</v>
      </c>
      <c r="D1590" s="10" t="s">
        <v>3564</v>
      </c>
      <c r="E1590" s="11" t="str">
        <f>HYPERLINK("https://twitter.com/openscad/status/703027965945184260","703027965945184260")</f>
        <v>703027965945184260</v>
      </c>
      <c r="F1590" s="12" t="s">
        <v>52</v>
      </c>
      <c r="G1590" s="13">
        <v>491.0</v>
      </c>
      <c r="H1590" s="13">
        <v>1.0</v>
      </c>
      <c r="I1590" s="13">
        <v>2.0</v>
      </c>
      <c r="J1590" s="13">
        <v>0.0</v>
      </c>
      <c r="K1590" s="12" t="s">
        <v>21</v>
      </c>
      <c r="L1590" s="7">
        <v>41369.50695601852</v>
      </c>
      <c r="M1590" s="16"/>
      <c r="N1590" s="16"/>
      <c r="O1590" s="11" t="str">
        <f>HYPERLINK("https://pbs.twimg.com/profile_images/3481336942/553fa030063d466cf1e3f84dace6840e_normal.png","View")</f>
        <v>View</v>
      </c>
      <c r="P1590" s="15"/>
    </row>
    <row r="1591">
      <c r="A1591" s="7">
        <v>42425.72616898148</v>
      </c>
      <c r="B1591" s="8" t="str">
        <f>HYPERLINK("https://twitter.com/FreeTutsForYou","@FreeTutsForYou")</f>
        <v>@FreeTutsForYou</v>
      </c>
      <c r="C1591" s="10" t="s">
        <v>1618</v>
      </c>
      <c r="D1591" s="10" t="s">
        <v>3556</v>
      </c>
      <c r="E1591" s="11" t="str">
        <f>HYPERLINK("https://twitter.com/FreeTutsForYou/status/703028125966405632","703028125966405632")</f>
        <v>703028125966405632</v>
      </c>
      <c r="F1591" s="12" t="s">
        <v>1619</v>
      </c>
      <c r="G1591" s="13">
        <v>118.0</v>
      </c>
      <c r="H1591" s="13">
        <v>64.0</v>
      </c>
      <c r="I1591" s="13">
        <v>9.0</v>
      </c>
      <c r="J1591" s="13">
        <v>0.0</v>
      </c>
      <c r="K1591" s="12" t="s">
        <v>21</v>
      </c>
      <c r="L1591" s="7">
        <v>42352.06935185185</v>
      </c>
      <c r="M1591" s="14" t="s">
        <v>34</v>
      </c>
      <c r="N1591" s="14" t="s">
        <v>1620</v>
      </c>
      <c r="O1591" s="11" t="str">
        <f>HYPERLINK("https://pbs.twimg.com/profile_images/676343744250044416/OidH-eFp_normal.png","View")</f>
        <v>View</v>
      </c>
      <c r="P1591" s="15"/>
    </row>
    <row r="1592">
      <c r="A1592" s="7">
        <v>42425.726435185185</v>
      </c>
      <c r="B1592" s="8" t="str">
        <f>HYPERLINK("https://twitter.com/jasonmerino","@jasonmerino")</f>
        <v>@jasonmerino</v>
      </c>
      <c r="C1592" s="10" t="s">
        <v>3565</v>
      </c>
      <c r="D1592" s="10" t="s">
        <v>3566</v>
      </c>
      <c r="E1592" s="11" t="str">
        <f>HYPERLINK("https://twitter.com/jasonmerino/status/703028223857315840","703028223857315840")</f>
        <v>703028223857315840</v>
      </c>
      <c r="F1592" s="12" t="s">
        <v>294</v>
      </c>
      <c r="G1592" s="13">
        <v>472.0</v>
      </c>
      <c r="H1592" s="13">
        <v>464.0</v>
      </c>
      <c r="I1592" s="13">
        <v>0.0</v>
      </c>
      <c r="J1592" s="13">
        <v>0.0</v>
      </c>
      <c r="K1592" s="12" t="s">
        <v>21</v>
      </c>
      <c r="L1592" s="7">
        <v>39672.591157407405</v>
      </c>
      <c r="M1592" s="16"/>
      <c r="N1592" s="14" t="s">
        <v>3567</v>
      </c>
      <c r="O1592" s="11" t="str">
        <f>HYPERLINK("https://pbs.twimg.com/profile_images/3687131359/2a13c9d0409b15b9c98862965965d3a8_normal.jpeg","View")</f>
        <v>View</v>
      </c>
      <c r="P1592" s="15"/>
    </row>
    <row r="1593">
      <c r="A1593" s="7">
        <v>42425.7274537037</v>
      </c>
      <c r="B1593" s="8" t="str">
        <f>HYPERLINK("https://twitter.com/FMS_Ccs","@FMS_Ccs")</f>
        <v>@FMS_Ccs</v>
      </c>
      <c r="C1593" s="10" t="s">
        <v>3568</v>
      </c>
      <c r="D1593" s="10" t="s">
        <v>3569</v>
      </c>
      <c r="E1593" s="11" t="str">
        <f>HYPERLINK("https://twitter.com/FMS_Ccs/status/703028592691830785","703028592691830785")</f>
        <v>703028592691830785</v>
      </c>
      <c r="F1593" s="12" t="s">
        <v>20</v>
      </c>
      <c r="G1593" s="13">
        <v>80.0</v>
      </c>
      <c r="H1593" s="13">
        <v>446.0</v>
      </c>
      <c r="I1593" s="13">
        <v>0.0</v>
      </c>
      <c r="J1593" s="13">
        <v>2.0</v>
      </c>
      <c r="K1593" s="12" t="s">
        <v>21</v>
      </c>
      <c r="L1593" s="7">
        <v>41653.421481481484</v>
      </c>
      <c r="M1593" s="16"/>
      <c r="N1593" s="16"/>
      <c r="O1593" s="11" t="str">
        <f>HYPERLINK("https://pbs.twimg.com/profile_images/423159554856058880/0rgcQ8CG_normal.jpeg","View")</f>
        <v>View</v>
      </c>
      <c r="P1593" s="15"/>
    </row>
    <row r="1594">
      <c r="A1594" s="7">
        <v>42425.728842592594</v>
      </c>
      <c r="B1594" s="8" t="str">
        <f>HYPERLINK("https://twitter.com/flexiodata","@flexiodata")</f>
        <v>@flexiodata</v>
      </c>
      <c r="C1594" s="9" t="s">
        <v>3570</v>
      </c>
      <c r="D1594" s="10" t="s">
        <v>3571</v>
      </c>
      <c r="E1594" s="11" t="str">
        <f>HYPERLINK("https://twitter.com/flexiodata/status/703029094729039872","703029094729039872")</f>
        <v>703029094729039872</v>
      </c>
      <c r="F1594" s="12" t="s">
        <v>20</v>
      </c>
      <c r="G1594" s="13">
        <v>5516.0</v>
      </c>
      <c r="H1594" s="13">
        <v>4912.0</v>
      </c>
      <c r="I1594" s="13">
        <v>1.0</v>
      </c>
      <c r="J1594" s="13">
        <v>3.0</v>
      </c>
      <c r="K1594" s="12" t="s">
        <v>21</v>
      </c>
      <c r="L1594" s="7">
        <v>41808.5715162037</v>
      </c>
      <c r="M1594" s="14" t="s">
        <v>2544</v>
      </c>
      <c r="N1594" s="14" t="s">
        <v>3572</v>
      </c>
      <c r="O1594" s="11" t="str">
        <f>HYPERLINK("https://pbs.twimg.com/profile_images/494612417981067265/EBSDgGf4_normal.png","View")</f>
        <v>View</v>
      </c>
      <c r="P1594" s="15"/>
    </row>
    <row r="1595">
      <c r="A1595" s="7">
        <v>42425.72916666667</v>
      </c>
      <c r="B1595" s="8" t="str">
        <f>HYPERLINK("https://twitter.com/remote_wolfy","@remote_wolfy")</f>
        <v>@remote_wolfy</v>
      </c>
      <c r="C1595" s="10" t="s">
        <v>3573</v>
      </c>
      <c r="D1595" s="10" t="s">
        <v>3574</v>
      </c>
      <c r="E1595" s="11" t="str">
        <f>HYPERLINK("https://twitter.com/remote_wolfy/status/703029213905985536","703029213905985536")</f>
        <v>703029213905985536</v>
      </c>
      <c r="F1595" s="12" t="s">
        <v>3575</v>
      </c>
      <c r="G1595" s="13">
        <v>876.0</v>
      </c>
      <c r="H1595" s="13">
        <v>2492.0</v>
      </c>
      <c r="I1595" s="13">
        <v>0.0</v>
      </c>
      <c r="J1595" s="13">
        <v>0.0</v>
      </c>
      <c r="K1595" s="12" t="s">
        <v>21</v>
      </c>
      <c r="L1595" s="7">
        <v>42325.30579861111</v>
      </c>
      <c r="M1595" s="14" t="s">
        <v>3576</v>
      </c>
      <c r="N1595" s="14" t="s">
        <v>3577</v>
      </c>
      <c r="O1595" s="11" t="str">
        <f>HYPERLINK("https://pbs.twimg.com/profile_images/679994710371483648/UaYX2Obc_normal.png","View")</f>
        <v>View</v>
      </c>
      <c r="P1595" s="15"/>
    </row>
    <row r="1596">
      <c r="A1596" s="7">
        <v>42425.7296875</v>
      </c>
      <c r="B1596" s="8" t="str">
        <f t="shared" ref="B1596:B1602" si="159">HYPERLINK("https://twitter.com/artwisanggeni","@artwisanggeni")</f>
        <v>@artwisanggeni</v>
      </c>
      <c r="C1596" s="10" t="s">
        <v>74</v>
      </c>
      <c r="D1596" s="10" t="s">
        <v>3578</v>
      </c>
      <c r="E1596" s="11" t="str">
        <f>HYPERLINK("https://twitter.com/artwisanggeni/status/703029399910612992","703029399910612992")</f>
        <v>703029399910612992</v>
      </c>
      <c r="F1596" s="17" t="s">
        <v>76</v>
      </c>
      <c r="G1596" s="13">
        <v>236.0</v>
      </c>
      <c r="H1596" s="13">
        <v>61.0</v>
      </c>
      <c r="I1596" s="13">
        <v>0.0</v>
      </c>
      <c r="J1596" s="13">
        <v>0.0</v>
      </c>
      <c r="K1596" s="12" t="s">
        <v>21</v>
      </c>
      <c r="L1596" s="7">
        <v>41218.90608796296</v>
      </c>
      <c r="M1596" s="14" t="s">
        <v>77</v>
      </c>
      <c r="N1596" s="14" t="s">
        <v>78</v>
      </c>
      <c r="O1596" s="11" t="str">
        <f t="shared" ref="O1596:O1602" si="160">HYPERLINK("https://pbs.twimg.com/profile_images/2813636657/599521f69e2bc210a57323b64d8e39e6_normal.jpeg","View")</f>
        <v>View</v>
      </c>
      <c r="P1596" s="15"/>
    </row>
    <row r="1597">
      <c r="A1597" s="7">
        <v>42425.72969907407</v>
      </c>
      <c r="B1597" s="8" t="str">
        <f t="shared" si="159"/>
        <v>@artwisanggeni</v>
      </c>
      <c r="C1597" s="10" t="s">
        <v>74</v>
      </c>
      <c r="D1597" s="10" t="s">
        <v>3579</v>
      </c>
      <c r="E1597" s="11" t="str">
        <f>HYPERLINK("https://twitter.com/artwisanggeni/status/703029403429670912","703029403429670912")</f>
        <v>703029403429670912</v>
      </c>
      <c r="F1597" s="17" t="s">
        <v>76</v>
      </c>
      <c r="G1597" s="13">
        <v>236.0</v>
      </c>
      <c r="H1597" s="13">
        <v>61.0</v>
      </c>
      <c r="I1597" s="13">
        <v>0.0</v>
      </c>
      <c r="J1597" s="13">
        <v>0.0</v>
      </c>
      <c r="K1597" s="12" t="s">
        <v>21</v>
      </c>
      <c r="L1597" s="7">
        <v>41218.90608796296</v>
      </c>
      <c r="M1597" s="14" t="s">
        <v>77</v>
      </c>
      <c r="N1597" s="14" t="s">
        <v>78</v>
      </c>
      <c r="O1597" s="11" t="str">
        <f t="shared" si="160"/>
        <v>View</v>
      </c>
      <c r="P1597" s="15"/>
    </row>
    <row r="1598">
      <c r="A1598" s="7">
        <v>42425.72969907407</v>
      </c>
      <c r="B1598" s="8" t="str">
        <f t="shared" si="159"/>
        <v>@artwisanggeni</v>
      </c>
      <c r="C1598" s="10" t="s">
        <v>74</v>
      </c>
      <c r="D1598" s="10" t="s">
        <v>3580</v>
      </c>
      <c r="E1598" s="11" t="str">
        <f>HYPERLINK("https://twitter.com/artwisanggeni/status/703029406529236992","703029406529236992")</f>
        <v>703029406529236992</v>
      </c>
      <c r="F1598" s="17" t="s">
        <v>76</v>
      </c>
      <c r="G1598" s="13">
        <v>236.0</v>
      </c>
      <c r="H1598" s="13">
        <v>61.0</v>
      </c>
      <c r="I1598" s="13">
        <v>0.0</v>
      </c>
      <c r="J1598" s="13">
        <v>0.0</v>
      </c>
      <c r="K1598" s="12" t="s">
        <v>21</v>
      </c>
      <c r="L1598" s="7">
        <v>41218.90608796296</v>
      </c>
      <c r="M1598" s="14" t="s">
        <v>77</v>
      </c>
      <c r="N1598" s="14" t="s">
        <v>78</v>
      </c>
      <c r="O1598" s="11" t="str">
        <f t="shared" si="160"/>
        <v>View</v>
      </c>
      <c r="P1598" s="15"/>
    </row>
    <row r="1599">
      <c r="A1599" s="7">
        <v>42425.72971064815</v>
      </c>
      <c r="B1599" s="8" t="str">
        <f t="shared" si="159"/>
        <v>@artwisanggeni</v>
      </c>
      <c r="C1599" s="10" t="s">
        <v>74</v>
      </c>
      <c r="D1599" s="10" t="s">
        <v>3581</v>
      </c>
      <c r="E1599" s="11" t="str">
        <f>HYPERLINK("https://twitter.com/artwisanggeni/status/703029409716940801","703029409716940801")</f>
        <v>703029409716940801</v>
      </c>
      <c r="F1599" s="17" t="s">
        <v>76</v>
      </c>
      <c r="G1599" s="13">
        <v>236.0</v>
      </c>
      <c r="H1599" s="13">
        <v>61.0</v>
      </c>
      <c r="I1599" s="13">
        <v>0.0</v>
      </c>
      <c r="J1599" s="13">
        <v>0.0</v>
      </c>
      <c r="K1599" s="12" t="s">
        <v>21</v>
      </c>
      <c r="L1599" s="7">
        <v>41218.90608796296</v>
      </c>
      <c r="M1599" s="14" t="s">
        <v>77</v>
      </c>
      <c r="N1599" s="14" t="s">
        <v>78</v>
      </c>
      <c r="O1599" s="11" t="str">
        <f t="shared" si="160"/>
        <v>View</v>
      </c>
      <c r="P1599" s="15"/>
    </row>
    <row r="1600">
      <c r="A1600" s="7">
        <v>42425.729722222226</v>
      </c>
      <c r="B1600" s="8" t="str">
        <f t="shared" si="159"/>
        <v>@artwisanggeni</v>
      </c>
      <c r="C1600" s="10" t="s">
        <v>74</v>
      </c>
      <c r="D1600" s="10" t="s">
        <v>3582</v>
      </c>
      <c r="E1600" s="11" t="str">
        <f>HYPERLINK("https://twitter.com/artwisanggeni/status/703029413340848128","703029413340848128")</f>
        <v>703029413340848128</v>
      </c>
      <c r="F1600" s="17" t="s">
        <v>76</v>
      </c>
      <c r="G1600" s="13">
        <v>236.0</v>
      </c>
      <c r="H1600" s="13">
        <v>61.0</v>
      </c>
      <c r="I1600" s="13">
        <v>1.0</v>
      </c>
      <c r="J1600" s="13">
        <v>0.0</v>
      </c>
      <c r="K1600" s="12" t="s">
        <v>21</v>
      </c>
      <c r="L1600" s="7">
        <v>41218.90608796296</v>
      </c>
      <c r="M1600" s="14" t="s">
        <v>77</v>
      </c>
      <c r="N1600" s="14" t="s">
        <v>78</v>
      </c>
      <c r="O1600" s="11" t="str">
        <f t="shared" si="160"/>
        <v>View</v>
      </c>
      <c r="P1600" s="15"/>
    </row>
    <row r="1601">
      <c r="A1601" s="7">
        <v>42425.729733796295</v>
      </c>
      <c r="B1601" s="8" t="str">
        <f t="shared" si="159"/>
        <v>@artwisanggeni</v>
      </c>
      <c r="C1601" s="10" t="s">
        <v>74</v>
      </c>
      <c r="D1601" s="10" t="s">
        <v>3583</v>
      </c>
      <c r="E1601" s="11" t="str">
        <f>HYPERLINK("https://twitter.com/artwisanggeni/status/703029416356524032","703029416356524032")</f>
        <v>703029416356524032</v>
      </c>
      <c r="F1601" s="17" t="s">
        <v>76</v>
      </c>
      <c r="G1601" s="13">
        <v>236.0</v>
      </c>
      <c r="H1601" s="13">
        <v>61.0</v>
      </c>
      <c r="I1601" s="13">
        <v>0.0</v>
      </c>
      <c r="J1601" s="13">
        <v>0.0</v>
      </c>
      <c r="K1601" s="12" t="s">
        <v>21</v>
      </c>
      <c r="L1601" s="7">
        <v>41218.90608796296</v>
      </c>
      <c r="M1601" s="14" t="s">
        <v>77</v>
      </c>
      <c r="N1601" s="14" t="s">
        <v>78</v>
      </c>
      <c r="O1601" s="11" t="str">
        <f t="shared" si="160"/>
        <v>View</v>
      </c>
      <c r="P1601" s="15"/>
    </row>
    <row r="1602">
      <c r="A1602" s="7">
        <v>42425.729745370365</v>
      </c>
      <c r="B1602" s="8" t="str">
        <f t="shared" si="159"/>
        <v>@artwisanggeni</v>
      </c>
      <c r="C1602" s="10" t="s">
        <v>74</v>
      </c>
      <c r="D1602" s="10" t="s">
        <v>3584</v>
      </c>
      <c r="E1602" s="11" t="str">
        <f>HYPERLINK("https://twitter.com/artwisanggeni/status/703029420005523456","703029420005523456")</f>
        <v>703029420005523456</v>
      </c>
      <c r="F1602" s="17" t="s">
        <v>76</v>
      </c>
      <c r="G1602" s="13">
        <v>236.0</v>
      </c>
      <c r="H1602" s="13">
        <v>61.0</v>
      </c>
      <c r="I1602" s="13">
        <v>0.0</v>
      </c>
      <c r="J1602" s="13">
        <v>0.0</v>
      </c>
      <c r="K1602" s="12" t="s">
        <v>21</v>
      </c>
      <c r="L1602" s="7">
        <v>41218.90608796296</v>
      </c>
      <c r="M1602" s="14" t="s">
        <v>77</v>
      </c>
      <c r="N1602" s="14" t="s">
        <v>78</v>
      </c>
      <c r="O1602" s="11" t="str">
        <f t="shared" si="160"/>
        <v>View</v>
      </c>
      <c r="P1602" s="15"/>
    </row>
    <row r="1603">
      <c r="A1603" s="7">
        <v>42425.7299537037</v>
      </c>
      <c r="B1603" s="8" t="str">
        <f>HYPERLINK("https://twitter.com/NYC_TechEvents","@NYC_TechEvents")</f>
        <v>@NYC_TechEvents</v>
      </c>
      <c r="C1603" s="10" t="s">
        <v>1016</v>
      </c>
      <c r="D1603" s="10" t="s">
        <v>3585</v>
      </c>
      <c r="E1603" s="11" t="str">
        <f>HYPERLINK("https://twitter.com/NYC_TechEvents/status/703029496199421952","703029496199421952")</f>
        <v>703029496199421952</v>
      </c>
      <c r="F1603" s="12" t="s">
        <v>294</v>
      </c>
      <c r="G1603" s="13">
        <v>14.0</v>
      </c>
      <c r="H1603" s="13">
        <v>0.0</v>
      </c>
      <c r="I1603" s="13">
        <v>0.0</v>
      </c>
      <c r="J1603" s="13">
        <v>2.0</v>
      </c>
      <c r="K1603" s="12" t="s">
        <v>21</v>
      </c>
      <c r="L1603" s="7">
        <v>42407.571875</v>
      </c>
      <c r="M1603" s="14" t="s">
        <v>1018</v>
      </c>
      <c r="N1603" s="14" t="s">
        <v>1019</v>
      </c>
      <c r="O1603" s="11" t="str">
        <f>HYPERLINK("https://pbs.twimg.com/profile_images/698639359512195072/nmORkXm9_normal.png","View")</f>
        <v>View</v>
      </c>
      <c r="P1603" s="15"/>
    </row>
    <row r="1604">
      <c r="A1604" s="7">
        <v>42425.73226851852</v>
      </c>
      <c r="B1604" s="8" t="str">
        <f>HYPERLINK("https://twitter.com/ShopSMartin","@ShopSMartin")</f>
        <v>@ShopSMartin</v>
      </c>
      <c r="C1604" s="10" t="s">
        <v>3586</v>
      </c>
      <c r="D1604" s="10" t="s">
        <v>3232</v>
      </c>
      <c r="E1604" s="11" t="str">
        <f>HYPERLINK("https://twitter.com/ShopSMartin/status/703030336633094144","703030336633094144")</f>
        <v>703030336633094144</v>
      </c>
      <c r="F1604" s="12" t="s">
        <v>20</v>
      </c>
      <c r="G1604" s="13">
        <v>73.0</v>
      </c>
      <c r="H1604" s="13">
        <v>346.0</v>
      </c>
      <c r="I1604" s="13">
        <v>5.0</v>
      </c>
      <c r="J1604" s="13">
        <v>0.0</v>
      </c>
      <c r="K1604" s="12" t="s">
        <v>21</v>
      </c>
      <c r="L1604" s="7">
        <v>39634.29987268519</v>
      </c>
      <c r="M1604" s="16"/>
      <c r="N1604" s="14" t="s">
        <v>3587</v>
      </c>
      <c r="O1604" s="11" t="str">
        <f>HYPERLINK("https://pbs.twimg.com/profile_images/2329527101/cleese-as-twit_normal.jpg","View")</f>
        <v>View</v>
      </c>
      <c r="P1604" s="15"/>
    </row>
    <row r="1605">
      <c r="A1605" s="7">
        <v>42425.73269675926</v>
      </c>
      <c r="B1605" s="8" t="str">
        <f>HYPERLINK("https://twitter.com/JobsHubIO","@JobsHubIO")</f>
        <v>@JobsHubIO</v>
      </c>
      <c r="C1605" s="10" t="s">
        <v>3588</v>
      </c>
      <c r="D1605" s="10" t="s">
        <v>3589</v>
      </c>
      <c r="E1605" s="11" t="str">
        <f>HYPERLINK("https://twitter.com/JobsHubIO/status/703030491692269568","703030491692269568")</f>
        <v>703030491692269568</v>
      </c>
      <c r="F1605" s="12" t="s">
        <v>3590</v>
      </c>
      <c r="G1605" s="13">
        <v>13.0</v>
      </c>
      <c r="H1605" s="13">
        <v>0.0</v>
      </c>
      <c r="I1605" s="13">
        <v>2.0</v>
      </c>
      <c r="J1605" s="13">
        <v>1.0</v>
      </c>
      <c r="K1605" s="12" t="s">
        <v>21</v>
      </c>
      <c r="L1605" s="7">
        <v>42225.63537037037</v>
      </c>
      <c r="M1605" s="14" t="s">
        <v>1054</v>
      </c>
      <c r="N1605" s="14" t="s">
        <v>3591</v>
      </c>
      <c r="O1605" s="11" t="str">
        <f>HYPERLINK("https://pbs.twimg.com/profile_images/641647399669243904/Bcsnd7TU_normal.jpg","View")</f>
        <v>View</v>
      </c>
      <c r="P1605" s="11" t="str">
        <f>HYPERLINK("http://ctrlq.org/maps/address/#37.8271784,-122.2913078","Map")</f>
        <v>Map</v>
      </c>
    </row>
    <row r="1606">
      <c r="A1606" s="7">
        <v>42425.73388888889</v>
      </c>
      <c r="B1606" s="8" t="str">
        <f>HYPERLINK("https://twitter.com/releaseteam","@releaseteam")</f>
        <v>@releaseteam</v>
      </c>
      <c r="C1606" s="10" t="s">
        <v>3356</v>
      </c>
      <c r="D1606" s="10" t="s">
        <v>3592</v>
      </c>
      <c r="E1606" s="11" t="str">
        <f>HYPERLINK("https://twitter.com/releaseteam/status/703030924032630784","703030924032630784")</f>
        <v>703030924032630784</v>
      </c>
      <c r="F1606" s="12" t="s">
        <v>3357</v>
      </c>
      <c r="G1606" s="13">
        <v>18200.0</v>
      </c>
      <c r="H1606" s="13">
        <v>17402.0</v>
      </c>
      <c r="I1606" s="13">
        <v>2.0</v>
      </c>
      <c r="J1606" s="13">
        <v>0.0</v>
      </c>
      <c r="K1606" s="12" t="s">
        <v>21</v>
      </c>
      <c r="L1606" s="7">
        <v>39671.518958333334</v>
      </c>
      <c r="M1606" s="14" t="s">
        <v>3358</v>
      </c>
      <c r="N1606" s="14" t="s">
        <v>3359</v>
      </c>
      <c r="O1606" s="11" t="str">
        <f>HYPERLINK("https://pbs.twimg.com/profile_images/2229759095/rt_logo_symbol_glossy_normal.jpg","View")</f>
        <v>View</v>
      </c>
      <c r="P1606" s="15"/>
    </row>
    <row r="1607">
      <c r="A1607" s="7">
        <v>42425.73642361111</v>
      </c>
      <c r="B1607" s="8" t="str">
        <f>HYPERLINK("https://twitter.com/CiciSparkman","@CiciSparkman")</f>
        <v>@CiciSparkman</v>
      </c>
      <c r="C1607" s="10" t="s">
        <v>3593</v>
      </c>
      <c r="D1607" s="10" t="s">
        <v>3592</v>
      </c>
      <c r="E1607" s="11" t="str">
        <f>HYPERLINK("https://twitter.com/CiciSparkman/status/703031842572627969","703031842572627969")</f>
        <v>703031842572627969</v>
      </c>
      <c r="F1607" s="12" t="s">
        <v>52</v>
      </c>
      <c r="G1607" s="13">
        <v>1815.0</v>
      </c>
      <c r="H1607" s="13">
        <v>4197.0</v>
      </c>
      <c r="I1607" s="13">
        <v>2.0</v>
      </c>
      <c r="J1607" s="13">
        <v>0.0</v>
      </c>
      <c r="K1607" s="12" t="s">
        <v>21</v>
      </c>
      <c r="L1607" s="7">
        <v>41076.34442129629</v>
      </c>
      <c r="M1607" s="14" t="s">
        <v>3594</v>
      </c>
      <c r="N1607" s="14" t="s">
        <v>3595</v>
      </c>
      <c r="O1607" s="11" t="str">
        <f>HYPERLINK("https://pbs.twimg.com/profile_images/664599939847028737/V34wnOyf_normal.jpg","View")</f>
        <v>View</v>
      </c>
      <c r="P1607" s="15"/>
    </row>
    <row r="1608">
      <c r="A1608" s="7">
        <v>42425.73703703703</v>
      </c>
      <c r="B1608" s="8" t="str">
        <f>HYPERLINK("https://twitter.com/dnardz","@dnardz")</f>
        <v>@dnardz</v>
      </c>
      <c r="C1608" s="10" t="s">
        <v>3596</v>
      </c>
      <c r="D1608" s="10" t="s">
        <v>3597</v>
      </c>
      <c r="E1608" s="11" t="str">
        <f>HYPERLINK("https://twitter.com/dnardz/status/703032062756954119","703032062756954119")</f>
        <v>703032062756954119</v>
      </c>
      <c r="F1608" s="12" t="s">
        <v>450</v>
      </c>
      <c r="G1608" s="13">
        <v>323.0</v>
      </c>
      <c r="H1608" s="13">
        <v>201.0</v>
      </c>
      <c r="I1608" s="13">
        <v>0.0</v>
      </c>
      <c r="J1608" s="13">
        <v>0.0</v>
      </c>
      <c r="K1608" s="12" t="s">
        <v>21</v>
      </c>
      <c r="L1608" s="7">
        <v>40196.487754629634</v>
      </c>
      <c r="M1608" s="14" t="s">
        <v>3598</v>
      </c>
      <c r="N1608" s="14" t="s">
        <v>3599</v>
      </c>
      <c r="O1608" s="11" t="str">
        <f>HYPERLINK("https://pbs.twimg.com/profile_images/671071139972571136/FFLfZBCP_normal.jpg","View")</f>
        <v>View</v>
      </c>
      <c r="P1608" s="15"/>
    </row>
    <row r="1609">
      <c r="A1609" s="7">
        <v>42425.73722222222</v>
      </c>
      <c r="B1609" s="8" t="str">
        <f>HYPERLINK("https://twitter.com/leocamello","@leocamello")</f>
        <v>@leocamello</v>
      </c>
      <c r="C1609" s="10" t="s">
        <v>3600</v>
      </c>
      <c r="D1609" s="10" t="s">
        <v>3601</v>
      </c>
      <c r="E1609" s="11" t="str">
        <f>HYPERLINK("https://twitter.com/leocamello/status/703032133112172544","703032133112172544")</f>
        <v>703032133112172544</v>
      </c>
      <c r="F1609" s="12" t="s">
        <v>450</v>
      </c>
      <c r="G1609" s="13">
        <v>81.0</v>
      </c>
      <c r="H1609" s="13">
        <v>89.0</v>
      </c>
      <c r="I1609" s="13">
        <v>0.0</v>
      </c>
      <c r="J1609" s="13">
        <v>0.0</v>
      </c>
      <c r="K1609" s="12" t="s">
        <v>21</v>
      </c>
      <c r="L1609" s="7">
        <v>40021.7934837963</v>
      </c>
      <c r="M1609" s="14" t="s">
        <v>561</v>
      </c>
      <c r="N1609" s="14" t="s">
        <v>3602</v>
      </c>
      <c r="O1609" s="11" t="str">
        <f>HYPERLINK("https://pbs.twimg.com/profile_images/487011176056754176/7l08iQ3q_normal.jpeg","View")</f>
        <v>View</v>
      </c>
      <c r="P1609" s="15"/>
    </row>
    <row r="1610">
      <c r="A1610" s="7">
        <v>42425.737546296295</v>
      </c>
      <c r="B1610" s="8" t="str">
        <f>HYPERLINK("https://twitter.com/raybesiga","@raybesiga")</f>
        <v>@raybesiga</v>
      </c>
      <c r="C1610" s="10" t="s">
        <v>3603</v>
      </c>
      <c r="D1610" s="10" t="s">
        <v>3604</v>
      </c>
      <c r="E1610" s="11" t="str">
        <f>HYPERLINK("https://twitter.com/raybesiga/status/703032249336229888","703032249336229888")</f>
        <v>703032249336229888</v>
      </c>
      <c r="F1610" s="12" t="s">
        <v>52</v>
      </c>
      <c r="G1610" s="13">
        <v>1497.0</v>
      </c>
      <c r="H1610" s="13">
        <v>951.0</v>
      </c>
      <c r="I1610" s="13">
        <v>3.0</v>
      </c>
      <c r="J1610" s="13">
        <v>0.0</v>
      </c>
      <c r="K1610" s="12" t="s">
        <v>21</v>
      </c>
      <c r="L1610" s="7">
        <v>39928.632835648146</v>
      </c>
      <c r="M1610" s="14" t="s">
        <v>3605</v>
      </c>
      <c r="N1610" s="14" t="s">
        <v>3606</v>
      </c>
      <c r="O1610" s="11" t="str">
        <f>HYPERLINK("https://pbs.twimg.com/profile_images/458886855421734912/ZByfxNnh_normal.jpeg","View")</f>
        <v>View</v>
      </c>
      <c r="P1610" s="15"/>
    </row>
    <row r="1611">
      <c r="A1611" s="7">
        <v>42425.737858796296</v>
      </c>
      <c r="B1611" s="8" t="str">
        <f>HYPERLINK("https://twitter.com/EdwinGrubbs","@EdwinGrubbs")</f>
        <v>@EdwinGrubbs</v>
      </c>
      <c r="C1611" s="10" t="s">
        <v>3607</v>
      </c>
      <c r="D1611" s="10" t="s">
        <v>1324</v>
      </c>
      <c r="E1611" s="11" t="str">
        <f>HYPERLINK("https://twitter.com/EdwinGrubbs/status/703032361114431489","703032361114431489")</f>
        <v>703032361114431489</v>
      </c>
      <c r="F1611" s="12" t="s">
        <v>152</v>
      </c>
      <c r="G1611" s="13">
        <v>30.0</v>
      </c>
      <c r="H1611" s="13">
        <v>91.0</v>
      </c>
      <c r="I1611" s="13">
        <v>6.0</v>
      </c>
      <c r="J1611" s="13">
        <v>0.0</v>
      </c>
      <c r="K1611" s="12" t="s">
        <v>21</v>
      </c>
      <c r="L1611" s="7">
        <v>41982.61399305555</v>
      </c>
      <c r="M1611" s="14" t="s">
        <v>719</v>
      </c>
      <c r="N1611" s="16"/>
      <c r="O1611" s="11" t="str">
        <f>HYPERLINK("https://pbs.twimg.com/profile_images/542450458170634240/uo9GvwUX_normal.jpeg","View")</f>
        <v>View</v>
      </c>
      <c r="P1611" s="15"/>
    </row>
    <row r="1612">
      <c r="A1612" s="7">
        <v>42425.73792824074</v>
      </c>
      <c r="B1612" s="8" t="str">
        <f>HYPERLINK("https://twitter.com/HartwigMicheal","@HartwigMicheal")</f>
        <v>@HartwigMicheal</v>
      </c>
      <c r="C1612" s="10" t="s">
        <v>842</v>
      </c>
      <c r="D1612" s="10" t="s">
        <v>3608</v>
      </c>
      <c r="E1612" s="11" t="str">
        <f>HYPERLINK("https://twitter.com/HartwigMicheal/status/703032387614146561","703032387614146561")</f>
        <v>703032387614146561</v>
      </c>
      <c r="F1612" s="12" t="s">
        <v>103</v>
      </c>
      <c r="G1612" s="13">
        <v>541.0</v>
      </c>
      <c r="H1612" s="13">
        <v>830.0</v>
      </c>
      <c r="I1612" s="13">
        <v>0.0</v>
      </c>
      <c r="J1612" s="13">
        <v>0.0</v>
      </c>
      <c r="K1612" s="12" t="s">
        <v>21</v>
      </c>
      <c r="L1612" s="7">
        <v>42362.00148148148</v>
      </c>
      <c r="M1612" s="14" t="s">
        <v>844</v>
      </c>
      <c r="N1612" s="14" t="s">
        <v>845</v>
      </c>
      <c r="O1612" s="11" t="str">
        <f>HYPERLINK("https://pbs.twimg.com/profile_images/679948461953781761/pDo9356K_normal.jpg","View")</f>
        <v>View</v>
      </c>
      <c r="P1612" s="15"/>
    </row>
    <row r="1613">
      <c r="A1613" s="7">
        <v>42425.738530092596</v>
      </c>
      <c r="B1613" s="8" t="str">
        <f>HYPERLINK("https://twitter.com/cesarnogCPS","@cesarnogCPS")</f>
        <v>@cesarnogCPS</v>
      </c>
      <c r="C1613" s="10" t="s">
        <v>1140</v>
      </c>
      <c r="D1613" s="10" t="s">
        <v>2661</v>
      </c>
      <c r="E1613" s="11" t="str">
        <f>HYPERLINK("https://twitter.com/cesarnogCPS/status/703032606472929280","703032606472929280")</f>
        <v>703032606472929280</v>
      </c>
      <c r="F1613" s="12" t="s">
        <v>38</v>
      </c>
      <c r="G1613" s="13">
        <v>1578.0</v>
      </c>
      <c r="H1613" s="13">
        <v>2406.0</v>
      </c>
      <c r="I1613" s="13">
        <v>5.0</v>
      </c>
      <c r="J1613" s="13">
        <v>0.0</v>
      </c>
      <c r="K1613" s="12" t="s">
        <v>21</v>
      </c>
      <c r="L1613" s="7">
        <v>40076.82166666667</v>
      </c>
      <c r="M1613" s="14" t="s">
        <v>1142</v>
      </c>
      <c r="N1613" s="14" t="s">
        <v>1143</v>
      </c>
      <c r="O1613" s="11" t="str">
        <f>HYPERLINK("https://pbs.twimg.com/profile_images/682455128805359617/r4Be4Yll_normal.jpg","View")</f>
        <v>View</v>
      </c>
      <c r="P1613" s="15"/>
    </row>
    <row r="1614">
      <c r="A1614" s="7">
        <v>42425.73857638889</v>
      </c>
      <c r="B1614" s="8" t="str">
        <f>HYPERLINK("https://twitter.com/MTotolrahaman","@MTotolrahaman")</f>
        <v>@MTotolrahaman</v>
      </c>
      <c r="C1614" s="10" t="s">
        <v>848</v>
      </c>
      <c r="D1614" s="10" t="s">
        <v>3609</v>
      </c>
      <c r="E1614" s="11" t="str">
        <f>HYPERLINK("https://twitter.com/MTotolrahaman/status/703032620855250944","703032620855250944")</f>
        <v>703032620855250944</v>
      </c>
      <c r="F1614" s="12" t="s">
        <v>103</v>
      </c>
      <c r="G1614" s="13">
        <v>766.0</v>
      </c>
      <c r="H1614" s="13">
        <v>846.0</v>
      </c>
      <c r="I1614" s="13">
        <v>1.0</v>
      </c>
      <c r="J1614" s="13">
        <v>1.0</v>
      </c>
      <c r="K1614" s="12" t="s">
        <v>21</v>
      </c>
      <c r="L1614" s="7">
        <v>42355.250798611116</v>
      </c>
      <c r="M1614" s="14" t="s">
        <v>850</v>
      </c>
      <c r="N1614" s="14" t="s">
        <v>851</v>
      </c>
      <c r="O1614" s="11" t="str">
        <f>HYPERLINK("https://pbs.twimg.com/profile_images/677493910256484352/-EdVaVPl_normal.jpg","View")</f>
        <v>View</v>
      </c>
      <c r="P1614" s="15"/>
    </row>
    <row r="1615">
      <c r="A1615" s="7">
        <v>42425.73886574074</v>
      </c>
      <c r="B1615" s="8" t="str">
        <f>HYPERLINK("https://twitter.com/BJKralik","@BJKralik")</f>
        <v>@BJKralik</v>
      </c>
      <c r="C1615" s="10" t="s">
        <v>3610</v>
      </c>
      <c r="D1615" s="10" t="s">
        <v>3611</v>
      </c>
      <c r="E1615" s="11" t="str">
        <f>HYPERLINK("https://twitter.com/BJKralik/status/703032728975970304","703032728975970304")</f>
        <v>703032728975970304</v>
      </c>
      <c r="F1615" s="12" t="s">
        <v>3612</v>
      </c>
      <c r="G1615" s="13">
        <v>558.0</v>
      </c>
      <c r="H1615" s="13">
        <v>14.0</v>
      </c>
      <c r="I1615" s="13">
        <v>1.0</v>
      </c>
      <c r="J1615" s="13">
        <v>0.0</v>
      </c>
      <c r="K1615" s="12" t="s">
        <v>21</v>
      </c>
      <c r="L1615" s="7">
        <v>42310.45834490741</v>
      </c>
      <c r="M1615" s="14" t="s">
        <v>3613</v>
      </c>
      <c r="N1615" s="14" t="s">
        <v>3614</v>
      </c>
      <c r="O1615" s="11" t="str">
        <f>HYPERLINK("https://pbs.twimg.com/profile_images/661256681796431872/wAcneEpy_normal.jpg","View")</f>
        <v>View</v>
      </c>
      <c r="P1615" s="15"/>
    </row>
    <row r="1616">
      <c r="A1616" s="7">
        <v>42425.73983796296</v>
      </c>
      <c r="B1616" s="8" t="str">
        <f t="shared" ref="B1616:B1617" si="161">HYPERLINK("https://twitter.com/datamafia","@datamafia")</f>
        <v>@datamafia</v>
      </c>
      <c r="C1616" s="10" t="s">
        <v>3449</v>
      </c>
      <c r="D1616" s="10" t="s">
        <v>3615</v>
      </c>
      <c r="E1616" s="11" t="str">
        <f>HYPERLINK("https://twitter.com/datamafia/status/703033078583861248","703033078583861248")</f>
        <v>703033078583861248</v>
      </c>
      <c r="F1616" s="12" t="s">
        <v>20</v>
      </c>
      <c r="G1616" s="13">
        <v>735.0</v>
      </c>
      <c r="H1616" s="13">
        <v>99.0</v>
      </c>
      <c r="I1616" s="13">
        <v>0.0</v>
      </c>
      <c r="J1616" s="13">
        <v>0.0</v>
      </c>
      <c r="K1616" s="12" t="s">
        <v>21</v>
      </c>
      <c r="L1616" s="7">
        <v>39841.404074074075</v>
      </c>
      <c r="M1616" s="14" t="s">
        <v>3451</v>
      </c>
      <c r="N1616" s="14" t="s">
        <v>3452</v>
      </c>
      <c r="O1616" s="11" t="str">
        <f t="shared" ref="O1616:O1617" si="162">HYPERLINK("https://pbs.twimg.com/profile_images/700782075595481088/NiHciBeU_normal.jpg","View")</f>
        <v>View</v>
      </c>
      <c r="P1616" s="15"/>
    </row>
    <row r="1617">
      <c r="A1617" s="7">
        <v>42425.74170138889</v>
      </c>
      <c r="B1617" s="8" t="str">
        <f t="shared" si="161"/>
        <v>@datamafia</v>
      </c>
      <c r="C1617" s="10" t="s">
        <v>3449</v>
      </c>
      <c r="D1617" s="10" t="s">
        <v>3616</v>
      </c>
      <c r="E1617" s="11" t="str">
        <f>HYPERLINK("https://twitter.com/datamafia/status/703033754781163521","703033754781163521")</f>
        <v>703033754781163521</v>
      </c>
      <c r="F1617" s="12" t="s">
        <v>20</v>
      </c>
      <c r="G1617" s="13">
        <v>735.0</v>
      </c>
      <c r="H1617" s="13">
        <v>99.0</v>
      </c>
      <c r="I1617" s="13">
        <v>0.0</v>
      </c>
      <c r="J1617" s="13">
        <v>0.0</v>
      </c>
      <c r="K1617" s="12" t="s">
        <v>21</v>
      </c>
      <c r="L1617" s="7">
        <v>39841.404074074075</v>
      </c>
      <c r="M1617" s="14" t="s">
        <v>3451</v>
      </c>
      <c r="N1617" s="14" t="s">
        <v>3452</v>
      </c>
      <c r="O1617" s="11" t="str">
        <f t="shared" si="162"/>
        <v>View</v>
      </c>
      <c r="P1617" s="15"/>
    </row>
    <row r="1618">
      <c r="A1618" s="7">
        <v>42425.74177083334</v>
      </c>
      <c r="B1618" s="8" t="str">
        <f>HYPERLINK("https://twitter.com/LoopGM","@LoopGM")</f>
        <v>@LoopGM</v>
      </c>
      <c r="C1618" s="10" t="s">
        <v>3617</v>
      </c>
      <c r="D1618" s="10" t="s">
        <v>3556</v>
      </c>
      <c r="E1618" s="11" t="str">
        <f>HYPERLINK("https://twitter.com/LoopGM/status/703033779368099840","703033779368099840")</f>
        <v>703033779368099840</v>
      </c>
      <c r="F1618" s="12" t="s">
        <v>38</v>
      </c>
      <c r="G1618" s="13">
        <v>1056.0</v>
      </c>
      <c r="H1618" s="13">
        <v>1378.0</v>
      </c>
      <c r="I1618" s="13">
        <v>9.0</v>
      </c>
      <c r="J1618" s="13">
        <v>0.0</v>
      </c>
      <c r="K1618" s="12" t="s">
        <v>21</v>
      </c>
      <c r="L1618" s="7">
        <v>42023.89238425926</v>
      </c>
      <c r="M1618" s="16"/>
      <c r="N1618" s="14" t="s">
        <v>3618</v>
      </c>
      <c r="O1618" s="11" t="str">
        <f>HYPERLINK("https://pbs.twimg.com/profile_images/557757725342326784/Nvoty5Cl_normal.png","View")</f>
        <v>View</v>
      </c>
      <c r="P1618" s="15"/>
    </row>
    <row r="1619">
      <c r="A1619" s="7">
        <v>42425.7430787037</v>
      </c>
      <c r="B1619" s="8" t="str">
        <f>HYPERLINK("https://twitter.com/PythonBooks","@PythonBooks")</f>
        <v>@PythonBooks</v>
      </c>
      <c r="C1619" s="10" t="s">
        <v>267</v>
      </c>
      <c r="D1619" s="10" t="s">
        <v>3619</v>
      </c>
      <c r="E1619" s="11" t="str">
        <f>HYPERLINK("https://twitter.com/PythonBooks/status/703034254960136193","703034254960136193")</f>
        <v>703034254960136193</v>
      </c>
      <c r="F1619" s="17" t="s">
        <v>76</v>
      </c>
      <c r="G1619" s="13">
        <v>20.0</v>
      </c>
      <c r="H1619" s="13">
        <v>70.0</v>
      </c>
      <c r="I1619" s="13">
        <v>0.0</v>
      </c>
      <c r="J1619" s="13">
        <v>0.0</v>
      </c>
      <c r="K1619" s="12" t="s">
        <v>21</v>
      </c>
      <c r="L1619" s="7">
        <v>42424.13631944444</v>
      </c>
      <c r="M1619" s="14" t="s">
        <v>269</v>
      </c>
      <c r="N1619" s="14" t="s">
        <v>270</v>
      </c>
      <c r="O1619" s="11" t="str">
        <f>HYPERLINK("https://pbs.twimg.com/profile_images/702455638157168640/AeDgtn0C_normal.jpg","View")</f>
        <v>View</v>
      </c>
      <c r="P1619" s="15"/>
    </row>
    <row r="1620">
      <c r="A1620" s="7">
        <v>42425.74340277778</v>
      </c>
      <c r="B1620" s="8" t="str">
        <f>HYPERLINK("https://twitter.com/AdamSmitht1","@AdamSmitht1")</f>
        <v>@AdamSmitht1</v>
      </c>
      <c r="C1620" s="10" t="s">
        <v>468</v>
      </c>
      <c r="D1620" s="10" t="s">
        <v>3620</v>
      </c>
      <c r="E1620" s="11" t="str">
        <f>HYPERLINK("https://twitter.com/AdamSmitht1/status/703034372702732288","703034372702732288")</f>
        <v>703034372702732288</v>
      </c>
      <c r="F1620" s="12" t="s">
        <v>103</v>
      </c>
      <c r="G1620" s="13">
        <v>849.0</v>
      </c>
      <c r="H1620" s="13">
        <v>793.0</v>
      </c>
      <c r="I1620" s="13">
        <v>0.0</v>
      </c>
      <c r="J1620" s="13">
        <v>0.0</v>
      </c>
      <c r="K1620" s="12" t="s">
        <v>21</v>
      </c>
      <c r="L1620" s="7">
        <v>42336.12709490741</v>
      </c>
      <c r="M1620" s="14" t="s">
        <v>470</v>
      </c>
      <c r="N1620" s="14" t="s">
        <v>471</v>
      </c>
      <c r="O1620" s="11" t="str">
        <f>HYPERLINK("https://pbs.twimg.com/profile_images/671623862916812800/yGsDKiP4_normal.jpg","View")</f>
        <v>View</v>
      </c>
      <c r="P1620" s="15"/>
    </row>
    <row r="1621">
      <c r="A1621" s="7">
        <v>42425.743993055556</v>
      </c>
      <c r="B1621" s="8" t="str">
        <f>HYPERLINK("https://twitter.com/TheDonutShop","@TheDonutShop")</f>
        <v>@TheDonutShop</v>
      </c>
      <c r="C1621" s="10" t="s">
        <v>3621</v>
      </c>
      <c r="D1621" s="10" t="s">
        <v>3622</v>
      </c>
      <c r="E1621" s="11" t="str">
        <f>HYPERLINK("https://twitter.com/TheDonutShop/status/703034583474937856","703034583474937856")</f>
        <v>703034583474937856</v>
      </c>
      <c r="F1621" s="12" t="s">
        <v>103</v>
      </c>
      <c r="G1621" s="13">
        <v>1071.0</v>
      </c>
      <c r="H1621" s="13">
        <v>357.0</v>
      </c>
      <c r="I1621" s="13">
        <v>0.0</v>
      </c>
      <c r="J1621" s="13">
        <v>0.0</v>
      </c>
      <c r="K1621" s="12" t="s">
        <v>21</v>
      </c>
      <c r="L1621" s="7">
        <v>39945.640914351854</v>
      </c>
      <c r="M1621" s="14" t="s">
        <v>3623</v>
      </c>
      <c r="N1621" s="14" t="s">
        <v>3624</v>
      </c>
      <c r="O1621" s="11" t="str">
        <f>HYPERLINK("https://pbs.twimg.com/profile_images/469256166732619776/SZGdmr_k_normal.jpeg","View")</f>
        <v>View</v>
      </c>
      <c r="P1621" s="15"/>
    </row>
    <row r="1622">
      <c r="A1622" s="7">
        <v>42425.74402777778</v>
      </c>
      <c r="B1622" s="8" t="str">
        <f>HYPERLINK("https://twitter.com/EdwinGrubbs","@EdwinGrubbs")</f>
        <v>@EdwinGrubbs</v>
      </c>
      <c r="C1622" s="10" t="s">
        <v>3607</v>
      </c>
      <c r="D1622" s="10" t="s">
        <v>2287</v>
      </c>
      <c r="E1622" s="11" t="str">
        <f>HYPERLINK("https://twitter.com/EdwinGrubbs/status/703034596720451584","703034596720451584")</f>
        <v>703034596720451584</v>
      </c>
      <c r="F1622" s="12" t="s">
        <v>152</v>
      </c>
      <c r="G1622" s="13">
        <v>30.0</v>
      </c>
      <c r="H1622" s="13">
        <v>91.0</v>
      </c>
      <c r="I1622" s="13">
        <v>16.0</v>
      </c>
      <c r="J1622" s="13">
        <v>0.0</v>
      </c>
      <c r="K1622" s="12" t="s">
        <v>21</v>
      </c>
      <c r="L1622" s="7">
        <v>41982.61399305555</v>
      </c>
      <c r="M1622" s="14" t="s">
        <v>719</v>
      </c>
      <c r="N1622" s="16"/>
      <c r="O1622" s="11" t="str">
        <f>HYPERLINK("https://pbs.twimg.com/profile_images/542450458170634240/uo9GvwUX_normal.jpeg","View")</f>
        <v>View</v>
      </c>
      <c r="P1622" s="15"/>
    </row>
    <row r="1623">
      <c r="A1623" s="7">
        <v>42425.74423611111</v>
      </c>
      <c r="B1623" s="8" t="str">
        <f>HYPERLINK("https://twitter.com/importpython","@importpython")</f>
        <v>@importpython</v>
      </c>
      <c r="C1623" s="10" t="s">
        <v>2536</v>
      </c>
      <c r="D1623" s="10" t="s">
        <v>3625</v>
      </c>
      <c r="E1623" s="11" t="str">
        <f>HYPERLINK("https://twitter.com/importpython/status/703034673543278592","703034673543278592")</f>
        <v>703034673543278592</v>
      </c>
      <c r="F1623" s="12" t="s">
        <v>2538</v>
      </c>
      <c r="G1623" s="13">
        <v>1603.0</v>
      </c>
      <c r="H1623" s="13">
        <v>498.0</v>
      </c>
      <c r="I1623" s="13">
        <v>2.0</v>
      </c>
      <c r="J1623" s="13">
        <v>2.0</v>
      </c>
      <c r="K1623" s="12" t="s">
        <v>21</v>
      </c>
      <c r="L1623" s="7">
        <v>41912.04583333334</v>
      </c>
      <c r="M1623" s="14" t="s">
        <v>432</v>
      </c>
      <c r="N1623" s="14" t="s">
        <v>2539</v>
      </c>
      <c r="O1623" s="11" t="str">
        <f>HYPERLINK("https://pbs.twimg.com/profile_images/518108253121552384/ClpFqPbX_normal.png","View")</f>
        <v>View</v>
      </c>
      <c r="P1623" s="15"/>
    </row>
    <row r="1624">
      <c r="A1624" s="7">
        <v>42425.744467592594</v>
      </c>
      <c r="B1624" s="8" t="str">
        <f>HYPERLINK("https://twitter.com/kannanpoem","@kannanpoem")</f>
        <v>@kannanpoem</v>
      </c>
      <c r="C1624" s="10" t="s">
        <v>3626</v>
      </c>
      <c r="D1624" s="10" t="s">
        <v>3257</v>
      </c>
      <c r="E1624" s="11" t="str">
        <f>HYPERLINK("https://twitter.com/kannanpoem/status/703034758146592768","703034758146592768")</f>
        <v>703034758146592768</v>
      </c>
      <c r="F1624" s="12" t="s">
        <v>152</v>
      </c>
      <c r="G1624" s="13">
        <v>176.0</v>
      </c>
      <c r="H1624" s="13">
        <v>165.0</v>
      </c>
      <c r="I1624" s="13">
        <v>7.0</v>
      </c>
      <c r="J1624" s="13">
        <v>0.0</v>
      </c>
      <c r="K1624" s="12" t="s">
        <v>21</v>
      </c>
      <c r="L1624" s="7">
        <v>40623.44244212963</v>
      </c>
      <c r="M1624" s="16"/>
      <c r="N1624" s="14" t="s">
        <v>3627</v>
      </c>
      <c r="O1624" s="11" t="str">
        <f>HYPERLINK("https://pbs.twimg.com/profile_images/378800000859901667/G4KBj2Zr_normal.jpeg","View")</f>
        <v>View</v>
      </c>
      <c r="P1624" s="15"/>
    </row>
    <row r="1625">
      <c r="A1625" s="7">
        <v>42425.74479166667</v>
      </c>
      <c r="B1625" s="8" t="str">
        <f t="shared" ref="B1625:B1626" si="163">HYPERLINK("https://twitter.com/startechwall","@startechwall")</f>
        <v>@startechwall</v>
      </c>
      <c r="C1625" s="10" t="s">
        <v>1478</v>
      </c>
      <c r="D1625" s="10" t="s">
        <v>3628</v>
      </c>
      <c r="E1625" s="11" t="str">
        <f>HYPERLINK("https://twitter.com/startechwall/status/703034872907042816","703034872907042816")</f>
        <v>703034872907042816</v>
      </c>
      <c r="F1625" s="12" t="s">
        <v>103</v>
      </c>
      <c r="G1625" s="13">
        <v>557.0</v>
      </c>
      <c r="H1625" s="13">
        <v>859.0</v>
      </c>
      <c r="I1625" s="13">
        <v>0.0</v>
      </c>
      <c r="J1625" s="13">
        <v>0.0</v>
      </c>
      <c r="K1625" s="12" t="s">
        <v>21</v>
      </c>
      <c r="L1625" s="7">
        <v>42360.959502314814</v>
      </c>
      <c r="M1625" s="14" t="s">
        <v>1480</v>
      </c>
      <c r="N1625" s="14" t="s">
        <v>1481</v>
      </c>
      <c r="O1625" s="11" t="str">
        <f t="shared" ref="O1625:O1626" si="164">HYPERLINK("https://pbs.twimg.com/profile_images/679566117187145728/UUo30Zpm_normal.jpg","View")</f>
        <v>View</v>
      </c>
      <c r="P1625" s="15"/>
    </row>
    <row r="1626">
      <c r="A1626" s="7">
        <v>42425.74482638889</v>
      </c>
      <c r="B1626" s="8" t="str">
        <f t="shared" si="163"/>
        <v>@startechwall</v>
      </c>
      <c r="C1626" s="10" t="s">
        <v>1478</v>
      </c>
      <c r="D1626" s="10" t="s">
        <v>3629</v>
      </c>
      <c r="E1626" s="11" t="str">
        <f>HYPERLINK("https://twitter.com/startechwall/status/703034886525997057","703034886525997057")</f>
        <v>703034886525997057</v>
      </c>
      <c r="F1626" s="12" t="s">
        <v>103</v>
      </c>
      <c r="G1626" s="13">
        <v>557.0</v>
      </c>
      <c r="H1626" s="13">
        <v>859.0</v>
      </c>
      <c r="I1626" s="13">
        <v>0.0</v>
      </c>
      <c r="J1626" s="13">
        <v>0.0</v>
      </c>
      <c r="K1626" s="12" t="s">
        <v>21</v>
      </c>
      <c r="L1626" s="7">
        <v>42360.959502314814</v>
      </c>
      <c r="M1626" s="14" t="s">
        <v>1480</v>
      </c>
      <c r="N1626" s="14" t="s">
        <v>1481</v>
      </c>
      <c r="O1626" s="11" t="str">
        <f t="shared" si="164"/>
        <v>View</v>
      </c>
      <c r="P1626" s="15"/>
    </row>
    <row r="1627">
      <c r="A1627" s="7">
        <v>42425.74561342593</v>
      </c>
      <c r="B1627" s="8" t="str">
        <f>HYPERLINK("https://twitter.com/iamzareenf","@iamzareenf")</f>
        <v>@iamzareenf</v>
      </c>
      <c r="C1627" s="10" t="s">
        <v>3630</v>
      </c>
      <c r="D1627" s="10" t="s">
        <v>3631</v>
      </c>
      <c r="E1627" s="11" t="str">
        <f>HYPERLINK("https://twitter.com/iamzareenf/status/703035171382140929","703035171382140929")</f>
        <v>703035171382140929</v>
      </c>
      <c r="F1627" s="12" t="s">
        <v>20</v>
      </c>
      <c r="G1627" s="13">
        <v>5.0</v>
      </c>
      <c r="H1627" s="13">
        <v>6.0</v>
      </c>
      <c r="I1627" s="13">
        <v>0.0</v>
      </c>
      <c r="J1627" s="13">
        <v>0.0</v>
      </c>
      <c r="K1627" s="12" t="s">
        <v>21</v>
      </c>
      <c r="L1627" s="7">
        <v>42403.35506944444</v>
      </c>
      <c r="M1627" s="14" t="s">
        <v>332</v>
      </c>
      <c r="N1627" s="14" t="s">
        <v>3632</v>
      </c>
      <c r="O1627" s="11" t="str">
        <f>HYPERLINK("https://pbs.twimg.com/profile_images/694922293223432193/2zwZmuFK_normal.jpg","View")</f>
        <v>View</v>
      </c>
      <c r="P1627" s="15"/>
    </row>
    <row r="1628">
      <c r="A1628" s="7">
        <v>42425.74585648148</v>
      </c>
      <c r="B1628" s="8" t="str">
        <f>HYPERLINK("https://twitter.com/DistrictDataLab","@DistrictDataLab")</f>
        <v>@DistrictDataLab</v>
      </c>
      <c r="C1628" s="10" t="s">
        <v>2228</v>
      </c>
      <c r="D1628" s="10" t="s">
        <v>3633</v>
      </c>
      <c r="E1628" s="11" t="str">
        <f>HYPERLINK("https://twitter.com/DistrictDataLab/status/703035258791436289","703035258791436289")</f>
        <v>703035258791436289</v>
      </c>
      <c r="F1628" s="12" t="s">
        <v>294</v>
      </c>
      <c r="G1628" s="13">
        <v>1844.0</v>
      </c>
      <c r="H1628" s="13">
        <v>1146.0</v>
      </c>
      <c r="I1628" s="13">
        <v>1.0</v>
      </c>
      <c r="J1628" s="13">
        <v>2.0</v>
      </c>
      <c r="K1628" s="12" t="s">
        <v>21</v>
      </c>
      <c r="L1628" s="7">
        <v>41599.44584490741</v>
      </c>
      <c r="M1628" s="14" t="s">
        <v>784</v>
      </c>
      <c r="N1628" s="14" t="s">
        <v>2230</v>
      </c>
      <c r="O1628" s="11" t="str">
        <f>HYPERLINK("https://pbs.twimg.com/profile_images/676095885575634944/NXl4o2HU_normal.png","View")</f>
        <v>View</v>
      </c>
      <c r="P1628" s="15"/>
    </row>
    <row r="1629">
      <c r="A1629" s="7">
        <v>42425.74638888889</v>
      </c>
      <c r="B1629" s="8" t="str">
        <f>HYPERLINK("https://twitter.com/jamal_moir","@jamal_moir")</f>
        <v>@jamal_moir</v>
      </c>
      <c r="C1629" s="10" t="s">
        <v>2939</v>
      </c>
      <c r="D1629" s="10" t="s">
        <v>3634</v>
      </c>
      <c r="E1629" s="11" t="str">
        <f>HYPERLINK("https://twitter.com/jamal_moir/status/703035454564671489","703035454564671489")</f>
        <v>703035454564671489</v>
      </c>
      <c r="F1629" s="12" t="s">
        <v>20</v>
      </c>
      <c r="G1629" s="13">
        <v>124.0</v>
      </c>
      <c r="H1629" s="13">
        <v>104.0</v>
      </c>
      <c r="I1629" s="13">
        <v>0.0</v>
      </c>
      <c r="J1629" s="13">
        <v>0.0</v>
      </c>
      <c r="K1629" s="12" t="s">
        <v>21</v>
      </c>
      <c r="L1629" s="7">
        <v>41517.25885416666</v>
      </c>
      <c r="M1629" s="14" t="s">
        <v>2941</v>
      </c>
      <c r="N1629" s="14" t="s">
        <v>2942</v>
      </c>
      <c r="O1629" s="11" t="str">
        <f>HYPERLINK("https://pbs.twimg.com/profile_images/701940703329284096/L4xW77o2_normal.jpg","View")</f>
        <v>View</v>
      </c>
      <c r="P1629" s="15"/>
    </row>
    <row r="1630">
      <c r="A1630" s="7">
        <v>42425.74728009259</v>
      </c>
      <c r="B1630" s="8" t="str">
        <f>HYPERLINK("https://twitter.com/cool_python","@cool_python")</f>
        <v>@cool_python</v>
      </c>
      <c r="C1630" s="10" t="s">
        <v>249</v>
      </c>
      <c r="D1630" s="10" t="s">
        <v>3635</v>
      </c>
      <c r="E1630" s="11" t="str">
        <f>HYPERLINK("https://twitter.com/cool_python/status/703035775886237697","703035775886237697")</f>
        <v>703035775886237697</v>
      </c>
      <c r="F1630" s="12" t="s">
        <v>251</v>
      </c>
      <c r="G1630" s="13">
        <v>235.0</v>
      </c>
      <c r="H1630" s="13">
        <v>91.0</v>
      </c>
      <c r="I1630" s="13">
        <v>2.0</v>
      </c>
      <c r="J1630" s="13">
        <v>0.0</v>
      </c>
      <c r="K1630" s="12" t="s">
        <v>21</v>
      </c>
      <c r="L1630" s="7">
        <v>42064.325</v>
      </c>
      <c r="M1630" s="14" t="s">
        <v>252</v>
      </c>
      <c r="N1630" s="14" t="s">
        <v>253</v>
      </c>
      <c r="O1630" s="11" t="str">
        <f>HYPERLINK("https://pbs.twimg.com/profile_images/572091631055028224/Pkx__FSB_normal.png","View")</f>
        <v>View</v>
      </c>
      <c r="P1630" s="15"/>
    </row>
    <row r="1631">
      <c r="A1631" s="7">
        <v>42425.74799768519</v>
      </c>
      <c r="B1631" s="8" t="str">
        <f>HYPERLINK("https://twitter.com/nicholasgatto","@nicholasgatto")</f>
        <v>@nicholasgatto</v>
      </c>
      <c r="C1631" s="10" t="s">
        <v>3636</v>
      </c>
      <c r="D1631" s="10" t="s">
        <v>3637</v>
      </c>
      <c r="E1631" s="11" t="str">
        <f>HYPERLINK("https://twitter.com/nicholasgatto/status/703036036310499329","703036036310499329")</f>
        <v>703036036310499329</v>
      </c>
      <c r="F1631" s="12" t="s">
        <v>52</v>
      </c>
      <c r="G1631" s="13">
        <v>217.0</v>
      </c>
      <c r="H1631" s="13">
        <v>536.0</v>
      </c>
      <c r="I1631" s="13">
        <v>3.0</v>
      </c>
      <c r="J1631" s="13">
        <v>0.0</v>
      </c>
      <c r="K1631" s="12" t="s">
        <v>21</v>
      </c>
      <c r="L1631" s="7">
        <v>41606.686331018514</v>
      </c>
      <c r="M1631" s="14" t="s">
        <v>1158</v>
      </c>
      <c r="N1631" s="14" t="s">
        <v>3638</v>
      </c>
      <c r="O1631" s="11" t="str">
        <f>HYPERLINK("https://pbs.twimg.com/profile_images/676838769769783296/dKMh-GgM_normal.jpg","View")</f>
        <v>View</v>
      </c>
      <c r="P1631" s="15"/>
    </row>
    <row r="1632">
      <c r="A1632" s="7">
        <v>42425.748194444444</v>
      </c>
      <c r="B1632" s="8" t="str">
        <f>HYPERLINK("https://twitter.com/fbugati","@fbugati")</f>
        <v>@fbugati</v>
      </c>
      <c r="C1632" s="10" t="s">
        <v>3639</v>
      </c>
      <c r="D1632" s="10" t="s">
        <v>2661</v>
      </c>
      <c r="E1632" s="11" t="str">
        <f>HYPERLINK("https://twitter.com/fbugati/status/703036105935994880","703036105935994880")</f>
        <v>703036105935994880</v>
      </c>
      <c r="F1632" s="12" t="s">
        <v>52</v>
      </c>
      <c r="G1632" s="13">
        <v>48.0</v>
      </c>
      <c r="H1632" s="13">
        <v>145.0</v>
      </c>
      <c r="I1632" s="13">
        <v>5.0</v>
      </c>
      <c r="J1632" s="13">
        <v>0.0</v>
      </c>
      <c r="K1632" s="12" t="s">
        <v>21</v>
      </c>
      <c r="L1632" s="7">
        <v>41604.60951388889</v>
      </c>
      <c r="M1632" s="16"/>
      <c r="N1632" s="14" t="s">
        <v>3640</v>
      </c>
      <c r="O1632" s="11" t="str">
        <f>HYPERLINK("https://pbs.twimg.com/profile_images/378800000797981152/e6d587709071bb43b421666a2b05728c_normal.jpeg","View")</f>
        <v>View</v>
      </c>
      <c r="P1632" s="15"/>
    </row>
    <row r="1633">
      <c r="A1633" s="7">
        <v>42425.74832175926</v>
      </c>
      <c r="B1633" s="8" t="str">
        <f t="shared" ref="B1633:B1635" si="165">HYPERLINK("https://twitter.com/HartwigMicheal","@HartwigMicheal")</f>
        <v>@HartwigMicheal</v>
      </c>
      <c r="C1633" s="10" t="s">
        <v>842</v>
      </c>
      <c r="D1633" s="10" t="s">
        <v>3641</v>
      </c>
      <c r="E1633" s="11" t="str">
        <f>HYPERLINK("https://twitter.com/HartwigMicheal/status/703036154107580416","703036154107580416")</f>
        <v>703036154107580416</v>
      </c>
      <c r="F1633" s="12" t="s">
        <v>103</v>
      </c>
      <c r="G1633" s="13">
        <v>541.0</v>
      </c>
      <c r="H1633" s="13">
        <v>830.0</v>
      </c>
      <c r="I1633" s="13">
        <v>0.0</v>
      </c>
      <c r="J1633" s="13">
        <v>0.0</v>
      </c>
      <c r="K1633" s="12" t="s">
        <v>21</v>
      </c>
      <c r="L1633" s="7">
        <v>42362.00148148148</v>
      </c>
      <c r="M1633" s="14" t="s">
        <v>844</v>
      </c>
      <c r="N1633" s="14" t="s">
        <v>845</v>
      </c>
      <c r="O1633" s="11" t="str">
        <f t="shared" ref="O1633:O1635" si="166">HYPERLINK("https://pbs.twimg.com/profile_images/679948461953781761/pDo9356K_normal.jpg","View")</f>
        <v>View</v>
      </c>
      <c r="P1633" s="15"/>
    </row>
    <row r="1634">
      <c r="A1634" s="7">
        <v>42425.748344907406</v>
      </c>
      <c r="B1634" s="8" t="str">
        <f t="shared" si="165"/>
        <v>@HartwigMicheal</v>
      </c>
      <c r="C1634" s="10" t="s">
        <v>842</v>
      </c>
      <c r="D1634" s="10" t="s">
        <v>3642</v>
      </c>
      <c r="E1634" s="11" t="str">
        <f>HYPERLINK("https://twitter.com/HartwigMicheal/status/703036160784908288","703036160784908288")</f>
        <v>703036160784908288</v>
      </c>
      <c r="F1634" s="12" t="s">
        <v>103</v>
      </c>
      <c r="G1634" s="13">
        <v>541.0</v>
      </c>
      <c r="H1634" s="13">
        <v>830.0</v>
      </c>
      <c r="I1634" s="13">
        <v>0.0</v>
      </c>
      <c r="J1634" s="13">
        <v>0.0</v>
      </c>
      <c r="K1634" s="12" t="s">
        <v>21</v>
      </c>
      <c r="L1634" s="7">
        <v>42362.00148148148</v>
      </c>
      <c r="M1634" s="14" t="s">
        <v>844</v>
      </c>
      <c r="N1634" s="14" t="s">
        <v>845</v>
      </c>
      <c r="O1634" s="11" t="str">
        <f t="shared" si="166"/>
        <v>View</v>
      </c>
      <c r="P1634" s="15"/>
    </row>
    <row r="1635">
      <c r="A1635" s="7">
        <v>42425.748344907406</v>
      </c>
      <c r="B1635" s="8" t="str">
        <f t="shared" si="165"/>
        <v>@HartwigMicheal</v>
      </c>
      <c r="C1635" s="10" t="s">
        <v>842</v>
      </c>
      <c r="D1635" s="10" t="s">
        <v>3643</v>
      </c>
      <c r="E1635" s="11" t="str">
        <f>HYPERLINK("https://twitter.com/HartwigMicheal/status/703036163142098944","703036163142098944")</f>
        <v>703036163142098944</v>
      </c>
      <c r="F1635" s="12" t="s">
        <v>103</v>
      </c>
      <c r="G1635" s="13">
        <v>541.0</v>
      </c>
      <c r="H1635" s="13">
        <v>830.0</v>
      </c>
      <c r="I1635" s="13">
        <v>0.0</v>
      </c>
      <c r="J1635" s="13">
        <v>0.0</v>
      </c>
      <c r="K1635" s="12" t="s">
        <v>21</v>
      </c>
      <c r="L1635" s="7">
        <v>42362.00148148148</v>
      </c>
      <c r="M1635" s="14" t="s">
        <v>844</v>
      </c>
      <c r="N1635" s="14" t="s">
        <v>845</v>
      </c>
      <c r="O1635" s="11" t="str">
        <f t="shared" si="166"/>
        <v>View</v>
      </c>
      <c r="P1635" s="15"/>
    </row>
    <row r="1636">
      <c r="A1636" s="7">
        <v>42425.74840277778</v>
      </c>
      <c r="B1636" s="8" t="str">
        <f>HYPERLINK("https://twitter.com/yellowrocket96","@yellowrocket96")</f>
        <v>@yellowrocket96</v>
      </c>
      <c r="C1636" s="10" t="s">
        <v>3644</v>
      </c>
      <c r="D1636" s="10" t="s">
        <v>3556</v>
      </c>
      <c r="E1636" s="11" t="str">
        <f>HYPERLINK("https://twitter.com/yellowrocket96/status/703036182850973696","703036182850973696")</f>
        <v>703036182850973696</v>
      </c>
      <c r="F1636" s="12" t="s">
        <v>152</v>
      </c>
      <c r="G1636" s="13">
        <v>23.0</v>
      </c>
      <c r="H1636" s="13">
        <v>76.0</v>
      </c>
      <c r="I1636" s="13">
        <v>9.0</v>
      </c>
      <c r="J1636" s="13">
        <v>0.0</v>
      </c>
      <c r="K1636" s="12" t="s">
        <v>21</v>
      </c>
      <c r="L1636" s="7">
        <v>40416.76699074074</v>
      </c>
      <c r="M1636" s="16"/>
      <c r="N1636" s="16"/>
      <c r="O1636" s="11" t="str">
        <f>HYPERLINK("https://pbs.twimg.com/profile_images/1464503986/avatar_normal.jpg","View")</f>
        <v>View</v>
      </c>
      <c r="P1636" s="15"/>
    </row>
    <row r="1637">
      <c r="A1637" s="7">
        <v>42425.748935185184</v>
      </c>
      <c r="B1637" s="8" t="str">
        <f>HYPERLINK("https://twitter.com/RasShepherd","@RasShepherd")</f>
        <v>@RasShepherd</v>
      </c>
      <c r="C1637" s="10" t="s">
        <v>3645</v>
      </c>
      <c r="D1637" s="10" t="s">
        <v>3646</v>
      </c>
      <c r="E1637" s="11" t="str">
        <f>HYPERLINK("https://twitter.com/RasShepherd/status/703036376502161409","703036376502161409")</f>
        <v>703036376502161409</v>
      </c>
      <c r="F1637" s="12" t="s">
        <v>450</v>
      </c>
      <c r="G1637" s="13">
        <v>18.0</v>
      </c>
      <c r="H1637" s="13">
        <v>74.0</v>
      </c>
      <c r="I1637" s="13">
        <v>1.0</v>
      </c>
      <c r="J1637" s="13">
        <v>0.0</v>
      </c>
      <c r="K1637" s="12" t="s">
        <v>21</v>
      </c>
      <c r="L1637" s="7">
        <v>42064.02961805556</v>
      </c>
      <c r="M1637" s="16"/>
      <c r="N1637" s="16"/>
      <c r="O1637" s="11" t="str">
        <f>HYPERLINK("https://pbs.twimg.com/profile_images/571954137697247232/6C5zvAcT_normal.jpeg","View")</f>
        <v>View</v>
      </c>
      <c r="P1637" s="15"/>
    </row>
    <row r="1638">
      <c r="A1638" s="7">
        <v>42425.74894675926</v>
      </c>
      <c r="B1638" s="8" t="str">
        <f t="shared" ref="B1638:B1640" si="167">HYPERLINK("https://twitter.com/MTotolrahaman","@MTotolrahaman")</f>
        <v>@MTotolrahaman</v>
      </c>
      <c r="C1638" s="10" t="s">
        <v>848</v>
      </c>
      <c r="D1638" s="10" t="s">
        <v>3647</v>
      </c>
      <c r="E1638" s="11" t="str">
        <f>HYPERLINK("https://twitter.com/MTotolrahaman/status/703036380037910530","703036380037910530")</f>
        <v>703036380037910530</v>
      </c>
      <c r="F1638" s="12" t="s">
        <v>103</v>
      </c>
      <c r="G1638" s="13">
        <v>766.0</v>
      </c>
      <c r="H1638" s="13">
        <v>846.0</v>
      </c>
      <c r="I1638" s="13">
        <v>0.0</v>
      </c>
      <c r="J1638" s="13">
        <v>0.0</v>
      </c>
      <c r="K1638" s="12" t="s">
        <v>21</v>
      </c>
      <c r="L1638" s="7">
        <v>42355.250798611116</v>
      </c>
      <c r="M1638" s="14" t="s">
        <v>850</v>
      </c>
      <c r="N1638" s="14" t="s">
        <v>851</v>
      </c>
      <c r="O1638" s="11" t="str">
        <f t="shared" ref="O1638:O1640" si="168">HYPERLINK("https://pbs.twimg.com/profile_images/677493910256484352/-EdVaVPl_normal.jpg","View")</f>
        <v>View</v>
      </c>
      <c r="P1638" s="15"/>
    </row>
    <row r="1639">
      <c r="A1639" s="7">
        <v>42425.74896990741</v>
      </c>
      <c r="B1639" s="8" t="str">
        <f t="shared" si="167"/>
        <v>@MTotolrahaman</v>
      </c>
      <c r="C1639" s="10" t="s">
        <v>848</v>
      </c>
      <c r="D1639" s="10" t="s">
        <v>3648</v>
      </c>
      <c r="E1639" s="11" t="str">
        <f>HYPERLINK("https://twitter.com/MTotolrahaman/status/703036387977764864","703036387977764864")</f>
        <v>703036387977764864</v>
      </c>
      <c r="F1639" s="12" t="s">
        <v>103</v>
      </c>
      <c r="G1639" s="13">
        <v>766.0</v>
      </c>
      <c r="H1639" s="13">
        <v>846.0</v>
      </c>
      <c r="I1639" s="13">
        <v>0.0</v>
      </c>
      <c r="J1639" s="13">
        <v>0.0</v>
      </c>
      <c r="K1639" s="12" t="s">
        <v>21</v>
      </c>
      <c r="L1639" s="7">
        <v>42355.250798611116</v>
      </c>
      <c r="M1639" s="14" t="s">
        <v>850</v>
      </c>
      <c r="N1639" s="14" t="s">
        <v>851</v>
      </c>
      <c r="O1639" s="11" t="str">
        <f t="shared" si="168"/>
        <v>View</v>
      </c>
      <c r="P1639" s="15"/>
    </row>
    <row r="1640">
      <c r="A1640" s="7">
        <v>42425.74896990741</v>
      </c>
      <c r="B1640" s="8" t="str">
        <f t="shared" si="167"/>
        <v>@MTotolrahaman</v>
      </c>
      <c r="C1640" s="10" t="s">
        <v>848</v>
      </c>
      <c r="D1640" s="10" t="s">
        <v>3649</v>
      </c>
      <c r="E1640" s="11" t="str">
        <f>HYPERLINK("https://twitter.com/MTotolrahaman/status/703036389999452161","703036389999452161")</f>
        <v>703036389999452161</v>
      </c>
      <c r="F1640" s="12" t="s">
        <v>103</v>
      </c>
      <c r="G1640" s="13">
        <v>766.0</v>
      </c>
      <c r="H1640" s="13">
        <v>846.0</v>
      </c>
      <c r="I1640" s="13">
        <v>0.0</v>
      </c>
      <c r="J1640" s="13">
        <v>0.0</v>
      </c>
      <c r="K1640" s="12" t="s">
        <v>21</v>
      </c>
      <c r="L1640" s="7">
        <v>42355.250798611116</v>
      </c>
      <c r="M1640" s="14" t="s">
        <v>850</v>
      </c>
      <c r="N1640" s="14" t="s">
        <v>851</v>
      </c>
      <c r="O1640" s="11" t="str">
        <f t="shared" si="168"/>
        <v>View</v>
      </c>
      <c r="P1640" s="15"/>
    </row>
    <row r="1641">
      <c r="A1641" s="7">
        <v>42425.74909722222</v>
      </c>
      <c r="B1641" s="8" t="str">
        <f>HYPERLINK("https://twitter.com/davisdanae","@davisdanae")</f>
        <v>@davisdanae</v>
      </c>
      <c r="C1641" s="10" t="s">
        <v>3650</v>
      </c>
      <c r="D1641" s="10" t="s">
        <v>3651</v>
      </c>
      <c r="E1641" s="11" t="str">
        <f>HYPERLINK("https://twitter.com/davisdanae/status/703036435172032512","703036435172032512")</f>
        <v>703036435172032512</v>
      </c>
      <c r="F1641" s="12" t="s">
        <v>450</v>
      </c>
      <c r="G1641" s="13">
        <v>114.0</v>
      </c>
      <c r="H1641" s="13">
        <v>170.0</v>
      </c>
      <c r="I1641" s="13">
        <v>0.0</v>
      </c>
      <c r="J1641" s="13">
        <v>0.0</v>
      </c>
      <c r="K1641" s="12" t="s">
        <v>21</v>
      </c>
      <c r="L1641" s="7">
        <v>39932.40519675926</v>
      </c>
      <c r="M1641" s="14" t="s">
        <v>3652</v>
      </c>
      <c r="N1641" s="16"/>
      <c r="O1641" s="11" t="str">
        <f>HYPERLINK("https://pbs.twimg.com/profile_images/191290179/tweet_normal.jpg","View")</f>
        <v>View</v>
      </c>
      <c r="P1641" s="15"/>
    </row>
    <row r="1642">
      <c r="A1642" s="7">
        <v>42425.74957175926</v>
      </c>
      <c r="B1642" s="8" t="str">
        <f t="shared" ref="B1642:B1643" si="169">HYPERLINK("https://twitter.com/RasShepherd","@RasShepherd")</f>
        <v>@RasShepherd</v>
      </c>
      <c r="C1642" s="10" t="s">
        <v>3645</v>
      </c>
      <c r="D1642" s="10" t="s">
        <v>3653</v>
      </c>
      <c r="E1642" s="11" t="str">
        <f>HYPERLINK("https://twitter.com/RasShepherd/status/703036605951578113","703036605951578113")</f>
        <v>703036605951578113</v>
      </c>
      <c r="F1642" s="12" t="s">
        <v>450</v>
      </c>
      <c r="G1642" s="13">
        <v>18.0</v>
      </c>
      <c r="H1642" s="13">
        <v>74.0</v>
      </c>
      <c r="I1642" s="13">
        <v>0.0</v>
      </c>
      <c r="J1642" s="13">
        <v>0.0</v>
      </c>
      <c r="K1642" s="12" t="s">
        <v>21</v>
      </c>
      <c r="L1642" s="7">
        <v>42064.02961805556</v>
      </c>
      <c r="M1642" s="16"/>
      <c r="N1642" s="16"/>
      <c r="O1642" s="11" t="str">
        <f t="shared" ref="O1642:O1643" si="170">HYPERLINK("https://pbs.twimg.com/profile_images/571954137697247232/6C5zvAcT_normal.jpeg","View")</f>
        <v>View</v>
      </c>
      <c r="P1642" s="15"/>
    </row>
    <row r="1643">
      <c r="A1643" s="7">
        <v>42425.75033564815</v>
      </c>
      <c r="B1643" s="8" t="str">
        <f t="shared" si="169"/>
        <v>@RasShepherd</v>
      </c>
      <c r="C1643" s="10" t="s">
        <v>3645</v>
      </c>
      <c r="D1643" s="10" t="s">
        <v>3654</v>
      </c>
      <c r="E1643" s="11" t="str">
        <f>HYPERLINK("https://twitter.com/RasShepherd/status/703036883484413953","703036883484413953")</f>
        <v>703036883484413953</v>
      </c>
      <c r="F1643" s="12" t="s">
        <v>450</v>
      </c>
      <c r="G1643" s="13">
        <v>18.0</v>
      </c>
      <c r="H1643" s="13">
        <v>74.0</v>
      </c>
      <c r="I1643" s="13">
        <v>0.0</v>
      </c>
      <c r="J1643" s="13">
        <v>1.0</v>
      </c>
      <c r="K1643" s="12" t="s">
        <v>21</v>
      </c>
      <c r="L1643" s="7">
        <v>42064.02961805556</v>
      </c>
      <c r="M1643" s="16"/>
      <c r="N1643" s="16"/>
      <c r="O1643" s="11" t="str">
        <f t="shared" si="170"/>
        <v>View</v>
      </c>
      <c r="P1643" s="15"/>
    </row>
    <row r="1644">
      <c r="A1644" s="7">
        <v>42425.75068287037</v>
      </c>
      <c r="B1644" s="8" t="str">
        <f>HYPERLINK("https://twitter.com/omadson","@omadson")</f>
        <v>@omadson</v>
      </c>
      <c r="C1644" s="10" t="s">
        <v>2976</v>
      </c>
      <c r="D1644" s="10" t="s">
        <v>3655</v>
      </c>
      <c r="E1644" s="11" t="str">
        <f>HYPERLINK("https://twitter.com/omadson/status/703037010479595520","703037010479595520")</f>
        <v>703037010479595520</v>
      </c>
      <c r="F1644" s="12" t="s">
        <v>2978</v>
      </c>
      <c r="G1644" s="13">
        <v>708.0</v>
      </c>
      <c r="H1644" s="13">
        <v>148.0</v>
      </c>
      <c r="I1644" s="13">
        <v>0.0</v>
      </c>
      <c r="J1644" s="13">
        <v>1.0</v>
      </c>
      <c r="K1644" s="12" t="s">
        <v>21</v>
      </c>
      <c r="L1644" s="7">
        <v>40487.2115625</v>
      </c>
      <c r="M1644" s="14" t="s">
        <v>2979</v>
      </c>
      <c r="N1644" s="14" t="s">
        <v>2980</v>
      </c>
      <c r="O1644" s="11" t="str">
        <f>HYPERLINK("https://pbs.twimg.com/profile_images/685223250062917633/s6j2LZE3_normal.jpg","View")</f>
        <v>View</v>
      </c>
      <c r="P1644" s="15"/>
    </row>
    <row r="1645">
      <c r="A1645" s="7">
        <v>42425.75173611111</v>
      </c>
      <c r="B1645" s="8" t="str">
        <f>HYPERLINK("https://twitter.com/GovsInfo","@GovsInfo")</f>
        <v>@GovsInfo</v>
      </c>
      <c r="C1645" s="10" t="s">
        <v>3208</v>
      </c>
      <c r="D1645" s="10" t="s">
        <v>3656</v>
      </c>
      <c r="E1645" s="11" t="str">
        <f>HYPERLINK("https://twitter.com/GovsInfo/status/703037392870047746","703037392870047746")</f>
        <v>703037392870047746</v>
      </c>
      <c r="F1645" s="12" t="s">
        <v>103</v>
      </c>
      <c r="G1645" s="13">
        <v>53989.0</v>
      </c>
      <c r="H1645" s="13">
        <v>60772.0</v>
      </c>
      <c r="I1645" s="13">
        <v>0.0</v>
      </c>
      <c r="J1645" s="13">
        <v>0.0</v>
      </c>
      <c r="K1645" s="12" t="s">
        <v>21</v>
      </c>
      <c r="L1645" s="7">
        <v>41613.45927083334</v>
      </c>
      <c r="M1645" s="16"/>
      <c r="N1645" s="14" t="s">
        <v>3210</v>
      </c>
      <c r="O1645" s="11" t="str">
        <f>HYPERLINK("https://pbs.twimg.com/profile_images/607796949085855744/yiNwAzF__normal.jpg","View")</f>
        <v>View</v>
      </c>
      <c r="P1645" s="15"/>
    </row>
    <row r="1646">
      <c r="A1646" s="7">
        <v>42425.752164351856</v>
      </c>
      <c r="B1646" s="8" t="str">
        <f>HYPERLINK("https://twitter.com/piccolomud","@piccolomud")</f>
        <v>@piccolomud</v>
      </c>
      <c r="C1646" s="10" t="s">
        <v>3657</v>
      </c>
      <c r="D1646" s="10" t="s">
        <v>3658</v>
      </c>
      <c r="E1646" s="11" t="str">
        <f>HYPERLINK("https://twitter.com/piccolomud/status/703037546956066817","703037546956066817")</f>
        <v>703037546956066817</v>
      </c>
      <c r="F1646" s="12" t="s">
        <v>152</v>
      </c>
      <c r="G1646" s="13">
        <v>189.0</v>
      </c>
      <c r="H1646" s="13">
        <v>492.0</v>
      </c>
      <c r="I1646" s="13">
        <v>0.0</v>
      </c>
      <c r="J1646" s="13">
        <v>1.0</v>
      </c>
      <c r="K1646" s="12" t="s">
        <v>21</v>
      </c>
      <c r="L1646" s="7">
        <v>42247.26695601852</v>
      </c>
      <c r="M1646" s="14" t="s">
        <v>2913</v>
      </c>
      <c r="N1646" s="14" t="s">
        <v>3659</v>
      </c>
      <c r="O1646" s="11" t="str">
        <f>HYPERLINK("https://pbs.twimg.com/profile_images/638343349523484672/kAVX2NOH_normal.png","View")</f>
        <v>View</v>
      </c>
      <c r="P1646" s="15"/>
    </row>
    <row r="1647">
      <c r="A1647" s="7">
        <v>42425.752187499995</v>
      </c>
      <c r="B1647" s="8" t="str">
        <f t="shared" ref="B1647:B1651" si="171">HYPERLINK("https://twitter.com/artwisanggeni","@artwisanggeni")</f>
        <v>@artwisanggeni</v>
      </c>
      <c r="C1647" s="10" t="s">
        <v>74</v>
      </c>
      <c r="D1647" s="10" t="s">
        <v>3660</v>
      </c>
      <c r="E1647" s="11" t="str">
        <f>HYPERLINK("https://twitter.com/artwisanggeni/status/703037556011585536","703037556011585536")</f>
        <v>703037556011585536</v>
      </c>
      <c r="F1647" s="17" t="s">
        <v>76</v>
      </c>
      <c r="G1647" s="13">
        <v>236.0</v>
      </c>
      <c r="H1647" s="13">
        <v>61.0</v>
      </c>
      <c r="I1647" s="13">
        <v>0.0</v>
      </c>
      <c r="J1647" s="13">
        <v>0.0</v>
      </c>
      <c r="K1647" s="12" t="s">
        <v>21</v>
      </c>
      <c r="L1647" s="7">
        <v>41218.90608796296</v>
      </c>
      <c r="M1647" s="14" t="s">
        <v>77</v>
      </c>
      <c r="N1647" s="14" t="s">
        <v>78</v>
      </c>
      <c r="O1647" s="11" t="str">
        <f t="shared" ref="O1647:O1651" si="172">HYPERLINK("https://pbs.twimg.com/profile_images/2813636657/599521f69e2bc210a57323b64d8e39e6_normal.jpeg","View")</f>
        <v>View</v>
      </c>
      <c r="P1647" s="15"/>
    </row>
    <row r="1648">
      <c r="A1648" s="7">
        <v>42425.75219907408</v>
      </c>
      <c r="B1648" s="8" t="str">
        <f t="shared" si="171"/>
        <v>@artwisanggeni</v>
      </c>
      <c r="C1648" s="10" t="s">
        <v>74</v>
      </c>
      <c r="D1648" s="10" t="s">
        <v>3661</v>
      </c>
      <c r="E1648" s="11" t="str">
        <f>HYPERLINK("https://twitter.com/artwisanggeni/status/703037559333482497","703037559333482497")</f>
        <v>703037559333482497</v>
      </c>
      <c r="F1648" s="17" t="s">
        <v>76</v>
      </c>
      <c r="G1648" s="13">
        <v>236.0</v>
      </c>
      <c r="H1648" s="13">
        <v>61.0</v>
      </c>
      <c r="I1648" s="13">
        <v>0.0</v>
      </c>
      <c r="J1648" s="13">
        <v>0.0</v>
      </c>
      <c r="K1648" s="12" t="s">
        <v>21</v>
      </c>
      <c r="L1648" s="7">
        <v>41218.90608796296</v>
      </c>
      <c r="M1648" s="14" t="s">
        <v>77</v>
      </c>
      <c r="N1648" s="14" t="s">
        <v>78</v>
      </c>
      <c r="O1648" s="11" t="str">
        <f t="shared" si="172"/>
        <v>View</v>
      </c>
      <c r="P1648" s="15"/>
    </row>
    <row r="1649">
      <c r="A1649" s="7">
        <v>42425.75221064815</v>
      </c>
      <c r="B1649" s="8" t="str">
        <f t="shared" si="171"/>
        <v>@artwisanggeni</v>
      </c>
      <c r="C1649" s="10" t="s">
        <v>74</v>
      </c>
      <c r="D1649" s="10" t="s">
        <v>3662</v>
      </c>
      <c r="E1649" s="11" t="str">
        <f>HYPERLINK("https://twitter.com/artwisanggeni/status/703037561950724096","703037561950724096")</f>
        <v>703037561950724096</v>
      </c>
      <c r="F1649" s="17" t="s">
        <v>76</v>
      </c>
      <c r="G1649" s="13">
        <v>236.0</v>
      </c>
      <c r="H1649" s="13">
        <v>61.0</v>
      </c>
      <c r="I1649" s="13">
        <v>0.0</v>
      </c>
      <c r="J1649" s="13">
        <v>0.0</v>
      </c>
      <c r="K1649" s="12" t="s">
        <v>21</v>
      </c>
      <c r="L1649" s="7">
        <v>41218.90608796296</v>
      </c>
      <c r="M1649" s="14" t="s">
        <v>77</v>
      </c>
      <c r="N1649" s="14" t="s">
        <v>78</v>
      </c>
      <c r="O1649" s="11" t="str">
        <f t="shared" si="172"/>
        <v>View</v>
      </c>
      <c r="P1649" s="15"/>
    </row>
    <row r="1650">
      <c r="A1650" s="7">
        <v>42425.75221064815</v>
      </c>
      <c r="B1650" s="8" t="str">
        <f t="shared" si="171"/>
        <v>@artwisanggeni</v>
      </c>
      <c r="C1650" s="10" t="s">
        <v>74</v>
      </c>
      <c r="D1650" s="10" t="s">
        <v>3663</v>
      </c>
      <c r="E1650" s="11" t="str">
        <f>HYPERLINK("https://twitter.com/artwisanggeni/status/703037565050314752","703037565050314752")</f>
        <v>703037565050314752</v>
      </c>
      <c r="F1650" s="17" t="s">
        <v>76</v>
      </c>
      <c r="G1650" s="13">
        <v>236.0</v>
      </c>
      <c r="H1650" s="13">
        <v>61.0</v>
      </c>
      <c r="I1650" s="13">
        <v>0.0</v>
      </c>
      <c r="J1650" s="13">
        <v>0.0</v>
      </c>
      <c r="K1650" s="12" t="s">
        <v>21</v>
      </c>
      <c r="L1650" s="7">
        <v>41218.90608796296</v>
      </c>
      <c r="M1650" s="14" t="s">
        <v>77</v>
      </c>
      <c r="N1650" s="14" t="s">
        <v>78</v>
      </c>
      <c r="O1650" s="11" t="str">
        <f t="shared" si="172"/>
        <v>View</v>
      </c>
      <c r="P1650" s="15"/>
    </row>
    <row r="1651">
      <c r="A1651" s="7">
        <v>42425.75222222222</v>
      </c>
      <c r="B1651" s="8" t="str">
        <f t="shared" si="171"/>
        <v>@artwisanggeni</v>
      </c>
      <c r="C1651" s="10" t="s">
        <v>74</v>
      </c>
      <c r="D1651" s="10" t="s">
        <v>3664</v>
      </c>
      <c r="E1651" s="11" t="str">
        <f>HYPERLINK("https://twitter.com/artwisanggeni/status/703037568015728640","703037568015728640")</f>
        <v>703037568015728640</v>
      </c>
      <c r="F1651" s="17" t="s">
        <v>76</v>
      </c>
      <c r="G1651" s="13">
        <v>236.0</v>
      </c>
      <c r="H1651" s="13">
        <v>61.0</v>
      </c>
      <c r="I1651" s="13">
        <v>0.0</v>
      </c>
      <c r="J1651" s="13">
        <v>0.0</v>
      </c>
      <c r="K1651" s="12" t="s">
        <v>21</v>
      </c>
      <c r="L1651" s="7">
        <v>41218.90608796296</v>
      </c>
      <c r="M1651" s="14" t="s">
        <v>77</v>
      </c>
      <c r="N1651" s="14" t="s">
        <v>78</v>
      </c>
      <c r="O1651" s="11" t="str">
        <f t="shared" si="172"/>
        <v>View</v>
      </c>
      <c r="P1651" s="15"/>
    </row>
    <row r="1652">
      <c r="A1652" s="7">
        <v>42425.75247685185</v>
      </c>
      <c r="B1652" s="8" t="str">
        <f>HYPERLINK("https://twitter.com/wcmckeedotcom","@wcmckeedotcom")</f>
        <v>@wcmckeedotcom</v>
      </c>
      <c r="C1652" s="10" t="s">
        <v>476</v>
      </c>
      <c r="D1652" s="10" t="s">
        <v>3665</v>
      </c>
      <c r="E1652" s="11" t="str">
        <f>HYPERLINK("https://twitter.com/wcmckeedotcom/status/703037657979478018","703037657979478018")</f>
        <v>703037657979478018</v>
      </c>
      <c r="F1652" s="12" t="s">
        <v>478</v>
      </c>
      <c r="G1652" s="13">
        <v>1011.0</v>
      </c>
      <c r="H1652" s="13">
        <v>875.0</v>
      </c>
      <c r="I1652" s="13">
        <v>0.0</v>
      </c>
      <c r="J1652" s="13">
        <v>0.0</v>
      </c>
      <c r="K1652" s="12" t="s">
        <v>21</v>
      </c>
      <c r="L1652" s="7">
        <v>41902.048368055555</v>
      </c>
      <c r="M1652" s="14" t="s">
        <v>479</v>
      </c>
      <c r="N1652" s="14" t="s">
        <v>480</v>
      </c>
      <c r="O1652" s="11" t="str">
        <f>HYPERLINK("https://pbs.twimg.com/profile_images/621211385746161664/tGchJstD_normal.jpg","View")</f>
        <v>View</v>
      </c>
      <c r="P1652" s="15"/>
    </row>
    <row r="1653">
      <c r="A1653" s="7">
        <v>42425.75256944445</v>
      </c>
      <c r="B1653" s="8" t="str">
        <f>HYPERLINK("https://twitter.com/art_control","@art_control")</f>
        <v>@art_control</v>
      </c>
      <c r="C1653" s="10" t="s">
        <v>309</v>
      </c>
      <c r="D1653" s="10" t="s">
        <v>3666</v>
      </c>
      <c r="E1653" s="11" t="str">
        <f>HYPERLINK("https://twitter.com/art_control/status/703037692309860352","703037692309860352")</f>
        <v>703037692309860352</v>
      </c>
      <c r="F1653" s="12" t="s">
        <v>311</v>
      </c>
      <c r="G1653" s="13">
        <v>989.0</v>
      </c>
      <c r="H1653" s="13">
        <v>850.0</v>
      </c>
      <c r="I1653" s="13">
        <v>0.0</v>
      </c>
      <c r="J1653" s="13">
        <v>0.0</v>
      </c>
      <c r="K1653" s="12" t="s">
        <v>21</v>
      </c>
      <c r="L1653" s="7">
        <v>39896.869675925926</v>
      </c>
      <c r="M1653" s="14" t="s">
        <v>312</v>
      </c>
      <c r="N1653" s="14" t="s">
        <v>313</v>
      </c>
      <c r="O1653" s="11" t="str">
        <f>HYPERLINK("https://pbs.twimg.com/profile_images/649004216690675712/UAcrP6ol_normal.png","View")</f>
        <v>View</v>
      </c>
      <c r="P1653" s="15"/>
    </row>
    <row r="1654">
      <c r="A1654" s="7">
        <v>42425.753483796296</v>
      </c>
      <c r="B1654" s="8" t="str">
        <f>HYPERLINK("https://twitter.com/creative_punch","@creative_punch")</f>
        <v>@creative_punch</v>
      </c>
      <c r="C1654" s="10" t="s">
        <v>1199</v>
      </c>
      <c r="D1654" s="10" t="s">
        <v>3667</v>
      </c>
      <c r="E1654" s="11" t="str">
        <f>HYPERLINK("https://twitter.com/creative_punch/status/703038024188350465","703038024188350465")</f>
        <v>703038024188350465</v>
      </c>
      <c r="F1654" s="12" t="s">
        <v>1199</v>
      </c>
      <c r="G1654" s="13">
        <v>1650.0</v>
      </c>
      <c r="H1654" s="13">
        <v>800.0</v>
      </c>
      <c r="I1654" s="13">
        <v>2.0</v>
      </c>
      <c r="J1654" s="13">
        <v>1.0</v>
      </c>
      <c r="K1654" s="12" t="s">
        <v>21</v>
      </c>
      <c r="L1654" s="7">
        <v>41618.38722222222</v>
      </c>
      <c r="M1654" s="16"/>
      <c r="N1654" s="14" t="s">
        <v>1201</v>
      </c>
      <c r="O1654" s="11" t="str">
        <f>HYPERLINK("https://pbs.twimg.com/profile_images/420579444982431745/j7uTAxtF_normal.png","View")</f>
        <v>View</v>
      </c>
      <c r="P1654" s="15"/>
    </row>
    <row r="1655">
      <c r="A1655" s="7">
        <v>42425.75349537037</v>
      </c>
      <c r="B1655" s="8" t="str">
        <f>HYPERLINK("https://twitter.com/itknowingness","@itknowingness")</f>
        <v>@itknowingness</v>
      </c>
      <c r="C1655" s="10" t="s">
        <v>3465</v>
      </c>
      <c r="D1655" s="10" t="s">
        <v>3668</v>
      </c>
      <c r="E1655" s="11" t="str">
        <f>HYPERLINK("https://twitter.com/itknowingness/status/703038026910457856","703038026910457856")</f>
        <v>703038026910457856</v>
      </c>
      <c r="F1655" s="12" t="s">
        <v>3467</v>
      </c>
      <c r="G1655" s="13">
        <v>6904.0</v>
      </c>
      <c r="H1655" s="13">
        <v>3191.0</v>
      </c>
      <c r="I1655" s="13">
        <v>2.0</v>
      </c>
      <c r="J1655" s="13">
        <v>0.0</v>
      </c>
      <c r="K1655" s="12" t="s">
        <v>21</v>
      </c>
      <c r="L1655" s="7">
        <v>40490.39297453704</v>
      </c>
      <c r="M1655" s="14" t="s">
        <v>269</v>
      </c>
      <c r="N1655" s="14" t="s">
        <v>3468</v>
      </c>
      <c r="O1655" s="11" t="str">
        <f>HYPERLINK("https://pbs.twimg.com/profile_images/1164716874/favicon-triada-azul_normal.png","View")</f>
        <v>View</v>
      </c>
      <c r="P1655" s="15"/>
    </row>
    <row r="1656">
      <c r="A1656" s="7">
        <v>42425.75377314815</v>
      </c>
      <c r="B1656" s="8" t="str">
        <f>HYPERLINK("https://twitter.com/AdamSmitht1","@AdamSmitht1")</f>
        <v>@AdamSmitht1</v>
      </c>
      <c r="C1656" s="10" t="s">
        <v>468</v>
      </c>
      <c r="D1656" s="10" t="s">
        <v>3669</v>
      </c>
      <c r="E1656" s="11" t="str">
        <f>HYPERLINK("https://twitter.com/AdamSmitht1/status/703038128219619329","703038128219619329")</f>
        <v>703038128219619329</v>
      </c>
      <c r="F1656" s="12" t="s">
        <v>103</v>
      </c>
      <c r="G1656" s="13">
        <v>849.0</v>
      </c>
      <c r="H1656" s="13">
        <v>793.0</v>
      </c>
      <c r="I1656" s="13">
        <v>0.0</v>
      </c>
      <c r="J1656" s="13">
        <v>0.0</v>
      </c>
      <c r="K1656" s="12" t="s">
        <v>21</v>
      </c>
      <c r="L1656" s="7">
        <v>42336.12709490741</v>
      </c>
      <c r="M1656" s="14" t="s">
        <v>470</v>
      </c>
      <c r="N1656" s="14" t="s">
        <v>471</v>
      </c>
      <c r="O1656" s="11" t="str">
        <f>HYPERLINK("https://pbs.twimg.com/profile_images/671623862916812800/yGsDKiP4_normal.jpg","View")</f>
        <v>View</v>
      </c>
      <c r="P1656" s="15"/>
    </row>
    <row r="1657">
      <c r="A1657" s="7">
        <v>42425.7547337963</v>
      </c>
      <c r="B1657" s="8" t="str">
        <f>HYPERLINK("https://twitter.com/startechwall","@startechwall")</f>
        <v>@startechwall</v>
      </c>
      <c r="C1657" s="10" t="s">
        <v>1478</v>
      </c>
      <c r="D1657" s="10" t="s">
        <v>3670</v>
      </c>
      <c r="E1657" s="11" t="str">
        <f>HYPERLINK("https://twitter.com/startechwall/status/703038477894557696","703038477894557696")</f>
        <v>703038477894557696</v>
      </c>
      <c r="F1657" s="12" t="s">
        <v>103</v>
      </c>
      <c r="G1657" s="13">
        <v>557.0</v>
      </c>
      <c r="H1657" s="13">
        <v>859.0</v>
      </c>
      <c r="I1657" s="13">
        <v>0.0</v>
      </c>
      <c r="J1657" s="13">
        <v>0.0</v>
      </c>
      <c r="K1657" s="12" t="s">
        <v>21</v>
      </c>
      <c r="L1657" s="7">
        <v>42360.959502314814</v>
      </c>
      <c r="M1657" s="14" t="s">
        <v>1480</v>
      </c>
      <c r="N1657" s="14" t="s">
        <v>1481</v>
      </c>
      <c r="O1657" s="11" t="str">
        <f>HYPERLINK("https://pbs.twimg.com/profile_images/679566117187145728/UUo30Zpm_normal.jpg","View")</f>
        <v>View</v>
      </c>
      <c r="P1657" s="15"/>
    </row>
    <row r="1658">
      <c r="A1658" s="7">
        <v>42425.75696759259</v>
      </c>
      <c r="B1658" s="8" t="str">
        <f>HYPERLINK("https://twitter.com/techknow_jp","@techknow_jp")</f>
        <v>@techknow_jp</v>
      </c>
      <c r="C1658" s="10" t="s">
        <v>3671</v>
      </c>
      <c r="D1658" s="10" t="s">
        <v>3672</v>
      </c>
      <c r="E1658" s="11" t="str">
        <f>HYPERLINK("https://twitter.com/techknow_jp/status/703039285117771776","703039285117771776")</f>
        <v>703039285117771776</v>
      </c>
      <c r="F1658" s="12" t="s">
        <v>294</v>
      </c>
      <c r="G1658" s="13">
        <v>138.0</v>
      </c>
      <c r="H1658" s="13">
        <v>137.0</v>
      </c>
      <c r="I1658" s="13">
        <v>0.0</v>
      </c>
      <c r="J1658" s="13">
        <v>0.0</v>
      </c>
      <c r="K1658" s="12" t="s">
        <v>21</v>
      </c>
      <c r="L1658" s="7">
        <v>42032.763553240744</v>
      </c>
      <c r="M1658" s="14" t="s">
        <v>328</v>
      </c>
      <c r="N1658" s="14" t="s">
        <v>3673</v>
      </c>
      <c r="O1658" s="11" t="str">
        <f>HYPERLINK("https://pbs.twimg.com/profile_images/560632369296580609/vEIMH-2I_normal.png","View")</f>
        <v>View</v>
      </c>
      <c r="P1658" s="15"/>
    </row>
    <row r="1659">
      <c r="A1659" s="7">
        <v>42425.75711805555</v>
      </c>
      <c r="B1659" s="8" t="str">
        <f>HYPERLINK("https://twitter.com/ecmapping","@ecmapping")</f>
        <v>@ecmapping</v>
      </c>
      <c r="C1659" s="10" t="s">
        <v>3674</v>
      </c>
      <c r="D1659" s="10" t="s">
        <v>3675</v>
      </c>
      <c r="E1659" s="11" t="str">
        <f>HYPERLINK("https://twitter.com/ecmapping/status/703039343447769088","703039343447769088")</f>
        <v>703039343447769088</v>
      </c>
      <c r="F1659" s="12" t="s">
        <v>52</v>
      </c>
      <c r="G1659" s="13">
        <v>1329.0</v>
      </c>
      <c r="H1659" s="13">
        <v>1538.0</v>
      </c>
      <c r="I1659" s="13">
        <v>0.0</v>
      </c>
      <c r="J1659" s="13">
        <v>4.0</v>
      </c>
      <c r="K1659" s="12" t="s">
        <v>21</v>
      </c>
      <c r="L1659" s="7">
        <v>40115.73385416667</v>
      </c>
      <c r="M1659" s="14" t="s">
        <v>917</v>
      </c>
      <c r="N1659" s="14" t="s">
        <v>3676</v>
      </c>
      <c r="O1659" s="11" t="str">
        <f>HYPERLINK("https://pbs.twimg.com/profile_images/544552237943386112/WBay0CDJ_normal.png","View")</f>
        <v>View</v>
      </c>
      <c r="P1659" s="15"/>
    </row>
    <row r="1660">
      <c r="A1660" s="7">
        <v>42425.75858796296</v>
      </c>
      <c r="B1660" s="8" t="str">
        <f>HYPERLINK("https://twitter.com/pwang","@pwang")</f>
        <v>@pwang</v>
      </c>
      <c r="C1660" s="10" t="s">
        <v>1378</v>
      </c>
      <c r="D1660" s="10" t="s">
        <v>3677</v>
      </c>
      <c r="E1660" s="11" t="str">
        <f>HYPERLINK("https://twitter.com/pwang/status/703039874656444416","703039874656444416")</f>
        <v>703039874656444416</v>
      </c>
      <c r="F1660" s="12" t="s">
        <v>20</v>
      </c>
      <c r="G1660" s="13">
        <v>6019.0</v>
      </c>
      <c r="H1660" s="13">
        <v>691.0</v>
      </c>
      <c r="I1660" s="13">
        <v>30.0</v>
      </c>
      <c r="J1660" s="13">
        <v>28.0</v>
      </c>
      <c r="K1660" s="12" t="s">
        <v>21</v>
      </c>
      <c r="L1660" s="7">
        <v>39321.633356481485</v>
      </c>
      <c r="M1660" s="14" t="s">
        <v>1380</v>
      </c>
      <c r="N1660" s="14" t="s">
        <v>1381</v>
      </c>
      <c r="O1660" s="11" t="str">
        <f>HYPERLINK("https://pbs.twimg.com/profile_images/568795658375557120/on4iBzsD_normal.jpeg","View")</f>
        <v>View</v>
      </c>
      <c r="P1660" s="15"/>
    </row>
    <row r="1661">
      <c r="A1661" s="7">
        <v>42425.760462962964</v>
      </c>
      <c r="B1661" s="8" t="str">
        <f>HYPERLINK("https://twitter.com/tonyojeda3","@tonyojeda3")</f>
        <v>@tonyojeda3</v>
      </c>
      <c r="C1661" s="10" t="s">
        <v>2407</v>
      </c>
      <c r="D1661" s="10" t="s">
        <v>3678</v>
      </c>
      <c r="E1661" s="11" t="str">
        <f>HYPERLINK("https://twitter.com/tonyojeda3/status/703040552846172160","703040552846172160")</f>
        <v>703040552846172160</v>
      </c>
      <c r="F1661" s="12" t="s">
        <v>294</v>
      </c>
      <c r="G1661" s="13">
        <v>3519.0</v>
      </c>
      <c r="H1661" s="13">
        <v>538.0</v>
      </c>
      <c r="I1661" s="13">
        <v>3.0</v>
      </c>
      <c r="J1661" s="13">
        <v>3.0</v>
      </c>
      <c r="K1661" s="12" t="s">
        <v>21</v>
      </c>
      <c r="L1661" s="7">
        <v>39969.75782407408</v>
      </c>
      <c r="M1661" s="14" t="s">
        <v>784</v>
      </c>
      <c r="N1661" s="14" t="s">
        <v>2409</v>
      </c>
      <c r="O1661" s="11" t="str">
        <f>HYPERLINK("https://pbs.twimg.com/profile_images/1211123351/Tony-Ojeda2_normal.JPG","View")</f>
        <v>View</v>
      </c>
      <c r="P1661" s="15"/>
    </row>
    <row r="1662">
      <c r="A1662" s="7">
        <v>42425.76048611111</v>
      </c>
      <c r="B1662" s="8" t="str">
        <f t="shared" ref="B1662:B1665" si="173">HYPERLINK("https://twitter.com/coding_jobfeeds","@coding_jobfeeds")</f>
        <v>@coding_jobfeeds</v>
      </c>
      <c r="C1662" s="10" t="s">
        <v>685</v>
      </c>
      <c r="D1662" s="10" t="s">
        <v>3679</v>
      </c>
      <c r="E1662" s="11" t="str">
        <f>HYPERLINK("https://twitter.com/coding_jobfeeds/status/703040560873996288","703040560873996288")</f>
        <v>703040560873996288</v>
      </c>
      <c r="F1662" s="12" t="s">
        <v>687</v>
      </c>
      <c r="G1662" s="13">
        <v>1040.0</v>
      </c>
      <c r="H1662" s="13">
        <v>987.0</v>
      </c>
      <c r="I1662" s="13">
        <v>0.0</v>
      </c>
      <c r="J1662" s="13">
        <v>1.0</v>
      </c>
      <c r="K1662" s="12" t="s">
        <v>21</v>
      </c>
      <c r="L1662" s="7">
        <v>42173.56387731481</v>
      </c>
      <c r="M1662" s="14" t="s">
        <v>519</v>
      </c>
      <c r="N1662" s="14" t="s">
        <v>688</v>
      </c>
      <c r="O1662" s="11" t="str">
        <f t="shared" ref="O1662:O1665" si="174">HYPERLINK("https://pbs.twimg.com/profile_images/611834314586750976/feZ5fZOO_normal.png","View")</f>
        <v>View</v>
      </c>
      <c r="P1662" s="15"/>
    </row>
    <row r="1663">
      <c r="A1663" s="7">
        <v>42425.76049768519</v>
      </c>
      <c r="B1663" s="8" t="str">
        <f t="shared" si="173"/>
        <v>@coding_jobfeeds</v>
      </c>
      <c r="C1663" s="10" t="s">
        <v>685</v>
      </c>
      <c r="D1663" s="10" t="s">
        <v>3680</v>
      </c>
      <c r="E1663" s="11" t="str">
        <f>HYPERLINK("https://twitter.com/coding_jobfeeds/status/703040564334354433","703040564334354433")</f>
        <v>703040564334354433</v>
      </c>
      <c r="F1663" s="12" t="s">
        <v>687</v>
      </c>
      <c r="G1663" s="13">
        <v>1040.0</v>
      </c>
      <c r="H1663" s="13">
        <v>987.0</v>
      </c>
      <c r="I1663" s="13">
        <v>0.0</v>
      </c>
      <c r="J1663" s="13">
        <v>0.0</v>
      </c>
      <c r="K1663" s="12" t="s">
        <v>21</v>
      </c>
      <c r="L1663" s="7">
        <v>42173.56387731481</v>
      </c>
      <c r="M1663" s="14" t="s">
        <v>519</v>
      </c>
      <c r="N1663" s="14" t="s">
        <v>688</v>
      </c>
      <c r="O1663" s="11" t="str">
        <f t="shared" si="174"/>
        <v>View</v>
      </c>
      <c r="P1663" s="15"/>
    </row>
    <row r="1664">
      <c r="A1664" s="7">
        <v>42425.76050925926</v>
      </c>
      <c r="B1664" s="8" t="str">
        <f t="shared" si="173"/>
        <v>@coding_jobfeeds</v>
      </c>
      <c r="C1664" s="10" t="s">
        <v>685</v>
      </c>
      <c r="D1664" s="10" t="s">
        <v>3681</v>
      </c>
      <c r="E1664" s="11" t="str">
        <f>HYPERLINK("https://twitter.com/coding_jobfeeds/status/703040569191374849","703040569191374849")</f>
        <v>703040569191374849</v>
      </c>
      <c r="F1664" s="12" t="s">
        <v>687</v>
      </c>
      <c r="G1664" s="13">
        <v>1040.0</v>
      </c>
      <c r="H1664" s="13">
        <v>987.0</v>
      </c>
      <c r="I1664" s="13">
        <v>0.0</v>
      </c>
      <c r="J1664" s="13">
        <v>0.0</v>
      </c>
      <c r="K1664" s="12" t="s">
        <v>21</v>
      </c>
      <c r="L1664" s="7">
        <v>42173.56387731481</v>
      </c>
      <c r="M1664" s="14" t="s">
        <v>519</v>
      </c>
      <c r="N1664" s="14" t="s">
        <v>688</v>
      </c>
      <c r="O1664" s="11" t="str">
        <f t="shared" si="174"/>
        <v>View</v>
      </c>
      <c r="P1664" s="15"/>
    </row>
    <row r="1665">
      <c r="A1665" s="7">
        <v>42425.76052083333</v>
      </c>
      <c r="B1665" s="8" t="str">
        <f t="shared" si="173"/>
        <v>@coding_jobfeeds</v>
      </c>
      <c r="C1665" s="10" t="s">
        <v>685</v>
      </c>
      <c r="D1665" s="10" t="s">
        <v>3682</v>
      </c>
      <c r="E1665" s="11" t="str">
        <f>HYPERLINK("https://twitter.com/coding_jobfeeds/status/703040574643904512","703040574643904512")</f>
        <v>703040574643904512</v>
      </c>
      <c r="F1665" s="12" t="s">
        <v>687</v>
      </c>
      <c r="G1665" s="13">
        <v>1040.0</v>
      </c>
      <c r="H1665" s="13">
        <v>987.0</v>
      </c>
      <c r="I1665" s="13">
        <v>0.0</v>
      </c>
      <c r="J1665" s="13">
        <v>0.0</v>
      </c>
      <c r="K1665" s="12" t="s">
        <v>21</v>
      </c>
      <c r="L1665" s="7">
        <v>42173.56387731481</v>
      </c>
      <c r="M1665" s="14" t="s">
        <v>519</v>
      </c>
      <c r="N1665" s="14" t="s">
        <v>688</v>
      </c>
      <c r="O1665" s="11" t="str">
        <f t="shared" si="174"/>
        <v>View</v>
      </c>
      <c r="P1665" s="15"/>
    </row>
    <row r="1666">
      <c r="A1666" s="7">
        <v>42425.760613425926</v>
      </c>
      <c r="B1666" s="8" t="str">
        <f>HYPERLINK("https://twitter.com/BestJSON","@BestJSON")</f>
        <v>@BestJSON</v>
      </c>
      <c r="C1666" s="10" t="s">
        <v>3683</v>
      </c>
      <c r="D1666" s="10" t="s">
        <v>3635</v>
      </c>
      <c r="E1666" s="11" t="str">
        <f>HYPERLINK("https://twitter.com/BestJSON/status/703040609943101440","703040609943101440")</f>
        <v>703040609943101440</v>
      </c>
      <c r="F1666" s="12" t="s">
        <v>3683</v>
      </c>
      <c r="G1666" s="13">
        <v>982.0</v>
      </c>
      <c r="H1666" s="13">
        <v>117.0</v>
      </c>
      <c r="I1666" s="13">
        <v>2.0</v>
      </c>
      <c r="J1666" s="13">
        <v>0.0</v>
      </c>
      <c r="K1666" s="12" t="s">
        <v>21</v>
      </c>
      <c r="L1666" s="7">
        <v>41448.017222222225</v>
      </c>
      <c r="M1666" s="16"/>
      <c r="N1666" s="14" t="s">
        <v>3684</v>
      </c>
      <c r="O1666" s="11" t="str">
        <f>HYPERLINK("https://pbs.twimg.com/profile_images/378800000032876560/9f356c988fc558144d2ebd1b2147c93c_normal.jpeg","View")</f>
        <v>View</v>
      </c>
      <c r="P1666" s="15"/>
    </row>
    <row r="1667">
      <c r="A1667" s="7">
        <v>42425.76081018518</v>
      </c>
      <c r="B1667" s="8" t="str">
        <f>HYPERLINK("https://twitter.com/TheEcolss","@TheEcolss")</f>
        <v>@TheEcolss</v>
      </c>
      <c r="C1667" s="10" t="s">
        <v>3685</v>
      </c>
      <c r="D1667" s="10" t="s">
        <v>3686</v>
      </c>
      <c r="E1667" s="11" t="str">
        <f>HYPERLINK("https://twitter.com/TheEcolss/status/703040678456995840","703040678456995840")</f>
        <v>703040678456995840</v>
      </c>
      <c r="F1667" s="12" t="s">
        <v>20</v>
      </c>
      <c r="G1667" s="13">
        <v>5.0</v>
      </c>
      <c r="H1667" s="13">
        <v>27.0</v>
      </c>
      <c r="I1667" s="13">
        <v>19.0</v>
      </c>
      <c r="J1667" s="13">
        <v>0.0</v>
      </c>
      <c r="K1667" s="12" t="s">
        <v>21</v>
      </c>
      <c r="L1667" s="7">
        <v>41449.73274305556</v>
      </c>
      <c r="M1667" s="14" t="s">
        <v>3687</v>
      </c>
      <c r="N1667" s="16"/>
      <c r="O1667" s="11" t="str">
        <f>HYPERLINK("https://pbs.twimg.com/profile_images/607236189431726081/XvbZXPdo_normal.jpg","View")</f>
        <v>View</v>
      </c>
      <c r="P1667" s="15"/>
    </row>
    <row r="1668">
      <c r="A1668" s="7">
        <v>42425.76100694445</v>
      </c>
      <c r="B1668" s="8" t="str">
        <f>HYPERLINK("https://twitter.com/azrijamil","@azrijamil")</f>
        <v>@azrijamil</v>
      </c>
      <c r="C1668" s="10" t="s">
        <v>3688</v>
      </c>
      <c r="D1668" s="10" t="s">
        <v>289</v>
      </c>
      <c r="E1668" s="11" t="str">
        <f>HYPERLINK("https://twitter.com/azrijamil/status/703040751018471424","703040751018471424")</f>
        <v>703040751018471424</v>
      </c>
      <c r="F1668" s="12" t="s">
        <v>152</v>
      </c>
      <c r="G1668" s="13">
        <v>2665.0</v>
      </c>
      <c r="H1668" s="13">
        <v>548.0</v>
      </c>
      <c r="I1668" s="13">
        <v>13.0</v>
      </c>
      <c r="J1668" s="13">
        <v>0.0</v>
      </c>
      <c r="K1668" s="12" t="s">
        <v>21</v>
      </c>
      <c r="L1668" s="7">
        <v>39824.97546296296</v>
      </c>
      <c r="M1668" s="14" t="s">
        <v>3689</v>
      </c>
      <c r="N1668" s="14" t="s">
        <v>3690</v>
      </c>
      <c r="O1668" s="11" t="str">
        <f>HYPERLINK("https://pbs.twimg.com/profile_images/578051884444872704/72KQVwss_normal.jpg","View")</f>
        <v>View</v>
      </c>
      <c r="P1668" s="15"/>
    </row>
    <row r="1669">
      <c r="A1669" s="7">
        <v>42425.761249999996</v>
      </c>
      <c r="B1669" s="8" t="str">
        <f>HYPERLINK("https://twitter.com/Maperez324","@Maperez324")</f>
        <v>@Maperez324</v>
      </c>
      <c r="C1669" s="10" t="s">
        <v>3691</v>
      </c>
      <c r="D1669" s="10" t="s">
        <v>3668</v>
      </c>
      <c r="E1669" s="11" t="str">
        <f>HYPERLINK("https://twitter.com/Maperez324/status/703040839371530240","703040839371530240")</f>
        <v>703040839371530240</v>
      </c>
      <c r="F1669" s="12" t="s">
        <v>52</v>
      </c>
      <c r="G1669" s="13">
        <v>2717.0</v>
      </c>
      <c r="H1669" s="13">
        <v>1088.0</v>
      </c>
      <c r="I1669" s="13">
        <v>2.0</v>
      </c>
      <c r="J1669" s="13">
        <v>0.0</v>
      </c>
      <c r="K1669" s="12" t="s">
        <v>21</v>
      </c>
      <c r="L1669" s="7">
        <v>39426.451840277776</v>
      </c>
      <c r="M1669" s="14" t="s">
        <v>3692</v>
      </c>
      <c r="N1669" s="14" t="s">
        <v>3693</v>
      </c>
      <c r="O1669" s="11" t="str">
        <f>HYPERLINK("https://pbs.twimg.com/profile_images/3044987723/30f09a36235cfc6db7e597d8dd4658e5_normal.jpeg","View")</f>
        <v>View</v>
      </c>
      <c r="P1669" s="15"/>
    </row>
    <row r="1670">
      <c r="A1670" s="7">
        <v>42425.76228009259</v>
      </c>
      <c r="B1670" s="8" t="str">
        <f>HYPERLINK("https://twitter.com/GovsInfo","@GovsInfo")</f>
        <v>@GovsInfo</v>
      </c>
      <c r="C1670" s="10" t="s">
        <v>3208</v>
      </c>
      <c r="D1670" s="10" t="s">
        <v>3694</v>
      </c>
      <c r="E1670" s="11" t="str">
        <f>HYPERLINK("https://twitter.com/GovsInfo/status/703041212232671238","703041212232671238")</f>
        <v>703041212232671238</v>
      </c>
      <c r="F1670" s="12" t="s">
        <v>103</v>
      </c>
      <c r="G1670" s="13">
        <v>53989.0</v>
      </c>
      <c r="H1670" s="13">
        <v>60772.0</v>
      </c>
      <c r="I1670" s="13">
        <v>0.0</v>
      </c>
      <c r="J1670" s="13">
        <v>1.0</v>
      </c>
      <c r="K1670" s="12" t="s">
        <v>21</v>
      </c>
      <c r="L1670" s="7">
        <v>41613.45927083334</v>
      </c>
      <c r="M1670" s="16"/>
      <c r="N1670" s="14" t="s">
        <v>3210</v>
      </c>
      <c r="O1670" s="11" t="str">
        <f>HYPERLINK("https://pbs.twimg.com/profile_images/607796949085855744/yiNwAzF__normal.jpg","View")</f>
        <v>View</v>
      </c>
      <c r="P1670" s="15"/>
    </row>
    <row r="1671">
      <c r="A1671" s="7">
        <v>42425.76289351852</v>
      </c>
      <c r="B1671" s="8" t="str">
        <f>HYPERLINK("https://twitter.com/Learningcode_Qc","@Learningcode_Qc")</f>
        <v>@Learningcode_Qc</v>
      </c>
      <c r="C1671" s="10" t="s">
        <v>3695</v>
      </c>
      <c r="D1671" s="10" t="s">
        <v>3696</v>
      </c>
      <c r="E1671" s="11" t="str">
        <f>HYPERLINK("https://twitter.com/Learningcode_Qc/status/703041433297670144","703041433297670144")</f>
        <v>703041433297670144</v>
      </c>
      <c r="F1671" s="12" t="s">
        <v>152</v>
      </c>
      <c r="G1671" s="13">
        <v>48.0</v>
      </c>
      <c r="H1671" s="13">
        <v>73.0</v>
      </c>
      <c r="I1671" s="13">
        <v>2.0</v>
      </c>
      <c r="J1671" s="13">
        <v>0.0</v>
      </c>
      <c r="K1671" s="12" t="s">
        <v>21</v>
      </c>
      <c r="L1671" s="7">
        <v>42392.23006944444</v>
      </c>
      <c r="M1671" s="14" t="s">
        <v>3258</v>
      </c>
      <c r="N1671" s="14" t="s">
        <v>3697</v>
      </c>
      <c r="O1671" s="11" t="str">
        <f>HYPERLINK("https://pbs.twimg.com/profile_images/690891121157902336/NtOKYJT4_normal.png","View")</f>
        <v>View</v>
      </c>
      <c r="P1671" s="15"/>
    </row>
    <row r="1672">
      <c r="A1672" s="7">
        <v>42425.763194444444</v>
      </c>
      <c r="B1672" s="8" t="str">
        <f>HYPERLINK("https://twitter.com/timelyportfolio","@timelyportfolio")</f>
        <v>@timelyportfolio</v>
      </c>
      <c r="C1672" s="10" t="s">
        <v>3698</v>
      </c>
      <c r="D1672" s="10" t="s">
        <v>3699</v>
      </c>
      <c r="E1672" s="11" t="str">
        <f>HYPERLINK("https://twitter.com/timelyportfolio/status/703041541733015552","703041541733015552")</f>
        <v>703041541733015552</v>
      </c>
      <c r="F1672" s="12" t="s">
        <v>52</v>
      </c>
      <c r="G1672" s="13">
        <v>1875.0</v>
      </c>
      <c r="H1672" s="13">
        <v>2248.0</v>
      </c>
      <c r="I1672" s="13">
        <v>30.0</v>
      </c>
      <c r="J1672" s="13">
        <v>0.0</v>
      </c>
      <c r="K1672" s="12" t="s">
        <v>21</v>
      </c>
      <c r="L1672" s="7">
        <v>40573.86280092593</v>
      </c>
      <c r="M1672" s="14" t="s">
        <v>3700</v>
      </c>
      <c r="N1672" s="14" t="s">
        <v>3701</v>
      </c>
      <c r="O1672" s="11" t="str">
        <f>HYPERLINK("https://pbs.twimg.com/profile_images/2198946077/image_normal.jpg","View")</f>
        <v>View</v>
      </c>
      <c r="P1672" s="15"/>
    </row>
    <row r="1673">
      <c r="A1673" s="7">
        <v>42425.764131944445</v>
      </c>
      <c r="B1673" s="8" t="str">
        <f>HYPERLINK("https://twitter.com/teoliphant","@teoliphant")</f>
        <v>@teoliphant</v>
      </c>
      <c r="C1673" s="10" t="s">
        <v>3702</v>
      </c>
      <c r="D1673" s="10" t="s">
        <v>3699</v>
      </c>
      <c r="E1673" s="11" t="str">
        <f>HYPERLINK("https://twitter.com/teoliphant/status/703041881215635456","703041881215635456")</f>
        <v>703041881215635456</v>
      </c>
      <c r="F1673" s="12" t="s">
        <v>446</v>
      </c>
      <c r="G1673" s="13">
        <v>7739.0</v>
      </c>
      <c r="H1673" s="13">
        <v>270.0</v>
      </c>
      <c r="I1673" s="13">
        <v>30.0</v>
      </c>
      <c r="J1673" s="13">
        <v>0.0</v>
      </c>
      <c r="K1673" s="12" t="s">
        <v>21</v>
      </c>
      <c r="L1673" s="7">
        <v>39920.54510416667</v>
      </c>
      <c r="M1673" s="14" t="s">
        <v>3561</v>
      </c>
      <c r="N1673" s="14" t="s">
        <v>3703</v>
      </c>
      <c r="O1673" s="11" t="str">
        <f>HYPERLINK("https://pbs.twimg.com/profile_images/143077709/DSCF0283_2_normal.JPG","View")</f>
        <v>View</v>
      </c>
      <c r="P1673" s="15"/>
    </row>
    <row r="1674">
      <c r="A1674" s="7">
        <v>42425.76439814815</v>
      </c>
      <c r="B1674" s="8" t="str">
        <f>HYPERLINK("https://twitter.com/BigDataTweetBot","@BigDataTweetBot")</f>
        <v>@BigDataTweetBot</v>
      </c>
      <c r="C1674" s="10" t="s">
        <v>1440</v>
      </c>
      <c r="D1674" s="10" t="s">
        <v>3704</v>
      </c>
      <c r="E1674" s="11" t="str">
        <f>HYPERLINK("https://twitter.com/BigDataTweetBot/status/703041978708131840","703041978708131840")</f>
        <v>703041978708131840</v>
      </c>
      <c r="F1674" s="12" t="s">
        <v>1442</v>
      </c>
      <c r="G1674" s="13">
        <v>8623.0</v>
      </c>
      <c r="H1674" s="13">
        <v>243.0</v>
      </c>
      <c r="I1674" s="13">
        <v>1.0</v>
      </c>
      <c r="J1674" s="13">
        <v>0.0</v>
      </c>
      <c r="K1674" s="12" t="s">
        <v>21</v>
      </c>
      <c r="L1674" s="7">
        <v>42187.77106481481</v>
      </c>
      <c r="M1674" s="16"/>
      <c r="N1674" s="14" t="s">
        <v>1443</v>
      </c>
      <c r="O1674" s="11" t="str">
        <f>HYPERLINK("https://pbs.twimg.com/profile_images/616793252524650496/bQbxJqmz_normal.jpg","View")</f>
        <v>View</v>
      </c>
      <c r="P1674" s="15"/>
    </row>
    <row r="1675">
      <c r="A1675" s="7">
        <v>42425.76439814815</v>
      </c>
      <c r="B1675" s="8" t="str">
        <f>HYPERLINK("https://twitter.com/AdamSmitht1","@AdamSmitht1")</f>
        <v>@AdamSmitht1</v>
      </c>
      <c r="C1675" s="10" t="s">
        <v>468</v>
      </c>
      <c r="D1675" s="10" t="s">
        <v>3705</v>
      </c>
      <c r="E1675" s="11" t="str">
        <f>HYPERLINK("https://twitter.com/AdamSmitht1/status/703041981447065601","703041981447065601")</f>
        <v>703041981447065601</v>
      </c>
      <c r="F1675" s="12" t="s">
        <v>103</v>
      </c>
      <c r="G1675" s="13">
        <v>849.0</v>
      </c>
      <c r="H1675" s="13">
        <v>793.0</v>
      </c>
      <c r="I1675" s="13">
        <v>0.0</v>
      </c>
      <c r="J1675" s="13">
        <v>0.0</v>
      </c>
      <c r="K1675" s="12" t="s">
        <v>21</v>
      </c>
      <c r="L1675" s="7">
        <v>42336.12709490741</v>
      </c>
      <c r="M1675" s="14" t="s">
        <v>470</v>
      </c>
      <c r="N1675" s="14" t="s">
        <v>471</v>
      </c>
      <c r="O1675" s="11" t="str">
        <f>HYPERLINK("https://pbs.twimg.com/profile_images/671623862916812800/yGsDKiP4_normal.jpg","View")</f>
        <v>View</v>
      </c>
      <c r="P1675" s="15"/>
    </row>
    <row r="1676">
      <c r="A1676" s="7">
        <v>42425.76478009259</v>
      </c>
      <c r="B1676" s="8" t="str">
        <f>HYPERLINK("https://twitter.com/BenDilday","@BenDilday")</f>
        <v>@BenDilday</v>
      </c>
      <c r="C1676" s="10" t="s">
        <v>3706</v>
      </c>
      <c r="D1676" s="10" t="s">
        <v>3699</v>
      </c>
      <c r="E1676" s="11" t="str">
        <f>HYPERLINK("https://twitter.com/BenDilday/status/703042118319677440","703042118319677440")</f>
        <v>703042118319677440</v>
      </c>
      <c r="F1676" s="12" t="s">
        <v>52</v>
      </c>
      <c r="G1676" s="13">
        <v>208.0</v>
      </c>
      <c r="H1676" s="13">
        <v>366.0</v>
      </c>
      <c r="I1676" s="13">
        <v>30.0</v>
      </c>
      <c r="J1676" s="13">
        <v>0.0</v>
      </c>
      <c r="K1676" s="12" t="s">
        <v>21</v>
      </c>
      <c r="L1676" s="7">
        <v>41583.3896875</v>
      </c>
      <c r="M1676" s="14" t="s">
        <v>3707</v>
      </c>
      <c r="N1676" s="14" t="s">
        <v>3708</v>
      </c>
      <c r="O1676" s="11" t="str">
        <f>HYPERLINK("https://pbs.twimg.com/profile_images/673551611587780608/ibQLxFjj_normal.jpg","View")</f>
        <v>View</v>
      </c>
      <c r="P1676" s="15"/>
    </row>
    <row r="1677">
      <c r="A1677" s="7">
        <v>42425.76501157407</v>
      </c>
      <c r="B1677" s="8" t="str">
        <f>HYPERLINK("https://twitter.com/startechwall","@startechwall")</f>
        <v>@startechwall</v>
      </c>
      <c r="C1677" s="10" t="s">
        <v>1478</v>
      </c>
      <c r="D1677" s="10" t="s">
        <v>3709</v>
      </c>
      <c r="E1677" s="11" t="str">
        <f>HYPERLINK("https://twitter.com/startechwall/status/703042201090170880","703042201090170880")</f>
        <v>703042201090170880</v>
      </c>
      <c r="F1677" s="12" t="s">
        <v>103</v>
      </c>
      <c r="G1677" s="13">
        <v>557.0</v>
      </c>
      <c r="H1677" s="13">
        <v>859.0</v>
      </c>
      <c r="I1677" s="13">
        <v>0.0</v>
      </c>
      <c r="J1677" s="13">
        <v>0.0</v>
      </c>
      <c r="K1677" s="12" t="s">
        <v>21</v>
      </c>
      <c r="L1677" s="7">
        <v>42360.959502314814</v>
      </c>
      <c r="M1677" s="14" t="s">
        <v>1480</v>
      </c>
      <c r="N1677" s="14" t="s">
        <v>1481</v>
      </c>
      <c r="O1677" s="11" t="str">
        <f>HYPERLINK("https://pbs.twimg.com/profile_images/679566117187145728/UUo30Zpm_normal.jpg","View")</f>
        <v>View</v>
      </c>
      <c r="P1677" s="15"/>
    </row>
    <row r="1678">
      <c r="A1678" s="7">
        <v>42425.765173611115</v>
      </c>
      <c r="B1678" s="8" t="str">
        <f>HYPERLINK("https://twitter.com/BigDataTweetBot","@BigDataTweetBot")</f>
        <v>@BigDataTweetBot</v>
      </c>
      <c r="C1678" s="10" t="s">
        <v>1440</v>
      </c>
      <c r="D1678" s="10" t="s">
        <v>3710</v>
      </c>
      <c r="E1678" s="11" t="str">
        <f>HYPERLINK("https://twitter.com/BigDataTweetBot/status/703042259864920064","703042259864920064")</f>
        <v>703042259864920064</v>
      </c>
      <c r="F1678" s="12" t="s">
        <v>1442</v>
      </c>
      <c r="G1678" s="13">
        <v>8623.0</v>
      </c>
      <c r="H1678" s="13">
        <v>243.0</v>
      </c>
      <c r="I1678" s="13">
        <v>3.0</v>
      </c>
      <c r="J1678" s="13">
        <v>0.0</v>
      </c>
      <c r="K1678" s="12" t="s">
        <v>21</v>
      </c>
      <c r="L1678" s="7">
        <v>42187.77106481481</v>
      </c>
      <c r="M1678" s="16"/>
      <c r="N1678" s="14" t="s">
        <v>1443</v>
      </c>
      <c r="O1678" s="11" t="str">
        <f>HYPERLINK("https://pbs.twimg.com/profile_images/616793252524650496/bQbxJqmz_normal.jpg","View")</f>
        <v>View</v>
      </c>
      <c r="P1678" s="15"/>
    </row>
    <row r="1679">
      <c r="A1679" s="7">
        <v>42425.767534722225</v>
      </c>
      <c r="B1679" s="8" t="str">
        <f>HYPERLINK("https://twitter.com/coolbutuseless","@coolbutuseless")</f>
        <v>@coolbutuseless</v>
      </c>
      <c r="C1679" s="10" t="s">
        <v>3711</v>
      </c>
      <c r="D1679" s="10" t="s">
        <v>3699</v>
      </c>
      <c r="E1679" s="11" t="str">
        <f>HYPERLINK("https://twitter.com/coolbutuseless/status/703043117478350848","703043117478350848")</f>
        <v>703043117478350848</v>
      </c>
      <c r="F1679" s="12" t="s">
        <v>3344</v>
      </c>
      <c r="G1679" s="13">
        <v>218.0</v>
      </c>
      <c r="H1679" s="13">
        <v>222.0</v>
      </c>
      <c r="I1679" s="13">
        <v>30.0</v>
      </c>
      <c r="J1679" s="13">
        <v>0.0</v>
      </c>
      <c r="K1679" s="12" t="s">
        <v>21</v>
      </c>
      <c r="L1679" s="7">
        <v>39944.733090277776</v>
      </c>
      <c r="M1679" s="16"/>
      <c r="N1679" s="14" t="s">
        <v>3712</v>
      </c>
      <c r="O1679" s="11" t="str">
        <f>HYPERLINK("https://pbs.twimg.com/profile_images/1858980277/icon2_normal.png","View")</f>
        <v>View</v>
      </c>
      <c r="P1679" s="15"/>
    </row>
    <row r="1680">
      <c r="A1680" s="7">
        <v>42425.7680787037</v>
      </c>
      <c r="B1680" s="8" t="str">
        <f>HYPERLINK("https://twitter.com/mattgratt","@mattgratt")</f>
        <v>@mattgratt</v>
      </c>
      <c r="C1680" s="10" t="s">
        <v>3713</v>
      </c>
      <c r="D1680" s="10" t="s">
        <v>3699</v>
      </c>
      <c r="E1680" s="11" t="str">
        <f>HYPERLINK("https://twitter.com/mattgratt/status/703043315487223808","703043315487223808")</f>
        <v>703043315487223808</v>
      </c>
      <c r="F1680" s="12" t="s">
        <v>52</v>
      </c>
      <c r="G1680" s="13">
        <v>2599.0</v>
      </c>
      <c r="H1680" s="13">
        <v>2565.0</v>
      </c>
      <c r="I1680" s="13">
        <v>30.0</v>
      </c>
      <c r="J1680" s="13">
        <v>0.0</v>
      </c>
      <c r="K1680" s="12" t="s">
        <v>21</v>
      </c>
      <c r="L1680" s="7">
        <v>39896.4684375</v>
      </c>
      <c r="M1680" s="14" t="s">
        <v>2022</v>
      </c>
      <c r="N1680" s="14" t="s">
        <v>3714</v>
      </c>
      <c r="O1680" s="11" t="str">
        <f>HYPERLINK("https://pbs.twimg.com/profile_images/570433125244743680/V6iEEWln_normal.jpeg","View")</f>
        <v>View</v>
      </c>
      <c r="P1680" s="15"/>
    </row>
    <row r="1681">
      <c r="A1681" s="7">
        <v>42425.774259259255</v>
      </c>
      <c r="B1681" s="8" t="str">
        <f>HYPERLINK("https://twitter.com/shakamunyi","@shakamunyi")</f>
        <v>@shakamunyi</v>
      </c>
      <c r="C1681" s="10" t="s">
        <v>2773</v>
      </c>
      <c r="D1681" s="10" t="s">
        <v>3715</v>
      </c>
      <c r="E1681" s="11" t="str">
        <f>HYPERLINK("https://twitter.com/shakamunyi/status/703045555119910912","703045555119910912")</f>
        <v>703045555119910912</v>
      </c>
      <c r="F1681" s="12" t="s">
        <v>38</v>
      </c>
      <c r="G1681" s="13">
        <v>1863.0</v>
      </c>
      <c r="H1681" s="13">
        <v>1075.0</v>
      </c>
      <c r="I1681" s="13">
        <v>1.0</v>
      </c>
      <c r="J1681" s="13">
        <v>0.0</v>
      </c>
      <c r="K1681" s="12" t="s">
        <v>21</v>
      </c>
      <c r="L1681" s="7">
        <v>41726.41787037037</v>
      </c>
      <c r="M1681" s="14" t="s">
        <v>2775</v>
      </c>
      <c r="N1681" s="14" t="s">
        <v>2776</v>
      </c>
      <c r="O1681" s="11" t="str">
        <f>HYPERLINK("https://pbs.twimg.com/profile_images/598640478657978368/PgSHeCsJ_normal.jpg","View")</f>
        <v>View</v>
      </c>
      <c r="P1681" s="15"/>
    </row>
    <row r="1682">
      <c r="A1682" s="7">
        <v>42425.77443287037</v>
      </c>
      <c r="B1682" s="8" t="str">
        <f t="shared" ref="B1682:B1684" si="175">HYPERLINK("https://twitter.com/artwisanggeni","@artwisanggeni")</f>
        <v>@artwisanggeni</v>
      </c>
      <c r="C1682" s="10" t="s">
        <v>74</v>
      </c>
      <c r="D1682" s="10" t="s">
        <v>3716</v>
      </c>
      <c r="E1682" s="11" t="str">
        <f>HYPERLINK("https://twitter.com/artwisanggeni/status/703045616889278464","703045616889278464")</f>
        <v>703045616889278464</v>
      </c>
      <c r="F1682" s="17" t="s">
        <v>76</v>
      </c>
      <c r="G1682" s="13">
        <v>236.0</v>
      </c>
      <c r="H1682" s="13">
        <v>61.0</v>
      </c>
      <c r="I1682" s="13">
        <v>0.0</v>
      </c>
      <c r="J1682" s="13">
        <v>0.0</v>
      </c>
      <c r="K1682" s="12" t="s">
        <v>21</v>
      </c>
      <c r="L1682" s="7">
        <v>41218.90608796296</v>
      </c>
      <c r="M1682" s="14" t="s">
        <v>77</v>
      </c>
      <c r="N1682" s="14" t="s">
        <v>78</v>
      </c>
      <c r="O1682" s="11" t="str">
        <f t="shared" ref="O1682:O1684" si="176">HYPERLINK("https://pbs.twimg.com/profile_images/2813636657/599521f69e2bc210a57323b64d8e39e6_normal.jpeg","View")</f>
        <v>View</v>
      </c>
      <c r="P1682" s="15"/>
    </row>
    <row r="1683">
      <c r="A1683" s="7">
        <v>42425.77444444444</v>
      </c>
      <c r="B1683" s="8" t="str">
        <f t="shared" si="175"/>
        <v>@artwisanggeni</v>
      </c>
      <c r="C1683" s="10" t="s">
        <v>74</v>
      </c>
      <c r="D1683" s="10" t="s">
        <v>3717</v>
      </c>
      <c r="E1683" s="11" t="str">
        <f>HYPERLINK("https://twitter.com/artwisanggeni/status/703045621423349761","703045621423349761")</f>
        <v>703045621423349761</v>
      </c>
      <c r="F1683" s="17" t="s">
        <v>76</v>
      </c>
      <c r="G1683" s="13">
        <v>236.0</v>
      </c>
      <c r="H1683" s="13">
        <v>61.0</v>
      </c>
      <c r="I1683" s="13">
        <v>0.0</v>
      </c>
      <c r="J1683" s="13">
        <v>0.0</v>
      </c>
      <c r="K1683" s="12" t="s">
        <v>21</v>
      </c>
      <c r="L1683" s="7">
        <v>41218.90608796296</v>
      </c>
      <c r="M1683" s="14" t="s">
        <v>77</v>
      </c>
      <c r="N1683" s="14" t="s">
        <v>78</v>
      </c>
      <c r="O1683" s="11" t="str">
        <f t="shared" si="176"/>
        <v>View</v>
      </c>
      <c r="P1683" s="15"/>
    </row>
    <row r="1684">
      <c r="A1684" s="7">
        <v>42425.77446759259</v>
      </c>
      <c r="B1684" s="8" t="str">
        <f t="shared" si="175"/>
        <v>@artwisanggeni</v>
      </c>
      <c r="C1684" s="10" t="s">
        <v>74</v>
      </c>
      <c r="D1684" s="10" t="s">
        <v>3718</v>
      </c>
      <c r="E1684" s="11" t="str">
        <f>HYPERLINK("https://twitter.com/artwisanggeni/status/703045627135918080","703045627135918080")</f>
        <v>703045627135918080</v>
      </c>
      <c r="F1684" s="17" t="s">
        <v>76</v>
      </c>
      <c r="G1684" s="13">
        <v>236.0</v>
      </c>
      <c r="H1684" s="13">
        <v>61.0</v>
      </c>
      <c r="I1684" s="13">
        <v>0.0</v>
      </c>
      <c r="J1684" s="13">
        <v>0.0</v>
      </c>
      <c r="K1684" s="12" t="s">
        <v>21</v>
      </c>
      <c r="L1684" s="7">
        <v>41218.90608796296</v>
      </c>
      <c r="M1684" s="14" t="s">
        <v>77</v>
      </c>
      <c r="N1684" s="14" t="s">
        <v>78</v>
      </c>
      <c r="O1684" s="11" t="str">
        <f t="shared" si="176"/>
        <v>View</v>
      </c>
      <c r="P1684" s="15"/>
    </row>
    <row r="1685">
      <c r="A1685" s="7">
        <v>42425.77465277778</v>
      </c>
      <c r="B1685" s="8" t="str">
        <f>HYPERLINK("https://twitter.com/vpatil","@vpatil")</f>
        <v>@vpatil</v>
      </c>
      <c r="C1685" s="10" t="s">
        <v>3719</v>
      </c>
      <c r="D1685" s="10" t="s">
        <v>3720</v>
      </c>
      <c r="E1685" s="11" t="str">
        <f>HYPERLINK("https://twitter.com/vpatil/status/703045697243774976","703045697243774976")</f>
        <v>703045697243774976</v>
      </c>
      <c r="F1685" s="12" t="s">
        <v>20</v>
      </c>
      <c r="G1685" s="13">
        <v>164.0</v>
      </c>
      <c r="H1685" s="13">
        <v>19.0</v>
      </c>
      <c r="I1685" s="13">
        <v>0.0</v>
      </c>
      <c r="J1685" s="13">
        <v>1.0</v>
      </c>
      <c r="K1685" s="12" t="s">
        <v>21</v>
      </c>
      <c r="L1685" s="7">
        <v>39874.895416666666</v>
      </c>
      <c r="M1685" s="14" t="s">
        <v>3721</v>
      </c>
      <c r="N1685" s="14" t="s">
        <v>3722</v>
      </c>
      <c r="O1685" s="11" t="str">
        <f>HYPERLINK("https://abs.twimg.com/sticky/default_profile_images/default_profile_4_normal.png","View")</f>
        <v>View</v>
      </c>
      <c r="P1685" s="15"/>
    </row>
    <row r="1686">
      <c r="A1686" s="7">
        <v>42425.77537037037</v>
      </c>
      <c r="B1686" s="8" t="str">
        <f>HYPERLINK("https://twitter.com/RockyRiverGame","@RockyRiverGame")</f>
        <v>@RockyRiverGame</v>
      </c>
      <c r="C1686" s="10" t="s">
        <v>3723</v>
      </c>
      <c r="D1686" s="10" t="s">
        <v>3724</v>
      </c>
      <c r="E1686" s="11" t="str">
        <f>HYPERLINK("https://twitter.com/RockyRiverGame/status/703045956456075264","703045956456075264")</f>
        <v>703045956456075264</v>
      </c>
      <c r="F1686" s="12" t="s">
        <v>20</v>
      </c>
      <c r="G1686" s="13">
        <v>179.0</v>
      </c>
      <c r="H1686" s="13">
        <v>777.0</v>
      </c>
      <c r="I1686" s="13">
        <v>0.0</v>
      </c>
      <c r="J1686" s="13">
        <v>0.0</v>
      </c>
      <c r="K1686" s="12" t="s">
        <v>21</v>
      </c>
      <c r="L1686" s="7">
        <v>41949.81542824074</v>
      </c>
      <c r="M1686" s="14" t="s">
        <v>3725</v>
      </c>
      <c r="N1686" s="14" t="s">
        <v>3726</v>
      </c>
      <c r="O1686" s="11" t="str">
        <f>HYPERLINK("https://pbs.twimg.com/profile_images/534179664013443072/sdaOtqas_normal.png","View")</f>
        <v>View</v>
      </c>
      <c r="P1686" s="15"/>
    </row>
    <row r="1687">
      <c r="A1687" s="7">
        <v>42425.77539351852</v>
      </c>
      <c r="B1687" s="8" t="str">
        <f>HYPERLINK("https://twitter.com/SkinCareShare","@SkinCareShare")</f>
        <v>@SkinCareShare</v>
      </c>
      <c r="C1687" s="10" t="s">
        <v>3727</v>
      </c>
      <c r="D1687" s="10" t="s">
        <v>3728</v>
      </c>
      <c r="E1687" s="11" t="str">
        <f>HYPERLINK("https://twitter.com/SkinCareShare/status/703045962772647938","703045962772647938")</f>
        <v>703045962772647938</v>
      </c>
      <c r="F1687" s="12" t="s">
        <v>38</v>
      </c>
      <c r="G1687" s="13">
        <v>7842.0</v>
      </c>
      <c r="H1687" s="13">
        <v>634.0</v>
      </c>
      <c r="I1687" s="13">
        <v>1.0</v>
      </c>
      <c r="J1687" s="13">
        <v>0.0</v>
      </c>
      <c r="K1687" s="12" t="s">
        <v>21</v>
      </c>
      <c r="L1687" s="7">
        <v>41794.626921296294</v>
      </c>
      <c r="M1687" s="16"/>
      <c r="N1687" s="16"/>
      <c r="O1687" s="11" t="str">
        <f>HYPERLINK("https://pbs.twimg.com/profile_images/474311405894914050/VbkGjV_I_normal.jpeg","View")</f>
        <v>View</v>
      </c>
      <c r="P1687" s="15"/>
    </row>
    <row r="1688">
      <c r="A1688" s="7">
        <v>42425.77547453703</v>
      </c>
      <c r="B1688" s="8" t="str">
        <f>HYPERLINK("https://twitter.com/startechwall","@startechwall")</f>
        <v>@startechwall</v>
      </c>
      <c r="C1688" s="10" t="s">
        <v>1478</v>
      </c>
      <c r="D1688" s="10" t="s">
        <v>3729</v>
      </c>
      <c r="E1688" s="11" t="str">
        <f>HYPERLINK("https://twitter.com/startechwall/status/703045994620067840","703045994620067840")</f>
        <v>703045994620067840</v>
      </c>
      <c r="F1688" s="12" t="s">
        <v>103</v>
      </c>
      <c r="G1688" s="13">
        <v>557.0</v>
      </c>
      <c r="H1688" s="13">
        <v>859.0</v>
      </c>
      <c r="I1688" s="13">
        <v>0.0</v>
      </c>
      <c r="J1688" s="13">
        <v>0.0</v>
      </c>
      <c r="K1688" s="12" t="s">
        <v>21</v>
      </c>
      <c r="L1688" s="7">
        <v>42360.959502314814</v>
      </c>
      <c r="M1688" s="14" t="s">
        <v>1480</v>
      </c>
      <c r="N1688" s="14" t="s">
        <v>1481</v>
      </c>
      <c r="O1688" s="11" t="str">
        <f>HYPERLINK("https://pbs.twimg.com/profile_images/679566117187145728/UUo30Zpm_normal.jpg","View")</f>
        <v>View</v>
      </c>
      <c r="P1688" s="15"/>
    </row>
    <row r="1689">
      <c r="A1689" s="7">
        <v>42425.77575231482</v>
      </c>
      <c r="B1689" s="8" t="str">
        <f>HYPERLINK("https://twitter.com/RebeccaBilbro","@RebeccaBilbro")</f>
        <v>@RebeccaBilbro</v>
      </c>
      <c r="C1689" s="10" t="s">
        <v>2458</v>
      </c>
      <c r="D1689" s="10" t="s">
        <v>3710</v>
      </c>
      <c r="E1689" s="11" t="str">
        <f>HYPERLINK("https://twitter.com/RebeccaBilbro/status/703046095795052545","703046095795052545")</f>
        <v>703046095795052545</v>
      </c>
      <c r="F1689" s="12" t="s">
        <v>52</v>
      </c>
      <c r="G1689" s="13">
        <v>161.0</v>
      </c>
      <c r="H1689" s="13">
        <v>92.0</v>
      </c>
      <c r="I1689" s="13">
        <v>3.0</v>
      </c>
      <c r="J1689" s="13">
        <v>0.0</v>
      </c>
      <c r="K1689" s="12" t="s">
        <v>21</v>
      </c>
      <c r="L1689" s="7">
        <v>41902.63648148148</v>
      </c>
      <c r="M1689" s="14" t="s">
        <v>784</v>
      </c>
      <c r="N1689" s="14" t="s">
        <v>2459</v>
      </c>
      <c r="O1689" s="11" t="str">
        <f>HYPERLINK("https://pbs.twimg.com/profile_images/593206975070085122/vQuaf1KM_normal.jpg","View")</f>
        <v>View</v>
      </c>
      <c r="P1689" s="15"/>
    </row>
    <row r="1690">
      <c r="A1690" s="7">
        <v>42425.77722222223</v>
      </c>
      <c r="B1690" s="8" t="str">
        <f>HYPERLINK("https://twitter.com/ash_bans","@ash_bans")</f>
        <v>@ash_bans</v>
      </c>
      <c r="C1690" s="10" t="s">
        <v>3730</v>
      </c>
      <c r="D1690" s="10" t="s">
        <v>3731</v>
      </c>
      <c r="E1690" s="11" t="str">
        <f>HYPERLINK("https://twitter.com/ash_bans/status/703046625472749568","703046625472749568")</f>
        <v>703046625472749568</v>
      </c>
      <c r="F1690" s="12" t="s">
        <v>294</v>
      </c>
      <c r="G1690" s="13">
        <v>128.0</v>
      </c>
      <c r="H1690" s="13">
        <v>138.0</v>
      </c>
      <c r="I1690" s="13">
        <v>2.0</v>
      </c>
      <c r="J1690" s="13">
        <v>1.0</v>
      </c>
      <c r="K1690" s="12" t="s">
        <v>21</v>
      </c>
      <c r="L1690" s="7">
        <v>41018.34388888889</v>
      </c>
      <c r="M1690" s="14" t="s">
        <v>1134</v>
      </c>
      <c r="N1690" s="14" t="s">
        <v>3732</v>
      </c>
      <c r="O1690" s="11" t="str">
        <f>HYPERLINK("https://pbs.twimg.com/profile_images/524639821700923392/TOrxwTbp_normal.jpeg","View")</f>
        <v>View</v>
      </c>
      <c r="P1690" s="15"/>
    </row>
    <row r="1691">
      <c r="A1691" s="7">
        <v>42425.77826388889</v>
      </c>
      <c r="B1691" s="8" t="str">
        <f>HYPERLINK("https://twitter.com/elbaschid","@elbaschid")</f>
        <v>@elbaschid</v>
      </c>
      <c r="C1691" s="10" t="s">
        <v>3733</v>
      </c>
      <c r="D1691" s="10" t="s">
        <v>3734</v>
      </c>
      <c r="E1691" s="11" t="str">
        <f>HYPERLINK("https://twitter.com/elbaschid/status/703047006005035008","703047006005035008")</f>
        <v>703047006005035008</v>
      </c>
      <c r="F1691" s="12" t="s">
        <v>98</v>
      </c>
      <c r="G1691" s="13">
        <v>154.0</v>
      </c>
      <c r="H1691" s="13">
        <v>260.0</v>
      </c>
      <c r="I1691" s="13">
        <v>1.0</v>
      </c>
      <c r="J1691" s="13">
        <v>1.0</v>
      </c>
      <c r="K1691" s="12" t="s">
        <v>21</v>
      </c>
      <c r="L1691" s="7">
        <v>40850.84394675926</v>
      </c>
      <c r="M1691" s="14" t="s">
        <v>2216</v>
      </c>
      <c r="N1691" s="14" t="s">
        <v>3735</v>
      </c>
      <c r="O1691" s="11" t="str">
        <f>HYPERLINK("https://pbs.twimg.com/profile_images/1858911325/AvatarIcon_normal.jpg","View")</f>
        <v>View</v>
      </c>
      <c r="P1691" s="15"/>
    </row>
    <row r="1692">
      <c r="A1692" s="7">
        <v>42425.77853009259</v>
      </c>
      <c r="B1692" s="8" t="str">
        <f>HYPERLINK("https://twitter.com/di3mus","@di3mus")</f>
        <v>@di3mus</v>
      </c>
      <c r="C1692" s="10" t="s">
        <v>3736</v>
      </c>
      <c r="D1692" s="10" t="s">
        <v>3232</v>
      </c>
      <c r="E1692" s="11" t="str">
        <f>HYPERLINK("https://twitter.com/di3mus/status/703047102428028928","703047102428028928")</f>
        <v>703047102428028928</v>
      </c>
      <c r="F1692" s="12" t="s">
        <v>52</v>
      </c>
      <c r="G1692" s="13">
        <v>99.0</v>
      </c>
      <c r="H1692" s="13">
        <v>269.0</v>
      </c>
      <c r="I1692" s="13">
        <v>5.0</v>
      </c>
      <c r="J1692" s="13">
        <v>0.0</v>
      </c>
      <c r="K1692" s="12" t="s">
        <v>21</v>
      </c>
      <c r="L1692" s="7">
        <v>41191.62695601852</v>
      </c>
      <c r="M1692" s="16"/>
      <c r="N1692" s="16"/>
      <c r="O1692" s="11" t="str">
        <f>HYPERLINK("https://pbs.twimg.com/profile_images/445741861584384000/5-BiqQ-P_normal.jpeg","View")</f>
        <v>View</v>
      </c>
      <c r="P1692" s="15"/>
    </row>
    <row r="1693">
      <c r="A1693" s="7">
        <v>42425.7796875</v>
      </c>
      <c r="B1693" s="8" t="str">
        <f>HYPERLINK("https://twitter.com/HartwigMicheal","@HartwigMicheal")</f>
        <v>@HartwigMicheal</v>
      </c>
      <c r="C1693" s="10" t="s">
        <v>842</v>
      </c>
      <c r="D1693" s="10" t="s">
        <v>3737</v>
      </c>
      <c r="E1693" s="11" t="str">
        <f>HYPERLINK("https://twitter.com/HartwigMicheal/status/703047520243621888","703047520243621888")</f>
        <v>703047520243621888</v>
      </c>
      <c r="F1693" s="12" t="s">
        <v>103</v>
      </c>
      <c r="G1693" s="13">
        <v>541.0</v>
      </c>
      <c r="H1693" s="13">
        <v>830.0</v>
      </c>
      <c r="I1693" s="13">
        <v>0.0</v>
      </c>
      <c r="J1693" s="13">
        <v>0.0</v>
      </c>
      <c r="K1693" s="12" t="s">
        <v>21</v>
      </c>
      <c r="L1693" s="7">
        <v>42362.00148148148</v>
      </c>
      <c r="M1693" s="14" t="s">
        <v>844</v>
      </c>
      <c r="N1693" s="14" t="s">
        <v>845</v>
      </c>
      <c r="O1693" s="11" t="str">
        <f>HYPERLINK("https://pbs.twimg.com/profile_images/679948461953781761/pDo9356K_normal.jpg","View")</f>
        <v>View</v>
      </c>
      <c r="P1693" s="15"/>
    </row>
    <row r="1694">
      <c r="A1694" s="7">
        <v>42425.78016203704</v>
      </c>
      <c r="B1694" s="8" t="str">
        <f>HYPERLINK("https://twitter.com/MTotolrahaman","@MTotolrahaman")</f>
        <v>@MTotolrahaman</v>
      </c>
      <c r="C1694" s="10" t="s">
        <v>848</v>
      </c>
      <c r="D1694" s="10" t="s">
        <v>3738</v>
      </c>
      <c r="E1694" s="11" t="str">
        <f>HYPERLINK("https://twitter.com/MTotolrahaman/status/703047692763721728","703047692763721728")</f>
        <v>703047692763721728</v>
      </c>
      <c r="F1694" s="12" t="s">
        <v>103</v>
      </c>
      <c r="G1694" s="13">
        <v>766.0</v>
      </c>
      <c r="H1694" s="13">
        <v>846.0</v>
      </c>
      <c r="I1694" s="13">
        <v>0.0</v>
      </c>
      <c r="J1694" s="13">
        <v>0.0</v>
      </c>
      <c r="K1694" s="12" t="s">
        <v>21</v>
      </c>
      <c r="L1694" s="7">
        <v>42355.250798611116</v>
      </c>
      <c r="M1694" s="14" t="s">
        <v>850</v>
      </c>
      <c r="N1694" s="14" t="s">
        <v>851</v>
      </c>
      <c r="O1694" s="11" t="str">
        <f>HYPERLINK("https://pbs.twimg.com/profile_images/677493910256484352/-EdVaVPl_normal.jpg","View")</f>
        <v>View</v>
      </c>
      <c r="P1694" s="15"/>
    </row>
    <row r="1695">
      <c r="A1695" s="7">
        <v>42425.78019675926</v>
      </c>
      <c r="B1695" s="8" t="str">
        <f>HYPERLINK("https://twitter.com/livecodingtv","@livecodingtv")</f>
        <v>@livecodingtv</v>
      </c>
      <c r="C1695" s="9" t="s">
        <v>630</v>
      </c>
      <c r="D1695" s="10" t="s">
        <v>3739</v>
      </c>
      <c r="E1695" s="11" t="str">
        <f>HYPERLINK("https://twitter.com/livecodingtv/status/703047705229025280","703047705229025280")</f>
        <v>703047705229025280</v>
      </c>
      <c r="F1695" s="17" t="s">
        <v>632</v>
      </c>
      <c r="G1695" s="13">
        <v>4224.0</v>
      </c>
      <c r="H1695" s="13">
        <v>1766.0</v>
      </c>
      <c r="I1695" s="13">
        <v>1.0</v>
      </c>
      <c r="J1695" s="13">
        <v>2.0</v>
      </c>
      <c r="K1695" s="12" t="s">
        <v>21</v>
      </c>
      <c r="L1695" s="7">
        <v>41919.33319444444</v>
      </c>
      <c r="M1695" s="14" t="s">
        <v>69</v>
      </c>
      <c r="N1695" s="14" t="s">
        <v>633</v>
      </c>
      <c r="O1695" s="11" t="str">
        <f>HYPERLINK("https://pbs.twimg.com/profile_images/539451988929294337/hCieN16A_normal.png","View")</f>
        <v>View</v>
      </c>
      <c r="P1695" s="15"/>
    </row>
    <row r="1696">
      <c r="A1696" s="7">
        <v>42425.78047453704</v>
      </c>
      <c r="B1696" s="8" t="str">
        <f>HYPERLINK("https://twitter.com/csimpkins","@csimpkins")</f>
        <v>@csimpkins</v>
      </c>
      <c r="C1696" s="10" t="s">
        <v>3740</v>
      </c>
      <c r="D1696" s="10" t="s">
        <v>3741</v>
      </c>
      <c r="E1696" s="11" t="str">
        <f>HYPERLINK("https://twitter.com/csimpkins/status/703047805661614080","703047805661614080")</f>
        <v>703047805661614080</v>
      </c>
      <c r="F1696" s="12" t="s">
        <v>446</v>
      </c>
      <c r="G1696" s="13">
        <v>6777.0</v>
      </c>
      <c r="H1696" s="13">
        <v>44.0</v>
      </c>
      <c r="I1696" s="13">
        <v>0.0</v>
      </c>
      <c r="J1696" s="13">
        <v>1.0</v>
      </c>
      <c r="K1696" s="12" t="s">
        <v>21</v>
      </c>
      <c r="L1696" s="7">
        <v>39610.255578703705</v>
      </c>
      <c r="M1696" s="14" t="s">
        <v>3742</v>
      </c>
      <c r="N1696" s="14" t="s">
        <v>3743</v>
      </c>
      <c r="O1696" s="11" t="str">
        <f>HYPERLINK("https://pbs.twimg.com/profile_images/452820822739009536/tHIdp9Kf_normal.png","View")</f>
        <v>View</v>
      </c>
      <c r="P1696" s="15"/>
    </row>
    <row r="1697">
      <c r="A1697" s="7">
        <v>42425.78208333333</v>
      </c>
      <c r="B1697" s="8" t="str">
        <f>HYPERLINK("https://twitter.com/BJKralik","@BJKralik")</f>
        <v>@BJKralik</v>
      </c>
      <c r="C1697" s="10" t="s">
        <v>3610</v>
      </c>
      <c r="D1697" s="10" t="s">
        <v>3744</v>
      </c>
      <c r="E1697" s="11" t="str">
        <f>HYPERLINK("https://twitter.com/BJKralik/status/703048388145766401","703048388145766401")</f>
        <v>703048388145766401</v>
      </c>
      <c r="F1697" s="12" t="s">
        <v>3612</v>
      </c>
      <c r="G1697" s="13">
        <v>558.0</v>
      </c>
      <c r="H1697" s="13">
        <v>14.0</v>
      </c>
      <c r="I1697" s="13">
        <v>1.0</v>
      </c>
      <c r="J1697" s="13">
        <v>0.0</v>
      </c>
      <c r="K1697" s="12" t="s">
        <v>21</v>
      </c>
      <c r="L1697" s="7">
        <v>42310.45834490741</v>
      </c>
      <c r="M1697" s="14" t="s">
        <v>3613</v>
      </c>
      <c r="N1697" s="14" t="s">
        <v>3614</v>
      </c>
      <c r="O1697" s="11" t="str">
        <f>HYPERLINK("https://pbs.twimg.com/profile_images/661256681796431872/wAcneEpy_normal.jpg","View")</f>
        <v>View</v>
      </c>
      <c r="P1697" s="15"/>
    </row>
    <row r="1698">
      <c r="A1698" s="7">
        <v>42425.782789351855</v>
      </c>
      <c r="B1698" s="8" t="str">
        <f>HYPERLINK("https://twitter.com/srikanthalex1","@srikanthalex1")</f>
        <v>@srikanthalex1</v>
      </c>
      <c r="C1698" s="10" t="s">
        <v>3745</v>
      </c>
      <c r="D1698" s="10" t="s">
        <v>3257</v>
      </c>
      <c r="E1698" s="11" t="str">
        <f>HYPERLINK("https://twitter.com/srikanthalex1/status/703048643796926464","703048643796926464")</f>
        <v>703048643796926464</v>
      </c>
      <c r="F1698" s="12" t="s">
        <v>152</v>
      </c>
      <c r="G1698" s="13">
        <v>81.0</v>
      </c>
      <c r="H1698" s="13">
        <v>233.0</v>
      </c>
      <c r="I1698" s="13">
        <v>7.0</v>
      </c>
      <c r="J1698" s="13">
        <v>0.0</v>
      </c>
      <c r="K1698" s="12" t="s">
        <v>21</v>
      </c>
      <c r="L1698" s="7">
        <v>41577.983506944445</v>
      </c>
      <c r="M1698" s="14" t="s">
        <v>3746</v>
      </c>
      <c r="N1698" s="14" t="s">
        <v>3747</v>
      </c>
      <c r="O1698" s="11" t="str">
        <f>HYPERLINK("https://pbs.twimg.com/profile_images/606332476378578946/MC1z8GY1_normal.jpg","View")</f>
        <v>View</v>
      </c>
      <c r="P1698" s="15"/>
    </row>
    <row r="1699">
      <c r="A1699" s="7">
        <v>42425.78295138889</v>
      </c>
      <c r="B1699" s="8" t="str">
        <f>HYPERLINK("https://twitter.com/GovsInfo","@GovsInfo")</f>
        <v>@GovsInfo</v>
      </c>
      <c r="C1699" s="10" t="s">
        <v>3208</v>
      </c>
      <c r="D1699" s="10" t="s">
        <v>3748</v>
      </c>
      <c r="E1699" s="11" t="str">
        <f>HYPERLINK("https://twitter.com/GovsInfo/status/703048704656285701","703048704656285701")</f>
        <v>703048704656285701</v>
      </c>
      <c r="F1699" s="12" t="s">
        <v>103</v>
      </c>
      <c r="G1699" s="13">
        <v>53989.0</v>
      </c>
      <c r="H1699" s="13">
        <v>60772.0</v>
      </c>
      <c r="I1699" s="13">
        <v>0.0</v>
      </c>
      <c r="J1699" s="13">
        <v>1.0</v>
      </c>
      <c r="K1699" s="12" t="s">
        <v>21</v>
      </c>
      <c r="L1699" s="7">
        <v>41613.45927083334</v>
      </c>
      <c r="M1699" s="16"/>
      <c r="N1699" s="14" t="s">
        <v>3210</v>
      </c>
      <c r="O1699" s="11" t="str">
        <f>HYPERLINK("https://pbs.twimg.com/profile_images/607796949085855744/yiNwAzF__normal.jpg","View")</f>
        <v>View</v>
      </c>
      <c r="P1699" s="15"/>
    </row>
    <row r="1700">
      <c r="A1700" s="7">
        <v>42425.78502314815</v>
      </c>
      <c r="B1700" s="8" t="str">
        <f>HYPERLINK("https://twitter.com/AdamSmitht1","@AdamSmitht1")</f>
        <v>@AdamSmitht1</v>
      </c>
      <c r="C1700" s="10" t="s">
        <v>468</v>
      </c>
      <c r="D1700" s="10" t="s">
        <v>3749</v>
      </c>
      <c r="E1700" s="11" t="str">
        <f>HYPERLINK("https://twitter.com/AdamSmitht1/status/703049452697870336","703049452697870336")</f>
        <v>703049452697870336</v>
      </c>
      <c r="F1700" s="12" t="s">
        <v>103</v>
      </c>
      <c r="G1700" s="13">
        <v>849.0</v>
      </c>
      <c r="H1700" s="13">
        <v>793.0</v>
      </c>
      <c r="I1700" s="13">
        <v>0.0</v>
      </c>
      <c r="J1700" s="13">
        <v>0.0</v>
      </c>
      <c r="K1700" s="12" t="s">
        <v>21</v>
      </c>
      <c r="L1700" s="7">
        <v>42336.12709490741</v>
      </c>
      <c r="M1700" s="14" t="s">
        <v>470</v>
      </c>
      <c r="N1700" s="14" t="s">
        <v>471</v>
      </c>
      <c r="O1700" s="11" t="str">
        <f>HYPERLINK("https://pbs.twimg.com/profile_images/671623862916812800/yGsDKiP4_normal.jpg","View")</f>
        <v>View</v>
      </c>
      <c r="P1700" s="15"/>
    </row>
    <row r="1701">
      <c r="A1701" s="7">
        <v>42425.78770833333</v>
      </c>
      <c r="B1701" s="8" t="str">
        <f>HYPERLINK("https://twitter.com/performify","@performify")</f>
        <v>@performify</v>
      </c>
      <c r="C1701" s="10" t="s">
        <v>3750</v>
      </c>
      <c r="D1701" s="10" t="s">
        <v>1212</v>
      </c>
      <c r="E1701" s="11" t="str">
        <f>HYPERLINK("https://twitter.com/performify/status/703050425960771584","703050425960771584")</f>
        <v>703050425960771584</v>
      </c>
      <c r="F1701" s="12" t="s">
        <v>2063</v>
      </c>
      <c r="G1701" s="13">
        <v>560.0</v>
      </c>
      <c r="H1701" s="13">
        <v>65.0</v>
      </c>
      <c r="I1701" s="13">
        <v>24.0</v>
      </c>
      <c r="J1701" s="13">
        <v>0.0</v>
      </c>
      <c r="K1701" s="12" t="s">
        <v>21</v>
      </c>
      <c r="L1701" s="7">
        <v>39988.465682870374</v>
      </c>
      <c r="M1701" s="14" t="s">
        <v>3751</v>
      </c>
      <c r="N1701" s="14" t="s">
        <v>3752</v>
      </c>
      <c r="O1701" s="11" t="str">
        <f>HYPERLINK("https://pbs.twimg.com/profile_images/2137205178/164502_1681564609557_1550845997_31590776_6646149_n_normal.jpg","View")</f>
        <v>View</v>
      </c>
      <c r="P1701" s="15"/>
    </row>
    <row r="1702">
      <c r="A1702" s="7">
        <v>42425.7928125</v>
      </c>
      <c r="B1702" s="8" t="str">
        <f>HYPERLINK("https://twitter.com/siffolone","@siffolone")</f>
        <v>@siffolone</v>
      </c>
      <c r="C1702" s="10" t="s">
        <v>2422</v>
      </c>
      <c r="D1702" s="10" t="s">
        <v>3753</v>
      </c>
      <c r="E1702" s="11" t="str">
        <f>HYPERLINK("https://twitter.com/siffolone/status/703052278119452672","703052278119452672")</f>
        <v>703052278119452672</v>
      </c>
      <c r="F1702" s="12" t="s">
        <v>152</v>
      </c>
      <c r="G1702" s="13">
        <v>823.0</v>
      </c>
      <c r="H1702" s="13">
        <v>1979.0</v>
      </c>
      <c r="I1702" s="13">
        <v>1.0</v>
      </c>
      <c r="J1702" s="13">
        <v>3.0</v>
      </c>
      <c r="K1702" s="12" t="s">
        <v>21</v>
      </c>
      <c r="L1702" s="7">
        <v>40707.51664351852</v>
      </c>
      <c r="M1702" s="14" t="s">
        <v>2424</v>
      </c>
      <c r="N1702" s="14" t="s">
        <v>2425</v>
      </c>
      <c r="O1702" s="11" t="str">
        <f>HYPERLINK("https://pbs.twimg.com/profile_images/631839534846734336/yBw4IKrT_normal.jpg","View")</f>
        <v>View</v>
      </c>
      <c r="P1702" s="15"/>
    </row>
    <row r="1703">
      <c r="A1703" s="7">
        <v>42425.79510416667</v>
      </c>
      <c r="B1703" s="8" t="str">
        <f>HYPERLINK("https://twitter.com/walkops","@walkops")</f>
        <v>@walkops</v>
      </c>
      <c r="C1703" s="10" t="s">
        <v>743</v>
      </c>
      <c r="D1703" s="10" t="s">
        <v>1267</v>
      </c>
      <c r="E1703" s="11" t="str">
        <f>HYPERLINK("https://twitter.com/walkops/status/703053107404484608","703053107404484608")</f>
        <v>703053107404484608</v>
      </c>
      <c r="F1703" s="12" t="s">
        <v>745</v>
      </c>
      <c r="G1703" s="13">
        <v>228.0</v>
      </c>
      <c r="H1703" s="13">
        <v>5.0</v>
      </c>
      <c r="I1703" s="13">
        <v>0.0</v>
      </c>
      <c r="J1703" s="13">
        <v>0.0</v>
      </c>
      <c r="K1703" s="12" t="s">
        <v>21</v>
      </c>
      <c r="L1703" s="7">
        <v>41278.36125</v>
      </c>
      <c r="M1703" s="14" t="s">
        <v>746</v>
      </c>
      <c r="N1703" s="14" t="s">
        <v>747</v>
      </c>
      <c r="O1703" s="11" t="str">
        <f>HYPERLINK("https://pbs.twimg.com/profile_images/414665160217739264/Vjqlxhz8_normal.jpeg","View")</f>
        <v>View</v>
      </c>
      <c r="P1703" s="15"/>
    </row>
    <row r="1704">
      <c r="A1704" s="7">
        <v>42425.79539351852</v>
      </c>
      <c r="B1704" s="8" t="str">
        <f>HYPERLINK("https://twitter.com/hideo_is","@hideo_is")</f>
        <v>@hideo_is</v>
      </c>
      <c r="C1704" s="10" t="s">
        <v>3754</v>
      </c>
      <c r="D1704" s="10" t="s">
        <v>3755</v>
      </c>
      <c r="E1704" s="11" t="str">
        <f>HYPERLINK("https://twitter.com/hideo_is/status/703053212425695233","703053212425695233")</f>
        <v>703053212425695233</v>
      </c>
      <c r="F1704" s="12" t="s">
        <v>327</v>
      </c>
      <c r="G1704" s="13">
        <v>329.0</v>
      </c>
      <c r="H1704" s="13">
        <v>1970.0</v>
      </c>
      <c r="I1704" s="13">
        <v>0.0</v>
      </c>
      <c r="J1704" s="13">
        <v>1.0</v>
      </c>
      <c r="K1704" s="12" t="s">
        <v>21</v>
      </c>
      <c r="L1704" s="7">
        <v>40836.772777777776</v>
      </c>
      <c r="M1704" s="16"/>
      <c r="N1704" s="16"/>
      <c r="O1704" s="11" t="str">
        <f>HYPERLINK("https://abs.twimg.com/sticky/default_profile_images/default_profile_4_normal.png","View")</f>
        <v>View</v>
      </c>
      <c r="P1704" s="15"/>
    </row>
    <row r="1705">
      <c r="A1705" s="7">
        <v>42425.79591435185</v>
      </c>
      <c r="B1705" s="8" t="str">
        <f t="shared" ref="B1705:B1711" si="177">HYPERLINK("https://twitter.com/artwisanggeni","@artwisanggeni")</f>
        <v>@artwisanggeni</v>
      </c>
      <c r="C1705" s="10" t="s">
        <v>74</v>
      </c>
      <c r="D1705" s="10" t="s">
        <v>3756</v>
      </c>
      <c r="E1705" s="11" t="str">
        <f>HYPERLINK("https://twitter.com/artwisanggeni/status/703053399818792960","703053399818792960")</f>
        <v>703053399818792960</v>
      </c>
      <c r="F1705" s="17" t="s">
        <v>76</v>
      </c>
      <c r="G1705" s="13">
        <v>236.0</v>
      </c>
      <c r="H1705" s="13">
        <v>61.0</v>
      </c>
      <c r="I1705" s="13">
        <v>0.0</v>
      </c>
      <c r="J1705" s="13">
        <v>0.0</v>
      </c>
      <c r="K1705" s="12" t="s">
        <v>21</v>
      </c>
      <c r="L1705" s="7">
        <v>41218.90608796296</v>
      </c>
      <c r="M1705" s="14" t="s">
        <v>77</v>
      </c>
      <c r="N1705" s="14" t="s">
        <v>78</v>
      </c>
      <c r="O1705" s="11" t="str">
        <f t="shared" ref="O1705:O1711" si="178">HYPERLINK("https://pbs.twimg.com/profile_images/2813636657/599521f69e2bc210a57323b64d8e39e6_normal.jpeg","View")</f>
        <v>View</v>
      </c>
      <c r="P1705" s="15"/>
    </row>
    <row r="1706">
      <c r="A1706" s="7">
        <v>42425.79592592592</v>
      </c>
      <c r="B1706" s="8" t="str">
        <f t="shared" si="177"/>
        <v>@artwisanggeni</v>
      </c>
      <c r="C1706" s="10" t="s">
        <v>74</v>
      </c>
      <c r="D1706" s="10" t="s">
        <v>3757</v>
      </c>
      <c r="E1706" s="11" t="str">
        <f>HYPERLINK("https://twitter.com/artwisanggeni/status/703053403472003072","703053403472003072")</f>
        <v>703053403472003072</v>
      </c>
      <c r="F1706" s="17" t="s">
        <v>76</v>
      </c>
      <c r="G1706" s="13">
        <v>236.0</v>
      </c>
      <c r="H1706" s="13">
        <v>61.0</v>
      </c>
      <c r="I1706" s="13">
        <v>0.0</v>
      </c>
      <c r="J1706" s="13">
        <v>0.0</v>
      </c>
      <c r="K1706" s="12" t="s">
        <v>21</v>
      </c>
      <c r="L1706" s="7">
        <v>41218.90608796296</v>
      </c>
      <c r="M1706" s="14" t="s">
        <v>77</v>
      </c>
      <c r="N1706" s="14" t="s">
        <v>78</v>
      </c>
      <c r="O1706" s="11" t="str">
        <f t="shared" si="178"/>
        <v>View</v>
      </c>
      <c r="P1706" s="15"/>
    </row>
    <row r="1707">
      <c r="A1707" s="7">
        <v>42425.79592592592</v>
      </c>
      <c r="B1707" s="8" t="str">
        <f t="shared" si="177"/>
        <v>@artwisanggeni</v>
      </c>
      <c r="C1707" s="10" t="s">
        <v>74</v>
      </c>
      <c r="D1707" s="10" t="s">
        <v>3758</v>
      </c>
      <c r="E1707" s="11" t="str">
        <f>HYPERLINK("https://twitter.com/artwisanggeni/status/703053406949117952","703053406949117952")</f>
        <v>703053406949117952</v>
      </c>
      <c r="F1707" s="17" t="s">
        <v>76</v>
      </c>
      <c r="G1707" s="13">
        <v>236.0</v>
      </c>
      <c r="H1707" s="13">
        <v>61.0</v>
      </c>
      <c r="I1707" s="13">
        <v>0.0</v>
      </c>
      <c r="J1707" s="13">
        <v>0.0</v>
      </c>
      <c r="K1707" s="12" t="s">
        <v>21</v>
      </c>
      <c r="L1707" s="7">
        <v>41218.90608796296</v>
      </c>
      <c r="M1707" s="14" t="s">
        <v>77</v>
      </c>
      <c r="N1707" s="14" t="s">
        <v>78</v>
      </c>
      <c r="O1707" s="11" t="str">
        <f t="shared" si="178"/>
        <v>View</v>
      </c>
      <c r="P1707" s="15"/>
    </row>
    <row r="1708">
      <c r="A1708" s="7">
        <v>42425.7959375</v>
      </c>
      <c r="B1708" s="8" t="str">
        <f t="shared" si="177"/>
        <v>@artwisanggeni</v>
      </c>
      <c r="C1708" s="10" t="s">
        <v>74</v>
      </c>
      <c r="D1708" s="10" t="s">
        <v>3759</v>
      </c>
      <c r="E1708" s="11" t="str">
        <f>HYPERLINK("https://twitter.com/artwisanggeni/status/703053410371637248","703053410371637248")</f>
        <v>703053410371637248</v>
      </c>
      <c r="F1708" s="17" t="s">
        <v>76</v>
      </c>
      <c r="G1708" s="13">
        <v>236.0</v>
      </c>
      <c r="H1708" s="13">
        <v>61.0</v>
      </c>
      <c r="I1708" s="13">
        <v>0.0</v>
      </c>
      <c r="J1708" s="13">
        <v>0.0</v>
      </c>
      <c r="K1708" s="12" t="s">
        <v>21</v>
      </c>
      <c r="L1708" s="7">
        <v>41218.90608796296</v>
      </c>
      <c r="M1708" s="14" t="s">
        <v>77</v>
      </c>
      <c r="N1708" s="14" t="s">
        <v>78</v>
      </c>
      <c r="O1708" s="11" t="str">
        <f t="shared" si="178"/>
        <v>View</v>
      </c>
      <c r="P1708" s="15"/>
    </row>
    <row r="1709">
      <c r="A1709" s="7">
        <v>42425.795949074076</v>
      </c>
      <c r="B1709" s="8" t="str">
        <f t="shared" si="177"/>
        <v>@artwisanggeni</v>
      </c>
      <c r="C1709" s="10" t="s">
        <v>74</v>
      </c>
      <c r="D1709" s="10" t="s">
        <v>3760</v>
      </c>
      <c r="E1709" s="11" t="str">
        <f>HYPERLINK("https://twitter.com/artwisanggeni/status/703053413110558721","703053413110558721")</f>
        <v>703053413110558721</v>
      </c>
      <c r="F1709" s="17" t="s">
        <v>76</v>
      </c>
      <c r="G1709" s="13">
        <v>236.0</v>
      </c>
      <c r="H1709" s="13">
        <v>61.0</v>
      </c>
      <c r="I1709" s="13">
        <v>0.0</v>
      </c>
      <c r="J1709" s="13">
        <v>0.0</v>
      </c>
      <c r="K1709" s="12" t="s">
        <v>21</v>
      </c>
      <c r="L1709" s="7">
        <v>41218.90608796296</v>
      </c>
      <c r="M1709" s="14" t="s">
        <v>77</v>
      </c>
      <c r="N1709" s="14" t="s">
        <v>78</v>
      </c>
      <c r="O1709" s="11" t="str">
        <f t="shared" si="178"/>
        <v>View</v>
      </c>
      <c r="P1709" s="15"/>
    </row>
    <row r="1710">
      <c r="A1710" s="7">
        <v>42425.795960648145</v>
      </c>
      <c r="B1710" s="8" t="str">
        <f t="shared" si="177"/>
        <v>@artwisanggeni</v>
      </c>
      <c r="C1710" s="10" t="s">
        <v>74</v>
      </c>
      <c r="D1710" s="10" t="s">
        <v>3761</v>
      </c>
      <c r="E1710" s="11" t="str">
        <f>HYPERLINK("https://twitter.com/artwisanggeni/status/703053416004657152","703053416004657152")</f>
        <v>703053416004657152</v>
      </c>
      <c r="F1710" s="17" t="s">
        <v>76</v>
      </c>
      <c r="G1710" s="13">
        <v>236.0</v>
      </c>
      <c r="H1710" s="13">
        <v>61.0</v>
      </c>
      <c r="I1710" s="13">
        <v>0.0</v>
      </c>
      <c r="J1710" s="13">
        <v>0.0</v>
      </c>
      <c r="K1710" s="12" t="s">
        <v>21</v>
      </c>
      <c r="L1710" s="7">
        <v>41218.90608796296</v>
      </c>
      <c r="M1710" s="14" t="s">
        <v>77</v>
      </c>
      <c r="N1710" s="14" t="s">
        <v>78</v>
      </c>
      <c r="O1710" s="11" t="str">
        <f t="shared" si="178"/>
        <v>View</v>
      </c>
      <c r="P1710" s="15"/>
    </row>
    <row r="1711">
      <c r="A1711" s="7">
        <v>42425.795960648145</v>
      </c>
      <c r="B1711" s="8" t="str">
        <f t="shared" si="177"/>
        <v>@artwisanggeni</v>
      </c>
      <c r="C1711" s="10" t="s">
        <v>74</v>
      </c>
      <c r="D1711" s="10" t="s">
        <v>3762</v>
      </c>
      <c r="E1711" s="11" t="str">
        <f>HYPERLINK("https://twitter.com/artwisanggeni/status/703053419141951488","703053419141951488")</f>
        <v>703053419141951488</v>
      </c>
      <c r="F1711" s="17" t="s">
        <v>76</v>
      </c>
      <c r="G1711" s="13">
        <v>236.0</v>
      </c>
      <c r="H1711" s="13">
        <v>61.0</v>
      </c>
      <c r="I1711" s="13">
        <v>0.0</v>
      </c>
      <c r="J1711" s="13">
        <v>0.0</v>
      </c>
      <c r="K1711" s="12" t="s">
        <v>21</v>
      </c>
      <c r="L1711" s="7">
        <v>41218.90608796296</v>
      </c>
      <c r="M1711" s="14" t="s">
        <v>77</v>
      </c>
      <c r="N1711" s="14" t="s">
        <v>78</v>
      </c>
      <c r="O1711" s="11" t="str">
        <f t="shared" si="178"/>
        <v>View</v>
      </c>
      <c r="P1711" s="15"/>
    </row>
    <row r="1712">
      <c r="A1712" s="7">
        <v>42425.79858796296</v>
      </c>
      <c r="B1712" s="8" t="str">
        <f>HYPERLINK("https://twitter.com/javascriptd","@javascriptd")</f>
        <v>@javascriptd</v>
      </c>
      <c r="C1712" s="10" t="s">
        <v>2655</v>
      </c>
      <c r="D1712" s="10" t="s">
        <v>3763</v>
      </c>
      <c r="E1712" s="11" t="str">
        <f>HYPERLINK("https://twitter.com/javascriptd/status/703054371278327808","703054371278327808")</f>
        <v>703054371278327808</v>
      </c>
      <c r="F1712" s="12" t="s">
        <v>2657</v>
      </c>
      <c r="G1712" s="13">
        <v>9923.0</v>
      </c>
      <c r="H1712" s="13">
        <v>5.0</v>
      </c>
      <c r="I1712" s="13">
        <v>1.0</v>
      </c>
      <c r="J1712" s="13">
        <v>0.0</v>
      </c>
      <c r="K1712" s="12" t="s">
        <v>21</v>
      </c>
      <c r="L1712" s="7">
        <v>41854.45717592593</v>
      </c>
      <c r="M1712" s="14" t="s">
        <v>2658</v>
      </c>
      <c r="N1712" s="14" t="s">
        <v>2659</v>
      </c>
      <c r="O1712" s="11" t="str">
        <f>HYPERLINK("https://pbs.twimg.com/profile_images/544034757730779136/-jOL7GnN_normal.jpeg","View")</f>
        <v>View</v>
      </c>
      <c r="P1712" s="15"/>
    </row>
    <row r="1713">
      <c r="A1713" s="7">
        <v>42425.80018518519</v>
      </c>
      <c r="B1713" s="8" t="str">
        <f>HYPERLINK("https://twitter.com/hideo_is","@hideo_is")</f>
        <v>@hideo_is</v>
      </c>
      <c r="C1713" s="10" t="s">
        <v>3754</v>
      </c>
      <c r="D1713" s="10" t="s">
        <v>3764</v>
      </c>
      <c r="E1713" s="11" t="str">
        <f>HYPERLINK("https://twitter.com/hideo_is/status/703054950268416001","703054950268416001")</f>
        <v>703054950268416001</v>
      </c>
      <c r="F1713" s="12" t="s">
        <v>327</v>
      </c>
      <c r="G1713" s="13">
        <v>329.0</v>
      </c>
      <c r="H1713" s="13">
        <v>1970.0</v>
      </c>
      <c r="I1713" s="13">
        <v>0.0</v>
      </c>
      <c r="J1713" s="13">
        <v>0.0</v>
      </c>
      <c r="K1713" s="12" t="s">
        <v>21</v>
      </c>
      <c r="L1713" s="7">
        <v>40836.772777777776</v>
      </c>
      <c r="M1713" s="16"/>
      <c r="N1713" s="16"/>
      <c r="O1713" s="11" t="str">
        <f>HYPERLINK("https://abs.twimg.com/sticky/default_profile_images/default_profile_4_normal.png","View")</f>
        <v>View</v>
      </c>
      <c r="P1713" s="15"/>
    </row>
    <row r="1714">
      <c r="A1714" s="7">
        <v>42425.80059027778</v>
      </c>
      <c r="B1714" s="8" t="str">
        <f>HYPERLINK("https://twitter.com/abosio","@abosio")</f>
        <v>@abosio</v>
      </c>
      <c r="C1714" s="10" t="s">
        <v>3765</v>
      </c>
      <c r="D1714" s="10" t="s">
        <v>2477</v>
      </c>
      <c r="E1714" s="11" t="str">
        <f>HYPERLINK("https://twitter.com/abosio/status/703055094036692992","703055094036692992")</f>
        <v>703055094036692992</v>
      </c>
      <c r="F1714" s="12" t="s">
        <v>1082</v>
      </c>
      <c r="G1714" s="13">
        <v>360.0</v>
      </c>
      <c r="H1714" s="13">
        <v>275.0</v>
      </c>
      <c r="I1714" s="13">
        <v>11.0</v>
      </c>
      <c r="J1714" s="13">
        <v>0.0</v>
      </c>
      <c r="K1714" s="12" t="s">
        <v>21</v>
      </c>
      <c r="L1714" s="7">
        <v>39160.33778935185</v>
      </c>
      <c r="M1714" s="14" t="s">
        <v>3766</v>
      </c>
      <c r="N1714" s="14" t="s">
        <v>3767</v>
      </c>
      <c r="O1714" s="11" t="str">
        <f>HYPERLINK("https://pbs.twimg.com/profile_images/492098864724197376/sdnqNE9o_normal.jpeg","View")</f>
        <v>View</v>
      </c>
      <c r="P1714" s="15"/>
    </row>
    <row r="1715">
      <c r="A1715" s="7">
        <v>42425.80092592593</v>
      </c>
      <c r="B1715" s="8" t="str">
        <f>HYPERLINK("https://twitter.com/StackDevJobs","@StackDevJobs")</f>
        <v>@StackDevJobs</v>
      </c>
      <c r="C1715" s="10" t="s">
        <v>24</v>
      </c>
      <c r="D1715" s="10" t="s">
        <v>3768</v>
      </c>
      <c r="E1715" s="11" t="str">
        <f>HYPERLINK("https://twitter.com/StackDevJobs/status/703055216103575553","703055216103575553")</f>
        <v>703055216103575553</v>
      </c>
      <c r="F1715" s="12" t="s">
        <v>26</v>
      </c>
      <c r="G1715" s="13">
        <v>12541.0</v>
      </c>
      <c r="H1715" s="13">
        <v>327.0</v>
      </c>
      <c r="I1715" s="13">
        <v>0.0</v>
      </c>
      <c r="J1715" s="13">
        <v>0.0</v>
      </c>
      <c r="K1715" s="12" t="s">
        <v>21</v>
      </c>
      <c r="L1715" s="7">
        <v>40435.245416666665</v>
      </c>
      <c r="M1715" s="16"/>
      <c r="N1715" s="14" t="s">
        <v>27</v>
      </c>
      <c r="O1715" s="11" t="str">
        <f>HYPERLINK("https://pbs.twimg.com/profile_images/643779014268579840/bRJStj7A_normal.png","View")</f>
        <v>View</v>
      </c>
      <c r="P1715" s="15"/>
    </row>
    <row r="1716">
      <c r="A1716" s="7">
        <v>42425.80101851852</v>
      </c>
      <c r="B1716" s="8" t="str">
        <f>HYPERLINK("https://twitter.com/PythonDaily","@PythonDaily")</f>
        <v>@PythonDaily</v>
      </c>
      <c r="C1716" s="10" t="s">
        <v>521</v>
      </c>
      <c r="D1716" s="10" t="s">
        <v>3769</v>
      </c>
      <c r="E1716" s="11" t="str">
        <f>HYPERLINK("https://twitter.com/PythonDaily/status/703055249754320896","703055249754320896")</f>
        <v>703055249754320896</v>
      </c>
      <c r="F1716" s="12" t="s">
        <v>521</v>
      </c>
      <c r="G1716" s="13">
        <v>3329.0</v>
      </c>
      <c r="H1716" s="13">
        <v>57.0</v>
      </c>
      <c r="I1716" s="13">
        <v>1.0</v>
      </c>
      <c r="J1716" s="13">
        <v>2.0</v>
      </c>
      <c r="K1716" s="12" t="s">
        <v>21</v>
      </c>
      <c r="L1716" s="7">
        <v>41447.56123842593</v>
      </c>
      <c r="M1716" s="16"/>
      <c r="N1716" s="14" t="s">
        <v>523</v>
      </c>
      <c r="O1716" s="11" t="str">
        <f>HYPERLINK("https://pbs.twimg.com/profile_images/378800000030851202/b6bb871a13825bae9004a9aab3a1d726_normal.jpeg","View")</f>
        <v>View</v>
      </c>
      <c r="P1716" s="15"/>
    </row>
    <row r="1717">
      <c r="A1717" s="7">
        <v>42425.80195601852</v>
      </c>
      <c r="B1717" s="8" t="str">
        <f>HYPERLINK("https://twitter.com/wcmckeedotcom","@wcmckeedotcom")</f>
        <v>@wcmckeedotcom</v>
      </c>
      <c r="C1717" s="10" t="s">
        <v>476</v>
      </c>
      <c r="D1717" s="10" t="s">
        <v>3770</v>
      </c>
      <c r="E1717" s="11" t="str">
        <f>HYPERLINK("https://twitter.com/wcmckeedotcom/status/703055590826905602","703055590826905602")</f>
        <v>703055590826905602</v>
      </c>
      <c r="F1717" s="12" t="s">
        <v>478</v>
      </c>
      <c r="G1717" s="13">
        <v>1011.0</v>
      </c>
      <c r="H1717" s="13">
        <v>875.0</v>
      </c>
      <c r="I1717" s="13">
        <v>0.0</v>
      </c>
      <c r="J1717" s="13">
        <v>1.0</v>
      </c>
      <c r="K1717" s="12" t="s">
        <v>21</v>
      </c>
      <c r="L1717" s="7">
        <v>41902.048368055555</v>
      </c>
      <c r="M1717" s="14" t="s">
        <v>479</v>
      </c>
      <c r="N1717" s="14" t="s">
        <v>480</v>
      </c>
      <c r="O1717" s="11" t="str">
        <f>HYPERLINK("https://pbs.twimg.com/profile_images/621211385746161664/tGchJstD_normal.jpg","View")</f>
        <v>View</v>
      </c>
      <c r="P1717" s="15"/>
    </row>
    <row r="1718">
      <c r="A1718" s="7">
        <v>42425.80216435185</v>
      </c>
      <c r="B1718" s="8" t="str">
        <f t="shared" ref="B1718:B1724" si="179">HYPERLINK("https://twitter.com/coding_jobfeeds","@coding_jobfeeds")</f>
        <v>@coding_jobfeeds</v>
      </c>
      <c r="C1718" s="10" t="s">
        <v>685</v>
      </c>
      <c r="D1718" s="10" t="s">
        <v>3771</v>
      </c>
      <c r="E1718" s="11" t="str">
        <f>HYPERLINK("https://twitter.com/coding_jobfeeds/status/703055667507159040","703055667507159040")</f>
        <v>703055667507159040</v>
      </c>
      <c r="F1718" s="12" t="s">
        <v>687</v>
      </c>
      <c r="G1718" s="13">
        <v>1040.0</v>
      </c>
      <c r="H1718" s="13">
        <v>987.0</v>
      </c>
      <c r="I1718" s="13">
        <v>0.0</v>
      </c>
      <c r="J1718" s="13">
        <v>0.0</v>
      </c>
      <c r="K1718" s="12" t="s">
        <v>21</v>
      </c>
      <c r="L1718" s="7">
        <v>42173.56387731481</v>
      </c>
      <c r="M1718" s="14" t="s">
        <v>519</v>
      </c>
      <c r="N1718" s="14" t="s">
        <v>688</v>
      </c>
      <c r="O1718" s="11" t="str">
        <f t="shared" ref="O1718:O1724" si="180">HYPERLINK("https://pbs.twimg.com/profile_images/611834314586750976/feZ5fZOO_normal.png","View")</f>
        <v>View</v>
      </c>
      <c r="P1718" s="15"/>
    </row>
    <row r="1719">
      <c r="A1719" s="7">
        <v>42425.80217592593</v>
      </c>
      <c r="B1719" s="8" t="str">
        <f t="shared" si="179"/>
        <v>@coding_jobfeeds</v>
      </c>
      <c r="C1719" s="10" t="s">
        <v>685</v>
      </c>
      <c r="D1719" s="10" t="s">
        <v>3772</v>
      </c>
      <c r="E1719" s="11" t="str">
        <f>HYPERLINK("https://twitter.com/coding_jobfeeds/status/703055670380240896","703055670380240896")</f>
        <v>703055670380240896</v>
      </c>
      <c r="F1719" s="12" t="s">
        <v>687</v>
      </c>
      <c r="G1719" s="13">
        <v>1040.0</v>
      </c>
      <c r="H1719" s="13">
        <v>987.0</v>
      </c>
      <c r="I1719" s="13">
        <v>0.0</v>
      </c>
      <c r="J1719" s="13">
        <v>0.0</v>
      </c>
      <c r="K1719" s="12" t="s">
        <v>21</v>
      </c>
      <c r="L1719" s="7">
        <v>42173.56387731481</v>
      </c>
      <c r="M1719" s="14" t="s">
        <v>519</v>
      </c>
      <c r="N1719" s="14" t="s">
        <v>688</v>
      </c>
      <c r="O1719" s="11" t="str">
        <f t="shared" si="180"/>
        <v>View</v>
      </c>
      <c r="P1719" s="15"/>
    </row>
    <row r="1720">
      <c r="A1720" s="7">
        <v>42425.80229166667</v>
      </c>
      <c r="B1720" s="8" t="str">
        <f t="shared" si="179"/>
        <v>@coding_jobfeeds</v>
      </c>
      <c r="C1720" s="10" t="s">
        <v>685</v>
      </c>
      <c r="D1720" s="10" t="s">
        <v>3773</v>
      </c>
      <c r="E1720" s="11" t="str">
        <f>HYPERLINK("https://twitter.com/coding_jobfeeds/status/703055710842650624","703055710842650624")</f>
        <v>703055710842650624</v>
      </c>
      <c r="F1720" s="12" t="s">
        <v>687</v>
      </c>
      <c r="G1720" s="13">
        <v>1040.0</v>
      </c>
      <c r="H1720" s="13">
        <v>987.0</v>
      </c>
      <c r="I1720" s="13">
        <v>0.0</v>
      </c>
      <c r="J1720" s="13">
        <v>0.0</v>
      </c>
      <c r="K1720" s="12" t="s">
        <v>21</v>
      </c>
      <c r="L1720" s="7">
        <v>42173.56387731481</v>
      </c>
      <c r="M1720" s="14" t="s">
        <v>519</v>
      </c>
      <c r="N1720" s="14" t="s">
        <v>688</v>
      </c>
      <c r="O1720" s="11" t="str">
        <f t="shared" si="180"/>
        <v>View</v>
      </c>
      <c r="P1720" s="15"/>
    </row>
    <row r="1721">
      <c r="A1721" s="7">
        <v>42425.80229166667</v>
      </c>
      <c r="B1721" s="8" t="str">
        <f t="shared" si="179"/>
        <v>@coding_jobfeeds</v>
      </c>
      <c r="C1721" s="10" t="s">
        <v>685</v>
      </c>
      <c r="D1721" s="10" t="s">
        <v>3774</v>
      </c>
      <c r="E1721" s="11" t="str">
        <f>HYPERLINK("https://twitter.com/coding_jobfeeds/status/703055713715789826","703055713715789826")</f>
        <v>703055713715789826</v>
      </c>
      <c r="F1721" s="12" t="s">
        <v>687</v>
      </c>
      <c r="G1721" s="13">
        <v>1040.0</v>
      </c>
      <c r="H1721" s="13">
        <v>987.0</v>
      </c>
      <c r="I1721" s="13">
        <v>0.0</v>
      </c>
      <c r="J1721" s="13">
        <v>0.0</v>
      </c>
      <c r="K1721" s="12" t="s">
        <v>21</v>
      </c>
      <c r="L1721" s="7">
        <v>42173.56387731481</v>
      </c>
      <c r="M1721" s="14" t="s">
        <v>519</v>
      </c>
      <c r="N1721" s="14" t="s">
        <v>688</v>
      </c>
      <c r="O1721" s="11" t="str">
        <f t="shared" si="180"/>
        <v>View</v>
      </c>
      <c r="P1721" s="15"/>
    </row>
    <row r="1722">
      <c r="A1722" s="7">
        <v>42425.80230324074</v>
      </c>
      <c r="B1722" s="8" t="str">
        <f t="shared" si="179"/>
        <v>@coding_jobfeeds</v>
      </c>
      <c r="C1722" s="10" t="s">
        <v>685</v>
      </c>
      <c r="D1722" s="10" t="s">
        <v>3775</v>
      </c>
      <c r="E1722" s="11" t="str">
        <f>HYPERLINK("https://twitter.com/coding_jobfeeds/status/703055716316266496","703055716316266496")</f>
        <v>703055716316266496</v>
      </c>
      <c r="F1722" s="12" t="s">
        <v>687</v>
      </c>
      <c r="G1722" s="13">
        <v>1040.0</v>
      </c>
      <c r="H1722" s="13">
        <v>987.0</v>
      </c>
      <c r="I1722" s="13">
        <v>0.0</v>
      </c>
      <c r="J1722" s="13">
        <v>0.0</v>
      </c>
      <c r="K1722" s="12" t="s">
        <v>21</v>
      </c>
      <c r="L1722" s="7">
        <v>42173.56387731481</v>
      </c>
      <c r="M1722" s="14" t="s">
        <v>519</v>
      </c>
      <c r="N1722" s="14" t="s">
        <v>688</v>
      </c>
      <c r="O1722" s="11" t="str">
        <f t="shared" si="180"/>
        <v>View</v>
      </c>
      <c r="P1722" s="15"/>
    </row>
    <row r="1723">
      <c r="A1723" s="7">
        <v>42425.80231481481</v>
      </c>
      <c r="B1723" s="8" t="str">
        <f t="shared" si="179"/>
        <v>@coding_jobfeeds</v>
      </c>
      <c r="C1723" s="10" t="s">
        <v>685</v>
      </c>
      <c r="D1723" s="10" t="s">
        <v>3776</v>
      </c>
      <c r="E1723" s="11" t="str">
        <f>HYPERLINK("https://twitter.com/coding_jobfeeds/status/703055718774149120","703055718774149120")</f>
        <v>703055718774149120</v>
      </c>
      <c r="F1723" s="12" t="s">
        <v>687</v>
      </c>
      <c r="G1723" s="13">
        <v>1040.0</v>
      </c>
      <c r="H1723" s="13">
        <v>987.0</v>
      </c>
      <c r="I1723" s="13">
        <v>0.0</v>
      </c>
      <c r="J1723" s="13">
        <v>0.0</v>
      </c>
      <c r="K1723" s="12" t="s">
        <v>21</v>
      </c>
      <c r="L1723" s="7">
        <v>42173.56387731481</v>
      </c>
      <c r="M1723" s="14" t="s">
        <v>519</v>
      </c>
      <c r="N1723" s="14" t="s">
        <v>688</v>
      </c>
      <c r="O1723" s="11" t="str">
        <f t="shared" si="180"/>
        <v>View</v>
      </c>
      <c r="P1723" s="15"/>
    </row>
    <row r="1724">
      <c r="A1724" s="7">
        <v>42425.80231481481</v>
      </c>
      <c r="B1724" s="8" t="str">
        <f t="shared" si="179"/>
        <v>@coding_jobfeeds</v>
      </c>
      <c r="C1724" s="10" t="s">
        <v>685</v>
      </c>
      <c r="D1724" s="10" t="s">
        <v>3777</v>
      </c>
      <c r="E1724" s="11" t="str">
        <f>HYPERLINK("https://twitter.com/coding_jobfeeds/status/703055721882132480","703055721882132480")</f>
        <v>703055721882132480</v>
      </c>
      <c r="F1724" s="12" t="s">
        <v>687</v>
      </c>
      <c r="G1724" s="13">
        <v>1040.0</v>
      </c>
      <c r="H1724" s="13">
        <v>987.0</v>
      </c>
      <c r="I1724" s="13">
        <v>0.0</v>
      </c>
      <c r="J1724" s="13">
        <v>0.0</v>
      </c>
      <c r="K1724" s="12" t="s">
        <v>21</v>
      </c>
      <c r="L1724" s="7">
        <v>42173.56387731481</v>
      </c>
      <c r="M1724" s="14" t="s">
        <v>519</v>
      </c>
      <c r="N1724" s="14" t="s">
        <v>688</v>
      </c>
      <c r="O1724" s="11" t="str">
        <f t="shared" si="180"/>
        <v>View</v>
      </c>
      <c r="P1724" s="15"/>
    </row>
    <row r="1725">
      <c r="A1725" s="7">
        <v>42425.80232638889</v>
      </c>
      <c r="B1725" s="8" t="str">
        <f>HYPERLINK("https://twitter.com/aneesha","@aneesha")</f>
        <v>@aneesha</v>
      </c>
      <c r="C1725" s="10" t="s">
        <v>3778</v>
      </c>
      <c r="D1725" s="10" t="s">
        <v>3779</v>
      </c>
      <c r="E1725" s="11" t="str">
        <f>HYPERLINK("https://twitter.com/aneesha/status/703055723400310784","703055723400310784")</f>
        <v>703055723400310784</v>
      </c>
      <c r="F1725" s="12" t="s">
        <v>20</v>
      </c>
      <c r="G1725" s="13">
        <v>1061.0</v>
      </c>
      <c r="H1725" s="13">
        <v>1707.0</v>
      </c>
      <c r="I1725" s="13">
        <v>1.0</v>
      </c>
      <c r="J1725" s="13">
        <v>0.0</v>
      </c>
      <c r="K1725" s="12" t="s">
        <v>21</v>
      </c>
      <c r="L1725" s="7">
        <v>39163.07017361111</v>
      </c>
      <c r="M1725" s="14" t="s">
        <v>3780</v>
      </c>
      <c r="N1725" s="14" t="s">
        <v>3781</v>
      </c>
      <c r="O1725" s="11" t="str">
        <f>HYPERLINK("https://pbs.twimg.com/profile_images/436756448052142080/wQIw7t9Q_normal.png","View")</f>
        <v>View</v>
      </c>
      <c r="P1725" s="15"/>
    </row>
    <row r="1726">
      <c r="A1726" s="7">
        <v>42425.804756944446</v>
      </c>
      <c r="B1726" s="8" t="str">
        <f>HYPERLINK("https://twitter.com/mikegrimshaw2","@mikegrimshaw2")</f>
        <v>@mikegrimshaw2</v>
      </c>
      <c r="C1726" s="10" t="s">
        <v>1244</v>
      </c>
      <c r="D1726" s="10" t="s">
        <v>3782</v>
      </c>
      <c r="E1726" s="11" t="str">
        <f>HYPERLINK("https://twitter.com/mikegrimshaw2/status/703056605458276352","703056605458276352")</f>
        <v>703056605458276352</v>
      </c>
      <c r="F1726" s="12" t="s">
        <v>52</v>
      </c>
      <c r="G1726" s="13">
        <v>2411.0</v>
      </c>
      <c r="H1726" s="13">
        <v>2667.0</v>
      </c>
      <c r="I1726" s="13">
        <v>2.0</v>
      </c>
      <c r="J1726" s="13">
        <v>0.0</v>
      </c>
      <c r="K1726" s="12" t="s">
        <v>21</v>
      </c>
      <c r="L1726" s="7">
        <v>40570.697916666664</v>
      </c>
      <c r="M1726" s="14" t="s">
        <v>1246</v>
      </c>
      <c r="N1726" s="14" t="s">
        <v>1247</v>
      </c>
      <c r="O1726" s="11" t="str">
        <f>HYPERLINK("https://pbs.twimg.com/profile_images/611686609407180800/hZKDoHLq_normal.jpg","View")</f>
        <v>View</v>
      </c>
      <c r="P1726" s="15"/>
    </row>
    <row r="1727">
      <c r="A1727" s="7">
        <v>42425.805856481486</v>
      </c>
      <c r="B1727" s="8" t="str">
        <f>HYPERLINK("https://twitter.com/DBaker007","@DBaker007")</f>
        <v>@DBaker007</v>
      </c>
      <c r="C1727" s="10" t="s">
        <v>3783</v>
      </c>
      <c r="D1727" s="10" t="s">
        <v>3784</v>
      </c>
      <c r="E1727" s="11" t="str">
        <f>HYPERLINK("https://twitter.com/DBaker007/status/703057004768698371","703057004768698371")</f>
        <v>703057004768698371</v>
      </c>
      <c r="F1727" s="12" t="s">
        <v>659</v>
      </c>
      <c r="G1727" s="13">
        <v>7344.0</v>
      </c>
      <c r="H1727" s="13">
        <v>7332.0</v>
      </c>
      <c r="I1727" s="13">
        <v>1.0</v>
      </c>
      <c r="J1727" s="13">
        <v>1.0</v>
      </c>
      <c r="K1727" s="12" t="s">
        <v>21</v>
      </c>
      <c r="L1727" s="7">
        <v>40874.60356481482</v>
      </c>
      <c r="M1727" s="14" t="s">
        <v>3785</v>
      </c>
      <c r="N1727" s="14" t="s">
        <v>3786</v>
      </c>
      <c r="O1727" s="11" t="str">
        <f>HYPERLINK("https://pbs.twimg.com/profile_images/613317207121006593/fBJIw92n_normal.jpg","View")</f>
        <v>View</v>
      </c>
      <c r="P1727" s="15"/>
    </row>
    <row r="1728">
      <c r="A1728" s="7">
        <v>42425.805868055555</v>
      </c>
      <c r="B1728" s="8" t="str">
        <f>HYPERLINK("https://twitter.com/sentiwire","@sentiwire")</f>
        <v>@sentiwire</v>
      </c>
      <c r="C1728" s="10" t="s">
        <v>381</v>
      </c>
      <c r="D1728" s="10" t="s">
        <v>3787</v>
      </c>
      <c r="E1728" s="11" t="str">
        <f>HYPERLINK("https://twitter.com/sentiwire/status/703057008723759104","703057008723759104")</f>
        <v>703057008723759104</v>
      </c>
      <c r="F1728" s="12" t="s">
        <v>383</v>
      </c>
      <c r="G1728" s="13">
        <v>515.0</v>
      </c>
      <c r="H1728" s="13">
        <v>1716.0</v>
      </c>
      <c r="I1728" s="13">
        <v>1.0</v>
      </c>
      <c r="J1728" s="13">
        <v>0.0</v>
      </c>
      <c r="K1728" s="12" t="s">
        <v>21</v>
      </c>
      <c r="L1728" s="7">
        <v>41422.629641203705</v>
      </c>
      <c r="M1728" s="16"/>
      <c r="N1728" s="14" t="s">
        <v>384</v>
      </c>
      <c r="O1728" s="11" t="str">
        <f>HYPERLINK("https://pbs.twimg.com/profile_images/686965105473396736/B9V5UtGS_normal.jpg","View")</f>
        <v>View</v>
      </c>
      <c r="P1728" s="15"/>
    </row>
    <row r="1729">
      <c r="A1729" s="7">
        <v>42425.8059375</v>
      </c>
      <c r="B1729" s="8" t="str">
        <f>HYPERLINK("https://twitter.com/tiagoprn","@tiagoprn")</f>
        <v>@tiagoprn</v>
      </c>
      <c r="C1729" s="10" t="s">
        <v>3788</v>
      </c>
      <c r="D1729" s="10" t="s">
        <v>3789</v>
      </c>
      <c r="E1729" s="11" t="str">
        <f>HYPERLINK("https://twitter.com/tiagoprn/status/703057034758000640","703057034758000640")</f>
        <v>703057034758000640</v>
      </c>
      <c r="F1729" s="12" t="s">
        <v>152</v>
      </c>
      <c r="G1729" s="13">
        <v>140.0</v>
      </c>
      <c r="H1729" s="13">
        <v>135.0</v>
      </c>
      <c r="I1729" s="13">
        <v>3.0</v>
      </c>
      <c r="J1729" s="13">
        <v>8.0</v>
      </c>
      <c r="K1729" s="12" t="s">
        <v>21</v>
      </c>
      <c r="L1729" s="7">
        <v>39567.35288194445</v>
      </c>
      <c r="M1729" s="14" t="s">
        <v>3790</v>
      </c>
      <c r="N1729" s="14" t="s">
        <v>3791</v>
      </c>
      <c r="O1729" s="11" t="str">
        <f>HYPERLINK("https://pbs.twimg.com/profile_images/504068790368231424/Ae7n7Lxr_normal.jpeg","View")</f>
        <v>View</v>
      </c>
      <c r="P1729" s="15"/>
    </row>
    <row r="1730">
      <c r="A1730" s="7">
        <v>42425.80637731482</v>
      </c>
      <c r="B1730" s="8" t="str">
        <f>HYPERLINK("https://twitter.com/AndriiBekker","@AndriiBekker")</f>
        <v>@AndriiBekker</v>
      </c>
      <c r="C1730" s="10" t="s">
        <v>3792</v>
      </c>
      <c r="D1730" s="10" t="s">
        <v>3793</v>
      </c>
      <c r="E1730" s="11" t="str">
        <f>HYPERLINK("https://twitter.com/AndriiBekker/status/703057193243942913","703057193243942913")</f>
        <v>703057193243942913</v>
      </c>
      <c r="F1730" s="12" t="s">
        <v>20</v>
      </c>
      <c r="G1730" s="13">
        <v>40.0</v>
      </c>
      <c r="H1730" s="13">
        <v>222.0</v>
      </c>
      <c r="I1730" s="13">
        <v>0.0</v>
      </c>
      <c r="J1730" s="13">
        <v>1.0</v>
      </c>
      <c r="K1730" s="12" t="s">
        <v>21</v>
      </c>
      <c r="L1730" s="7">
        <v>40857.24773148148</v>
      </c>
      <c r="M1730" s="14" t="s">
        <v>3794</v>
      </c>
      <c r="N1730" s="14" t="s">
        <v>3795</v>
      </c>
      <c r="O1730" s="11" t="str">
        <f>HYPERLINK("https://pbs.twimg.com/profile_images/687648926422446080/SPytiYIL_normal.png","View")</f>
        <v>View</v>
      </c>
      <c r="P1730" s="15"/>
    </row>
    <row r="1731">
      <c r="A1731" s="7">
        <v>42425.80725694445</v>
      </c>
      <c r="B1731" s="8" t="str">
        <f>HYPERLINK("https://twitter.com/MarkAllen_Tech","@MarkAllen_Tech")</f>
        <v>@MarkAllen_Tech</v>
      </c>
      <c r="C1731" s="10" t="s">
        <v>3796</v>
      </c>
      <c r="D1731" s="10" t="s">
        <v>3797</v>
      </c>
      <c r="E1731" s="11" t="str">
        <f>HYPERLINK("https://twitter.com/MarkAllen_Tech/status/703057513080487936","703057513080487936")</f>
        <v>703057513080487936</v>
      </c>
      <c r="F1731" s="12" t="s">
        <v>1563</v>
      </c>
      <c r="G1731" s="13">
        <v>2318.0</v>
      </c>
      <c r="H1731" s="13">
        <v>4513.0</v>
      </c>
      <c r="I1731" s="13">
        <v>0.0</v>
      </c>
      <c r="J1731" s="13">
        <v>2.0</v>
      </c>
      <c r="K1731" s="12" t="s">
        <v>21</v>
      </c>
      <c r="L1731" s="7">
        <v>41472.38068287037</v>
      </c>
      <c r="M1731" s="14" t="s">
        <v>3798</v>
      </c>
      <c r="N1731" s="14" t="s">
        <v>3799</v>
      </c>
      <c r="O1731" s="11" t="str">
        <f>HYPERLINK("https://pbs.twimg.com/profile_images/430812864970891264/ckv-YGMG_normal.jpeg","View")</f>
        <v>View</v>
      </c>
      <c r="P1731" s="15"/>
    </row>
    <row r="1732">
      <c r="A1732" s="7">
        <v>42425.80936342593</v>
      </c>
      <c r="B1732" s="8" t="str">
        <f>HYPERLINK("https://twitter.com/quantatrisk","@quantatrisk")</f>
        <v>@quantatrisk</v>
      </c>
      <c r="C1732" s="10" t="s">
        <v>3800</v>
      </c>
      <c r="D1732" s="10" t="s">
        <v>3801</v>
      </c>
      <c r="E1732" s="11" t="str">
        <f>HYPERLINK("https://twitter.com/quantatrisk/status/703058276552806400","703058276552806400")</f>
        <v>703058276552806400</v>
      </c>
      <c r="F1732" s="12" t="s">
        <v>20</v>
      </c>
      <c r="G1732" s="13">
        <v>844.0</v>
      </c>
      <c r="H1732" s="13">
        <v>205.0</v>
      </c>
      <c r="I1732" s="13">
        <v>2.0</v>
      </c>
      <c r="J1732" s="13">
        <v>3.0</v>
      </c>
      <c r="K1732" s="12" t="s">
        <v>21</v>
      </c>
      <c r="L1732" s="7">
        <v>41065.542592592596</v>
      </c>
      <c r="M1732" s="14" t="s">
        <v>3802</v>
      </c>
      <c r="N1732" s="14" t="s">
        <v>3803</v>
      </c>
      <c r="O1732" s="11" t="str">
        <f>HYPERLINK("https://pbs.twimg.com/profile_images/689896417809141769/BnYiu-bd_normal.jpg","View")</f>
        <v>View</v>
      </c>
      <c r="P1732" s="15"/>
    </row>
    <row r="1733">
      <c r="A1733" s="7">
        <v>42425.8128125</v>
      </c>
      <c r="B1733" s="8" t="str">
        <f>HYPERLINK("https://twitter.com/atassn","@atassn")</f>
        <v>@atassn</v>
      </c>
      <c r="C1733" s="10" t="s">
        <v>3804</v>
      </c>
      <c r="D1733" s="10" t="s">
        <v>3805</v>
      </c>
      <c r="E1733" s="11" t="str">
        <f>HYPERLINK("https://twitter.com/atassn/status/703059525440512001","703059525440512001")</f>
        <v>703059525440512001</v>
      </c>
      <c r="F1733" s="12" t="s">
        <v>38</v>
      </c>
      <c r="G1733" s="13">
        <v>3497.0</v>
      </c>
      <c r="H1733" s="13">
        <v>4398.0</v>
      </c>
      <c r="I1733" s="13">
        <v>2.0</v>
      </c>
      <c r="J1733" s="13">
        <v>0.0</v>
      </c>
      <c r="K1733" s="12" t="s">
        <v>21</v>
      </c>
      <c r="L1733" s="7">
        <v>42111.7191087963</v>
      </c>
      <c r="M1733" s="14" t="s">
        <v>3806</v>
      </c>
      <c r="N1733" s="14" t="s">
        <v>3807</v>
      </c>
      <c r="O1733" s="11" t="str">
        <f>HYPERLINK("https://pbs.twimg.com/profile_images/632225283471503360/uNl4hv-B_normal.jpg","View")</f>
        <v>View</v>
      </c>
      <c r="P1733" s="15"/>
    </row>
    <row r="1734">
      <c r="A1734" s="7">
        <v>42425.81288194444</v>
      </c>
      <c r="B1734" s="8" t="str">
        <f>HYPERLINK("https://twitter.com/HarriSrivastav","@HarriSrivastav")</f>
        <v>@HarriSrivastav</v>
      </c>
      <c r="C1734" s="10" t="s">
        <v>3808</v>
      </c>
      <c r="D1734" s="10" t="s">
        <v>3809</v>
      </c>
      <c r="E1734" s="11" t="str">
        <f>HYPERLINK("https://twitter.com/HarriSrivastav/status/703059549104771073","703059549104771073")</f>
        <v>703059549104771073</v>
      </c>
      <c r="F1734" s="12" t="s">
        <v>659</v>
      </c>
      <c r="G1734" s="13">
        <v>1300.0</v>
      </c>
      <c r="H1734" s="13">
        <v>1282.0</v>
      </c>
      <c r="I1734" s="13">
        <v>2.0</v>
      </c>
      <c r="J1734" s="13">
        <v>1.0</v>
      </c>
      <c r="K1734" s="12" t="s">
        <v>21</v>
      </c>
      <c r="L1734" s="7">
        <v>42173.163125</v>
      </c>
      <c r="M1734" s="14" t="s">
        <v>761</v>
      </c>
      <c r="N1734" s="14" t="s">
        <v>3810</v>
      </c>
      <c r="O1734" s="11" t="str">
        <f>HYPERLINK("https://pbs.twimg.com/profile_images/631722182180102145/d37Eq9sH_normal.jpg","View")</f>
        <v>View</v>
      </c>
      <c r="P1734" s="15"/>
    </row>
    <row r="1735">
      <c r="A1735" s="7">
        <v>42425.81353009259</v>
      </c>
      <c r="B1735" s="8" t="str">
        <f>HYPERLINK("https://twitter.com/HandbagDivas","@HandbagDivas")</f>
        <v>@HandbagDivas</v>
      </c>
      <c r="C1735" s="10" t="s">
        <v>782</v>
      </c>
      <c r="D1735" s="10" t="s">
        <v>3811</v>
      </c>
      <c r="E1735" s="11" t="str">
        <f>HYPERLINK("https://twitter.com/HandbagDivas/status/703059786032672768","703059786032672768")</f>
        <v>703059786032672768</v>
      </c>
      <c r="F1735" s="12" t="s">
        <v>236</v>
      </c>
      <c r="G1735" s="13">
        <v>870.0</v>
      </c>
      <c r="H1735" s="13">
        <v>640.0</v>
      </c>
      <c r="I1735" s="13">
        <v>0.0</v>
      </c>
      <c r="J1735" s="13">
        <v>0.0</v>
      </c>
      <c r="K1735" s="12" t="s">
        <v>21</v>
      </c>
      <c r="L1735" s="7">
        <v>40736.25271990741</v>
      </c>
      <c r="M1735" s="14" t="s">
        <v>784</v>
      </c>
      <c r="N1735" s="14" t="s">
        <v>785</v>
      </c>
      <c r="O1735" s="11" t="str">
        <f>HYPERLINK("https://pbs.twimg.com/profile_images/3467815557/61b17c929f55ca0ffdd2b68209ea84d1_normal.jpeg","View")</f>
        <v>View</v>
      </c>
      <c r="P1735" s="15"/>
    </row>
    <row r="1736">
      <c r="A1736" s="7">
        <v>42425.814375</v>
      </c>
      <c r="B1736" s="8" t="str">
        <f>HYPERLINK("https://twitter.com/HouYadda","@HouYadda")</f>
        <v>@HouYadda</v>
      </c>
      <c r="C1736" s="10" t="s">
        <v>3812</v>
      </c>
      <c r="D1736" s="10" t="s">
        <v>3813</v>
      </c>
      <c r="E1736" s="11" t="str">
        <f>HYPERLINK("https://twitter.com/HouYadda/status/703060089134059520","703060089134059520")</f>
        <v>703060089134059520</v>
      </c>
      <c r="F1736" s="12" t="s">
        <v>3814</v>
      </c>
      <c r="G1736" s="13">
        <v>1087.0</v>
      </c>
      <c r="H1736" s="13">
        <v>446.0</v>
      </c>
      <c r="I1736" s="13">
        <v>0.0</v>
      </c>
      <c r="J1736" s="13">
        <v>1.0</v>
      </c>
      <c r="K1736" s="12" t="s">
        <v>21</v>
      </c>
      <c r="L1736" s="7">
        <v>40796.59501157407</v>
      </c>
      <c r="M1736" s="21" t="s">
        <v>3815</v>
      </c>
      <c r="N1736" s="14" t="s">
        <v>3816</v>
      </c>
      <c r="O1736" s="11" t="str">
        <f>HYPERLINK("https://pbs.twimg.com/profile_images/653143598528077824/M9ZR2FSh_normal.jpg","View")</f>
        <v>View</v>
      </c>
      <c r="P1736" s="15"/>
    </row>
    <row r="1737">
      <c r="A1737" s="7">
        <v>42425.81472222222</v>
      </c>
      <c r="B1737" s="8" t="str">
        <f>HYPERLINK("https://twitter.com/Drux_One","@Drux_One")</f>
        <v>@Drux_One</v>
      </c>
      <c r="C1737" s="10" t="s">
        <v>3817</v>
      </c>
      <c r="D1737" s="10" t="s">
        <v>3818</v>
      </c>
      <c r="E1737" s="11" t="str">
        <f>HYPERLINK("https://twitter.com/Drux_One/status/703060216011628544","703060216011628544")</f>
        <v>703060216011628544</v>
      </c>
      <c r="F1737" s="12" t="s">
        <v>52</v>
      </c>
      <c r="G1737" s="13">
        <v>739.0</v>
      </c>
      <c r="H1737" s="13">
        <v>2931.0</v>
      </c>
      <c r="I1737" s="13">
        <v>2.0</v>
      </c>
      <c r="J1737" s="13">
        <v>0.0</v>
      </c>
      <c r="K1737" s="12" t="s">
        <v>21</v>
      </c>
      <c r="L1737" s="7">
        <v>40402.780694444446</v>
      </c>
      <c r="M1737" s="14" t="s">
        <v>3819</v>
      </c>
      <c r="N1737" s="14" t="s">
        <v>3820</v>
      </c>
      <c r="O1737" s="11" t="str">
        <f>HYPERLINK("https://pbs.twimg.com/profile_images/685478616189112323/r66BxUXE_normal.jpg","View")</f>
        <v>View</v>
      </c>
      <c r="P1737" s="15"/>
    </row>
    <row r="1738">
      <c r="A1738" s="7">
        <v>42425.816203703704</v>
      </c>
      <c r="B1738" s="8" t="str">
        <f>HYPERLINK("https://twitter.com/art_control","@art_control")</f>
        <v>@art_control</v>
      </c>
      <c r="C1738" s="10" t="s">
        <v>309</v>
      </c>
      <c r="D1738" s="10" t="s">
        <v>3821</v>
      </c>
      <c r="E1738" s="11" t="str">
        <f>HYPERLINK("https://twitter.com/art_control/status/703060754891743232","703060754891743232")</f>
        <v>703060754891743232</v>
      </c>
      <c r="F1738" s="12" t="s">
        <v>311</v>
      </c>
      <c r="G1738" s="13">
        <v>989.0</v>
      </c>
      <c r="H1738" s="13">
        <v>850.0</v>
      </c>
      <c r="I1738" s="13">
        <v>0.0</v>
      </c>
      <c r="J1738" s="13">
        <v>0.0</v>
      </c>
      <c r="K1738" s="12" t="s">
        <v>21</v>
      </c>
      <c r="L1738" s="7">
        <v>39896.869675925926</v>
      </c>
      <c r="M1738" s="14" t="s">
        <v>312</v>
      </c>
      <c r="N1738" s="14" t="s">
        <v>313</v>
      </c>
      <c r="O1738" s="11" t="str">
        <f>HYPERLINK("https://pbs.twimg.com/profile_images/649004216690675712/UAcrP6ol_normal.png","View")</f>
        <v>View</v>
      </c>
      <c r="P1738" s="15"/>
    </row>
    <row r="1739">
      <c r="A1739" s="7">
        <v>42425.81663194444</v>
      </c>
      <c r="B1739" s="8" t="str">
        <f>HYPERLINK("https://twitter.com/shakamunyi","@shakamunyi")</f>
        <v>@shakamunyi</v>
      </c>
      <c r="C1739" s="10" t="s">
        <v>2773</v>
      </c>
      <c r="D1739" s="10" t="s">
        <v>3822</v>
      </c>
      <c r="E1739" s="11" t="str">
        <f>HYPERLINK("https://twitter.com/shakamunyi/status/703060907413344256","703060907413344256")</f>
        <v>703060907413344256</v>
      </c>
      <c r="F1739" s="12" t="s">
        <v>38</v>
      </c>
      <c r="G1739" s="13">
        <v>1863.0</v>
      </c>
      <c r="H1739" s="13">
        <v>1075.0</v>
      </c>
      <c r="I1739" s="13">
        <v>2.0</v>
      </c>
      <c r="J1739" s="13">
        <v>0.0</v>
      </c>
      <c r="K1739" s="12" t="s">
        <v>21</v>
      </c>
      <c r="L1739" s="7">
        <v>41726.41787037037</v>
      </c>
      <c r="M1739" s="14" t="s">
        <v>2775</v>
      </c>
      <c r="N1739" s="14" t="s">
        <v>2776</v>
      </c>
      <c r="O1739" s="11" t="str">
        <f>HYPERLINK("https://pbs.twimg.com/profile_images/598640478657978368/PgSHeCsJ_normal.jpg","View")</f>
        <v>View</v>
      </c>
      <c r="P1739" s="15"/>
    </row>
    <row r="1740">
      <c r="A1740" s="7">
        <v>42425.817245370374</v>
      </c>
      <c r="B1740" s="8" t="str">
        <f>HYPERLINK("https://twitter.com/py3k","@py3k")</f>
        <v>@py3k</v>
      </c>
      <c r="C1740" s="10" t="s">
        <v>297</v>
      </c>
      <c r="D1740" s="10" t="s">
        <v>3823</v>
      </c>
      <c r="E1740" s="11" t="str">
        <f>HYPERLINK("https://twitter.com/py3k/status/703061129153667072","703061129153667072")</f>
        <v>703061129153667072</v>
      </c>
      <c r="F1740" s="12" t="s">
        <v>299</v>
      </c>
      <c r="G1740" s="13">
        <v>1623.0</v>
      </c>
      <c r="H1740" s="13">
        <v>676.0</v>
      </c>
      <c r="I1740" s="13">
        <v>1.0</v>
      </c>
      <c r="J1740" s="13">
        <v>0.0</v>
      </c>
      <c r="K1740" s="12" t="s">
        <v>21</v>
      </c>
      <c r="L1740" s="7">
        <v>41096.62268518518</v>
      </c>
      <c r="M1740" s="16"/>
      <c r="N1740" s="14" t="s">
        <v>300</v>
      </c>
      <c r="O1740" s="11" t="str">
        <f>HYPERLINK("https://pbs.twimg.com/profile_images/2474433856/p075cerxh0arpea6ceip_normal.png","View")</f>
        <v>View</v>
      </c>
      <c r="P1740" s="15"/>
    </row>
    <row r="1741">
      <c r="A1741" s="7">
        <v>42425.8185300926</v>
      </c>
      <c r="B1741" s="8" t="str">
        <f>HYPERLINK("https://twitter.com/0x4171341","@0x4171341")</f>
        <v>@0x4171341</v>
      </c>
      <c r="C1741" s="10" t="s">
        <v>3824</v>
      </c>
      <c r="D1741" s="10" t="s">
        <v>3825</v>
      </c>
      <c r="E1741" s="11" t="str">
        <f>HYPERLINK("https://twitter.com/0x4171341/status/703061595866451968","703061595866451968")</f>
        <v>703061595866451968</v>
      </c>
      <c r="F1741" s="12" t="s">
        <v>20</v>
      </c>
      <c r="G1741" s="13">
        <v>486.0</v>
      </c>
      <c r="H1741" s="13">
        <v>526.0</v>
      </c>
      <c r="I1741" s="13">
        <v>0.0</v>
      </c>
      <c r="J1741" s="13">
        <v>0.0</v>
      </c>
      <c r="K1741" s="12" t="s">
        <v>21</v>
      </c>
      <c r="L1741" s="7">
        <v>40912.89790509259</v>
      </c>
      <c r="M1741" s="14" t="s">
        <v>3826</v>
      </c>
      <c r="N1741" s="14" t="s">
        <v>3827</v>
      </c>
      <c r="O1741" s="11" t="str">
        <f>HYPERLINK("https://pbs.twimg.com/profile_images/699100795560706049/XKhU3-aC_normal.jpg","View")</f>
        <v>View</v>
      </c>
      <c r="P1741" s="15"/>
    </row>
    <row r="1742">
      <c r="A1742" s="7">
        <v>42425.820185185185</v>
      </c>
      <c r="B1742" s="8" t="str">
        <f>HYPERLINK("https://twitter.com/cool_python","@cool_python")</f>
        <v>@cool_python</v>
      </c>
      <c r="C1742" s="10" t="s">
        <v>249</v>
      </c>
      <c r="D1742" s="10" t="s">
        <v>3828</v>
      </c>
      <c r="E1742" s="11" t="str">
        <f>HYPERLINK("https://twitter.com/cool_python/status/703062197275115520","703062197275115520")</f>
        <v>703062197275115520</v>
      </c>
      <c r="F1742" s="12" t="s">
        <v>251</v>
      </c>
      <c r="G1742" s="13">
        <v>235.0</v>
      </c>
      <c r="H1742" s="13">
        <v>91.0</v>
      </c>
      <c r="I1742" s="13">
        <v>1.0</v>
      </c>
      <c r="J1742" s="13">
        <v>0.0</v>
      </c>
      <c r="K1742" s="12" t="s">
        <v>21</v>
      </c>
      <c r="L1742" s="7">
        <v>42064.325</v>
      </c>
      <c r="M1742" s="14" t="s">
        <v>252</v>
      </c>
      <c r="N1742" s="14" t="s">
        <v>253</v>
      </c>
      <c r="O1742" s="11" t="str">
        <f>HYPERLINK("https://pbs.twimg.com/profile_images/572091631055028224/Pkx__FSB_normal.png","View")</f>
        <v>View</v>
      </c>
      <c r="P1742" s="15"/>
    </row>
    <row r="1743">
      <c r="A1743" s="7">
        <v>42425.82019675926</v>
      </c>
      <c r="B1743" s="8" t="str">
        <f>HYPERLINK("https://twitter.com/knowledge_cheat","@knowledge_cheat")</f>
        <v>@knowledge_cheat</v>
      </c>
      <c r="C1743" s="10" t="s">
        <v>3829</v>
      </c>
      <c r="D1743" s="10" t="s">
        <v>3830</v>
      </c>
      <c r="E1743" s="11" t="str">
        <f>HYPERLINK("https://twitter.com/knowledge_cheat/status/703062201129500673","703062201129500673")</f>
        <v>703062201129500673</v>
      </c>
      <c r="F1743" s="12" t="s">
        <v>20</v>
      </c>
      <c r="G1743" s="13">
        <v>7.0</v>
      </c>
      <c r="H1743" s="13">
        <v>1.0</v>
      </c>
      <c r="I1743" s="13">
        <v>1.0</v>
      </c>
      <c r="J1743" s="13">
        <v>0.0</v>
      </c>
      <c r="K1743" s="12" t="s">
        <v>21</v>
      </c>
      <c r="L1743" s="7">
        <v>42423.277395833335</v>
      </c>
      <c r="M1743" s="16"/>
      <c r="N1743" s="16"/>
      <c r="O1743" s="11" t="str">
        <f>HYPERLINK("https://abs.twimg.com/sticky/default_profile_images/default_profile_5_normal.png","View")</f>
        <v>View</v>
      </c>
      <c r="P1743" s="15"/>
    </row>
    <row r="1744">
      <c r="A1744" s="7">
        <v>42425.82065972222</v>
      </c>
      <c r="B1744" s="8" t="str">
        <f>HYPERLINK("https://twitter.com/Pugliafashion","@Pugliafashion")</f>
        <v>@Pugliafashion</v>
      </c>
      <c r="C1744" s="10" t="s">
        <v>810</v>
      </c>
      <c r="D1744" s="10" t="s">
        <v>3831</v>
      </c>
      <c r="E1744" s="11" t="str">
        <f>HYPERLINK("https://twitter.com/Pugliafashion/status/703062369455480832","703062369455480832")</f>
        <v>703062369455480832</v>
      </c>
      <c r="F1744" s="12" t="s">
        <v>103</v>
      </c>
      <c r="G1744" s="13">
        <v>772.0</v>
      </c>
      <c r="H1744" s="13">
        <v>478.0</v>
      </c>
      <c r="I1744" s="13">
        <v>0.0</v>
      </c>
      <c r="J1744" s="13">
        <v>0.0</v>
      </c>
      <c r="K1744" s="12" t="s">
        <v>21</v>
      </c>
      <c r="L1744" s="7">
        <v>41924.31827546297</v>
      </c>
      <c r="M1744" s="16"/>
      <c r="N1744" s="14" t="s">
        <v>812</v>
      </c>
      <c r="O1744" s="11" t="str">
        <f>HYPERLINK("https://pbs.twimg.com/profile_images/521311951553449984/hS9lIdSa_normal.png","View")</f>
        <v>View</v>
      </c>
      <c r="P1744" s="15"/>
    </row>
    <row r="1745">
      <c r="A1745" s="7">
        <v>42425.82319444444</v>
      </c>
      <c r="B1745" s="8" t="str">
        <f>HYPERLINK("https://twitter.com/RashmiRnSethy","@RashmiRnSethy")</f>
        <v>@RashmiRnSethy</v>
      </c>
      <c r="C1745" s="10" t="s">
        <v>3832</v>
      </c>
      <c r="D1745" s="10" t="s">
        <v>3833</v>
      </c>
      <c r="E1745" s="11" t="str">
        <f>HYPERLINK("https://twitter.com/RashmiRnSethy/status/703063286363856896","703063286363856896")</f>
        <v>703063286363856896</v>
      </c>
      <c r="F1745" s="12" t="s">
        <v>236</v>
      </c>
      <c r="G1745" s="13">
        <v>1667.0</v>
      </c>
      <c r="H1745" s="13">
        <v>1593.0</v>
      </c>
      <c r="I1745" s="13">
        <v>0.0</v>
      </c>
      <c r="J1745" s="13">
        <v>0.0</v>
      </c>
      <c r="K1745" s="12" t="s">
        <v>21</v>
      </c>
      <c r="L1745" s="7">
        <v>40155.82634259259</v>
      </c>
      <c r="M1745" s="14" t="s">
        <v>34</v>
      </c>
      <c r="N1745" s="14" t="s">
        <v>3834</v>
      </c>
      <c r="O1745" s="11" t="str">
        <f>HYPERLINK("https://pbs.twimg.com/profile_images/507769924001878016/UsRwSg_A_normal.jpeg","View")</f>
        <v>View</v>
      </c>
      <c r="P1745" s="15"/>
    </row>
    <row r="1746">
      <c r="A1746" s="7">
        <v>42425.825937500005</v>
      </c>
      <c r="B1746" s="8" t="str">
        <f>HYPERLINK("https://twitter.com/shakthimaan","@shakthimaan")</f>
        <v>@shakthimaan</v>
      </c>
      <c r="C1746" s="10" t="s">
        <v>3835</v>
      </c>
      <c r="D1746" s="10" t="s">
        <v>1876</v>
      </c>
      <c r="E1746" s="11" t="str">
        <f>HYPERLINK("https://twitter.com/shakthimaan/status/703064279121985538","703064279121985538")</f>
        <v>703064279121985538</v>
      </c>
      <c r="F1746" s="12" t="s">
        <v>20</v>
      </c>
      <c r="G1746" s="13">
        <v>694.0</v>
      </c>
      <c r="H1746" s="13">
        <v>0.0</v>
      </c>
      <c r="I1746" s="13">
        <v>24.0</v>
      </c>
      <c r="J1746" s="13">
        <v>0.0</v>
      </c>
      <c r="K1746" s="12" t="s">
        <v>21</v>
      </c>
      <c r="L1746" s="7">
        <v>40016.38741898148</v>
      </c>
      <c r="M1746" s="14" t="s">
        <v>3836</v>
      </c>
      <c r="N1746" s="14" t="s">
        <v>3837</v>
      </c>
      <c r="O1746" s="11" t="str">
        <f>HYPERLINK("https://pbs.twimg.com/profile_images/655719564345368576/hX8ps0OB_normal.png","View")</f>
        <v>View</v>
      </c>
      <c r="P1746" s="15"/>
    </row>
    <row r="1747">
      <c r="A1747" s="7">
        <v>42425.82640046296</v>
      </c>
      <c r="B1747" s="8" t="str">
        <f>HYPERLINK("https://twitter.com/creative_punch","@creative_punch")</f>
        <v>@creative_punch</v>
      </c>
      <c r="C1747" s="10" t="s">
        <v>1199</v>
      </c>
      <c r="D1747" s="10" t="s">
        <v>3838</v>
      </c>
      <c r="E1747" s="11" t="str">
        <f>HYPERLINK("https://twitter.com/creative_punch/status/703064448194519040","703064448194519040")</f>
        <v>703064448194519040</v>
      </c>
      <c r="F1747" s="12" t="s">
        <v>1199</v>
      </c>
      <c r="G1747" s="13">
        <v>1650.0</v>
      </c>
      <c r="H1747" s="13">
        <v>800.0</v>
      </c>
      <c r="I1747" s="13">
        <v>0.0</v>
      </c>
      <c r="J1747" s="13">
        <v>0.0</v>
      </c>
      <c r="K1747" s="12" t="s">
        <v>21</v>
      </c>
      <c r="L1747" s="7">
        <v>41618.38722222222</v>
      </c>
      <c r="M1747" s="16"/>
      <c r="N1747" s="14" t="s">
        <v>1201</v>
      </c>
      <c r="O1747" s="11" t="str">
        <f>HYPERLINK("https://pbs.twimg.com/profile_images/420579444982431745/j7uTAxtF_normal.png","View")</f>
        <v>View</v>
      </c>
      <c r="P1747" s="15"/>
    </row>
    <row r="1748">
      <c r="A1748" s="7">
        <v>42425.82640046296</v>
      </c>
      <c r="B1748" s="8" t="str">
        <f>HYPERLINK("https://twitter.com/versiontracker","@versiontracker")</f>
        <v>@versiontracker</v>
      </c>
      <c r="C1748" s="10" t="s">
        <v>3839</v>
      </c>
      <c r="D1748" s="10" t="s">
        <v>3840</v>
      </c>
      <c r="E1748" s="11" t="str">
        <f>HYPERLINK("https://twitter.com/versiontracker/status/703064450375524352","703064450375524352")</f>
        <v>703064450375524352</v>
      </c>
      <c r="F1748" s="12" t="s">
        <v>3841</v>
      </c>
      <c r="G1748" s="13">
        <v>195.0</v>
      </c>
      <c r="H1748" s="13">
        <v>30.0</v>
      </c>
      <c r="I1748" s="13">
        <v>0.0</v>
      </c>
      <c r="J1748" s="13">
        <v>0.0</v>
      </c>
      <c r="K1748" s="12" t="s">
        <v>21</v>
      </c>
      <c r="L1748" s="7">
        <v>41950.69479166667</v>
      </c>
      <c r="M1748" s="16"/>
      <c r="N1748" s="14" t="s">
        <v>3842</v>
      </c>
      <c r="O1748" s="11" t="str">
        <f>HYPERLINK("https://pbs.twimg.com/profile_images/530898010469715968/oC2vzGEQ_normal.png","View")</f>
        <v>View</v>
      </c>
      <c r="P1748" s="15"/>
    </row>
    <row r="1749">
      <c r="A1749" s="7">
        <v>42425.82650462963</v>
      </c>
      <c r="B1749" s="8" t="str">
        <f>HYPERLINK("https://twitter.com/BigDataTweetBot","@BigDataTweetBot")</f>
        <v>@BigDataTweetBot</v>
      </c>
      <c r="C1749" s="10" t="s">
        <v>1440</v>
      </c>
      <c r="D1749" s="10" t="s">
        <v>3843</v>
      </c>
      <c r="E1749" s="11" t="str">
        <f>HYPERLINK("https://twitter.com/BigDataTweetBot/status/703064487583227904","703064487583227904")</f>
        <v>703064487583227904</v>
      </c>
      <c r="F1749" s="12" t="s">
        <v>1442</v>
      </c>
      <c r="G1749" s="13">
        <v>8623.0</v>
      </c>
      <c r="H1749" s="13">
        <v>243.0</v>
      </c>
      <c r="I1749" s="13">
        <v>1.0</v>
      </c>
      <c r="J1749" s="13">
        <v>0.0</v>
      </c>
      <c r="K1749" s="12" t="s">
        <v>21</v>
      </c>
      <c r="L1749" s="7">
        <v>42187.77106481481</v>
      </c>
      <c r="M1749" s="16"/>
      <c r="N1749" s="14" t="s">
        <v>1443</v>
      </c>
      <c r="O1749" s="11" t="str">
        <f>HYPERLINK("https://pbs.twimg.com/profile_images/616793252524650496/bQbxJqmz_normal.jpg","View")</f>
        <v>View</v>
      </c>
      <c r="P1749" s="15"/>
    </row>
    <row r="1750">
      <c r="A1750" s="7">
        <v>42425.82775462963</v>
      </c>
      <c r="B1750" s="8" t="str">
        <f>HYPERLINK("https://twitter.com/copyconstruct","@copyconstruct")</f>
        <v>@copyconstruct</v>
      </c>
      <c r="C1750" s="10" t="s">
        <v>67</v>
      </c>
      <c r="D1750" s="10" t="s">
        <v>3844</v>
      </c>
      <c r="E1750" s="11" t="str">
        <f>HYPERLINK("https://twitter.com/copyconstruct/status/703064940999880704","703064940999880704")</f>
        <v>703064940999880704</v>
      </c>
      <c r="F1750" s="12" t="s">
        <v>52</v>
      </c>
      <c r="G1750" s="13">
        <v>152.0</v>
      </c>
      <c r="H1750" s="13">
        <v>219.0</v>
      </c>
      <c r="I1750" s="13">
        <v>2.0</v>
      </c>
      <c r="J1750" s="13">
        <v>0.0</v>
      </c>
      <c r="K1750" s="12" t="s">
        <v>21</v>
      </c>
      <c r="L1750" s="7">
        <v>40360.24539351852</v>
      </c>
      <c r="M1750" s="14" t="s">
        <v>69</v>
      </c>
      <c r="N1750" s="14" t="s">
        <v>70</v>
      </c>
      <c r="O1750" s="11" t="str">
        <f>HYPERLINK("https://pbs.twimg.com/profile_images/647164275148984320/z27kvl4X_normal.jpg","View")</f>
        <v>View</v>
      </c>
      <c r="P1750" s="15"/>
    </row>
    <row r="1751">
      <c r="A1751" s="7">
        <v>42425.830358796295</v>
      </c>
      <c r="B1751" s="8" t="str">
        <f>HYPERLINK("https://twitter.com/art_control","@art_control")</f>
        <v>@art_control</v>
      </c>
      <c r="C1751" s="10" t="s">
        <v>309</v>
      </c>
      <c r="D1751" s="10" t="s">
        <v>3845</v>
      </c>
      <c r="E1751" s="11" t="str">
        <f>HYPERLINK("https://twitter.com/art_control/status/703065884403900416","703065884403900416")</f>
        <v>703065884403900416</v>
      </c>
      <c r="F1751" s="12" t="s">
        <v>311</v>
      </c>
      <c r="G1751" s="13">
        <v>989.0</v>
      </c>
      <c r="H1751" s="13">
        <v>850.0</v>
      </c>
      <c r="I1751" s="13">
        <v>0.0</v>
      </c>
      <c r="J1751" s="13">
        <v>0.0</v>
      </c>
      <c r="K1751" s="12" t="s">
        <v>21</v>
      </c>
      <c r="L1751" s="7">
        <v>39896.869675925926</v>
      </c>
      <c r="M1751" s="14" t="s">
        <v>312</v>
      </c>
      <c r="N1751" s="14" t="s">
        <v>313</v>
      </c>
      <c r="O1751" s="11" t="str">
        <f>HYPERLINK("https://pbs.twimg.com/profile_images/649004216690675712/UAcrP6ol_normal.png","View")</f>
        <v>View</v>
      </c>
      <c r="P1751" s="15"/>
    </row>
    <row r="1752">
      <c r="A1752" s="7">
        <v>42425.83090277778</v>
      </c>
      <c r="B1752" s="8" t="str">
        <f>HYPERLINK("https://twitter.com/PythonBooks","@PythonBooks")</f>
        <v>@PythonBooks</v>
      </c>
      <c r="C1752" s="10" t="s">
        <v>267</v>
      </c>
      <c r="D1752" s="10" t="s">
        <v>3846</v>
      </c>
      <c r="E1752" s="11" t="str">
        <f>HYPERLINK("https://twitter.com/PythonBooks/status/703066078348357632","703066078348357632")</f>
        <v>703066078348357632</v>
      </c>
      <c r="F1752" s="12" t="s">
        <v>20</v>
      </c>
      <c r="G1752" s="13">
        <v>20.0</v>
      </c>
      <c r="H1752" s="13">
        <v>70.0</v>
      </c>
      <c r="I1752" s="13">
        <v>1.0</v>
      </c>
      <c r="J1752" s="13">
        <v>0.0</v>
      </c>
      <c r="K1752" s="12" t="s">
        <v>21</v>
      </c>
      <c r="L1752" s="7">
        <v>42424.13631944444</v>
      </c>
      <c r="M1752" s="14" t="s">
        <v>269</v>
      </c>
      <c r="N1752" s="14" t="s">
        <v>270</v>
      </c>
      <c r="O1752" s="11" t="str">
        <f>HYPERLINK("https://pbs.twimg.com/profile_images/702455638157168640/AeDgtn0C_normal.jpg","View")</f>
        <v>View</v>
      </c>
      <c r="P1752" s="15"/>
    </row>
    <row r="1753">
      <c r="A1753" s="7">
        <v>42425.831284722226</v>
      </c>
      <c r="B1753" s="8" t="str">
        <f t="shared" ref="B1753:B1754" si="181">HYPERLINK("https://twitter.com/programmingncr","@programmingncr")</f>
        <v>@programmingncr</v>
      </c>
      <c r="C1753" s="10" t="s">
        <v>262</v>
      </c>
      <c r="D1753" s="10" t="s">
        <v>3847</v>
      </c>
      <c r="E1753" s="11" t="str">
        <f>HYPERLINK("https://twitter.com/programmingncr/status/703066218383671297","703066218383671297")</f>
        <v>703066218383671297</v>
      </c>
      <c r="F1753" s="12" t="s">
        <v>103</v>
      </c>
      <c r="G1753" s="13">
        <v>328.0</v>
      </c>
      <c r="H1753" s="13">
        <v>99.0</v>
      </c>
      <c r="I1753" s="13">
        <v>0.0</v>
      </c>
      <c r="J1753" s="13">
        <v>0.0</v>
      </c>
      <c r="K1753" s="12" t="s">
        <v>21</v>
      </c>
      <c r="L1753" s="7">
        <v>42220.86634259259</v>
      </c>
      <c r="M1753" s="14" t="s">
        <v>264</v>
      </c>
      <c r="N1753" s="14" t="s">
        <v>265</v>
      </c>
      <c r="O1753" s="11" t="str">
        <f t="shared" ref="O1753:O1754" si="182">HYPERLINK("https://pbs.twimg.com/profile_images/662602436222193664/qKuvsfnG_normal.jpg","View")</f>
        <v>View</v>
      </c>
      <c r="P1753" s="15"/>
    </row>
    <row r="1754">
      <c r="A1754" s="7">
        <v>42425.831284722226</v>
      </c>
      <c r="B1754" s="8" t="str">
        <f t="shared" si="181"/>
        <v>@programmingncr</v>
      </c>
      <c r="C1754" s="10" t="s">
        <v>262</v>
      </c>
      <c r="D1754" s="10" t="s">
        <v>3848</v>
      </c>
      <c r="E1754" s="11" t="str">
        <f>HYPERLINK("https://twitter.com/programmingncr/status/703066219931443200","703066219931443200")</f>
        <v>703066219931443200</v>
      </c>
      <c r="F1754" s="12" t="s">
        <v>103</v>
      </c>
      <c r="G1754" s="13">
        <v>328.0</v>
      </c>
      <c r="H1754" s="13">
        <v>99.0</v>
      </c>
      <c r="I1754" s="13">
        <v>0.0</v>
      </c>
      <c r="J1754" s="13">
        <v>0.0</v>
      </c>
      <c r="K1754" s="12" t="s">
        <v>21</v>
      </c>
      <c r="L1754" s="7">
        <v>42220.86634259259</v>
      </c>
      <c r="M1754" s="14" t="s">
        <v>264</v>
      </c>
      <c r="N1754" s="14" t="s">
        <v>265</v>
      </c>
      <c r="O1754" s="11" t="str">
        <f t="shared" si="182"/>
        <v>View</v>
      </c>
      <c r="P1754" s="15"/>
    </row>
    <row r="1755">
      <c r="A1755" s="7">
        <v>42425.83244212963</v>
      </c>
      <c r="B1755" s="8" t="str">
        <f t="shared" ref="B1755:B1756" si="183">HYPERLINK("https://twitter.com/JoshuaLongUK","@JoshuaLongUK")</f>
        <v>@JoshuaLongUK</v>
      </c>
      <c r="C1755" s="10" t="s">
        <v>101</v>
      </c>
      <c r="D1755" s="10" t="s">
        <v>3849</v>
      </c>
      <c r="E1755" s="11" t="str">
        <f>HYPERLINK("https://twitter.com/JoshuaLongUK/status/703066638179028992","703066638179028992")</f>
        <v>703066638179028992</v>
      </c>
      <c r="F1755" s="12" t="s">
        <v>103</v>
      </c>
      <c r="G1755" s="13">
        <v>25832.0</v>
      </c>
      <c r="H1755" s="13">
        <v>93.0</v>
      </c>
      <c r="I1755" s="13">
        <v>0.0</v>
      </c>
      <c r="J1755" s="13">
        <v>0.0</v>
      </c>
      <c r="K1755" s="12" t="s">
        <v>21</v>
      </c>
      <c r="L1755" s="7">
        <v>41149.39659722222</v>
      </c>
      <c r="M1755" s="14" t="s">
        <v>104</v>
      </c>
      <c r="N1755" s="14" t="s">
        <v>105</v>
      </c>
      <c r="O1755" s="11" t="str">
        <f t="shared" ref="O1755:O1756" si="184">HYPERLINK("https://pbs.twimg.com/profile_images/627996138403168256/DaASdgVr_normal.jpg","View")</f>
        <v>View</v>
      </c>
      <c r="P1755" s="15"/>
    </row>
    <row r="1756">
      <c r="A1756" s="7">
        <v>42425.832453703704</v>
      </c>
      <c r="B1756" s="8" t="str">
        <f t="shared" si="183"/>
        <v>@JoshuaLongUK</v>
      </c>
      <c r="C1756" s="10" t="s">
        <v>101</v>
      </c>
      <c r="D1756" s="10" t="s">
        <v>3850</v>
      </c>
      <c r="E1756" s="11" t="str">
        <f>HYPERLINK("https://twitter.com/JoshuaLongUK/status/703066640397819904","703066640397819904")</f>
        <v>703066640397819904</v>
      </c>
      <c r="F1756" s="12" t="s">
        <v>103</v>
      </c>
      <c r="G1756" s="13">
        <v>25832.0</v>
      </c>
      <c r="H1756" s="13">
        <v>93.0</v>
      </c>
      <c r="I1756" s="13">
        <v>0.0</v>
      </c>
      <c r="J1756" s="13">
        <v>0.0</v>
      </c>
      <c r="K1756" s="12" t="s">
        <v>21</v>
      </c>
      <c r="L1756" s="7">
        <v>41149.39659722222</v>
      </c>
      <c r="M1756" s="14" t="s">
        <v>104</v>
      </c>
      <c r="N1756" s="14" t="s">
        <v>105</v>
      </c>
      <c r="O1756" s="11" t="str">
        <f t="shared" si="184"/>
        <v>View</v>
      </c>
      <c r="P1756" s="15"/>
    </row>
    <row r="1757">
      <c r="A1757" s="7">
        <v>42425.83280092593</v>
      </c>
      <c r="B1757" s="8" t="str">
        <f>HYPERLINK("https://twitter.com/kevlbass1024","@kevlbass1024")</f>
        <v>@kevlbass1024</v>
      </c>
      <c r="C1757" s="10" t="s">
        <v>3851</v>
      </c>
      <c r="D1757" s="10" t="s">
        <v>3852</v>
      </c>
      <c r="E1757" s="11" t="str">
        <f>HYPERLINK("https://twitter.com/kevlbass1024/status/703066766243713024","703066766243713024")</f>
        <v>703066766243713024</v>
      </c>
      <c r="F1757" s="12" t="s">
        <v>20</v>
      </c>
      <c r="G1757" s="13">
        <v>530.0</v>
      </c>
      <c r="H1757" s="13">
        <v>830.0</v>
      </c>
      <c r="I1757" s="13">
        <v>3.0</v>
      </c>
      <c r="J1757" s="13">
        <v>3.0</v>
      </c>
      <c r="K1757" s="12" t="s">
        <v>21</v>
      </c>
      <c r="L1757" s="7">
        <v>42369.77342592593</v>
      </c>
      <c r="M1757" s="16"/>
      <c r="N1757" s="14" t="s">
        <v>3853</v>
      </c>
      <c r="O1757" s="11" t="str">
        <f>HYPERLINK("https://pbs.twimg.com/profile_images/682757887261818880/Q5--Prn6_normal.jpg","View")</f>
        <v>View</v>
      </c>
      <c r="P1757" s="15"/>
    </row>
    <row r="1758">
      <c r="A1758" s="7">
        <v>42425.8329050926</v>
      </c>
      <c r="B1758" s="8" t="str">
        <f>HYPERLINK("https://twitter.com/NoSQLDigest","@NoSQLDigest")</f>
        <v>@NoSQLDigest</v>
      </c>
      <c r="C1758" s="10" t="s">
        <v>200</v>
      </c>
      <c r="D1758" s="10" t="s">
        <v>3854</v>
      </c>
      <c r="E1758" s="11" t="str">
        <f>HYPERLINK("https://twitter.com/NoSQLDigest/status/703066806718574592","703066806718574592")</f>
        <v>703066806718574592</v>
      </c>
      <c r="F1758" s="12" t="s">
        <v>202</v>
      </c>
      <c r="G1758" s="13">
        <v>11375.0</v>
      </c>
      <c r="H1758" s="13">
        <v>12.0</v>
      </c>
      <c r="I1758" s="13">
        <v>2.0</v>
      </c>
      <c r="J1758" s="13">
        <v>0.0</v>
      </c>
      <c r="K1758" s="12" t="s">
        <v>21</v>
      </c>
      <c r="L1758" s="7">
        <v>41854.421805555554</v>
      </c>
      <c r="M1758" s="16"/>
      <c r="N1758" s="14" t="s">
        <v>203</v>
      </c>
      <c r="O1758" s="11" t="str">
        <f>HYPERLINK("https://pbs.twimg.com/profile_images/499257180009529344/CSWhr7LZ_normal.jpeg","View")</f>
        <v>View</v>
      </c>
      <c r="P1758" s="15"/>
    </row>
    <row r="1759">
      <c r="A1759" s="7">
        <v>42425.83318287037</v>
      </c>
      <c r="B1759" s="8" t="str">
        <f>HYPERLINK("https://twitter.com/jayeshks","@jayeshks")</f>
        <v>@jayeshks</v>
      </c>
      <c r="C1759" s="10" t="s">
        <v>3855</v>
      </c>
      <c r="D1759" s="10" t="s">
        <v>1212</v>
      </c>
      <c r="E1759" s="11" t="str">
        <f>HYPERLINK("https://twitter.com/jayeshks/status/703066908334002177","703066908334002177")</f>
        <v>703066908334002177</v>
      </c>
      <c r="F1759" s="12" t="s">
        <v>152</v>
      </c>
      <c r="G1759" s="13">
        <v>86.0</v>
      </c>
      <c r="H1759" s="13">
        <v>449.0</v>
      </c>
      <c r="I1759" s="13">
        <v>24.0</v>
      </c>
      <c r="J1759" s="13">
        <v>0.0</v>
      </c>
      <c r="K1759" s="12" t="s">
        <v>21</v>
      </c>
      <c r="L1759" s="7">
        <v>39545.151770833334</v>
      </c>
      <c r="M1759" s="14" t="s">
        <v>639</v>
      </c>
      <c r="N1759" s="16"/>
      <c r="O1759" s="11" t="str">
        <f>HYPERLINK("https://abs.twimg.com/sticky/default_profile_images/default_profile_2_normal.png","View")</f>
        <v>View</v>
      </c>
      <c r="P1759" s="15"/>
    </row>
    <row r="1760">
      <c r="A1760" s="7">
        <v>42425.83615740741</v>
      </c>
      <c r="B1760" s="8" t="str">
        <f>HYPERLINK("https://twitter.com/PythonBooks","@PythonBooks")</f>
        <v>@PythonBooks</v>
      </c>
      <c r="C1760" s="10" t="s">
        <v>267</v>
      </c>
      <c r="D1760" s="10" t="s">
        <v>3699</v>
      </c>
      <c r="E1760" s="11" t="str">
        <f>HYPERLINK("https://twitter.com/PythonBooks/status/703067985645146112","703067985645146112")</f>
        <v>703067985645146112</v>
      </c>
      <c r="F1760" s="12" t="s">
        <v>20</v>
      </c>
      <c r="G1760" s="13">
        <v>20.0</v>
      </c>
      <c r="H1760" s="13">
        <v>70.0</v>
      </c>
      <c r="I1760" s="13">
        <v>30.0</v>
      </c>
      <c r="J1760" s="13">
        <v>0.0</v>
      </c>
      <c r="K1760" s="12" t="s">
        <v>21</v>
      </c>
      <c r="L1760" s="7">
        <v>42424.13631944444</v>
      </c>
      <c r="M1760" s="14" t="s">
        <v>269</v>
      </c>
      <c r="N1760" s="14" t="s">
        <v>270</v>
      </c>
      <c r="O1760" s="11" t="str">
        <f>HYPERLINK("https://pbs.twimg.com/profile_images/702455638157168640/AeDgtn0C_normal.jpg","View")</f>
        <v>View</v>
      </c>
      <c r="P1760" s="15"/>
    </row>
    <row r="1761">
      <c r="A1761" s="7">
        <v>42425.836435185185</v>
      </c>
      <c r="B1761" s="8" t="str">
        <f>HYPERLINK("https://twitter.com/MeganSpeir","@MeganSpeir")</f>
        <v>@MeganSpeir</v>
      </c>
      <c r="C1761" s="10" t="s">
        <v>3856</v>
      </c>
      <c r="D1761" s="10" t="s">
        <v>3857</v>
      </c>
      <c r="E1761" s="11" t="str">
        <f>HYPERLINK("https://twitter.com/MeganSpeir/status/703068085482205184","703068085482205184")</f>
        <v>703068085482205184</v>
      </c>
      <c r="F1761" s="12" t="s">
        <v>52</v>
      </c>
      <c r="G1761" s="13">
        <v>835.0</v>
      </c>
      <c r="H1761" s="13">
        <v>1327.0</v>
      </c>
      <c r="I1761" s="13">
        <v>2.0</v>
      </c>
      <c r="J1761" s="13">
        <v>0.0</v>
      </c>
      <c r="K1761" s="12" t="s">
        <v>21</v>
      </c>
      <c r="L1761" s="7">
        <v>39952.54961805556</v>
      </c>
      <c r="M1761" s="14" t="s">
        <v>1325</v>
      </c>
      <c r="N1761" s="14" t="s">
        <v>3858</v>
      </c>
      <c r="O1761" s="11" t="str">
        <f>HYPERLINK("https://pbs.twimg.com/profile_images/378800000412738531/c224de0963f9012e5ce14aaec9908726_normal.jpeg","View")</f>
        <v>View</v>
      </c>
      <c r="P1761" s="15"/>
    </row>
    <row r="1762">
      <c r="A1762" s="7">
        <v>42425.83666666667</v>
      </c>
      <c r="B1762" s="8" t="str">
        <f>HYPERLINK("https://twitter.com/StephLKim","@StephLKim")</f>
        <v>@StephLKim</v>
      </c>
      <c r="C1762" s="10" t="s">
        <v>3859</v>
      </c>
      <c r="D1762" s="10" t="s">
        <v>3857</v>
      </c>
      <c r="E1762" s="11" t="str">
        <f>HYPERLINK("https://twitter.com/StephLKim/status/703068170051956737","703068170051956737")</f>
        <v>703068170051956737</v>
      </c>
      <c r="F1762" s="12" t="s">
        <v>52</v>
      </c>
      <c r="G1762" s="13">
        <v>402.0</v>
      </c>
      <c r="H1762" s="13">
        <v>475.0</v>
      </c>
      <c r="I1762" s="13">
        <v>2.0</v>
      </c>
      <c r="J1762" s="13">
        <v>0.0</v>
      </c>
      <c r="K1762" s="12" t="s">
        <v>21</v>
      </c>
      <c r="L1762" s="7">
        <v>40351.842152777775</v>
      </c>
      <c r="M1762" s="14" t="s">
        <v>3860</v>
      </c>
      <c r="N1762" s="14" t="s">
        <v>3861</v>
      </c>
      <c r="O1762" s="11" t="str">
        <f>HYPERLINK("https://pbs.twimg.com/profile_images/510928186952384512/GrsaCMEY_normal.jpeg","View")</f>
        <v>View</v>
      </c>
      <c r="P1762" s="15"/>
    </row>
    <row r="1763">
      <c r="A1763" s="7">
        <v>42425.837002314816</v>
      </c>
      <c r="B1763" s="8" t="str">
        <f>HYPERLINK("https://twitter.com/PythonWeekly","@PythonWeekly")</f>
        <v>@PythonWeekly</v>
      </c>
      <c r="C1763" s="10" t="s">
        <v>948</v>
      </c>
      <c r="D1763" s="10" t="s">
        <v>3862</v>
      </c>
      <c r="E1763" s="11" t="str">
        <f>HYPERLINK("https://twitter.com/PythonWeekly/status/703068291498168325","703068291498168325")</f>
        <v>703068291498168325</v>
      </c>
      <c r="F1763" s="12" t="s">
        <v>52</v>
      </c>
      <c r="G1763" s="13">
        <v>15565.0</v>
      </c>
      <c r="H1763" s="13">
        <v>0.0</v>
      </c>
      <c r="I1763" s="13">
        <v>11.0</v>
      </c>
      <c r="J1763" s="13">
        <v>6.0</v>
      </c>
      <c r="K1763" s="12" t="s">
        <v>21</v>
      </c>
      <c r="L1763" s="7">
        <v>40800.65934027778</v>
      </c>
      <c r="M1763" s="16"/>
      <c r="N1763" s="14" t="s">
        <v>950</v>
      </c>
      <c r="O1763" s="11" t="str">
        <f>HYPERLINK("https://pbs.twimg.com/profile_images/1554238582/python_normal.jpg","View")</f>
        <v>View</v>
      </c>
      <c r="P1763" s="15"/>
    </row>
    <row r="1764">
      <c r="A1764" s="7">
        <v>42425.83702546296</v>
      </c>
      <c r="B1764" s="8" t="str">
        <f>HYPERLINK("https://twitter.com/py3k","@py3k")</f>
        <v>@py3k</v>
      </c>
      <c r="C1764" s="10" t="s">
        <v>297</v>
      </c>
      <c r="D1764" s="10" t="s">
        <v>3863</v>
      </c>
      <c r="E1764" s="11" t="str">
        <f>HYPERLINK("https://twitter.com/py3k/status/703068298582294528","703068298582294528")</f>
        <v>703068298582294528</v>
      </c>
      <c r="F1764" s="12" t="s">
        <v>299</v>
      </c>
      <c r="G1764" s="13">
        <v>1623.0</v>
      </c>
      <c r="H1764" s="13">
        <v>676.0</v>
      </c>
      <c r="I1764" s="13">
        <v>1.0</v>
      </c>
      <c r="J1764" s="13">
        <v>0.0</v>
      </c>
      <c r="K1764" s="12" t="s">
        <v>21</v>
      </c>
      <c r="L1764" s="7">
        <v>41096.62268518518</v>
      </c>
      <c r="M1764" s="16"/>
      <c r="N1764" s="14" t="s">
        <v>300</v>
      </c>
      <c r="O1764" s="11" t="str">
        <f>HYPERLINK("https://pbs.twimg.com/profile_images/2474433856/p075cerxh0arpea6ceip_normal.png","View")</f>
        <v>View</v>
      </c>
      <c r="P1764" s="15"/>
    </row>
    <row r="1765">
      <c r="A1765" s="7">
        <v>42425.83702546296</v>
      </c>
      <c r="B1765" s="8" t="str">
        <f>HYPERLINK("https://twitter.com/foresmac","@foresmac")</f>
        <v>@foresmac</v>
      </c>
      <c r="C1765" s="10" t="s">
        <v>3864</v>
      </c>
      <c r="D1765" s="10" t="s">
        <v>3446</v>
      </c>
      <c r="E1765" s="11" t="str">
        <f>HYPERLINK("https://twitter.com/foresmac/status/703068300511727617","703068300511727617")</f>
        <v>703068300511727617</v>
      </c>
      <c r="F1765" s="12" t="s">
        <v>1082</v>
      </c>
      <c r="G1765" s="13">
        <v>5761.0</v>
      </c>
      <c r="H1765" s="13">
        <v>512.0</v>
      </c>
      <c r="I1765" s="13">
        <v>2.0</v>
      </c>
      <c r="J1765" s="13">
        <v>0.0</v>
      </c>
      <c r="K1765" s="12" t="s">
        <v>21</v>
      </c>
      <c r="L1765" s="7">
        <v>39084.57960648148</v>
      </c>
      <c r="M1765" s="14" t="s">
        <v>1158</v>
      </c>
      <c r="N1765" s="14" t="s">
        <v>3865</v>
      </c>
      <c r="O1765" s="11" t="str">
        <f>HYPERLINK("https://pbs.twimg.com/profile_images/682752731484925952/eD7B_GQZ_normal.jpg","View")</f>
        <v>View</v>
      </c>
      <c r="P1765" s="15"/>
    </row>
    <row r="1766">
      <c r="A1766" s="7">
        <v>42425.83755787037</v>
      </c>
      <c r="B1766" s="8" t="str">
        <f>HYPERLINK("https://twitter.com/cool_python","@cool_python")</f>
        <v>@cool_python</v>
      </c>
      <c r="C1766" s="10" t="s">
        <v>249</v>
      </c>
      <c r="D1766" s="10" t="s">
        <v>3866</v>
      </c>
      <c r="E1766" s="11" t="str">
        <f>HYPERLINK("https://twitter.com/cool_python/status/703068491251843072","703068491251843072")</f>
        <v>703068491251843072</v>
      </c>
      <c r="F1766" s="12" t="s">
        <v>251</v>
      </c>
      <c r="G1766" s="13">
        <v>235.0</v>
      </c>
      <c r="H1766" s="13">
        <v>91.0</v>
      </c>
      <c r="I1766" s="13">
        <v>1.0</v>
      </c>
      <c r="J1766" s="13">
        <v>0.0</v>
      </c>
      <c r="K1766" s="12" t="s">
        <v>21</v>
      </c>
      <c r="L1766" s="7">
        <v>42064.325</v>
      </c>
      <c r="M1766" s="14" t="s">
        <v>252</v>
      </c>
      <c r="N1766" s="14" t="s">
        <v>253</v>
      </c>
      <c r="O1766" s="11" t="str">
        <f>HYPERLINK("https://pbs.twimg.com/profile_images/572091631055028224/Pkx__FSB_normal.png","View")</f>
        <v>View</v>
      </c>
      <c r="P1766" s="15"/>
    </row>
    <row r="1767">
      <c r="A1767" s="7">
        <v>42425.83770833333</v>
      </c>
      <c r="B1767" s="8" t="str">
        <f t="shared" ref="B1767:B1775" si="185">HYPERLINK("https://twitter.com/PythonBooks","@PythonBooks")</f>
        <v>@PythonBooks</v>
      </c>
      <c r="C1767" s="10" t="s">
        <v>267</v>
      </c>
      <c r="D1767" s="10" t="s">
        <v>3163</v>
      </c>
      <c r="E1767" s="11" t="str">
        <f>HYPERLINK("https://twitter.com/PythonBooks/status/703068545299550209","703068545299550209")</f>
        <v>703068545299550209</v>
      </c>
      <c r="F1767" s="12" t="s">
        <v>20</v>
      </c>
      <c r="G1767" s="13">
        <v>20.0</v>
      </c>
      <c r="H1767" s="13">
        <v>70.0</v>
      </c>
      <c r="I1767" s="13">
        <v>15.0</v>
      </c>
      <c r="J1767" s="13">
        <v>0.0</v>
      </c>
      <c r="K1767" s="12" t="s">
        <v>21</v>
      </c>
      <c r="L1767" s="7">
        <v>42424.13631944444</v>
      </c>
      <c r="M1767" s="14" t="s">
        <v>269</v>
      </c>
      <c r="N1767" s="14" t="s">
        <v>270</v>
      </c>
      <c r="O1767" s="11" t="str">
        <f t="shared" ref="O1767:O1775" si="186">HYPERLINK("https://pbs.twimg.com/profile_images/702455638157168640/AeDgtn0C_normal.jpg","View")</f>
        <v>View</v>
      </c>
      <c r="P1767" s="15"/>
    </row>
    <row r="1768">
      <c r="A1768" s="7">
        <v>42425.837754629625</v>
      </c>
      <c r="B1768" s="8" t="str">
        <f t="shared" si="185"/>
        <v>@PythonBooks</v>
      </c>
      <c r="C1768" s="10" t="s">
        <v>267</v>
      </c>
      <c r="D1768" s="10" t="s">
        <v>3183</v>
      </c>
      <c r="E1768" s="11" t="str">
        <f>HYPERLINK("https://twitter.com/PythonBooks/status/703068563385352192","703068563385352192")</f>
        <v>703068563385352192</v>
      </c>
      <c r="F1768" s="12" t="s">
        <v>20</v>
      </c>
      <c r="G1768" s="13">
        <v>20.0</v>
      </c>
      <c r="H1768" s="13">
        <v>70.0</v>
      </c>
      <c r="I1768" s="13">
        <v>11.0</v>
      </c>
      <c r="J1768" s="13">
        <v>0.0</v>
      </c>
      <c r="K1768" s="12" t="s">
        <v>21</v>
      </c>
      <c r="L1768" s="7">
        <v>42424.13631944444</v>
      </c>
      <c r="M1768" s="14" t="s">
        <v>269</v>
      </c>
      <c r="N1768" s="14" t="s">
        <v>270</v>
      </c>
      <c r="O1768" s="11" t="str">
        <f t="shared" si="186"/>
        <v>View</v>
      </c>
      <c r="P1768" s="15"/>
    </row>
    <row r="1769">
      <c r="A1769" s="7">
        <v>42425.837858796294</v>
      </c>
      <c r="B1769" s="8" t="str">
        <f t="shared" si="185"/>
        <v>@PythonBooks</v>
      </c>
      <c r="C1769" s="10" t="s">
        <v>267</v>
      </c>
      <c r="D1769" s="10" t="s">
        <v>3257</v>
      </c>
      <c r="E1769" s="11" t="str">
        <f>HYPERLINK("https://twitter.com/PythonBooks/status/703068599607398400","703068599607398400")</f>
        <v>703068599607398400</v>
      </c>
      <c r="F1769" s="12" t="s">
        <v>20</v>
      </c>
      <c r="G1769" s="13">
        <v>20.0</v>
      </c>
      <c r="H1769" s="13">
        <v>70.0</v>
      </c>
      <c r="I1769" s="13">
        <v>7.0</v>
      </c>
      <c r="J1769" s="13">
        <v>0.0</v>
      </c>
      <c r="K1769" s="12" t="s">
        <v>21</v>
      </c>
      <c r="L1769" s="7">
        <v>42424.13631944444</v>
      </c>
      <c r="M1769" s="14" t="s">
        <v>269</v>
      </c>
      <c r="N1769" s="14" t="s">
        <v>270</v>
      </c>
      <c r="O1769" s="11" t="str">
        <f t="shared" si="186"/>
        <v>View</v>
      </c>
      <c r="P1769" s="15"/>
    </row>
    <row r="1770">
      <c r="A1770" s="7">
        <v>42425.83793981481</v>
      </c>
      <c r="B1770" s="8" t="str">
        <f t="shared" si="185"/>
        <v>@PythonBooks</v>
      </c>
      <c r="C1770" s="10" t="s">
        <v>267</v>
      </c>
      <c r="D1770" s="10" t="s">
        <v>2972</v>
      </c>
      <c r="E1770" s="11" t="str">
        <f>HYPERLINK("https://twitter.com/PythonBooks/status/703068630414536704","703068630414536704")</f>
        <v>703068630414536704</v>
      </c>
      <c r="F1770" s="12" t="s">
        <v>20</v>
      </c>
      <c r="G1770" s="13">
        <v>20.0</v>
      </c>
      <c r="H1770" s="13">
        <v>70.0</v>
      </c>
      <c r="I1770" s="13">
        <v>6.0</v>
      </c>
      <c r="J1770" s="13">
        <v>0.0</v>
      </c>
      <c r="K1770" s="12" t="s">
        <v>21</v>
      </c>
      <c r="L1770" s="7">
        <v>42424.13631944444</v>
      </c>
      <c r="M1770" s="14" t="s">
        <v>269</v>
      </c>
      <c r="N1770" s="14" t="s">
        <v>270</v>
      </c>
      <c r="O1770" s="11" t="str">
        <f t="shared" si="186"/>
        <v>View</v>
      </c>
      <c r="P1770" s="15"/>
    </row>
    <row r="1771">
      <c r="A1771" s="7">
        <v>42425.838009259256</v>
      </c>
      <c r="B1771" s="8" t="str">
        <f t="shared" si="185"/>
        <v>@PythonBooks</v>
      </c>
      <c r="C1771" s="10" t="s">
        <v>267</v>
      </c>
      <c r="D1771" s="10" t="s">
        <v>2931</v>
      </c>
      <c r="E1771" s="11" t="str">
        <f>HYPERLINK("https://twitter.com/PythonBooks/status/703068653747441664","703068653747441664")</f>
        <v>703068653747441664</v>
      </c>
      <c r="F1771" s="12" t="s">
        <v>20</v>
      </c>
      <c r="G1771" s="13">
        <v>20.0</v>
      </c>
      <c r="H1771" s="13">
        <v>70.0</v>
      </c>
      <c r="I1771" s="13">
        <v>6.0</v>
      </c>
      <c r="J1771" s="13">
        <v>0.0</v>
      </c>
      <c r="K1771" s="12" t="s">
        <v>21</v>
      </c>
      <c r="L1771" s="7">
        <v>42424.13631944444</v>
      </c>
      <c r="M1771" s="14" t="s">
        <v>269</v>
      </c>
      <c r="N1771" s="14" t="s">
        <v>270</v>
      </c>
      <c r="O1771" s="11" t="str">
        <f t="shared" si="186"/>
        <v>View</v>
      </c>
      <c r="P1771" s="15"/>
    </row>
    <row r="1772">
      <c r="A1772" s="7">
        <v>42425.838101851856</v>
      </c>
      <c r="B1772" s="8" t="str">
        <f t="shared" si="185"/>
        <v>@PythonBooks</v>
      </c>
      <c r="C1772" s="10" t="s">
        <v>267</v>
      </c>
      <c r="D1772" s="10" t="s">
        <v>2842</v>
      </c>
      <c r="E1772" s="11" t="str">
        <f>HYPERLINK("https://twitter.com/PythonBooks/status/703068691080974336","703068691080974336")</f>
        <v>703068691080974336</v>
      </c>
      <c r="F1772" s="12" t="s">
        <v>20</v>
      </c>
      <c r="G1772" s="13">
        <v>20.0</v>
      </c>
      <c r="H1772" s="13">
        <v>70.0</v>
      </c>
      <c r="I1772" s="13">
        <v>8.0</v>
      </c>
      <c r="J1772" s="13">
        <v>0.0</v>
      </c>
      <c r="K1772" s="12" t="s">
        <v>21</v>
      </c>
      <c r="L1772" s="7">
        <v>42424.13631944444</v>
      </c>
      <c r="M1772" s="14" t="s">
        <v>269</v>
      </c>
      <c r="N1772" s="14" t="s">
        <v>270</v>
      </c>
      <c r="O1772" s="11" t="str">
        <f t="shared" si="186"/>
        <v>View</v>
      </c>
      <c r="P1772" s="15"/>
    </row>
    <row r="1773">
      <c r="A1773" s="7">
        <v>42425.83818287037</v>
      </c>
      <c r="B1773" s="8" t="str">
        <f t="shared" si="185"/>
        <v>@PythonBooks</v>
      </c>
      <c r="C1773" s="10" t="s">
        <v>267</v>
      </c>
      <c r="D1773" s="10" t="s">
        <v>2287</v>
      </c>
      <c r="E1773" s="11" t="str">
        <f>HYPERLINK("https://twitter.com/PythonBooks/status/703068719241568256","703068719241568256")</f>
        <v>703068719241568256</v>
      </c>
      <c r="F1773" s="12" t="s">
        <v>20</v>
      </c>
      <c r="G1773" s="13">
        <v>20.0</v>
      </c>
      <c r="H1773" s="13">
        <v>70.0</v>
      </c>
      <c r="I1773" s="13">
        <v>16.0</v>
      </c>
      <c r="J1773" s="13">
        <v>0.0</v>
      </c>
      <c r="K1773" s="12" t="s">
        <v>21</v>
      </c>
      <c r="L1773" s="7">
        <v>42424.13631944444</v>
      </c>
      <c r="M1773" s="14" t="s">
        <v>269</v>
      </c>
      <c r="N1773" s="14" t="s">
        <v>270</v>
      </c>
      <c r="O1773" s="11" t="str">
        <f t="shared" si="186"/>
        <v>View</v>
      </c>
      <c r="P1773" s="15"/>
    </row>
    <row r="1774">
      <c r="A1774" s="7">
        <v>42425.83826388889</v>
      </c>
      <c r="B1774" s="8" t="str">
        <f t="shared" si="185"/>
        <v>@PythonBooks</v>
      </c>
      <c r="C1774" s="10" t="s">
        <v>267</v>
      </c>
      <c r="D1774" s="10" t="s">
        <v>2088</v>
      </c>
      <c r="E1774" s="11" t="str">
        <f>HYPERLINK("https://twitter.com/PythonBooks/status/703068748492570624","703068748492570624")</f>
        <v>703068748492570624</v>
      </c>
      <c r="F1774" s="12" t="s">
        <v>20</v>
      </c>
      <c r="G1774" s="13">
        <v>20.0</v>
      </c>
      <c r="H1774" s="13">
        <v>70.0</v>
      </c>
      <c r="I1774" s="13">
        <v>12.0</v>
      </c>
      <c r="J1774" s="13">
        <v>0.0</v>
      </c>
      <c r="K1774" s="12" t="s">
        <v>21</v>
      </c>
      <c r="L1774" s="7">
        <v>42424.13631944444</v>
      </c>
      <c r="M1774" s="14" t="s">
        <v>269</v>
      </c>
      <c r="N1774" s="14" t="s">
        <v>270</v>
      </c>
      <c r="O1774" s="11" t="str">
        <f t="shared" si="186"/>
        <v>View</v>
      </c>
      <c r="P1774" s="15"/>
    </row>
    <row r="1775">
      <c r="A1775" s="7">
        <v>42425.83844907407</v>
      </c>
      <c r="B1775" s="8" t="str">
        <f t="shared" si="185"/>
        <v>@PythonBooks</v>
      </c>
      <c r="C1775" s="10" t="s">
        <v>267</v>
      </c>
      <c r="D1775" s="10" t="s">
        <v>1212</v>
      </c>
      <c r="E1775" s="11" t="str">
        <f>HYPERLINK("https://twitter.com/PythonBooks/status/703068815366590464","703068815366590464")</f>
        <v>703068815366590464</v>
      </c>
      <c r="F1775" s="12" t="s">
        <v>20</v>
      </c>
      <c r="G1775" s="13">
        <v>20.0</v>
      </c>
      <c r="H1775" s="13">
        <v>70.0</v>
      </c>
      <c r="I1775" s="13">
        <v>24.0</v>
      </c>
      <c r="J1775" s="13">
        <v>0.0</v>
      </c>
      <c r="K1775" s="12" t="s">
        <v>21</v>
      </c>
      <c r="L1775" s="7">
        <v>42424.13631944444</v>
      </c>
      <c r="M1775" s="14" t="s">
        <v>269</v>
      </c>
      <c r="N1775" s="14" t="s">
        <v>270</v>
      </c>
      <c r="O1775" s="11" t="str">
        <f t="shared" si="186"/>
        <v>View</v>
      </c>
      <c r="P1775" s="15"/>
    </row>
    <row r="1776">
      <c r="A1776" s="7">
        <v>42425.83862268519</v>
      </c>
      <c r="B1776" s="8" t="str">
        <f>HYPERLINK("https://twitter.com/rahulgchaudhary","@rahulgchaudhary")</f>
        <v>@rahulgchaudhary</v>
      </c>
      <c r="C1776" s="10" t="s">
        <v>1692</v>
      </c>
      <c r="D1776" s="10" t="s">
        <v>3867</v>
      </c>
      <c r="E1776" s="11" t="str">
        <f>HYPERLINK("https://twitter.com/rahulgchaudhary/status/703068878323257346","703068878323257346")</f>
        <v>703068878323257346</v>
      </c>
      <c r="F1776" s="12" t="s">
        <v>52</v>
      </c>
      <c r="G1776" s="13">
        <v>951.0</v>
      </c>
      <c r="H1776" s="13">
        <v>142.0</v>
      </c>
      <c r="I1776" s="13">
        <v>11.0</v>
      </c>
      <c r="J1776" s="13">
        <v>0.0</v>
      </c>
      <c r="K1776" s="12" t="s">
        <v>21</v>
      </c>
      <c r="L1776" s="7">
        <v>40144.942662037036</v>
      </c>
      <c r="M1776" s="14" t="s">
        <v>1693</v>
      </c>
      <c r="N1776" s="14" t="s">
        <v>1694</v>
      </c>
      <c r="O1776" s="11" t="str">
        <f>HYPERLINK("https://pbs.twimg.com/profile_images/1816885964/image1328857964_normal.png","View")</f>
        <v>View</v>
      </c>
      <c r="P1776" s="15"/>
    </row>
    <row r="1777">
      <c r="A1777" s="7">
        <v>42425.83880787037</v>
      </c>
      <c r="B1777" s="8" t="str">
        <f>HYPERLINK("https://twitter.com/PythonBooks","@PythonBooks")</f>
        <v>@PythonBooks</v>
      </c>
      <c r="C1777" s="10" t="s">
        <v>267</v>
      </c>
      <c r="D1777" s="10" t="s">
        <v>3867</v>
      </c>
      <c r="E1777" s="11" t="str">
        <f>HYPERLINK("https://twitter.com/PythonBooks/status/703068943699677184","703068943699677184")</f>
        <v>703068943699677184</v>
      </c>
      <c r="F1777" s="12" t="s">
        <v>20</v>
      </c>
      <c r="G1777" s="13">
        <v>20.0</v>
      </c>
      <c r="H1777" s="13">
        <v>70.0</v>
      </c>
      <c r="I1777" s="13">
        <v>11.0</v>
      </c>
      <c r="J1777" s="13">
        <v>0.0</v>
      </c>
      <c r="K1777" s="12" t="s">
        <v>21</v>
      </c>
      <c r="L1777" s="7">
        <v>42424.13631944444</v>
      </c>
      <c r="M1777" s="14" t="s">
        <v>269</v>
      </c>
      <c r="N1777" s="14" t="s">
        <v>270</v>
      </c>
      <c r="O1777" s="11" t="str">
        <f>HYPERLINK("https://pbs.twimg.com/profile_images/702455638157168640/AeDgtn0C_normal.jpg","View")</f>
        <v>View</v>
      </c>
      <c r="P1777" s="15"/>
    </row>
    <row r="1778">
      <c r="A1778" s="7">
        <v>42425.83888888889</v>
      </c>
      <c r="B1778" s="8" t="str">
        <f>HYPERLINK("https://twitter.com/rethumb","@rethumb")</f>
        <v>@rethumb</v>
      </c>
      <c r="C1778" s="10" t="s">
        <v>2868</v>
      </c>
      <c r="D1778" s="10" t="s">
        <v>3868</v>
      </c>
      <c r="E1778" s="11" t="str">
        <f>HYPERLINK("https://twitter.com/rethumb/status/703068975429754880","703068975429754880")</f>
        <v>703068975429754880</v>
      </c>
      <c r="F1778" s="12" t="s">
        <v>294</v>
      </c>
      <c r="G1778" s="13">
        <v>574.0</v>
      </c>
      <c r="H1778" s="13">
        <v>458.0</v>
      </c>
      <c r="I1778" s="13">
        <v>1.0</v>
      </c>
      <c r="J1778" s="13">
        <v>0.0</v>
      </c>
      <c r="K1778" s="12" t="s">
        <v>21</v>
      </c>
      <c r="L1778" s="7">
        <v>41111.52915509259</v>
      </c>
      <c r="M1778" s="14" t="s">
        <v>2870</v>
      </c>
      <c r="N1778" s="14" t="s">
        <v>2871</v>
      </c>
      <c r="O1778" s="11" t="str">
        <f>HYPERLINK("https://pbs.twimg.com/profile_images/606508575339511808/H8_RCT0z_normal.png","View")</f>
        <v>View</v>
      </c>
      <c r="P1778" s="15"/>
    </row>
    <row r="1779">
      <c r="A1779" s="7">
        <v>42425.83899305556</v>
      </c>
      <c r="B1779" s="8" t="str">
        <f>HYPERLINK("https://twitter.com/PythonBooks","@PythonBooks")</f>
        <v>@PythonBooks</v>
      </c>
      <c r="C1779" s="10" t="s">
        <v>267</v>
      </c>
      <c r="D1779" s="10" t="s">
        <v>3869</v>
      </c>
      <c r="E1779" s="11" t="str">
        <f>HYPERLINK("https://twitter.com/PythonBooks/status/703069010494038016","703069010494038016")</f>
        <v>703069010494038016</v>
      </c>
      <c r="F1779" s="12" t="s">
        <v>20</v>
      </c>
      <c r="G1779" s="13">
        <v>20.0</v>
      </c>
      <c r="H1779" s="13">
        <v>70.0</v>
      </c>
      <c r="I1779" s="13">
        <v>3.0</v>
      </c>
      <c r="J1779" s="13">
        <v>0.0</v>
      </c>
      <c r="K1779" s="12" t="s">
        <v>21</v>
      </c>
      <c r="L1779" s="7">
        <v>42424.13631944444</v>
      </c>
      <c r="M1779" s="14" t="s">
        <v>269</v>
      </c>
      <c r="N1779" s="14" t="s">
        <v>270</v>
      </c>
      <c r="O1779" s="11" t="str">
        <f>HYPERLINK("https://pbs.twimg.com/profile_images/702455638157168640/AeDgtn0C_normal.jpg","View")</f>
        <v>View</v>
      </c>
      <c r="P1779" s="15"/>
    </row>
    <row r="1780">
      <c r="A1780" s="7">
        <v>42425.83965277778</v>
      </c>
      <c r="B1780" s="8" t="str">
        <f>HYPERLINK("https://twitter.com/vitaminasEcom","@vitaminasEcom")</f>
        <v>@vitaminasEcom</v>
      </c>
      <c r="C1780" s="10" t="s">
        <v>3870</v>
      </c>
      <c r="D1780" s="10" t="s">
        <v>3871</v>
      </c>
      <c r="E1780" s="11" t="str">
        <f>HYPERLINK("https://twitter.com/vitaminasEcom/status/703069249124868098","703069249124868098")</f>
        <v>703069249124868098</v>
      </c>
      <c r="F1780" s="12" t="s">
        <v>103</v>
      </c>
      <c r="G1780" s="13">
        <v>670.0</v>
      </c>
      <c r="H1780" s="13">
        <v>19.0</v>
      </c>
      <c r="I1780" s="13">
        <v>0.0</v>
      </c>
      <c r="J1780" s="13">
        <v>1.0</v>
      </c>
      <c r="K1780" s="12" t="s">
        <v>21</v>
      </c>
      <c r="L1780" s="7">
        <v>42410.34287037037</v>
      </c>
      <c r="M1780" s="14" t="s">
        <v>3872</v>
      </c>
      <c r="N1780" s="14" t="s">
        <v>3873</v>
      </c>
      <c r="O1780" s="11" t="str">
        <f>HYPERLINK("https://pbs.twimg.com/profile_images/697454094512947201/Jd3-VI2x_normal.png","View")</f>
        <v>View</v>
      </c>
      <c r="P1780" s="15"/>
    </row>
    <row r="1781">
      <c r="A1781" s="7">
        <v>42425.8396875</v>
      </c>
      <c r="B1781" s="8" t="str">
        <f t="shared" ref="B1781:B1783" si="187">HYPERLINK("https://twitter.com/artwisanggeni","@artwisanggeni")</f>
        <v>@artwisanggeni</v>
      </c>
      <c r="C1781" s="10" t="s">
        <v>74</v>
      </c>
      <c r="D1781" s="10" t="s">
        <v>3874</v>
      </c>
      <c r="E1781" s="11" t="str">
        <f>HYPERLINK("https://twitter.com/artwisanggeni/status/703069262512979968","703069262512979968")</f>
        <v>703069262512979968</v>
      </c>
      <c r="F1781" s="17" t="s">
        <v>76</v>
      </c>
      <c r="G1781" s="13">
        <v>236.0</v>
      </c>
      <c r="H1781" s="13">
        <v>61.0</v>
      </c>
      <c r="I1781" s="13">
        <v>0.0</v>
      </c>
      <c r="J1781" s="13">
        <v>0.0</v>
      </c>
      <c r="K1781" s="12" t="s">
        <v>21</v>
      </c>
      <c r="L1781" s="7">
        <v>41218.90608796296</v>
      </c>
      <c r="M1781" s="14" t="s">
        <v>77</v>
      </c>
      <c r="N1781" s="14" t="s">
        <v>78</v>
      </c>
      <c r="O1781" s="11" t="str">
        <f t="shared" ref="O1781:O1783" si="188">HYPERLINK("https://pbs.twimg.com/profile_images/2813636657/599521f69e2bc210a57323b64d8e39e6_normal.jpeg","View")</f>
        <v>View</v>
      </c>
      <c r="P1781" s="15"/>
    </row>
    <row r="1782">
      <c r="A1782" s="7">
        <v>42425.83969907407</v>
      </c>
      <c r="B1782" s="8" t="str">
        <f t="shared" si="187"/>
        <v>@artwisanggeni</v>
      </c>
      <c r="C1782" s="10" t="s">
        <v>74</v>
      </c>
      <c r="D1782" s="10" t="s">
        <v>3875</v>
      </c>
      <c r="E1782" s="11" t="str">
        <f>HYPERLINK("https://twitter.com/artwisanggeni/status/703069266866675714","703069266866675714")</f>
        <v>703069266866675714</v>
      </c>
      <c r="F1782" s="17" t="s">
        <v>76</v>
      </c>
      <c r="G1782" s="13">
        <v>236.0</v>
      </c>
      <c r="H1782" s="13">
        <v>61.0</v>
      </c>
      <c r="I1782" s="13">
        <v>0.0</v>
      </c>
      <c r="J1782" s="13">
        <v>0.0</v>
      </c>
      <c r="K1782" s="12" t="s">
        <v>21</v>
      </c>
      <c r="L1782" s="7">
        <v>41218.90608796296</v>
      </c>
      <c r="M1782" s="14" t="s">
        <v>77</v>
      </c>
      <c r="N1782" s="14" t="s">
        <v>78</v>
      </c>
      <c r="O1782" s="11" t="str">
        <f t="shared" si="188"/>
        <v>View</v>
      </c>
      <c r="P1782" s="15"/>
    </row>
    <row r="1783">
      <c r="A1783" s="7">
        <v>42425.83971064815</v>
      </c>
      <c r="B1783" s="8" t="str">
        <f t="shared" si="187"/>
        <v>@artwisanggeni</v>
      </c>
      <c r="C1783" s="10" t="s">
        <v>74</v>
      </c>
      <c r="D1783" s="10" t="s">
        <v>3876</v>
      </c>
      <c r="E1783" s="11" t="str">
        <f>HYPERLINK("https://twitter.com/artwisanggeni/status/703069272210145280","703069272210145280")</f>
        <v>703069272210145280</v>
      </c>
      <c r="F1783" s="17" t="s">
        <v>76</v>
      </c>
      <c r="G1783" s="13">
        <v>236.0</v>
      </c>
      <c r="H1783" s="13">
        <v>61.0</v>
      </c>
      <c r="I1783" s="13">
        <v>0.0</v>
      </c>
      <c r="J1783" s="13">
        <v>0.0</v>
      </c>
      <c r="K1783" s="12" t="s">
        <v>21</v>
      </c>
      <c r="L1783" s="7">
        <v>41218.90608796296</v>
      </c>
      <c r="M1783" s="14" t="s">
        <v>77</v>
      </c>
      <c r="N1783" s="14" t="s">
        <v>78</v>
      </c>
      <c r="O1783" s="11" t="str">
        <f t="shared" si="188"/>
        <v>View</v>
      </c>
      <c r="P1783" s="15"/>
    </row>
    <row r="1784">
      <c r="A1784" s="7">
        <v>42425.84015046296</v>
      </c>
      <c r="B1784" s="8" t="str">
        <f>HYPERLINK("https://twitter.com/PythonBooks","@PythonBooks")</f>
        <v>@PythonBooks</v>
      </c>
      <c r="C1784" s="10" t="s">
        <v>267</v>
      </c>
      <c r="D1784" s="10" t="s">
        <v>3877</v>
      </c>
      <c r="E1784" s="11" t="str">
        <f>HYPERLINK("https://twitter.com/PythonBooks/status/703069429408530432","703069429408530432")</f>
        <v>703069429408530432</v>
      </c>
      <c r="F1784" s="12" t="s">
        <v>20</v>
      </c>
      <c r="G1784" s="13">
        <v>20.0</v>
      </c>
      <c r="H1784" s="13">
        <v>70.0</v>
      </c>
      <c r="I1784" s="13">
        <v>1.0</v>
      </c>
      <c r="J1784" s="13">
        <v>0.0</v>
      </c>
      <c r="K1784" s="12" t="s">
        <v>21</v>
      </c>
      <c r="L1784" s="7">
        <v>42424.13631944444</v>
      </c>
      <c r="M1784" s="14" t="s">
        <v>269</v>
      </c>
      <c r="N1784" s="14" t="s">
        <v>270</v>
      </c>
      <c r="O1784" s="11" t="str">
        <f>HYPERLINK("https://pbs.twimg.com/profile_images/702455638157168640/AeDgtn0C_normal.jpg","View")</f>
        <v>View</v>
      </c>
      <c r="P1784" s="15"/>
    </row>
    <row r="1785">
      <c r="A1785" s="7">
        <v>42425.84050925926</v>
      </c>
      <c r="B1785" s="8" t="str">
        <f>HYPERLINK("https://twitter.com/Josephine0xdata","@Josephine0xdata")</f>
        <v>@Josephine0xdata</v>
      </c>
      <c r="C1785" s="10" t="s">
        <v>3878</v>
      </c>
      <c r="D1785" s="10" t="s">
        <v>3879</v>
      </c>
      <c r="E1785" s="11" t="str">
        <f>HYPERLINK("https://twitter.com/Josephine0xdata/status/703069559973142528","703069559973142528")</f>
        <v>703069559973142528</v>
      </c>
      <c r="F1785" s="12" t="s">
        <v>52</v>
      </c>
      <c r="G1785" s="13">
        <v>204.0</v>
      </c>
      <c r="H1785" s="13">
        <v>533.0</v>
      </c>
      <c r="I1785" s="13">
        <v>10.0</v>
      </c>
      <c r="J1785" s="13">
        <v>0.0</v>
      </c>
      <c r="K1785" s="12" t="s">
        <v>21</v>
      </c>
      <c r="L1785" s="7">
        <v>41625.885300925926</v>
      </c>
      <c r="M1785" s="16"/>
      <c r="N1785" s="16"/>
      <c r="O1785" s="11" t="str">
        <f>HYPERLINK("https://pbs.twimg.com/profile_images/454592263092310016/VOug2BBW_normal.jpeg","View")</f>
        <v>View</v>
      </c>
      <c r="P1785" s="15"/>
    </row>
    <row r="1786">
      <c r="A1786" s="7">
        <v>42425.84077546296</v>
      </c>
      <c r="B1786" s="8" t="str">
        <f>HYPERLINK("https://twitter.com/jamal_moir","@jamal_moir")</f>
        <v>@jamal_moir</v>
      </c>
      <c r="C1786" s="10" t="s">
        <v>2939</v>
      </c>
      <c r="D1786" s="10" t="s">
        <v>3880</v>
      </c>
      <c r="E1786" s="11" t="str">
        <f>HYPERLINK("https://twitter.com/jamal_moir/status/703069659654828032","703069659654828032")</f>
        <v>703069659654828032</v>
      </c>
      <c r="F1786" s="12" t="s">
        <v>20</v>
      </c>
      <c r="G1786" s="13">
        <v>124.0</v>
      </c>
      <c r="H1786" s="13">
        <v>104.0</v>
      </c>
      <c r="I1786" s="13">
        <v>0.0</v>
      </c>
      <c r="J1786" s="13">
        <v>0.0</v>
      </c>
      <c r="K1786" s="12" t="s">
        <v>21</v>
      </c>
      <c r="L1786" s="7">
        <v>41517.25885416666</v>
      </c>
      <c r="M1786" s="14" t="s">
        <v>2941</v>
      </c>
      <c r="N1786" s="14" t="s">
        <v>2942</v>
      </c>
      <c r="O1786" s="11" t="str">
        <f>HYPERLINK("https://pbs.twimg.com/profile_images/701940703329284096/L4xW77o2_normal.jpg","View")</f>
        <v>View</v>
      </c>
      <c r="P1786" s="15"/>
    </row>
    <row r="1787">
      <c r="A1787" s="7">
        <v>42425.84103009259</v>
      </c>
      <c r="B1787" s="8" t="str">
        <f>HYPERLINK("https://twitter.com/MrMichaelPink","@MrMichaelPink")</f>
        <v>@MrMichaelPink</v>
      </c>
      <c r="C1787" s="10" t="s">
        <v>3881</v>
      </c>
      <c r="D1787" s="10" t="s">
        <v>3882</v>
      </c>
      <c r="E1787" s="11" t="str">
        <f>HYPERLINK("https://twitter.com/MrMichaelPink/status/703069748867817472","703069748867817472")</f>
        <v>703069748867817472</v>
      </c>
      <c r="F1787" s="12" t="s">
        <v>103</v>
      </c>
      <c r="G1787" s="13">
        <v>534.0</v>
      </c>
      <c r="H1787" s="13">
        <v>5.0</v>
      </c>
      <c r="I1787" s="13">
        <v>0.0</v>
      </c>
      <c r="J1787" s="13">
        <v>1.0</v>
      </c>
      <c r="K1787" s="12" t="s">
        <v>21</v>
      </c>
      <c r="L1787" s="7">
        <v>42407.668067129634</v>
      </c>
      <c r="M1787" s="14" t="s">
        <v>2034</v>
      </c>
      <c r="N1787" s="14" t="s">
        <v>3883</v>
      </c>
      <c r="O1787" s="11" t="str">
        <f>HYPERLINK("https://pbs.twimg.com/profile_images/696484706758557697/A9RVQXwc_normal.jpg","View")</f>
        <v>View</v>
      </c>
      <c r="P1787" s="15"/>
    </row>
    <row r="1788">
      <c r="A1788" s="7">
        <v>42425.84208333334</v>
      </c>
      <c r="B1788" s="8" t="str">
        <f t="shared" ref="B1788:B1795" si="189">HYPERLINK("https://twitter.com/NowLivecodingtv","@NowLivecodingtv")</f>
        <v>@NowLivecodingtv</v>
      </c>
      <c r="C1788" s="10" t="s">
        <v>2320</v>
      </c>
      <c r="D1788" s="10" t="s">
        <v>3879</v>
      </c>
      <c r="E1788" s="11" t="str">
        <f>HYPERLINK("https://twitter.com/NowLivecodingtv/status/703070133099634690","703070133099634690")</f>
        <v>703070133099634690</v>
      </c>
      <c r="F1788" s="12" t="s">
        <v>2321</v>
      </c>
      <c r="G1788" s="13">
        <v>131.0</v>
      </c>
      <c r="H1788" s="13">
        <v>16.0</v>
      </c>
      <c r="I1788" s="13">
        <v>10.0</v>
      </c>
      <c r="J1788" s="13">
        <v>0.0</v>
      </c>
      <c r="K1788" s="12" t="s">
        <v>21</v>
      </c>
      <c r="L1788" s="7">
        <v>42346.15972222222</v>
      </c>
      <c r="M1788" s="14" t="s">
        <v>69</v>
      </c>
      <c r="N1788" s="14" t="s">
        <v>633</v>
      </c>
      <c r="O1788" s="11" t="str">
        <f t="shared" ref="O1788:O1795" si="190">HYPERLINK("https://pbs.twimg.com/profile_images/699984077877874688/aR2ovqId_normal.png","View")</f>
        <v>View</v>
      </c>
      <c r="P1788" s="15"/>
    </row>
    <row r="1789">
      <c r="A1789" s="7">
        <v>42425.84210648148</v>
      </c>
      <c r="B1789" s="8" t="str">
        <f t="shared" si="189"/>
        <v>@NowLivecodingtv</v>
      </c>
      <c r="C1789" s="10" t="s">
        <v>2320</v>
      </c>
      <c r="D1789" s="10" t="s">
        <v>3556</v>
      </c>
      <c r="E1789" s="11" t="str">
        <f>HYPERLINK("https://twitter.com/NowLivecodingtv/status/703070140234080257","703070140234080257")</f>
        <v>703070140234080257</v>
      </c>
      <c r="F1789" s="12" t="s">
        <v>2321</v>
      </c>
      <c r="G1789" s="13">
        <v>131.0</v>
      </c>
      <c r="H1789" s="13">
        <v>16.0</v>
      </c>
      <c r="I1789" s="13">
        <v>9.0</v>
      </c>
      <c r="J1789" s="13">
        <v>0.0</v>
      </c>
      <c r="K1789" s="12" t="s">
        <v>21</v>
      </c>
      <c r="L1789" s="7">
        <v>42346.15972222222</v>
      </c>
      <c r="M1789" s="14" t="s">
        <v>69</v>
      </c>
      <c r="N1789" s="14" t="s">
        <v>633</v>
      </c>
      <c r="O1789" s="11" t="str">
        <f t="shared" si="190"/>
        <v>View</v>
      </c>
      <c r="P1789" s="15"/>
    </row>
    <row r="1790">
      <c r="A1790" s="7">
        <v>42425.84211805556</v>
      </c>
      <c r="B1790" s="8" t="str">
        <f t="shared" si="189"/>
        <v>@NowLivecodingtv</v>
      </c>
      <c r="C1790" s="10" t="s">
        <v>2320</v>
      </c>
      <c r="D1790" s="10" t="s">
        <v>3228</v>
      </c>
      <c r="E1790" s="11" t="str">
        <f>HYPERLINK("https://twitter.com/NowLivecodingtv/status/703070143677652992","703070143677652992")</f>
        <v>703070143677652992</v>
      </c>
      <c r="F1790" s="12" t="s">
        <v>2321</v>
      </c>
      <c r="G1790" s="13">
        <v>131.0</v>
      </c>
      <c r="H1790" s="13">
        <v>16.0</v>
      </c>
      <c r="I1790" s="13">
        <v>9.0</v>
      </c>
      <c r="J1790" s="13">
        <v>0.0</v>
      </c>
      <c r="K1790" s="12" t="s">
        <v>21</v>
      </c>
      <c r="L1790" s="7">
        <v>42346.15972222222</v>
      </c>
      <c r="M1790" s="14" t="s">
        <v>69</v>
      </c>
      <c r="N1790" s="14" t="s">
        <v>633</v>
      </c>
      <c r="O1790" s="11" t="str">
        <f t="shared" si="190"/>
        <v>View</v>
      </c>
      <c r="P1790" s="15"/>
    </row>
    <row r="1791">
      <c r="A1791" s="7">
        <v>42425.84211805556</v>
      </c>
      <c r="B1791" s="8" t="str">
        <f t="shared" si="189"/>
        <v>@NowLivecodingtv</v>
      </c>
      <c r="C1791" s="10" t="s">
        <v>2320</v>
      </c>
      <c r="D1791" s="10" t="s">
        <v>3228</v>
      </c>
      <c r="E1791" s="11" t="str">
        <f>HYPERLINK("https://twitter.com/NowLivecodingtv/status/703070144914968576","703070144914968576")</f>
        <v>703070144914968576</v>
      </c>
      <c r="F1791" s="12" t="s">
        <v>2321</v>
      </c>
      <c r="G1791" s="13">
        <v>131.0</v>
      </c>
      <c r="H1791" s="13">
        <v>16.0</v>
      </c>
      <c r="I1791" s="13">
        <v>9.0</v>
      </c>
      <c r="J1791" s="13">
        <v>0.0</v>
      </c>
      <c r="K1791" s="12" t="s">
        <v>21</v>
      </c>
      <c r="L1791" s="7">
        <v>42346.15972222222</v>
      </c>
      <c r="M1791" s="14" t="s">
        <v>69</v>
      </c>
      <c r="N1791" s="14" t="s">
        <v>633</v>
      </c>
      <c r="O1791" s="11" t="str">
        <f t="shared" si="190"/>
        <v>View</v>
      </c>
      <c r="P1791" s="15"/>
    </row>
    <row r="1792">
      <c r="A1792" s="7">
        <v>42425.84212962963</v>
      </c>
      <c r="B1792" s="8" t="str">
        <f t="shared" si="189"/>
        <v>@NowLivecodingtv</v>
      </c>
      <c r="C1792" s="10" t="s">
        <v>2320</v>
      </c>
      <c r="D1792" s="10" t="s">
        <v>3183</v>
      </c>
      <c r="E1792" s="11" t="str">
        <f>HYPERLINK("https://twitter.com/NowLivecodingtv/status/703070149893627907","703070149893627907")</f>
        <v>703070149893627907</v>
      </c>
      <c r="F1792" s="12" t="s">
        <v>2321</v>
      </c>
      <c r="G1792" s="13">
        <v>131.0</v>
      </c>
      <c r="H1792" s="13">
        <v>16.0</v>
      </c>
      <c r="I1792" s="13">
        <v>11.0</v>
      </c>
      <c r="J1792" s="13">
        <v>0.0</v>
      </c>
      <c r="K1792" s="12" t="s">
        <v>21</v>
      </c>
      <c r="L1792" s="7">
        <v>42346.15972222222</v>
      </c>
      <c r="M1792" s="14" t="s">
        <v>69</v>
      </c>
      <c r="N1792" s="14" t="s">
        <v>633</v>
      </c>
      <c r="O1792" s="11" t="str">
        <f t="shared" si="190"/>
        <v>View</v>
      </c>
      <c r="P1792" s="15"/>
    </row>
    <row r="1793">
      <c r="A1793" s="7">
        <v>42425.8421412037</v>
      </c>
      <c r="B1793" s="8" t="str">
        <f t="shared" si="189"/>
        <v>@NowLivecodingtv</v>
      </c>
      <c r="C1793" s="10" t="s">
        <v>2320</v>
      </c>
      <c r="D1793" s="10" t="s">
        <v>2972</v>
      </c>
      <c r="E1793" s="11" t="str">
        <f>HYPERLINK("https://twitter.com/NowLivecodingtv/status/703070152888340480","703070152888340480")</f>
        <v>703070152888340480</v>
      </c>
      <c r="F1793" s="12" t="s">
        <v>2321</v>
      </c>
      <c r="G1793" s="13">
        <v>131.0</v>
      </c>
      <c r="H1793" s="13">
        <v>16.0</v>
      </c>
      <c r="I1793" s="13">
        <v>6.0</v>
      </c>
      <c r="J1793" s="13">
        <v>0.0</v>
      </c>
      <c r="K1793" s="12" t="s">
        <v>21</v>
      </c>
      <c r="L1793" s="7">
        <v>42346.15972222222</v>
      </c>
      <c r="M1793" s="14" t="s">
        <v>69</v>
      </c>
      <c r="N1793" s="14" t="s">
        <v>633</v>
      </c>
      <c r="O1793" s="11" t="str">
        <f t="shared" si="190"/>
        <v>View</v>
      </c>
      <c r="P1793" s="15"/>
    </row>
    <row r="1794">
      <c r="A1794" s="7">
        <v>42425.84215277778</v>
      </c>
      <c r="B1794" s="8" t="str">
        <f t="shared" si="189"/>
        <v>@NowLivecodingtv</v>
      </c>
      <c r="C1794" s="10" t="s">
        <v>2320</v>
      </c>
      <c r="D1794" s="10" t="s">
        <v>1102</v>
      </c>
      <c r="E1794" s="11" t="str">
        <f>HYPERLINK("https://twitter.com/NowLivecodingtv/status/703070155325231104","703070155325231104")</f>
        <v>703070155325231104</v>
      </c>
      <c r="F1794" s="12" t="s">
        <v>2321</v>
      </c>
      <c r="G1794" s="13">
        <v>131.0</v>
      </c>
      <c r="H1794" s="13">
        <v>16.0</v>
      </c>
      <c r="I1794" s="13">
        <v>14.0</v>
      </c>
      <c r="J1794" s="13">
        <v>0.0</v>
      </c>
      <c r="K1794" s="12" t="s">
        <v>21</v>
      </c>
      <c r="L1794" s="7">
        <v>42346.15972222222</v>
      </c>
      <c r="M1794" s="14" t="s">
        <v>69</v>
      </c>
      <c r="N1794" s="14" t="s">
        <v>633</v>
      </c>
      <c r="O1794" s="11" t="str">
        <f t="shared" si="190"/>
        <v>View</v>
      </c>
      <c r="P1794" s="15"/>
    </row>
    <row r="1795">
      <c r="A1795" s="7">
        <v>42425.8421875</v>
      </c>
      <c r="B1795" s="8" t="str">
        <f t="shared" si="189"/>
        <v>@NowLivecodingtv</v>
      </c>
      <c r="C1795" s="10" t="s">
        <v>2320</v>
      </c>
      <c r="D1795" s="10" t="s">
        <v>2282</v>
      </c>
      <c r="E1795" s="11" t="str">
        <f>HYPERLINK("https://twitter.com/NowLivecodingtv/status/703070167853621248","703070167853621248")</f>
        <v>703070167853621248</v>
      </c>
      <c r="F1795" s="12" t="s">
        <v>2321</v>
      </c>
      <c r="G1795" s="13">
        <v>131.0</v>
      </c>
      <c r="H1795" s="13">
        <v>16.0</v>
      </c>
      <c r="I1795" s="13">
        <v>6.0</v>
      </c>
      <c r="J1795" s="13">
        <v>0.0</v>
      </c>
      <c r="K1795" s="12" t="s">
        <v>21</v>
      </c>
      <c r="L1795" s="7">
        <v>42346.15972222222</v>
      </c>
      <c r="M1795" s="14" t="s">
        <v>69</v>
      </c>
      <c r="N1795" s="14" t="s">
        <v>633</v>
      </c>
      <c r="O1795" s="11" t="str">
        <f t="shared" si="190"/>
        <v>View</v>
      </c>
      <c r="P1795" s="15"/>
    </row>
    <row r="1796">
      <c r="A1796" s="7">
        <v>42425.84252314815</v>
      </c>
      <c r="B1796" s="8" t="str">
        <f>HYPERLINK("https://twitter.com/iotsecurity2","@iotsecurity2")</f>
        <v>@iotsecurity2</v>
      </c>
      <c r="C1796" s="10" t="s">
        <v>3884</v>
      </c>
      <c r="D1796" s="10" t="s">
        <v>3228</v>
      </c>
      <c r="E1796" s="11" t="str">
        <f>HYPERLINK("https://twitter.com/iotsecurity2/status/703070289815539712","703070289815539712")</f>
        <v>703070289815539712</v>
      </c>
      <c r="F1796" s="12" t="s">
        <v>3885</v>
      </c>
      <c r="G1796" s="13">
        <v>216.0</v>
      </c>
      <c r="H1796" s="13">
        <v>38.0</v>
      </c>
      <c r="I1796" s="13">
        <v>9.0</v>
      </c>
      <c r="J1796" s="13">
        <v>0.0</v>
      </c>
      <c r="K1796" s="12" t="s">
        <v>21</v>
      </c>
      <c r="L1796" s="7">
        <v>42420.32898148148</v>
      </c>
      <c r="M1796" s="16"/>
      <c r="N1796" s="16"/>
      <c r="O1796" s="11" t="str">
        <f>HYPERLINK("https://abs.twimg.com/sticky/default_profile_images/default_profile_3_normal.png","View")</f>
        <v>View</v>
      </c>
      <c r="P1796" s="15"/>
    </row>
    <row r="1797">
      <c r="A1797" s="7">
        <v>42425.84297453704</v>
      </c>
      <c r="B1797" s="8" t="str">
        <f>HYPERLINK("https://twitter.com/NowLivecodingtv","@NowLivecodingtv")</f>
        <v>@NowLivecodingtv</v>
      </c>
      <c r="C1797" s="10" t="s">
        <v>2320</v>
      </c>
      <c r="D1797" s="10" t="s">
        <v>2287</v>
      </c>
      <c r="E1797" s="11" t="str">
        <f>HYPERLINK("https://twitter.com/NowLivecodingtv/status/703070455872294912","703070455872294912")</f>
        <v>703070455872294912</v>
      </c>
      <c r="F1797" s="12" t="s">
        <v>2321</v>
      </c>
      <c r="G1797" s="13">
        <v>131.0</v>
      </c>
      <c r="H1797" s="13">
        <v>16.0</v>
      </c>
      <c r="I1797" s="13">
        <v>16.0</v>
      </c>
      <c r="J1797" s="13">
        <v>0.0</v>
      </c>
      <c r="K1797" s="12" t="s">
        <v>21</v>
      </c>
      <c r="L1797" s="7">
        <v>42346.15972222222</v>
      </c>
      <c r="M1797" s="14" t="s">
        <v>69</v>
      </c>
      <c r="N1797" s="14" t="s">
        <v>633</v>
      </c>
      <c r="O1797" s="11" t="str">
        <f>HYPERLINK("https://pbs.twimg.com/profile_images/699984077877874688/aR2ovqId_normal.png","View")</f>
        <v>View</v>
      </c>
      <c r="P1797" s="15"/>
    </row>
    <row r="1798">
      <c r="A1798" s="7">
        <v>42425.84324074074</v>
      </c>
      <c r="B1798" s="8" t="str">
        <f>HYPERLINK("https://twitter.com/jletteboer","@jletteboer")</f>
        <v>@jletteboer</v>
      </c>
      <c r="C1798" s="10" t="s">
        <v>3886</v>
      </c>
      <c r="D1798" s="10" t="s">
        <v>3887</v>
      </c>
      <c r="E1798" s="11" t="str">
        <f>HYPERLINK("https://twitter.com/jletteboer/status/703070549250076672","703070549250076672")</f>
        <v>703070549250076672</v>
      </c>
      <c r="F1798" s="17" t="s">
        <v>718</v>
      </c>
      <c r="G1798" s="13">
        <v>818.0</v>
      </c>
      <c r="H1798" s="13">
        <v>786.0</v>
      </c>
      <c r="I1798" s="13">
        <v>0.0</v>
      </c>
      <c r="J1798" s="13">
        <v>3.0</v>
      </c>
      <c r="K1798" s="12" t="s">
        <v>21</v>
      </c>
      <c r="L1798" s="7">
        <v>40142.24915509259</v>
      </c>
      <c r="M1798" s="14" t="s">
        <v>1007</v>
      </c>
      <c r="N1798" s="14" t="s">
        <v>3888</v>
      </c>
      <c r="O1798" s="11" t="str">
        <f>HYPERLINK("https://pbs.twimg.com/profile_images/524199331365015552/O94t9yIe_normal.jpeg","View")</f>
        <v>View</v>
      </c>
      <c r="P1798" s="15"/>
    </row>
    <row r="1799">
      <c r="A1799" s="7">
        <v>42425.84490740741</v>
      </c>
      <c r="B1799" s="8" t="str">
        <f>HYPERLINK("https://twitter.com/NCHSRedhawksCTE","@NCHSRedhawksCTE")</f>
        <v>@NCHSRedhawksCTE</v>
      </c>
      <c r="C1799" s="10" t="s">
        <v>3889</v>
      </c>
      <c r="D1799" s="10" t="s">
        <v>3890</v>
      </c>
      <c r="E1799" s="11" t="str">
        <f>HYPERLINK("https://twitter.com/NCHSRedhawksCTE/status/703071154131480576","703071154131480576")</f>
        <v>703071154131480576</v>
      </c>
      <c r="F1799" s="12" t="s">
        <v>52</v>
      </c>
      <c r="G1799" s="13">
        <v>28.0</v>
      </c>
      <c r="H1799" s="13">
        <v>26.0</v>
      </c>
      <c r="I1799" s="13">
        <v>1.0</v>
      </c>
      <c r="J1799" s="13">
        <v>0.0</v>
      </c>
      <c r="K1799" s="12" t="s">
        <v>21</v>
      </c>
      <c r="L1799" s="7">
        <v>42409.824224537035</v>
      </c>
      <c r="M1799" s="14" t="s">
        <v>3891</v>
      </c>
      <c r="N1799" s="14" t="s">
        <v>3892</v>
      </c>
      <c r="O1799" s="11" t="str">
        <f>HYPERLINK("https://pbs.twimg.com/profile_images/702599612952088581/bNRDC5qq_normal.jpg","View")</f>
        <v>View</v>
      </c>
      <c r="P1799" s="15"/>
    </row>
    <row r="1800">
      <c r="A1800" s="7">
        <v>42425.8455324074</v>
      </c>
      <c r="B1800" s="8" t="str">
        <f>HYPERLINK("https://twitter.com/imharit","@imharit")</f>
        <v>@imharit</v>
      </c>
      <c r="C1800" s="10" t="s">
        <v>3893</v>
      </c>
      <c r="D1800" s="10" t="s">
        <v>3894</v>
      </c>
      <c r="E1800" s="11" t="str">
        <f>HYPERLINK("https://twitter.com/imharit/status/703071382695866368","703071382695866368")</f>
        <v>703071382695866368</v>
      </c>
      <c r="F1800" s="12" t="s">
        <v>20</v>
      </c>
      <c r="G1800" s="13">
        <v>290.0</v>
      </c>
      <c r="H1800" s="13">
        <v>305.0</v>
      </c>
      <c r="I1800" s="13">
        <v>0.0</v>
      </c>
      <c r="J1800" s="13">
        <v>1.0</v>
      </c>
      <c r="K1800" s="12" t="s">
        <v>21</v>
      </c>
      <c r="L1800" s="7">
        <v>41037.25498842593</v>
      </c>
      <c r="M1800" s="14" t="s">
        <v>3895</v>
      </c>
      <c r="N1800" s="14" t="s">
        <v>3896</v>
      </c>
      <c r="O1800" s="11" t="str">
        <f>HYPERLINK("https://pbs.twimg.com/profile_images/676486126413066240/Dnqa99k8_normal.jpg","View")</f>
        <v>View</v>
      </c>
      <c r="P1800" s="15"/>
    </row>
    <row r="1801">
      <c r="A1801" s="7">
        <v>42425.84579861111</v>
      </c>
      <c r="B1801" s="8" t="str">
        <f>HYPERLINK("https://twitter.com/PythonBooks","@PythonBooks")</f>
        <v>@PythonBooks</v>
      </c>
      <c r="C1801" s="10" t="s">
        <v>267</v>
      </c>
      <c r="D1801" s="10" t="s">
        <v>1102</v>
      </c>
      <c r="E1801" s="11" t="str">
        <f>HYPERLINK("https://twitter.com/PythonBooks/status/703071476165939200","703071476165939200")</f>
        <v>703071476165939200</v>
      </c>
      <c r="F1801" s="12" t="s">
        <v>20</v>
      </c>
      <c r="G1801" s="13">
        <v>20.0</v>
      </c>
      <c r="H1801" s="13">
        <v>70.0</v>
      </c>
      <c r="I1801" s="13">
        <v>14.0</v>
      </c>
      <c r="J1801" s="13">
        <v>0.0</v>
      </c>
      <c r="K1801" s="12" t="s">
        <v>21</v>
      </c>
      <c r="L1801" s="7">
        <v>42424.13631944444</v>
      </c>
      <c r="M1801" s="14" t="s">
        <v>269</v>
      </c>
      <c r="N1801" s="14" t="s">
        <v>270</v>
      </c>
      <c r="O1801" s="11" t="str">
        <f>HYPERLINK("https://pbs.twimg.com/profile_images/702455638157168640/AeDgtn0C_normal.jpg","View")</f>
        <v>View</v>
      </c>
      <c r="P1801" s="15"/>
    </row>
    <row r="1802">
      <c r="A1802" s="7">
        <v>42425.846550925926</v>
      </c>
      <c r="B1802" s="8" t="str">
        <f>HYPERLINK("https://twitter.com/orchid00","@orchid00")</f>
        <v>@orchid00</v>
      </c>
      <c r="C1802" s="10" t="s">
        <v>3897</v>
      </c>
      <c r="D1802" s="10" t="s">
        <v>3898</v>
      </c>
      <c r="E1802" s="11" t="str">
        <f>HYPERLINK("https://twitter.com/orchid00/status/703071752851554304","703071752851554304")</f>
        <v>703071752851554304</v>
      </c>
      <c r="F1802" s="12" t="s">
        <v>20</v>
      </c>
      <c r="G1802" s="13">
        <v>224.0</v>
      </c>
      <c r="H1802" s="13">
        <v>640.0</v>
      </c>
      <c r="I1802" s="13">
        <v>2.0</v>
      </c>
      <c r="J1802" s="13">
        <v>2.0</v>
      </c>
      <c r="K1802" s="12" t="s">
        <v>21</v>
      </c>
      <c r="L1802" s="7">
        <v>39882.4521875</v>
      </c>
      <c r="M1802" s="14" t="s">
        <v>3899</v>
      </c>
      <c r="N1802" s="14" t="s">
        <v>3900</v>
      </c>
      <c r="O1802" s="11" t="str">
        <f>HYPERLINK("https://pbs.twimg.com/profile_images/571189146421456896/yb4j8orE_normal.jpeg","View")</f>
        <v>View</v>
      </c>
      <c r="P1802" s="15"/>
    </row>
    <row r="1803">
      <c r="A1803" s="7">
        <v>42425.847280092596</v>
      </c>
      <c r="B1803" s="8" t="str">
        <f>HYPERLINK("https://twitter.com/AusBatAws","@AusBatAws")</f>
        <v>@AusBatAws</v>
      </c>
      <c r="C1803" s="10" t="s">
        <v>2470</v>
      </c>
      <c r="D1803" s="10" t="s">
        <v>3901</v>
      </c>
      <c r="E1803" s="11" t="str">
        <f>HYPERLINK("https://twitter.com/AusBatAws/status/703072015192887297","703072015192887297")</f>
        <v>703072015192887297</v>
      </c>
      <c r="F1803" s="12" t="s">
        <v>2472</v>
      </c>
      <c r="G1803" s="13">
        <v>69.0</v>
      </c>
      <c r="H1803" s="13">
        <v>274.0</v>
      </c>
      <c r="I1803" s="13">
        <v>0.0</v>
      </c>
      <c r="J1803" s="13">
        <v>1.0</v>
      </c>
      <c r="K1803" s="12" t="s">
        <v>21</v>
      </c>
      <c r="L1803" s="7">
        <v>42397.746296296296</v>
      </c>
      <c r="M1803" s="14" t="s">
        <v>2473</v>
      </c>
      <c r="N1803" s="14" t="s">
        <v>2474</v>
      </c>
      <c r="O1803" s="11" t="str">
        <f>HYPERLINK("https://pbs.twimg.com/profile_images/692891971745030150/clbtNhen_normal.jpg","View")</f>
        <v>View</v>
      </c>
      <c r="P1803" s="15"/>
    </row>
    <row r="1804">
      <c r="A1804" s="7">
        <v>42425.847557870366</v>
      </c>
      <c r="B1804" s="8" t="str">
        <f>HYPERLINK("https://twitter.com/ledzeptickets","@ledzeptickets")</f>
        <v>@ledzeptickets</v>
      </c>
      <c r="C1804" s="10" t="s">
        <v>3902</v>
      </c>
      <c r="D1804" s="10" t="s">
        <v>3903</v>
      </c>
      <c r="E1804" s="11" t="str">
        <f>HYPERLINK("https://twitter.com/ledzeptickets/status/703072115977691136","703072115977691136")</f>
        <v>703072115977691136</v>
      </c>
      <c r="F1804" s="12" t="s">
        <v>20</v>
      </c>
      <c r="G1804" s="13">
        <v>1241.0</v>
      </c>
      <c r="H1804" s="13">
        <v>2300.0</v>
      </c>
      <c r="I1804" s="13">
        <v>1.0</v>
      </c>
      <c r="J1804" s="13">
        <v>0.0</v>
      </c>
      <c r="K1804" s="12" t="s">
        <v>21</v>
      </c>
      <c r="L1804" s="7">
        <v>40189.540243055555</v>
      </c>
      <c r="M1804" s="14" t="s">
        <v>2544</v>
      </c>
      <c r="N1804" s="14" t="s">
        <v>3904</v>
      </c>
      <c r="O1804" s="11" t="str">
        <f>HYPERLINK("https://pbs.twimg.com/profile_images/2452221844/mxpnnhsxr134urxwut0b_normal.jpeg","View")</f>
        <v>View</v>
      </c>
      <c r="P1804" s="15"/>
    </row>
    <row r="1805">
      <c r="A1805" s="7">
        <v>42425.847708333335</v>
      </c>
      <c r="B1805" s="8" t="str">
        <f t="shared" ref="B1805:B1807" si="191">HYPERLINK("https://twitter.com/LillianEdmiston","@LillianEdmiston")</f>
        <v>@LillianEdmiston</v>
      </c>
      <c r="C1805" s="10" t="s">
        <v>170</v>
      </c>
      <c r="D1805" s="10" t="s">
        <v>3905</v>
      </c>
      <c r="E1805" s="11" t="str">
        <f>HYPERLINK("https://twitter.com/LillianEdmiston/status/703072171560734720","703072171560734720")</f>
        <v>703072171560734720</v>
      </c>
      <c r="F1805" s="12" t="s">
        <v>103</v>
      </c>
      <c r="G1805" s="13">
        <v>1050.0</v>
      </c>
      <c r="H1805" s="13">
        <v>40.0</v>
      </c>
      <c r="I1805" s="13">
        <v>0.0</v>
      </c>
      <c r="J1805" s="13">
        <v>0.0</v>
      </c>
      <c r="K1805" s="12" t="s">
        <v>21</v>
      </c>
      <c r="L1805" s="7">
        <v>42293.27416666667</v>
      </c>
      <c r="M1805" s="14" t="s">
        <v>172</v>
      </c>
      <c r="N1805" s="14" t="s">
        <v>173</v>
      </c>
      <c r="O1805" s="11" t="str">
        <f t="shared" ref="O1805:O1807" si="192">HYPERLINK("https://pbs.twimg.com/profile_images/655014978101993476/ZpsnJW8B_normal.jpg","View")</f>
        <v>View</v>
      </c>
      <c r="P1805" s="15"/>
    </row>
    <row r="1806">
      <c r="A1806" s="7">
        <v>42425.84771990741</v>
      </c>
      <c r="B1806" s="8" t="str">
        <f t="shared" si="191"/>
        <v>@LillianEdmiston</v>
      </c>
      <c r="C1806" s="10" t="s">
        <v>170</v>
      </c>
      <c r="D1806" s="10" t="s">
        <v>3906</v>
      </c>
      <c r="E1806" s="11" t="str">
        <f>HYPERLINK("https://twitter.com/LillianEdmiston/status/703072173007740928","703072173007740928")</f>
        <v>703072173007740928</v>
      </c>
      <c r="F1806" s="12" t="s">
        <v>103</v>
      </c>
      <c r="G1806" s="13">
        <v>1050.0</v>
      </c>
      <c r="H1806" s="13">
        <v>40.0</v>
      </c>
      <c r="I1806" s="13">
        <v>0.0</v>
      </c>
      <c r="J1806" s="13">
        <v>1.0</v>
      </c>
      <c r="K1806" s="12" t="s">
        <v>21</v>
      </c>
      <c r="L1806" s="7">
        <v>42293.27416666667</v>
      </c>
      <c r="M1806" s="14" t="s">
        <v>172</v>
      </c>
      <c r="N1806" s="14" t="s">
        <v>173</v>
      </c>
      <c r="O1806" s="11" t="str">
        <f t="shared" si="192"/>
        <v>View</v>
      </c>
      <c r="P1806" s="15"/>
    </row>
    <row r="1807">
      <c r="A1807" s="7">
        <v>42425.84771990741</v>
      </c>
      <c r="B1807" s="8" t="str">
        <f t="shared" si="191"/>
        <v>@LillianEdmiston</v>
      </c>
      <c r="C1807" s="10" t="s">
        <v>170</v>
      </c>
      <c r="D1807" s="10" t="s">
        <v>3907</v>
      </c>
      <c r="E1807" s="11" t="str">
        <f>HYPERLINK("https://twitter.com/LillianEdmiston/status/703072175381716992","703072175381716992")</f>
        <v>703072175381716992</v>
      </c>
      <c r="F1807" s="12" t="s">
        <v>103</v>
      </c>
      <c r="G1807" s="13">
        <v>1050.0</v>
      </c>
      <c r="H1807" s="13">
        <v>40.0</v>
      </c>
      <c r="I1807" s="13">
        <v>0.0</v>
      </c>
      <c r="J1807" s="13">
        <v>0.0</v>
      </c>
      <c r="K1807" s="12" t="s">
        <v>21</v>
      </c>
      <c r="L1807" s="7">
        <v>42293.27416666667</v>
      </c>
      <c r="M1807" s="14" t="s">
        <v>172</v>
      </c>
      <c r="N1807" s="14" t="s">
        <v>173</v>
      </c>
      <c r="O1807" s="11" t="str">
        <f t="shared" si="192"/>
        <v>View</v>
      </c>
      <c r="P1807" s="15"/>
    </row>
    <row r="1808">
      <c r="A1808" s="7">
        <v>42425.84800925926</v>
      </c>
      <c r="B1808" s="8" t="str">
        <f>HYPERLINK("https://twitter.com/PythonBooks","@PythonBooks")</f>
        <v>@PythonBooks</v>
      </c>
      <c r="C1808" s="10" t="s">
        <v>267</v>
      </c>
      <c r="D1808" s="10" t="s">
        <v>81</v>
      </c>
      <c r="E1808" s="11" t="str">
        <f>HYPERLINK("https://twitter.com/PythonBooks/status/703072277592567808","703072277592567808")</f>
        <v>703072277592567808</v>
      </c>
      <c r="F1808" s="12" t="s">
        <v>20</v>
      </c>
      <c r="G1808" s="13">
        <v>20.0</v>
      </c>
      <c r="H1808" s="13">
        <v>70.0</v>
      </c>
      <c r="I1808" s="13">
        <v>5.0</v>
      </c>
      <c r="J1808" s="13">
        <v>0.0</v>
      </c>
      <c r="K1808" s="12" t="s">
        <v>21</v>
      </c>
      <c r="L1808" s="7">
        <v>42424.13631944444</v>
      </c>
      <c r="M1808" s="14" t="s">
        <v>269</v>
      </c>
      <c r="N1808" s="14" t="s">
        <v>270</v>
      </c>
      <c r="O1808" s="11" t="str">
        <f>HYPERLINK("https://pbs.twimg.com/profile_images/702455638157168640/AeDgtn0C_normal.jpg","View")</f>
        <v>View</v>
      </c>
      <c r="P1808" s="15"/>
    </row>
    <row r="1809">
      <c r="A1809" s="7">
        <v>42425.849027777775</v>
      </c>
      <c r="B1809" s="8" t="str">
        <f>HYPERLINK("https://twitter.com/lecamerone","@lecamerone")</f>
        <v>@lecamerone</v>
      </c>
      <c r="C1809" s="10" t="s">
        <v>3908</v>
      </c>
      <c r="D1809" s="10" t="s">
        <v>3909</v>
      </c>
      <c r="E1809" s="11" t="str">
        <f>HYPERLINK("https://twitter.com/lecamerone/status/703072648582922240","703072648582922240")</f>
        <v>703072648582922240</v>
      </c>
      <c r="F1809" s="12" t="s">
        <v>20</v>
      </c>
      <c r="G1809" s="13">
        <v>168.0</v>
      </c>
      <c r="H1809" s="13">
        <v>262.0</v>
      </c>
      <c r="I1809" s="13">
        <v>0.0</v>
      </c>
      <c r="J1809" s="13">
        <v>0.0</v>
      </c>
      <c r="K1809" s="12" t="s">
        <v>21</v>
      </c>
      <c r="L1809" s="7">
        <v>40013.85157407408</v>
      </c>
      <c r="M1809" s="14" t="s">
        <v>3780</v>
      </c>
      <c r="N1809" s="14" t="s">
        <v>3910</v>
      </c>
      <c r="O1809" s="11" t="str">
        <f>HYPERLINK("https://pbs.twimg.com/profile_images/593021280837701632/YpLbNF_5_normal.jpg","View")</f>
        <v>View</v>
      </c>
      <c r="P1809" s="15"/>
    </row>
    <row r="1810">
      <c r="A1810" s="7">
        <v>42425.84984953704</v>
      </c>
      <c r="B1810" s="8" t="str">
        <f>HYPERLINK("https://twitter.com/py3k","@py3k")</f>
        <v>@py3k</v>
      </c>
      <c r="C1810" s="10" t="s">
        <v>297</v>
      </c>
      <c r="D1810" s="10" t="s">
        <v>3911</v>
      </c>
      <c r="E1810" s="11" t="str">
        <f>HYPERLINK("https://twitter.com/py3k/status/703072946605187072","703072946605187072")</f>
        <v>703072946605187072</v>
      </c>
      <c r="F1810" s="12" t="s">
        <v>299</v>
      </c>
      <c r="G1810" s="13">
        <v>1623.0</v>
      </c>
      <c r="H1810" s="13">
        <v>676.0</v>
      </c>
      <c r="I1810" s="13">
        <v>1.0</v>
      </c>
      <c r="J1810" s="13">
        <v>0.0</v>
      </c>
      <c r="K1810" s="12" t="s">
        <v>21</v>
      </c>
      <c r="L1810" s="7">
        <v>41096.62268518518</v>
      </c>
      <c r="M1810" s="16"/>
      <c r="N1810" s="14" t="s">
        <v>300</v>
      </c>
      <c r="O1810" s="11" t="str">
        <f>HYPERLINK("https://pbs.twimg.com/profile_images/2474433856/p075cerxh0arpea6ceip_normal.png","View")</f>
        <v>View</v>
      </c>
      <c r="P1810" s="15"/>
    </row>
    <row r="1811">
      <c r="A1811" s="7">
        <v>42425.85025462963</v>
      </c>
      <c r="B1811" s="8" t="str">
        <f>HYPERLINK("https://twitter.com/lecamerone","@lecamerone")</f>
        <v>@lecamerone</v>
      </c>
      <c r="C1811" s="10" t="s">
        <v>3908</v>
      </c>
      <c r="D1811" s="10" t="s">
        <v>3912</v>
      </c>
      <c r="E1811" s="11" t="str">
        <f>HYPERLINK("https://twitter.com/lecamerone/status/703073093363716096","703073093363716096")</f>
        <v>703073093363716096</v>
      </c>
      <c r="F1811" s="12" t="s">
        <v>20</v>
      </c>
      <c r="G1811" s="13">
        <v>168.0</v>
      </c>
      <c r="H1811" s="13">
        <v>262.0</v>
      </c>
      <c r="I1811" s="13">
        <v>0.0</v>
      </c>
      <c r="J1811" s="13">
        <v>0.0</v>
      </c>
      <c r="K1811" s="12" t="s">
        <v>21</v>
      </c>
      <c r="L1811" s="7">
        <v>40013.85157407408</v>
      </c>
      <c r="M1811" s="14" t="s">
        <v>3780</v>
      </c>
      <c r="N1811" s="14" t="s">
        <v>3910</v>
      </c>
      <c r="O1811" s="11" t="str">
        <f>HYPERLINK("https://pbs.twimg.com/profile_images/593021280837701632/YpLbNF_5_normal.jpg","View")</f>
        <v>View</v>
      </c>
      <c r="P1811" s="15"/>
    </row>
    <row r="1812">
      <c r="A1812" s="7">
        <v>42425.850740740745</v>
      </c>
      <c r="B1812" s="8" t="str">
        <f>HYPERLINK("https://twitter.com/Googleulv","@Googleulv")</f>
        <v>@Googleulv</v>
      </c>
      <c r="C1812" s="10" t="s">
        <v>3913</v>
      </c>
      <c r="D1812" s="10" t="s">
        <v>3818</v>
      </c>
      <c r="E1812" s="11" t="str">
        <f>HYPERLINK("https://twitter.com/Googleulv/status/703073268119564288","703073268119564288")</f>
        <v>703073268119564288</v>
      </c>
      <c r="F1812" s="12" t="s">
        <v>1573</v>
      </c>
      <c r="G1812" s="13">
        <v>1039.0</v>
      </c>
      <c r="H1812" s="13">
        <v>754.0</v>
      </c>
      <c r="I1812" s="13">
        <v>2.0</v>
      </c>
      <c r="J1812" s="13">
        <v>0.0</v>
      </c>
      <c r="K1812" s="12" t="s">
        <v>21</v>
      </c>
      <c r="L1812" s="7">
        <v>39889.612164351856</v>
      </c>
      <c r="M1812" s="14" t="s">
        <v>3914</v>
      </c>
      <c r="N1812" s="14" t="s">
        <v>3915</v>
      </c>
      <c r="O1812" s="11" t="str">
        <f>HYPERLINK("https://pbs.twimg.com/profile_images/631872006645022720/C3D_WfIt_normal.jpg","View")</f>
        <v>View</v>
      </c>
      <c r="P1812" s="15"/>
    </row>
    <row r="1813">
      <c r="A1813" s="7">
        <v>42425.85157407407</v>
      </c>
      <c r="B1813" s="8" t="str">
        <f>HYPERLINK("https://twitter.com/art_control","@art_control")</f>
        <v>@art_control</v>
      </c>
      <c r="C1813" s="10" t="s">
        <v>309</v>
      </c>
      <c r="D1813" s="10" t="s">
        <v>3916</v>
      </c>
      <c r="E1813" s="11" t="str">
        <f>HYPERLINK("https://twitter.com/art_control/status/703073573150330880","703073573150330880")</f>
        <v>703073573150330880</v>
      </c>
      <c r="F1813" s="12" t="s">
        <v>311</v>
      </c>
      <c r="G1813" s="13">
        <v>989.0</v>
      </c>
      <c r="H1813" s="13">
        <v>850.0</v>
      </c>
      <c r="I1813" s="13">
        <v>0.0</v>
      </c>
      <c r="J1813" s="13">
        <v>0.0</v>
      </c>
      <c r="K1813" s="12" t="s">
        <v>21</v>
      </c>
      <c r="L1813" s="7">
        <v>39896.869675925926</v>
      </c>
      <c r="M1813" s="14" t="s">
        <v>312</v>
      </c>
      <c r="N1813" s="14" t="s">
        <v>313</v>
      </c>
      <c r="O1813" s="11" t="str">
        <f>HYPERLINK("https://pbs.twimg.com/profile_images/649004216690675712/UAcrP6ol_normal.png","View")</f>
        <v>View</v>
      </c>
      <c r="P1813" s="15"/>
    </row>
    <row r="1814">
      <c r="A1814" s="7">
        <v>42425.852106481485</v>
      </c>
      <c r="B1814" s="8" t="str">
        <f>HYPERLINK("https://twitter.com/AI_Scientist","@AI_Scientist")</f>
        <v>@AI_Scientist</v>
      </c>
      <c r="C1814" s="10" t="s">
        <v>3917</v>
      </c>
      <c r="D1814" s="10" t="s">
        <v>3918</v>
      </c>
      <c r="E1814" s="11" t="str">
        <f>HYPERLINK("https://twitter.com/AI_Scientist/status/703073765714960385","703073765714960385")</f>
        <v>703073765714960385</v>
      </c>
      <c r="F1814" s="12" t="s">
        <v>38</v>
      </c>
      <c r="G1814" s="13">
        <v>975.0</v>
      </c>
      <c r="H1814" s="13">
        <v>105.0</v>
      </c>
      <c r="I1814" s="13">
        <v>2.0</v>
      </c>
      <c r="J1814" s="13">
        <v>0.0</v>
      </c>
      <c r="K1814" s="12" t="s">
        <v>21</v>
      </c>
      <c r="L1814" s="7">
        <v>42145.7937962963</v>
      </c>
      <c r="M1814" s="16"/>
      <c r="N1814" s="16"/>
      <c r="O1814" s="11" t="str">
        <f>HYPERLINK("https://pbs.twimg.com/profile_images/601570167013838848/N416MqAn_normal.jpg","View")</f>
        <v>View</v>
      </c>
      <c r="P1814" s="15"/>
    </row>
    <row r="1815">
      <c r="A1815" s="7">
        <v>42425.85228009259</v>
      </c>
      <c r="B1815" s="8" t="str">
        <f>HYPERLINK("https://twitter.com/kumar_pravin","@kumar_pravin")</f>
        <v>@kumar_pravin</v>
      </c>
      <c r="C1815" s="10" t="s">
        <v>3919</v>
      </c>
      <c r="D1815" s="10" t="s">
        <v>1876</v>
      </c>
      <c r="E1815" s="11" t="str">
        <f>HYPERLINK("https://twitter.com/kumar_pravin/status/703073827954233344","703073827954233344")</f>
        <v>703073827954233344</v>
      </c>
      <c r="F1815" s="12" t="s">
        <v>20</v>
      </c>
      <c r="G1815" s="13">
        <v>424.0</v>
      </c>
      <c r="H1815" s="13">
        <v>182.0</v>
      </c>
      <c r="I1815" s="13">
        <v>24.0</v>
      </c>
      <c r="J1815" s="13">
        <v>0.0</v>
      </c>
      <c r="K1815" s="12" t="s">
        <v>21</v>
      </c>
      <c r="L1815" s="7">
        <v>40097.189571759256</v>
      </c>
      <c r="M1815" s="14" t="s">
        <v>1759</v>
      </c>
      <c r="N1815" s="14" t="s">
        <v>3920</v>
      </c>
      <c r="O1815" s="11" t="str">
        <f>HYPERLINK("https://pbs.twimg.com/profile_images/612569902189121536/XbdR_r8W_normal.jpg","View")</f>
        <v>View</v>
      </c>
      <c r="P1815" s="15"/>
    </row>
    <row r="1816">
      <c r="A1816" s="7">
        <v>42425.85252314815</v>
      </c>
      <c r="B1816" s="8" t="str">
        <f>HYPERLINK("https://twitter.com/HH_Technology","@HH_Technology")</f>
        <v>@HH_Technology</v>
      </c>
      <c r="C1816" s="10" t="s">
        <v>3921</v>
      </c>
      <c r="D1816" s="10" t="s">
        <v>3922</v>
      </c>
      <c r="E1816" s="11" t="str">
        <f>HYPERLINK("https://twitter.com/HH_Technology/status/703073913299820544","703073913299820544")</f>
        <v>703073913299820544</v>
      </c>
      <c r="F1816" s="12" t="s">
        <v>3923</v>
      </c>
      <c r="G1816" s="13">
        <v>1750.0</v>
      </c>
      <c r="H1816" s="13">
        <v>1942.0</v>
      </c>
      <c r="I1816" s="13">
        <v>4.0</v>
      </c>
      <c r="J1816" s="13">
        <v>1.0</v>
      </c>
      <c r="K1816" s="12" t="s">
        <v>21</v>
      </c>
      <c r="L1816" s="7">
        <v>41032.02991898148</v>
      </c>
      <c r="M1816" s="16"/>
      <c r="N1816" s="16"/>
      <c r="O1816" s="11" t="str">
        <f>HYPERLINK("https://pbs.twimg.com/profile_images/543263084735787010/32MyAWdQ_normal.png","View")</f>
        <v>View</v>
      </c>
      <c r="P1816" s="15"/>
    </row>
    <row r="1817">
      <c r="A1817" s="7">
        <v>42425.85318287037</v>
      </c>
      <c r="B1817" s="8" t="str">
        <f>HYPERLINK("https://twitter.com/HartwigMicheal","@HartwigMicheal")</f>
        <v>@HartwigMicheal</v>
      </c>
      <c r="C1817" s="10" t="s">
        <v>842</v>
      </c>
      <c r="D1817" s="10" t="s">
        <v>3924</v>
      </c>
      <c r="E1817" s="11" t="str">
        <f>HYPERLINK("https://twitter.com/HartwigMicheal/status/703074155755872256","703074155755872256")</f>
        <v>703074155755872256</v>
      </c>
      <c r="F1817" s="12" t="s">
        <v>103</v>
      </c>
      <c r="G1817" s="13">
        <v>541.0</v>
      </c>
      <c r="H1817" s="13">
        <v>830.0</v>
      </c>
      <c r="I1817" s="13">
        <v>1.0</v>
      </c>
      <c r="J1817" s="13">
        <v>0.0</v>
      </c>
      <c r="K1817" s="12" t="s">
        <v>21</v>
      </c>
      <c r="L1817" s="7">
        <v>42362.00148148148</v>
      </c>
      <c r="M1817" s="14" t="s">
        <v>844</v>
      </c>
      <c r="N1817" s="14" t="s">
        <v>845</v>
      </c>
      <c r="O1817" s="11" t="str">
        <f>HYPERLINK("https://pbs.twimg.com/profile_images/679948461953781761/pDo9356K_normal.jpg","View")</f>
        <v>View</v>
      </c>
      <c r="P1817" s="15"/>
    </row>
    <row r="1818">
      <c r="A1818" s="7">
        <v>42425.85369212963</v>
      </c>
      <c r="B1818" s="8" t="str">
        <f>HYPERLINK("https://twitter.com/MTotolrahaman","@MTotolrahaman")</f>
        <v>@MTotolrahaman</v>
      </c>
      <c r="C1818" s="10" t="s">
        <v>848</v>
      </c>
      <c r="D1818" s="10" t="s">
        <v>3925</v>
      </c>
      <c r="E1818" s="11" t="str">
        <f>HYPERLINK("https://twitter.com/MTotolrahaman/status/703074337381863424","703074337381863424")</f>
        <v>703074337381863424</v>
      </c>
      <c r="F1818" s="12" t="s">
        <v>103</v>
      </c>
      <c r="G1818" s="13">
        <v>766.0</v>
      </c>
      <c r="H1818" s="13">
        <v>846.0</v>
      </c>
      <c r="I1818" s="13">
        <v>0.0</v>
      </c>
      <c r="J1818" s="13">
        <v>0.0</v>
      </c>
      <c r="K1818" s="12" t="s">
        <v>21</v>
      </c>
      <c r="L1818" s="7">
        <v>42355.250798611116</v>
      </c>
      <c r="M1818" s="14" t="s">
        <v>850</v>
      </c>
      <c r="N1818" s="14" t="s">
        <v>851</v>
      </c>
      <c r="O1818" s="11" t="str">
        <f>HYPERLINK("https://pbs.twimg.com/profile_images/677493910256484352/-EdVaVPl_normal.jpg","View")</f>
        <v>View</v>
      </c>
      <c r="P1818" s="15"/>
    </row>
    <row r="1819">
      <c r="A1819" s="7">
        <v>42425.854097222225</v>
      </c>
      <c r="B1819" s="8" t="str">
        <f>HYPERLINK("https://twitter.com/Googleulv","@Googleulv")</f>
        <v>@Googleulv</v>
      </c>
      <c r="C1819" s="10" t="s">
        <v>3913</v>
      </c>
      <c r="D1819" s="10" t="s">
        <v>2612</v>
      </c>
      <c r="E1819" s="11" t="str">
        <f>HYPERLINK("https://twitter.com/Googleulv/status/703074483821748226","703074483821748226")</f>
        <v>703074483821748226</v>
      </c>
      <c r="F1819" s="12" t="s">
        <v>1573</v>
      </c>
      <c r="G1819" s="13">
        <v>1039.0</v>
      </c>
      <c r="H1819" s="13">
        <v>754.0</v>
      </c>
      <c r="I1819" s="13">
        <v>5.0</v>
      </c>
      <c r="J1819" s="13">
        <v>0.0</v>
      </c>
      <c r="K1819" s="12" t="s">
        <v>21</v>
      </c>
      <c r="L1819" s="7">
        <v>39889.612164351856</v>
      </c>
      <c r="M1819" s="14" t="s">
        <v>3914</v>
      </c>
      <c r="N1819" s="14" t="s">
        <v>3915</v>
      </c>
      <c r="O1819" s="11" t="str">
        <f>HYPERLINK("https://pbs.twimg.com/profile_images/631872006645022720/C3D_WfIt_normal.jpg","View")</f>
        <v>View</v>
      </c>
      <c r="P1819" s="15"/>
    </row>
    <row r="1820">
      <c r="A1820" s="7">
        <v>42425.85423611111</v>
      </c>
      <c r="B1820" s="8" t="str">
        <f>HYPERLINK("https://twitter.com/DebianBug","@DebianBug")</f>
        <v>@DebianBug</v>
      </c>
      <c r="C1820" s="10" t="s">
        <v>3926</v>
      </c>
      <c r="D1820" s="10" t="s">
        <v>3927</v>
      </c>
      <c r="E1820" s="11" t="str">
        <f>HYPERLINK("https://twitter.com/DebianBug/status/703074537060093952","703074537060093952")</f>
        <v>703074537060093952</v>
      </c>
      <c r="F1820" s="12" t="s">
        <v>3928</v>
      </c>
      <c r="G1820" s="13">
        <v>425.0</v>
      </c>
      <c r="H1820" s="13">
        <v>3.0</v>
      </c>
      <c r="I1820" s="13">
        <v>0.0</v>
      </c>
      <c r="J1820" s="13">
        <v>0.0</v>
      </c>
      <c r="K1820" s="12" t="s">
        <v>21</v>
      </c>
      <c r="L1820" s="7">
        <v>40753.696064814816</v>
      </c>
      <c r="M1820" s="16"/>
      <c r="N1820" s="14" t="s">
        <v>3929</v>
      </c>
      <c r="O1820" s="11" t="str">
        <f>HYPERLINK("https://pbs.twimg.com/profile_images/1511085195/495353-96-20110728133130_normal.png","View")</f>
        <v>View</v>
      </c>
      <c r="P1820" s="15"/>
    </row>
    <row r="1821">
      <c r="A1821" s="7">
        <v>42425.854374999995</v>
      </c>
      <c r="B1821" s="8" t="str">
        <f>HYPERLINK("https://twitter.com/cool_python","@cool_python")</f>
        <v>@cool_python</v>
      </c>
      <c r="C1821" s="10" t="s">
        <v>249</v>
      </c>
      <c r="D1821" s="10" t="s">
        <v>3930</v>
      </c>
      <c r="E1821" s="11" t="str">
        <f>HYPERLINK("https://twitter.com/cool_python/status/703074586246717440","703074586246717440")</f>
        <v>703074586246717440</v>
      </c>
      <c r="F1821" s="12" t="s">
        <v>251</v>
      </c>
      <c r="G1821" s="13">
        <v>235.0</v>
      </c>
      <c r="H1821" s="13">
        <v>91.0</v>
      </c>
      <c r="I1821" s="13">
        <v>1.0</v>
      </c>
      <c r="J1821" s="13">
        <v>0.0</v>
      </c>
      <c r="K1821" s="12" t="s">
        <v>21</v>
      </c>
      <c r="L1821" s="7">
        <v>42064.325</v>
      </c>
      <c r="M1821" s="14" t="s">
        <v>252</v>
      </c>
      <c r="N1821" s="14" t="s">
        <v>253</v>
      </c>
      <c r="O1821" s="11" t="str">
        <f>HYPERLINK("https://pbs.twimg.com/profile_images/572091631055028224/Pkx__FSB_normal.png","View")</f>
        <v>View</v>
      </c>
      <c r="P1821" s="15"/>
    </row>
    <row r="1822">
      <c r="A1822" s="7">
        <v>42425.8546875</v>
      </c>
      <c r="B1822" s="8" t="str">
        <f>HYPERLINK("https://twitter.com/Googleulv","@Googleulv")</f>
        <v>@Googleulv</v>
      </c>
      <c r="C1822" s="10" t="s">
        <v>3913</v>
      </c>
      <c r="D1822" s="10" t="s">
        <v>3867</v>
      </c>
      <c r="E1822" s="11" t="str">
        <f>HYPERLINK("https://twitter.com/Googleulv/status/703074698062602240","703074698062602240")</f>
        <v>703074698062602240</v>
      </c>
      <c r="F1822" s="12" t="s">
        <v>1573</v>
      </c>
      <c r="G1822" s="13">
        <v>1039.0</v>
      </c>
      <c r="H1822" s="13">
        <v>754.0</v>
      </c>
      <c r="I1822" s="13">
        <v>11.0</v>
      </c>
      <c r="J1822" s="13">
        <v>0.0</v>
      </c>
      <c r="K1822" s="12" t="s">
        <v>21</v>
      </c>
      <c r="L1822" s="7">
        <v>39889.612164351856</v>
      </c>
      <c r="M1822" s="14" t="s">
        <v>3914</v>
      </c>
      <c r="N1822" s="14" t="s">
        <v>3915</v>
      </c>
      <c r="O1822" s="11" t="str">
        <f>HYPERLINK("https://pbs.twimg.com/profile_images/631872006645022720/C3D_WfIt_normal.jpg","View")</f>
        <v>View</v>
      </c>
      <c r="P1822" s="15"/>
    </row>
    <row r="1823">
      <c r="A1823" s="7">
        <v>42425.855833333335</v>
      </c>
      <c r="B1823" s="8" t="str">
        <f>HYPERLINK("https://twitter.com/anshupriya1989","@anshupriya1989")</f>
        <v>@anshupriya1989</v>
      </c>
      <c r="C1823" s="10" t="s">
        <v>3931</v>
      </c>
      <c r="D1823" s="10" t="s">
        <v>3932</v>
      </c>
      <c r="E1823" s="11" t="str">
        <f>HYPERLINK("https://twitter.com/anshupriya1989/status/703075113294409732","703075113294409732")</f>
        <v>703075113294409732</v>
      </c>
      <c r="F1823" s="12" t="s">
        <v>164</v>
      </c>
      <c r="G1823" s="13">
        <v>90.0</v>
      </c>
      <c r="H1823" s="13">
        <v>35.0</v>
      </c>
      <c r="I1823" s="13">
        <v>0.0</v>
      </c>
      <c r="J1823" s="13">
        <v>1.0</v>
      </c>
      <c r="K1823" s="12" t="s">
        <v>21</v>
      </c>
      <c r="L1823" s="7">
        <v>42067.007997685185</v>
      </c>
      <c r="M1823" s="14" t="s">
        <v>761</v>
      </c>
      <c r="N1823" s="16"/>
      <c r="O1823" s="11" t="str">
        <f>HYPERLINK("https://pbs.twimg.com/profile_images/698805866720460800/xyEz6HT-_normal.jpg","View")</f>
        <v>View</v>
      </c>
      <c r="P1823" s="15"/>
    </row>
    <row r="1824">
      <c r="A1824" s="7">
        <v>42425.858136574076</v>
      </c>
      <c r="B1824" s="8" t="str">
        <f>HYPERLINK("https://twitter.com/AdamSmitht1","@AdamSmitht1")</f>
        <v>@AdamSmitht1</v>
      </c>
      <c r="C1824" s="10" t="s">
        <v>468</v>
      </c>
      <c r="D1824" s="10" t="s">
        <v>3933</v>
      </c>
      <c r="E1824" s="11" t="str">
        <f>HYPERLINK("https://twitter.com/AdamSmitht1/status/703075950737620993","703075950737620993")</f>
        <v>703075950737620993</v>
      </c>
      <c r="F1824" s="12" t="s">
        <v>103</v>
      </c>
      <c r="G1824" s="13">
        <v>849.0</v>
      </c>
      <c r="H1824" s="13">
        <v>793.0</v>
      </c>
      <c r="I1824" s="13">
        <v>0.0</v>
      </c>
      <c r="J1824" s="13">
        <v>0.0</v>
      </c>
      <c r="K1824" s="12" t="s">
        <v>21</v>
      </c>
      <c r="L1824" s="7">
        <v>42336.12709490741</v>
      </c>
      <c r="M1824" s="14" t="s">
        <v>470</v>
      </c>
      <c r="N1824" s="14" t="s">
        <v>471</v>
      </c>
      <c r="O1824" s="11" t="str">
        <f>HYPERLINK("https://pbs.twimg.com/profile_images/671623862916812800/yGsDKiP4_normal.jpg","View")</f>
        <v>View</v>
      </c>
      <c r="P1824" s="15"/>
    </row>
    <row r="1825">
      <c r="A1825" s="7">
        <v>42425.85847222222</v>
      </c>
      <c r="B1825" s="8" t="str">
        <f>HYPERLINK("https://twitter.com/IteramosDev","@IteramosDev")</f>
        <v>@IteramosDev</v>
      </c>
      <c r="C1825" s="10" t="s">
        <v>3934</v>
      </c>
      <c r="D1825" s="10" t="s">
        <v>3935</v>
      </c>
      <c r="E1825" s="11" t="str">
        <f>HYPERLINK("https://twitter.com/IteramosDev/status/703076070665404416","703076070665404416")</f>
        <v>703076070665404416</v>
      </c>
      <c r="F1825" s="12" t="s">
        <v>3934</v>
      </c>
      <c r="G1825" s="13">
        <v>657.0</v>
      </c>
      <c r="H1825" s="13">
        <v>94.0</v>
      </c>
      <c r="I1825" s="13">
        <v>0.0</v>
      </c>
      <c r="J1825" s="13">
        <v>0.0</v>
      </c>
      <c r="K1825" s="12" t="s">
        <v>21</v>
      </c>
      <c r="L1825" s="7">
        <v>41922.246458333335</v>
      </c>
      <c r="M1825" s="16"/>
      <c r="N1825" s="14" t="s">
        <v>3936</v>
      </c>
      <c r="O1825" s="11" t="str">
        <f>HYPERLINK("https://pbs.twimg.com/profile_images/521273716785692673/IujUJfZi_normal.png","View")</f>
        <v>View</v>
      </c>
      <c r="P1825" s="15"/>
    </row>
    <row r="1826">
      <c r="A1826" s="7">
        <v>42425.85853009259</v>
      </c>
      <c r="B1826" s="8" t="str">
        <f>HYPERLINK("https://twitter.com/py3k","@py3k")</f>
        <v>@py3k</v>
      </c>
      <c r="C1826" s="10" t="s">
        <v>297</v>
      </c>
      <c r="D1826" s="10" t="s">
        <v>3937</v>
      </c>
      <c r="E1826" s="11" t="str">
        <f>HYPERLINK("https://twitter.com/py3k/status/703076093360791552","703076093360791552")</f>
        <v>703076093360791552</v>
      </c>
      <c r="F1826" s="12" t="s">
        <v>299</v>
      </c>
      <c r="G1826" s="13">
        <v>1623.0</v>
      </c>
      <c r="H1826" s="13">
        <v>676.0</v>
      </c>
      <c r="I1826" s="13">
        <v>1.0</v>
      </c>
      <c r="J1826" s="13">
        <v>0.0</v>
      </c>
      <c r="K1826" s="12" t="s">
        <v>21</v>
      </c>
      <c r="L1826" s="7">
        <v>41096.62268518518</v>
      </c>
      <c r="M1826" s="16"/>
      <c r="N1826" s="14" t="s">
        <v>300</v>
      </c>
      <c r="O1826" s="11" t="str">
        <f>HYPERLINK("https://pbs.twimg.com/profile_images/2474433856/p075cerxh0arpea6ceip_normal.png","View")</f>
        <v>View</v>
      </c>
      <c r="P1826" s="15"/>
    </row>
    <row r="1827">
      <c r="A1827" s="7">
        <v>42425.85854166667</v>
      </c>
      <c r="B1827" s="8" t="str">
        <f>HYPERLINK("https://twitter.com/biconnections","@biconnections")</f>
        <v>@biconnections</v>
      </c>
      <c r="C1827" s="10" t="s">
        <v>3938</v>
      </c>
      <c r="D1827" s="10" t="s">
        <v>3867</v>
      </c>
      <c r="E1827" s="11" t="str">
        <f>HYPERLINK("https://twitter.com/biconnections/status/703076095546040321","703076095546040321")</f>
        <v>703076095546040321</v>
      </c>
      <c r="F1827" s="12" t="s">
        <v>20</v>
      </c>
      <c r="G1827" s="13">
        <v>8024.0</v>
      </c>
      <c r="H1827" s="13">
        <v>9.0</v>
      </c>
      <c r="I1827" s="13">
        <v>11.0</v>
      </c>
      <c r="J1827" s="13">
        <v>0.0</v>
      </c>
      <c r="K1827" s="12" t="s">
        <v>21</v>
      </c>
      <c r="L1827" s="7">
        <v>40970.119305555556</v>
      </c>
      <c r="M1827" s="14" t="s">
        <v>3939</v>
      </c>
      <c r="N1827" s="14" t="s">
        <v>3940</v>
      </c>
      <c r="O1827" s="11" t="str">
        <f>HYPERLINK("https://pbs.twimg.com/profile_images/1866862979/50519_388209157862059_947380685_n_normal.jpg","View")</f>
        <v>View</v>
      </c>
      <c r="P1827" s="15"/>
    </row>
    <row r="1828">
      <c r="A1828" s="7">
        <v>42425.85875</v>
      </c>
      <c r="B1828" s="8" t="str">
        <f>HYPERLINK("https://twitter.com/startechwall","@startechwall")</f>
        <v>@startechwall</v>
      </c>
      <c r="C1828" s="10" t="s">
        <v>1478</v>
      </c>
      <c r="D1828" s="10" t="s">
        <v>3941</v>
      </c>
      <c r="E1828" s="11" t="str">
        <f>HYPERLINK("https://twitter.com/startechwall/status/703076172154998784","703076172154998784")</f>
        <v>703076172154998784</v>
      </c>
      <c r="F1828" s="12" t="s">
        <v>103</v>
      </c>
      <c r="G1828" s="13">
        <v>557.0</v>
      </c>
      <c r="H1828" s="13">
        <v>859.0</v>
      </c>
      <c r="I1828" s="13">
        <v>0.0</v>
      </c>
      <c r="J1828" s="13">
        <v>0.0</v>
      </c>
      <c r="K1828" s="12" t="s">
        <v>21</v>
      </c>
      <c r="L1828" s="7">
        <v>42360.959502314814</v>
      </c>
      <c r="M1828" s="14" t="s">
        <v>1480</v>
      </c>
      <c r="N1828" s="14" t="s">
        <v>1481</v>
      </c>
      <c r="O1828" s="11" t="str">
        <f>HYPERLINK("https://pbs.twimg.com/profile_images/679566117187145728/UUo30Zpm_normal.jpg","View")</f>
        <v>View</v>
      </c>
      <c r="P1828" s="15"/>
    </row>
    <row r="1829">
      <c r="A1829" s="7">
        <v>42425.85886574074</v>
      </c>
      <c r="B1829" s="8" t="str">
        <f>HYPERLINK("https://twitter.com/knowledge_cheat","@knowledge_cheat")</f>
        <v>@knowledge_cheat</v>
      </c>
      <c r="C1829" s="10" t="s">
        <v>3829</v>
      </c>
      <c r="D1829" s="10" t="s">
        <v>3942</v>
      </c>
      <c r="E1829" s="11" t="str">
        <f>HYPERLINK("https://twitter.com/knowledge_cheat/status/703076213489676288","703076213489676288")</f>
        <v>703076213489676288</v>
      </c>
      <c r="F1829" s="12" t="s">
        <v>20</v>
      </c>
      <c r="G1829" s="13">
        <v>7.0</v>
      </c>
      <c r="H1829" s="13">
        <v>1.0</v>
      </c>
      <c r="I1829" s="13">
        <v>0.0</v>
      </c>
      <c r="J1829" s="13">
        <v>2.0</v>
      </c>
      <c r="K1829" s="12" t="s">
        <v>21</v>
      </c>
      <c r="L1829" s="7">
        <v>42423.277395833335</v>
      </c>
      <c r="M1829" s="16"/>
      <c r="N1829" s="16"/>
      <c r="O1829" s="11" t="str">
        <f>HYPERLINK("https://abs.twimg.com/sticky/default_profile_images/default_profile_5_normal.png","View")</f>
        <v>View</v>
      </c>
      <c r="P1829" s="15"/>
    </row>
    <row r="1830">
      <c r="A1830" s="7">
        <v>42425.85921296296</v>
      </c>
      <c r="B1830" s="8" t="str">
        <f>HYPERLINK("https://twitter.com/genomiss","@genomiss")</f>
        <v>@genomiss</v>
      </c>
      <c r="C1830" s="10" t="s">
        <v>3943</v>
      </c>
      <c r="D1830" s="10" t="s">
        <v>3918</v>
      </c>
      <c r="E1830" s="11" t="str">
        <f>HYPERLINK("https://twitter.com/genomiss/status/703076339276914689","703076339276914689")</f>
        <v>703076339276914689</v>
      </c>
      <c r="F1830" s="12" t="s">
        <v>152</v>
      </c>
      <c r="G1830" s="13">
        <v>434.0</v>
      </c>
      <c r="H1830" s="13">
        <v>401.0</v>
      </c>
      <c r="I1830" s="13">
        <v>2.0</v>
      </c>
      <c r="J1830" s="13">
        <v>0.0</v>
      </c>
      <c r="K1830" s="12" t="s">
        <v>21</v>
      </c>
      <c r="L1830" s="7">
        <v>39895.586597222224</v>
      </c>
      <c r="M1830" s="14" t="s">
        <v>451</v>
      </c>
      <c r="N1830" s="14" t="s">
        <v>3944</v>
      </c>
      <c r="O1830" s="11" t="str">
        <f>HYPERLINK("https://pbs.twimg.com/profile_images/580984958023401472/hMoWC6v9_normal.jpg","View")</f>
        <v>View</v>
      </c>
      <c r="P1830" s="15"/>
    </row>
    <row r="1831">
      <c r="A1831" s="7">
        <v>42425.85958333334</v>
      </c>
      <c r="B1831" s="8" t="str">
        <f>HYPERLINK("https://twitter.com/angelicavillah","@angelicavillah")</f>
        <v>@angelicavillah</v>
      </c>
      <c r="C1831" s="10" t="s">
        <v>3945</v>
      </c>
      <c r="D1831" s="10" t="s">
        <v>3946</v>
      </c>
      <c r="E1831" s="11" t="str">
        <f>HYPERLINK("https://twitter.com/angelicavillah/status/703076472420864002","703076472420864002")</f>
        <v>703076472420864002</v>
      </c>
      <c r="F1831" s="12" t="s">
        <v>52</v>
      </c>
      <c r="G1831" s="13">
        <v>1330.0</v>
      </c>
      <c r="H1831" s="13">
        <v>1936.0</v>
      </c>
      <c r="I1831" s="13">
        <v>0.0</v>
      </c>
      <c r="J1831" s="13">
        <v>0.0</v>
      </c>
      <c r="K1831" s="12" t="s">
        <v>21</v>
      </c>
      <c r="L1831" s="7">
        <v>40250.78376157407</v>
      </c>
      <c r="M1831" s="14" t="s">
        <v>1841</v>
      </c>
      <c r="N1831" s="14" t="s">
        <v>3947</v>
      </c>
      <c r="O1831" s="11" t="str">
        <f>HYPERLINK("https://pbs.twimg.com/profile_images/558786947293134848/LUDNv1vG_normal.jpeg","View")</f>
        <v>View</v>
      </c>
      <c r="P1831" s="15"/>
    </row>
    <row r="1832">
      <c r="A1832" s="7">
        <v>42425.85971064815</v>
      </c>
      <c r="B1832" s="8" t="str">
        <f>HYPERLINK("https://twitter.com/AndrewBaidu","@AndrewBaidu")</f>
        <v>@AndrewBaidu</v>
      </c>
      <c r="C1832" s="10" t="s">
        <v>1704</v>
      </c>
      <c r="D1832" s="10" t="s">
        <v>3183</v>
      </c>
      <c r="E1832" s="11" t="str">
        <f>HYPERLINK("https://twitter.com/AndrewBaidu/status/703076521351716865","703076521351716865")</f>
        <v>703076521351716865</v>
      </c>
      <c r="F1832" s="12" t="s">
        <v>1705</v>
      </c>
      <c r="G1832" s="13">
        <v>362.0</v>
      </c>
      <c r="H1832" s="13">
        <v>92.0</v>
      </c>
      <c r="I1832" s="13">
        <v>11.0</v>
      </c>
      <c r="J1832" s="13">
        <v>0.0</v>
      </c>
      <c r="K1832" s="12" t="s">
        <v>21</v>
      </c>
      <c r="L1832" s="7">
        <v>42231.3446875</v>
      </c>
      <c r="M1832" s="14" t="s">
        <v>1706</v>
      </c>
      <c r="N1832" s="14" t="s">
        <v>1707</v>
      </c>
      <c r="O1832" s="11" t="str">
        <f>HYPERLINK("https://pbs.twimg.com/profile_images/632743976785735682/CfTy63Eb_normal.jpg","View")</f>
        <v>View</v>
      </c>
      <c r="P1832" s="15"/>
    </row>
    <row r="1833">
      <c r="A1833" s="7">
        <v>42425.86006944445</v>
      </c>
      <c r="B1833" s="8" t="str">
        <f>HYPERLINK("https://twitter.com/scottgu","@scottgu")</f>
        <v>@scottgu</v>
      </c>
      <c r="C1833" s="10" t="s">
        <v>3948</v>
      </c>
      <c r="D1833" s="10" t="s">
        <v>1820</v>
      </c>
      <c r="E1833" s="11" t="str">
        <f>HYPERLINK("https://twitter.com/scottgu/status/703076648019570689","703076648019570689")</f>
        <v>703076648019570689</v>
      </c>
      <c r="F1833" s="12" t="s">
        <v>52</v>
      </c>
      <c r="G1833" s="13">
        <v>127363.0</v>
      </c>
      <c r="H1833" s="13">
        <v>148.0</v>
      </c>
      <c r="I1833" s="13">
        <v>20.0</v>
      </c>
      <c r="J1833" s="13">
        <v>0.0</v>
      </c>
      <c r="K1833" s="12" t="s">
        <v>21</v>
      </c>
      <c r="L1833" s="7">
        <v>39954.90248842593</v>
      </c>
      <c r="M1833" s="14" t="s">
        <v>3114</v>
      </c>
      <c r="N1833" s="14" t="s">
        <v>3949</v>
      </c>
      <c r="O1833" s="11" t="str">
        <f>HYPERLINK("https://pbs.twimg.com/profile_images/565139568/redshirt_normal.jpg","View")</f>
        <v>View</v>
      </c>
      <c r="P1833" s="15"/>
    </row>
    <row r="1834">
      <c r="A1834" s="7">
        <v>42425.86041666666</v>
      </c>
      <c r="B1834" s="8" t="str">
        <f>HYPERLINK("https://twitter.com/cool_python","@cool_python")</f>
        <v>@cool_python</v>
      </c>
      <c r="C1834" s="10" t="s">
        <v>249</v>
      </c>
      <c r="D1834" s="10" t="s">
        <v>3950</v>
      </c>
      <c r="E1834" s="11" t="str">
        <f>HYPERLINK("https://twitter.com/cool_python/status/703076776734564352","703076776734564352")</f>
        <v>703076776734564352</v>
      </c>
      <c r="F1834" s="12" t="s">
        <v>251</v>
      </c>
      <c r="G1834" s="13">
        <v>235.0</v>
      </c>
      <c r="H1834" s="13">
        <v>91.0</v>
      </c>
      <c r="I1834" s="13">
        <v>1.0</v>
      </c>
      <c r="J1834" s="13">
        <v>0.0</v>
      </c>
      <c r="K1834" s="12" t="s">
        <v>21</v>
      </c>
      <c r="L1834" s="7">
        <v>42064.325</v>
      </c>
      <c r="M1834" s="14" t="s">
        <v>252</v>
      </c>
      <c r="N1834" s="14" t="s">
        <v>253</v>
      </c>
      <c r="O1834" s="11" t="str">
        <f>HYPERLINK("https://pbs.twimg.com/profile_images/572091631055028224/Pkx__FSB_normal.png","View")</f>
        <v>View</v>
      </c>
      <c r="P1834" s="15"/>
    </row>
    <row r="1835">
      <c r="A1835" s="7">
        <v>42425.86193287037</v>
      </c>
      <c r="B1835" s="8" t="str">
        <f>HYPERLINK("https://twitter.com/pacofigo","@pacofigo")</f>
        <v>@pacofigo</v>
      </c>
      <c r="C1835" s="10" t="s">
        <v>3951</v>
      </c>
      <c r="D1835" s="10" t="s">
        <v>3952</v>
      </c>
      <c r="E1835" s="11" t="str">
        <f>HYPERLINK("https://twitter.com/pacofigo/status/703077326049775617","703077326049775617")</f>
        <v>703077326049775617</v>
      </c>
      <c r="F1835" s="12" t="s">
        <v>52</v>
      </c>
      <c r="G1835" s="13">
        <v>368.0</v>
      </c>
      <c r="H1835" s="13">
        <v>996.0</v>
      </c>
      <c r="I1835" s="13">
        <v>3.0</v>
      </c>
      <c r="J1835" s="13">
        <v>0.0</v>
      </c>
      <c r="K1835" s="12" t="s">
        <v>21</v>
      </c>
      <c r="L1835" s="7">
        <v>40381.48648148148</v>
      </c>
      <c r="M1835" s="14" t="s">
        <v>1789</v>
      </c>
      <c r="N1835" s="14" t="s">
        <v>3953</v>
      </c>
      <c r="O1835" s="11" t="str">
        <f>HYPERLINK("https://pbs.twimg.com/profile_images/661401951804915712/IaY5BpJs_normal.jpg","View")</f>
        <v>View</v>
      </c>
      <c r="P1835" s="15"/>
    </row>
    <row r="1836">
      <c r="A1836" s="7">
        <v>42425.86211805556</v>
      </c>
      <c r="B1836" s="8" t="str">
        <f>HYPERLINK("https://twitter.com/dirfooddrink","@dirfooddrink")</f>
        <v>@dirfooddrink</v>
      </c>
      <c r="C1836" s="10" t="s">
        <v>2028</v>
      </c>
      <c r="D1836" s="10" t="s">
        <v>3954</v>
      </c>
      <c r="E1836" s="11" t="str">
        <f>HYPERLINK("https://twitter.com/dirfooddrink/status/703077390214438912","703077390214438912")</f>
        <v>703077390214438912</v>
      </c>
      <c r="F1836" s="12" t="s">
        <v>103</v>
      </c>
      <c r="G1836" s="13">
        <v>1695.0</v>
      </c>
      <c r="H1836" s="13">
        <v>38.0</v>
      </c>
      <c r="I1836" s="13">
        <v>0.0</v>
      </c>
      <c r="J1836" s="13">
        <v>0.0</v>
      </c>
      <c r="K1836" s="12" t="s">
        <v>21</v>
      </c>
      <c r="L1836" s="7">
        <v>42233.43736111111</v>
      </c>
      <c r="M1836" s="14" t="s">
        <v>2030</v>
      </c>
      <c r="N1836" s="14" t="s">
        <v>2031</v>
      </c>
      <c r="O1836" s="11" t="str">
        <f>HYPERLINK("https://pbs.twimg.com/profile_images/657708133716881408/v7w4ki3M_normal.jpg","View")</f>
        <v>View</v>
      </c>
      <c r="P1836" s="15"/>
    </row>
    <row r="1837">
      <c r="A1837" s="7">
        <v>42425.86222222222</v>
      </c>
      <c r="B1837" s="8" t="str">
        <f>HYPERLINK("https://twitter.com/chrisrisner","@chrisrisner")</f>
        <v>@chrisrisner</v>
      </c>
      <c r="C1837" s="10" t="s">
        <v>3955</v>
      </c>
      <c r="D1837" s="10" t="s">
        <v>1820</v>
      </c>
      <c r="E1837" s="11" t="str">
        <f>HYPERLINK("https://twitter.com/chrisrisner/status/703077429263208448","703077429263208448")</f>
        <v>703077429263208448</v>
      </c>
      <c r="F1837" s="12" t="s">
        <v>152</v>
      </c>
      <c r="G1837" s="13">
        <v>1560.0</v>
      </c>
      <c r="H1837" s="13">
        <v>268.0</v>
      </c>
      <c r="I1837" s="13">
        <v>20.0</v>
      </c>
      <c r="J1837" s="13">
        <v>0.0</v>
      </c>
      <c r="K1837" s="12" t="s">
        <v>21</v>
      </c>
      <c r="L1837" s="7">
        <v>39397.762974537036</v>
      </c>
      <c r="M1837" s="16"/>
      <c r="N1837" s="14" t="s">
        <v>3956</v>
      </c>
      <c r="O1837" s="11" t="str">
        <f>HYPERLINK("https://pbs.twimg.com/profile_images/641678331159560192/FKFM1DVu_normal.jpg","View")</f>
        <v>View</v>
      </c>
      <c r="P1837" s="15"/>
    </row>
    <row r="1838">
      <c r="A1838" s="7">
        <v>42425.86282407407</v>
      </c>
      <c r="B1838" s="8" t="str">
        <f>HYPERLINK("https://twitter.com/nocturnics","@nocturnics")</f>
        <v>@nocturnics</v>
      </c>
      <c r="C1838" s="10" t="s">
        <v>3957</v>
      </c>
      <c r="D1838" s="10" t="s">
        <v>3958</v>
      </c>
      <c r="E1838" s="11" t="str">
        <f>HYPERLINK("https://twitter.com/nocturnics/status/703077646804996097","703077646804996097")</f>
        <v>703077646804996097</v>
      </c>
      <c r="F1838" s="12" t="s">
        <v>20</v>
      </c>
      <c r="G1838" s="13">
        <v>3.0</v>
      </c>
      <c r="H1838" s="13">
        <v>6.0</v>
      </c>
      <c r="I1838" s="13">
        <v>0.0</v>
      </c>
      <c r="J1838" s="13">
        <v>0.0</v>
      </c>
      <c r="K1838" s="12" t="s">
        <v>21</v>
      </c>
      <c r="L1838" s="7">
        <v>40653.63303240741</v>
      </c>
      <c r="M1838" s="16"/>
      <c r="N1838" s="16"/>
      <c r="O1838" s="11" t="str">
        <f>HYPERLINK("https://pbs.twimg.com/profile_images/600284490255106048/YOfXiv8M_normal.jpg","View")</f>
        <v>View</v>
      </c>
      <c r="P1838" s="15"/>
    </row>
    <row r="1839">
      <c r="A1839" s="7">
        <v>42425.86299768518</v>
      </c>
      <c r="B1839" s="8" t="str">
        <f>HYPERLINK("https://twitter.com/pacofigo","@pacofigo")</f>
        <v>@pacofigo</v>
      </c>
      <c r="C1839" s="10" t="s">
        <v>3951</v>
      </c>
      <c r="D1839" s="10" t="s">
        <v>3959</v>
      </c>
      <c r="E1839" s="11" t="str">
        <f>HYPERLINK("https://twitter.com/pacofigo/status/703077710797492225","703077710797492225")</f>
        <v>703077710797492225</v>
      </c>
      <c r="F1839" s="12" t="s">
        <v>52</v>
      </c>
      <c r="G1839" s="13">
        <v>368.0</v>
      </c>
      <c r="H1839" s="13">
        <v>996.0</v>
      </c>
      <c r="I1839" s="13">
        <v>1.0</v>
      </c>
      <c r="J1839" s="13">
        <v>0.0</v>
      </c>
      <c r="K1839" s="12" t="s">
        <v>21</v>
      </c>
      <c r="L1839" s="7">
        <v>40381.48648148148</v>
      </c>
      <c r="M1839" s="14" t="s">
        <v>1789</v>
      </c>
      <c r="N1839" s="14" t="s">
        <v>3953</v>
      </c>
      <c r="O1839" s="11" t="str">
        <f>HYPERLINK("https://pbs.twimg.com/profile_images/661401951804915712/IaY5BpJs_normal.jpg","View")</f>
        <v>View</v>
      </c>
      <c r="P1839" s="15"/>
    </row>
    <row r="1840">
      <c r="A1840" s="7">
        <v>42425.864375000005</v>
      </c>
      <c r="B1840" s="8" t="str">
        <f>HYPERLINK("https://twitter.com/lohithchalam","@lohithchalam")</f>
        <v>@lohithchalam</v>
      </c>
      <c r="C1840" s="10" t="s">
        <v>3960</v>
      </c>
      <c r="D1840" s="10" t="s">
        <v>1820</v>
      </c>
      <c r="E1840" s="11" t="str">
        <f>HYPERLINK("https://twitter.com/lohithchalam/status/703078208820744192","703078208820744192")</f>
        <v>703078208820744192</v>
      </c>
      <c r="F1840" s="12" t="s">
        <v>124</v>
      </c>
      <c r="G1840" s="13">
        <v>240.0</v>
      </c>
      <c r="H1840" s="13">
        <v>759.0</v>
      </c>
      <c r="I1840" s="13">
        <v>20.0</v>
      </c>
      <c r="J1840" s="13">
        <v>0.0</v>
      </c>
      <c r="K1840" s="12" t="s">
        <v>21</v>
      </c>
      <c r="L1840" s="7">
        <v>40016.84512731482</v>
      </c>
      <c r="M1840" s="14" t="s">
        <v>639</v>
      </c>
      <c r="N1840" s="14" t="s">
        <v>3961</v>
      </c>
      <c r="O1840" s="11" t="str">
        <f>HYPERLINK("https://pbs.twimg.com/profile_images/411721063463018497/9R5Fva5G_normal.jpeg","View")</f>
        <v>View</v>
      </c>
      <c r="P1840" s="15"/>
    </row>
    <row r="1841">
      <c r="A1841" s="7">
        <v>42425.864386574074</v>
      </c>
      <c r="B1841" s="8" t="str">
        <f>HYPERLINK("https://twitter.com/Shinyotaku","@Shinyotaku")</f>
        <v>@Shinyotaku</v>
      </c>
      <c r="C1841" s="10" t="s">
        <v>3962</v>
      </c>
      <c r="D1841" s="10" t="s">
        <v>3963</v>
      </c>
      <c r="E1841" s="11" t="str">
        <f>HYPERLINK("https://twitter.com/Shinyotaku/status/703078216194465793","703078216194465793")</f>
        <v>703078216194465793</v>
      </c>
      <c r="F1841" s="12" t="s">
        <v>659</v>
      </c>
      <c r="G1841" s="13">
        <v>935.0</v>
      </c>
      <c r="H1841" s="13">
        <v>514.0</v>
      </c>
      <c r="I1841" s="13">
        <v>0.0</v>
      </c>
      <c r="J1841" s="13">
        <v>0.0</v>
      </c>
      <c r="K1841" s="12" t="s">
        <v>21</v>
      </c>
      <c r="L1841" s="7">
        <v>39927.0706712963</v>
      </c>
      <c r="M1841" s="14" t="s">
        <v>3964</v>
      </c>
      <c r="N1841" s="14" t="s">
        <v>3965</v>
      </c>
      <c r="O1841" s="11" t="str">
        <f>HYPERLINK("https://pbs.twimg.com/profile_images/693519785720619009/ZzZzd63G_normal.jpg","View")</f>
        <v>View</v>
      </c>
      <c r="P1841" s="15"/>
    </row>
    <row r="1842">
      <c r="A1842" s="7">
        <v>42425.864641203705</v>
      </c>
      <c r="B1842" s="8" t="str">
        <f>HYPERLINK("https://twitter.com/datamafia","@datamafia")</f>
        <v>@datamafia</v>
      </c>
      <c r="C1842" s="10" t="s">
        <v>3449</v>
      </c>
      <c r="D1842" s="10" t="s">
        <v>3966</v>
      </c>
      <c r="E1842" s="11" t="str">
        <f>HYPERLINK("https://twitter.com/datamafia/status/703078305201831936","703078305201831936")</f>
        <v>703078305201831936</v>
      </c>
      <c r="F1842" s="12" t="s">
        <v>20</v>
      </c>
      <c r="G1842" s="13">
        <v>735.0</v>
      </c>
      <c r="H1842" s="13">
        <v>99.0</v>
      </c>
      <c r="I1842" s="13">
        <v>0.0</v>
      </c>
      <c r="J1842" s="13">
        <v>0.0</v>
      </c>
      <c r="K1842" s="12" t="s">
        <v>21</v>
      </c>
      <c r="L1842" s="7">
        <v>39841.404074074075</v>
      </c>
      <c r="M1842" s="14" t="s">
        <v>3451</v>
      </c>
      <c r="N1842" s="14" t="s">
        <v>3452</v>
      </c>
      <c r="O1842" s="11" t="str">
        <f>HYPERLINK("https://pbs.twimg.com/profile_images/700782075595481088/NiHciBeU_normal.jpg","View")</f>
        <v>View</v>
      </c>
      <c r="P1842" s="15"/>
    </row>
    <row r="1843">
      <c r="A1843" s="7">
        <v>42425.8656712963</v>
      </c>
      <c r="B1843" s="8" t="str">
        <f>HYPERLINK("https://twitter.com/iainkbell","@iainkbell")</f>
        <v>@iainkbell</v>
      </c>
      <c r="C1843" s="10" t="s">
        <v>3967</v>
      </c>
      <c r="D1843" s="10" t="s">
        <v>3805</v>
      </c>
      <c r="E1843" s="11" t="str">
        <f>HYPERLINK("https://twitter.com/iainkbell/status/703078680512204801","703078680512204801")</f>
        <v>703078680512204801</v>
      </c>
      <c r="F1843" s="12" t="s">
        <v>152</v>
      </c>
      <c r="G1843" s="13">
        <v>87.0</v>
      </c>
      <c r="H1843" s="13">
        <v>179.0</v>
      </c>
      <c r="I1843" s="13">
        <v>2.0</v>
      </c>
      <c r="J1843" s="13">
        <v>0.0</v>
      </c>
      <c r="K1843" s="12" t="s">
        <v>21</v>
      </c>
      <c r="L1843" s="7">
        <v>42105.4978587963</v>
      </c>
      <c r="M1843" s="16"/>
      <c r="N1843" s="14" t="s">
        <v>3968</v>
      </c>
      <c r="O1843" s="11" t="str">
        <f>HYPERLINK("https://pbs.twimg.com/profile_images/586966933397843968/hdKMoiH9_normal.jpg","View")</f>
        <v>View</v>
      </c>
      <c r="P1843" s="15"/>
    </row>
    <row r="1844">
      <c r="A1844" s="7">
        <v>42425.86571759259</v>
      </c>
      <c r="B1844" s="8" t="str">
        <f>HYPERLINK("https://twitter.com/S55nu","@S55nu")</f>
        <v>@S55nu</v>
      </c>
      <c r="C1844" s="10" t="s">
        <v>3969</v>
      </c>
      <c r="D1844" s="10" t="s">
        <v>2287</v>
      </c>
      <c r="E1844" s="11" t="str">
        <f>HYPERLINK("https://twitter.com/S55nu/status/703078696656089088","703078696656089088")</f>
        <v>703078696656089088</v>
      </c>
      <c r="F1844" s="12" t="s">
        <v>20</v>
      </c>
      <c r="G1844" s="13">
        <v>28.0</v>
      </c>
      <c r="H1844" s="13">
        <v>131.0</v>
      </c>
      <c r="I1844" s="13">
        <v>16.0</v>
      </c>
      <c r="J1844" s="13">
        <v>0.0</v>
      </c>
      <c r="K1844" s="12" t="s">
        <v>21</v>
      </c>
      <c r="L1844" s="7">
        <v>41805.34386574074</v>
      </c>
      <c r="M1844" s="16"/>
      <c r="N1844" s="16"/>
      <c r="O1844" s="11" t="str">
        <f>HYPERLINK("https://pbs.twimg.com/profile_images/653864387975839744/Y12QeLMA_normal.jpg","View")</f>
        <v>View</v>
      </c>
      <c r="P1844" s="15"/>
    </row>
    <row r="1845">
      <c r="A1845" s="7">
        <v>42425.86571759259</v>
      </c>
      <c r="B1845" s="8" t="str">
        <f>HYPERLINK("https://twitter.com/art_control","@art_control")</f>
        <v>@art_control</v>
      </c>
      <c r="C1845" s="10" t="s">
        <v>309</v>
      </c>
      <c r="D1845" s="10" t="s">
        <v>3970</v>
      </c>
      <c r="E1845" s="11" t="str">
        <f>HYPERLINK("https://twitter.com/art_control/status/703078697872584704","703078697872584704")</f>
        <v>703078697872584704</v>
      </c>
      <c r="F1845" s="12" t="s">
        <v>311</v>
      </c>
      <c r="G1845" s="13">
        <v>989.0</v>
      </c>
      <c r="H1845" s="13">
        <v>850.0</v>
      </c>
      <c r="I1845" s="13">
        <v>0.0</v>
      </c>
      <c r="J1845" s="13">
        <v>0.0</v>
      </c>
      <c r="K1845" s="12" t="s">
        <v>21</v>
      </c>
      <c r="L1845" s="7">
        <v>39896.869675925926</v>
      </c>
      <c r="M1845" s="14" t="s">
        <v>312</v>
      </c>
      <c r="N1845" s="14" t="s">
        <v>313</v>
      </c>
      <c r="O1845" s="11" t="str">
        <f>HYPERLINK("https://pbs.twimg.com/profile_images/649004216690675712/UAcrP6ol_normal.png","View")</f>
        <v>View</v>
      </c>
      <c r="P1845" s="15"/>
    </row>
    <row r="1846">
      <c r="A1846" s="7">
        <v>42425.866018518514</v>
      </c>
      <c r="B1846" s="8" t="str">
        <f>HYPERLINK("https://twitter.com/py3k","@py3k")</f>
        <v>@py3k</v>
      </c>
      <c r="C1846" s="10" t="s">
        <v>297</v>
      </c>
      <c r="D1846" s="10" t="s">
        <v>3971</v>
      </c>
      <c r="E1846" s="11" t="str">
        <f>HYPERLINK("https://twitter.com/py3k/status/703078804391124993","703078804391124993")</f>
        <v>703078804391124993</v>
      </c>
      <c r="F1846" s="12" t="s">
        <v>299</v>
      </c>
      <c r="G1846" s="13">
        <v>1623.0</v>
      </c>
      <c r="H1846" s="13">
        <v>676.0</v>
      </c>
      <c r="I1846" s="13">
        <v>1.0</v>
      </c>
      <c r="J1846" s="13">
        <v>1.0</v>
      </c>
      <c r="K1846" s="12" t="s">
        <v>21</v>
      </c>
      <c r="L1846" s="7">
        <v>41096.62268518518</v>
      </c>
      <c r="M1846" s="16"/>
      <c r="N1846" s="14" t="s">
        <v>300</v>
      </c>
      <c r="O1846" s="11" t="str">
        <f>HYPERLINK("https://pbs.twimg.com/profile_images/2474433856/p075cerxh0arpea6ceip_normal.png","View")</f>
        <v>View</v>
      </c>
      <c r="P1846" s="15"/>
    </row>
    <row r="1847">
      <c r="A1847" s="7">
        <v>42425.866273148145</v>
      </c>
      <c r="B1847" s="8" t="str">
        <f>HYPERLINK("https://twitter.com/cool_python","@cool_python")</f>
        <v>@cool_python</v>
      </c>
      <c r="C1847" s="10" t="s">
        <v>249</v>
      </c>
      <c r="D1847" s="10" t="s">
        <v>3972</v>
      </c>
      <c r="E1847" s="11" t="str">
        <f>HYPERLINK("https://twitter.com/cool_python/status/703078899832516608","703078899832516608")</f>
        <v>703078899832516608</v>
      </c>
      <c r="F1847" s="12" t="s">
        <v>251</v>
      </c>
      <c r="G1847" s="13">
        <v>235.0</v>
      </c>
      <c r="H1847" s="13">
        <v>91.0</v>
      </c>
      <c r="I1847" s="13">
        <v>1.0</v>
      </c>
      <c r="J1847" s="13">
        <v>0.0</v>
      </c>
      <c r="K1847" s="12" t="s">
        <v>21</v>
      </c>
      <c r="L1847" s="7">
        <v>42064.325</v>
      </c>
      <c r="M1847" s="14" t="s">
        <v>252</v>
      </c>
      <c r="N1847" s="14" t="s">
        <v>253</v>
      </c>
      <c r="O1847" s="11" t="str">
        <f>HYPERLINK("https://pbs.twimg.com/profile_images/572091631055028224/Pkx__FSB_normal.png","View")</f>
        <v>View</v>
      </c>
      <c r="P1847" s="15"/>
    </row>
    <row r="1848">
      <c r="A1848" s="7">
        <v>42425.86734953704</v>
      </c>
      <c r="B1848" s="8" t="str">
        <f>HYPERLINK("https://twitter.com/VanessaPaquete","@VanessaPaquete")</f>
        <v>@VanessaPaquete</v>
      </c>
      <c r="C1848" s="10" t="s">
        <v>3973</v>
      </c>
      <c r="D1848" s="10" t="s">
        <v>2331</v>
      </c>
      <c r="E1848" s="11" t="str">
        <f>HYPERLINK("https://twitter.com/VanessaPaquete/status/703079286400532482","703079286400532482")</f>
        <v>703079286400532482</v>
      </c>
      <c r="F1848" s="12" t="s">
        <v>20</v>
      </c>
      <c r="G1848" s="13">
        <v>72.0</v>
      </c>
      <c r="H1848" s="13">
        <v>110.0</v>
      </c>
      <c r="I1848" s="13">
        <v>4.0</v>
      </c>
      <c r="J1848" s="13">
        <v>0.0</v>
      </c>
      <c r="K1848" s="12" t="s">
        <v>21</v>
      </c>
      <c r="L1848" s="7">
        <v>41080.30128472222</v>
      </c>
      <c r="M1848" s="14" t="s">
        <v>3974</v>
      </c>
      <c r="N1848" s="14" t="s">
        <v>3975</v>
      </c>
      <c r="O1848" s="11" t="str">
        <f>HYPERLINK("https://pbs.twimg.com/profile_images/700554240318541826/UEWSvcH3_normal.jpg","View")</f>
        <v>View</v>
      </c>
      <c r="P1848" s="15"/>
    </row>
    <row r="1849">
      <c r="A1849" s="7">
        <v>42425.868125</v>
      </c>
      <c r="B1849" s="8" t="str">
        <f>HYPERLINK("https://twitter.com/DebianBug","@DebianBug")</f>
        <v>@DebianBug</v>
      </c>
      <c r="C1849" s="10" t="s">
        <v>3926</v>
      </c>
      <c r="D1849" s="10" t="s">
        <v>3976</v>
      </c>
      <c r="E1849" s="11" t="str">
        <f>HYPERLINK("https://twitter.com/DebianBug/status/703079568542994432","703079568542994432")</f>
        <v>703079568542994432</v>
      </c>
      <c r="F1849" s="12" t="s">
        <v>3928</v>
      </c>
      <c r="G1849" s="13">
        <v>425.0</v>
      </c>
      <c r="H1849" s="13">
        <v>3.0</v>
      </c>
      <c r="I1849" s="13">
        <v>0.0</v>
      </c>
      <c r="J1849" s="13">
        <v>0.0</v>
      </c>
      <c r="K1849" s="12" t="s">
        <v>21</v>
      </c>
      <c r="L1849" s="7">
        <v>40753.696064814816</v>
      </c>
      <c r="M1849" s="16"/>
      <c r="N1849" s="14" t="s">
        <v>3929</v>
      </c>
      <c r="O1849" s="11" t="str">
        <f>HYPERLINK("https://pbs.twimg.com/profile_images/1511085195/495353-96-20110728133130_normal.png","View")</f>
        <v>View</v>
      </c>
      <c r="P1849" s="15"/>
    </row>
    <row r="1850">
      <c r="A1850" s="7">
        <v>42425.86871527778</v>
      </c>
      <c r="B1850" s="8" t="str">
        <f>HYPERLINK("https://twitter.com/walkops","@walkops")</f>
        <v>@walkops</v>
      </c>
      <c r="C1850" s="10" t="s">
        <v>743</v>
      </c>
      <c r="D1850" s="10" t="s">
        <v>1742</v>
      </c>
      <c r="E1850" s="11" t="str">
        <f>HYPERLINK("https://twitter.com/walkops/status/703079781206728707","703079781206728707")</f>
        <v>703079781206728707</v>
      </c>
      <c r="F1850" s="12" t="s">
        <v>745</v>
      </c>
      <c r="G1850" s="13">
        <v>228.0</v>
      </c>
      <c r="H1850" s="13">
        <v>5.0</v>
      </c>
      <c r="I1850" s="13">
        <v>0.0</v>
      </c>
      <c r="J1850" s="13">
        <v>0.0</v>
      </c>
      <c r="K1850" s="12" t="s">
        <v>21</v>
      </c>
      <c r="L1850" s="7">
        <v>41278.36125</v>
      </c>
      <c r="M1850" s="14" t="s">
        <v>746</v>
      </c>
      <c r="N1850" s="14" t="s">
        <v>747</v>
      </c>
      <c r="O1850" s="11" t="str">
        <f>HYPERLINK("https://pbs.twimg.com/profile_images/414665160217739264/Vjqlxhz8_normal.jpeg","View")</f>
        <v>View</v>
      </c>
      <c r="P1850" s="15"/>
    </row>
    <row r="1851">
      <c r="A1851" s="7">
        <v>42425.8693287037</v>
      </c>
      <c r="B1851" s="8" t="str">
        <f>HYPERLINK("https://twitter.com/S55nu","@S55nu")</f>
        <v>@S55nu</v>
      </c>
      <c r="C1851" s="10" t="s">
        <v>3969</v>
      </c>
      <c r="D1851" s="10" t="s">
        <v>2612</v>
      </c>
      <c r="E1851" s="11" t="str">
        <f>HYPERLINK("https://twitter.com/S55nu/status/703080003924152320","703080003924152320")</f>
        <v>703080003924152320</v>
      </c>
      <c r="F1851" s="12" t="s">
        <v>20</v>
      </c>
      <c r="G1851" s="13">
        <v>28.0</v>
      </c>
      <c r="H1851" s="13">
        <v>131.0</v>
      </c>
      <c r="I1851" s="13">
        <v>5.0</v>
      </c>
      <c r="J1851" s="13">
        <v>0.0</v>
      </c>
      <c r="K1851" s="12" t="s">
        <v>21</v>
      </c>
      <c r="L1851" s="7">
        <v>41805.34386574074</v>
      </c>
      <c r="M1851" s="16"/>
      <c r="N1851" s="16"/>
      <c r="O1851" s="11" t="str">
        <f>HYPERLINK("https://pbs.twimg.com/profile_images/653864387975839744/Y12QeLMA_normal.jpg","View")</f>
        <v>View</v>
      </c>
      <c r="P1851" s="15"/>
    </row>
    <row r="1852">
      <c r="A1852" s="7">
        <v>42425.87070601852</v>
      </c>
      <c r="B1852" s="8" t="str">
        <f>HYPERLINK("https://twitter.com/homeAIinfo","@homeAIinfo")</f>
        <v>@homeAIinfo</v>
      </c>
      <c r="C1852" s="10" t="s">
        <v>36</v>
      </c>
      <c r="D1852" s="10" t="s">
        <v>3869</v>
      </c>
      <c r="E1852" s="11" t="str">
        <f>HYPERLINK("https://twitter.com/homeAIinfo/status/703080505529536513","703080505529536513")</f>
        <v>703080505529536513</v>
      </c>
      <c r="F1852" s="12" t="s">
        <v>38</v>
      </c>
      <c r="G1852" s="13">
        <v>52868.0</v>
      </c>
      <c r="H1852" s="13">
        <v>1328.0</v>
      </c>
      <c r="I1852" s="13">
        <v>3.0</v>
      </c>
      <c r="J1852" s="13">
        <v>0.0</v>
      </c>
      <c r="K1852" s="12" t="s">
        <v>21</v>
      </c>
      <c r="L1852" s="7">
        <v>42133.34662037037</v>
      </c>
      <c r="M1852" s="14" t="s">
        <v>39</v>
      </c>
      <c r="N1852" s="14" t="s">
        <v>40</v>
      </c>
      <c r="O1852" s="11" t="str">
        <f>HYPERLINK("https://pbs.twimg.com/profile_images/645650110374936580/-oQakt8x_normal.png","View")</f>
        <v>View</v>
      </c>
      <c r="P1852" s="15"/>
    </row>
    <row r="1853">
      <c r="A1853" s="7">
        <v>42425.87265046296</v>
      </c>
      <c r="B1853" s="8" t="str">
        <f>HYPERLINK("https://twitter.com/TheOrbifold","@TheOrbifold")</f>
        <v>@TheOrbifold</v>
      </c>
      <c r="C1853" s="10" t="s">
        <v>3977</v>
      </c>
      <c r="D1853" s="10" t="s">
        <v>3978</v>
      </c>
      <c r="E1853" s="11" t="str">
        <f>HYPERLINK("https://twitter.com/TheOrbifold/status/703081207739916288","703081207739916288")</f>
        <v>703081207739916288</v>
      </c>
      <c r="F1853" s="12" t="s">
        <v>240</v>
      </c>
      <c r="G1853" s="13">
        <v>530.0</v>
      </c>
      <c r="H1853" s="13">
        <v>123.0</v>
      </c>
      <c r="I1853" s="13">
        <v>0.0</v>
      </c>
      <c r="J1853" s="13">
        <v>2.0</v>
      </c>
      <c r="K1853" s="12" t="s">
        <v>21</v>
      </c>
      <c r="L1853" s="7">
        <v>40155.8521875</v>
      </c>
      <c r="M1853" s="14" t="s">
        <v>3939</v>
      </c>
      <c r="N1853" s="14" t="s">
        <v>3979</v>
      </c>
      <c r="O1853" s="11" t="str">
        <f>HYPERLINK("https://pbs.twimg.com/profile_images/565491024756088832/ZxeiX3oF_normal.jpeg","View")</f>
        <v>View</v>
      </c>
      <c r="P1853" s="15"/>
    </row>
    <row r="1854">
      <c r="A1854" s="7">
        <v>42425.875439814816</v>
      </c>
      <c r="B1854" s="8" t="str">
        <f>HYPERLINK("https://twitter.com/kalpataru123","@kalpataru123")</f>
        <v>@kalpataru123</v>
      </c>
      <c r="C1854" s="10" t="s">
        <v>3980</v>
      </c>
      <c r="D1854" s="10" t="s">
        <v>3981</v>
      </c>
      <c r="E1854" s="11" t="str">
        <f>HYPERLINK("https://twitter.com/kalpataru123/status/703082217774432256","703082217774432256")</f>
        <v>703082217774432256</v>
      </c>
      <c r="F1854" s="12" t="s">
        <v>431</v>
      </c>
      <c r="G1854" s="13">
        <v>650.0</v>
      </c>
      <c r="H1854" s="13">
        <v>1856.0</v>
      </c>
      <c r="I1854" s="13">
        <v>0.0</v>
      </c>
      <c r="J1854" s="13">
        <v>0.0</v>
      </c>
      <c r="K1854" s="12" t="s">
        <v>21</v>
      </c>
      <c r="L1854" s="7">
        <v>39988.99475694445</v>
      </c>
      <c r="M1854" s="16"/>
      <c r="N1854" s="14" t="s">
        <v>3982</v>
      </c>
      <c r="O1854" s="11" t="str">
        <f>HYPERLINK("https://pbs.twimg.com/profile_images/590172778/KB_Deori_11_normal.jpg","View")</f>
        <v>View</v>
      </c>
      <c r="P1854" s="15"/>
    </row>
    <row r="1855">
      <c r="A1855" s="7">
        <v>42425.87751157407</v>
      </c>
      <c r="B1855" s="8" t="str">
        <f>HYPERLINK("https://twitter.com/Korede_Abayomi","@Korede_Abayomi")</f>
        <v>@Korede_Abayomi</v>
      </c>
      <c r="C1855" s="10" t="s">
        <v>3983</v>
      </c>
      <c r="D1855" s="10" t="s">
        <v>3984</v>
      </c>
      <c r="E1855" s="11" t="str">
        <f>HYPERLINK("https://twitter.com/Korede_Abayomi/status/703082970370805760","703082970370805760")</f>
        <v>703082970370805760</v>
      </c>
      <c r="F1855" s="12" t="s">
        <v>20</v>
      </c>
      <c r="G1855" s="13">
        <v>3165.0</v>
      </c>
      <c r="H1855" s="13">
        <v>2447.0</v>
      </c>
      <c r="I1855" s="13">
        <v>1.0</v>
      </c>
      <c r="J1855" s="13">
        <v>0.0</v>
      </c>
      <c r="K1855" s="12" t="s">
        <v>21</v>
      </c>
      <c r="L1855" s="7">
        <v>40509.70107638889</v>
      </c>
      <c r="M1855" s="14" t="s">
        <v>1899</v>
      </c>
      <c r="N1855" s="14" t="s">
        <v>3985</v>
      </c>
      <c r="O1855" s="11" t="str">
        <f>HYPERLINK("https://pbs.twimg.com/profile_images/1177203811/PEACE_normal.jpg","View")</f>
        <v>View</v>
      </c>
      <c r="P1855" s="15"/>
    </row>
    <row r="1856">
      <c r="A1856" s="7">
        <v>42425.8790625</v>
      </c>
      <c r="B1856" s="8" t="str">
        <f>HYPERLINK("https://twitter.com/AdamSmitht1","@AdamSmitht1")</f>
        <v>@AdamSmitht1</v>
      </c>
      <c r="C1856" s="10" t="s">
        <v>468</v>
      </c>
      <c r="D1856" s="10" t="s">
        <v>3986</v>
      </c>
      <c r="E1856" s="11" t="str">
        <f>HYPERLINK("https://twitter.com/AdamSmitht1/status/703083532680355842","703083532680355842")</f>
        <v>703083532680355842</v>
      </c>
      <c r="F1856" s="12" t="s">
        <v>103</v>
      </c>
      <c r="G1856" s="13">
        <v>849.0</v>
      </c>
      <c r="H1856" s="13">
        <v>793.0</v>
      </c>
      <c r="I1856" s="13">
        <v>0.0</v>
      </c>
      <c r="J1856" s="13">
        <v>0.0</v>
      </c>
      <c r="K1856" s="12" t="s">
        <v>21</v>
      </c>
      <c r="L1856" s="7">
        <v>42336.12709490741</v>
      </c>
      <c r="M1856" s="14" t="s">
        <v>470</v>
      </c>
      <c r="N1856" s="14" t="s">
        <v>471</v>
      </c>
      <c r="O1856" s="11" t="str">
        <f>HYPERLINK("https://pbs.twimg.com/profile_images/671623862916812800/yGsDKiP4_normal.jpg","View")</f>
        <v>View</v>
      </c>
      <c r="P1856" s="15"/>
    </row>
    <row r="1857">
      <c r="A1857" s="7">
        <v>42425.879641203705</v>
      </c>
      <c r="B1857" s="8" t="str">
        <f>HYPERLINK("https://twitter.com/startechwall","@startechwall")</f>
        <v>@startechwall</v>
      </c>
      <c r="C1857" s="10" t="s">
        <v>1478</v>
      </c>
      <c r="D1857" s="10" t="s">
        <v>3987</v>
      </c>
      <c r="E1857" s="11" t="str">
        <f>HYPERLINK("https://twitter.com/startechwall/status/703083744442368000","703083744442368000")</f>
        <v>703083744442368000</v>
      </c>
      <c r="F1857" s="12" t="s">
        <v>103</v>
      </c>
      <c r="G1857" s="13">
        <v>557.0</v>
      </c>
      <c r="H1857" s="13">
        <v>859.0</v>
      </c>
      <c r="I1857" s="13">
        <v>0.0</v>
      </c>
      <c r="J1857" s="13">
        <v>0.0</v>
      </c>
      <c r="K1857" s="12" t="s">
        <v>21</v>
      </c>
      <c r="L1857" s="7">
        <v>42360.959502314814</v>
      </c>
      <c r="M1857" s="14" t="s">
        <v>1480</v>
      </c>
      <c r="N1857" s="14" t="s">
        <v>1481</v>
      </c>
      <c r="O1857" s="11" t="str">
        <f>HYPERLINK("https://pbs.twimg.com/profile_images/679566117187145728/UUo30Zpm_normal.jpg","View")</f>
        <v>View</v>
      </c>
      <c r="P1857" s="15"/>
    </row>
    <row r="1858">
      <c r="A1858" s="7">
        <v>42425.88046296296</v>
      </c>
      <c r="B1858" s="8" t="str">
        <f>HYPERLINK("https://twitter.com/gazosokuho","@gazosokuho")</f>
        <v>@gazosokuho</v>
      </c>
      <c r="C1858" s="10" t="s">
        <v>3988</v>
      </c>
      <c r="D1858" s="10" t="s">
        <v>3989</v>
      </c>
      <c r="E1858" s="11" t="str">
        <f>HYPERLINK("https://twitter.com/gazosokuho/status/703084039633182720","703084039633182720")</f>
        <v>703084039633182720</v>
      </c>
      <c r="F1858" s="12" t="s">
        <v>3990</v>
      </c>
      <c r="G1858" s="13">
        <v>347.0</v>
      </c>
      <c r="H1858" s="13">
        <v>331.0</v>
      </c>
      <c r="I1858" s="13">
        <v>1.0</v>
      </c>
      <c r="J1858" s="13">
        <v>6.0</v>
      </c>
      <c r="K1858" s="12" t="s">
        <v>21</v>
      </c>
      <c r="L1858" s="7">
        <v>41804.13900462963</v>
      </c>
      <c r="M1858" s="16"/>
      <c r="N1858" s="14" t="s">
        <v>3991</v>
      </c>
      <c r="O1858" s="11" t="str">
        <f>HYPERLINK("https://pbs.twimg.com/profile_images/625509233379782658/NBJ5faPt_normal.jpg","View")</f>
        <v>View</v>
      </c>
      <c r="P1858" s="15"/>
    </row>
    <row r="1859">
      <c r="A1859" s="7">
        <v>42425.88511574074</v>
      </c>
      <c r="B1859" s="8" t="str">
        <f>HYPERLINK("https://twitter.com/jbueza","@jbueza")</f>
        <v>@jbueza</v>
      </c>
      <c r="C1859" s="10" t="s">
        <v>3992</v>
      </c>
      <c r="D1859" s="10" t="s">
        <v>1820</v>
      </c>
      <c r="E1859" s="11" t="str">
        <f>HYPERLINK("https://twitter.com/jbueza/status/703085724845780992","703085724845780992")</f>
        <v>703085724845780992</v>
      </c>
      <c r="F1859" s="12" t="s">
        <v>52</v>
      </c>
      <c r="G1859" s="13">
        <v>975.0</v>
      </c>
      <c r="H1859" s="13">
        <v>198.0</v>
      </c>
      <c r="I1859" s="13">
        <v>20.0</v>
      </c>
      <c r="J1859" s="13">
        <v>0.0</v>
      </c>
      <c r="K1859" s="12" t="s">
        <v>21</v>
      </c>
      <c r="L1859" s="7">
        <v>40305.79755787037</v>
      </c>
      <c r="M1859" s="14" t="s">
        <v>1365</v>
      </c>
      <c r="N1859" s="14" t="s">
        <v>3993</v>
      </c>
      <c r="O1859" s="11" t="str">
        <f>HYPERLINK("https://pbs.twimg.com/profile_images/571887267213492224/YgT4r-Fo_normal.jpeg","View")</f>
        <v>View</v>
      </c>
      <c r="P1859" s="15"/>
    </row>
    <row r="1860">
      <c r="A1860" s="7">
        <v>42425.88523148149</v>
      </c>
      <c r="B1860" s="8" t="str">
        <f t="shared" ref="B1860:B1866" si="193">HYPERLINK("https://twitter.com/artwisanggeni","@artwisanggeni")</f>
        <v>@artwisanggeni</v>
      </c>
      <c r="C1860" s="10" t="s">
        <v>74</v>
      </c>
      <c r="D1860" s="10" t="s">
        <v>3994</v>
      </c>
      <c r="E1860" s="11" t="str">
        <f>HYPERLINK("https://twitter.com/artwisanggeni/status/703085767791218688","703085767791218688")</f>
        <v>703085767791218688</v>
      </c>
      <c r="F1860" s="17" t="s">
        <v>76</v>
      </c>
      <c r="G1860" s="13">
        <v>236.0</v>
      </c>
      <c r="H1860" s="13">
        <v>61.0</v>
      </c>
      <c r="I1860" s="13">
        <v>0.0</v>
      </c>
      <c r="J1860" s="13">
        <v>0.0</v>
      </c>
      <c r="K1860" s="12" t="s">
        <v>21</v>
      </c>
      <c r="L1860" s="7">
        <v>41218.90608796296</v>
      </c>
      <c r="M1860" s="14" t="s">
        <v>77</v>
      </c>
      <c r="N1860" s="14" t="s">
        <v>78</v>
      </c>
      <c r="O1860" s="11" t="str">
        <f t="shared" ref="O1860:O1866" si="194">HYPERLINK("https://pbs.twimg.com/profile_images/2813636657/599521f69e2bc210a57323b64d8e39e6_normal.jpeg","View")</f>
        <v>View</v>
      </c>
      <c r="P1860" s="15"/>
    </row>
    <row r="1861">
      <c r="A1861" s="7">
        <v>42425.885243055556</v>
      </c>
      <c r="B1861" s="8" t="str">
        <f t="shared" si="193"/>
        <v>@artwisanggeni</v>
      </c>
      <c r="C1861" s="10" t="s">
        <v>74</v>
      </c>
      <c r="D1861" s="10" t="s">
        <v>3995</v>
      </c>
      <c r="E1861" s="11" t="str">
        <f>HYPERLINK("https://twitter.com/artwisanggeni/status/703085772027486208","703085772027486208")</f>
        <v>703085772027486208</v>
      </c>
      <c r="F1861" s="17" t="s">
        <v>76</v>
      </c>
      <c r="G1861" s="13">
        <v>236.0</v>
      </c>
      <c r="H1861" s="13">
        <v>61.0</v>
      </c>
      <c r="I1861" s="13">
        <v>0.0</v>
      </c>
      <c r="J1861" s="13">
        <v>0.0</v>
      </c>
      <c r="K1861" s="12" t="s">
        <v>21</v>
      </c>
      <c r="L1861" s="7">
        <v>41218.90608796296</v>
      </c>
      <c r="M1861" s="14" t="s">
        <v>77</v>
      </c>
      <c r="N1861" s="14" t="s">
        <v>78</v>
      </c>
      <c r="O1861" s="11" t="str">
        <f t="shared" si="194"/>
        <v>View</v>
      </c>
      <c r="P1861" s="15"/>
    </row>
    <row r="1862">
      <c r="A1862" s="7">
        <v>42425.885254629626</v>
      </c>
      <c r="B1862" s="8" t="str">
        <f t="shared" si="193"/>
        <v>@artwisanggeni</v>
      </c>
      <c r="C1862" s="10" t="s">
        <v>74</v>
      </c>
      <c r="D1862" s="10" t="s">
        <v>3996</v>
      </c>
      <c r="E1862" s="11" t="str">
        <f>HYPERLINK("https://twitter.com/artwisanggeni/status/703085776448258048","703085776448258048")</f>
        <v>703085776448258048</v>
      </c>
      <c r="F1862" s="17" t="s">
        <v>76</v>
      </c>
      <c r="G1862" s="13">
        <v>236.0</v>
      </c>
      <c r="H1862" s="13">
        <v>61.0</v>
      </c>
      <c r="I1862" s="13">
        <v>0.0</v>
      </c>
      <c r="J1862" s="13">
        <v>0.0</v>
      </c>
      <c r="K1862" s="12" t="s">
        <v>21</v>
      </c>
      <c r="L1862" s="7">
        <v>41218.90608796296</v>
      </c>
      <c r="M1862" s="14" t="s">
        <v>77</v>
      </c>
      <c r="N1862" s="14" t="s">
        <v>78</v>
      </c>
      <c r="O1862" s="11" t="str">
        <f t="shared" si="194"/>
        <v>View</v>
      </c>
      <c r="P1862" s="15"/>
    </row>
    <row r="1863">
      <c r="A1863" s="7">
        <v>42425.8852662037</v>
      </c>
      <c r="B1863" s="8" t="str">
        <f t="shared" si="193"/>
        <v>@artwisanggeni</v>
      </c>
      <c r="C1863" s="10" t="s">
        <v>74</v>
      </c>
      <c r="D1863" s="10" t="s">
        <v>3997</v>
      </c>
      <c r="E1863" s="11" t="str">
        <f>HYPERLINK("https://twitter.com/artwisanggeni/status/703085779761831937","703085779761831937")</f>
        <v>703085779761831937</v>
      </c>
      <c r="F1863" s="17" t="s">
        <v>76</v>
      </c>
      <c r="G1863" s="13">
        <v>236.0</v>
      </c>
      <c r="H1863" s="13">
        <v>61.0</v>
      </c>
      <c r="I1863" s="13">
        <v>0.0</v>
      </c>
      <c r="J1863" s="13">
        <v>1.0</v>
      </c>
      <c r="K1863" s="12" t="s">
        <v>21</v>
      </c>
      <c r="L1863" s="7">
        <v>41218.90608796296</v>
      </c>
      <c r="M1863" s="14" t="s">
        <v>77</v>
      </c>
      <c r="N1863" s="14" t="s">
        <v>78</v>
      </c>
      <c r="O1863" s="11" t="str">
        <f t="shared" si="194"/>
        <v>View</v>
      </c>
      <c r="P1863" s="15"/>
    </row>
    <row r="1864">
      <c r="A1864" s="7">
        <v>42425.88527777778</v>
      </c>
      <c r="B1864" s="8" t="str">
        <f t="shared" si="193"/>
        <v>@artwisanggeni</v>
      </c>
      <c r="C1864" s="10" t="s">
        <v>74</v>
      </c>
      <c r="D1864" s="10" t="s">
        <v>3998</v>
      </c>
      <c r="E1864" s="11" t="str">
        <f>HYPERLINK("https://twitter.com/artwisanggeni/status/703085783368863744","703085783368863744")</f>
        <v>703085783368863744</v>
      </c>
      <c r="F1864" s="17" t="s">
        <v>76</v>
      </c>
      <c r="G1864" s="13">
        <v>236.0</v>
      </c>
      <c r="H1864" s="13">
        <v>61.0</v>
      </c>
      <c r="I1864" s="13">
        <v>0.0</v>
      </c>
      <c r="J1864" s="13">
        <v>0.0</v>
      </c>
      <c r="K1864" s="12" t="s">
        <v>21</v>
      </c>
      <c r="L1864" s="7">
        <v>41218.90608796296</v>
      </c>
      <c r="M1864" s="14" t="s">
        <v>77</v>
      </c>
      <c r="N1864" s="14" t="s">
        <v>78</v>
      </c>
      <c r="O1864" s="11" t="str">
        <f t="shared" si="194"/>
        <v>View</v>
      </c>
      <c r="P1864" s="15"/>
    </row>
    <row r="1865">
      <c r="A1865" s="7">
        <v>42425.88527777778</v>
      </c>
      <c r="B1865" s="8" t="str">
        <f t="shared" si="193"/>
        <v>@artwisanggeni</v>
      </c>
      <c r="C1865" s="10" t="s">
        <v>74</v>
      </c>
      <c r="D1865" s="10" t="s">
        <v>3999</v>
      </c>
      <c r="E1865" s="11" t="str">
        <f>HYPERLINK("https://twitter.com/artwisanggeni/status/703085787051503617","703085787051503617")</f>
        <v>703085787051503617</v>
      </c>
      <c r="F1865" s="17" t="s">
        <v>76</v>
      </c>
      <c r="G1865" s="13">
        <v>236.0</v>
      </c>
      <c r="H1865" s="13">
        <v>61.0</v>
      </c>
      <c r="I1865" s="13">
        <v>0.0</v>
      </c>
      <c r="J1865" s="13">
        <v>0.0</v>
      </c>
      <c r="K1865" s="12" t="s">
        <v>21</v>
      </c>
      <c r="L1865" s="7">
        <v>41218.90608796296</v>
      </c>
      <c r="M1865" s="14" t="s">
        <v>77</v>
      </c>
      <c r="N1865" s="14" t="s">
        <v>78</v>
      </c>
      <c r="O1865" s="11" t="str">
        <f t="shared" si="194"/>
        <v>View</v>
      </c>
      <c r="P1865" s="15"/>
    </row>
    <row r="1866">
      <c r="A1866" s="7">
        <v>42425.88528935185</v>
      </c>
      <c r="B1866" s="8" t="str">
        <f t="shared" si="193"/>
        <v>@artwisanggeni</v>
      </c>
      <c r="C1866" s="10" t="s">
        <v>74</v>
      </c>
      <c r="D1866" s="10" t="s">
        <v>4000</v>
      </c>
      <c r="E1866" s="11" t="str">
        <f>HYPERLINK("https://twitter.com/artwisanggeni/status/703085790687956992","703085790687956992")</f>
        <v>703085790687956992</v>
      </c>
      <c r="F1866" s="17" t="s">
        <v>76</v>
      </c>
      <c r="G1866" s="13">
        <v>236.0</v>
      </c>
      <c r="H1866" s="13">
        <v>61.0</v>
      </c>
      <c r="I1866" s="13">
        <v>0.0</v>
      </c>
      <c r="J1866" s="13">
        <v>0.0</v>
      </c>
      <c r="K1866" s="12" t="s">
        <v>21</v>
      </c>
      <c r="L1866" s="7">
        <v>41218.90608796296</v>
      </c>
      <c r="M1866" s="14" t="s">
        <v>77</v>
      </c>
      <c r="N1866" s="14" t="s">
        <v>78</v>
      </c>
      <c r="O1866" s="11" t="str">
        <f t="shared" si="194"/>
        <v>View</v>
      </c>
      <c r="P1866" s="15"/>
    </row>
    <row r="1867">
      <c r="A1867" s="7">
        <v>42425.88549768519</v>
      </c>
      <c r="B1867" s="8" t="str">
        <f t="shared" ref="B1867:B1870" si="195">HYPERLINK("https://twitter.com/coding_jobfeeds","@coding_jobfeeds")</f>
        <v>@coding_jobfeeds</v>
      </c>
      <c r="C1867" s="10" t="s">
        <v>685</v>
      </c>
      <c r="D1867" s="10" t="s">
        <v>4001</v>
      </c>
      <c r="E1867" s="11" t="str">
        <f>HYPERLINK("https://twitter.com/coding_jobfeeds/status/703085866546237440","703085866546237440")</f>
        <v>703085866546237440</v>
      </c>
      <c r="F1867" s="12" t="s">
        <v>687</v>
      </c>
      <c r="G1867" s="13">
        <v>1040.0</v>
      </c>
      <c r="H1867" s="13">
        <v>987.0</v>
      </c>
      <c r="I1867" s="13">
        <v>0.0</v>
      </c>
      <c r="J1867" s="13">
        <v>0.0</v>
      </c>
      <c r="K1867" s="12" t="s">
        <v>21</v>
      </c>
      <c r="L1867" s="7">
        <v>42173.56387731481</v>
      </c>
      <c r="M1867" s="14" t="s">
        <v>519</v>
      </c>
      <c r="N1867" s="14" t="s">
        <v>688</v>
      </c>
      <c r="O1867" s="11" t="str">
        <f t="shared" ref="O1867:O1870" si="196">HYPERLINK("https://pbs.twimg.com/profile_images/611834314586750976/feZ5fZOO_normal.png","View")</f>
        <v>View</v>
      </c>
      <c r="P1867" s="15"/>
    </row>
    <row r="1868">
      <c r="A1868" s="7">
        <v>42425.88550925926</v>
      </c>
      <c r="B1868" s="8" t="str">
        <f t="shared" si="195"/>
        <v>@coding_jobfeeds</v>
      </c>
      <c r="C1868" s="10" t="s">
        <v>685</v>
      </c>
      <c r="D1868" s="10" t="s">
        <v>4002</v>
      </c>
      <c r="E1868" s="11" t="str">
        <f>HYPERLINK("https://twitter.com/coding_jobfeeds/status/703085869209690112","703085869209690112")</f>
        <v>703085869209690112</v>
      </c>
      <c r="F1868" s="12" t="s">
        <v>687</v>
      </c>
      <c r="G1868" s="13">
        <v>1040.0</v>
      </c>
      <c r="H1868" s="13">
        <v>987.0</v>
      </c>
      <c r="I1868" s="13">
        <v>0.0</v>
      </c>
      <c r="J1868" s="13">
        <v>0.0</v>
      </c>
      <c r="K1868" s="12" t="s">
        <v>21</v>
      </c>
      <c r="L1868" s="7">
        <v>42173.56387731481</v>
      </c>
      <c r="M1868" s="14" t="s">
        <v>519</v>
      </c>
      <c r="N1868" s="14" t="s">
        <v>688</v>
      </c>
      <c r="O1868" s="11" t="str">
        <f t="shared" si="196"/>
        <v>View</v>
      </c>
      <c r="P1868" s="15"/>
    </row>
    <row r="1869">
      <c r="A1869" s="7">
        <v>42425.88552083333</v>
      </c>
      <c r="B1869" s="8" t="str">
        <f t="shared" si="195"/>
        <v>@coding_jobfeeds</v>
      </c>
      <c r="C1869" s="10" t="s">
        <v>685</v>
      </c>
      <c r="D1869" s="10" t="s">
        <v>4003</v>
      </c>
      <c r="E1869" s="11" t="str">
        <f>HYPERLINK("https://twitter.com/coding_jobfeeds/status/703085871680110592","703085871680110592")</f>
        <v>703085871680110592</v>
      </c>
      <c r="F1869" s="12" t="s">
        <v>687</v>
      </c>
      <c r="G1869" s="13">
        <v>1040.0</v>
      </c>
      <c r="H1869" s="13">
        <v>987.0</v>
      </c>
      <c r="I1869" s="13">
        <v>0.0</v>
      </c>
      <c r="J1869" s="13">
        <v>0.0</v>
      </c>
      <c r="K1869" s="12" t="s">
        <v>21</v>
      </c>
      <c r="L1869" s="7">
        <v>42173.56387731481</v>
      </c>
      <c r="M1869" s="14" t="s">
        <v>519</v>
      </c>
      <c r="N1869" s="14" t="s">
        <v>688</v>
      </c>
      <c r="O1869" s="11" t="str">
        <f t="shared" si="196"/>
        <v>View</v>
      </c>
      <c r="P1869" s="15"/>
    </row>
    <row r="1870">
      <c r="A1870" s="7">
        <v>42425.88552083333</v>
      </c>
      <c r="B1870" s="8" t="str">
        <f t="shared" si="195"/>
        <v>@coding_jobfeeds</v>
      </c>
      <c r="C1870" s="10" t="s">
        <v>685</v>
      </c>
      <c r="D1870" s="10" t="s">
        <v>4004</v>
      </c>
      <c r="E1870" s="11" t="str">
        <f>HYPERLINK("https://twitter.com/coding_jobfeeds/status/703085874045718528","703085874045718528")</f>
        <v>703085874045718528</v>
      </c>
      <c r="F1870" s="12" t="s">
        <v>687</v>
      </c>
      <c r="G1870" s="13">
        <v>1040.0</v>
      </c>
      <c r="H1870" s="13">
        <v>987.0</v>
      </c>
      <c r="I1870" s="13">
        <v>0.0</v>
      </c>
      <c r="J1870" s="13">
        <v>0.0</v>
      </c>
      <c r="K1870" s="12" t="s">
        <v>21</v>
      </c>
      <c r="L1870" s="7">
        <v>42173.56387731481</v>
      </c>
      <c r="M1870" s="14" t="s">
        <v>519</v>
      </c>
      <c r="N1870" s="14" t="s">
        <v>688</v>
      </c>
      <c r="O1870" s="11" t="str">
        <f t="shared" si="196"/>
        <v>View</v>
      </c>
      <c r="P1870" s="15"/>
    </row>
    <row r="1871">
      <c r="A1871" s="7">
        <v>42425.88892361111</v>
      </c>
      <c r="B1871" s="8" t="str">
        <f>HYPERLINK("https://twitter.com/clickerdeals","@clickerdeals")</f>
        <v>@clickerdeals</v>
      </c>
      <c r="C1871" s="9" t="s">
        <v>4005</v>
      </c>
      <c r="D1871" s="10" t="s">
        <v>4006</v>
      </c>
      <c r="E1871" s="11" t="str">
        <f>HYPERLINK("https://twitter.com/clickerdeals/status/703087107309350912","703087107309350912")</f>
        <v>703087107309350912</v>
      </c>
      <c r="F1871" s="12" t="s">
        <v>4007</v>
      </c>
      <c r="G1871" s="13">
        <v>548.0</v>
      </c>
      <c r="H1871" s="13">
        <v>57.0</v>
      </c>
      <c r="I1871" s="13">
        <v>0.0</v>
      </c>
      <c r="J1871" s="13">
        <v>0.0</v>
      </c>
      <c r="K1871" s="12" t="s">
        <v>21</v>
      </c>
      <c r="L1871" s="7">
        <v>39982.34512731482</v>
      </c>
      <c r="M1871" s="14" t="s">
        <v>519</v>
      </c>
      <c r="N1871" s="14" t="s">
        <v>4008</v>
      </c>
      <c r="O1871" s="11" t="str">
        <f>HYPERLINK("https://pbs.twimg.com/profile_images/269222451/clickerdeals_normal.png","View")</f>
        <v>View</v>
      </c>
      <c r="P1871" s="15"/>
    </row>
    <row r="1872">
      <c r="A1872" s="7">
        <v>42425.89231481482</v>
      </c>
      <c r="B1872" s="8" t="str">
        <f>HYPERLINK("https://twitter.com/VijayKNarayana1","@VijayKNarayana1")</f>
        <v>@VijayKNarayana1</v>
      </c>
      <c r="C1872" s="10" t="s">
        <v>4009</v>
      </c>
      <c r="D1872" s="10" t="s">
        <v>4010</v>
      </c>
      <c r="E1872" s="11" t="str">
        <f>HYPERLINK("https://twitter.com/VijayKNarayana1/status/703088336659812352","703088336659812352")</f>
        <v>703088336659812352</v>
      </c>
      <c r="F1872" s="12" t="s">
        <v>20</v>
      </c>
      <c r="G1872" s="13">
        <v>76.0</v>
      </c>
      <c r="H1872" s="13">
        <v>252.0</v>
      </c>
      <c r="I1872" s="13">
        <v>0.0</v>
      </c>
      <c r="J1872" s="13">
        <v>3.0</v>
      </c>
      <c r="K1872" s="12" t="s">
        <v>21</v>
      </c>
      <c r="L1872" s="7">
        <v>40920.744155092594</v>
      </c>
      <c r="M1872" s="14" t="s">
        <v>1365</v>
      </c>
      <c r="N1872" s="14" t="s">
        <v>4011</v>
      </c>
      <c r="O1872" s="11" t="str">
        <f>HYPERLINK("https://abs.twimg.com/sticky/default_profile_images/default_profile_2_normal.png","View")</f>
        <v>View</v>
      </c>
      <c r="P1872" s="15"/>
    </row>
    <row r="1873">
      <c r="A1873" s="7">
        <v>42425.894641203704</v>
      </c>
      <c r="B1873" s="8" t="str">
        <f>HYPERLINK("https://twitter.com/7h3rAm","@7h3rAm")</f>
        <v>@7h3rAm</v>
      </c>
      <c r="C1873" s="10" t="s">
        <v>4012</v>
      </c>
      <c r="D1873" s="10" t="s">
        <v>1212</v>
      </c>
      <c r="E1873" s="11" t="str">
        <f>HYPERLINK("https://twitter.com/7h3rAm/status/703089179584917510","703089179584917510")</f>
        <v>703089179584917510</v>
      </c>
      <c r="F1873" s="12" t="s">
        <v>152</v>
      </c>
      <c r="G1873" s="13">
        <v>599.0</v>
      </c>
      <c r="H1873" s="13">
        <v>1310.0</v>
      </c>
      <c r="I1873" s="13">
        <v>24.0</v>
      </c>
      <c r="J1873" s="13">
        <v>0.0</v>
      </c>
      <c r="K1873" s="12" t="s">
        <v>21</v>
      </c>
      <c r="L1873" s="7">
        <v>40532.20511574074</v>
      </c>
      <c r="M1873" s="16"/>
      <c r="N1873" s="14" t="s">
        <v>4013</v>
      </c>
      <c r="O1873" s="11" t="str">
        <f>HYPERLINK("https://pbs.twimg.com/profile_images/1461559743/Aries_normal.jpg","View")</f>
        <v>View</v>
      </c>
      <c r="P1873" s="15"/>
    </row>
    <row r="1874">
      <c r="A1874" s="7">
        <v>42425.8950462963</v>
      </c>
      <c r="B1874" s="8" t="str">
        <f>HYPERLINK("https://twitter.com/Catamount2112","@Catamount2112")</f>
        <v>@Catamount2112</v>
      </c>
      <c r="C1874" s="10" t="s">
        <v>4014</v>
      </c>
      <c r="D1874" s="10" t="s">
        <v>4015</v>
      </c>
      <c r="E1874" s="11" t="str">
        <f>HYPERLINK("https://twitter.com/Catamount2112/status/703089325399887872","703089325399887872")</f>
        <v>703089325399887872</v>
      </c>
      <c r="F1874" s="12" t="s">
        <v>20</v>
      </c>
      <c r="G1874" s="13">
        <v>211.0</v>
      </c>
      <c r="H1874" s="13">
        <v>321.0</v>
      </c>
      <c r="I1874" s="13">
        <v>0.0</v>
      </c>
      <c r="J1874" s="13">
        <v>0.0</v>
      </c>
      <c r="K1874" s="12" t="s">
        <v>21</v>
      </c>
      <c r="L1874" s="7">
        <v>42218.525624999995</v>
      </c>
      <c r="M1874" s="16"/>
      <c r="N1874" s="16"/>
      <c r="O1874" s="11" t="str">
        <f>HYPERLINK("https://pbs.twimg.com/profile_images/627927489608749056/yM2TylS1_normal.jpg","View")</f>
        <v>View</v>
      </c>
      <c r="P1874" s="15"/>
    </row>
    <row r="1875">
      <c r="A1875" s="7">
        <v>42425.89520833333</v>
      </c>
      <c r="B1875" s="8" t="str">
        <f>HYPERLINK("https://twitter.com/VijayKNarayana1","@VijayKNarayana1")</f>
        <v>@VijayKNarayana1</v>
      </c>
      <c r="C1875" s="10" t="s">
        <v>4009</v>
      </c>
      <c r="D1875" s="10" t="s">
        <v>1820</v>
      </c>
      <c r="E1875" s="11" t="str">
        <f>HYPERLINK("https://twitter.com/VijayKNarayana1/status/703089382018797568","703089382018797568")</f>
        <v>703089382018797568</v>
      </c>
      <c r="F1875" s="12" t="s">
        <v>20</v>
      </c>
      <c r="G1875" s="13">
        <v>76.0</v>
      </c>
      <c r="H1875" s="13">
        <v>252.0</v>
      </c>
      <c r="I1875" s="13">
        <v>20.0</v>
      </c>
      <c r="J1875" s="13">
        <v>0.0</v>
      </c>
      <c r="K1875" s="12" t="s">
        <v>21</v>
      </c>
      <c r="L1875" s="7">
        <v>40920.744155092594</v>
      </c>
      <c r="M1875" s="14" t="s">
        <v>1365</v>
      </c>
      <c r="N1875" s="14" t="s">
        <v>4011</v>
      </c>
      <c r="O1875" s="11" t="str">
        <f>HYPERLINK("https://abs.twimg.com/sticky/default_profile_images/default_profile_2_normal.png","View")</f>
        <v>View</v>
      </c>
      <c r="P1875" s="15"/>
    </row>
    <row r="1876">
      <c r="A1876" s="7">
        <v>42425.89572916667</v>
      </c>
      <c r="B1876" s="8" t="str">
        <f>HYPERLINK("https://twitter.com/jigsawacademy","@jigsawacademy")</f>
        <v>@jigsawacademy</v>
      </c>
      <c r="C1876" s="10" t="s">
        <v>4016</v>
      </c>
      <c r="D1876" s="10" t="s">
        <v>4017</v>
      </c>
      <c r="E1876" s="11" t="str">
        <f>HYPERLINK("https://twitter.com/jigsawacademy/status/703089572004007936","703089572004007936")</f>
        <v>703089572004007936</v>
      </c>
      <c r="F1876" s="12" t="s">
        <v>20</v>
      </c>
      <c r="G1876" s="13">
        <v>967.0</v>
      </c>
      <c r="H1876" s="13">
        <v>296.0</v>
      </c>
      <c r="I1876" s="13">
        <v>2.0</v>
      </c>
      <c r="J1876" s="13">
        <v>4.0</v>
      </c>
      <c r="K1876" s="12" t="s">
        <v>21</v>
      </c>
      <c r="L1876" s="7">
        <v>40768.19988425926</v>
      </c>
      <c r="M1876" s="14" t="s">
        <v>34</v>
      </c>
      <c r="N1876" s="14" t="s">
        <v>4018</v>
      </c>
      <c r="O1876" s="11" t="str">
        <f>HYPERLINK("https://pbs.twimg.com/profile_images/458835173086216192/0QIQyQ18_normal.png","View")</f>
        <v>View</v>
      </c>
      <c r="P1876" s="15"/>
    </row>
    <row r="1877">
      <c r="A1877" s="7">
        <v>42425.89591435185</v>
      </c>
      <c r="B1877" s="8" t="str">
        <f t="shared" ref="B1877:B1880" si="197">HYPERLINK("https://twitter.com/opexxx","@opexxx")</f>
        <v>@opexxx</v>
      </c>
      <c r="C1877" s="10" t="s">
        <v>4019</v>
      </c>
      <c r="D1877" s="10" t="s">
        <v>4020</v>
      </c>
      <c r="E1877" s="11" t="str">
        <f>HYPERLINK("https://twitter.com/opexxx/status/703089639775666176","703089639775666176")</f>
        <v>703089639775666176</v>
      </c>
      <c r="F1877" s="12" t="s">
        <v>103</v>
      </c>
      <c r="G1877" s="13">
        <v>9294.0</v>
      </c>
      <c r="H1877" s="13">
        <v>2814.0</v>
      </c>
      <c r="I1877" s="13">
        <v>1.0</v>
      </c>
      <c r="J1877" s="13">
        <v>1.0</v>
      </c>
      <c r="K1877" s="12" t="s">
        <v>21</v>
      </c>
      <c r="L1877" s="7">
        <v>39921.09983796296</v>
      </c>
      <c r="M1877" s="14" t="s">
        <v>4021</v>
      </c>
      <c r="N1877" s="14" t="s">
        <v>4022</v>
      </c>
      <c r="O1877" s="11" t="str">
        <f t="shared" ref="O1877:O1880" si="198">HYPERLINK("https://pbs.twimg.com/profile_images/3749355966/80a6b1c52c74bd952b8a19042f7296d7_normal.jpeg","View")</f>
        <v>View</v>
      </c>
      <c r="P1877" s="15"/>
    </row>
    <row r="1878">
      <c r="A1878" s="7">
        <v>42425.89591435185</v>
      </c>
      <c r="B1878" s="8" t="str">
        <f t="shared" si="197"/>
        <v>@opexxx</v>
      </c>
      <c r="C1878" s="10" t="s">
        <v>4019</v>
      </c>
      <c r="D1878" s="10" t="s">
        <v>4023</v>
      </c>
      <c r="E1878" s="11" t="str">
        <f>HYPERLINK("https://twitter.com/opexxx/status/703089641591848961","703089641591848961")</f>
        <v>703089641591848961</v>
      </c>
      <c r="F1878" s="12" t="s">
        <v>103</v>
      </c>
      <c r="G1878" s="13">
        <v>9294.0</v>
      </c>
      <c r="H1878" s="13">
        <v>2814.0</v>
      </c>
      <c r="I1878" s="13">
        <v>2.0</v>
      </c>
      <c r="J1878" s="13">
        <v>5.0</v>
      </c>
      <c r="K1878" s="12" t="s">
        <v>21</v>
      </c>
      <c r="L1878" s="7">
        <v>39921.09983796296</v>
      </c>
      <c r="M1878" s="14" t="s">
        <v>4021</v>
      </c>
      <c r="N1878" s="14" t="s">
        <v>4022</v>
      </c>
      <c r="O1878" s="11" t="str">
        <f t="shared" si="198"/>
        <v>View</v>
      </c>
      <c r="P1878" s="15"/>
    </row>
    <row r="1879">
      <c r="A1879" s="7">
        <v>42425.89592592593</v>
      </c>
      <c r="B1879" s="8" t="str">
        <f t="shared" si="197"/>
        <v>@opexxx</v>
      </c>
      <c r="C1879" s="10" t="s">
        <v>4019</v>
      </c>
      <c r="D1879" s="10" t="s">
        <v>4024</v>
      </c>
      <c r="E1879" s="11" t="str">
        <f>HYPERLINK("https://twitter.com/opexxx/status/703089643387002880","703089643387002880")</f>
        <v>703089643387002880</v>
      </c>
      <c r="F1879" s="12" t="s">
        <v>103</v>
      </c>
      <c r="G1879" s="13">
        <v>9294.0</v>
      </c>
      <c r="H1879" s="13">
        <v>2814.0</v>
      </c>
      <c r="I1879" s="13">
        <v>4.0</v>
      </c>
      <c r="J1879" s="13">
        <v>4.0</v>
      </c>
      <c r="K1879" s="12" t="s">
        <v>21</v>
      </c>
      <c r="L1879" s="7">
        <v>39921.09983796296</v>
      </c>
      <c r="M1879" s="14" t="s">
        <v>4021</v>
      </c>
      <c r="N1879" s="14" t="s">
        <v>4022</v>
      </c>
      <c r="O1879" s="11" t="str">
        <f t="shared" si="198"/>
        <v>View</v>
      </c>
      <c r="P1879" s="15"/>
    </row>
    <row r="1880">
      <c r="A1880" s="7">
        <v>42425.8959375</v>
      </c>
      <c r="B1880" s="8" t="str">
        <f t="shared" si="197"/>
        <v>@opexxx</v>
      </c>
      <c r="C1880" s="10" t="s">
        <v>4019</v>
      </c>
      <c r="D1880" s="10" t="s">
        <v>4025</v>
      </c>
      <c r="E1880" s="11" t="str">
        <f>HYPERLINK("https://twitter.com/opexxx/status/703089647438712832","703089647438712832")</f>
        <v>703089647438712832</v>
      </c>
      <c r="F1880" s="12" t="s">
        <v>103</v>
      </c>
      <c r="G1880" s="13">
        <v>9294.0</v>
      </c>
      <c r="H1880" s="13">
        <v>2814.0</v>
      </c>
      <c r="I1880" s="13">
        <v>2.0</v>
      </c>
      <c r="J1880" s="13">
        <v>7.0</v>
      </c>
      <c r="K1880" s="12" t="s">
        <v>21</v>
      </c>
      <c r="L1880" s="7">
        <v>39921.09983796296</v>
      </c>
      <c r="M1880" s="14" t="s">
        <v>4021</v>
      </c>
      <c r="N1880" s="14" t="s">
        <v>4022</v>
      </c>
      <c r="O1880" s="11" t="str">
        <f t="shared" si="198"/>
        <v>View</v>
      </c>
      <c r="P1880" s="15"/>
    </row>
    <row r="1881">
      <c r="A1881" s="7">
        <v>42425.89604166667</v>
      </c>
      <c r="B1881" s="8" t="str">
        <f>HYPERLINK("https://twitter.com/ConnectionsNY","@ConnectionsNY")</f>
        <v>@ConnectionsNY</v>
      </c>
      <c r="C1881" s="10" t="s">
        <v>1088</v>
      </c>
      <c r="D1881" s="10" t="s">
        <v>4026</v>
      </c>
      <c r="E1881" s="11" t="str">
        <f>HYPERLINK("https://twitter.com/ConnectionsNY/status/703089686445740032","703089686445740032")</f>
        <v>703089686445740032</v>
      </c>
      <c r="F1881" s="12" t="s">
        <v>659</v>
      </c>
      <c r="G1881" s="13">
        <v>1272.0</v>
      </c>
      <c r="H1881" s="13">
        <v>825.0</v>
      </c>
      <c r="I1881" s="13">
        <v>0.0</v>
      </c>
      <c r="J1881" s="13">
        <v>1.0</v>
      </c>
      <c r="K1881" s="12" t="s">
        <v>21</v>
      </c>
      <c r="L1881" s="7">
        <v>39916.460486111115</v>
      </c>
      <c r="M1881" s="14" t="s">
        <v>1090</v>
      </c>
      <c r="N1881" s="14" t="s">
        <v>1091</v>
      </c>
      <c r="O1881" s="11" t="str">
        <f>HYPERLINK("https://pbs.twimg.com/profile_images/646430794391650304/jK6EaLeg_normal.jpg","View")</f>
        <v>View</v>
      </c>
      <c r="P1881" s="15"/>
    </row>
    <row r="1882">
      <c r="A1882" s="7">
        <v>42425.896203703705</v>
      </c>
      <c r="B1882" s="8" t="str">
        <f>HYPERLINK("https://twitter.com/faloonatic","@faloonatic")</f>
        <v>@faloonatic</v>
      </c>
      <c r="C1882" s="10" t="s">
        <v>4027</v>
      </c>
      <c r="D1882" s="10" t="s">
        <v>3556</v>
      </c>
      <c r="E1882" s="11" t="str">
        <f>HYPERLINK("https://twitter.com/faloonatic/status/703089744872239104","703089744872239104")</f>
        <v>703089744872239104</v>
      </c>
      <c r="F1882" s="12" t="s">
        <v>152</v>
      </c>
      <c r="G1882" s="13">
        <v>114.0</v>
      </c>
      <c r="H1882" s="13">
        <v>78.0</v>
      </c>
      <c r="I1882" s="13">
        <v>9.0</v>
      </c>
      <c r="J1882" s="13">
        <v>0.0</v>
      </c>
      <c r="K1882" s="12" t="s">
        <v>21</v>
      </c>
      <c r="L1882" s="7">
        <v>40388.38774305556</v>
      </c>
      <c r="M1882" s="14" t="s">
        <v>4028</v>
      </c>
      <c r="N1882" s="14" t="s">
        <v>4029</v>
      </c>
      <c r="O1882" s="11" t="str">
        <f>HYPERLINK("https://pbs.twimg.com/profile_images/1573965488/bfaloona_normal.png","View")</f>
        <v>View</v>
      </c>
      <c r="P1882" s="15"/>
    </row>
    <row r="1883">
      <c r="A1883" s="7">
        <v>42425.8968287037</v>
      </c>
      <c r="B1883" s="8" t="str">
        <f>HYPERLINK("https://twitter.com/_bipul","@_bipul")</f>
        <v>@_bipul</v>
      </c>
      <c r="C1883" s="10" t="s">
        <v>4030</v>
      </c>
      <c r="D1883" s="10" t="s">
        <v>4031</v>
      </c>
      <c r="E1883" s="11" t="str">
        <f>HYPERLINK("https://twitter.com/_bipul/status/703089971725348865","703089971725348865")</f>
        <v>703089971725348865</v>
      </c>
      <c r="F1883" s="12" t="s">
        <v>20</v>
      </c>
      <c r="G1883" s="13">
        <v>297.0</v>
      </c>
      <c r="H1883" s="13">
        <v>362.0</v>
      </c>
      <c r="I1883" s="13">
        <v>0.0</v>
      </c>
      <c r="J1883" s="13">
        <v>1.0</v>
      </c>
      <c r="K1883" s="12" t="s">
        <v>21</v>
      </c>
      <c r="L1883" s="7">
        <v>40027.51375</v>
      </c>
      <c r="M1883" s="14" t="s">
        <v>4032</v>
      </c>
      <c r="N1883" s="14" t="s">
        <v>4033</v>
      </c>
      <c r="O1883" s="11" t="str">
        <f>HYPERLINK("https://pbs.twimg.com/profile_images/562205238476562432/m_5OFt2r_normal.png","View")</f>
        <v>View</v>
      </c>
      <c r="P1883" s="15"/>
    </row>
    <row r="1884">
      <c r="A1884" s="7">
        <v>42425.897372685184</v>
      </c>
      <c r="B1884" s="8" t="str">
        <f>HYPERLINK("https://twitter.com/hackingmath","@hackingmath")</f>
        <v>@hackingmath</v>
      </c>
      <c r="C1884" s="10" t="s">
        <v>4034</v>
      </c>
      <c r="D1884" s="10" t="s">
        <v>4035</v>
      </c>
      <c r="E1884" s="11" t="str">
        <f>HYPERLINK("https://twitter.com/hackingmath/status/703090169864294400","703090169864294400")</f>
        <v>703090169864294400</v>
      </c>
      <c r="F1884" s="12" t="s">
        <v>20</v>
      </c>
      <c r="G1884" s="13">
        <v>45.0</v>
      </c>
      <c r="H1884" s="13">
        <v>48.0</v>
      </c>
      <c r="I1884" s="13">
        <v>2.0</v>
      </c>
      <c r="J1884" s="13">
        <v>3.0</v>
      </c>
      <c r="K1884" s="12" t="s">
        <v>21</v>
      </c>
      <c r="L1884" s="7">
        <v>41909.416550925926</v>
      </c>
      <c r="M1884" s="14" t="s">
        <v>4036</v>
      </c>
      <c r="N1884" s="14" t="s">
        <v>4037</v>
      </c>
      <c r="O1884" s="11" t="str">
        <f>HYPERLINK("https://pbs.twimg.com/profile_images/662281052207996928/ftZBnVFQ_normal.jpg","View")</f>
        <v>View</v>
      </c>
      <c r="P1884" s="15"/>
    </row>
    <row r="1885">
      <c r="A1885" s="7">
        <v>42425.898368055554</v>
      </c>
      <c r="B1885" s="8" t="str">
        <f>HYPERLINK("https://twitter.com/HopefulGeek","@HopefulGeek")</f>
        <v>@HopefulGeek</v>
      </c>
      <c r="C1885" s="10" t="s">
        <v>4038</v>
      </c>
      <c r="D1885" s="10" t="s">
        <v>4039</v>
      </c>
      <c r="E1885" s="11" t="str">
        <f>HYPERLINK("https://twitter.com/HopefulGeek/status/703090528942841856","703090528942841856")</f>
        <v>703090528942841856</v>
      </c>
      <c r="F1885" s="12" t="s">
        <v>20</v>
      </c>
      <c r="G1885" s="13">
        <v>3516.0</v>
      </c>
      <c r="H1885" s="13">
        <v>4981.0</v>
      </c>
      <c r="I1885" s="13">
        <v>88.0</v>
      </c>
      <c r="J1885" s="13">
        <v>0.0</v>
      </c>
      <c r="K1885" s="12" t="s">
        <v>21</v>
      </c>
      <c r="L1885" s="7">
        <v>40839.438622685186</v>
      </c>
      <c r="M1885" s="16"/>
      <c r="N1885" s="14" t="s">
        <v>4040</v>
      </c>
      <c r="O1885" s="11" t="str">
        <f>HYPERLINK("https://pbs.twimg.com/profile_images/695137208118804480/8xneexGX_normal.png","View")</f>
        <v>View</v>
      </c>
      <c r="P1885" s="15"/>
    </row>
    <row r="1886">
      <c r="A1886" s="7">
        <v>42425.8984375</v>
      </c>
      <c r="B1886" s="8" t="str">
        <f>HYPERLINK("https://twitter.com/manudellavalle","@manudellavalle")</f>
        <v>@manudellavalle</v>
      </c>
      <c r="C1886" s="10" t="s">
        <v>4041</v>
      </c>
      <c r="D1886" s="10" t="s">
        <v>3434</v>
      </c>
      <c r="E1886" s="11" t="str">
        <f>HYPERLINK("https://twitter.com/manudellavalle/status/703090555966717952","703090555966717952")</f>
        <v>703090555966717952</v>
      </c>
      <c r="F1886" s="12" t="s">
        <v>52</v>
      </c>
      <c r="G1886" s="13">
        <v>343.0</v>
      </c>
      <c r="H1886" s="13">
        <v>394.0</v>
      </c>
      <c r="I1886" s="13">
        <v>3.0</v>
      </c>
      <c r="J1886" s="13">
        <v>0.0</v>
      </c>
      <c r="K1886" s="12" t="s">
        <v>21</v>
      </c>
      <c r="L1886" s="7">
        <v>40205.06585648148</v>
      </c>
      <c r="M1886" s="14" t="s">
        <v>4042</v>
      </c>
      <c r="N1886" s="14" t="s">
        <v>4043</v>
      </c>
      <c r="O1886" s="11" t="str">
        <f>HYPERLINK("https://pbs.twimg.com/profile_images/651465155868495872/0FnSog7t_normal.jpg","View")</f>
        <v>View</v>
      </c>
      <c r="P1886" s="15"/>
    </row>
    <row r="1887">
      <c r="A1887" s="7">
        <v>42425.89907407407</v>
      </c>
      <c r="B1887" s="8" t="str">
        <f>HYPERLINK("https://twitter.com/0verheat_82","@0verheat_82")</f>
        <v>@0verheat_82</v>
      </c>
      <c r="C1887" s="10" t="s">
        <v>4044</v>
      </c>
      <c r="D1887" s="10" t="s">
        <v>1820</v>
      </c>
      <c r="E1887" s="11" t="str">
        <f>HYPERLINK("https://twitter.com/0verheat_82/status/703090783826489345","703090783826489345")</f>
        <v>703090783826489345</v>
      </c>
      <c r="F1887" s="12" t="s">
        <v>124</v>
      </c>
      <c r="G1887" s="13">
        <v>38.0</v>
      </c>
      <c r="H1887" s="13">
        <v>186.0</v>
      </c>
      <c r="I1887" s="13">
        <v>20.0</v>
      </c>
      <c r="J1887" s="13">
        <v>0.0</v>
      </c>
      <c r="K1887" s="12" t="s">
        <v>21</v>
      </c>
      <c r="L1887" s="7">
        <v>40291.30075231481</v>
      </c>
      <c r="M1887" s="14" t="s">
        <v>4045</v>
      </c>
      <c r="N1887" s="14" t="s">
        <v>4046</v>
      </c>
      <c r="O1887" s="11" t="str">
        <f>HYPERLINK("https://pbs.twimg.com/profile_images/378800000381190818/fd4411a0b4e47162f37023dfddfaaed3_normal.jpeg","View")</f>
        <v>View</v>
      </c>
      <c r="P1887" s="15"/>
    </row>
    <row r="1888">
      <c r="A1888" s="7">
        <v>42425.89947916666</v>
      </c>
      <c r="B1888" s="8" t="str">
        <f>HYPERLINK("https://twitter.com/alex_newmayer","@alex_newmayer")</f>
        <v>@alex_newmayer</v>
      </c>
      <c r="C1888" s="10" t="s">
        <v>4047</v>
      </c>
      <c r="D1888" s="10" t="s">
        <v>4048</v>
      </c>
      <c r="E1888" s="11" t="str">
        <f>HYPERLINK("https://twitter.com/alex_newmayer/status/703090932942376961","703090932942376961")</f>
        <v>703090932942376961</v>
      </c>
      <c r="F1888" s="12" t="s">
        <v>2595</v>
      </c>
      <c r="G1888" s="13">
        <v>272.0</v>
      </c>
      <c r="H1888" s="13">
        <v>165.0</v>
      </c>
      <c r="I1888" s="13">
        <v>1.0</v>
      </c>
      <c r="J1888" s="13">
        <v>6.0</v>
      </c>
      <c r="K1888" s="12" t="s">
        <v>21</v>
      </c>
      <c r="L1888" s="7">
        <v>42132.20112268519</v>
      </c>
      <c r="M1888" s="14" t="s">
        <v>4049</v>
      </c>
      <c r="N1888" s="14" t="s">
        <v>4050</v>
      </c>
      <c r="O1888" s="11" t="str">
        <f>HYPERLINK("https://pbs.twimg.com/profile_images/596644258674802688/m2OhULtZ_normal.jpg","View")</f>
        <v>View</v>
      </c>
      <c r="P1888" s="15"/>
    </row>
    <row r="1889">
      <c r="A1889" s="7">
        <v>42425.90185185186</v>
      </c>
      <c r="B1889" s="8" t="str">
        <f>HYPERLINK("https://twitter.com/matthewtanner","@matthewtanner")</f>
        <v>@matthewtanner</v>
      </c>
      <c r="C1889" s="10" t="s">
        <v>4051</v>
      </c>
      <c r="D1889" s="10" t="s">
        <v>4052</v>
      </c>
      <c r="E1889" s="11" t="str">
        <f>HYPERLINK("https://twitter.com/matthewtanner/status/703091789784227840","703091789784227840")</f>
        <v>703091789784227840</v>
      </c>
      <c r="F1889" s="12" t="s">
        <v>52</v>
      </c>
      <c r="G1889" s="13">
        <v>102.0</v>
      </c>
      <c r="H1889" s="13">
        <v>77.0</v>
      </c>
      <c r="I1889" s="13">
        <v>0.0</v>
      </c>
      <c r="J1889" s="13">
        <v>1.0</v>
      </c>
      <c r="K1889" s="12" t="s">
        <v>21</v>
      </c>
      <c r="L1889" s="7">
        <v>39522.826469907406</v>
      </c>
      <c r="M1889" s="14" t="s">
        <v>4053</v>
      </c>
      <c r="N1889" s="14" t="s">
        <v>4054</v>
      </c>
      <c r="O1889" s="11" t="str">
        <f>HYPERLINK("https://pbs.twimg.com/profile_images/494870848965050368/7k6DNfy2_normal.jpeg","View")</f>
        <v>View</v>
      </c>
      <c r="P1889" s="15"/>
    </row>
    <row r="1890">
      <c r="A1890" s="7">
        <v>42425.902442129634</v>
      </c>
      <c r="B1890" s="8" t="str">
        <f>HYPERLINK("https://twitter.com/techpearce3","@techpearce3")</f>
        <v>@techpearce3</v>
      </c>
      <c r="C1890" s="10" t="s">
        <v>4055</v>
      </c>
      <c r="D1890" s="10" t="s">
        <v>4056</v>
      </c>
      <c r="E1890" s="11" t="str">
        <f>HYPERLINK("https://twitter.com/techpearce3/status/703092004465434624","703092004465434624")</f>
        <v>703092004465434624</v>
      </c>
      <c r="F1890" s="12" t="s">
        <v>2621</v>
      </c>
      <c r="G1890" s="13">
        <v>2217.0</v>
      </c>
      <c r="H1890" s="13">
        <v>2926.0</v>
      </c>
      <c r="I1890" s="13">
        <v>0.0</v>
      </c>
      <c r="J1890" s="13">
        <v>1.0</v>
      </c>
      <c r="K1890" s="12" t="s">
        <v>21</v>
      </c>
      <c r="L1890" s="7">
        <v>42398.38875</v>
      </c>
      <c r="M1890" s="14" t="s">
        <v>4057</v>
      </c>
      <c r="N1890" s="14" t="s">
        <v>4058</v>
      </c>
      <c r="O1890" s="11" t="str">
        <f>HYPERLINK("https://pbs.twimg.com/profile_images/694561797433597952/qBf2e5SB_normal.jpg","View")</f>
        <v>View</v>
      </c>
      <c r="P1890" s="15"/>
    </row>
    <row r="1891">
      <c r="A1891" s="7">
        <v>42425.90335648148</v>
      </c>
      <c r="B1891" s="8" t="str">
        <f>HYPERLINK("https://twitter.com/BigDataTweetBot","@BigDataTweetBot")</f>
        <v>@BigDataTweetBot</v>
      </c>
      <c r="C1891" s="10" t="s">
        <v>1440</v>
      </c>
      <c r="D1891" s="10" t="s">
        <v>4059</v>
      </c>
      <c r="E1891" s="11" t="str">
        <f>HYPERLINK("https://twitter.com/BigDataTweetBot/status/703092337245712384","703092337245712384")</f>
        <v>703092337245712384</v>
      </c>
      <c r="F1891" s="12" t="s">
        <v>1442</v>
      </c>
      <c r="G1891" s="13">
        <v>8623.0</v>
      </c>
      <c r="H1891" s="13">
        <v>243.0</v>
      </c>
      <c r="I1891" s="13">
        <v>2.0</v>
      </c>
      <c r="J1891" s="13">
        <v>0.0</v>
      </c>
      <c r="K1891" s="12" t="s">
        <v>21</v>
      </c>
      <c r="L1891" s="7">
        <v>42187.77106481481</v>
      </c>
      <c r="M1891" s="16"/>
      <c r="N1891" s="14" t="s">
        <v>1443</v>
      </c>
      <c r="O1891" s="11" t="str">
        <f>HYPERLINK("https://pbs.twimg.com/profile_images/616793252524650496/bQbxJqmz_normal.jpg","View")</f>
        <v>View</v>
      </c>
      <c r="P1891" s="15"/>
    </row>
    <row r="1892">
      <c r="A1892" s="7">
        <v>42425.90403935185</v>
      </c>
      <c r="B1892" s="8" t="str">
        <f>HYPERLINK("https://twitter.com/JackBaldwin16","@JackBaldwin16")</f>
        <v>@JackBaldwin16</v>
      </c>
      <c r="C1892" s="10" t="s">
        <v>403</v>
      </c>
      <c r="D1892" s="10" t="s">
        <v>4059</v>
      </c>
      <c r="E1892" s="11" t="str">
        <f>HYPERLINK("https://twitter.com/JackBaldwin16/status/703092583711375362","703092583711375362")</f>
        <v>703092583711375362</v>
      </c>
      <c r="F1892" s="12" t="s">
        <v>405</v>
      </c>
      <c r="G1892" s="13">
        <v>8839.0</v>
      </c>
      <c r="H1892" s="13">
        <v>8637.0</v>
      </c>
      <c r="I1892" s="13">
        <v>2.0</v>
      </c>
      <c r="J1892" s="13">
        <v>0.0</v>
      </c>
      <c r="K1892" s="12" t="s">
        <v>21</v>
      </c>
      <c r="L1892" s="7">
        <v>41228.91784722223</v>
      </c>
      <c r="M1892" s="14" t="s">
        <v>406</v>
      </c>
      <c r="N1892" s="14" t="s">
        <v>407</v>
      </c>
      <c r="O1892" s="11" t="str">
        <f>HYPERLINK("https://pbs.twimg.com/profile_images/594870213696294913/oPDQNbOF_normal.jpg","View")</f>
        <v>View</v>
      </c>
      <c r="P1892" s="15"/>
    </row>
    <row r="1893">
      <c r="A1893" s="7">
        <v>42425.904131944444</v>
      </c>
      <c r="B1893" s="8" t="str">
        <f>HYPERLINK("https://twitter.com/Ibrahimokdad","@Ibrahimokdad")</f>
        <v>@Ibrahimokdad</v>
      </c>
      <c r="C1893" s="10" t="s">
        <v>4060</v>
      </c>
      <c r="D1893" s="10" t="s">
        <v>4061</v>
      </c>
      <c r="E1893" s="11" t="str">
        <f>HYPERLINK("https://twitter.com/Ibrahimokdad/status/703092616963862528","703092616963862528")</f>
        <v>703092616963862528</v>
      </c>
      <c r="F1893" s="12" t="s">
        <v>20</v>
      </c>
      <c r="G1893" s="13">
        <v>453.0</v>
      </c>
      <c r="H1893" s="13">
        <v>472.0</v>
      </c>
      <c r="I1893" s="13">
        <v>0.0</v>
      </c>
      <c r="J1893" s="13">
        <v>2.0</v>
      </c>
      <c r="K1893" s="12" t="s">
        <v>21</v>
      </c>
      <c r="L1893" s="7">
        <v>40159.93552083333</v>
      </c>
      <c r="M1893" s="16"/>
      <c r="N1893" s="14" t="s">
        <v>4062</v>
      </c>
      <c r="O1893" s="11" t="str">
        <f>HYPERLINK("https://pbs.twimg.com/profile_images/586175861889445888/Wvy8WEZx_normal.png","View")</f>
        <v>View</v>
      </c>
      <c r="P1893" s="15"/>
    </row>
    <row r="1894">
      <c r="A1894" s="7">
        <v>42425.90416666667</v>
      </c>
      <c r="B1894" s="8" t="str">
        <f>HYPERLINK("https://twitter.com/Vericant","@Vericant")</f>
        <v>@Vericant</v>
      </c>
      <c r="C1894" s="10" t="s">
        <v>4063</v>
      </c>
      <c r="D1894" s="10" t="s">
        <v>4064</v>
      </c>
      <c r="E1894" s="11" t="str">
        <f>HYPERLINK("https://twitter.com/Vericant/status/703092631522271234","703092631522271234")</f>
        <v>703092631522271234</v>
      </c>
      <c r="F1894" s="12" t="s">
        <v>20</v>
      </c>
      <c r="G1894" s="13">
        <v>376.0</v>
      </c>
      <c r="H1894" s="13">
        <v>1065.0</v>
      </c>
      <c r="I1894" s="13">
        <v>0.0</v>
      </c>
      <c r="J1894" s="13">
        <v>0.0</v>
      </c>
      <c r="K1894" s="12" t="s">
        <v>21</v>
      </c>
      <c r="L1894" s="7">
        <v>40573.95037037037</v>
      </c>
      <c r="M1894" s="14" t="s">
        <v>4065</v>
      </c>
      <c r="N1894" s="14" t="s">
        <v>4066</v>
      </c>
      <c r="O1894" s="11" t="str">
        <f>HYPERLINK("https://pbs.twimg.com/profile_images/378800000458077580/b32d2eb7402b7f5b8980827f64d9cc19_normal.png","View")</f>
        <v>View</v>
      </c>
      <c r="P1894" s="15"/>
    </row>
    <row r="1895">
      <c r="A1895" s="7">
        <v>42425.90458333334</v>
      </c>
      <c r="B1895" s="8" t="str">
        <f>HYPERLINK("https://twitter.com/HartwigMicheal","@HartwigMicheal")</f>
        <v>@HartwigMicheal</v>
      </c>
      <c r="C1895" s="10" t="s">
        <v>842</v>
      </c>
      <c r="D1895" s="10" t="s">
        <v>4067</v>
      </c>
      <c r="E1895" s="11" t="str">
        <f>HYPERLINK("https://twitter.com/HartwigMicheal/status/703092780109725696","703092780109725696")</f>
        <v>703092780109725696</v>
      </c>
      <c r="F1895" s="12" t="s">
        <v>103</v>
      </c>
      <c r="G1895" s="13">
        <v>541.0</v>
      </c>
      <c r="H1895" s="13">
        <v>830.0</v>
      </c>
      <c r="I1895" s="13">
        <v>0.0</v>
      </c>
      <c r="J1895" s="13">
        <v>0.0</v>
      </c>
      <c r="K1895" s="12" t="s">
        <v>21</v>
      </c>
      <c r="L1895" s="7">
        <v>42362.00148148148</v>
      </c>
      <c r="M1895" s="14" t="s">
        <v>844</v>
      </c>
      <c r="N1895" s="14" t="s">
        <v>845</v>
      </c>
      <c r="O1895" s="11" t="str">
        <f>HYPERLINK("https://pbs.twimg.com/profile_images/679948461953781761/pDo9356K_normal.jpg","View")</f>
        <v>View</v>
      </c>
      <c r="P1895" s="15"/>
    </row>
    <row r="1896">
      <c r="A1896" s="7">
        <v>42425.905081018514</v>
      </c>
      <c r="B1896" s="8" t="str">
        <f>HYPERLINK("https://twitter.com/rohit_joshi","@rohit_joshi")</f>
        <v>@rohit_joshi</v>
      </c>
      <c r="C1896" s="10" t="s">
        <v>4068</v>
      </c>
      <c r="D1896" s="10" t="s">
        <v>1820</v>
      </c>
      <c r="E1896" s="11" t="str">
        <f>HYPERLINK("https://twitter.com/rohit_joshi/status/703092960649285632","703092960649285632")</f>
        <v>703092960649285632</v>
      </c>
      <c r="F1896" s="12" t="s">
        <v>152</v>
      </c>
      <c r="G1896" s="13">
        <v>101.0</v>
      </c>
      <c r="H1896" s="13">
        <v>150.0</v>
      </c>
      <c r="I1896" s="13">
        <v>20.0</v>
      </c>
      <c r="J1896" s="13">
        <v>0.0</v>
      </c>
      <c r="K1896" s="12" t="s">
        <v>21</v>
      </c>
      <c r="L1896" s="7">
        <v>39988.135625</v>
      </c>
      <c r="M1896" s="14" t="s">
        <v>4069</v>
      </c>
      <c r="N1896" s="14" t="s">
        <v>4070</v>
      </c>
      <c r="O1896" s="11" t="str">
        <f>HYPERLINK("https://pbs.twimg.com/profile_images/596177437802635264/uNpmvUvf_normal.jpg","View")</f>
        <v>View</v>
      </c>
      <c r="P1896" s="15"/>
    </row>
    <row r="1897">
      <c r="A1897" s="7">
        <v>42425.90510416667</v>
      </c>
      <c r="B1897" s="8" t="str">
        <f>HYPERLINK("https://twitter.com/kjur","@kjur")</f>
        <v>@kjur</v>
      </c>
      <c r="C1897" s="10" t="s">
        <v>4071</v>
      </c>
      <c r="D1897" s="10" t="s">
        <v>4072</v>
      </c>
      <c r="E1897" s="11" t="str">
        <f>HYPERLINK("https://twitter.com/kjur/status/703092971579711489","703092971579711489")</f>
        <v>703092971579711489</v>
      </c>
      <c r="F1897" s="12" t="s">
        <v>20</v>
      </c>
      <c r="G1897" s="13">
        <v>921.0</v>
      </c>
      <c r="H1897" s="13">
        <v>688.0</v>
      </c>
      <c r="I1897" s="13">
        <v>4.0</v>
      </c>
      <c r="J1897" s="13">
        <v>0.0</v>
      </c>
      <c r="K1897" s="12" t="s">
        <v>21</v>
      </c>
      <c r="L1897" s="7">
        <v>39983.73440972222</v>
      </c>
      <c r="M1897" s="14" t="s">
        <v>328</v>
      </c>
      <c r="N1897" s="14" t="s">
        <v>4073</v>
      </c>
      <c r="O1897" s="11" t="str">
        <f>HYPERLINK("https://pbs.twimg.com/profile_images/378800000738226821/7e58a68825d592cc4338e470d804ff42_normal.jpeg","View")</f>
        <v>View</v>
      </c>
      <c r="P1897" s="15"/>
    </row>
    <row r="1898">
      <c r="A1898" s="7">
        <v>42425.90547453704</v>
      </c>
      <c r="B1898" s="8" t="str">
        <f>HYPERLINK("https://twitter.com/MTotolrahaman","@MTotolrahaman")</f>
        <v>@MTotolrahaman</v>
      </c>
      <c r="C1898" s="10" t="s">
        <v>848</v>
      </c>
      <c r="D1898" s="10" t="s">
        <v>4074</v>
      </c>
      <c r="E1898" s="11" t="str">
        <f>HYPERLINK("https://twitter.com/MTotolrahaman/status/703093103163387904","703093103163387904")</f>
        <v>703093103163387904</v>
      </c>
      <c r="F1898" s="12" t="s">
        <v>103</v>
      </c>
      <c r="G1898" s="13">
        <v>766.0</v>
      </c>
      <c r="H1898" s="13">
        <v>846.0</v>
      </c>
      <c r="I1898" s="13">
        <v>0.0</v>
      </c>
      <c r="J1898" s="13">
        <v>0.0</v>
      </c>
      <c r="K1898" s="12" t="s">
        <v>21</v>
      </c>
      <c r="L1898" s="7">
        <v>42355.250798611116</v>
      </c>
      <c r="M1898" s="14" t="s">
        <v>850</v>
      </c>
      <c r="N1898" s="14" t="s">
        <v>851</v>
      </c>
      <c r="O1898" s="11" t="str">
        <f>HYPERLINK("https://pbs.twimg.com/profile_images/677493910256484352/-EdVaVPl_normal.jpg","View")</f>
        <v>View</v>
      </c>
      <c r="P1898" s="15"/>
    </row>
    <row r="1899">
      <c r="A1899" s="7">
        <v>42425.90564814815</v>
      </c>
      <c r="B1899" s="8" t="str">
        <f>HYPERLINK("https://twitter.com/lofendrich","@lofendrich")</f>
        <v>@lofendrich</v>
      </c>
      <c r="C1899" s="10" t="s">
        <v>4075</v>
      </c>
      <c r="D1899" s="10" t="s">
        <v>3038</v>
      </c>
      <c r="E1899" s="11" t="str">
        <f>HYPERLINK("https://twitter.com/lofendrich/status/703093167948587008","703093167948587008")</f>
        <v>703093167948587008</v>
      </c>
      <c r="F1899" s="12" t="s">
        <v>20</v>
      </c>
      <c r="G1899" s="13">
        <v>385.0</v>
      </c>
      <c r="H1899" s="13">
        <v>448.0</v>
      </c>
      <c r="I1899" s="13">
        <v>4.0</v>
      </c>
      <c r="J1899" s="13">
        <v>0.0</v>
      </c>
      <c r="K1899" s="12" t="s">
        <v>21</v>
      </c>
      <c r="L1899" s="7">
        <v>39929.87540509259</v>
      </c>
      <c r="M1899" s="14" t="s">
        <v>2544</v>
      </c>
      <c r="N1899" s="14" t="s">
        <v>4076</v>
      </c>
      <c r="O1899" s="11" t="str">
        <f>HYPERLINK("https://pbs.twimg.com/profile_images/557577763754745856/40x4Rwn0_normal.jpeg","View")</f>
        <v>View</v>
      </c>
      <c r="P1899" s="15"/>
    </row>
    <row r="1900">
      <c r="A1900" s="7">
        <v>42425.90684027778</v>
      </c>
      <c r="B1900" s="8" t="str">
        <f>HYPERLINK("https://twitter.com/sythenault","@sythenault")</f>
        <v>@sythenault</v>
      </c>
      <c r="C1900" s="10" t="s">
        <v>4077</v>
      </c>
      <c r="D1900" s="10" t="s">
        <v>3699</v>
      </c>
      <c r="E1900" s="11" t="str">
        <f>HYPERLINK("https://twitter.com/sythenault/status/703093598615506945","703093598615506945")</f>
        <v>703093598615506945</v>
      </c>
      <c r="F1900" s="12" t="s">
        <v>152</v>
      </c>
      <c r="G1900" s="13">
        <v>129.0</v>
      </c>
      <c r="H1900" s="13">
        <v>127.0</v>
      </c>
      <c r="I1900" s="13">
        <v>30.0</v>
      </c>
      <c r="J1900" s="13">
        <v>0.0</v>
      </c>
      <c r="K1900" s="12" t="s">
        <v>21</v>
      </c>
      <c r="L1900" s="7">
        <v>40891.24142361111</v>
      </c>
      <c r="M1900" s="14" t="s">
        <v>4078</v>
      </c>
      <c r="N1900" s="14" t="s">
        <v>4079</v>
      </c>
      <c r="O1900" s="11" t="str">
        <f>HYPERLINK("https://pbs.twimg.com/profile_images/1731579287/syt_normal.png","View")</f>
        <v>View</v>
      </c>
      <c r="P1900" s="15"/>
    </row>
    <row r="1901">
      <c r="A1901" s="7">
        <v>42425.90773148148</v>
      </c>
      <c r="B1901" s="8" t="str">
        <f t="shared" ref="B1901:B1904" si="199">HYPERLINK("https://twitter.com/artwisanggeni","@artwisanggeni")</f>
        <v>@artwisanggeni</v>
      </c>
      <c r="C1901" s="10" t="s">
        <v>74</v>
      </c>
      <c r="D1901" s="10" t="s">
        <v>4080</v>
      </c>
      <c r="E1901" s="11" t="str">
        <f>HYPERLINK("https://twitter.com/artwisanggeni/status/703093922432573440","703093922432573440")</f>
        <v>703093922432573440</v>
      </c>
      <c r="F1901" s="17" t="s">
        <v>76</v>
      </c>
      <c r="G1901" s="13">
        <v>236.0</v>
      </c>
      <c r="H1901" s="13">
        <v>61.0</v>
      </c>
      <c r="I1901" s="13">
        <v>0.0</v>
      </c>
      <c r="J1901" s="13">
        <v>0.0</v>
      </c>
      <c r="K1901" s="12" t="s">
        <v>21</v>
      </c>
      <c r="L1901" s="7">
        <v>41218.90608796296</v>
      </c>
      <c r="M1901" s="14" t="s">
        <v>77</v>
      </c>
      <c r="N1901" s="14" t="s">
        <v>78</v>
      </c>
      <c r="O1901" s="11" t="str">
        <f t="shared" ref="O1901:O1904" si="200">HYPERLINK("https://pbs.twimg.com/profile_images/2813636657/599521f69e2bc210a57323b64d8e39e6_normal.jpeg","View")</f>
        <v>View</v>
      </c>
      <c r="P1901" s="15"/>
    </row>
    <row r="1902">
      <c r="A1902" s="7">
        <v>42425.907743055555</v>
      </c>
      <c r="B1902" s="8" t="str">
        <f t="shared" si="199"/>
        <v>@artwisanggeni</v>
      </c>
      <c r="C1902" s="10" t="s">
        <v>74</v>
      </c>
      <c r="D1902" s="10" t="s">
        <v>4081</v>
      </c>
      <c r="E1902" s="11" t="str">
        <f>HYPERLINK("https://twitter.com/artwisanggeni/status/703093925494464512","703093925494464512")</f>
        <v>703093925494464512</v>
      </c>
      <c r="F1902" s="17" t="s">
        <v>76</v>
      </c>
      <c r="G1902" s="13">
        <v>236.0</v>
      </c>
      <c r="H1902" s="13">
        <v>61.0</v>
      </c>
      <c r="I1902" s="13">
        <v>0.0</v>
      </c>
      <c r="J1902" s="13">
        <v>0.0</v>
      </c>
      <c r="K1902" s="12" t="s">
        <v>21</v>
      </c>
      <c r="L1902" s="7">
        <v>41218.90608796296</v>
      </c>
      <c r="M1902" s="14" t="s">
        <v>77</v>
      </c>
      <c r="N1902" s="14" t="s">
        <v>78</v>
      </c>
      <c r="O1902" s="11" t="str">
        <f t="shared" si="200"/>
        <v>View</v>
      </c>
      <c r="P1902" s="15"/>
    </row>
    <row r="1903">
      <c r="A1903" s="7">
        <v>42425.907743055555</v>
      </c>
      <c r="B1903" s="8" t="str">
        <f t="shared" si="199"/>
        <v>@artwisanggeni</v>
      </c>
      <c r="C1903" s="10" t="s">
        <v>74</v>
      </c>
      <c r="D1903" s="10" t="s">
        <v>4082</v>
      </c>
      <c r="E1903" s="11" t="str">
        <f>HYPERLINK("https://twitter.com/artwisanggeni/status/703093928002621442","703093928002621442")</f>
        <v>703093928002621442</v>
      </c>
      <c r="F1903" s="17" t="s">
        <v>76</v>
      </c>
      <c r="G1903" s="13">
        <v>236.0</v>
      </c>
      <c r="H1903" s="13">
        <v>61.0</v>
      </c>
      <c r="I1903" s="13">
        <v>0.0</v>
      </c>
      <c r="J1903" s="13">
        <v>0.0</v>
      </c>
      <c r="K1903" s="12" t="s">
        <v>21</v>
      </c>
      <c r="L1903" s="7">
        <v>41218.90608796296</v>
      </c>
      <c r="M1903" s="14" t="s">
        <v>77</v>
      </c>
      <c r="N1903" s="14" t="s">
        <v>78</v>
      </c>
      <c r="O1903" s="11" t="str">
        <f t="shared" si="200"/>
        <v>View</v>
      </c>
      <c r="P1903" s="15"/>
    </row>
    <row r="1904">
      <c r="A1904" s="7">
        <v>42425.90775462963</v>
      </c>
      <c r="B1904" s="8" t="str">
        <f t="shared" si="199"/>
        <v>@artwisanggeni</v>
      </c>
      <c r="C1904" s="10" t="s">
        <v>74</v>
      </c>
      <c r="D1904" s="10" t="s">
        <v>4083</v>
      </c>
      <c r="E1904" s="11" t="str">
        <f>HYPERLINK("https://twitter.com/artwisanggeni/status/703093930640838656","703093930640838656")</f>
        <v>703093930640838656</v>
      </c>
      <c r="F1904" s="17" t="s">
        <v>76</v>
      </c>
      <c r="G1904" s="13">
        <v>236.0</v>
      </c>
      <c r="H1904" s="13">
        <v>61.0</v>
      </c>
      <c r="I1904" s="13">
        <v>0.0</v>
      </c>
      <c r="J1904" s="13">
        <v>0.0</v>
      </c>
      <c r="K1904" s="12" t="s">
        <v>21</v>
      </c>
      <c r="L1904" s="7">
        <v>41218.90608796296</v>
      </c>
      <c r="M1904" s="14" t="s">
        <v>77</v>
      </c>
      <c r="N1904" s="14" t="s">
        <v>78</v>
      </c>
      <c r="O1904" s="11" t="str">
        <f t="shared" si="200"/>
        <v>View</v>
      </c>
      <c r="P1904" s="15"/>
    </row>
    <row r="1905">
      <c r="A1905" s="7">
        <v>42425.908159722225</v>
      </c>
      <c r="B1905" s="8" t="str">
        <f>HYPERLINK("https://twitter.com/art_control","@art_control")</f>
        <v>@art_control</v>
      </c>
      <c r="C1905" s="10" t="s">
        <v>309</v>
      </c>
      <c r="D1905" s="10" t="s">
        <v>4084</v>
      </c>
      <c r="E1905" s="11" t="str">
        <f>HYPERLINK("https://twitter.com/art_control/status/703094077055590400","703094077055590400")</f>
        <v>703094077055590400</v>
      </c>
      <c r="F1905" s="12" t="s">
        <v>311</v>
      </c>
      <c r="G1905" s="13">
        <v>989.0</v>
      </c>
      <c r="H1905" s="13">
        <v>850.0</v>
      </c>
      <c r="I1905" s="13">
        <v>0.0</v>
      </c>
      <c r="J1905" s="13">
        <v>1.0</v>
      </c>
      <c r="K1905" s="12" t="s">
        <v>21</v>
      </c>
      <c r="L1905" s="7">
        <v>39896.869675925926</v>
      </c>
      <c r="M1905" s="14" t="s">
        <v>312</v>
      </c>
      <c r="N1905" s="14" t="s">
        <v>313</v>
      </c>
      <c r="O1905" s="11" t="str">
        <f>HYPERLINK("https://pbs.twimg.com/profile_images/649004216690675712/UAcrP6ol_normal.png","View")</f>
        <v>View</v>
      </c>
      <c r="P1905" s="15"/>
    </row>
    <row r="1906">
      <c r="A1906" s="7">
        <v>42425.908159722225</v>
      </c>
      <c r="B1906" s="8" t="str">
        <f>HYPERLINK("https://twitter.com/di3mus","@di3mus")</f>
        <v>@di3mus</v>
      </c>
      <c r="C1906" s="10" t="s">
        <v>3736</v>
      </c>
      <c r="D1906" s="10" t="s">
        <v>4085</v>
      </c>
      <c r="E1906" s="11" t="str">
        <f>HYPERLINK("https://twitter.com/di3mus/status/703094077646974976","703094077646974976")</f>
        <v>703094077646974976</v>
      </c>
      <c r="F1906" s="12" t="s">
        <v>52</v>
      </c>
      <c r="G1906" s="13">
        <v>99.0</v>
      </c>
      <c r="H1906" s="13">
        <v>269.0</v>
      </c>
      <c r="I1906" s="13">
        <v>2.0</v>
      </c>
      <c r="J1906" s="13">
        <v>0.0</v>
      </c>
      <c r="K1906" s="12" t="s">
        <v>21</v>
      </c>
      <c r="L1906" s="7">
        <v>41191.62695601852</v>
      </c>
      <c r="M1906" s="16"/>
      <c r="N1906" s="16"/>
      <c r="O1906" s="11" t="str">
        <f>HYPERLINK("https://pbs.twimg.com/profile_images/445741861584384000/5-BiqQ-P_normal.jpeg","View")</f>
        <v>View</v>
      </c>
      <c r="P1906" s="15"/>
    </row>
    <row r="1907">
      <c r="A1907" s="7">
        <v>42425.90837962963</v>
      </c>
      <c r="B1907" s="8" t="str">
        <f>HYPERLINK("https://twitter.com/pydevops","@pydevops")</f>
        <v>@pydevops</v>
      </c>
      <c r="C1907" s="10" t="s">
        <v>4086</v>
      </c>
      <c r="D1907" s="10" t="s">
        <v>3163</v>
      </c>
      <c r="E1907" s="11" t="str">
        <f>HYPERLINK("https://twitter.com/pydevops/status/703094155384229888","703094155384229888")</f>
        <v>703094155384229888</v>
      </c>
      <c r="F1907" s="12" t="s">
        <v>152</v>
      </c>
      <c r="G1907" s="13">
        <v>60.0</v>
      </c>
      <c r="H1907" s="13">
        <v>158.0</v>
      </c>
      <c r="I1907" s="13">
        <v>15.0</v>
      </c>
      <c r="J1907" s="13">
        <v>0.0</v>
      </c>
      <c r="K1907" s="12" t="s">
        <v>21</v>
      </c>
      <c r="L1907" s="7">
        <v>39847.153449074074</v>
      </c>
      <c r="M1907" s="14" t="s">
        <v>4087</v>
      </c>
      <c r="N1907" s="14" t="s">
        <v>4088</v>
      </c>
      <c r="O1907" s="11" t="str">
        <f>HYPERLINK("https://pbs.twimg.com/profile_images/549863752070225920/OdexW0pR_normal.jpeg","View")</f>
        <v>View</v>
      </c>
      <c r="P1907" s="15"/>
    </row>
    <row r="1908">
      <c r="A1908" s="7">
        <v>42425.909050925926</v>
      </c>
      <c r="B1908" s="8" t="str">
        <f>HYPERLINK("https://twitter.com/LeonardTT1","@LeonardTT1")</f>
        <v>@LeonardTT1</v>
      </c>
      <c r="C1908" s="10" t="s">
        <v>4089</v>
      </c>
      <c r="D1908" s="10" t="s">
        <v>1441</v>
      </c>
      <c r="E1908" s="11" t="str">
        <f>HYPERLINK("https://twitter.com/LeonardTT1/status/703094399865991168","703094399865991168")</f>
        <v>703094399865991168</v>
      </c>
      <c r="F1908" s="12" t="s">
        <v>4090</v>
      </c>
      <c r="G1908" s="13">
        <v>143.0</v>
      </c>
      <c r="H1908" s="13">
        <v>21.0</v>
      </c>
      <c r="I1908" s="13">
        <v>4.0</v>
      </c>
      <c r="J1908" s="13">
        <v>0.0</v>
      </c>
      <c r="K1908" s="12" t="s">
        <v>21</v>
      </c>
      <c r="L1908" s="7">
        <v>41344.90175925926</v>
      </c>
      <c r="M1908" s="16"/>
      <c r="N1908" s="16"/>
      <c r="O1908" s="11" t="str">
        <f>HYPERLINK("https://abs.twimg.com/sticky/default_profile_images/default_profile_5_normal.png","View")</f>
        <v>View</v>
      </c>
      <c r="P1908" s="15"/>
    </row>
    <row r="1909">
      <c r="A1909" s="7">
        <v>42425.90917824074</v>
      </c>
      <c r="B1909" s="8" t="str">
        <f>HYPERLINK("https://twitter.com/MeutedeLoo","@MeutedeLoo")</f>
        <v>@MeutedeLoo</v>
      </c>
      <c r="C1909" s="10" t="s">
        <v>4091</v>
      </c>
      <c r="D1909" s="10" t="s">
        <v>4072</v>
      </c>
      <c r="E1909" s="11" t="str">
        <f>HYPERLINK("https://twitter.com/MeutedeLoo/status/703094444132728832","703094444132728832")</f>
        <v>703094444132728832</v>
      </c>
      <c r="F1909" s="12" t="s">
        <v>1573</v>
      </c>
      <c r="G1909" s="13">
        <v>317.0</v>
      </c>
      <c r="H1909" s="13">
        <v>371.0</v>
      </c>
      <c r="I1909" s="13">
        <v>4.0</v>
      </c>
      <c r="J1909" s="13">
        <v>0.0</v>
      </c>
      <c r="K1909" s="12" t="s">
        <v>21</v>
      </c>
      <c r="L1909" s="7">
        <v>40284.581284722226</v>
      </c>
      <c r="M1909" s="14" t="s">
        <v>4092</v>
      </c>
      <c r="N1909" s="14" t="s">
        <v>4093</v>
      </c>
      <c r="O1909" s="11" t="str">
        <f>HYPERLINK("https://pbs.twimg.com/profile_images/639717589447516160/PfHEH95t_normal.jpg","View")</f>
        <v>View</v>
      </c>
      <c r="P1909" s="15"/>
    </row>
    <row r="1910">
      <c r="A1910" s="7">
        <v>42425.90956018519</v>
      </c>
      <c r="B1910" s="8" t="str">
        <f>HYPERLINK("https://twitter.com/jarrizabalaga","@jarrizabalaga")</f>
        <v>@jarrizabalaga</v>
      </c>
      <c r="C1910" s="10" t="s">
        <v>4094</v>
      </c>
      <c r="D1910" s="10" t="s">
        <v>4095</v>
      </c>
      <c r="E1910" s="11" t="str">
        <f>HYPERLINK("https://twitter.com/jarrizabalaga/status/703094584579006464","703094584579006464")</f>
        <v>703094584579006464</v>
      </c>
      <c r="F1910" s="12" t="s">
        <v>52</v>
      </c>
      <c r="G1910" s="13">
        <v>111.0</v>
      </c>
      <c r="H1910" s="13">
        <v>281.0</v>
      </c>
      <c r="I1910" s="13">
        <v>10.0</v>
      </c>
      <c r="J1910" s="13">
        <v>0.0</v>
      </c>
      <c r="K1910" s="12" t="s">
        <v>21</v>
      </c>
      <c r="L1910" s="7">
        <v>40226.069074074076</v>
      </c>
      <c r="M1910" s="14" t="s">
        <v>4096</v>
      </c>
      <c r="N1910" s="14" t="s">
        <v>4097</v>
      </c>
      <c r="O1910" s="11" t="str">
        <f>HYPERLINK("https://pbs.twimg.com/profile_images/681943150034874368/8-w6PcuI_normal.jpg","View")</f>
        <v>View</v>
      </c>
      <c r="P1910" s="15"/>
    </row>
    <row r="1911">
      <c r="A1911" s="7">
        <v>42425.91011574074</v>
      </c>
      <c r="B1911" s="8" t="str">
        <f>HYPERLINK("https://twitter.com/AdamSmitht1","@AdamSmitht1")</f>
        <v>@AdamSmitht1</v>
      </c>
      <c r="C1911" s="10" t="s">
        <v>468</v>
      </c>
      <c r="D1911" s="10" t="s">
        <v>4098</v>
      </c>
      <c r="E1911" s="11" t="str">
        <f>HYPERLINK("https://twitter.com/AdamSmitht1/status/703094784211030017","703094784211030017")</f>
        <v>703094784211030017</v>
      </c>
      <c r="F1911" s="12" t="s">
        <v>103</v>
      </c>
      <c r="G1911" s="13">
        <v>849.0</v>
      </c>
      <c r="H1911" s="13">
        <v>793.0</v>
      </c>
      <c r="I1911" s="13">
        <v>0.0</v>
      </c>
      <c r="J1911" s="13">
        <v>0.0</v>
      </c>
      <c r="K1911" s="12" t="s">
        <v>21</v>
      </c>
      <c r="L1911" s="7">
        <v>42336.12709490741</v>
      </c>
      <c r="M1911" s="14" t="s">
        <v>470</v>
      </c>
      <c r="N1911" s="14" t="s">
        <v>471</v>
      </c>
      <c r="O1911" s="11" t="str">
        <f>HYPERLINK("https://pbs.twimg.com/profile_images/671623862916812800/yGsDKiP4_normal.jpg","View")</f>
        <v>View</v>
      </c>
      <c r="P1911" s="15"/>
    </row>
    <row r="1912">
      <c r="A1912" s="7">
        <v>42425.91027777777</v>
      </c>
      <c r="B1912" s="8" t="str">
        <f>HYPERLINK("https://twitter.com/KirkDBorne","@KirkDBorne")</f>
        <v>@KirkDBorne</v>
      </c>
      <c r="C1912" s="10" t="s">
        <v>4099</v>
      </c>
      <c r="D1912" s="10" t="s">
        <v>4100</v>
      </c>
      <c r="E1912" s="11" t="str">
        <f>HYPERLINK("https://twitter.com/KirkDBorne/status/703094845745704962","703094845745704962")</f>
        <v>703094845745704962</v>
      </c>
      <c r="F1912" s="12" t="s">
        <v>20</v>
      </c>
      <c r="G1912" s="13">
        <v>64193.0</v>
      </c>
      <c r="H1912" s="13">
        <v>62659.0</v>
      </c>
      <c r="I1912" s="13">
        <v>8.0</v>
      </c>
      <c r="J1912" s="13">
        <v>6.0</v>
      </c>
      <c r="K1912" s="12" t="s">
        <v>21</v>
      </c>
      <c r="L1912" s="7">
        <v>40991.399502314816</v>
      </c>
      <c r="M1912" s="14" t="s">
        <v>4101</v>
      </c>
      <c r="N1912" s="14" t="s">
        <v>4102</v>
      </c>
      <c r="O1912" s="11" t="str">
        <f>HYPERLINK("https://pbs.twimg.com/profile_images/680246148762828801/flXTNSKT_normal.jpg","View")</f>
        <v>View</v>
      </c>
      <c r="P1912" s="15"/>
    </row>
    <row r="1913">
      <c r="A1913" s="7">
        <v>42425.91055555556</v>
      </c>
      <c r="B1913" s="8" t="str">
        <f>HYPERLINK("https://twitter.com/MeutedeLoo","@MeutedeLoo")</f>
        <v>@MeutedeLoo</v>
      </c>
      <c r="C1913" s="10" t="s">
        <v>4091</v>
      </c>
      <c r="D1913" s="10" t="s">
        <v>3368</v>
      </c>
      <c r="E1913" s="11" t="str">
        <f>HYPERLINK("https://twitter.com/MeutedeLoo/status/703094944412491776","703094944412491776")</f>
        <v>703094944412491776</v>
      </c>
      <c r="F1913" s="12" t="s">
        <v>1573</v>
      </c>
      <c r="G1913" s="13">
        <v>317.0</v>
      </c>
      <c r="H1913" s="13">
        <v>371.0</v>
      </c>
      <c r="I1913" s="13">
        <v>10.0</v>
      </c>
      <c r="J1913" s="13">
        <v>0.0</v>
      </c>
      <c r="K1913" s="12" t="s">
        <v>21</v>
      </c>
      <c r="L1913" s="7">
        <v>40284.581284722226</v>
      </c>
      <c r="M1913" s="14" t="s">
        <v>4092</v>
      </c>
      <c r="N1913" s="14" t="s">
        <v>4093</v>
      </c>
      <c r="O1913" s="11" t="str">
        <f>HYPERLINK("https://pbs.twimg.com/profile_images/639717589447516160/PfHEH95t_normal.jpg","View")</f>
        <v>View</v>
      </c>
      <c r="P1913" s="15"/>
    </row>
    <row r="1914">
      <c r="A1914" s="7">
        <v>42425.9109375</v>
      </c>
      <c r="B1914" s="8" t="str">
        <f>HYPERLINK("https://twitter.com/pacehrb","@pacehrb")</f>
        <v>@pacehrb</v>
      </c>
      <c r="C1914" s="10" t="s">
        <v>4103</v>
      </c>
      <c r="D1914" s="10" t="s">
        <v>4104</v>
      </c>
      <c r="E1914" s="11" t="str">
        <f>HYPERLINK("https://twitter.com/pacehrb/status/703095081985638401","703095081985638401")</f>
        <v>703095081985638401</v>
      </c>
      <c r="F1914" s="12" t="s">
        <v>152</v>
      </c>
      <c r="G1914" s="13">
        <v>938.0</v>
      </c>
      <c r="H1914" s="13">
        <v>2382.0</v>
      </c>
      <c r="I1914" s="13">
        <v>8.0</v>
      </c>
      <c r="J1914" s="13">
        <v>0.0</v>
      </c>
      <c r="K1914" s="12" t="s">
        <v>21</v>
      </c>
      <c r="L1914" s="7">
        <v>40316.03534722222</v>
      </c>
      <c r="M1914" s="14" t="s">
        <v>34</v>
      </c>
      <c r="N1914" s="14" t="s">
        <v>4105</v>
      </c>
      <c r="O1914" s="11" t="str">
        <f>HYPERLINK("https://pbs.twimg.com/profile_images/1144625930/hanmant_normal.jpg","View")</f>
        <v>View</v>
      </c>
      <c r="P1914" s="15"/>
    </row>
    <row r="1915">
      <c r="A1915" s="7">
        <v>42425.91097222222</v>
      </c>
      <c r="B1915" s="8" t="str">
        <f>HYPERLINK("https://twitter.com/startechwall","@startechwall")</f>
        <v>@startechwall</v>
      </c>
      <c r="C1915" s="10" t="s">
        <v>1478</v>
      </c>
      <c r="D1915" s="10" t="s">
        <v>4106</v>
      </c>
      <c r="E1915" s="11" t="str">
        <f>HYPERLINK("https://twitter.com/startechwall/status/703095095973687296","703095095973687296")</f>
        <v>703095095973687296</v>
      </c>
      <c r="F1915" s="12" t="s">
        <v>103</v>
      </c>
      <c r="G1915" s="13">
        <v>557.0</v>
      </c>
      <c r="H1915" s="13">
        <v>859.0</v>
      </c>
      <c r="I1915" s="13">
        <v>0.0</v>
      </c>
      <c r="J1915" s="13">
        <v>0.0</v>
      </c>
      <c r="K1915" s="12" t="s">
        <v>21</v>
      </c>
      <c r="L1915" s="7">
        <v>42360.959502314814</v>
      </c>
      <c r="M1915" s="14" t="s">
        <v>1480</v>
      </c>
      <c r="N1915" s="14" t="s">
        <v>1481</v>
      </c>
      <c r="O1915" s="11" t="str">
        <f>HYPERLINK("https://pbs.twimg.com/profile_images/679566117187145728/UUo30Zpm_normal.jpg","View")</f>
        <v>View</v>
      </c>
      <c r="P1915" s="15"/>
    </row>
    <row r="1916">
      <c r="A1916" s="7">
        <v>42425.91107638889</v>
      </c>
      <c r="B1916" s="8" t="str">
        <f>HYPERLINK("https://twitter.com/mamokun0123","@mamokun0123")</f>
        <v>@mamokun0123</v>
      </c>
      <c r="C1916" s="10" t="s">
        <v>4107</v>
      </c>
      <c r="D1916" s="10" t="s">
        <v>4108</v>
      </c>
      <c r="E1916" s="11" t="str">
        <f>HYPERLINK("https://twitter.com/mamokun0123/status/703095132682227712","703095132682227712")</f>
        <v>703095132682227712</v>
      </c>
      <c r="F1916" s="12" t="s">
        <v>4109</v>
      </c>
      <c r="G1916" s="13">
        <v>35.0</v>
      </c>
      <c r="H1916" s="13">
        <v>38.0</v>
      </c>
      <c r="I1916" s="13">
        <v>1.0</v>
      </c>
      <c r="J1916" s="13">
        <v>0.0</v>
      </c>
      <c r="K1916" s="12" t="s">
        <v>21</v>
      </c>
      <c r="L1916" s="7">
        <v>40659.84206018518</v>
      </c>
      <c r="M1916" s="16"/>
      <c r="N1916" s="16"/>
      <c r="O1916" s="11" t="str">
        <f>HYPERLINK("https://pbs.twimg.com/profile_images/3400056949/8bef7f52036f904f03f3ecb9d60837ac_normal.jpeg","View")</f>
        <v>View</v>
      </c>
      <c r="P1916" s="15"/>
    </row>
    <row r="1917">
      <c r="A1917" s="7">
        <v>42425.91142361111</v>
      </c>
      <c r="B1917" s="8" t="str">
        <f>HYPERLINK("https://twitter.com/renato_umeton","@renato_umeton")</f>
        <v>@renato_umeton</v>
      </c>
      <c r="C1917" s="10" t="s">
        <v>1659</v>
      </c>
      <c r="D1917" s="10" t="s">
        <v>4104</v>
      </c>
      <c r="E1917" s="11" t="str">
        <f>HYPERLINK("https://twitter.com/renato_umeton/status/703095261531246592","703095261531246592")</f>
        <v>703095261531246592</v>
      </c>
      <c r="F1917" s="12" t="s">
        <v>38</v>
      </c>
      <c r="G1917" s="13">
        <v>70.0</v>
      </c>
      <c r="H1917" s="13">
        <v>79.0</v>
      </c>
      <c r="I1917" s="13">
        <v>8.0</v>
      </c>
      <c r="J1917" s="13">
        <v>0.0</v>
      </c>
      <c r="K1917" s="12" t="s">
        <v>21</v>
      </c>
      <c r="L1917" s="7">
        <v>39918.052083333336</v>
      </c>
      <c r="M1917" s="14" t="s">
        <v>1660</v>
      </c>
      <c r="N1917" s="14" t="s">
        <v>1661</v>
      </c>
      <c r="O1917" s="11" t="str">
        <f>HYPERLINK("https://pbs.twimg.com/profile_images/701553083537604608/nr8b38eG_normal.jpg","View")</f>
        <v>View</v>
      </c>
      <c r="P1917" s="15"/>
    </row>
    <row r="1918">
      <c r="A1918" s="7">
        <v>42425.9125462963</v>
      </c>
      <c r="B1918" s="8" t="str">
        <f>HYPERLINK("https://twitter.com/graphics123","@graphics123")</f>
        <v>@graphics123</v>
      </c>
      <c r="C1918" s="10" t="s">
        <v>4110</v>
      </c>
      <c r="D1918" s="10" t="s">
        <v>4111</v>
      </c>
      <c r="E1918" s="11" t="str">
        <f>HYPERLINK("https://twitter.com/graphics123/status/703095666126385152","703095666126385152")</f>
        <v>703095666126385152</v>
      </c>
      <c r="F1918" s="12" t="s">
        <v>431</v>
      </c>
      <c r="G1918" s="13">
        <v>1113.0</v>
      </c>
      <c r="H1918" s="13">
        <v>312.0</v>
      </c>
      <c r="I1918" s="13">
        <v>0.0</v>
      </c>
      <c r="J1918" s="13">
        <v>0.0</v>
      </c>
      <c r="K1918" s="12" t="s">
        <v>21</v>
      </c>
      <c r="L1918" s="7">
        <v>40227.95065972222</v>
      </c>
      <c r="M1918" s="16"/>
      <c r="N1918" s="16"/>
      <c r="O1918" s="11" t="str">
        <f>HYPERLINK("https://pbs.twimg.com/profile_images/705121328/River_Art_normal.jpg","View")</f>
        <v>View</v>
      </c>
      <c r="P1918" s="15"/>
    </row>
    <row r="1919">
      <c r="A1919" s="7">
        <v>42425.914768518516</v>
      </c>
      <c r="B1919" s="8" t="str">
        <f t="shared" ref="B1919:B1920" si="201">HYPERLINK("https://twitter.com/pydigest","@pydigest")</f>
        <v>@pydigest</v>
      </c>
      <c r="C1919" s="10" t="s">
        <v>385</v>
      </c>
      <c r="D1919" s="10" t="s">
        <v>4112</v>
      </c>
      <c r="E1919" s="11" t="str">
        <f>HYPERLINK("https://twitter.com/pydigest/status/703096470195404800","703096470195404800")</f>
        <v>703096470195404800</v>
      </c>
      <c r="F1919" s="12" t="s">
        <v>103</v>
      </c>
      <c r="G1919" s="13">
        <v>634.0</v>
      </c>
      <c r="H1919" s="13">
        <v>22.0</v>
      </c>
      <c r="I1919" s="13">
        <v>1.0</v>
      </c>
      <c r="J1919" s="13">
        <v>3.0</v>
      </c>
      <c r="K1919" s="12" t="s">
        <v>21</v>
      </c>
      <c r="L1919" s="7">
        <v>41797.15729166666</v>
      </c>
      <c r="M1919" s="16"/>
      <c r="N1919" s="14" t="s">
        <v>387</v>
      </c>
      <c r="O1919" s="11" t="str">
        <f t="shared" ref="O1919:O1920" si="202">HYPERLINK("https://pbs.twimg.com/profile_images/475228702922387457/6gYeuqxD_normal.jpeg","View")</f>
        <v>View</v>
      </c>
      <c r="P1919" s="15"/>
    </row>
    <row r="1920">
      <c r="A1920" s="7">
        <v>42425.914768518516</v>
      </c>
      <c r="B1920" s="8" t="str">
        <f t="shared" si="201"/>
        <v>@pydigest</v>
      </c>
      <c r="C1920" s="10" t="s">
        <v>385</v>
      </c>
      <c r="D1920" s="10" t="s">
        <v>4113</v>
      </c>
      <c r="E1920" s="11" t="str">
        <f>HYPERLINK("https://twitter.com/pydigest/status/703096472154210308","703096472154210308")</f>
        <v>703096472154210308</v>
      </c>
      <c r="F1920" s="12" t="s">
        <v>103</v>
      </c>
      <c r="G1920" s="13">
        <v>634.0</v>
      </c>
      <c r="H1920" s="13">
        <v>22.0</v>
      </c>
      <c r="I1920" s="13">
        <v>0.0</v>
      </c>
      <c r="J1920" s="13">
        <v>1.0</v>
      </c>
      <c r="K1920" s="12" t="s">
        <v>21</v>
      </c>
      <c r="L1920" s="7">
        <v>41797.15729166666</v>
      </c>
      <c r="M1920" s="16"/>
      <c r="N1920" s="14" t="s">
        <v>387</v>
      </c>
      <c r="O1920" s="11" t="str">
        <f t="shared" si="202"/>
        <v>View</v>
      </c>
      <c r="P1920" s="15"/>
    </row>
    <row r="1921">
      <c r="A1921" s="7">
        <v>42425.915138888886</v>
      </c>
      <c r="B1921" s="8" t="str">
        <f>HYPERLINK("https://twitter.com/wcmckeedotcom","@wcmckeedotcom")</f>
        <v>@wcmckeedotcom</v>
      </c>
      <c r="C1921" s="10" t="s">
        <v>476</v>
      </c>
      <c r="D1921" s="10" t="s">
        <v>4114</v>
      </c>
      <c r="E1921" s="11" t="str">
        <f>HYPERLINK("https://twitter.com/wcmckeedotcom/status/703096607735021568","703096607735021568")</f>
        <v>703096607735021568</v>
      </c>
      <c r="F1921" s="12" t="s">
        <v>478</v>
      </c>
      <c r="G1921" s="13">
        <v>1011.0</v>
      </c>
      <c r="H1921" s="13">
        <v>875.0</v>
      </c>
      <c r="I1921" s="13">
        <v>0.0</v>
      </c>
      <c r="J1921" s="13">
        <v>0.0</v>
      </c>
      <c r="K1921" s="12" t="s">
        <v>21</v>
      </c>
      <c r="L1921" s="7">
        <v>41902.048368055555</v>
      </c>
      <c r="M1921" s="14" t="s">
        <v>479</v>
      </c>
      <c r="N1921" s="14" t="s">
        <v>480</v>
      </c>
      <c r="O1921" s="11" t="str">
        <f>HYPERLINK("https://pbs.twimg.com/profile_images/621211385746161664/tGchJstD_normal.jpg","View")</f>
        <v>View</v>
      </c>
      <c r="P1921" s="15"/>
    </row>
    <row r="1922">
      <c r="A1922" s="7">
        <v>42425.9156712963</v>
      </c>
      <c r="B1922" s="8" t="str">
        <f>HYPERLINK("https://twitter.com/gjsmiti3","@gjsmiti3")</f>
        <v>@gjsmiti3</v>
      </c>
      <c r="C1922" s="10" t="s">
        <v>4115</v>
      </c>
      <c r="D1922" s="10" t="s">
        <v>4104</v>
      </c>
      <c r="E1922" s="11" t="str">
        <f>HYPERLINK("https://twitter.com/gjsmiti3/status/703096801188929536","703096801188929536")</f>
        <v>703096801188929536</v>
      </c>
      <c r="F1922" s="12" t="s">
        <v>20</v>
      </c>
      <c r="G1922" s="13">
        <v>1205.0</v>
      </c>
      <c r="H1922" s="13">
        <v>2109.0</v>
      </c>
      <c r="I1922" s="13">
        <v>8.0</v>
      </c>
      <c r="J1922" s="13">
        <v>0.0</v>
      </c>
      <c r="K1922" s="12" t="s">
        <v>21</v>
      </c>
      <c r="L1922" s="7">
        <v>40977.360810185186</v>
      </c>
      <c r="M1922" s="14" t="s">
        <v>4116</v>
      </c>
      <c r="N1922" s="14" t="s">
        <v>4117</v>
      </c>
      <c r="O1922" s="11" t="str">
        <f>HYPERLINK("https://pbs.twimg.com/profile_images/2737895149/c9843b23be56c11f47be27a08edf7cb5_normal.jpeg","View")</f>
        <v>View</v>
      </c>
      <c r="P1922" s="15"/>
    </row>
    <row r="1923">
      <c r="A1923" s="7">
        <v>42425.91568287037</v>
      </c>
      <c r="B1923" s="8" t="str">
        <f>HYPERLINK("https://twitter.com/JoshuaLongUK","@JoshuaLongUK")</f>
        <v>@JoshuaLongUK</v>
      </c>
      <c r="C1923" s="10" t="s">
        <v>101</v>
      </c>
      <c r="D1923" s="10" t="s">
        <v>4118</v>
      </c>
      <c r="E1923" s="11" t="str">
        <f>HYPERLINK("https://twitter.com/JoshuaLongUK/status/703096804171128833","703096804171128833")</f>
        <v>703096804171128833</v>
      </c>
      <c r="F1923" s="12" t="s">
        <v>103</v>
      </c>
      <c r="G1923" s="13">
        <v>25832.0</v>
      </c>
      <c r="H1923" s="13">
        <v>93.0</v>
      </c>
      <c r="I1923" s="13">
        <v>0.0</v>
      </c>
      <c r="J1923" s="13">
        <v>0.0</v>
      </c>
      <c r="K1923" s="12" t="s">
        <v>21</v>
      </c>
      <c r="L1923" s="7">
        <v>41149.39659722222</v>
      </c>
      <c r="M1923" s="14" t="s">
        <v>104</v>
      </c>
      <c r="N1923" s="14" t="s">
        <v>105</v>
      </c>
      <c r="O1923" s="11" t="str">
        <f>HYPERLINK("https://pbs.twimg.com/profile_images/627996138403168256/DaASdgVr_normal.jpg","View")</f>
        <v>View</v>
      </c>
      <c r="P1923" s="15"/>
    </row>
    <row r="1924">
      <c r="A1924" s="7">
        <v>42425.91583333333</v>
      </c>
      <c r="B1924" s="8" t="str">
        <f>HYPERLINK("https://twitter.com/Brigette_Eckert","@Brigette_Eckert")</f>
        <v>@Brigette_Eckert</v>
      </c>
      <c r="C1924" s="10" t="s">
        <v>4119</v>
      </c>
      <c r="D1924" s="10" t="s">
        <v>4120</v>
      </c>
      <c r="E1924" s="11" t="str">
        <f>HYPERLINK("https://twitter.com/Brigette_Eckert/status/703096859930198016","703096859930198016")</f>
        <v>703096859930198016</v>
      </c>
      <c r="F1924" s="12" t="s">
        <v>20</v>
      </c>
      <c r="G1924" s="13">
        <v>367.0</v>
      </c>
      <c r="H1924" s="13">
        <v>859.0</v>
      </c>
      <c r="I1924" s="13">
        <v>1.0</v>
      </c>
      <c r="J1924" s="13">
        <v>1.0</v>
      </c>
      <c r="K1924" s="12" t="s">
        <v>21</v>
      </c>
      <c r="L1924" s="7">
        <v>42125.89057870371</v>
      </c>
      <c r="M1924" s="14" t="s">
        <v>2181</v>
      </c>
      <c r="N1924" s="14" t="s">
        <v>4121</v>
      </c>
      <c r="O1924" s="11" t="str">
        <f>HYPERLINK("https://pbs.twimg.com/profile_images/634409047270121472/m_3PMRfp_normal.jpg","View")</f>
        <v>View</v>
      </c>
      <c r="P1924" s="15"/>
    </row>
    <row r="1925">
      <c r="A1925" s="7">
        <v>42425.917592592596</v>
      </c>
      <c r="B1925" s="8" t="str">
        <f>HYPERLINK("https://twitter.com/AjaxSoundStudio","@AjaxSoundStudio")</f>
        <v>@AjaxSoundStudio</v>
      </c>
      <c r="C1925" s="10" t="s">
        <v>4122</v>
      </c>
      <c r="D1925" s="10" t="s">
        <v>4123</v>
      </c>
      <c r="E1925" s="11" t="str">
        <f>HYPERLINK("https://twitter.com/AjaxSoundStudio/status/703097495245598722","703097495245598722")</f>
        <v>703097495245598722</v>
      </c>
      <c r="F1925" s="12" t="s">
        <v>152</v>
      </c>
      <c r="G1925" s="13">
        <v>365.0</v>
      </c>
      <c r="H1925" s="13">
        <v>608.0</v>
      </c>
      <c r="I1925" s="13">
        <v>2.0</v>
      </c>
      <c r="J1925" s="13">
        <v>0.0</v>
      </c>
      <c r="K1925" s="12" t="s">
        <v>21</v>
      </c>
      <c r="L1925" s="7">
        <v>41585.423125</v>
      </c>
      <c r="M1925" s="14" t="s">
        <v>4124</v>
      </c>
      <c r="N1925" s="14" t="s">
        <v>4125</v>
      </c>
      <c r="O1925" s="11" t="str">
        <f>HYPERLINK("https://pbs.twimg.com/profile_images/378800000707964752/33de6ec46327638e8877f89f9fe8ba33_normal.jpeg","View")</f>
        <v>View</v>
      </c>
      <c r="P1925" s="15"/>
    </row>
    <row r="1926">
      <c r="A1926" s="7">
        <v>42425.9178125</v>
      </c>
      <c r="B1926" s="8" t="str">
        <f>HYPERLINK("https://twitter.com/waka_x","@waka_x")</f>
        <v>@waka_x</v>
      </c>
      <c r="C1926" s="10" t="s">
        <v>4126</v>
      </c>
      <c r="D1926" s="10" t="s">
        <v>4123</v>
      </c>
      <c r="E1926" s="11" t="str">
        <f>HYPERLINK("https://twitter.com/waka_x/status/703097576883560449","703097576883560449")</f>
        <v>703097576883560449</v>
      </c>
      <c r="F1926" s="12" t="s">
        <v>240</v>
      </c>
      <c r="G1926" s="13">
        <v>785.0</v>
      </c>
      <c r="H1926" s="13">
        <v>448.0</v>
      </c>
      <c r="I1926" s="13">
        <v>2.0</v>
      </c>
      <c r="J1926" s="13">
        <v>0.0</v>
      </c>
      <c r="K1926" s="12" t="s">
        <v>21</v>
      </c>
      <c r="L1926" s="7">
        <v>40035.55918981481</v>
      </c>
      <c r="M1926" s="14" t="s">
        <v>4127</v>
      </c>
      <c r="N1926" s="14" t="s">
        <v>4128</v>
      </c>
      <c r="O1926" s="11" t="str">
        <f>HYPERLINK("https://pbs.twimg.com/profile_images/536301730284068864/3BU6vHgS_normal.jpeg","View")</f>
        <v>View</v>
      </c>
      <c r="P1926" s="15"/>
    </row>
    <row r="1927">
      <c r="A1927" s="7">
        <v>42425.91829861111</v>
      </c>
      <c r="B1927" s="8" t="str">
        <f>HYPERLINK("https://twitter.com/1vidyasarathi","@1vidyasarathi")</f>
        <v>@1vidyasarathi</v>
      </c>
      <c r="C1927" s="10" t="s">
        <v>4129</v>
      </c>
      <c r="D1927" s="10" t="s">
        <v>4130</v>
      </c>
      <c r="E1927" s="11" t="str">
        <f>HYPERLINK("https://twitter.com/1vidyasarathi/status/703097751630778368","703097751630778368")</f>
        <v>703097751630778368</v>
      </c>
      <c r="F1927" s="12" t="s">
        <v>236</v>
      </c>
      <c r="G1927" s="13">
        <v>30.0</v>
      </c>
      <c r="H1927" s="13">
        <v>1.0</v>
      </c>
      <c r="I1927" s="13">
        <v>0.0</v>
      </c>
      <c r="J1927" s="13">
        <v>1.0</v>
      </c>
      <c r="K1927" s="12" t="s">
        <v>21</v>
      </c>
      <c r="L1927" s="7">
        <v>42142.95510416667</v>
      </c>
      <c r="M1927" s="14" t="s">
        <v>4131</v>
      </c>
      <c r="N1927" s="14" t="s">
        <v>4132</v>
      </c>
      <c r="O1927" s="11" t="str">
        <f>HYPERLINK("https://pbs.twimg.com/profile_images/604526482585583617/OYWjVJqD_normal.png","View")</f>
        <v>View</v>
      </c>
      <c r="P1927" s="15"/>
    </row>
    <row r="1928">
      <c r="A1928" s="7">
        <v>42425.92469907408</v>
      </c>
      <c r="B1928" s="8" t="str">
        <f>HYPERLINK("https://twitter.com/techmix_","@techmix_")</f>
        <v>@techmix_</v>
      </c>
      <c r="C1928" s="10" t="s">
        <v>1190</v>
      </c>
      <c r="D1928" s="10" t="s">
        <v>4133</v>
      </c>
      <c r="E1928" s="11" t="str">
        <f>HYPERLINK("https://twitter.com/techmix_/status/703100069499699201","703100069499699201")</f>
        <v>703100069499699201</v>
      </c>
      <c r="F1928" s="12" t="s">
        <v>1192</v>
      </c>
      <c r="G1928" s="13">
        <v>547.0</v>
      </c>
      <c r="H1928" s="13">
        <v>1445.0</v>
      </c>
      <c r="I1928" s="13">
        <v>1.0</v>
      </c>
      <c r="J1928" s="13">
        <v>0.0</v>
      </c>
      <c r="K1928" s="12" t="s">
        <v>21</v>
      </c>
      <c r="L1928" s="7">
        <v>42400.79513888889</v>
      </c>
      <c r="M1928" s="16"/>
      <c r="N1928" s="14" t="s">
        <v>1193</v>
      </c>
      <c r="O1928" s="11" t="str">
        <f>HYPERLINK("https://pbs.twimg.com/profile_images/700674879540981761/fKiyB9Ye_normal.png","View")</f>
        <v>View</v>
      </c>
      <c r="P1928" s="15"/>
    </row>
    <row r="1929">
      <c r="A1929" s="7">
        <v>42425.92519675926</v>
      </c>
      <c r="B1929" s="8" t="str">
        <f t="shared" ref="B1929:B1930" si="203">HYPERLINK("https://twitter.com/programmingncr","@programmingncr")</f>
        <v>@programmingncr</v>
      </c>
      <c r="C1929" s="10" t="s">
        <v>262</v>
      </c>
      <c r="D1929" s="10" t="s">
        <v>4134</v>
      </c>
      <c r="E1929" s="11" t="str">
        <f>HYPERLINK("https://twitter.com/programmingncr/status/703100249707909121","703100249707909121")</f>
        <v>703100249707909121</v>
      </c>
      <c r="F1929" s="12" t="s">
        <v>103</v>
      </c>
      <c r="G1929" s="13">
        <v>328.0</v>
      </c>
      <c r="H1929" s="13">
        <v>99.0</v>
      </c>
      <c r="I1929" s="13">
        <v>0.0</v>
      </c>
      <c r="J1929" s="13">
        <v>0.0</v>
      </c>
      <c r="K1929" s="12" t="s">
        <v>21</v>
      </c>
      <c r="L1929" s="7">
        <v>42220.86634259259</v>
      </c>
      <c r="M1929" s="14" t="s">
        <v>264</v>
      </c>
      <c r="N1929" s="14" t="s">
        <v>265</v>
      </c>
      <c r="O1929" s="11" t="str">
        <f t="shared" ref="O1929:O1930" si="204">HYPERLINK("https://pbs.twimg.com/profile_images/662602436222193664/qKuvsfnG_normal.jpg","View")</f>
        <v>View</v>
      </c>
      <c r="P1929" s="15"/>
    </row>
    <row r="1930">
      <c r="A1930" s="7">
        <v>42425.92519675926</v>
      </c>
      <c r="B1930" s="8" t="str">
        <f t="shared" si="203"/>
        <v>@programmingncr</v>
      </c>
      <c r="C1930" s="10" t="s">
        <v>262</v>
      </c>
      <c r="D1930" s="10" t="s">
        <v>4135</v>
      </c>
      <c r="E1930" s="11" t="str">
        <f>HYPERLINK("https://twitter.com/programmingncr/status/703100252702666753","703100252702666753")</f>
        <v>703100252702666753</v>
      </c>
      <c r="F1930" s="12" t="s">
        <v>103</v>
      </c>
      <c r="G1930" s="13">
        <v>328.0</v>
      </c>
      <c r="H1930" s="13">
        <v>99.0</v>
      </c>
      <c r="I1930" s="13">
        <v>0.0</v>
      </c>
      <c r="J1930" s="13">
        <v>0.0</v>
      </c>
      <c r="K1930" s="12" t="s">
        <v>21</v>
      </c>
      <c r="L1930" s="7">
        <v>42220.86634259259</v>
      </c>
      <c r="M1930" s="14" t="s">
        <v>264</v>
      </c>
      <c r="N1930" s="14" t="s">
        <v>265</v>
      </c>
      <c r="O1930" s="11" t="str">
        <f t="shared" si="204"/>
        <v>View</v>
      </c>
      <c r="P1930" s="15"/>
    </row>
    <row r="1931">
      <c r="A1931" s="7">
        <v>42425.92555555556</v>
      </c>
      <c r="B1931" s="8" t="str">
        <f>HYPERLINK("https://twitter.com/johnboxall","@johnboxall")</f>
        <v>@johnboxall</v>
      </c>
      <c r="C1931" s="10" t="s">
        <v>4136</v>
      </c>
      <c r="D1931" s="10" t="s">
        <v>4137</v>
      </c>
      <c r="E1931" s="11" t="str">
        <f>HYPERLINK("https://twitter.com/johnboxall/status/703100381539102721","703100381539102721")</f>
        <v>703100381539102721</v>
      </c>
      <c r="F1931" s="12" t="s">
        <v>52</v>
      </c>
      <c r="G1931" s="13">
        <v>1348.0</v>
      </c>
      <c r="H1931" s="13">
        <v>698.0</v>
      </c>
      <c r="I1931" s="13">
        <v>1.0</v>
      </c>
      <c r="J1931" s="13">
        <v>0.0</v>
      </c>
      <c r="K1931" s="12" t="s">
        <v>21</v>
      </c>
      <c r="L1931" s="7">
        <v>39553.88228009259</v>
      </c>
      <c r="M1931" s="14" t="s">
        <v>4138</v>
      </c>
      <c r="N1931" s="14" t="s">
        <v>4139</v>
      </c>
      <c r="O1931" s="11" t="str">
        <f>HYPERLINK("https://pbs.twimg.com/profile_images/633044987760869377/8IQy5wxu_normal.jpg","View")</f>
        <v>View</v>
      </c>
      <c r="P1931" s="15"/>
    </row>
    <row r="1932">
      <c r="A1932" s="7">
        <v>42425.9259375</v>
      </c>
      <c r="B1932" s="8" t="str">
        <f t="shared" ref="B1932:B1933" si="205">HYPERLINK("https://twitter.com/JoshuaLongUK","@JoshuaLongUK")</f>
        <v>@JoshuaLongUK</v>
      </c>
      <c r="C1932" s="10" t="s">
        <v>101</v>
      </c>
      <c r="D1932" s="10" t="s">
        <v>4140</v>
      </c>
      <c r="E1932" s="11" t="str">
        <f>HYPERLINK("https://twitter.com/JoshuaLongUK/status/703100519317790720","703100519317790720")</f>
        <v>703100519317790720</v>
      </c>
      <c r="F1932" s="12" t="s">
        <v>103</v>
      </c>
      <c r="G1932" s="13">
        <v>25832.0</v>
      </c>
      <c r="H1932" s="13">
        <v>93.0</v>
      </c>
      <c r="I1932" s="13">
        <v>0.0</v>
      </c>
      <c r="J1932" s="13">
        <v>0.0</v>
      </c>
      <c r="K1932" s="12" t="s">
        <v>21</v>
      </c>
      <c r="L1932" s="7">
        <v>41149.39659722222</v>
      </c>
      <c r="M1932" s="14" t="s">
        <v>104</v>
      </c>
      <c r="N1932" s="14" t="s">
        <v>105</v>
      </c>
      <c r="O1932" s="11" t="str">
        <f t="shared" ref="O1932:O1933" si="206">HYPERLINK("https://pbs.twimg.com/profile_images/627996138403168256/DaASdgVr_normal.jpg","View")</f>
        <v>View</v>
      </c>
      <c r="P1932" s="15"/>
    </row>
    <row r="1933">
      <c r="A1933" s="7">
        <v>42425.9259375</v>
      </c>
      <c r="B1933" s="8" t="str">
        <f t="shared" si="205"/>
        <v>@JoshuaLongUK</v>
      </c>
      <c r="C1933" s="10" t="s">
        <v>101</v>
      </c>
      <c r="D1933" s="10" t="s">
        <v>4141</v>
      </c>
      <c r="E1933" s="11" t="str">
        <f>HYPERLINK("https://twitter.com/JoshuaLongUK/status/703100520638996480","703100520638996480")</f>
        <v>703100520638996480</v>
      </c>
      <c r="F1933" s="12" t="s">
        <v>103</v>
      </c>
      <c r="G1933" s="13">
        <v>25832.0</v>
      </c>
      <c r="H1933" s="13">
        <v>93.0</v>
      </c>
      <c r="I1933" s="13">
        <v>0.0</v>
      </c>
      <c r="J1933" s="13">
        <v>0.0</v>
      </c>
      <c r="K1933" s="12" t="s">
        <v>21</v>
      </c>
      <c r="L1933" s="7">
        <v>41149.39659722222</v>
      </c>
      <c r="M1933" s="14" t="s">
        <v>104</v>
      </c>
      <c r="N1933" s="14" t="s">
        <v>105</v>
      </c>
      <c r="O1933" s="11" t="str">
        <f t="shared" si="206"/>
        <v>View</v>
      </c>
      <c r="P1933" s="15"/>
    </row>
    <row r="1934">
      <c r="A1934" s="7">
        <v>42425.92664351852</v>
      </c>
      <c r="B1934" s="8" t="str">
        <f t="shared" ref="B1934:B1935" si="207">HYPERLINK("https://twitter.com/vjaysah","@vjaysah")</f>
        <v>@vjaysah</v>
      </c>
      <c r="C1934" s="10" t="s">
        <v>4142</v>
      </c>
      <c r="D1934" s="10" t="s">
        <v>4104</v>
      </c>
      <c r="E1934" s="11" t="str">
        <f>HYPERLINK("https://twitter.com/vjaysah/status/703100776759988224","703100776759988224")</f>
        <v>703100776759988224</v>
      </c>
      <c r="F1934" s="12" t="s">
        <v>124</v>
      </c>
      <c r="G1934" s="13">
        <v>387.0</v>
      </c>
      <c r="H1934" s="13">
        <v>901.0</v>
      </c>
      <c r="I1934" s="13">
        <v>8.0</v>
      </c>
      <c r="J1934" s="13">
        <v>0.0</v>
      </c>
      <c r="K1934" s="12" t="s">
        <v>21</v>
      </c>
      <c r="L1934" s="7">
        <v>40392.47752314815</v>
      </c>
      <c r="M1934" s="14" t="s">
        <v>4143</v>
      </c>
      <c r="N1934" s="14" t="s">
        <v>4144</v>
      </c>
      <c r="O1934" s="11" t="str">
        <f t="shared" ref="O1934:O1935" si="208">HYPERLINK("https://pbs.twimg.com/profile_images/610167123634028544/hONa9KRl_normal.jpg","View")</f>
        <v>View</v>
      </c>
      <c r="P1934" s="15"/>
    </row>
    <row r="1935">
      <c r="A1935" s="7">
        <v>42425.926782407405</v>
      </c>
      <c r="B1935" s="8" t="str">
        <f t="shared" si="207"/>
        <v>@vjaysah</v>
      </c>
      <c r="C1935" s="10" t="s">
        <v>4142</v>
      </c>
      <c r="D1935" s="10" t="s">
        <v>4145</v>
      </c>
      <c r="E1935" s="11" t="str">
        <f>HYPERLINK("https://twitter.com/vjaysah/status/703100824629563392","703100824629563392")</f>
        <v>703100824629563392</v>
      </c>
      <c r="F1935" s="12" t="s">
        <v>236</v>
      </c>
      <c r="G1935" s="13">
        <v>387.0</v>
      </c>
      <c r="H1935" s="13">
        <v>901.0</v>
      </c>
      <c r="I1935" s="13">
        <v>0.0</v>
      </c>
      <c r="J1935" s="13">
        <v>2.0</v>
      </c>
      <c r="K1935" s="12" t="s">
        <v>21</v>
      </c>
      <c r="L1935" s="7">
        <v>40392.47752314815</v>
      </c>
      <c r="M1935" s="14" t="s">
        <v>4143</v>
      </c>
      <c r="N1935" s="14" t="s">
        <v>4144</v>
      </c>
      <c r="O1935" s="11" t="str">
        <f t="shared" si="208"/>
        <v>View</v>
      </c>
      <c r="P1935" s="15"/>
    </row>
    <row r="1936">
      <c r="A1936" s="7">
        <v>42425.927407407406</v>
      </c>
      <c r="B1936" s="8" t="str">
        <f>HYPERLINK("https://twitter.com/BestNoSQL","@BestNoSQL")</f>
        <v>@BestNoSQL</v>
      </c>
      <c r="C1936" s="10" t="s">
        <v>4146</v>
      </c>
      <c r="D1936" s="10" t="s">
        <v>4147</v>
      </c>
      <c r="E1936" s="11" t="str">
        <f>HYPERLINK("https://twitter.com/BestNoSQL/status/703101050530607105","703101050530607105")</f>
        <v>703101050530607105</v>
      </c>
      <c r="F1936" s="12" t="s">
        <v>4146</v>
      </c>
      <c r="G1936" s="13">
        <v>939.0</v>
      </c>
      <c r="H1936" s="13">
        <v>112.0</v>
      </c>
      <c r="I1936" s="13">
        <v>0.0</v>
      </c>
      <c r="J1936" s="13">
        <v>0.0</v>
      </c>
      <c r="K1936" s="12" t="s">
        <v>21</v>
      </c>
      <c r="L1936" s="7">
        <v>41447.6872337963</v>
      </c>
      <c r="M1936" s="16"/>
      <c r="N1936" s="14" t="s">
        <v>4148</v>
      </c>
      <c r="O1936" s="11" t="str">
        <f>HYPERLINK("https://pbs.twimg.com/profile_images/378800000031408762/3bb3d5ab19f3ede4676764115b85d7e2_normal.jpeg","View")</f>
        <v>View</v>
      </c>
      <c r="P1936" s="15"/>
    </row>
    <row r="1937">
      <c r="A1937" s="7">
        <v>42425.927615740744</v>
      </c>
      <c r="B1937" s="8" t="str">
        <f>HYPERLINK("https://twitter.com/HarriSrivastav","@HarriSrivastav")</f>
        <v>@HarriSrivastav</v>
      </c>
      <c r="C1937" s="10" t="s">
        <v>3808</v>
      </c>
      <c r="D1937" s="10" t="s">
        <v>4149</v>
      </c>
      <c r="E1937" s="11" t="str">
        <f>HYPERLINK("https://twitter.com/HarriSrivastav/status/703101129442197504","703101129442197504")</f>
        <v>703101129442197504</v>
      </c>
      <c r="F1937" s="12" t="s">
        <v>659</v>
      </c>
      <c r="G1937" s="13">
        <v>1300.0</v>
      </c>
      <c r="H1937" s="13">
        <v>1282.0</v>
      </c>
      <c r="I1937" s="13">
        <v>2.0</v>
      </c>
      <c r="J1937" s="13">
        <v>1.0</v>
      </c>
      <c r="K1937" s="12" t="s">
        <v>21</v>
      </c>
      <c r="L1937" s="7">
        <v>42173.163125</v>
      </c>
      <c r="M1937" s="14" t="s">
        <v>761</v>
      </c>
      <c r="N1937" s="14" t="s">
        <v>3810</v>
      </c>
      <c r="O1937" s="11" t="str">
        <f>HYPERLINK("https://pbs.twimg.com/profile_images/631722182180102145/d37Eq9sH_normal.jpg","View")</f>
        <v>View</v>
      </c>
      <c r="P1937" s="15"/>
    </row>
    <row r="1938">
      <c r="A1938" s="7">
        <v>42425.92855324074</v>
      </c>
      <c r="B1938" s="8" t="str">
        <f>HYPERLINK("https://twitter.com/TechFest002","@TechFest002")</f>
        <v>@TechFest002</v>
      </c>
      <c r="C1938" s="10" t="s">
        <v>4150</v>
      </c>
      <c r="D1938" s="10" t="s">
        <v>4151</v>
      </c>
      <c r="E1938" s="11" t="str">
        <f>HYPERLINK("https://twitter.com/TechFest002/status/703101467217915904","703101467217915904")</f>
        <v>703101467217915904</v>
      </c>
      <c r="F1938" s="12" t="s">
        <v>20</v>
      </c>
      <c r="G1938" s="13">
        <v>39.0</v>
      </c>
      <c r="H1938" s="13">
        <v>57.0</v>
      </c>
      <c r="I1938" s="13">
        <v>16.0</v>
      </c>
      <c r="J1938" s="13">
        <v>0.0</v>
      </c>
      <c r="K1938" s="12" t="s">
        <v>21</v>
      </c>
      <c r="L1938" s="7">
        <v>42218.269004629634</v>
      </c>
      <c r="M1938" s="16"/>
      <c r="N1938" s="16"/>
      <c r="O1938" s="11" t="str">
        <f>HYPERLINK("https://abs.twimg.com/sticky/default_profile_images/default_profile_4_normal.png","View")</f>
        <v>View</v>
      </c>
      <c r="P1938" s="15"/>
    </row>
    <row r="1939">
      <c r="A1939" s="7">
        <v>42425.92994212963</v>
      </c>
      <c r="B1939" s="8" t="str">
        <f>HYPERLINK("https://twitter.com/MichaelCarthy","@MichaelCarthy")</f>
        <v>@MichaelCarthy</v>
      </c>
      <c r="C1939" s="10" t="s">
        <v>4152</v>
      </c>
      <c r="D1939" s="10" t="s">
        <v>4153</v>
      </c>
      <c r="E1939" s="11" t="str">
        <f>HYPERLINK("https://twitter.com/MichaelCarthy/status/703101971096408065","703101971096408065")</f>
        <v>703101971096408065</v>
      </c>
      <c r="F1939" s="12" t="s">
        <v>20</v>
      </c>
      <c r="G1939" s="13">
        <v>78.0</v>
      </c>
      <c r="H1939" s="13">
        <v>204.0</v>
      </c>
      <c r="I1939" s="13">
        <v>0.0</v>
      </c>
      <c r="J1939" s="13">
        <v>0.0</v>
      </c>
      <c r="K1939" s="12" t="s">
        <v>21</v>
      </c>
      <c r="L1939" s="7">
        <v>40556.5978125</v>
      </c>
      <c r="M1939" s="14" t="s">
        <v>4154</v>
      </c>
      <c r="N1939" s="14" t="s">
        <v>4155</v>
      </c>
      <c r="O1939" s="11" t="str">
        <f>HYPERLINK("https://pbs.twimg.com/profile_images/700945942225137666/MIcDT7yT_normal.png","View")</f>
        <v>View</v>
      </c>
      <c r="P1939" s="15"/>
    </row>
    <row r="1940">
      <c r="A1940" s="7">
        <v>42425.9305787037</v>
      </c>
      <c r="B1940" s="8" t="str">
        <f>HYPERLINK("https://twitter.com/jobely","@jobely")</f>
        <v>@jobely</v>
      </c>
      <c r="C1940" s="9" t="s">
        <v>4156</v>
      </c>
      <c r="D1940" s="10" t="s">
        <v>4157</v>
      </c>
      <c r="E1940" s="11" t="str">
        <f>HYPERLINK("https://twitter.com/jobely/status/703102200235429889","703102200235429889")</f>
        <v>703102200235429889</v>
      </c>
      <c r="F1940" s="12" t="s">
        <v>4158</v>
      </c>
      <c r="G1940" s="13">
        <v>1402.0</v>
      </c>
      <c r="H1940" s="13">
        <v>279.0</v>
      </c>
      <c r="I1940" s="13">
        <v>0.0</v>
      </c>
      <c r="J1940" s="13">
        <v>0.0</v>
      </c>
      <c r="K1940" s="12" t="s">
        <v>21</v>
      </c>
      <c r="L1940" s="7">
        <v>40133.93101851852</v>
      </c>
      <c r="M1940" s="14" t="s">
        <v>850</v>
      </c>
      <c r="N1940" s="14" t="s">
        <v>4159</v>
      </c>
      <c r="O1940" s="11" t="str">
        <f>HYPERLINK("https://pbs.twimg.com/profile_images/543819077/Schermata_2009-11-25_a_21.06.35_normal.png","View")</f>
        <v>View</v>
      </c>
      <c r="P1940" s="15"/>
    </row>
    <row r="1941">
      <c r="A1941" s="7">
        <v>42425.930659722224</v>
      </c>
      <c r="B1941" s="8" t="str">
        <f t="shared" ref="B1941:B1946" si="209">HYPERLINK("https://twitter.com/artwisanggeni","@artwisanggeni")</f>
        <v>@artwisanggeni</v>
      </c>
      <c r="C1941" s="10" t="s">
        <v>74</v>
      </c>
      <c r="D1941" s="10" t="s">
        <v>4160</v>
      </c>
      <c r="E1941" s="11" t="str">
        <f>HYPERLINK("https://twitter.com/artwisanggeni/status/703102232263131138","703102232263131138")</f>
        <v>703102232263131138</v>
      </c>
      <c r="F1941" s="17" t="s">
        <v>76</v>
      </c>
      <c r="G1941" s="13">
        <v>236.0</v>
      </c>
      <c r="H1941" s="13">
        <v>61.0</v>
      </c>
      <c r="I1941" s="13">
        <v>0.0</v>
      </c>
      <c r="J1941" s="13">
        <v>0.0</v>
      </c>
      <c r="K1941" s="12" t="s">
        <v>21</v>
      </c>
      <c r="L1941" s="7">
        <v>41218.90608796296</v>
      </c>
      <c r="M1941" s="14" t="s">
        <v>77</v>
      </c>
      <c r="N1941" s="14" t="s">
        <v>78</v>
      </c>
      <c r="O1941" s="11" t="str">
        <f t="shared" ref="O1941:O1946" si="210">HYPERLINK("https://pbs.twimg.com/profile_images/2813636657/599521f69e2bc210a57323b64d8e39e6_normal.jpeg","View")</f>
        <v>View</v>
      </c>
      <c r="P1941" s="15"/>
    </row>
    <row r="1942">
      <c r="A1942" s="7">
        <v>42425.93068287037</v>
      </c>
      <c r="B1942" s="8" t="str">
        <f t="shared" si="209"/>
        <v>@artwisanggeni</v>
      </c>
      <c r="C1942" s="10" t="s">
        <v>74</v>
      </c>
      <c r="D1942" s="10" t="s">
        <v>4161</v>
      </c>
      <c r="E1942" s="11" t="str">
        <f>HYPERLINK("https://twitter.com/artwisanggeni/status/703102237644443648","703102237644443648")</f>
        <v>703102237644443648</v>
      </c>
      <c r="F1942" s="17" t="s">
        <v>76</v>
      </c>
      <c r="G1942" s="13">
        <v>236.0</v>
      </c>
      <c r="H1942" s="13">
        <v>61.0</v>
      </c>
      <c r="I1942" s="13">
        <v>0.0</v>
      </c>
      <c r="J1942" s="13">
        <v>0.0</v>
      </c>
      <c r="K1942" s="12" t="s">
        <v>21</v>
      </c>
      <c r="L1942" s="7">
        <v>41218.90608796296</v>
      </c>
      <c r="M1942" s="14" t="s">
        <v>77</v>
      </c>
      <c r="N1942" s="14" t="s">
        <v>78</v>
      </c>
      <c r="O1942" s="11" t="str">
        <f t="shared" si="210"/>
        <v>View</v>
      </c>
      <c r="P1942" s="15"/>
    </row>
    <row r="1943">
      <c r="A1943" s="7">
        <v>42425.93068287037</v>
      </c>
      <c r="B1943" s="8" t="str">
        <f t="shared" si="209"/>
        <v>@artwisanggeni</v>
      </c>
      <c r="C1943" s="10" t="s">
        <v>74</v>
      </c>
      <c r="D1943" s="10" t="s">
        <v>4162</v>
      </c>
      <c r="E1943" s="11" t="str">
        <f>HYPERLINK("https://twitter.com/artwisanggeni/status/703102241259986944","703102241259986944")</f>
        <v>703102241259986944</v>
      </c>
      <c r="F1943" s="17" t="s">
        <v>76</v>
      </c>
      <c r="G1943" s="13">
        <v>236.0</v>
      </c>
      <c r="H1943" s="13">
        <v>61.0</v>
      </c>
      <c r="I1943" s="13">
        <v>0.0</v>
      </c>
      <c r="J1943" s="13">
        <v>0.0</v>
      </c>
      <c r="K1943" s="12" t="s">
        <v>21</v>
      </c>
      <c r="L1943" s="7">
        <v>41218.90608796296</v>
      </c>
      <c r="M1943" s="14" t="s">
        <v>77</v>
      </c>
      <c r="N1943" s="14" t="s">
        <v>78</v>
      </c>
      <c r="O1943" s="11" t="str">
        <f t="shared" si="210"/>
        <v>View</v>
      </c>
      <c r="P1943" s="15"/>
    </row>
    <row r="1944">
      <c r="A1944" s="7">
        <v>42425.93069444444</v>
      </c>
      <c r="B1944" s="8" t="str">
        <f t="shared" si="209"/>
        <v>@artwisanggeni</v>
      </c>
      <c r="C1944" s="10" t="s">
        <v>74</v>
      </c>
      <c r="D1944" s="10" t="s">
        <v>4163</v>
      </c>
      <c r="E1944" s="11" t="str">
        <f>HYPERLINK("https://twitter.com/artwisanggeni/status/703102244422455296","703102244422455296")</f>
        <v>703102244422455296</v>
      </c>
      <c r="F1944" s="17" t="s">
        <v>76</v>
      </c>
      <c r="G1944" s="13">
        <v>236.0</v>
      </c>
      <c r="H1944" s="13">
        <v>61.0</v>
      </c>
      <c r="I1944" s="13">
        <v>0.0</v>
      </c>
      <c r="J1944" s="13">
        <v>0.0</v>
      </c>
      <c r="K1944" s="12" t="s">
        <v>21</v>
      </c>
      <c r="L1944" s="7">
        <v>41218.90608796296</v>
      </c>
      <c r="M1944" s="14" t="s">
        <v>77</v>
      </c>
      <c r="N1944" s="14" t="s">
        <v>78</v>
      </c>
      <c r="O1944" s="11" t="str">
        <f t="shared" si="210"/>
        <v>View</v>
      </c>
      <c r="P1944" s="15"/>
    </row>
    <row r="1945">
      <c r="A1945" s="7">
        <v>42425.930706018524</v>
      </c>
      <c r="B1945" s="8" t="str">
        <f t="shared" si="209"/>
        <v>@artwisanggeni</v>
      </c>
      <c r="C1945" s="10" t="s">
        <v>74</v>
      </c>
      <c r="D1945" s="10" t="s">
        <v>4164</v>
      </c>
      <c r="E1945" s="11" t="str">
        <f>HYPERLINK("https://twitter.com/artwisanggeni/status/703102247731769345","703102247731769345")</f>
        <v>703102247731769345</v>
      </c>
      <c r="F1945" s="17" t="s">
        <v>76</v>
      </c>
      <c r="G1945" s="13">
        <v>236.0</v>
      </c>
      <c r="H1945" s="13">
        <v>61.0</v>
      </c>
      <c r="I1945" s="13">
        <v>0.0</v>
      </c>
      <c r="J1945" s="13">
        <v>0.0</v>
      </c>
      <c r="K1945" s="12" t="s">
        <v>21</v>
      </c>
      <c r="L1945" s="7">
        <v>41218.90608796296</v>
      </c>
      <c r="M1945" s="14" t="s">
        <v>77</v>
      </c>
      <c r="N1945" s="14" t="s">
        <v>78</v>
      </c>
      <c r="O1945" s="11" t="str">
        <f t="shared" si="210"/>
        <v>View</v>
      </c>
      <c r="P1945" s="15"/>
    </row>
    <row r="1946">
      <c r="A1946" s="7">
        <v>42425.93071759259</v>
      </c>
      <c r="B1946" s="8" t="str">
        <f t="shared" si="209"/>
        <v>@artwisanggeni</v>
      </c>
      <c r="C1946" s="10" t="s">
        <v>74</v>
      </c>
      <c r="D1946" s="10" t="s">
        <v>4165</v>
      </c>
      <c r="E1946" s="11" t="str">
        <f>HYPERLINK("https://twitter.com/artwisanggeni/status/703102250772598784","703102250772598784")</f>
        <v>703102250772598784</v>
      </c>
      <c r="F1946" s="17" t="s">
        <v>76</v>
      </c>
      <c r="G1946" s="13">
        <v>236.0</v>
      </c>
      <c r="H1946" s="13">
        <v>61.0</v>
      </c>
      <c r="I1946" s="13">
        <v>0.0</v>
      </c>
      <c r="J1946" s="13">
        <v>0.0</v>
      </c>
      <c r="K1946" s="12" t="s">
        <v>21</v>
      </c>
      <c r="L1946" s="7">
        <v>41218.90608796296</v>
      </c>
      <c r="M1946" s="14" t="s">
        <v>77</v>
      </c>
      <c r="N1946" s="14" t="s">
        <v>78</v>
      </c>
      <c r="O1946" s="11" t="str">
        <f t="shared" si="210"/>
        <v>View</v>
      </c>
      <c r="P1946" s="15"/>
    </row>
    <row r="1947">
      <c r="A1947" s="7">
        <v>42425.930972222224</v>
      </c>
      <c r="B1947" s="8" t="str">
        <f>HYPERLINK("https://twitter.com/AdamSmitht1","@AdamSmitht1")</f>
        <v>@AdamSmitht1</v>
      </c>
      <c r="C1947" s="10" t="s">
        <v>468</v>
      </c>
      <c r="D1947" s="10" t="s">
        <v>4166</v>
      </c>
      <c r="E1947" s="11" t="str">
        <f>HYPERLINK("https://twitter.com/AdamSmitht1/status/703102342996987906","703102342996987906")</f>
        <v>703102342996987906</v>
      </c>
      <c r="F1947" s="12" t="s">
        <v>103</v>
      </c>
      <c r="G1947" s="13">
        <v>849.0</v>
      </c>
      <c r="H1947" s="13">
        <v>793.0</v>
      </c>
      <c r="I1947" s="13">
        <v>0.0</v>
      </c>
      <c r="J1947" s="13">
        <v>0.0</v>
      </c>
      <c r="K1947" s="12" t="s">
        <v>21</v>
      </c>
      <c r="L1947" s="7">
        <v>42336.12709490741</v>
      </c>
      <c r="M1947" s="14" t="s">
        <v>470</v>
      </c>
      <c r="N1947" s="14" t="s">
        <v>471</v>
      </c>
      <c r="O1947" s="11" t="str">
        <f>HYPERLINK("https://pbs.twimg.com/profile_images/671623862916812800/yGsDKiP4_normal.jpg","View")</f>
        <v>View</v>
      </c>
      <c r="P1947" s="15"/>
    </row>
    <row r="1948">
      <c r="A1948" s="7">
        <v>42425.9312037037</v>
      </c>
      <c r="B1948" s="8" t="str">
        <f>HYPERLINK("https://twitter.com/bear_nun","@bear_nun")</f>
        <v>@bear_nun</v>
      </c>
      <c r="C1948" s="10" t="s">
        <v>2112</v>
      </c>
      <c r="D1948" s="10" t="s">
        <v>4167</v>
      </c>
      <c r="E1948" s="11" t="str">
        <f>HYPERLINK("https://twitter.com/bear_nun/status/703102427512176640","703102427512176640")</f>
        <v>703102427512176640</v>
      </c>
      <c r="F1948" s="12" t="s">
        <v>20</v>
      </c>
      <c r="G1948" s="13">
        <v>44.0</v>
      </c>
      <c r="H1948" s="13">
        <v>156.0</v>
      </c>
      <c r="I1948" s="13">
        <v>0.0</v>
      </c>
      <c r="J1948" s="13">
        <v>0.0</v>
      </c>
      <c r="K1948" s="12" t="s">
        <v>21</v>
      </c>
      <c r="L1948" s="7">
        <v>42189.861655092594</v>
      </c>
      <c r="M1948" s="16"/>
      <c r="N1948" s="14" t="s">
        <v>2114</v>
      </c>
      <c r="O1948" s="11" t="str">
        <f>HYPERLINK("https://pbs.twimg.com/profile_images/628206193417170945/omHCTHOS_normal.jpg","View")</f>
        <v>View</v>
      </c>
      <c r="P1948" s="15"/>
    </row>
    <row r="1949">
      <c r="A1949" s="7">
        <v>42425.93157407407</v>
      </c>
      <c r="B1949" s="8" t="str">
        <f>HYPERLINK("https://twitter.com/N3ophyte","@N3ophyte")</f>
        <v>@N3ophyte</v>
      </c>
      <c r="C1949" s="10" t="s">
        <v>4168</v>
      </c>
      <c r="D1949" s="10" t="s">
        <v>4072</v>
      </c>
      <c r="E1949" s="11" t="str">
        <f>HYPERLINK("https://twitter.com/N3ophyte/status/703102563957116928","703102563957116928")</f>
        <v>703102563957116928</v>
      </c>
      <c r="F1949" s="12" t="s">
        <v>1801</v>
      </c>
      <c r="G1949" s="13">
        <v>107.0</v>
      </c>
      <c r="H1949" s="13">
        <v>112.0</v>
      </c>
      <c r="I1949" s="13">
        <v>4.0</v>
      </c>
      <c r="J1949" s="13">
        <v>0.0</v>
      </c>
      <c r="K1949" s="12" t="s">
        <v>21</v>
      </c>
      <c r="L1949" s="7">
        <v>40497.02233796296</v>
      </c>
      <c r="M1949" s="14" t="s">
        <v>4169</v>
      </c>
      <c r="N1949" s="14" t="s">
        <v>4170</v>
      </c>
      <c r="O1949" s="11" t="str">
        <f>HYPERLINK("https://pbs.twimg.com/profile_images/483360760668504064/1B-mzD2S_normal.png","View")</f>
        <v>View</v>
      </c>
      <c r="P1949" s="15"/>
    </row>
    <row r="1950">
      <c r="A1950" s="7">
        <v>42425.93166666667</v>
      </c>
      <c r="B1950" s="8" t="str">
        <f>HYPERLINK("https://twitter.com/startechwall","@startechwall")</f>
        <v>@startechwall</v>
      </c>
      <c r="C1950" s="10" t="s">
        <v>1478</v>
      </c>
      <c r="D1950" s="10" t="s">
        <v>4171</v>
      </c>
      <c r="E1950" s="11" t="str">
        <f>HYPERLINK("https://twitter.com/startechwall/status/703102594235760640","703102594235760640")</f>
        <v>703102594235760640</v>
      </c>
      <c r="F1950" s="12" t="s">
        <v>103</v>
      </c>
      <c r="G1950" s="13">
        <v>557.0</v>
      </c>
      <c r="H1950" s="13">
        <v>859.0</v>
      </c>
      <c r="I1950" s="13">
        <v>0.0</v>
      </c>
      <c r="J1950" s="13">
        <v>0.0</v>
      </c>
      <c r="K1950" s="12" t="s">
        <v>21</v>
      </c>
      <c r="L1950" s="7">
        <v>42360.959502314814</v>
      </c>
      <c r="M1950" s="14" t="s">
        <v>1480</v>
      </c>
      <c r="N1950" s="14" t="s">
        <v>1481</v>
      </c>
      <c r="O1950" s="11" t="str">
        <f>HYPERLINK("https://pbs.twimg.com/profile_images/679566117187145728/UUo30Zpm_normal.jpg","View")</f>
        <v>View</v>
      </c>
      <c r="P1950" s="15"/>
    </row>
    <row r="1951">
      <c r="A1951" s="7">
        <v>42425.93193287037</v>
      </c>
      <c r="B1951" s="8" t="str">
        <f>HYPERLINK("https://twitter.com/wcmckeedotcom","@wcmckeedotcom")</f>
        <v>@wcmckeedotcom</v>
      </c>
      <c r="C1951" s="10" t="s">
        <v>476</v>
      </c>
      <c r="D1951" s="10" t="s">
        <v>4172</v>
      </c>
      <c r="E1951" s="11" t="str">
        <f>HYPERLINK("https://twitter.com/wcmckeedotcom/status/703102691140984832","703102691140984832")</f>
        <v>703102691140984832</v>
      </c>
      <c r="F1951" s="12" t="s">
        <v>478</v>
      </c>
      <c r="G1951" s="13">
        <v>1011.0</v>
      </c>
      <c r="H1951" s="13">
        <v>875.0</v>
      </c>
      <c r="I1951" s="13">
        <v>0.0</v>
      </c>
      <c r="J1951" s="13">
        <v>0.0</v>
      </c>
      <c r="K1951" s="12" t="s">
        <v>21</v>
      </c>
      <c r="L1951" s="7">
        <v>41902.048368055555</v>
      </c>
      <c r="M1951" s="14" t="s">
        <v>479</v>
      </c>
      <c r="N1951" s="14" t="s">
        <v>480</v>
      </c>
      <c r="O1951" s="11" t="str">
        <f>HYPERLINK("https://pbs.twimg.com/profile_images/621211385746161664/tGchJstD_normal.jpg","View")</f>
        <v>View</v>
      </c>
      <c r="P1951" s="15"/>
    </row>
    <row r="1952">
      <c r="A1952" s="7">
        <v>42425.93314814815</v>
      </c>
      <c r="B1952" s="8" t="str">
        <f>HYPERLINK("https://twitter.com/DomJofo","@DomJofo")</f>
        <v>@DomJofo</v>
      </c>
      <c r="C1952" s="10" t="s">
        <v>4173</v>
      </c>
      <c r="D1952" s="10" t="s">
        <v>4104</v>
      </c>
      <c r="E1952" s="11" t="str">
        <f>HYPERLINK("https://twitter.com/DomJofo/status/703103133128364036","703103133128364036")</f>
        <v>703103133128364036</v>
      </c>
      <c r="F1952" s="12" t="s">
        <v>152</v>
      </c>
      <c r="G1952" s="13">
        <v>197.0</v>
      </c>
      <c r="H1952" s="13">
        <v>462.0</v>
      </c>
      <c r="I1952" s="13">
        <v>8.0</v>
      </c>
      <c r="J1952" s="13">
        <v>0.0</v>
      </c>
      <c r="K1952" s="12" t="s">
        <v>21</v>
      </c>
      <c r="L1952" s="7">
        <v>40021.33261574074</v>
      </c>
      <c r="M1952" s="16"/>
      <c r="N1952" s="14" t="s">
        <v>4174</v>
      </c>
      <c r="O1952" s="11" t="str">
        <f>HYPERLINK("https://pbs.twimg.com/profile_images/1114003131/DomJofo3_normal.jpg","View")</f>
        <v>View</v>
      </c>
      <c r="P1952" s="15"/>
    </row>
    <row r="1953">
      <c r="A1953" s="7">
        <v>42425.93340277778</v>
      </c>
      <c r="B1953" s="8" t="str">
        <f>HYPERLINK("https://twitter.com/sikrigagan","@sikrigagan")</f>
        <v>@sikrigagan</v>
      </c>
      <c r="C1953" s="10" t="s">
        <v>4175</v>
      </c>
      <c r="D1953" s="10" t="s">
        <v>4176</v>
      </c>
      <c r="E1953" s="11" t="str">
        <f>HYPERLINK("https://twitter.com/sikrigagan/status/703103224736124928","703103224736124928")</f>
        <v>703103224736124928</v>
      </c>
      <c r="F1953" s="12" t="s">
        <v>20</v>
      </c>
      <c r="G1953" s="13">
        <v>174.0</v>
      </c>
      <c r="H1953" s="13">
        <v>455.0</v>
      </c>
      <c r="I1953" s="13">
        <v>1.0</v>
      </c>
      <c r="J1953" s="13">
        <v>1.0</v>
      </c>
      <c r="K1953" s="12" t="s">
        <v>21</v>
      </c>
      <c r="L1953" s="7">
        <v>41104.416550925926</v>
      </c>
      <c r="M1953" s="14" t="s">
        <v>1493</v>
      </c>
      <c r="N1953" s="14" t="s">
        <v>4177</v>
      </c>
      <c r="O1953" s="11" t="str">
        <f>HYPERLINK("https://pbs.twimg.com/profile_images/521217284711268353/-S-eIG6t_normal.jpeg","View")</f>
        <v>View</v>
      </c>
      <c r="P1953" s="15"/>
    </row>
    <row r="1954">
      <c r="A1954" s="7">
        <v>42425.93523148148</v>
      </c>
      <c r="B1954" s="8" t="str">
        <f>HYPERLINK("https://twitter.com/mustafakasap","@mustafakasap")</f>
        <v>@mustafakasap</v>
      </c>
      <c r="C1954" s="10" t="s">
        <v>4178</v>
      </c>
      <c r="D1954" s="10" t="s">
        <v>1820</v>
      </c>
      <c r="E1954" s="11" t="str">
        <f>HYPERLINK("https://twitter.com/mustafakasap/status/703103888992313344","703103888992313344")</f>
        <v>703103888992313344</v>
      </c>
      <c r="F1954" s="12" t="s">
        <v>446</v>
      </c>
      <c r="G1954" s="13">
        <v>1735.0</v>
      </c>
      <c r="H1954" s="13">
        <v>463.0</v>
      </c>
      <c r="I1954" s="13">
        <v>20.0</v>
      </c>
      <c r="J1954" s="13">
        <v>0.0</v>
      </c>
      <c r="K1954" s="12" t="s">
        <v>21</v>
      </c>
      <c r="L1954" s="7">
        <v>40059.35517361111</v>
      </c>
      <c r="M1954" s="14" t="s">
        <v>4179</v>
      </c>
      <c r="N1954" s="14" t="s">
        <v>4180</v>
      </c>
      <c r="O1954" s="11" t="str">
        <f>HYPERLINK("https://pbs.twimg.com/profile_images/575031389252255745/k48N1dDP_normal.jpeg","View")</f>
        <v>View</v>
      </c>
      <c r="P1954" s="15"/>
    </row>
    <row r="1955">
      <c r="A1955" s="7">
        <v>42425.93546296297</v>
      </c>
      <c r="B1955" s="8" t="str">
        <f>HYPERLINK("https://twitter.com/OOMagno2","@OOMagno2")</f>
        <v>@OOMagno2</v>
      </c>
      <c r="C1955" s="10" t="s">
        <v>4181</v>
      </c>
      <c r="D1955" s="10" t="s">
        <v>3867</v>
      </c>
      <c r="E1955" s="11" t="str">
        <f>HYPERLINK("https://twitter.com/OOMagno2/status/703103970546360322","703103970546360322")</f>
        <v>703103970546360322</v>
      </c>
      <c r="F1955" s="12" t="s">
        <v>1573</v>
      </c>
      <c r="G1955" s="13">
        <v>11.0</v>
      </c>
      <c r="H1955" s="13">
        <v>120.0</v>
      </c>
      <c r="I1955" s="13">
        <v>11.0</v>
      </c>
      <c r="J1955" s="13">
        <v>0.0</v>
      </c>
      <c r="K1955" s="12" t="s">
        <v>21</v>
      </c>
      <c r="L1955" s="7">
        <v>40988.82628472222</v>
      </c>
      <c r="M1955" s="16"/>
      <c r="N1955" s="16"/>
      <c r="O1955" s="11" t="str">
        <f>HYPERLINK("https://abs.twimg.com/sticky/default_profile_images/default_profile_6_normal.png","View")</f>
        <v>View</v>
      </c>
      <c r="P1955" s="15"/>
    </row>
    <row r="1956">
      <c r="A1956" s="7">
        <v>42425.93579861111</v>
      </c>
      <c r="B1956" s="8" t="str">
        <f>HYPERLINK("https://twitter.com/2014Emilyshores","@2014Emilyshores")</f>
        <v>@2014Emilyshores</v>
      </c>
      <c r="C1956" s="10" t="s">
        <v>4182</v>
      </c>
      <c r="D1956" s="10" t="s">
        <v>4183</v>
      </c>
      <c r="E1956" s="11" t="str">
        <f>HYPERLINK("https://twitter.com/2014Emilyshores/status/703104091342278656","703104091342278656")</f>
        <v>703104091342278656</v>
      </c>
      <c r="F1956" s="12" t="s">
        <v>152</v>
      </c>
      <c r="G1956" s="13">
        <v>18.0</v>
      </c>
      <c r="H1956" s="13">
        <v>86.0</v>
      </c>
      <c r="I1956" s="13">
        <v>0.0</v>
      </c>
      <c r="J1956" s="13">
        <v>1.0</v>
      </c>
      <c r="K1956" s="12" t="s">
        <v>21</v>
      </c>
      <c r="L1956" s="7">
        <v>41920.17140046296</v>
      </c>
      <c r="M1956" s="16"/>
      <c r="N1956" s="16"/>
      <c r="O1956" s="11" t="str">
        <f>HYPERLINK("https://pbs.twimg.com/profile_images/703115316503535616/y_cO0A_3_normal.jpg","View")</f>
        <v>View</v>
      </c>
      <c r="P1956" s="15"/>
    </row>
    <row r="1957">
      <c r="A1957" s="7">
        <v>42425.93586805556</v>
      </c>
      <c r="B1957" s="8" t="str">
        <f>HYPERLINK("https://twitter.com/programmingncr","@programmingncr")</f>
        <v>@programmingncr</v>
      </c>
      <c r="C1957" s="10" t="s">
        <v>262</v>
      </c>
      <c r="D1957" s="10" t="s">
        <v>4184</v>
      </c>
      <c r="E1957" s="11" t="str">
        <f>HYPERLINK("https://twitter.com/programmingncr/status/703104119708340224","703104119708340224")</f>
        <v>703104119708340224</v>
      </c>
      <c r="F1957" s="12" t="s">
        <v>103</v>
      </c>
      <c r="G1957" s="13">
        <v>328.0</v>
      </c>
      <c r="H1957" s="13">
        <v>99.0</v>
      </c>
      <c r="I1957" s="13">
        <v>0.0</v>
      </c>
      <c r="J1957" s="13">
        <v>0.0</v>
      </c>
      <c r="K1957" s="12" t="s">
        <v>21</v>
      </c>
      <c r="L1957" s="7">
        <v>42220.86634259259</v>
      </c>
      <c r="M1957" s="14" t="s">
        <v>264</v>
      </c>
      <c r="N1957" s="14" t="s">
        <v>265</v>
      </c>
      <c r="O1957" s="11" t="str">
        <f>HYPERLINK("https://pbs.twimg.com/profile_images/662602436222193664/qKuvsfnG_normal.jpg","View")</f>
        <v>View</v>
      </c>
      <c r="P1957" s="15"/>
    </row>
    <row r="1958">
      <c r="A1958" s="7">
        <v>42425.936307870375</v>
      </c>
      <c r="B1958" s="8" t="str">
        <f>HYPERLINK("https://twitter.com/HartwigMicheal","@HartwigMicheal")</f>
        <v>@HartwigMicheal</v>
      </c>
      <c r="C1958" s="10" t="s">
        <v>842</v>
      </c>
      <c r="D1958" s="10" t="s">
        <v>4185</v>
      </c>
      <c r="E1958" s="11" t="str">
        <f>HYPERLINK("https://twitter.com/HartwigMicheal/status/703104277871374336","703104277871374336")</f>
        <v>703104277871374336</v>
      </c>
      <c r="F1958" s="12" t="s">
        <v>103</v>
      </c>
      <c r="G1958" s="13">
        <v>541.0</v>
      </c>
      <c r="H1958" s="13">
        <v>830.0</v>
      </c>
      <c r="I1958" s="13">
        <v>0.0</v>
      </c>
      <c r="J1958" s="13">
        <v>0.0</v>
      </c>
      <c r="K1958" s="12" t="s">
        <v>21</v>
      </c>
      <c r="L1958" s="7">
        <v>42362.00148148148</v>
      </c>
      <c r="M1958" s="14" t="s">
        <v>844</v>
      </c>
      <c r="N1958" s="14" t="s">
        <v>845</v>
      </c>
      <c r="O1958" s="11" t="str">
        <f>HYPERLINK("https://pbs.twimg.com/profile_images/679948461953781761/pDo9356K_normal.jpg","View")</f>
        <v>View</v>
      </c>
      <c r="P1958" s="15"/>
    </row>
    <row r="1959">
      <c r="A1959" s="7">
        <v>42425.93635416667</v>
      </c>
      <c r="B1959" s="8" t="str">
        <f>HYPERLINK("https://twitter.com/wcmckeedotcom","@wcmckeedotcom")</f>
        <v>@wcmckeedotcom</v>
      </c>
      <c r="C1959" s="10" t="s">
        <v>476</v>
      </c>
      <c r="D1959" s="10" t="s">
        <v>4186</v>
      </c>
      <c r="E1959" s="11" t="str">
        <f>HYPERLINK("https://twitter.com/wcmckeedotcom/status/703104294640201728","703104294640201728")</f>
        <v>703104294640201728</v>
      </c>
      <c r="F1959" s="12" t="s">
        <v>478</v>
      </c>
      <c r="G1959" s="13">
        <v>1011.0</v>
      </c>
      <c r="H1959" s="13">
        <v>875.0</v>
      </c>
      <c r="I1959" s="13">
        <v>0.0</v>
      </c>
      <c r="J1959" s="13">
        <v>0.0</v>
      </c>
      <c r="K1959" s="12" t="s">
        <v>21</v>
      </c>
      <c r="L1959" s="7">
        <v>41902.048368055555</v>
      </c>
      <c r="M1959" s="14" t="s">
        <v>479</v>
      </c>
      <c r="N1959" s="14" t="s">
        <v>480</v>
      </c>
      <c r="O1959" s="11" t="str">
        <f>HYPERLINK("https://pbs.twimg.com/profile_images/621211385746161664/tGchJstD_normal.jpg","View")</f>
        <v>View</v>
      </c>
      <c r="P1959" s="15"/>
    </row>
    <row r="1960">
      <c r="A1960" s="7">
        <v>42425.936435185184</v>
      </c>
      <c r="B1960" s="8" t="str">
        <f>HYPERLINK("https://twitter.com/art_control","@art_control")</f>
        <v>@art_control</v>
      </c>
      <c r="C1960" s="10" t="s">
        <v>309</v>
      </c>
      <c r="D1960" s="10" t="s">
        <v>4187</v>
      </c>
      <c r="E1960" s="11" t="str">
        <f>HYPERLINK("https://twitter.com/art_control/status/703104321752211457","703104321752211457")</f>
        <v>703104321752211457</v>
      </c>
      <c r="F1960" s="12" t="s">
        <v>311</v>
      </c>
      <c r="G1960" s="13">
        <v>989.0</v>
      </c>
      <c r="H1960" s="13">
        <v>850.0</v>
      </c>
      <c r="I1960" s="13">
        <v>0.0</v>
      </c>
      <c r="J1960" s="13">
        <v>0.0</v>
      </c>
      <c r="K1960" s="12" t="s">
        <v>21</v>
      </c>
      <c r="L1960" s="7">
        <v>39896.869675925926</v>
      </c>
      <c r="M1960" s="14" t="s">
        <v>312</v>
      </c>
      <c r="N1960" s="14" t="s">
        <v>313</v>
      </c>
      <c r="O1960" s="11" t="str">
        <f>HYPERLINK("https://pbs.twimg.com/profile_images/649004216690675712/UAcrP6ol_normal.png","View")</f>
        <v>View</v>
      </c>
      <c r="P1960" s="15"/>
    </row>
    <row r="1961">
      <c r="A1961" s="7">
        <v>42425.936678240745</v>
      </c>
      <c r="B1961" s="8" t="str">
        <f>HYPERLINK("https://twitter.com/MTotolrahaman","@MTotolrahaman")</f>
        <v>@MTotolrahaman</v>
      </c>
      <c r="C1961" s="10" t="s">
        <v>848</v>
      </c>
      <c r="D1961" s="10" t="s">
        <v>4188</v>
      </c>
      <c r="E1961" s="11" t="str">
        <f>HYPERLINK("https://twitter.com/MTotolrahaman/status/703104413708079105","703104413708079105")</f>
        <v>703104413708079105</v>
      </c>
      <c r="F1961" s="12" t="s">
        <v>103</v>
      </c>
      <c r="G1961" s="13">
        <v>766.0</v>
      </c>
      <c r="H1961" s="13">
        <v>846.0</v>
      </c>
      <c r="I1961" s="13">
        <v>0.0</v>
      </c>
      <c r="J1961" s="13">
        <v>1.0</v>
      </c>
      <c r="K1961" s="12" t="s">
        <v>21</v>
      </c>
      <c r="L1961" s="7">
        <v>42355.250798611116</v>
      </c>
      <c r="M1961" s="14" t="s">
        <v>850</v>
      </c>
      <c r="N1961" s="14" t="s">
        <v>851</v>
      </c>
      <c r="O1961" s="11" t="str">
        <f>HYPERLINK("https://pbs.twimg.com/profile_images/677493910256484352/-EdVaVPl_normal.jpg","View")</f>
        <v>View</v>
      </c>
      <c r="P1961" s="15"/>
    </row>
    <row r="1962">
      <c r="A1962" s="7">
        <v>42425.93789351852</v>
      </c>
      <c r="B1962" s="8" t="str">
        <f>HYPERLINK("https://twitter.com/RashmiRnSethy","@RashmiRnSethy")</f>
        <v>@RashmiRnSethy</v>
      </c>
      <c r="C1962" s="10" t="s">
        <v>3832</v>
      </c>
      <c r="D1962" s="10" t="s">
        <v>4189</v>
      </c>
      <c r="E1962" s="11" t="str">
        <f>HYPERLINK("https://twitter.com/RashmiRnSethy/status/703104853812183040","703104853812183040")</f>
        <v>703104853812183040</v>
      </c>
      <c r="F1962" s="12" t="s">
        <v>236</v>
      </c>
      <c r="G1962" s="13">
        <v>1667.0</v>
      </c>
      <c r="H1962" s="13">
        <v>1593.0</v>
      </c>
      <c r="I1962" s="13">
        <v>0.0</v>
      </c>
      <c r="J1962" s="13">
        <v>0.0</v>
      </c>
      <c r="K1962" s="12" t="s">
        <v>21</v>
      </c>
      <c r="L1962" s="7">
        <v>40155.82634259259</v>
      </c>
      <c r="M1962" s="14" t="s">
        <v>34</v>
      </c>
      <c r="N1962" s="14" t="s">
        <v>3834</v>
      </c>
      <c r="O1962" s="11" t="str">
        <f>HYPERLINK("https://pbs.twimg.com/profile_images/507769924001878016/UsRwSg_A_normal.jpeg","View")</f>
        <v>View</v>
      </c>
      <c r="P1962" s="15"/>
    </row>
    <row r="1963">
      <c r="A1963" s="7">
        <v>42425.93891203703</v>
      </c>
      <c r="B1963" s="8" t="str">
        <f>HYPERLINK("https://twitter.com/JetTownie","@JetTownie")</f>
        <v>@JetTownie</v>
      </c>
      <c r="C1963" s="10" t="s">
        <v>4190</v>
      </c>
      <c r="D1963" s="10" t="s">
        <v>4191</v>
      </c>
      <c r="E1963" s="11" t="str">
        <f>HYPERLINK("https://twitter.com/JetTownie/status/703105221887537152","703105221887537152")</f>
        <v>703105221887537152</v>
      </c>
      <c r="F1963" s="12" t="s">
        <v>446</v>
      </c>
      <c r="G1963" s="13">
        <v>3.0</v>
      </c>
      <c r="H1963" s="13">
        <v>16.0</v>
      </c>
      <c r="I1963" s="13">
        <v>0.0</v>
      </c>
      <c r="J1963" s="13">
        <v>1.0</v>
      </c>
      <c r="K1963" s="12" t="s">
        <v>21</v>
      </c>
      <c r="L1963" s="7">
        <v>42423.072106481486</v>
      </c>
      <c r="M1963" s="16"/>
      <c r="N1963" s="16"/>
      <c r="O1963" s="11" t="str">
        <f>HYPERLINK("https://pbs.twimg.com/profile_images/702094033523310593/LrwMtE9K_normal.png","View")</f>
        <v>View</v>
      </c>
      <c r="P1963" s="15"/>
    </row>
    <row r="1964">
      <c r="A1964" s="7">
        <v>42425.93939814815</v>
      </c>
      <c r="B1964" s="8" t="str">
        <f>HYPERLINK("https://twitter.com/JamesBTS","@JamesBTS")</f>
        <v>@JamesBTS</v>
      </c>
      <c r="C1964" s="10" t="s">
        <v>4192</v>
      </c>
      <c r="D1964" s="10" t="s">
        <v>4104</v>
      </c>
      <c r="E1964" s="11" t="str">
        <f>HYPERLINK("https://twitter.com/JamesBTS/status/703105398195130368","703105398195130368")</f>
        <v>703105398195130368</v>
      </c>
      <c r="F1964" s="12" t="s">
        <v>52</v>
      </c>
      <c r="G1964" s="13">
        <v>204.0</v>
      </c>
      <c r="H1964" s="13">
        <v>199.0</v>
      </c>
      <c r="I1964" s="13">
        <v>8.0</v>
      </c>
      <c r="J1964" s="13">
        <v>0.0</v>
      </c>
      <c r="K1964" s="12" t="s">
        <v>21</v>
      </c>
      <c r="L1964" s="7">
        <v>40319.652233796296</v>
      </c>
      <c r="M1964" s="14" t="s">
        <v>4193</v>
      </c>
      <c r="N1964" s="14" t="s">
        <v>4194</v>
      </c>
      <c r="O1964" s="11" t="str">
        <f>HYPERLINK("https://pbs.twimg.com/profile_images/3654550270/5cab52e90000571b826f1a6d9e8d05d4_normal.png","View")</f>
        <v>View</v>
      </c>
      <c r="P1964" s="15"/>
    </row>
    <row r="1965">
      <c r="A1965" s="7">
        <v>42425.940416666665</v>
      </c>
      <c r="B1965" s="8" t="str">
        <f t="shared" ref="B1965:B1966" si="211">HYPERLINK("https://twitter.com/n1tr0_Sec","@n1tr0_Sec")</f>
        <v>@n1tr0_Sec</v>
      </c>
      <c r="C1965" s="10" t="s">
        <v>4195</v>
      </c>
      <c r="D1965" s="10" t="s">
        <v>4196</v>
      </c>
      <c r="E1965" s="11" t="str">
        <f>HYPERLINK("https://twitter.com/n1tr0_Sec/status/703105766094278660","703105766094278660")</f>
        <v>703105766094278660</v>
      </c>
      <c r="F1965" s="12" t="s">
        <v>152</v>
      </c>
      <c r="G1965" s="13">
        <v>585.0</v>
      </c>
      <c r="H1965" s="13">
        <v>410.0</v>
      </c>
      <c r="I1965" s="13">
        <v>2.0</v>
      </c>
      <c r="J1965" s="13">
        <v>0.0</v>
      </c>
      <c r="K1965" s="12" t="s">
        <v>21</v>
      </c>
      <c r="L1965" s="7">
        <v>42274.58189814815</v>
      </c>
      <c r="M1965" s="14" t="s">
        <v>4197</v>
      </c>
      <c r="N1965" s="14" t="s">
        <v>4198</v>
      </c>
      <c r="O1965" s="11" t="str">
        <f t="shared" ref="O1965:O1966" si="212">HYPERLINK("https://pbs.twimg.com/profile_images/698771560216334336/Ox02yB5e_normal.jpg","View")</f>
        <v>View</v>
      </c>
      <c r="P1965" s="15"/>
    </row>
    <row r="1966">
      <c r="A1966" s="7">
        <v>42425.94047453704</v>
      </c>
      <c r="B1966" s="8" t="str">
        <f t="shared" si="211"/>
        <v>@n1tr0_Sec</v>
      </c>
      <c r="C1966" s="10" t="s">
        <v>4195</v>
      </c>
      <c r="D1966" s="10" t="s">
        <v>4199</v>
      </c>
      <c r="E1966" s="11" t="str">
        <f>HYPERLINK("https://twitter.com/n1tr0_Sec/status/703105788517052418","703105788517052418")</f>
        <v>703105788517052418</v>
      </c>
      <c r="F1966" s="12" t="s">
        <v>152</v>
      </c>
      <c r="G1966" s="13">
        <v>585.0</v>
      </c>
      <c r="H1966" s="13">
        <v>410.0</v>
      </c>
      <c r="I1966" s="13">
        <v>1.0</v>
      </c>
      <c r="J1966" s="13">
        <v>0.0</v>
      </c>
      <c r="K1966" s="12" t="s">
        <v>21</v>
      </c>
      <c r="L1966" s="7">
        <v>42274.58189814815</v>
      </c>
      <c r="M1966" s="14" t="s">
        <v>4197</v>
      </c>
      <c r="N1966" s="14" t="s">
        <v>4198</v>
      </c>
      <c r="O1966" s="11" t="str">
        <f t="shared" si="212"/>
        <v>View</v>
      </c>
      <c r="P1966" s="15"/>
    </row>
    <row r="1967">
      <c r="A1967" s="7">
        <v>42425.9421875</v>
      </c>
      <c r="B1967" s="8" t="str">
        <f>HYPERLINK("https://twitter.com/JuliaLiebtAnja","@JuliaLiebtAnja")</f>
        <v>@JuliaLiebtAnja</v>
      </c>
      <c r="C1967" s="10" t="s">
        <v>4200</v>
      </c>
      <c r="D1967" s="10" t="s">
        <v>4201</v>
      </c>
      <c r="E1967" s="11" t="str">
        <f>HYPERLINK("https://twitter.com/JuliaLiebtAnja/status/703106409123041280","703106409123041280")</f>
        <v>703106409123041280</v>
      </c>
      <c r="F1967" s="12" t="s">
        <v>450</v>
      </c>
      <c r="G1967" s="13">
        <v>167.0</v>
      </c>
      <c r="H1967" s="13">
        <v>57.0</v>
      </c>
      <c r="I1967" s="13">
        <v>0.0</v>
      </c>
      <c r="J1967" s="13">
        <v>0.0</v>
      </c>
      <c r="K1967" s="12" t="s">
        <v>21</v>
      </c>
      <c r="L1967" s="7">
        <v>40517.39506944444</v>
      </c>
      <c r="M1967" s="14" t="s">
        <v>4202</v>
      </c>
      <c r="N1967" s="14" t="s">
        <v>4203</v>
      </c>
      <c r="O1967" s="11" t="str">
        <f>HYPERLINK("https://pbs.twimg.com/profile_images/632975019719700480/gbaojWe-_normal.jpg","View")</f>
        <v>View</v>
      </c>
      <c r="P1967" s="15"/>
    </row>
    <row r="1968">
      <c r="A1968" s="7">
        <v>42425.94452546297</v>
      </c>
      <c r="B1968" s="8" t="str">
        <f>HYPERLINK("https://twitter.com/QuantInsti","@QuantInsti")</f>
        <v>@QuantInsti</v>
      </c>
      <c r="C1968" s="10" t="s">
        <v>32</v>
      </c>
      <c r="D1968" s="10" t="s">
        <v>4204</v>
      </c>
      <c r="E1968" s="11" t="str">
        <f>HYPERLINK("https://twitter.com/QuantInsti/status/703107255432929280","703107255432929280")</f>
        <v>703107255432929280</v>
      </c>
      <c r="F1968" s="12" t="s">
        <v>659</v>
      </c>
      <c r="G1968" s="13">
        <v>857.0</v>
      </c>
      <c r="H1968" s="13">
        <v>657.0</v>
      </c>
      <c r="I1968" s="13">
        <v>0.0</v>
      </c>
      <c r="J1968" s="13">
        <v>0.0</v>
      </c>
      <c r="K1968" s="12" t="s">
        <v>21</v>
      </c>
      <c r="L1968" s="7">
        <v>41191.158530092594</v>
      </c>
      <c r="M1968" s="14" t="s">
        <v>34</v>
      </c>
      <c r="N1968" s="14" t="s">
        <v>35</v>
      </c>
      <c r="O1968" s="11" t="str">
        <f>HYPERLINK("https://pbs.twimg.com/profile_images/3272414315/6100aa5e267d6fc1e2e67b0782d34134_normal.jpeg","View")</f>
        <v>View</v>
      </c>
      <c r="P1968" s="15"/>
    </row>
    <row r="1969">
      <c r="A1969" s="7">
        <v>42425.94565972222</v>
      </c>
      <c r="B1969" s="8" t="str">
        <f>HYPERLINK("https://twitter.com/stefan495_495","@stefan495_495")</f>
        <v>@stefan495_495</v>
      </c>
      <c r="C1969" s="10" t="s">
        <v>4205</v>
      </c>
      <c r="D1969" s="10" t="s">
        <v>2411</v>
      </c>
      <c r="E1969" s="11" t="str">
        <f>HYPERLINK("https://twitter.com/stefan495_495/status/703107665711345664","703107665711345664")</f>
        <v>703107665711345664</v>
      </c>
      <c r="F1969" s="12" t="s">
        <v>152</v>
      </c>
      <c r="G1969" s="13">
        <v>21.0</v>
      </c>
      <c r="H1969" s="13">
        <v>59.0</v>
      </c>
      <c r="I1969" s="13">
        <v>1201.0</v>
      </c>
      <c r="J1969" s="13">
        <v>0.0</v>
      </c>
      <c r="K1969" s="12" t="s">
        <v>21</v>
      </c>
      <c r="L1969" s="7">
        <v>41657.2628125</v>
      </c>
      <c r="M1969" s="16"/>
      <c r="N1969" s="16"/>
      <c r="O1969" s="11" t="str">
        <f>HYPERLINK("https://pbs.twimg.com/profile_images/441276703076515840/7v-i8ezh_normal.jpeg","View")</f>
        <v>View</v>
      </c>
      <c r="P1969" s="15"/>
    </row>
    <row r="1970">
      <c r="A1970" s="7">
        <v>42425.9484375</v>
      </c>
      <c r="B1970" s="8" t="str">
        <f>HYPERLINK("https://twitter.com/docker","@docker")</f>
        <v>@docker</v>
      </c>
      <c r="C1970" s="10" t="s">
        <v>4206</v>
      </c>
      <c r="D1970" s="10" t="s">
        <v>4207</v>
      </c>
      <c r="E1970" s="11" t="str">
        <f>HYPERLINK("https://twitter.com/docker/status/703108675078983680","703108675078983680")</f>
        <v>703108675078983680</v>
      </c>
      <c r="F1970" s="17" t="s">
        <v>4208</v>
      </c>
      <c r="G1970" s="13">
        <v>118547.0</v>
      </c>
      <c r="H1970" s="13">
        <v>1440.0</v>
      </c>
      <c r="I1970" s="13">
        <v>55.0</v>
      </c>
      <c r="J1970" s="13">
        <v>89.0</v>
      </c>
      <c r="K1970" s="12" t="s">
        <v>21</v>
      </c>
      <c r="L1970" s="7">
        <v>41305.967199074075</v>
      </c>
      <c r="M1970" s="14" t="s">
        <v>69</v>
      </c>
      <c r="N1970" s="14" t="s">
        <v>4209</v>
      </c>
      <c r="O1970" s="11" t="str">
        <f>HYPERLINK("https://pbs.twimg.com/profile_images/378800000124779041/fbbb494a7eef5f9278c6967b6072ca3e_normal.png","View")</f>
        <v>View</v>
      </c>
      <c r="P1970" s="15"/>
    </row>
    <row r="1971">
      <c r="A1971" s="7">
        <v>42425.94844907407</v>
      </c>
      <c r="B1971" s="8" t="str">
        <f>HYPERLINK("https://twitter.com/jeanepaul","@jeanepaul")</f>
        <v>@jeanepaul</v>
      </c>
      <c r="C1971" s="10" t="s">
        <v>4210</v>
      </c>
      <c r="D1971" s="10" t="s">
        <v>4211</v>
      </c>
      <c r="E1971" s="11" t="str">
        <f>HYPERLINK("https://twitter.com/jeanepaul/status/703108677419405312","703108677419405312")</f>
        <v>703108677419405312</v>
      </c>
      <c r="F1971" s="12" t="s">
        <v>4212</v>
      </c>
      <c r="G1971" s="13">
        <v>199.0</v>
      </c>
      <c r="H1971" s="13">
        <v>408.0</v>
      </c>
      <c r="I1971" s="13">
        <v>55.0</v>
      </c>
      <c r="J1971" s="13">
        <v>0.0</v>
      </c>
      <c r="K1971" s="12" t="s">
        <v>21</v>
      </c>
      <c r="L1971" s="7">
        <v>39916.301458333335</v>
      </c>
      <c r="M1971" s="14" t="s">
        <v>4213</v>
      </c>
      <c r="N1971" s="14" t="s">
        <v>4214</v>
      </c>
      <c r="O1971" s="11" t="str">
        <f>HYPERLINK("https://pbs.twimg.com/profile_images/639619246385836032/Oio7tWx-_normal.jpg","View")</f>
        <v>View</v>
      </c>
      <c r="P1971" s="15"/>
    </row>
    <row r="1972">
      <c r="A1972" s="7">
        <v>42425.94891203704</v>
      </c>
      <c r="B1972" s="8" t="str">
        <f>HYPERLINK("https://twitter.com/jamal_moir","@jamal_moir")</f>
        <v>@jamal_moir</v>
      </c>
      <c r="C1972" s="10" t="s">
        <v>2939</v>
      </c>
      <c r="D1972" s="10" t="s">
        <v>4215</v>
      </c>
      <c r="E1972" s="11" t="str">
        <f>HYPERLINK("https://twitter.com/jamal_moir/status/703108844159791104","703108844159791104")</f>
        <v>703108844159791104</v>
      </c>
      <c r="F1972" s="12" t="s">
        <v>20</v>
      </c>
      <c r="G1972" s="13">
        <v>124.0</v>
      </c>
      <c r="H1972" s="13">
        <v>104.0</v>
      </c>
      <c r="I1972" s="13">
        <v>0.0</v>
      </c>
      <c r="J1972" s="13">
        <v>0.0</v>
      </c>
      <c r="K1972" s="12" t="s">
        <v>21</v>
      </c>
      <c r="L1972" s="7">
        <v>41517.25885416666</v>
      </c>
      <c r="M1972" s="14" t="s">
        <v>2941</v>
      </c>
      <c r="N1972" s="14" t="s">
        <v>2942</v>
      </c>
      <c r="O1972" s="11" t="str">
        <f>HYPERLINK("https://pbs.twimg.com/profile_images/701940703329284096/L4xW77o2_normal.jpg","View")</f>
        <v>View</v>
      </c>
      <c r="P1972" s="15"/>
    </row>
    <row r="1973">
      <c r="A1973" s="7">
        <v>42425.9490625</v>
      </c>
      <c r="B1973" s="8" t="str">
        <f>HYPERLINK("https://twitter.com/jmatienzariera","@jmatienzariera")</f>
        <v>@jmatienzariera</v>
      </c>
      <c r="C1973" s="10" t="s">
        <v>4216</v>
      </c>
      <c r="D1973" s="10" t="s">
        <v>4217</v>
      </c>
      <c r="E1973" s="11" t="str">
        <f>HYPERLINK("https://twitter.com/jmatienzariera/status/703108899352645633","703108899352645633")</f>
        <v>703108899352645633</v>
      </c>
      <c r="F1973" s="12" t="s">
        <v>1573</v>
      </c>
      <c r="G1973" s="13">
        <v>302.0</v>
      </c>
      <c r="H1973" s="13">
        <v>140.0</v>
      </c>
      <c r="I1973" s="13">
        <v>2.0</v>
      </c>
      <c r="J1973" s="13">
        <v>0.0</v>
      </c>
      <c r="K1973" s="12" t="s">
        <v>21</v>
      </c>
      <c r="L1973" s="7">
        <v>41538.53710648148</v>
      </c>
      <c r="M1973" s="16"/>
      <c r="N1973" s="14" t="s">
        <v>4218</v>
      </c>
      <c r="O1973" s="11" t="str">
        <f>HYPERLINK("https://pbs.twimg.com/profile_images/378800000488922758/a6d4c6af5f06b1f066fe6a5f6e8bfd77_normal.jpeg","View")</f>
        <v>View</v>
      </c>
      <c r="P1973" s="15"/>
    </row>
    <row r="1974">
      <c r="A1974" s="7">
        <v>42425.949594907404</v>
      </c>
      <c r="B1974" s="8" t="str">
        <f>HYPERLINK("https://twitter.com/gsacavdm","@gsacavdm")</f>
        <v>@gsacavdm</v>
      </c>
      <c r="C1974" s="10" t="s">
        <v>4219</v>
      </c>
      <c r="D1974" s="10" t="s">
        <v>1820</v>
      </c>
      <c r="E1974" s="11" t="str">
        <f>HYPERLINK("https://twitter.com/gsacavdm/status/703109091397234688","703109091397234688")</f>
        <v>703109091397234688</v>
      </c>
      <c r="F1974" s="12" t="s">
        <v>152</v>
      </c>
      <c r="G1974" s="13">
        <v>26.0</v>
      </c>
      <c r="H1974" s="13">
        <v>93.0</v>
      </c>
      <c r="I1974" s="13">
        <v>20.0</v>
      </c>
      <c r="J1974" s="13">
        <v>0.0</v>
      </c>
      <c r="K1974" s="12" t="s">
        <v>21</v>
      </c>
      <c r="L1974" s="7">
        <v>40860.45732638889</v>
      </c>
      <c r="M1974" s="14" t="s">
        <v>1259</v>
      </c>
      <c r="N1974" s="16"/>
      <c r="O1974" s="11" t="str">
        <f>HYPERLINK("https://pbs.twimg.com/profile_images/688991259508125696/eFGhWuc-_normal.png","View")</f>
        <v>View</v>
      </c>
      <c r="P1974" s="15"/>
    </row>
    <row r="1975">
      <c r="A1975" s="7">
        <v>42425.94965277778</v>
      </c>
      <c r="B1975" s="8" t="str">
        <f>HYPERLINK("https://twitter.com/AlexAguilarMX","@AlexAguilarMX")</f>
        <v>@AlexAguilarMX</v>
      </c>
      <c r="C1975" s="10" t="s">
        <v>4220</v>
      </c>
      <c r="D1975" s="10" t="s">
        <v>4211</v>
      </c>
      <c r="E1975" s="11" t="str">
        <f>HYPERLINK("https://twitter.com/AlexAguilarMX/status/703109113320837120","703109113320837120")</f>
        <v>703109113320837120</v>
      </c>
      <c r="F1975" s="12" t="s">
        <v>20</v>
      </c>
      <c r="G1975" s="13">
        <v>335.0</v>
      </c>
      <c r="H1975" s="13">
        <v>277.0</v>
      </c>
      <c r="I1975" s="13">
        <v>55.0</v>
      </c>
      <c r="J1975" s="13">
        <v>0.0</v>
      </c>
      <c r="K1975" s="12" t="s">
        <v>21</v>
      </c>
      <c r="L1975" s="7">
        <v>39795.72209490741</v>
      </c>
      <c r="M1975" s="14" t="s">
        <v>4221</v>
      </c>
      <c r="N1975" s="14" t="s">
        <v>4222</v>
      </c>
      <c r="O1975" s="11" t="str">
        <f>HYPERLINK("https://pbs.twimg.com/profile_images/691756851659149313/m6m50dvY_normal.jpg","View")</f>
        <v>View</v>
      </c>
      <c r="P1975" s="15"/>
    </row>
    <row r="1976">
      <c r="A1976" s="7">
        <v>42425.949791666666</v>
      </c>
      <c r="B1976" s="8" t="str">
        <f>HYPERLINK("https://twitter.com/ramojol","@ramojol")</f>
        <v>@ramojol</v>
      </c>
      <c r="C1976" s="10" t="s">
        <v>4223</v>
      </c>
      <c r="D1976" s="10" t="s">
        <v>4211</v>
      </c>
      <c r="E1976" s="11" t="str">
        <f>HYPERLINK("https://twitter.com/ramojol/status/703109166118756355","703109166118756355")</f>
        <v>703109166118756355</v>
      </c>
      <c r="F1976" s="12" t="s">
        <v>52</v>
      </c>
      <c r="G1976" s="13">
        <v>83.0</v>
      </c>
      <c r="H1976" s="13">
        <v>356.0</v>
      </c>
      <c r="I1976" s="13">
        <v>55.0</v>
      </c>
      <c r="J1976" s="13">
        <v>0.0</v>
      </c>
      <c r="K1976" s="12" t="s">
        <v>21</v>
      </c>
      <c r="L1976" s="7">
        <v>40046.24413194445</v>
      </c>
      <c r="M1976" s="14" t="s">
        <v>4224</v>
      </c>
      <c r="N1976" s="14" t="s">
        <v>4225</v>
      </c>
      <c r="O1976" s="11" t="str">
        <f>HYPERLINK("https://pbs.twimg.com/profile_images/585424227030827008/8TNJ0ZUz_normal.jpg","View")</f>
        <v>View</v>
      </c>
      <c r="P1976" s="15"/>
    </row>
    <row r="1977">
      <c r="A1977" s="7">
        <v>42425.94982638889</v>
      </c>
      <c r="B1977" s="8" t="str">
        <f>HYPERLINK("https://twitter.com/Kentaro5626","@Kentaro5626")</f>
        <v>@Kentaro5626</v>
      </c>
      <c r="C1977" s="10" t="s">
        <v>4226</v>
      </c>
      <c r="D1977" s="10" t="s">
        <v>4227</v>
      </c>
      <c r="E1977" s="11" t="str">
        <f>HYPERLINK("https://twitter.com/Kentaro5626/status/703109178533896193","703109178533896193")</f>
        <v>703109178533896193</v>
      </c>
      <c r="F1977" s="12" t="s">
        <v>20</v>
      </c>
      <c r="G1977" s="13">
        <v>258.0</v>
      </c>
      <c r="H1977" s="13">
        <v>350.0</v>
      </c>
      <c r="I1977" s="13">
        <v>1.0</v>
      </c>
      <c r="J1977" s="13">
        <v>1.0</v>
      </c>
      <c r="K1977" s="12" t="s">
        <v>21</v>
      </c>
      <c r="L1977" s="7">
        <v>40583.956724537034</v>
      </c>
      <c r="M1977" s="14" t="s">
        <v>3273</v>
      </c>
      <c r="N1977" s="14" t="s">
        <v>4228</v>
      </c>
      <c r="O1977" s="11" t="str">
        <f>HYPERLINK("https://pbs.twimg.com/profile_images/586394158463524864/4IFdYKza_normal.jpg","View")</f>
        <v>View</v>
      </c>
      <c r="P1977" s="15"/>
    </row>
    <row r="1978">
      <c r="A1978" s="7">
        <v>42425.94993055555</v>
      </c>
      <c r="B1978" s="8" t="str">
        <f>HYPERLINK("https://twitter.com/at10ti0n","@at10ti0n")</f>
        <v>@at10ti0n</v>
      </c>
      <c r="C1978" s="10" t="s">
        <v>4229</v>
      </c>
      <c r="D1978" s="10" t="s">
        <v>4211</v>
      </c>
      <c r="E1978" s="11" t="str">
        <f>HYPERLINK("https://twitter.com/at10ti0n/status/703109212591624192","703109212591624192")</f>
        <v>703109212591624192</v>
      </c>
      <c r="F1978" s="12" t="s">
        <v>52</v>
      </c>
      <c r="G1978" s="13">
        <v>202.0</v>
      </c>
      <c r="H1978" s="13">
        <v>733.0</v>
      </c>
      <c r="I1978" s="13">
        <v>55.0</v>
      </c>
      <c r="J1978" s="13">
        <v>0.0</v>
      </c>
      <c r="K1978" s="12" t="s">
        <v>21</v>
      </c>
      <c r="L1978" s="7">
        <v>39553.23841435185</v>
      </c>
      <c r="M1978" s="14" t="s">
        <v>4230</v>
      </c>
      <c r="N1978" s="14" t="s">
        <v>4231</v>
      </c>
      <c r="O1978" s="11" t="str">
        <f>HYPERLINK("https://pbs.twimg.com/profile_images/1562056098/eightbit-c9fdd6ee-6da6-4be6-bdcc-169ea87f2c92_normal.png","View")</f>
        <v>View</v>
      </c>
      <c r="P1978" s="15"/>
    </row>
    <row r="1979">
      <c r="A1979" s="7">
        <v>42425.950219907405</v>
      </c>
      <c r="B1979" s="8" t="str">
        <f>HYPERLINK("https://twitter.com/mariuskarma","@mariuskarma")</f>
        <v>@mariuskarma</v>
      </c>
      <c r="C1979" s="10" t="s">
        <v>4232</v>
      </c>
      <c r="D1979" s="10" t="s">
        <v>4233</v>
      </c>
      <c r="E1979" s="11" t="str">
        <f>HYPERLINK("https://twitter.com/mariuskarma/status/703109321207341056","703109321207341056")</f>
        <v>703109321207341056</v>
      </c>
      <c r="F1979" s="12" t="s">
        <v>103</v>
      </c>
      <c r="G1979" s="13">
        <v>2127.0</v>
      </c>
      <c r="H1979" s="13">
        <v>2101.0</v>
      </c>
      <c r="I1979" s="13">
        <v>0.0</v>
      </c>
      <c r="J1979" s="13">
        <v>0.0</v>
      </c>
      <c r="K1979" s="12" t="s">
        <v>21</v>
      </c>
      <c r="L1979" s="7">
        <v>41050.6009375</v>
      </c>
      <c r="M1979" s="14" t="s">
        <v>4234</v>
      </c>
      <c r="N1979" s="14" t="s">
        <v>4235</v>
      </c>
      <c r="O1979" s="11" t="str">
        <f>HYPERLINK("https://pbs.twimg.com/profile_images/588820751844843520/wACaBi5Z_normal.jpg","View")</f>
        <v>View</v>
      </c>
      <c r="P1979" s="15"/>
    </row>
    <row r="1980">
      <c r="A1980" s="7">
        <v>42425.950578703705</v>
      </c>
      <c r="B1980" s="8" t="str">
        <f>HYPERLINK("https://twitter.com/art_control","@art_control")</f>
        <v>@art_control</v>
      </c>
      <c r="C1980" s="10" t="s">
        <v>309</v>
      </c>
      <c r="D1980" s="10" t="s">
        <v>4236</v>
      </c>
      <c r="E1980" s="11" t="str">
        <f>HYPERLINK("https://twitter.com/art_control/status/703109449771196416","703109449771196416")</f>
        <v>703109449771196416</v>
      </c>
      <c r="F1980" s="12" t="s">
        <v>311</v>
      </c>
      <c r="G1980" s="13">
        <v>989.0</v>
      </c>
      <c r="H1980" s="13">
        <v>850.0</v>
      </c>
      <c r="I1980" s="13">
        <v>0.0</v>
      </c>
      <c r="J1980" s="13">
        <v>0.0</v>
      </c>
      <c r="K1980" s="12" t="s">
        <v>21</v>
      </c>
      <c r="L1980" s="7">
        <v>39896.869675925926</v>
      </c>
      <c r="M1980" s="14" t="s">
        <v>312</v>
      </c>
      <c r="N1980" s="14" t="s">
        <v>313</v>
      </c>
      <c r="O1980" s="11" t="str">
        <f>HYPERLINK("https://pbs.twimg.com/profile_images/649004216690675712/UAcrP6ol_normal.png","View")</f>
        <v>View</v>
      </c>
      <c r="P1980" s="15"/>
    </row>
    <row r="1981">
      <c r="A1981" s="7">
        <v>42425.95116898148</v>
      </c>
      <c r="B1981" s="8" t="str">
        <f>HYPERLINK("https://twitter.com/Pvalsfr","@Pvalsfr")</f>
        <v>@Pvalsfr</v>
      </c>
      <c r="C1981" s="10" t="s">
        <v>771</v>
      </c>
      <c r="D1981" s="10" t="s">
        <v>4237</v>
      </c>
      <c r="E1981" s="11" t="str">
        <f>HYPERLINK("https://twitter.com/Pvalsfr/status/703109661642223616","703109661642223616")</f>
        <v>703109661642223616</v>
      </c>
      <c r="F1981" s="12" t="s">
        <v>152</v>
      </c>
      <c r="G1981" s="13">
        <v>1045.0</v>
      </c>
      <c r="H1981" s="13">
        <v>1081.0</v>
      </c>
      <c r="I1981" s="13">
        <v>2.0</v>
      </c>
      <c r="J1981" s="13">
        <v>0.0</v>
      </c>
      <c r="K1981" s="12" t="s">
        <v>21</v>
      </c>
      <c r="L1981" s="7">
        <v>40867.68900462963</v>
      </c>
      <c r="M1981" s="16"/>
      <c r="N1981" s="16"/>
      <c r="O1981" s="11" t="str">
        <f>HYPERLINK("https://abs.twimg.com/sticky/default_profile_images/default_profile_4_normal.png","View")</f>
        <v>View</v>
      </c>
      <c r="P1981" s="15"/>
    </row>
    <row r="1982">
      <c r="A1982" s="7">
        <v>42425.95159722222</v>
      </c>
      <c r="B1982" s="8" t="str">
        <f>HYPERLINK("https://twitter.com/Jobs_in_Europe","@Jobs_in_Europe")</f>
        <v>@Jobs_in_Europe</v>
      </c>
      <c r="C1982" s="10" t="s">
        <v>4238</v>
      </c>
      <c r="D1982" s="10" t="s">
        <v>4239</v>
      </c>
      <c r="E1982" s="11" t="str">
        <f>HYPERLINK("https://twitter.com/Jobs_in_Europe/status/703109817351610368","703109817351610368")</f>
        <v>703109817351610368</v>
      </c>
      <c r="F1982" s="12" t="s">
        <v>659</v>
      </c>
      <c r="G1982" s="13">
        <v>2123.0</v>
      </c>
      <c r="H1982" s="13">
        <v>1334.0</v>
      </c>
      <c r="I1982" s="13">
        <v>0.0</v>
      </c>
      <c r="J1982" s="13">
        <v>0.0</v>
      </c>
      <c r="K1982" s="12" t="s">
        <v>21</v>
      </c>
      <c r="L1982" s="7">
        <v>40714.07859953704</v>
      </c>
      <c r="M1982" s="14" t="s">
        <v>1078</v>
      </c>
      <c r="N1982" s="14" t="s">
        <v>4240</v>
      </c>
      <c r="O1982" s="11" t="str">
        <f>HYPERLINK("https://pbs.twimg.com/profile_images/459621838373400576/gH2DhHXJ_normal.png","View")</f>
        <v>View</v>
      </c>
      <c r="P1982" s="15"/>
    </row>
    <row r="1983">
      <c r="A1983" s="7">
        <v>42425.95159722222</v>
      </c>
      <c r="B1983" s="8" t="str">
        <f>HYPERLINK("https://twitter.com/Lediga_Jobb_","@Lediga_Jobb_")</f>
        <v>@Lediga_Jobb_</v>
      </c>
      <c r="C1983" s="10" t="s">
        <v>4241</v>
      </c>
      <c r="D1983" s="10" t="s">
        <v>4242</v>
      </c>
      <c r="E1983" s="11" t="str">
        <f>HYPERLINK("https://twitter.com/Lediga_Jobb_/status/703109817498402816","703109817498402816")</f>
        <v>703109817498402816</v>
      </c>
      <c r="F1983" s="12" t="s">
        <v>659</v>
      </c>
      <c r="G1983" s="13">
        <v>428.0</v>
      </c>
      <c r="H1983" s="13">
        <v>562.0</v>
      </c>
      <c r="I1983" s="13">
        <v>0.0</v>
      </c>
      <c r="J1983" s="13">
        <v>0.0</v>
      </c>
      <c r="K1983" s="12" t="s">
        <v>21</v>
      </c>
      <c r="L1983" s="7">
        <v>41647.185162037036</v>
      </c>
      <c r="M1983" s="14" t="s">
        <v>1148</v>
      </c>
      <c r="N1983" s="14" t="s">
        <v>4243</v>
      </c>
      <c r="O1983" s="11" t="str">
        <f>HYPERLINK("https://pbs.twimg.com/profile_images/462162326607503361/JepGrQxX_normal.png","View")</f>
        <v>View</v>
      </c>
      <c r="P1983" s="15"/>
    </row>
    <row r="1984">
      <c r="A1984" s="7">
        <v>42425.95172453704</v>
      </c>
      <c r="B1984" s="8" t="str">
        <f>HYPERLINK("https://twitter.com/javascriptd","@javascriptd")</f>
        <v>@javascriptd</v>
      </c>
      <c r="C1984" s="10" t="s">
        <v>2655</v>
      </c>
      <c r="D1984" s="10" t="s">
        <v>4244</v>
      </c>
      <c r="E1984" s="11" t="str">
        <f>HYPERLINK("https://twitter.com/javascriptd/status/703109866101944320","703109866101944320")</f>
        <v>703109866101944320</v>
      </c>
      <c r="F1984" s="12" t="s">
        <v>2657</v>
      </c>
      <c r="G1984" s="13">
        <v>9923.0</v>
      </c>
      <c r="H1984" s="13">
        <v>5.0</v>
      </c>
      <c r="I1984" s="13">
        <v>3.0</v>
      </c>
      <c r="J1984" s="13">
        <v>0.0</v>
      </c>
      <c r="K1984" s="12" t="s">
        <v>21</v>
      </c>
      <c r="L1984" s="7">
        <v>41854.45717592593</v>
      </c>
      <c r="M1984" s="14" t="s">
        <v>2658</v>
      </c>
      <c r="N1984" s="14" t="s">
        <v>2659</v>
      </c>
      <c r="O1984" s="11" t="str">
        <f>HYPERLINK("https://pbs.twimg.com/profile_images/544034757730779136/-jOL7GnN_normal.jpeg","View")</f>
        <v>View</v>
      </c>
      <c r="P1984" s="15"/>
    </row>
    <row r="1985">
      <c r="A1985" s="7">
        <v>42425.95185185185</v>
      </c>
      <c r="B1985" s="8" t="str">
        <f>HYPERLINK("https://twitter.com/patrickdaoust15","@patrickdaoust15")</f>
        <v>@patrickdaoust15</v>
      </c>
      <c r="C1985" s="10" t="s">
        <v>4245</v>
      </c>
      <c r="D1985" s="10" t="s">
        <v>4246</v>
      </c>
      <c r="E1985" s="11" t="str">
        <f>HYPERLINK("https://twitter.com/patrickdaoust15/status/703109912021245952","703109912021245952")</f>
        <v>703109912021245952</v>
      </c>
      <c r="F1985" s="12" t="s">
        <v>103</v>
      </c>
      <c r="G1985" s="13">
        <v>1063.0</v>
      </c>
      <c r="H1985" s="13">
        <v>42.0</v>
      </c>
      <c r="I1985" s="13">
        <v>0.0</v>
      </c>
      <c r="J1985" s="13">
        <v>0.0</v>
      </c>
      <c r="K1985" s="12" t="s">
        <v>21</v>
      </c>
      <c r="L1985" s="7">
        <v>42305.105671296296</v>
      </c>
      <c r="M1985" s="14" t="s">
        <v>4247</v>
      </c>
      <c r="N1985" s="14" t="s">
        <v>4248</v>
      </c>
      <c r="O1985" s="11" t="str">
        <f>HYPERLINK("https://pbs.twimg.com/profile_images/659302970023018496/5qcf-t8I_normal.jpg","View")</f>
        <v>View</v>
      </c>
      <c r="P1985" s="15"/>
    </row>
    <row r="1986">
      <c r="A1986" s="7">
        <v>42425.952152777776</v>
      </c>
      <c r="B1986" s="8" t="str">
        <f>HYPERLINK("https://twitter.com/dmatosl","@dmatosl")</f>
        <v>@dmatosl</v>
      </c>
      <c r="C1986" s="10" t="s">
        <v>4249</v>
      </c>
      <c r="D1986" s="10" t="s">
        <v>4211</v>
      </c>
      <c r="E1986" s="11" t="str">
        <f>HYPERLINK("https://twitter.com/dmatosl/status/703110020599140353","703110020599140353")</f>
        <v>703110020599140353</v>
      </c>
      <c r="F1986" s="12" t="s">
        <v>152</v>
      </c>
      <c r="G1986" s="13">
        <v>135.0</v>
      </c>
      <c r="H1986" s="13">
        <v>330.0</v>
      </c>
      <c r="I1986" s="13">
        <v>55.0</v>
      </c>
      <c r="J1986" s="13">
        <v>0.0</v>
      </c>
      <c r="K1986" s="12" t="s">
        <v>21</v>
      </c>
      <c r="L1986" s="7">
        <v>40190.20837962963</v>
      </c>
      <c r="M1986" s="14" t="s">
        <v>1386</v>
      </c>
      <c r="N1986" s="16"/>
      <c r="O1986" s="11" t="str">
        <f>HYPERLINK("https://pbs.twimg.com/profile_images/478359632701046784/_e0zv31m_normal.jpeg","View")</f>
        <v>View</v>
      </c>
      <c r="P1986" s="15"/>
    </row>
    <row r="1987">
      <c r="A1987" s="7">
        <v>42425.95239583333</v>
      </c>
      <c r="B1987" s="8" t="str">
        <f>HYPERLINK("https://twitter.com/Will_Huang","@Will_Huang")</f>
        <v>@Will_Huang</v>
      </c>
      <c r="C1987" s="10" t="s">
        <v>4250</v>
      </c>
      <c r="D1987" s="10" t="s">
        <v>4244</v>
      </c>
      <c r="E1987" s="11" t="str">
        <f>HYPERLINK("https://twitter.com/Will_Huang/status/703110108671139840","703110108671139840")</f>
        <v>703110108671139840</v>
      </c>
      <c r="F1987" s="12" t="s">
        <v>52</v>
      </c>
      <c r="G1987" s="13">
        <v>489.0</v>
      </c>
      <c r="H1987" s="13">
        <v>366.0</v>
      </c>
      <c r="I1987" s="13">
        <v>3.0</v>
      </c>
      <c r="J1987" s="13">
        <v>0.0</v>
      </c>
      <c r="K1987" s="12" t="s">
        <v>21</v>
      </c>
      <c r="L1987" s="7">
        <v>39847.92863425926</v>
      </c>
      <c r="M1987" s="14" t="s">
        <v>4251</v>
      </c>
      <c r="N1987" s="14" t="s">
        <v>4252</v>
      </c>
      <c r="O1987" s="11" t="str">
        <f>HYPERLINK("https://pbs.twimg.com/profile_images/686177661224263681/YspPLn8V_normal.jpg","View")</f>
        <v>View</v>
      </c>
      <c r="P1987" s="15"/>
    </row>
    <row r="1988">
      <c r="A1988" s="7">
        <v>42425.952581018515</v>
      </c>
      <c r="B1988" s="8" t="str">
        <f>HYPERLINK("https://twitter.com/a153048","@a153048")</f>
        <v>@a153048</v>
      </c>
      <c r="C1988" s="10" t="s">
        <v>4253</v>
      </c>
      <c r="D1988" s="10" t="s">
        <v>1820</v>
      </c>
      <c r="E1988" s="11" t="str">
        <f>HYPERLINK("https://twitter.com/a153048/status/703110176442753025","703110176442753025")</f>
        <v>703110176442753025</v>
      </c>
      <c r="F1988" s="12" t="s">
        <v>152</v>
      </c>
      <c r="G1988" s="13">
        <v>64.0</v>
      </c>
      <c r="H1988" s="13">
        <v>229.0</v>
      </c>
      <c r="I1988" s="13">
        <v>20.0</v>
      </c>
      <c r="J1988" s="13">
        <v>0.0</v>
      </c>
      <c r="K1988" s="12" t="s">
        <v>21</v>
      </c>
      <c r="L1988" s="7">
        <v>41327.57240740741</v>
      </c>
      <c r="M1988" s="14" t="s">
        <v>4254</v>
      </c>
      <c r="N1988" s="14" t="s">
        <v>4255</v>
      </c>
      <c r="O1988" s="11" t="str">
        <f>HYPERLINK("https://pbs.twimg.com/profile_images/691662853250527233/tGK9cpm-_normal.jpg","View")</f>
        <v>View</v>
      </c>
      <c r="P1988" s="15"/>
    </row>
    <row r="1989">
      <c r="A1989" s="7">
        <v>42425.95274305556</v>
      </c>
      <c r="B1989" s="8" t="str">
        <f>HYPERLINK("https://twitter.com/javascriptd","@javascriptd")</f>
        <v>@javascriptd</v>
      </c>
      <c r="C1989" s="10" t="s">
        <v>2655</v>
      </c>
      <c r="D1989" s="10" t="s">
        <v>4256</v>
      </c>
      <c r="E1989" s="11" t="str">
        <f>HYPERLINK("https://twitter.com/javascriptd/status/703110232797360128","703110232797360128")</f>
        <v>703110232797360128</v>
      </c>
      <c r="F1989" s="12" t="s">
        <v>2657</v>
      </c>
      <c r="G1989" s="13">
        <v>9923.0</v>
      </c>
      <c r="H1989" s="13">
        <v>5.0</v>
      </c>
      <c r="I1989" s="13">
        <v>4.0</v>
      </c>
      <c r="J1989" s="13">
        <v>0.0</v>
      </c>
      <c r="K1989" s="12" t="s">
        <v>21</v>
      </c>
      <c r="L1989" s="7">
        <v>41854.45717592593</v>
      </c>
      <c r="M1989" s="14" t="s">
        <v>2658</v>
      </c>
      <c r="N1989" s="14" t="s">
        <v>2659</v>
      </c>
      <c r="O1989" s="11" t="str">
        <f>HYPERLINK("https://pbs.twimg.com/profile_images/544034757730779136/-jOL7GnN_normal.jpeg","View")</f>
        <v>View</v>
      </c>
      <c r="P1989" s="15"/>
    </row>
    <row r="1990">
      <c r="A1990" s="7">
        <v>42425.9528587963</v>
      </c>
      <c r="B1990" s="8" t="str">
        <f>HYPERLINK("https://twitter.com/VishalStudio","@VishalStudio")</f>
        <v>@VishalStudio</v>
      </c>
      <c r="C1990" s="10" t="s">
        <v>4257</v>
      </c>
      <c r="D1990" s="10" t="s">
        <v>4211</v>
      </c>
      <c r="E1990" s="11" t="str">
        <f>HYPERLINK("https://twitter.com/VishalStudio/status/703110276049055744","703110276049055744")</f>
        <v>703110276049055744</v>
      </c>
      <c r="F1990" s="12" t="s">
        <v>124</v>
      </c>
      <c r="G1990" s="13">
        <v>131.0</v>
      </c>
      <c r="H1990" s="13">
        <v>379.0</v>
      </c>
      <c r="I1990" s="13">
        <v>55.0</v>
      </c>
      <c r="J1990" s="13">
        <v>0.0</v>
      </c>
      <c r="K1990" s="12" t="s">
        <v>21</v>
      </c>
      <c r="L1990" s="7">
        <v>39590.14408564815</v>
      </c>
      <c r="M1990" s="14" t="s">
        <v>1756</v>
      </c>
      <c r="N1990" s="16"/>
      <c r="O1990" s="11" t="str">
        <f>HYPERLINK("https://pbs.twimg.com/profile_images/1716914889/VS_normal.PNG","View")</f>
        <v>View</v>
      </c>
      <c r="P1990" s="15"/>
    </row>
    <row r="1991">
      <c r="A1991" s="7">
        <v>42425.952881944446</v>
      </c>
      <c r="B1991" s="8" t="str">
        <f>HYPERLINK("https://twitter.com/stefabelle","@stefabelle")</f>
        <v>@stefabelle</v>
      </c>
      <c r="C1991" s="10" t="s">
        <v>4258</v>
      </c>
      <c r="D1991" s="10" t="s">
        <v>4259</v>
      </c>
      <c r="E1991" s="11" t="str">
        <f>HYPERLINK("https://twitter.com/stefabelle/status/703110283472953344","703110283472953344")</f>
        <v>703110283472953344</v>
      </c>
      <c r="F1991" s="12" t="s">
        <v>20</v>
      </c>
      <c r="G1991" s="13">
        <v>76.0</v>
      </c>
      <c r="H1991" s="13">
        <v>69.0</v>
      </c>
      <c r="I1991" s="13">
        <v>1.0</v>
      </c>
      <c r="J1991" s="13">
        <v>0.0</v>
      </c>
      <c r="K1991" s="12" t="s">
        <v>21</v>
      </c>
      <c r="L1991" s="7">
        <v>39935.33899305556</v>
      </c>
      <c r="M1991" s="14" t="s">
        <v>4260</v>
      </c>
      <c r="N1991" s="14" t="s">
        <v>4261</v>
      </c>
      <c r="O1991" s="11" t="str">
        <f>HYPERLINK("https://pbs.twimg.com/profile_images/696563851353952256/ThE3UxZf_normal.jpg","View")</f>
        <v>View</v>
      </c>
      <c r="P1991" s="15"/>
    </row>
    <row r="1992">
      <c r="A1992" s="7">
        <v>42425.95289351852</v>
      </c>
      <c r="B1992" s="8" t="str">
        <f t="shared" ref="B1992:B1993" si="213">HYPERLINK("https://twitter.com/artwisanggeni","@artwisanggeni")</f>
        <v>@artwisanggeni</v>
      </c>
      <c r="C1992" s="10" t="s">
        <v>74</v>
      </c>
      <c r="D1992" s="10" t="s">
        <v>4262</v>
      </c>
      <c r="E1992" s="11" t="str">
        <f>HYPERLINK("https://twitter.com/artwisanggeni/status/703110288518696962","703110288518696962")</f>
        <v>703110288518696962</v>
      </c>
      <c r="F1992" s="17" t="s">
        <v>76</v>
      </c>
      <c r="G1992" s="13">
        <v>236.0</v>
      </c>
      <c r="H1992" s="13">
        <v>61.0</v>
      </c>
      <c r="I1992" s="13">
        <v>0.0</v>
      </c>
      <c r="J1992" s="13">
        <v>0.0</v>
      </c>
      <c r="K1992" s="12" t="s">
        <v>21</v>
      </c>
      <c r="L1992" s="7">
        <v>41218.90608796296</v>
      </c>
      <c r="M1992" s="14" t="s">
        <v>77</v>
      </c>
      <c r="N1992" s="14" t="s">
        <v>78</v>
      </c>
      <c r="O1992" s="11" t="str">
        <f t="shared" ref="O1992:O1993" si="214">HYPERLINK("https://pbs.twimg.com/profile_images/2813636657/599521f69e2bc210a57323b64d8e39e6_normal.jpeg","View")</f>
        <v>View</v>
      </c>
      <c r="P1992" s="15"/>
    </row>
    <row r="1993">
      <c r="A1993" s="7">
        <v>42425.95290509259</v>
      </c>
      <c r="B1993" s="8" t="str">
        <f t="shared" si="213"/>
        <v>@artwisanggeni</v>
      </c>
      <c r="C1993" s="10" t="s">
        <v>74</v>
      </c>
      <c r="D1993" s="10" t="s">
        <v>4263</v>
      </c>
      <c r="E1993" s="11" t="str">
        <f>HYPERLINK("https://twitter.com/artwisanggeni/status/703110292427792384","703110292427792384")</f>
        <v>703110292427792384</v>
      </c>
      <c r="F1993" s="17" t="s">
        <v>76</v>
      </c>
      <c r="G1993" s="13">
        <v>236.0</v>
      </c>
      <c r="H1993" s="13">
        <v>61.0</v>
      </c>
      <c r="I1993" s="13">
        <v>0.0</v>
      </c>
      <c r="J1993" s="13">
        <v>0.0</v>
      </c>
      <c r="K1993" s="12" t="s">
        <v>21</v>
      </c>
      <c r="L1993" s="7">
        <v>41218.90608796296</v>
      </c>
      <c r="M1993" s="14" t="s">
        <v>77</v>
      </c>
      <c r="N1993" s="14" t="s">
        <v>78</v>
      </c>
      <c r="O1993" s="11" t="str">
        <f t="shared" si="214"/>
        <v>View</v>
      </c>
      <c r="P1993" s="15"/>
    </row>
    <row r="1994">
      <c r="A1994" s="7">
        <v>42425.95291666666</v>
      </c>
      <c r="B1994" s="8" t="str">
        <f>HYPERLINK("https://twitter.com/hpiedcoq","@hpiedcoq")</f>
        <v>@hpiedcoq</v>
      </c>
      <c r="C1994" s="10" t="s">
        <v>4264</v>
      </c>
      <c r="D1994" s="10" t="s">
        <v>2842</v>
      </c>
      <c r="E1994" s="11" t="str">
        <f>HYPERLINK("https://twitter.com/hpiedcoq/status/703110294675939328","703110294675939328")</f>
        <v>703110294675939328</v>
      </c>
      <c r="F1994" s="12" t="s">
        <v>52</v>
      </c>
      <c r="G1994" s="13">
        <v>929.0</v>
      </c>
      <c r="H1994" s="13">
        <v>630.0</v>
      </c>
      <c r="I1994" s="13">
        <v>8.0</v>
      </c>
      <c r="J1994" s="13">
        <v>0.0</v>
      </c>
      <c r="K1994" s="12" t="s">
        <v>21</v>
      </c>
      <c r="L1994" s="7">
        <v>40468.542604166665</v>
      </c>
      <c r="M1994" s="14" t="s">
        <v>416</v>
      </c>
      <c r="N1994" s="14" t="s">
        <v>4265</v>
      </c>
      <c r="O1994" s="11" t="str">
        <f>HYPERLINK("https://pbs.twimg.com/profile_images/664456551873257474/HTAo408v_normal.jpg","View")</f>
        <v>View</v>
      </c>
      <c r="P1994" s="15"/>
    </row>
    <row r="1995">
      <c r="A1995" s="7">
        <v>42425.95291666666</v>
      </c>
      <c r="B1995" s="8" t="str">
        <f t="shared" ref="B1995:B1998" si="215">HYPERLINK("https://twitter.com/artwisanggeni","@artwisanggeni")</f>
        <v>@artwisanggeni</v>
      </c>
      <c r="C1995" s="10" t="s">
        <v>74</v>
      </c>
      <c r="D1995" s="10" t="s">
        <v>4266</v>
      </c>
      <c r="E1995" s="11" t="str">
        <f>HYPERLINK("https://twitter.com/artwisanggeni/status/703110296383070211","703110296383070211")</f>
        <v>703110296383070211</v>
      </c>
      <c r="F1995" s="17" t="s">
        <v>76</v>
      </c>
      <c r="G1995" s="13">
        <v>236.0</v>
      </c>
      <c r="H1995" s="13">
        <v>61.0</v>
      </c>
      <c r="I1995" s="13">
        <v>0.0</v>
      </c>
      <c r="J1995" s="13">
        <v>0.0</v>
      </c>
      <c r="K1995" s="12" t="s">
        <v>21</v>
      </c>
      <c r="L1995" s="7">
        <v>41218.90608796296</v>
      </c>
      <c r="M1995" s="14" t="s">
        <v>77</v>
      </c>
      <c r="N1995" s="14" t="s">
        <v>78</v>
      </c>
      <c r="O1995" s="11" t="str">
        <f t="shared" ref="O1995:O1998" si="216">HYPERLINK("https://pbs.twimg.com/profile_images/2813636657/599521f69e2bc210a57323b64d8e39e6_normal.jpeg","View")</f>
        <v>View</v>
      </c>
      <c r="P1995" s="15"/>
    </row>
    <row r="1996">
      <c r="A1996" s="7">
        <v>42425.952928240746</v>
      </c>
      <c r="B1996" s="8" t="str">
        <f t="shared" si="215"/>
        <v>@artwisanggeni</v>
      </c>
      <c r="C1996" s="10" t="s">
        <v>74</v>
      </c>
      <c r="D1996" s="10" t="s">
        <v>4267</v>
      </c>
      <c r="E1996" s="11" t="str">
        <f>HYPERLINK("https://twitter.com/artwisanggeni/status/703110300552208384","703110300552208384")</f>
        <v>703110300552208384</v>
      </c>
      <c r="F1996" s="17" t="s">
        <v>76</v>
      </c>
      <c r="G1996" s="13">
        <v>236.0</v>
      </c>
      <c r="H1996" s="13">
        <v>61.0</v>
      </c>
      <c r="I1996" s="13">
        <v>0.0</v>
      </c>
      <c r="J1996" s="13">
        <v>0.0</v>
      </c>
      <c r="K1996" s="12" t="s">
        <v>21</v>
      </c>
      <c r="L1996" s="7">
        <v>41218.90608796296</v>
      </c>
      <c r="M1996" s="14" t="s">
        <v>77</v>
      </c>
      <c r="N1996" s="14" t="s">
        <v>78</v>
      </c>
      <c r="O1996" s="11" t="str">
        <f t="shared" si="216"/>
        <v>View</v>
      </c>
      <c r="P1996" s="15"/>
    </row>
    <row r="1997">
      <c r="A1997" s="7">
        <v>42425.952939814815</v>
      </c>
      <c r="B1997" s="8" t="str">
        <f t="shared" si="215"/>
        <v>@artwisanggeni</v>
      </c>
      <c r="C1997" s="10" t="s">
        <v>74</v>
      </c>
      <c r="D1997" s="10" t="s">
        <v>4268</v>
      </c>
      <c r="E1997" s="11" t="str">
        <f>HYPERLINK("https://twitter.com/artwisanggeni/status/703110303622385664","703110303622385664")</f>
        <v>703110303622385664</v>
      </c>
      <c r="F1997" s="17" t="s">
        <v>76</v>
      </c>
      <c r="G1997" s="13">
        <v>236.0</v>
      </c>
      <c r="H1997" s="13">
        <v>61.0</v>
      </c>
      <c r="I1997" s="13">
        <v>0.0</v>
      </c>
      <c r="J1997" s="13">
        <v>0.0</v>
      </c>
      <c r="K1997" s="12" t="s">
        <v>21</v>
      </c>
      <c r="L1997" s="7">
        <v>41218.90608796296</v>
      </c>
      <c r="M1997" s="14" t="s">
        <v>77</v>
      </c>
      <c r="N1997" s="14" t="s">
        <v>78</v>
      </c>
      <c r="O1997" s="11" t="str">
        <f t="shared" si="216"/>
        <v>View</v>
      </c>
      <c r="P1997" s="15"/>
    </row>
    <row r="1998">
      <c r="A1998" s="7">
        <v>42425.952939814815</v>
      </c>
      <c r="B1998" s="8" t="str">
        <f t="shared" si="215"/>
        <v>@artwisanggeni</v>
      </c>
      <c r="C1998" s="10" t="s">
        <v>74</v>
      </c>
      <c r="D1998" s="10" t="s">
        <v>4269</v>
      </c>
      <c r="E1998" s="11" t="str">
        <f>HYPERLINK("https://twitter.com/artwisanggeni/status/703110306826833924","703110306826833924")</f>
        <v>703110306826833924</v>
      </c>
      <c r="F1998" s="17" t="s">
        <v>76</v>
      </c>
      <c r="G1998" s="13">
        <v>236.0</v>
      </c>
      <c r="H1998" s="13">
        <v>61.0</v>
      </c>
      <c r="I1998" s="13">
        <v>0.0</v>
      </c>
      <c r="J1998" s="13">
        <v>0.0</v>
      </c>
      <c r="K1998" s="12" t="s">
        <v>21</v>
      </c>
      <c r="L1998" s="7">
        <v>41218.90608796296</v>
      </c>
      <c r="M1998" s="14" t="s">
        <v>77</v>
      </c>
      <c r="N1998" s="14" t="s">
        <v>78</v>
      </c>
      <c r="O1998" s="11" t="str">
        <f t="shared" si="216"/>
        <v>View</v>
      </c>
      <c r="P1998" s="15"/>
    </row>
    <row r="1999">
      <c r="A1999" s="7">
        <v>42425.95344907408</v>
      </c>
      <c r="B1999" s="8" t="str">
        <f>HYPERLINK("https://twitter.com/zoobab","@zoobab")</f>
        <v>@zoobab</v>
      </c>
      <c r="C1999" s="10" t="s">
        <v>4270</v>
      </c>
      <c r="D1999" s="10" t="s">
        <v>4211</v>
      </c>
      <c r="E1999" s="11" t="str">
        <f>HYPERLINK("https://twitter.com/zoobab/status/703110490600263682","703110490600263682")</f>
        <v>703110490600263682</v>
      </c>
      <c r="F1999" s="12" t="s">
        <v>152</v>
      </c>
      <c r="G1999" s="13">
        <v>665.0</v>
      </c>
      <c r="H1999" s="13">
        <v>665.0</v>
      </c>
      <c r="I1999" s="13">
        <v>55.0</v>
      </c>
      <c r="J1999" s="13">
        <v>0.0</v>
      </c>
      <c r="K1999" s="12" t="s">
        <v>21</v>
      </c>
      <c r="L1999" s="7">
        <v>39869.37939814815</v>
      </c>
      <c r="M1999" s="14" t="s">
        <v>655</v>
      </c>
      <c r="N1999" s="14" t="s">
        <v>4271</v>
      </c>
      <c r="O1999" s="11" t="str">
        <f>HYPERLINK("https://pbs.twimg.com/profile_images/251035676/ssp_normal.jpg","View")</f>
        <v>View</v>
      </c>
      <c r="P1999" s="15"/>
    </row>
    <row r="2000">
      <c r="A2000" s="7">
        <v>42425.95506944445</v>
      </c>
      <c r="B2000" s="8" t="str">
        <f>HYPERLINK("https://twitter.com/Pvalsfr","@Pvalsfr")</f>
        <v>@Pvalsfr</v>
      </c>
      <c r="C2000" s="10" t="s">
        <v>771</v>
      </c>
      <c r="D2000" s="10" t="s">
        <v>4244</v>
      </c>
      <c r="E2000" s="11" t="str">
        <f>HYPERLINK("https://twitter.com/Pvalsfr/status/703111077735731200","703111077735731200")</f>
        <v>703111077735731200</v>
      </c>
      <c r="F2000" s="12" t="s">
        <v>152</v>
      </c>
      <c r="G2000" s="13">
        <v>1045.0</v>
      </c>
      <c r="H2000" s="13">
        <v>1081.0</v>
      </c>
      <c r="I2000" s="13">
        <v>3.0</v>
      </c>
      <c r="J2000" s="13">
        <v>0.0</v>
      </c>
      <c r="K2000" s="12" t="s">
        <v>21</v>
      </c>
      <c r="L2000" s="7">
        <v>40867.68900462963</v>
      </c>
      <c r="M2000" s="16"/>
      <c r="N2000" s="16"/>
      <c r="O2000" s="11" t="str">
        <f>HYPERLINK("https://abs.twimg.com/sticky/default_profile_images/default_profile_4_normal.png","View")</f>
        <v>View</v>
      </c>
      <c r="P2000" s="15"/>
    </row>
    <row r="2001">
      <c r="A2001" s="7">
        <v>42425.955300925925</v>
      </c>
      <c r="B2001" s="8" t="str">
        <f>HYPERLINK("https://twitter.com/it_ks","@it_ks")</f>
        <v>@it_ks</v>
      </c>
      <c r="C2001" s="10" t="s">
        <v>4272</v>
      </c>
      <c r="D2001" s="10" t="s">
        <v>4273</v>
      </c>
      <c r="E2001" s="11" t="str">
        <f>HYPERLINK("https://twitter.com/it_ks/status/703111159193346049","703111159193346049")</f>
        <v>703111159193346049</v>
      </c>
      <c r="F2001" s="12" t="s">
        <v>20</v>
      </c>
      <c r="G2001" s="13">
        <v>624.0</v>
      </c>
      <c r="H2001" s="13">
        <v>646.0</v>
      </c>
      <c r="I2001" s="13">
        <v>1.0</v>
      </c>
      <c r="J2001" s="13">
        <v>0.0</v>
      </c>
      <c r="K2001" s="12" t="s">
        <v>21</v>
      </c>
      <c r="L2001" s="7">
        <v>40781.37363425926</v>
      </c>
      <c r="M2001" s="16"/>
      <c r="N2001" s="14" t="s">
        <v>4274</v>
      </c>
      <c r="O2001" s="11" t="str">
        <f>HYPERLINK("https://pbs.twimg.com/profile_images/629609781649498114/iPLQc0Gs_normal.png","View")</f>
        <v>View</v>
      </c>
      <c r="P2001" s="15"/>
    </row>
    <row r="2002">
      <c r="A2002" s="7">
        <v>42425.95582175926</v>
      </c>
      <c r="B2002" s="8" t="str">
        <f>HYPERLINK("https://twitter.com/Pvalsfr","@Pvalsfr")</f>
        <v>@Pvalsfr</v>
      </c>
      <c r="C2002" s="10" t="s">
        <v>771</v>
      </c>
      <c r="D2002" s="10" t="s">
        <v>4256</v>
      </c>
      <c r="E2002" s="11" t="str">
        <f>HYPERLINK("https://twitter.com/Pvalsfr/status/703111350969462784","703111350969462784")</f>
        <v>703111350969462784</v>
      </c>
      <c r="F2002" s="12" t="s">
        <v>152</v>
      </c>
      <c r="G2002" s="13">
        <v>1045.0</v>
      </c>
      <c r="H2002" s="13">
        <v>1081.0</v>
      </c>
      <c r="I2002" s="13">
        <v>4.0</v>
      </c>
      <c r="J2002" s="13">
        <v>0.0</v>
      </c>
      <c r="K2002" s="12" t="s">
        <v>21</v>
      </c>
      <c r="L2002" s="7">
        <v>40867.68900462963</v>
      </c>
      <c r="M2002" s="16"/>
      <c r="N2002" s="16"/>
      <c r="O2002" s="11" t="str">
        <f>HYPERLINK("https://abs.twimg.com/sticky/default_profile_images/default_profile_4_normal.png","View")</f>
        <v>View</v>
      </c>
      <c r="P2002" s="15"/>
    </row>
    <row r="2003">
      <c r="A2003" s="7">
        <v>42425.95649305556</v>
      </c>
      <c r="B2003" s="8" t="str">
        <f>HYPERLINK("https://twitter.com/mheijman","@mheijman")</f>
        <v>@mheijman</v>
      </c>
      <c r="C2003" s="10" t="s">
        <v>4275</v>
      </c>
      <c r="D2003" s="10" t="s">
        <v>1820</v>
      </c>
      <c r="E2003" s="11" t="str">
        <f>HYPERLINK("https://twitter.com/mheijman/status/703111592456515584","703111592456515584")</f>
        <v>703111592456515584</v>
      </c>
      <c r="F2003" s="12" t="s">
        <v>20</v>
      </c>
      <c r="G2003" s="13">
        <v>96.0</v>
      </c>
      <c r="H2003" s="13">
        <v>119.0</v>
      </c>
      <c r="I2003" s="13">
        <v>20.0</v>
      </c>
      <c r="J2003" s="13">
        <v>0.0</v>
      </c>
      <c r="K2003" s="12" t="s">
        <v>21</v>
      </c>
      <c r="L2003" s="7">
        <v>40207.55354166667</v>
      </c>
      <c r="M2003" s="16"/>
      <c r="N2003" s="14" t="s">
        <v>4276</v>
      </c>
      <c r="O2003" s="11" t="str">
        <f>HYPERLINK("https://pbs.twimg.com/profile_images/593138707210883072/2SpYUbcR_normal.jpg","View")</f>
        <v>View</v>
      </c>
      <c r="P2003" s="15"/>
    </row>
    <row r="2004">
      <c r="A2004" s="7">
        <v>42425.956828703704</v>
      </c>
      <c r="B2004" s="8" t="str">
        <f>HYPERLINK("https://twitter.com/HartwigMicheal","@HartwigMicheal")</f>
        <v>@HartwigMicheal</v>
      </c>
      <c r="C2004" s="10" t="s">
        <v>842</v>
      </c>
      <c r="D2004" s="10" t="s">
        <v>4277</v>
      </c>
      <c r="E2004" s="11" t="str">
        <f>HYPERLINK("https://twitter.com/HartwigMicheal/status/703111714745618432","703111714745618432")</f>
        <v>703111714745618432</v>
      </c>
      <c r="F2004" s="12" t="s">
        <v>103</v>
      </c>
      <c r="G2004" s="13">
        <v>541.0</v>
      </c>
      <c r="H2004" s="13">
        <v>830.0</v>
      </c>
      <c r="I2004" s="13">
        <v>0.0</v>
      </c>
      <c r="J2004" s="13">
        <v>0.0</v>
      </c>
      <c r="K2004" s="12" t="s">
        <v>21</v>
      </c>
      <c r="L2004" s="7">
        <v>42362.00148148148</v>
      </c>
      <c r="M2004" s="14" t="s">
        <v>844</v>
      </c>
      <c r="N2004" s="14" t="s">
        <v>845</v>
      </c>
      <c r="O2004" s="11" t="str">
        <f>HYPERLINK("https://pbs.twimg.com/profile_images/679948461953781761/pDo9356K_normal.jpg","View")</f>
        <v>View</v>
      </c>
      <c r="P2004" s="15"/>
    </row>
    <row r="2005">
      <c r="A2005" s="7">
        <v>42425.95704861111</v>
      </c>
      <c r="B2005" s="8" t="str">
        <f>HYPERLINK("https://twitter.com/Googleulv","@Googleulv")</f>
        <v>@Googleulv</v>
      </c>
      <c r="C2005" s="10" t="s">
        <v>3913</v>
      </c>
      <c r="D2005" s="10" t="s">
        <v>4237</v>
      </c>
      <c r="E2005" s="11" t="str">
        <f>HYPERLINK("https://twitter.com/Googleulv/status/703111792524812288","703111792524812288")</f>
        <v>703111792524812288</v>
      </c>
      <c r="F2005" s="12" t="s">
        <v>1573</v>
      </c>
      <c r="G2005" s="13">
        <v>1039.0</v>
      </c>
      <c r="H2005" s="13">
        <v>754.0</v>
      </c>
      <c r="I2005" s="13">
        <v>2.0</v>
      </c>
      <c r="J2005" s="13">
        <v>0.0</v>
      </c>
      <c r="K2005" s="12" t="s">
        <v>21</v>
      </c>
      <c r="L2005" s="7">
        <v>39889.612164351856</v>
      </c>
      <c r="M2005" s="14" t="s">
        <v>3914</v>
      </c>
      <c r="N2005" s="14" t="s">
        <v>3915</v>
      </c>
      <c r="O2005" s="11" t="str">
        <f>HYPERLINK("https://pbs.twimg.com/profile_images/631872006645022720/C3D_WfIt_normal.jpg","View")</f>
        <v>View</v>
      </c>
      <c r="P2005" s="15"/>
    </row>
    <row r="2006">
      <c r="A2006" s="7">
        <v>42425.95746527778</v>
      </c>
      <c r="B2006" s="8" t="str">
        <f>HYPERLINK("https://twitter.com/MTotolrahaman","@MTotolrahaman")</f>
        <v>@MTotolrahaman</v>
      </c>
      <c r="C2006" s="10" t="s">
        <v>848</v>
      </c>
      <c r="D2006" s="10" t="s">
        <v>4278</v>
      </c>
      <c r="E2006" s="11" t="str">
        <f>HYPERLINK("https://twitter.com/MTotolrahaman/status/703111945272950785","703111945272950785")</f>
        <v>703111945272950785</v>
      </c>
      <c r="F2006" s="12" t="s">
        <v>103</v>
      </c>
      <c r="G2006" s="13">
        <v>766.0</v>
      </c>
      <c r="H2006" s="13">
        <v>846.0</v>
      </c>
      <c r="I2006" s="13">
        <v>0.0</v>
      </c>
      <c r="J2006" s="13">
        <v>1.0</v>
      </c>
      <c r="K2006" s="12" t="s">
        <v>21</v>
      </c>
      <c r="L2006" s="7">
        <v>42355.250798611116</v>
      </c>
      <c r="M2006" s="14" t="s">
        <v>850</v>
      </c>
      <c r="N2006" s="14" t="s">
        <v>851</v>
      </c>
      <c r="O2006" s="11" t="str">
        <f>HYPERLINK("https://pbs.twimg.com/profile_images/677493910256484352/-EdVaVPl_normal.jpg","View")</f>
        <v>View</v>
      </c>
      <c r="P2006" s="15"/>
    </row>
    <row r="2007">
      <c r="A2007" s="7">
        <v>42425.95761574074</v>
      </c>
      <c r="B2007" s="8" t="str">
        <f>HYPERLINK("https://twitter.com/jjstevensjj","@jjstevensjj")</f>
        <v>@jjstevensjj</v>
      </c>
      <c r="C2007" s="10" t="s">
        <v>4279</v>
      </c>
      <c r="D2007" s="10" t="s">
        <v>4280</v>
      </c>
      <c r="E2007" s="11" t="str">
        <f>HYPERLINK("https://twitter.com/jjstevensjj/status/703111998553206784","703111998553206784")</f>
        <v>703111998553206784</v>
      </c>
      <c r="F2007" s="12" t="s">
        <v>103</v>
      </c>
      <c r="G2007" s="13">
        <v>812.0</v>
      </c>
      <c r="H2007" s="13">
        <v>106.0</v>
      </c>
      <c r="I2007" s="13">
        <v>0.0</v>
      </c>
      <c r="J2007" s="13">
        <v>2.0</v>
      </c>
      <c r="K2007" s="12" t="s">
        <v>21</v>
      </c>
      <c r="L2007" s="7">
        <v>41815.67344907408</v>
      </c>
      <c r="M2007" s="14" t="s">
        <v>4281</v>
      </c>
      <c r="N2007" s="14" t="s">
        <v>4282</v>
      </c>
      <c r="O2007" s="11" t="str">
        <f>HYPERLINK("https://pbs.twimg.com/profile_images/529946076200304640/mVMfNnvd_normal.jpeg","View")</f>
        <v>View</v>
      </c>
      <c r="P2007" s="15"/>
    </row>
    <row r="2008">
      <c r="A2008" s="7">
        <v>42425.95783564815</v>
      </c>
      <c r="B2008" s="8" t="str">
        <f>HYPERLINK("https://twitter.com/babarbashir","@babarbashir")</f>
        <v>@babarbashir</v>
      </c>
      <c r="C2008" s="10" t="s">
        <v>4283</v>
      </c>
      <c r="D2008" s="10" t="s">
        <v>4211</v>
      </c>
      <c r="E2008" s="11" t="str">
        <f>HYPERLINK("https://twitter.com/babarbashir/status/703112078731583488","703112078731583488")</f>
        <v>703112078731583488</v>
      </c>
      <c r="F2008" s="12" t="s">
        <v>152</v>
      </c>
      <c r="G2008" s="13">
        <v>323.0</v>
      </c>
      <c r="H2008" s="13">
        <v>1188.0</v>
      </c>
      <c r="I2008" s="13">
        <v>55.0</v>
      </c>
      <c r="J2008" s="13">
        <v>0.0</v>
      </c>
      <c r="K2008" s="12" t="s">
        <v>21</v>
      </c>
      <c r="L2008" s="7">
        <v>40099.17417824074</v>
      </c>
      <c r="M2008" s="14" t="s">
        <v>4284</v>
      </c>
      <c r="N2008" s="14" t="s">
        <v>4285</v>
      </c>
      <c r="O2008" s="11" t="str">
        <f>HYPERLINK("https://pbs.twimg.com/profile_images/1835734860/bb_normal.JPG","View")</f>
        <v>View</v>
      </c>
      <c r="P2008" s="15"/>
    </row>
    <row r="2009">
      <c r="A2009" s="7">
        <v>42425.958125000005</v>
      </c>
      <c r="B2009" s="8" t="str">
        <f>HYPERLINK("https://twitter.com/fazanki","@fazanki")</f>
        <v>@fazanki</v>
      </c>
      <c r="C2009" s="10" t="s">
        <v>4286</v>
      </c>
      <c r="D2009" s="10" t="s">
        <v>4211</v>
      </c>
      <c r="E2009" s="11" t="str">
        <f>HYPERLINK("https://twitter.com/fazanki/status/703112184520257536","703112184520257536")</f>
        <v>703112184520257536</v>
      </c>
      <c r="F2009" s="12" t="s">
        <v>20</v>
      </c>
      <c r="G2009" s="13">
        <v>297.0</v>
      </c>
      <c r="H2009" s="13">
        <v>640.0</v>
      </c>
      <c r="I2009" s="13">
        <v>55.0</v>
      </c>
      <c r="J2009" s="13">
        <v>0.0</v>
      </c>
      <c r="K2009" s="12" t="s">
        <v>21</v>
      </c>
      <c r="L2009" s="7">
        <v>39857.186956018515</v>
      </c>
      <c r="M2009" s="14" t="s">
        <v>4287</v>
      </c>
      <c r="N2009" s="14" t="s">
        <v>4288</v>
      </c>
      <c r="O2009" s="11" t="str">
        <f>HYPERLINK("https://pbs.twimg.com/profile_images/677089054731730944/8lo6q7YX_normal.jpg","View")</f>
        <v>View</v>
      </c>
      <c r="P2009" s="15"/>
    </row>
    <row r="2010">
      <c r="A2010" s="7">
        <v>42425.95841435185</v>
      </c>
      <c r="B2010" s="8" t="str">
        <f>HYPERLINK("https://twitter.com/ngkabra","@ngkabra")</f>
        <v>@ngkabra</v>
      </c>
      <c r="C2010" s="10" t="s">
        <v>4289</v>
      </c>
      <c r="D2010" s="10" t="s">
        <v>1998</v>
      </c>
      <c r="E2010" s="11" t="str">
        <f>HYPERLINK("https://twitter.com/ngkabra/status/703112289298153473","703112289298153473")</f>
        <v>703112289298153473</v>
      </c>
      <c r="F2010" s="12" t="s">
        <v>4290</v>
      </c>
      <c r="G2010" s="13">
        <v>4109.0</v>
      </c>
      <c r="H2010" s="13">
        <v>619.0</v>
      </c>
      <c r="I2010" s="13">
        <v>2.0</v>
      </c>
      <c r="J2010" s="13">
        <v>0.0</v>
      </c>
      <c r="K2010" s="12" t="s">
        <v>21</v>
      </c>
      <c r="L2010" s="7">
        <v>39260.2830787037</v>
      </c>
      <c r="M2010" s="14" t="s">
        <v>4291</v>
      </c>
      <c r="N2010" s="14" t="s">
        <v>4292</v>
      </c>
      <c r="O2010" s="11" t="str">
        <f>HYPERLINK("https://pbs.twimg.com/profile_images/808391299/navin1_normal.jpg","View")</f>
        <v>View</v>
      </c>
      <c r="P2010" s="15"/>
    </row>
    <row r="2011">
      <c r="A2011" s="7">
        <v>42425.95908564815</v>
      </c>
      <c r="B2011" s="8" t="str">
        <f>HYPERLINK("https://twitter.com/rgarcia4283","@rgarcia4283")</f>
        <v>@rgarcia4283</v>
      </c>
      <c r="C2011" s="10" t="s">
        <v>4293</v>
      </c>
      <c r="D2011" s="10" t="s">
        <v>4211</v>
      </c>
      <c r="E2011" s="11" t="str">
        <f>HYPERLINK("https://twitter.com/rgarcia4283/status/703112532261646336","703112532261646336")</f>
        <v>703112532261646336</v>
      </c>
      <c r="F2011" s="12" t="s">
        <v>52</v>
      </c>
      <c r="G2011" s="13">
        <v>376.0</v>
      </c>
      <c r="H2011" s="13">
        <v>2081.0</v>
      </c>
      <c r="I2011" s="13">
        <v>55.0</v>
      </c>
      <c r="J2011" s="13">
        <v>0.0</v>
      </c>
      <c r="K2011" s="12" t="s">
        <v>21</v>
      </c>
      <c r="L2011" s="7">
        <v>40036.55150462963</v>
      </c>
      <c r="M2011" s="14" t="s">
        <v>69</v>
      </c>
      <c r="N2011" s="14" t="s">
        <v>4294</v>
      </c>
      <c r="O2011" s="11" t="str">
        <f>HYPERLINK("https://pbs.twimg.com/profile_images/663172931887861760/k7YG-Zpv_normal.jpg","View")</f>
        <v>View</v>
      </c>
      <c r="P2011" s="15"/>
    </row>
    <row r="2012">
      <c r="A2012" s="7">
        <v>42425.95921296296</v>
      </c>
      <c r="B2012" s="8" t="str">
        <f>HYPERLINK("https://twitter.com/FreeTutsForYou","@FreeTutsForYou")</f>
        <v>@FreeTutsForYou</v>
      </c>
      <c r="C2012" s="10" t="s">
        <v>1618</v>
      </c>
      <c r="D2012" s="10" t="s">
        <v>4256</v>
      </c>
      <c r="E2012" s="11" t="str">
        <f>HYPERLINK("https://twitter.com/FreeTutsForYou/status/703112580005392384","703112580005392384")</f>
        <v>703112580005392384</v>
      </c>
      <c r="F2012" s="12" t="s">
        <v>1619</v>
      </c>
      <c r="G2012" s="13">
        <v>118.0</v>
      </c>
      <c r="H2012" s="13">
        <v>64.0</v>
      </c>
      <c r="I2012" s="13">
        <v>4.0</v>
      </c>
      <c r="J2012" s="13">
        <v>0.0</v>
      </c>
      <c r="K2012" s="12" t="s">
        <v>21</v>
      </c>
      <c r="L2012" s="7">
        <v>42352.06935185185</v>
      </c>
      <c r="M2012" s="14" t="s">
        <v>34</v>
      </c>
      <c r="N2012" s="14" t="s">
        <v>1620</v>
      </c>
      <c r="O2012" s="11" t="str">
        <f>HYPERLINK("https://pbs.twimg.com/profile_images/676343744250044416/OidH-eFp_normal.png","View")</f>
        <v>View</v>
      </c>
      <c r="P2012" s="15"/>
    </row>
    <row r="2013">
      <c r="A2013" s="7">
        <v>42425.95954861111</v>
      </c>
      <c r="B2013" s="8" t="str">
        <f>HYPERLINK("https://twitter.com/namshub","@namshub")</f>
        <v>@namshub</v>
      </c>
      <c r="C2013" s="10" t="s">
        <v>4295</v>
      </c>
      <c r="D2013" s="10" t="s">
        <v>4072</v>
      </c>
      <c r="E2013" s="11" t="str">
        <f>HYPERLINK("https://twitter.com/namshub/status/703112700440629248","703112700440629248")</f>
        <v>703112700440629248</v>
      </c>
      <c r="F2013" s="12" t="s">
        <v>52</v>
      </c>
      <c r="G2013" s="13">
        <v>46.0</v>
      </c>
      <c r="H2013" s="13">
        <v>125.0</v>
      </c>
      <c r="I2013" s="13">
        <v>4.0</v>
      </c>
      <c r="J2013" s="13">
        <v>0.0</v>
      </c>
      <c r="K2013" s="12" t="s">
        <v>21</v>
      </c>
      <c r="L2013" s="7">
        <v>41210.34685185185</v>
      </c>
      <c r="M2013" s="16"/>
      <c r="N2013" s="14" t="s">
        <v>4296</v>
      </c>
      <c r="O2013" s="11" t="str">
        <f>HYPERLINK("https://pbs.twimg.com/profile_images/3485369569/ba502ab8c3404a18a798812ed8436256_normal.jpeg","View")</f>
        <v>View</v>
      </c>
      <c r="P2013" s="15"/>
    </row>
    <row r="2014">
      <c r="A2014" s="7">
        <v>42425.960138888884</v>
      </c>
      <c r="B2014" s="8" t="str">
        <f>HYPERLINK("https://twitter.com/c_best01","@c_best01")</f>
        <v>@c_best01</v>
      </c>
      <c r="C2014" s="10" t="s">
        <v>4297</v>
      </c>
      <c r="D2014" s="10" t="s">
        <v>2945</v>
      </c>
      <c r="E2014" s="11" t="str">
        <f>HYPERLINK("https://twitter.com/c_best01/status/703112915306438656","703112915306438656")</f>
        <v>703112915306438656</v>
      </c>
      <c r="F2014" s="12" t="s">
        <v>52</v>
      </c>
      <c r="G2014" s="13">
        <v>1743.0</v>
      </c>
      <c r="H2014" s="13">
        <v>818.0</v>
      </c>
      <c r="I2014" s="13">
        <v>51.0</v>
      </c>
      <c r="J2014" s="13">
        <v>0.0</v>
      </c>
      <c r="K2014" s="12" t="s">
        <v>21</v>
      </c>
      <c r="L2014" s="7">
        <v>41505.34980324074</v>
      </c>
      <c r="M2014" s="14" t="s">
        <v>4298</v>
      </c>
      <c r="N2014" s="14" t="s">
        <v>4299</v>
      </c>
      <c r="O2014" s="11" t="str">
        <f>HYPERLINK("https://pbs.twimg.com/profile_images/696677095200727040/JDNylP2p_normal.jpg","View")</f>
        <v>View</v>
      </c>
      <c r="P2014" s="15"/>
    </row>
    <row r="2015">
      <c r="A2015" s="7">
        <v>42425.960185185184</v>
      </c>
      <c r="B2015" s="8" t="str">
        <f>HYPERLINK("https://twitter.com/giocante","@giocante")</f>
        <v>@giocante</v>
      </c>
      <c r="C2015" s="10" t="s">
        <v>4300</v>
      </c>
      <c r="D2015" s="10" t="s">
        <v>4301</v>
      </c>
      <c r="E2015" s="11" t="str">
        <f>HYPERLINK("https://twitter.com/giocante/status/703112929403473920","703112929403473920")</f>
        <v>703112929403473920</v>
      </c>
      <c r="F2015" s="12" t="s">
        <v>38</v>
      </c>
      <c r="G2015" s="13">
        <v>513.0</v>
      </c>
      <c r="H2015" s="13">
        <v>68.0</v>
      </c>
      <c r="I2015" s="13">
        <v>1.0</v>
      </c>
      <c r="J2015" s="13">
        <v>0.0</v>
      </c>
      <c r="K2015" s="12" t="s">
        <v>21</v>
      </c>
      <c r="L2015" s="7">
        <v>41996.103472222225</v>
      </c>
      <c r="M2015" s="14" t="s">
        <v>4302</v>
      </c>
      <c r="N2015" s="14" t="s">
        <v>4303</v>
      </c>
      <c r="O2015" s="11" t="str">
        <f>HYPERLINK("https://pbs.twimg.com/profile_images/547338209684758528/Kb9MNrJR_normal.png","View")</f>
        <v>View</v>
      </c>
      <c r="P2015" s="15"/>
    </row>
    <row r="2016">
      <c r="A2016" s="7">
        <v>42425.96145833333</v>
      </c>
      <c r="B2016" s="8" t="str">
        <f>HYPERLINK("https://twitter.com/py3k","@py3k")</f>
        <v>@py3k</v>
      </c>
      <c r="C2016" s="10" t="s">
        <v>297</v>
      </c>
      <c r="D2016" s="10" t="s">
        <v>4304</v>
      </c>
      <c r="E2016" s="11" t="str">
        <f>HYPERLINK("https://twitter.com/py3k/status/703113393364807681","703113393364807681")</f>
        <v>703113393364807681</v>
      </c>
      <c r="F2016" s="12" t="s">
        <v>299</v>
      </c>
      <c r="G2016" s="13">
        <v>1623.0</v>
      </c>
      <c r="H2016" s="13">
        <v>676.0</v>
      </c>
      <c r="I2016" s="13">
        <v>1.0</v>
      </c>
      <c r="J2016" s="13">
        <v>0.0</v>
      </c>
      <c r="K2016" s="12" t="s">
        <v>21</v>
      </c>
      <c r="L2016" s="7">
        <v>41096.62268518518</v>
      </c>
      <c r="M2016" s="16"/>
      <c r="N2016" s="14" t="s">
        <v>300</v>
      </c>
      <c r="O2016" s="11" t="str">
        <f>HYPERLINK("https://pbs.twimg.com/profile_images/2474433856/p075cerxh0arpea6ceip_normal.png","View")</f>
        <v>View</v>
      </c>
      <c r="P2016" s="15"/>
    </row>
    <row r="2017">
      <c r="A2017" s="7">
        <v>42425.962106481486</v>
      </c>
      <c r="B2017" s="8" t="str">
        <f>HYPERLINK("https://twitter.com/phaosady","@phaosady")</f>
        <v>@phaosady</v>
      </c>
      <c r="C2017" s="10" t="s">
        <v>4305</v>
      </c>
      <c r="D2017" s="10" t="s">
        <v>2945</v>
      </c>
      <c r="E2017" s="11" t="str">
        <f>HYPERLINK("https://twitter.com/phaosady/status/703113628682100736","703113628682100736")</f>
        <v>703113628682100736</v>
      </c>
      <c r="F2017" s="12" t="s">
        <v>52</v>
      </c>
      <c r="G2017" s="13">
        <v>1576.0</v>
      </c>
      <c r="H2017" s="13">
        <v>1197.0</v>
      </c>
      <c r="I2017" s="13">
        <v>51.0</v>
      </c>
      <c r="J2017" s="13">
        <v>0.0</v>
      </c>
      <c r="K2017" s="12" t="s">
        <v>21</v>
      </c>
      <c r="L2017" s="7">
        <v>41044.1514699074</v>
      </c>
      <c r="M2017" s="14" t="s">
        <v>4306</v>
      </c>
      <c r="N2017" s="14" t="s">
        <v>4307</v>
      </c>
      <c r="O2017" s="11" t="str">
        <f>HYPERLINK("https://pbs.twimg.com/profile_images/675670534504497152/uYIFzxIR_normal.jpg","View")</f>
        <v>View</v>
      </c>
      <c r="P2017" s="15"/>
    </row>
    <row r="2018">
      <c r="A2018" s="7">
        <v>42425.963425925926</v>
      </c>
      <c r="B2018" s="8" t="str">
        <f>HYPERLINK("https://twitter.com/samuelololol","@samuelololol")</f>
        <v>@samuelololol</v>
      </c>
      <c r="C2018" s="10" t="s">
        <v>4308</v>
      </c>
      <c r="D2018" s="10" t="s">
        <v>4211</v>
      </c>
      <c r="E2018" s="11" t="str">
        <f>HYPERLINK("https://twitter.com/samuelololol/status/703114104576167936","703114104576167936")</f>
        <v>703114104576167936</v>
      </c>
      <c r="F2018" s="12" t="s">
        <v>52</v>
      </c>
      <c r="G2018" s="13">
        <v>20.0</v>
      </c>
      <c r="H2018" s="13">
        <v>96.0</v>
      </c>
      <c r="I2018" s="13">
        <v>55.0</v>
      </c>
      <c r="J2018" s="13">
        <v>0.0</v>
      </c>
      <c r="K2018" s="12" t="s">
        <v>21</v>
      </c>
      <c r="L2018" s="7">
        <v>40251.34295138889</v>
      </c>
      <c r="M2018" s="16"/>
      <c r="N2018" s="14" t="s">
        <v>4309</v>
      </c>
      <c r="O2018" s="11" t="str">
        <f>HYPERLINK("https://pbs.twimg.com/profile_images/1264161077/idiot_laugh_normal.JPG","View")</f>
        <v>View</v>
      </c>
      <c r="P2018" s="15"/>
    </row>
    <row r="2019">
      <c r="A2019" s="7">
        <v>42425.96383101852</v>
      </c>
      <c r="B2019" s="8" t="str">
        <f>HYPERLINK("https://twitter.com/Manuel_Stoessel","@Manuel_Stoessel")</f>
        <v>@Manuel_Stoessel</v>
      </c>
      <c r="C2019" s="10" t="s">
        <v>4310</v>
      </c>
      <c r="D2019" s="10" t="s">
        <v>4211</v>
      </c>
      <c r="E2019" s="11" t="str">
        <f>HYPERLINK("https://twitter.com/Manuel_Stoessel/status/703114252941266944","703114252941266944")</f>
        <v>703114252941266944</v>
      </c>
      <c r="F2019" s="12" t="s">
        <v>152</v>
      </c>
      <c r="G2019" s="13">
        <v>48.0</v>
      </c>
      <c r="H2019" s="13">
        <v>105.0</v>
      </c>
      <c r="I2019" s="13">
        <v>55.0</v>
      </c>
      <c r="J2019" s="13">
        <v>0.0</v>
      </c>
      <c r="K2019" s="12" t="s">
        <v>21</v>
      </c>
      <c r="L2019" s="7">
        <v>41460.65898148148</v>
      </c>
      <c r="M2019" s="14" t="s">
        <v>4311</v>
      </c>
      <c r="N2019" s="14" t="s">
        <v>4312</v>
      </c>
      <c r="O2019" s="11" t="str">
        <f>HYPERLINK("https://pbs.twimg.com/profile_images/567629036684607489/jsEGs-Tp_normal.jpeg","View")</f>
        <v>View</v>
      </c>
      <c r="P2019" s="15"/>
    </row>
    <row r="2020">
      <c r="A2020" s="7">
        <v>42425.96393518518</v>
      </c>
      <c r="B2020" s="8" t="str">
        <f>HYPERLINK("https://twitter.com/muralikrishnag","@muralikrishnag")</f>
        <v>@muralikrishnag</v>
      </c>
      <c r="C2020" s="10" t="s">
        <v>4313</v>
      </c>
      <c r="D2020" s="10" t="s">
        <v>4211</v>
      </c>
      <c r="E2020" s="11" t="str">
        <f>HYPERLINK("https://twitter.com/muralikrishnag/status/703114289649848324","703114289649848324")</f>
        <v>703114289649848324</v>
      </c>
      <c r="F2020" s="12" t="s">
        <v>152</v>
      </c>
      <c r="G2020" s="13">
        <v>478.0</v>
      </c>
      <c r="H2020" s="13">
        <v>923.0</v>
      </c>
      <c r="I2020" s="13">
        <v>55.0</v>
      </c>
      <c r="J2020" s="13">
        <v>0.0</v>
      </c>
      <c r="K2020" s="12" t="s">
        <v>21</v>
      </c>
      <c r="L2020" s="7">
        <v>39987.73844907407</v>
      </c>
      <c r="M2020" s="14" t="s">
        <v>4314</v>
      </c>
      <c r="N2020" s="14" t="s">
        <v>4315</v>
      </c>
      <c r="O2020" s="11" t="str">
        <f>HYPERLINK("https://pbs.twimg.com/profile_images/2997357352/e3c3d241b2263f5ff4c36f8bcbb7820d_normal.jpeg","View")</f>
        <v>View</v>
      </c>
      <c r="P2020" s="15"/>
    </row>
    <row r="2021">
      <c r="A2021" s="7">
        <v>42425.96445601852</v>
      </c>
      <c r="B2021" s="8" t="str">
        <f>HYPERLINK("https://twitter.com/pvergain","@pvergain")</f>
        <v>@pvergain</v>
      </c>
      <c r="C2021" s="10" t="s">
        <v>878</v>
      </c>
      <c r="D2021" s="10" t="s">
        <v>4316</v>
      </c>
      <c r="E2021" s="11" t="str">
        <f>HYPERLINK("https://twitter.com/pvergain/status/703114479219834882","703114479219834882")</f>
        <v>703114479219834882</v>
      </c>
      <c r="F2021" s="12" t="s">
        <v>20</v>
      </c>
      <c r="G2021" s="13">
        <v>909.0</v>
      </c>
      <c r="H2021" s="13">
        <v>1654.0</v>
      </c>
      <c r="I2021" s="13">
        <v>1.0</v>
      </c>
      <c r="J2021" s="13">
        <v>2.0</v>
      </c>
      <c r="K2021" s="12" t="s">
        <v>21</v>
      </c>
      <c r="L2021" s="7">
        <v>40003.974375</v>
      </c>
      <c r="M2021" s="14" t="s">
        <v>879</v>
      </c>
      <c r="N2021" s="14" t="s">
        <v>880</v>
      </c>
      <c r="O2021" s="11" t="str">
        <f>HYPERLINK("https://pbs.twimg.com/profile_images/528272392766779392/5AeOFtlc_normal.jpeg","View")</f>
        <v>View</v>
      </c>
      <c r="P2021" s="15"/>
    </row>
    <row r="2022">
      <c r="A2022" s="7">
        <v>42425.96677083333</v>
      </c>
      <c r="B2022" s="8" t="str">
        <f>HYPERLINK("https://twitter.com/cool_python","@cool_python")</f>
        <v>@cool_python</v>
      </c>
      <c r="C2022" s="10" t="s">
        <v>249</v>
      </c>
      <c r="D2022" s="10" t="s">
        <v>4317</v>
      </c>
      <c r="E2022" s="11" t="str">
        <f>HYPERLINK("https://twitter.com/cool_python/status/703115317082353664","703115317082353664")</f>
        <v>703115317082353664</v>
      </c>
      <c r="F2022" s="12" t="s">
        <v>251</v>
      </c>
      <c r="G2022" s="13">
        <v>235.0</v>
      </c>
      <c r="H2022" s="13">
        <v>91.0</v>
      </c>
      <c r="I2022" s="13">
        <v>1.0</v>
      </c>
      <c r="J2022" s="13">
        <v>0.0</v>
      </c>
      <c r="K2022" s="12" t="s">
        <v>21</v>
      </c>
      <c r="L2022" s="7">
        <v>42064.325</v>
      </c>
      <c r="M2022" s="14" t="s">
        <v>252</v>
      </c>
      <c r="N2022" s="14" t="s">
        <v>253</v>
      </c>
      <c r="O2022" s="11" t="str">
        <f>HYPERLINK("https://pbs.twimg.com/profile_images/572091631055028224/Pkx__FSB_normal.png","View")</f>
        <v>View</v>
      </c>
      <c r="P2022" s="15"/>
    </row>
    <row r="2023">
      <c r="A2023" s="7">
        <v>42425.96679398148</v>
      </c>
      <c r="B2023" s="8" t="str">
        <f>HYPERLINK("https://twitter.com/Charles_JUDITH","@Charles_JUDITH")</f>
        <v>@Charles_JUDITH</v>
      </c>
      <c r="C2023" s="10" t="s">
        <v>4318</v>
      </c>
      <c r="D2023" s="10" t="s">
        <v>4211</v>
      </c>
      <c r="E2023" s="11" t="str">
        <f>HYPERLINK("https://twitter.com/Charles_JUDITH/status/703115326234300420","703115326234300420")</f>
        <v>703115326234300420</v>
      </c>
      <c r="F2023" s="12" t="s">
        <v>52</v>
      </c>
      <c r="G2023" s="13">
        <v>414.0</v>
      </c>
      <c r="H2023" s="13">
        <v>344.0</v>
      </c>
      <c r="I2023" s="13">
        <v>55.0</v>
      </c>
      <c r="J2023" s="13">
        <v>0.0</v>
      </c>
      <c r="K2023" s="12" t="s">
        <v>21</v>
      </c>
      <c r="L2023" s="7">
        <v>40502.38741898148</v>
      </c>
      <c r="M2023" s="14" t="s">
        <v>241</v>
      </c>
      <c r="N2023" s="14" t="s">
        <v>4319</v>
      </c>
      <c r="O2023" s="11" t="str">
        <f>HYPERLINK("https://pbs.twimg.com/profile_images/1764386971/cjudith_normal.jpeg","View")</f>
        <v>View</v>
      </c>
      <c r="P2023" s="15"/>
    </row>
    <row r="2024">
      <c r="A2024" s="7">
        <v>42425.96685185185</v>
      </c>
      <c r="B2024" s="8" t="str">
        <f>HYPERLINK("https://twitter.com/SlaviTweets","@SlaviTweets")</f>
        <v>@SlaviTweets</v>
      </c>
      <c r="C2024" s="10" t="s">
        <v>4320</v>
      </c>
      <c r="D2024" s="10" t="s">
        <v>3699</v>
      </c>
      <c r="E2024" s="11" t="str">
        <f>HYPERLINK("https://twitter.com/SlaviTweets/status/703115346018848768","703115346018848768")</f>
        <v>703115346018848768</v>
      </c>
      <c r="F2024" s="12" t="s">
        <v>52</v>
      </c>
      <c r="G2024" s="13">
        <v>149.0</v>
      </c>
      <c r="H2024" s="13">
        <v>163.0</v>
      </c>
      <c r="I2024" s="13">
        <v>30.0</v>
      </c>
      <c r="J2024" s="13">
        <v>0.0</v>
      </c>
      <c r="K2024" s="12" t="s">
        <v>21</v>
      </c>
      <c r="L2024" s="7">
        <v>41873.23525462963</v>
      </c>
      <c r="M2024" s="14" t="s">
        <v>489</v>
      </c>
      <c r="N2024" s="14" t="s">
        <v>4321</v>
      </c>
      <c r="O2024" s="11" t="str">
        <f>HYPERLINK("https://pbs.twimg.com/profile_images/514747664919846912/582SfV4G_normal.jpeg","View")</f>
        <v>View</v>
      </c>
      <c r="P2024" s="15"/>
    </row>
    <row r="2025">
      <c r="A2025" s="7">
        <v>42425.967303240745</v>
      </c>
      <c r="B2025" s="8" t="str">
        <f>HYPERLINK("https://twitter.com/PythonDaily","@PythonDaily")</f>
        <v>@PythonDaily</v>
      </c>
      <c r="C2025" s="10" t="s">
        <v>521</v>
      </c>
      <c r="D2025" s="10" t="s">
        <v>4322</v>
      </c>
      <c r="E2025" s="11" t="str">
        <f>HYPERLINK("https://twitter.com/PythonDaily/status/703115512037806080","703115512037806080")</f>
        <v>703115512037806080</v>
      </c>
      <c r="F2025" s="12" t="s">
        <v>521</v>
      </c>
      <c r="G2025" s="13">
        <v>3329.0</v>
      </c>
      <c r="H2025" s="13">
        <v>57.0</v>
      </c>
      <c r="I2025" s="13">
        <v>3.0</v>
      </c>
      <c r="J2025" s="13">
        <v>6.0</v>
      </c>
      <c r="K2025" s="12" t="s">
        <v>21</v>
      </c>
      <c r="L2025" s="7">
        <v>41447.56123842593</v>
      </c>
      <c r="M2025" s="16"/>
      <c r="N2025" s="14" t="s">
        <v>523</v>
      </c>
      <c r="O2025" s="11" t="str">
        <f>HYPERLINK("https://pbs.twimg.com/profile_images/378800000030851202/b6bb871a13825bae9004a9aab3a1d726_normal.jpeg","View")</f>
        <v>View</v>
      </c>
      <c r="P2025" s="15"/>
    </row>
    <row r="2026">
      <c r="A2026" s="7">
        <v>42425.96835648148</v>
      </c>
      <c r="B2026" s="8" t="str">
        <f>HYPERLINK("https://twitter.com/SlaviTweets","@SlaviTweets")</f>
        <v>@SlaviTweets</v>
      </c>
      <c r="C2026" s="10" t="s">
        <v>4320</v>
      </c>
      <c r="D2026" s="10" t="s">
        <v>1782</v>
      </c>
      <c r="E2026" s="11" t="str">
        <f>HYPERLINK("https://twitter.com/SlaviTweets/status/703115893732081664","703115893732081664")</f>
        <v>703115893732081664</v>
      </c>
      <c r="F2026" s="12" t="s">
        <v>52</v>
      </c>
      <c r="G2026" s="13">
        <v>149.0</v>
      </c>
      <c r="H2026" s="13">
        <v>163.0</v>
      </c>
      <c r="I2026" s="13">
        <v>8.0</v>
      </c>
      <c r="J2026" s="13">
        <v>0.0</v>
      </c>
      <c r="K2026" s="12" t="s">
        <v>21</v>
      </c>
      <c r="L2026" s="7">
        <v>41873.23525462963</v>
      </c>
      <c r="M2026" s="14" t="s">
        <v>489</v>
      </c>
      <c r="N2026" s="14" t="s">
        <v>4321</v>
      </c>
      <c r="O2026" s="11" t="str">
        <f>HYPERLINK("https://pbs.twimg.com/profile_images/514747664919846912/582SfV4G_normal.jpeg","View")</f>
        <v>View</v>
      </c>
      <c r="P2026" s="15"/>
    </row>
    <row r="2027">
      <c r="A2027" s="7">
        <v>42425.9684837963</v>
      </c>
      <c r="B2027" s="8" t="str">
        <f>HYPERLINK("https://twitter.com/FakeUnicode","@FakeUnicode")</f>
        <v>@FakeUnicode</v>
      </c>
      <c r="C2027" s="10" t="s">
        <v>4323</v>
      </c>
      <c r="D2027" s="10" t="s">
        <v>4324</v>
      </c>
      <c r="E2027" s="11" t="str">
        <f>HYPERLINK("https://twitter.com/FakeUnicode/status/703115939382894592","703115939382894592")</f>
        <v>703115939382894592</v>
      </c>
      <c r="F2027" s="12" t="s">
        <v>20</v>
      </c>
      <c r="G2027" s="13">
        <v>1345.0</v>
      </c>
      <c r="H2027" s="13">
        <v>1236.0</v>
      </c>
      <c r="I2027" s="13">
        <v>1.0</v>
      </c>
      <c r="J2027" s="13">
        <v>0.0</v>
      </c>
      <c r="K2027" s="12" t="s">
        <v>21</v>
      </c>
      <c r="L2027" s="7">
        <v>41586.66604166667</v>
      </c>
      <c r="M2027" s="14" t="s">
        <v>4325</v>
      </c>
      <c r="N2027" s="14" t="s">
        <v>4326</v>
      </c>
      <c r="O2027" s="11" t="str">
        <f>HYPERLINK("https://pbs.twimg.com/profile_images/685632362101657600/8koVJClI_normal.png","View")</f>
        <v>View</v>
      </c>
      <c r="P2027" s="15"/>
    </row>
    <row r="2028">
      <c r="A2028" s="7">
        <v>42425.96943287037</v>
      </c>
      <c r="B2028" s="8" t="str">
        <f>HYPERLINK("https://twitter.com/aburgool","@aburgool")</f>
        <v>@aburgool</v>
      </c>
      <c r="C2028" s="10" t="s">
        <v>4327</v>
      </c>
      <c r="D2028" s="10" t="s">
        <v>4211</v>
      </c>
      <c r="E2028" s="11" t="str">
        <f>HYPERLINK("https://twitter.com/aburgool/status/703116279775760384","703116279775760384")</f>
        <v>703116279775760384</v>
      </c>
      <c r="F2028" s="12" t="s">
        <v>20</v>
      </c>
      <c r="G2028" s="13">
        <v>79.0</v>
      </c>
      <c r="H2028" s="13">
        <v>292.0</v>
      </c>
      <c r="I2028" s="13">
        <v>55.0</v>
      </c>
      <c r="J2028" s="13">
        <v>0.0</v>
      </c>
      <c r="K2028" s="12" t="s">
        <v>21</v>
      </c>
      <c r="L2028" s="7">
        <v>39730.49030092593</v>
      </c>
      <c r="M2028" s="14" t="s">
        <v>4328</v>
      </c>
      <c r="N2028" s="14" t="s">
        <v>4329</v>
      </c>
      <c r="O2028" s="11" t="str">
        <f>HYPERLINK("https://pbs.twimg.com/profile_images/3307934126/f430733c3c365c583819174a84dc59b2_normal.jpeg","View")</f>
        <v>View</v>
      </c>
      <c r="P2028" s="15"/>
    </row>
    <row r="2029">
      <c r="A2029" s="7">
        <v>42425.97222222222</v>
      </c>
      <c r="B2029" s="8" t="str">
        <f>HYPERLINK("https://twitter.com/Redimido","@Redimido")</f>
        <v>@Redimido</v>
      </c>
      <c r="C2029" s="10" t="s">
        <v>4330</v>
      </c>
      <c r="D2029" s="10" t="s">
        <v>4211</v>
      </c>
      <c r="E2029" s="11" t="str">
        <f>HYPERLINK("https://twitter.com/Redimido/status/703117292108840965","703117292108840965")</f>
        <v>703117292108840965</v>
      </c>
      <c r="F2029" s="12" t="s">
        <v>2823</v>
      </c>
      <c r="G2029" s="13">
        <v>934.0</v>
      </c>
      <c r="H2029" s="13">
        <v>424.0</v>
      </c>
      <c r="I2029" s="13">
        <v>55.0</v>
      </c>
      <c r="J2029" s="13">
        <v>0.0</v>
      </c>
      <c r="K2029" s="12" t="s">
        <v>21</v>
      </c>
      <c r="L2029" s="7">
        <v>39185.53262731482</v>
      </c>
      <c r="M2029" s="14" t="s">
        <v>4331</v>
      </c>
      <c r="N2029" s="14" t="s">
        <v>4332</v>
      </c>
      <c r="O2029" s="11" t="str">
        <f>HYPERLINK("https://pbs.twimg.com/profile_images/646859320932483072/31k3x9iz_normal.jpg","View")</f>
        <v>View</v>
      </c>
      <c r="P2029" s="15"/>
    </row>
    <row r="2030">
      <c r="A2030" s="7">
        <v>42425.97251157407</v>
      </c>
      <c r="B2030" s="8" t="str">
        <f>HYPERLINK("https://twitter.com/orlissenberg","@orlissenberg")</f>
        <v>@orlissenberg</v>
      </c>
      <c r="C2030" s="10" t="s">
        <v>4333</v>
      </c>
      <c r="D2030" s="10" t="s">
        <v>4211</v>
      </c>
      <c r="E2030" s="11" t="str">
        <f>HYPERLINK("https://twitter.com/orlissenberg/status/703117395993317376","703117395993317376")</f>
        <v>703117395993317376</v>
      </c>
      <c r="F2030" s="12" t="s">
        <v>52</v>
      </c>
      <c r="G2030" s="13">
        <v>106.0</v>
      </c>
      <c r="H2030" s="13">
        <v>287.0</v>
      </c>
      <c r="I2030" s="13">
        <v>55.0</v>
      </c>
      <c r="J2030" s="13">
        <v>0.0</v>
      </c>
      <c r="K2030" s="12" t="s">
        <v>21</v>
      </c>
      <c r="L2030" s="7">
        <v>40031.010601851856</v>
      </c>
      <c r="M2030" s="14" t="s">
        <v>4334</v>
      </c>
      <c r="N2030" s="14" t="s">
        <v>4335</v>
      </c>
      <c r="O2030" s="11" t="str">
        <f>HYPERLINK("https://pbs.twimg.com/profile_images/547027832107307008/ouzveoDk_normal.jpeg","View")</f>
        <v>View</v>
      </c>
      <c r="P2030" s="15"/>
    </row>
    <row r="2031">
      <c r="A2031" s="7">
        <v>42425.97289351852</v>
      </c>
      <c r="B2031" s="8" t="str">
        <f>HYPERLINK("https://twitter.com/BigDataTweetBot","@BigDataTweetBot")</f>
        <v>@BigDataTweetBot</v>
      </c>
      <c r="C2031" s="10" t="s">
        <v>1440</v>
      </c>
      <c r="D2031" s="10" t="s">
        <v>4336</v>
      </c>
      <c r="E2031" s="11" t="str">
        <f>HYPERLINK("https://twitter.com/BigDataTweetBot/status/703117535546204161","703117535546204161")</f>
        <v>703117535546204161</v>
      </c>
      <c r="F2031" s="12" t="s">
        <v>1442</v>
      </c>
      <c r="G2031" s="13">
        <v>8623.0</v>
      </c>
      <c r="H2031" s="13">
        <v>243.0</v>
      </c>
      <c r="I2031" s="13">
        <v>3.0</v>
      </c>
      <c r="J2031" s="13">
        <v>0.0</v>
      </c>
      <c r="K2031" s="12" t="s">
        <v>21</v>
      </c>
      <c r="L2031" s="7">
        <v>42187.77106481481</v>
      </c>
      <c r="M2031" s="16"/>
      <c r="N2031" s="14" t="s">
        <v>1443</v>
      </c>
      <c r="O2031" s="11" t="str">
        <f>HYPERLINK("https://pbs.twimg.com/profile_images/616793252524650496/bQbxJqmz_normal.jpg","View")</f>
        <v>View</v>
      </c>
      <c r="P2031" s="15"/>
    </row>
    <row r="2032">
      <c r="A2032" s="7">
        <v>42425.973599537036</v>
      </c>
      <c r="B2032" s="8" t="str">
        <f>HYPERLINK("https://twitter.com/kefukar","@kefukar")</f>
        <v>@kefukar</v>
      </c>
      <c r="C2032" s="10" t="s">
        <v>4337</v>
      </c>
      <c r="D2032" s="10" t="s">
        <v>4338</v>
      </c>
      <c r="E2032" s="11" t="str">
        <f>HYPERLINK("https://twitter.com/kefukar/status/703117791658770432","703117791658770432")</f>
        <v>703117791658770432</v>
      </c>
      <c r="F2032" s="12" t="s">
        <v>152</v>
      </c>
      <c r="G2032" s="13">
        <v>3498.0</v>
      </c>
      <c r="H2032" s="13">
        <v>763.0</v>
      </c>
      <c r="I2032" s="13">
        <v>1.0</v>
      </c>
      <c r="J2032" s="13">
        <v>6.0</v>
      </c>
      <c r="K2032" s="12" t="s">
        <v>21</v>
      </c>
      <c r="L2032" s="7">
        <v>40381.00319444444</v>
      </c>
      <c r="M2032" s="14" t="s">
        <v>4339</v>
      </c>
      <c r="N2032" s="14" t="s">
        <v>4340</v>
      </c>
      <c r="O2032" s="11" t="str">
        <f>HYPERLINK("https://pbs.twimg.com/profile_images/521941605347893248/LLFIjOTu_normal.jpeg","View")</f>
        <v>View</v>
      </c>
      <c r="P2032" s="15"/>
    </row>
    <row r="2033">
      <c r="A2033" s="7">
        <v>42425.973657407405</v>
      </c>
      <c r="B2033" s="8" t="str">
        <f>HYPERLINK("https://twitter.com/panseybard","@panseybard")</f>
        <v>@panseybard</v>
      </c>
      <c r="C2033" s="10" t="s">
        <v>1602</v>
      </c>
      <c r="D2033" s="10" t="s">
        <v>4336</v>
      </c>
      <c r="E2033" s="11" t="str">
        <f>HYPERLINK("https://twitter.com/panseybard/status/703117813188177920","703117813188177920")</f>
        <v>703117813188177920</v>
      </c>
      <c r="F2033" s="12" t="s">
        <v>1603</v>
      </c>
      <c r="G2033" s="13">
        <v>7596.0</v>
      </c>
      <c r="H2033" s="13">
        <v>7592.0</v>
      </c>
      <c r="I2033" s="13">
        <v>3.0</v>
      </c>
      <c r="J2033" s="13">
        <v>0.0</v>
      </c>
      <c r="K2033" s="12" t="s">
        <v>21</v>
      </c>
      <c r="L2033" s="7">
        <v>41222.09909722222</v>
      </c>
      <c r="M2033" s="14" t="s">
        <v>1604</v>
      </c>
      <c r="N2033" s="14" t="s">
        <v>1605</v>
      </c>
      <c r="O2033" s="11" t="str">
        <f>HYPERLINK("https://pbs.twimg.com/profile_images/583850259970822144/7EgtHLoT_normal.jpg","View")</f>
        <v>View</v>
      </c>
      <c r="P2033" s="15"/>
    </row>
    <row r="2034">
      <c r="A2034" s="7">
        <v>42425.97460648148</v>
      </c>
      <c r="B2034" s="8" t="str">
        <f>HYPERLINK("https://twitter.com/_jobonline","@_jobonline")</f>
        <v>@_jobonline</v>
      </c>
      <c r="C2034" s="10" t="s">
        <v>3252</v>
      </c>
      <c r="D2034" s="10" t="s">
        <v>4341</v>
      </c>
      <c r="E2034" s="11" t="str">
        <f>HYPERLINK("https://twitter.com/_jobonline/status/703118157611798528","703118157611798528")</f>
        <v>703118157611798528</v>
      </c>
      <c r="F2034" s="12" t="s">
        <v>431</v>
      </c>
      <c r="G2034" s="13">
        <v>3240.0</v>
      </c>
      <c r="H2034" s="13">
        <v>235.0</v>
      </c>
      <c r="I2034" s="13">
        <v>0.0</v>
      </c>
      <c r="J2034" s="13">
        <v>0.0</v>
      </c>
      <c r="K2034" s="12" t="s">
        <v>21</v>
      </c>
      <c r="L2034" s="7">
        <v>40702.98200231481</v>
      </c>
      <c r="M2034" s="14" t="s">
        <v>432</v>
      </c>
      <c r="N2034" s="14" t="s">
        <v>3254</v>
      </c>
      <c r="O2034" s="11" t="str">
        <f>HYPERLINK("https://pbs.twimg.com/profile_images/1388526758/_jobonline_normal.jpg","View")</f>
        <v>View</v>
      </c>
      <c r="P2034" s="15"/>
    </row>
    <row r="2035">
      <c r="A2035" s="7">
        <v>42425.975115740745</v>
      </c>
      <c r="B2035" s="8" t="str">
        <f t="shared" ref="B2035:B2039" si="217">HYPERLINK("https://twitter.com/artwisanggeni","@artwisanggeni")</f>
        <v>@artwisanggeni</v>
      </c>
      <c r="C2035" s="10" t="s">
        <v>74</v>
      </c>
      <c r="D2035" s="10" t="s">
        <v>4342</v>
      </c>
      <c r="E2035" s="11" t="str">
        <f>HYPERLINK("https://twitter.com/artwisanggeni/status/703118340013723648","703118340013723648")</f>
        <v>703118340013723648</v>
      </c>
      <c r="F2035" s="17" t="s">
        <v>76</v>
      </c>
      <c r="G2035" s="13">
        <v>236.0</v>
      </c>
      <c r="H2035" s="13">
        <v>61.0</v>
      </c>
      <c r="I2035" s="13">
        <v>0.0</v>
      </c>
      <c r="J2035" s="13">
        <v>0.0</v>
      </c>
      <c r="K2035" s="12" t="s">
        <v>21</v>
      </c>
      <c r="L2035" s="7">
        <v>41218.90608796296</v>
      </c>
      <c r="M2035" s="14" t="s">
        <v>77</v>
      </c>
      <c r="N2035" s="14" t="s">
        <v>78</v>
      </c>
      <c r="O2035" s="11" t="str">
        <f t="shared" ref="O2035:O2039" si="218">HYPERLINK("https://pbs.twimg.com/profile_images/2813636657/599521f69e2bc210a57323b64d8e39e6_normal.jpeg","View")</f>
        <v>View</v>
      </c>
      <c r="P2035" s="15"/>
    </row>
    <row r="2036">
      <c r="A2036" s="7">
        <v>42425.975127314814</v>
      </c>
      <c r="B2036" s="8" t="str">
        <f t="shared" si="217"/>
        <v>@artwisanggeni</v>
      </c>
      <c r="C2036" s="10" t="s">
        <v>74</v>
      </c>
      <c r="D2036" s="10" t="s">
        <v>4343</v>
      </c>
      <c r="E2036" s="11" t="str">
        <f>HYPERLINK("https://twitter.com/artwisanggeni/status/703118343759204352","703118343759204352")</f>
        <v>703118343759204352</v>
      </c>
      <c r="F2036" s="17" t="s">
        <v>76</v>
      </c>
      <c r="G2036" s="13">
        <v>236.0</v>
      </c>
      <c r="H2036" s="13">
        <v>61.0</v>
      </c>
      <c r="I2036" s="13">
        <v>0.0</v>
      </c>
      <c r="J2036" s="13">
        <v>0.0</v>
      </c>
      <c r="K2036" s="12" t="s">
        <v>21</v>
      </c>
      <c r="L2036" s="7">
        <v>41218.90608796296</v>
      </c>
      <c r="M2036" s="14" t="s">
        <v>77</v>
      </c>
      <c r="N2036" s="14" t="s">
        <v>78</v>
      </c>
      <c r="O2036" s="11" t="str">
        <f t="shared" si="218"/>
        <v>View</v>
      </c>
      <c r="P2036" s="15"/>
    </row>
    <row r="2037">
      <c r="A2037" s="7">
        <v>42425.975127314814</v>
      </c>
      <c r="B2037" s="8" t="str">
        <f t="shared" si="217"/>
        <v>@artwisanggeni</v>
      </c>
      <c r="C2037" s="10" t="s">
        <v>74</v>
      </c>
      <c r="D2037" s="10" t="s">
        <v>4344</v>
      </c>
      <c r="E2037" s="11" t="str">
        <f>HYPERLINK("https://twitter.com/artwisanggeni/status/703118347206942725","703118347206942725")</f>
        <v>703118347206942725</v>
      </c>
      <c r="F2037" s="17" t="s">
        <v>76</v>
      </c>
      <c r="G2037" s="13">
        <v>236.0</v>
      </c>
      <c r="H2037" s="13">
        <v>61.0</v>
      </c>
      <c r="I2037" s="13">
        <v>0.0</v>
      </c>
      <c r="J2037" s="13">
        <v>0.0</v>
      </c>
      <c r="K2037" s="12" t="s">
        <v>21</v>
      </c>
      <c r="L2037" s="7">
        <v>41218.90608796296</v>
      </c>
      <c r="M2037" s="14" t="s">
        <v>77</v>
      </c>
      <c r="N2037" s="14" t="s">
        <v>78</v>
      </c>
      <c r="O2037" s="11" t="str">
        <f t="shared" si="218"/>
        <v>View</v>
      </c>
      <c r="P2037" s="15"/>
    </row>
    <row r="2038">
      <c r="A2038" s="7">
        <v>42425.97513888888</v>
      </c>
      <c r="B2038" s="8" t="str">
        <f t="shared" si="217"/>
        <v>@artwisanggeni</v>
      </c>
      <c r="C2038" s="10" t="s">
        <v>74</v>
      </c>
      <c r="D2038" s="10" t="s">
        <v>4345</v>
      </c>
      <c r="E2038" s="11" t="str">
        <f>HYPERLINK("https://twitter.com/artwisanggeni/status/703118350843408384","703118350843408384")</f>
        <v>703118350843408384</v>
      </c>
      <c r="F2038" s="17" t="s">
        <v>76</v>
      </c>
      <c r="G2038" s="13">
        <v>236.0</v>
      </c>
      <c r="H2038" s="13">
        <v>61.0</v>
      </c>
      <c r="I2038" s="13">
        <v>0.0</v>
      </c>
      <c r="J2038" s="13">
        <v>0.0</v>
      </c>
      <c r="K2038" s="12" t="s">
        <v>21</v>
      </c>
      <c r="L2038" s="7">
        <v>41218.90608796296</v>
      </c>
      <c r="M2038" s="14" t="s">
        <v>77</v>
      </c>
      <c r="N2038" s="14" t="s">
        <v>78</v>
      </c>
      <c r="O2038" s="11" t="str">
        <f t="shared" si="218"/>
        <v>View</v>
      </c>
      <c r="P2038" s="15"/>
    </row>
    <row r="2039">
      <c r="A2039" s="7">
        <v>42425.97515046297</v>
      </c>
      <c r="B2039" s="8" t="str">
        <f t="shared" si="217"/>
        <v>@artwisanggeni</v>
      </c>
      <c r="C2039" s="10" t="s">
        <v>74</v>
      </c>
      <c r="D2039" s="10" t="s">
        <v>4346</v>
      </c>
      <c r="E2039" s="11" t="str">
        <f>HYPERLINK("https://twitter.com/artwisanggeni/status/703118354341449730","703118354341449730")</f>
        <v>703118354341449730</v>
      </c>
      <c r="F2039" s="17" t="s">
        <v>76</v>
      </c>
      <c r="G2039" s="13">
        <v>236.0</v>
      </c>
      <c r="H2039" s="13">
        <v>61.0</v>
      </c>
      <c r="I2039" s="13">
        <v>0.0</v>
      </c>
      <c r="J2039" s="13">
        <v>0.0</v>
      </c>
      <c r="K2039" s="12" t="s">
        <v>21</v>
      </c>
      <c r="L2039" s="7">
        <v>41218.90608796296</v>
      </c>
      <c r="M2039" s="14" t="s">
        <v>77</v>
      </c>
      <c r="N2039" s="14" t="s">
        <v>78</v>
      </c>
      <c r="O2039" s="11" t="str">
        <f t="shared" si="218"/>
        <v>View</v>
      </c>
      <c r="P2039" s="15"/>
    </row>
    <row r="2040">
      <c r="A2040" s="7">
        <v>42425.97724537037</v>
      </c>
      <c r="B2040" s="8" t="str">
        <f>HYPERLINK("https://twitter.com/pvergain","@pvergain")</f>
        <v>@pvergain</v>
      </c>
      <c r="C2040" s="10" t="s">
        <v>878</v>
      </c>
      <c r="D2040" s="10" t="s">
        <v>4347</v>
      </c>
      <c r="E2040" s="11" t="str">
        <f>HYPERLINK("https://twitter.com/pvergain/status/703119113216880640","703119113216880640")</f>
        <v>703119113216880640</v>
      </c>
      <c r="F2040" s="12" t="s">
        <v>20</v>
      </c>
      <c r="G2040" s="13">
        <v>909.0</v>
      </c>
      <c r="H2040" s="13">
        <v>1654.0</v>
      </c>
      <c r="I2040" s="13">
        <v>0.0</v>
      </c>
      <c r="J2040" s="13">
        <v>0.0</v>
      </c>
      <c r="K2040" s="12" t="s">
        <v>21</v>
      </c>
      <c r="L2040" s="7">
        <v>40003.974375</v>
      </c>
      <c r="M2040" s="14" t="s">
        <v>879</v>
      </c>
      <c r="N2040" s="14" t="s">
        <v>880</v>
      </c>
      <c r="O2040" s="11" t="str">
        <f>HYPERLINK("https://pbs.twimg.com/profile_images/528272392766779392/5AeOFtlc_normal.jpeg","View")</f>
        <v>View</v>
      </c>
      <c r="P2040" s="15"/>
    </row>
    <row r="2041">
      <c r="A2041" s="7">
        <v>42425.97939814815</v>
      </c>
      <c r="B2041" s="8" t="str">
        <f>HYPERLINK("https://twitter.com/nicdm","@nicdm")</f>
        <v>@nicdm</v>
      </c>
      <c r="C2041" s="10" t="s">
        <v>4348</v>
      </c>
      <c r="D2041" s="10" t="s">
        <v>3867</v>
      </c>
      <c r="E2041" s="11" t="str">
        <f>HYPERLINK("https://twitter.com/nicdm/status/703119894112374785","703119894112374785")</f>
        <v>703119894112374785</v>
      </c>
      <c r="F2041" s="12" t="s">
        <v>152</v>
      </c>
      <c r="G2041" s="13">
        <v>86.0</v>
      </c>
      <c r="H2041" s="13">
        <v>90.0</v>
      </c>
      <c r="I2041" s="13">
        <v>11.0</v>
      </c>
      <c r="J2041" s="13">
        <v>0.0</v>
      </c>
      <c r="K2041" s="12" t="s">
        <v>21</v>
      </c>
      <c r="L2041" s="7">
        <v>39367.1956712963</v>
      </c>
      <c r="M2041" s="14" t="s">
        <v>4349</v>
      </c>
      <c r="N2041" s="14" t="s">
        <v>4350</v>
      </c>
      <c r="O2041" s="11" t="str">
        <f>HYPERLINK("https://pbs.twimg.com/profile_images/442044742612688896/dqE0YTBI_normal.jpeg","View")</f>
        <v>View</v>
      </c>
      <c r="P2041" s="15"/>
    </row>
    <row r="2042">
      <c r="A2042" s="7">
        <v>42425.97960648148</v>
      </c>
      <c r="B2042" s="8" t="str">
        <f>HYPERLINK("https://twitter.com/iPredictt","@iPredictt")</f>
        <v>@iPredictt</v>
      </c>
      <c r="C2042" s="10" t="s">
        <v>4351</v>
      </c>
      <c r="D2042" s="10" t="s">
        <v>4336</v>
      </c>
      <c r="E2042" s="11" t="str">
        <f>HYPERLINK("https://twitter.com/iPredictt/status/703119968569667588","703119968569667588")</f>
        <v>703119968569667588</v>
      </c>
      <c r="F2042" s="12" t="s">
        <v>20</v>
      </c>
      <c r="G2042" s="13">
        <v>474.0</v>
      </c>
      <c r="H2042" s="13">
        <v>1665.0</v>
      </c>
      <c r="I2042" s="13">
        <v>3.0</v>
      </c>
      <c r="J2042" s="13">
        <v>0.0</v>
      </c>
      <c r="K2042" s="12" t="s">
        <v>21</v>
      </c>
      <c r="L2042" s="7">
        <v>42257.100636574076</v>
      </c>
      <c r="M2042" s="14" t="s">
        <v>34</v>
      </c>
      <c r="N2042" s="14" t="s">
        <v>4352</v>
      </c>
      <c r="O2042" s="11" t="str">
        <f>HYPERLINK("https://pbs.twimg.com/profile_images/664998127364128768/8m1nUusT_normal.jpg","View")</f>
        <v>View</v>
      </c>
      <c r="P2042" s="15"/>
    </row>
    <row r="2043">
      <c r="A2043" s="7">
        <v>42425.97980324074</v>
      </c>
      <c r="B2043" s="8" t="str">
        <f>HYPERLINK("https://twitter.com/oPewmaker","@oPewmaker")</f>
        <v>@oPewmaker</v>
      </c>
      <c r="C2043" s="10" t="s">
        <v>2872</v>
      </c>
      <c r="D2043" s="10" t="s">
        <v>1570</v>
      </c>
      <c r="E2043" s="11" t="str">
        <f>HYPERLINK("https://twitter.com/oPewmaker/status/703120038190931968","703120038190931968")</f>
        <v>703120038190931968</v>
      </c>
      <c r="F2043" s="12" t="s">
        <v>152</v>
      </c>
      <c r="G2043" s="13">
        <v>53.0</v>
      </c>
      <c r="H2043" s="13">
        <v>170.0</v>
      </c>
      <c r="I2043" s="13">
        <v>3.0</v>
      </c>
      <c r="J2043" s="13">
        <v>0.0</v>
      </c>
      <c r="K2043" s="12" t="s">
        <v>21</v>
      </c>
      <c r="L2043" s="7">
        <v>40701.98983796296</v>
      </c>
      <c r="M2043" s="16"/>
      <c r="N2043" s="14" t="s">
        <v>2873</v>
      </c>
      <c r="O2043" s="11" t="str">
        <f>HYPERLINK("https://pbs.twimg.com/profile_images/491922725187756032/sZamKnBo_normal.png","View")</f>
        <v>View</v>
      </c>
      <c r="P2043" s="15"/>
    </row>
    <row r="2044">
      <c r="A2044" s="7">
        <v>42425.981724537036</v>
      </c>
      <c r="B2044" s="8" t="str">
        <f>HYPERLINK("https://twitter.com/egoktay","@egoktay")</f>
        <v>@egoktay</v>
      </c>
      <c r="C2044" s="10" t="s">
        <v>4353</v>
      </c>
      <c r="D2044" s="10" t="s">
        <v>4211</v>
      </c>
      <c r="E2044" s="11" t="str">
        <f>HYPERLINK("https://twitter.com/egoktay/status/703120736559304704","703120736559304704")</f>
        <v>703120736559304704</v>
      </c>
      <c r="F2044" s="12" t="s">
        <v>152</v>
      </c>
      <c r="G2044" s="13">
        <v>69.0</v>
      </c>
      <c r="H2044" s="13">
        <v>369.0</v>
      </c>
      <c r="I2044" s="13">
        <v>55.0</v>
      </c>
      <c r="J2044" s="13">
        <v>0.0</v>
      </c>
      <c r="K2044" s="12" t="s">
        <v>21</v>
      </c>
      <c r="L2044" s="7">
        <v>40153.57030092592</v>
      </c>
      <c r="M2044" s="14" t="s">
        <v>3023</v>
      </c>
      <c r="N2044" s="16"/>
      <c r="O2044" s="11" t="str">
        <f>HYPERLINK("https://pbs.twimg.com/profile_images/378800000016960436/96436f79161292b5b11faf6fb1753016_normal.png","View")</f>
        <v>View</v>
      </c>
      <c r="P2044" s="15"/>
    </row>
    <row r="2045">
      <c r="A2045" s="7">
        <v>42425.98180555555</v>
      </c>
      <c r="B2045" s="8" t="str">
        <f>HYPERLINK("https://twitter.com/Mikael_Furesjo","@Mikael_Furesjo")</f>
        <v>@Mikael_Furesjo</v>
      </c>
      <c r="C2045" s="10" t="s">
        <v>106</v>
      </c>
      <c r="D2045" s="10" t="s">
        <v>4354</v>
      </c>
      <c r="E2045" s="11" t="str">
        <f>HYPERLINK("https://twitter.com/Mikael_Furesjo/status/703120764338200577","703120764338200577")</f>
        <v>703120764338200577</v>
      </c>
      <c r="F2045" s="12" t="s">
        <v>108</v>
      </c>
      <c r="G2045" s="13">
        <v>3096.0</v>
      </c>
      <c r="H2045" s="13">
        <v>3192.0</v>
      </c>
      <c r="I2045" s="13">
        <v>0.0</v>
      </c>
      <c r="J2045" s="13">
        <v>0.0</v>
      </c>
      <c r="K2045" s="12" t="s">
        <v>21</v>
      </c>
      <c r="L2045" s="7">
        <v>41981.281909722224</v>
      </c>
      <c r="M2045" s="14" t="s">
        <v>109</v>
      </c>
      <c r="N2045" s="14" t="s">
        <v>110</v>
      </c>
      <c r="O2045" s="11" t="str">
        <f>HYPERLINK("https://pbs.twimg.com/profile_images/541967225691713536/sEjIUqRQ_normal.jpeg","View")</f>
        <v>View</v>
      </c>
      <c r="P2045" s="15"/>
    </row>
    <row r="2046">
      <c r="A2046" s="7">
        <v>42425.982719907406</v>
      </c>
      <c r="B2046" s="8" t="str">
        <f>HYPERLINK("https://twitter.com/QuantInsti","@QuantInsti")</f>
        <v>@QuantInsti</v>
      </c>
      <c r="C2046" s="10" t="s">
        <v>32</v>
      </c>
      <c r="D2046" s="10" t="s">
        <v>4355</v>
      </c>
      <c r="E2046" s="11" t="str">
        <f>HYPERLINK("https://twitter.com/QuantInsti/status/703121095646314498","703121095646314498")</f>
        <v>703121095646314498</v>
      </c>
      <c r="F2046" s="12" t="s">
        <v>659</v>
      </c>
      <c r="G2046" s="13">
        <v>857.0</v>
      </c>
      <c r="H2046" s="13">
        <v>657.0</v>
      </c>
      <c r="I2046" s="13">
        <v>0.0</v>
      </c>
      <c r="J2046" s="13">
        <v>0.0</v>
      </c>
      <c r="K2046" s="12" t="s">
        <v>21</v>
      </c>
      <c r="L2046" s="7">
        <v>41191.158530092594</v>
      </c>
      <c r="M2046" s="14" t="s">
        <v>34</v>
      </c>
      <c r="N2046" s="14" t="s">
        <v>35</v>
      </c>
      <c r="O2046" s="11" t="str">
        <f>HYPERLINK("https://pbs.twimg.com/profile_images/3272414315/6100aa5e267d6fc1e2e67b0782d34134_normal.jpeg","View")</f>
        <v>View</v>
      </c>
      <c r="P2046" s="15"/>
    </row>
    <row r="2047">
      <c r="A2047" s="7">
        <v>42425.984293981484</v>
      </c>
      <c r="B2047" s="8" t="str">
        <f>HYPERLINK("https://twitter.com/TheFordFiesta","@TheFordFiesta")</f>
        <v>@TheFordFiesta</v>
      </c>
      <c r="C2047" s="10" t="s">
        <v>4356</v>
      </c>
      <c r="D2047" s="10" t="s">
        <v>4357</v>
      </c>
      <c r="E2047" s="11" t="str">
        <f>HYPERLINK("https://twitter.com/TheFordFiesta/status/703121667359264769","703121667359264769")</f>
        <v>703121667359264769</v>
      </c>
      <c r="F2047" s="12" t="s">
        <v>4358</v>
      </c>
      <c r="G2047" s="13">
        <v>18.0</v>
      </c>
      <c r="H2047" s="13">
        <v>0.0</v>
      </c>
      <c r="I2047" s="13">
        <v>0.0</v>
      </c>
      <c r="J2047" s="13">
        <v>0.0</v>
      </c>
      <c r="K2047" s="12" t="s">
        <v>21</v>
      </c>
      <c r="L2047" s="7">
        <v>41248.428773148145</v>
      </c>
      <c r="M2047" s="14" t="s">
        <v>519</v>
      </c>
      <c r="N2047" s="14" t="s">
        <v>4359</v>
      </c>
      <c r="O2047" s="11" t="str">
        <f>HYPERLINK("https://pbs.twimg.com/profile_images/664943767833747458/j4aSFpnF_normal.jpg","View")</f>
        <v>View</v>
      </c>
      <c r="P2047" s="15"/>
    </row>
    <row r="2048">
      <c r="A2048" s="7">
        <v>42425.98453703704</v>
      </c>
      <c r="B2048" s="8" t="str">
        <f>HYPERLINK("https://twitter.com/ksahnine","@ksahnine")</f>
        <v>@ksahnine</v>
      </c>
      <c r="C2048" s="10" t="s">
        <v>4360</v>
      </c>
      <c r="D2048" s="10" t="s">
        <v>4211</v>
      </c>
      <c r="E2048" s="11" t="str">
        <f>HYPERLINK("https://twitter.com/ksahnine/status/703121756718936064","703121756718936064")</f>
        <v>703121756718936064</v>
      </c>
      <c r="F2048" s="12" t="s">
        <v>152</v>
      </c>
      <c r="G2048" s="13">
        <v>228.0</v>
      </c>
      <c r="H2048" s="13">
        <v>523.0</v>
      </c>
      <c r="I2048" s="13">
        <v>55.0</v>
      </c>
      <c r="J2048" s="13">
        <v>0.0</v>
      </c>
      <c r="K2048" s="12" t="s">
        <v>21</v>
      </c>
      <c r="L2048" s="7">
        <v>39713.54712962963</v>
      </c>
      <c r="M2048" s="14" t="s">
        <v>241</v>
      </c>
      <c r="N2048" s="14" t="s">
        <v>4361</v>
      </c>
      <c r="O2048" s="11" t="str">
        <f>HYPERLINK("https://pbs.twimg.com/profile_images/669075240291536896/b_jRGUPm_normal.jpg","View")</f>
        <v>View</v>
      </c>
      <c r="P2048" s="15"/>
    </row>
    <row r="2049">
      <c r="A2049" s="7">
        <v>42425.98673611111</v>
      </c>
      <c r="B2049" s="8" t="str">
        <f>HYPERLINK("https://twitter.com/a_maier56","@a_maier56")</f>
        <v>@a_maier56</v>
      </c>
      <c r="C2049" s="10" t="s">
        <v>4362</v>
      </c>
      <c r="D2049" s="10" t="s">
        <v>1820</v>
      </c>
      <c r="E2049" s="11" t="str">
        <f>HYPERLINK("https://twitter.com/a_maier56/status/703122550314782720","703122550314782720")</f>
        <v>703122550314782720</v>
      </c>
      <c r="F2049" s="12" t="s">
        <v>4363</v>
      </c>
      <c r="G2049" s="13">
        <v>66.0</v>
      </c>
      <c r="H2049" s="13">
        <v>112.0</v>
      </c>
      <c r="I2049" s="13">
        <v>20.0</v>
      </c>
      <c r="J2049" s="13">
        <v>0.0</v>
      </c>
      <c r="K2049" s="12" t="s">
        <v>21</v>
      </c>
      <c r="L2049" s="7">
        <v>40106.099282407406</v>
      </c>
      <c r="M2049" s="14" t="s">
        <v>4364</v>
      </c>
      <c r="N2049" s="14" t="s">
        <v>4365</v>
      </c>
      <c r="O2049" s="11" t="str">
        <f>HYPERLINK("https://pbs.twimg.com/profile_images/481189240/dasBlogAndi_normal.jpg","View")</f>
        <v>View</v>
      </c>
      <c r="P2049" s="15"/>
    </row>
    <row r="2050">
      <c r="A2050" s="7">
        <v>42425.987546296295</v>
      </c>
      <c r="B2050" s="8" t="str">
        <f>HYPERLINK("https://twitter.com/burhan","@burhan")</f>
        <v>@burhan</v>
      </c>
      <c r="C2050" s="10" t="s">
        <v>4366</v>
      </c>
      <c r="D2050" s="10" t="s">
        <v>4211</v>
      </c>
      <c r="E2050" s="11" t="str">
        <f>HYPERLINK("https://twitter.com/burhan/status/703122846529130496","703122846529130496")</f>
        <v>703122846529130496</v>
      </c>
      <c r="F2050" s="12" t="s">
        <v>52</v>
      </c>
      <c r="G2050" s="13">
        <v>1014.0</v>
      </c>
      <c r="H2050" s="13">
        <v>434.0</v>
      </c>
      <c r="I2050" s="13">
        <v>55.0</v>
      </c>
      <c r="J2050" s="13">
        <v>0.0</v>
      </c>
      <c r="K2050" s="12" t="s">
        <v>21</v>
      </c>
      <c r="L2050" s="7">
        <v>39176.15375</v>
      </c>
      <c r="M2050" s="14" t="s">
        <v>4367</v>
      </c>
      <c r="N2050" s="14" t="s">
        <v>4368</v>
      </c>
      <c r="O2050" s="11" t="str">
        <f>HYPERLINK("https://pbs.twimg.com/profile_images/597270741474643968/YB7cADRC_normal.jpg","View")</f>
        <v>View</v>
      </c>
      <c r="P2050" s="15"/>
    </row>
    <row r="2051">
      <c r="A2051" s="7">
        <v>42425.988854166666</v>
      </c>
      <c r="B2051" s="8" t="str">
        <f>HYPERLINK("https://twitter.com/dwimalai","@dwimalai")</f>
        <v>@dwimalai</v>
      </c>
      <c r="C2051" s="10" t="s">
        <v>4369</v>
      </c>
      <c r="D2051" s="10" t="s">
        <v>4211</v>
      </c>
      <c r="E2051" s="11" t="str">
        <f>HYPERLINK("https://twitter.com/dwimalai/status/703123319319429120","703123319319429120")</f>
        <v>703123319319429120</v>
      </c>
      <c r="F2051" s="12" t="s">
        <v>98</v>
      </c>
      <c r="G2051" s="13">
        <v>4.0</v>
      </c>
      <c r="H2051" s="13">
        <v>33.0</v>
      </c>
      <c r="I2051" s="13">
        <v>55.0</v>
      </c>
      <c r="J2051" s="13">
        <v>0.0</v>
      </c>
      <c r="K2051" s="12" t="s">
        <v>21</v>
      </c>
      <c r="L2051" s="7">
        <v>41597.41954861111</v>
      </c>
      <c r="M2051" s="16"/>
      <c r="N2051" s="16"/>
      <c r="O2051" s="11" t="str">
        <f>HYPERLINK("https://abs.twimg.com/sticky/default_profile_images/default_profile_2_normal.png","View")</f>
        <v>View</v>
      </c>
      <c r="P2051" s="15"/>
    </row>
    <row r="2052">
      <c r="A2052" s="7">
        <v>42425.9903587963</v>
      </c>
      <c r="B2052" s="8" t="str">
        <f>HYPERLINK("https://twitter.com/GetUdemyDeals","@GetUdemyDeals")</f>
        <v>@GetUdemyDeals</v>
      </c>
      <c r="C2052" s="10" t="s">
        <v>492</v>
      </c>
      <c r="D2052" s="10" t="s">
        <v>4370</v>
      </c>
      <c r="E2052" s="11" t="str">
        <f>HYPERLINK("https://twitter.com/GetUdemyDeals/status/703123866936221696","703123866936221696")</f>
        <v>703123866936221696</v>
      </c>
      <c r="F2052" s="12" t="s">
        <v>494</v>
      </c>
      <c r="G2052" s="13">
        <v>187.0</v>
      </c>
      <c r="H2052" s="13">
        <v>87.0</v>
      </c>
      <c r="I2052" s="13">
        <v>0.0</v>
      </c>
      <c r="J2052" s="13">
        <v>1.0</v>
      </c>
      <c r="K2052" s="12" t="s">
        <v>21</v>
      </c>
      <c r="L2052" s="7">
        <v>41928.48434027778</v>
      </c>
      <c r="M2052" s="14" t="s">
        <v>495</v>
      </c>
      <c r="N2052" s="14" t="s">
        <v>496</v>
      </c>
      <c r="O2052" s="11" t="str">
        <f>HYPERLINK("https://pbs.twimg.com/profile_images/523203529620484096/fzN_Plp5_normal.jpeg","View")</f>
        <v>View</v>
      </c>
      <c r="P2052" s="15"/>
    </row>
    <row r="2053">
      <c r="A2053" s="7">
        <v>42425.99046296296</v>
      </c>
      <c r="B2053" s="8" t="str">
        <f>HYPERLINK("https://twitter.com/windowsokuho","@windowsokuho")</f>
        <v>@windowsokuho</v>
      </c>
      <c r="C2053" s="10" t="s">
        <v>4371</v>
      </c>
      <c r="D2053" s="10" t="s">
        <v>4372</v>
      </c>
      <c r="E2053" s="11" t="str">
        <f>HYPERLINK("https://twitter.com/windowsokuho/status/703123903191756800","703123903191756800")</f>
        <v>703123903191756800</v>
      </c>
      <c r="F2053" s="12" t="s">
        <v>3990</v>
      </c>
      <c r="G2053" s="13">
        <v>11.0</v>
      </c>
      <c r="H2053" s="13">
        <v>10.0</v>
      </c>
      <c r="I2053" s="13">
        <v>0.0</v>
      </c>
      <c r="J2053" s="13">
        <v>0.0</v>
      </c>
      <c r="K2053" s="12" t="s">
        <v>21</v>
      </c>
      <c r="L2053" s="7">
        <v>42214.904328703706</v>
      </c>
      <c r="M2053" s="16"/>
      <c r="N2053" s="14" t="s">
        <v>4373</v>
      </c>
      <c r="O2053" s="11" t="str">
        <f>HYPERLINK("https://pbs.twimg.com/profile_images/626615183280975872/bLugsmZo_normal.png","View")</f>
        <v>View</v>
      </c>
      <c r="P2053" s="15"/>
    </row>
    <row r="2054">
      <c r="A2054" s="7">
        <v>42425.99054398148</v>
      </c>
      <c r="B2054" s="8" t="str">
        <f>HYPERLINK("https://twitter.com/assorizontal","@assorizontal")</f>
        <v>@assorizontal</v>
      </c>
      <c r="C2054" s="10" t="s">
        <v>4374</v>
      </c>
      <c r="D2054" s="10" t="s">
        <v>4375</v>
      </c>
      <c r="E2054" s="11" t="str">
        <f>HYPERLINK("https://twitter.com/assorizontal/status/703123932061106176","703123932061106176")</f>
        <v>703123932061106176</v>
      </c>
      <c r="F2054" s="12" t="s">
        <v>20</v>
      </c>
      <c r="G2054" s="13">
        <v>790.0</v>
      </c>
      <c r="H2054" s="13">
        <v>833.0</v>
      </c>
      <c r="I2054" s="13">
        <v>0.0</v>
      </c>
      <c r="J2054" s="13">
        <v>0.0</v>
      </c>
      <c r="K2054" s="12" t="s">
        <v>21</v>
      </c>
      <c r="L2054" s="7">
        <v>40781.172800925924</v>
      </c>
      <c r="M2054" s="14" t="s">
        <v>4376</v>
      </c>
      <c r="N2054" s="14" t="s">
        <v>4377</v>
      </c>
      <c r="O2054" s="11" t="str">
        <f>HYPERLINK("https://pbs.twimg.com/profile_images/664166609314037760/GZBSu2t6_normal.png","View")</f>
        <v>View</v>
      </c>
      <c r="P2054" s="15"/>
    </row>
    <row r="2055">
      <c r="A2055" s="7">
        <v>42425.9931712963</v>
      </c>
      <c r="B2055" s="8" t="str">
        <f>HYPERLINK("https://twitter.com/esvhd","@esvhd")</f>
        <v>@esvhd</v>
      </c>
      <c r="C2055" s="10" t="s">
        <v>3001</v>
      </c>
      <c r="D2055" s="10" t="s">
        <v>3699</v>
      </c>
      <c r="E2055" s="11" t="str">
        <f>HYPERLINK("https://twitter.com/esvhd/status/703124884499492864","703124884499492864")</f>
        <v>703124884499492864</v>
      </c>
      <c r="F2055" s="12" t="s">
        <v>52</v>
      </c>
      <c r="G2055" s="13">
        <v>32.0</v>
      </c>
      <c r="H2055" s="13">
        <v>198.0</v>
      </c>
      <c r="I2055" s="13">
        <v>30.0</v>
      </c>
      <c r="J2055" s="13">
        <v>0.0</v>
      </c>
      <c r="K2055" s="12" t="s">
        <v>21</v>
      </c>
      <c r="L2055" s="7">
        <v>40643.68877314815</v>
      </c>
      <c r="M2055" s="16"/>
      <c r="N2055" s="14" t="s">
        <v>3002</v>
      </c>
      <c r="O2055" s="11" t="str">
        <f>HYPERLINK("https://pbs.twimg.com/profile_images/680782859259490305/RmsOsBNy_normal.jpg","View")</f>
        <v>View</v>
      </c>
      <c r="P2055" s="15"/>
    </row>
    <row r="2056">
      <c r="A2056" s="7">
        <v>42425.99339120371</v>
      </c>
      <c r="B2056" s="8" t="str">
        <f>HYPERLINK("https://twitter.com/SiliconArmada","@SiliconArmada")</f>
        <v>@SiliconArmada</v>
      </c>
      <c r="C2056" s="10" t="s">
        <v>1285</v>
      </c>
      <c r="D2056" s="10" t="s">
        <v>4378</v>
      </c>
      <c r="E2056" s="11" t="str">
        <f>HYPERLINK("https://twitter.com/SiliconArmada/status/703124962240913408","703124962240913408")</f>
        <v>703124962240913408</v>
      </c>
      <c r="F2056" s="12" t="s">
        <v>659</v>
      </c>
      <c r="G2056" s="13">
        <v>24615.0</v>
      </c>
      <c r="H2056" s="13">
        <v>24296.0</v>
      </c>
      <c r="I2056" s="13">
        <v>1.0</v>
      </c>
      <c r="J2056" s="13">
        <v>2.0</v>
      </c>
      <c r="K2056" s="12" t="s">
        <v>21</v>
      </c>
      <c r="L2056" s="7">
        <v>41619.121203703704</v>
      </c>
      <c r="M2056" s="14" t="s">
        <v>1287</v>
      </c>
      <c r="N2056" s="14" t="s">
        <v>1288</v>
      </c>
      <c r="O2056" s="11" t="str">
        <f>HYPERLINK("https://pbs.twimg.com/profile_images/660839913970118656/5BS6sNCq_normal.png","View")</f>
        <v>View</v>
      </c>
      <c r="P2056" s="15"/>
    </row>
    <row r="2057">
      <c r="A2057" s="7">
        <v>42425.99339120371</v>
      </c>
      <c r="B2057" s="8" t="str">
        <f>HYPERLINK("https://twitter.com/Paris_TechJobs","@Paris_TechJobs")</f>
        <v>@Paris_TechJobs</v>
      </c>
      <c r="C2057" s="10" t="s">
        <v>4379</v>
      </c>
      <c r="D2057" s="10" t="s">
        <v>4380</v>
      </c>
      <c r="E2057" s="11" t="str">
        <f>HYPERLINK("https://twitter.com/Paris_TechJobs/status/703124962610024450","703124962610024450")</f>
        <v>703124962610024450</v>
      </c>
      <c r="F2057" s="12" t="s">
        <v>659</v>
      </c>
      <c r="G2057" s="13">
        <v>42.0</v>
      </c>
      <c r="H2057" s="13">
        <v>39.0</v>
      </c>
      <c r="I2057" s="13">
        <v>0.0</v>
      </c>
      <c r="J2057" s="13">
        <v>0.0</v>
      </c>
      <c r="K2057" s="12" t="s">
        <v>21</v>
      </c>
      <c r="L2057" s="7">
        <v>42396.45228009259</v>
      </c>
      <c r="M2057" s="14" t="s">
        <v>1287</v>
      </c>
      <c r="N2057" s="14" t="s">
        <v>4381</v>
      </c>
      <c r="O2057" s="11" t="str">
        <f>HYPERLINK("https://pbs.twimg.com/profile_images/692420104462700544/lzD8ftgI_normal.png","View")</f>
        <v>View</v>
      </c>
      <c r="P2057" s="15"/>
    </row>
    <row r="2058">
      <c r="A2058" s="7">
        <v>42425.99385416666</v>
      </c>
      <c r="B2058" s="8" t="str">
        <f>HYPERLINK("https://twitter.com/a_hartikainen","@a_hartikainen")</f>
        <v>@a_hartikainen</v>
      </c>
      <c r="C2058" s="10" t="s">
        <v>4382</v>
      </c>
      <c r="D2058" s="10" t="s">
        <v>3699</v>
      </c>
      <c r="E2058" s="11" t="str">
        <f>HYPERLINK("https://twitter.com/a_hartikainen/status/703125130336075776","703125130336075776")</f>
        <v>703125130336075776</v>
      </c>
      <c r="F2058" s="12" t="s">
        <v>152</v>
      </c>
      <c r="G2058" s="13">
        <v>14.0</v>
      </c>
      <c r="H2058" s="13">
        <v>96.0</v>
      </c>
      <c r="I2058" s="13">
        <v>30.0</v>
      </c>
      <c r="J2058" s="13">
        <v>0.0</v>
      </c>
      <c r="K2058" s="12" t="s">
        <v>21</v>
      </c>
      <c r="L2058" s="7">
        <v>42160.14613425926</v>
      </c>
      <c r="M2058" s="16"/>
      <c r="N2058" s="16"/>
      <c r="O2058" s="11" t="str">
        <f>HYPERLINK("https://abs.twimg.com/sticky/default_profile_images/default_profile_1_normal.png","View")</f>
        <v>View</v>
      </c>
      <c r="P2058" s="15"/>
    </row>
    <row r="2059">
      <c r="A2059" s="7">
        <v>42425.99424768519</v>
      </c>
      <c r="B2059" s="8" t="str">
        <f>HYPERLINK("https://twitter.com/MyMoano","@MyMoano")</f>
        <v>@MyMoano</v>
      </c>
      <c r="C2059" s="10" t="s">
        <v>4383</v>
      </c>
      <c r="D2059" s="10" t="s">
        <v>4211</v>
      </c>
      <c r="E2059" s="11" t="str">
        <f>HYPERLINK("https://twitter.com/MyMoano/status/703125273588334592","703125273588334592")</f>
        <v>703125273588334592</v>
      </c>
      <c r="F2059" s="12" t="s">
        <v>152</v>
      </c>
      <c r="G2059" s="13">
        <v>137.0</v>
      </c>
      <c r="H2059" s="13">
        <v>695.0</v>
      </c>
      <c r="I2059" s="13">
        <v>55.0</v>
      </c>
      <c r="J2059" s="13">
        <v>0.0</v>
      </c>
      <c r="K2059" s="12" t="s">
        <v>21</v>
      </c>
      <c r="L2059" s="7">
        <v>41315.023310185185</v>
      </c>
      <c r="M2059" s="16"/>
      <c r="N2059" s="14" t="s">
        <v>4384</v>
      </c>
      <c r="O2059" s="11" t="str">
        <f>HYPERLINK("https://pbs.twimg.com/profile_images/560084587695464448/8_l2_2Iw_normal.jpeg","View")</f>
        <v>View</v>
      </c>
      <c r="P2059" s="15"/>
    </row>
    <row r="2060">
      <c r="A2060" s="7">
        <v>42425.99434027778</v>
      </c>
      <c r="B2060" s="8" t="str">
        <f>HYPERLINK("https://twitter.com/Wroclaw2016es","@Wroclaw2016es")</f>
        <v>@Wroclaw2016es</v>
      </c>
      <c r="C2060" s="10" t="s">
        <v>4385</v>
      </c>
      <c r="D2060" s="10" t="s">
        <v>3699</v>
      </c>
      <c r="E2060" s="11" t="str">
        <f>HYPERLINK("https://twitter.com/Wroclaw2016es/status/703125306719121408","703125306719121408")</f>
        <v>703125306719121408</v>
      </c>
      <c r="F2060" s="12" t="s">
        <v>20</v>
      </c>
      <c r="G2060" s="13">
        <v>436.0</v>
      </c>
      <c r="H2060" s="13">
        <v>83.0</v>
      </c>
      <c r="I2060" s="13">
        <v>30.0</v>
      </c>
      <c r="J2060" s="13">
        <v>0.0</v>
      </c>
      <c r="K2060" s="12" t="s">
        <v>21</v>
      </c>
      <c r="L2060" s="7">
        <v>42186.14325231481</v>
      </c>
      <c r="M2060" s="14" t="s">
        <v>4386</v>
      </c>
      <c r="N2060" s="14" t="s">
        <v>4387</v>
      </c>
      <c r="O2060" s="11" t="str">
        <f>HYPERLINK("https://pbs.twimg.com/profile_images/616266655602184192/H__frPAp_normal.jpg","View")</f>
        <v>View</v>
      </c>
      <c r="P2060" s="15"/>
    </row>
    <row r="2061">
      <c r="A2061" s="7">
        <v>42425.994999999995</v>
      </c>
      <c r="B2061" s="8" t="str">
        <f>HYPERLINK("https://twitter.com/steekhutzie","@steekhutzie")</f>
        <v>@steekhutzie</v>
      </c>
      <c r="C2061" s="10" t="s">
        <v>4388</v>
      </c>
      <c r="D2061" s="10" t="s">
        <v>2602</v>
      </c>
      <c r="E2061" s="11" t="str">
        <f>HYPERLINK("https://twitter.com/steekhutzie/status/703125548243881984","703125548243881984")</f>
        <v>703125548243881984</v>
      </c>
      <c r="F2061" s="12" t="s">
        <v>52</v>
      </c>
      <c r="G2061" s="13">
        <v>90.0</v>
      </c>
      <c r="H2061" s="13">
        <v>137.0</v>
      </c>
      <c r="I2061" s="13">
        <v>3.0</v>
      </c>
      <c r="J2061" s="13">
        <v>0.0</v>
      </c>
      <c r="K2061" s="12" t="s">
        <v>21</v>
      </c>
      <c r="L2061" s="7">
        <v>39965.15460648148</v>
      </c>
      <c r="M2061" s="14" t="s">
        <v>4389</v>
      </c>
      <c r="N2061" s="14" t="s">
        <v>4390</v>
      </c>
      <c r="O2061" s="11" t="str">
        <f>HYPERLINK("https://pbs.twimg.com/profile_images/559708281556320257/iqsAQPdE_normal.png","View")</f>
        <v>View</v>
      </c>
      <c r="P2061" s="15"/>
    </row>
    <row r="2062">
      <c r="A2062" s="7">
        <v>42425.99601851852</v>
      </c>
      <c r="B2062" s="8" t="str">
        <f>HYPERLINK("https://twitter.com/n_vogel","@n_vogel")</f>
        <v>@n_vogel</v>
      </c>
      <c r="C2062" s="10" t="s">
        <v>4391</v>
      </c>
      <c r="D2062" s="10" t="s">
        <v>4392</v>
      </c>
      <c r="E2062" s="11" t="str">
        <f>HYPERLINK("https://twitter.com/n_vogel/status/703125917686583296","703125917686583296")</f>
        <v>703125917686583296</v>
      </c>
      <c r="F2062" s="12" t="s">
        <v>152</v>
      </c>
      <c r="G2062" s="13">
        <v>179.0</v>
      </c>
      <c r="H2062" s="13">
        <v>127.0</v>
      </c>
      <c r="I2062" s="13">
        <v>0.0</v>
      </c>
      <c r="J2062" s="13">
        <v>0.0</v>
      </c>
      <c r="K2062" s="12" t="s">
        <v>21</v>
      </c>
      <c r="L2062" s="7">
        <v>39934.30074074074</v>
      </c>
      <c r="M2062" s="14" t="s">
        <v>4393</v>
      </c>
      <c r="N2062" s="14" t="s">
        <v>4394</v>
      </c>
      <c r="O2062" s="11" t="str">
        <f>HYPERLINK("https://pbs.twimg.com/profile_images/460456101872275456/CkMq_Dc0_normal.jpeg","View")</f>
        <v>View</v>
      </c>
      <c r="P2062" s="15"/>
    </row>
    <row r="2063">
      <c r="A2063" s="7">
        <v>42425.99633101852</v>
      </c>
      <c r="B2063" s="8" t="str">
        <f>HYPERLINK("https://twitter.com/egmic","@egmic")</f>
        <v>@egmic</v>
      </c>
      <c r="C2063" s="10" t="s">
        <v>4395</v>
      </c>
      <c r="D2063" s="10" t="s">
        <v>4396</v>
      </c>
      <c r="E2063" s="11" t="str">
        <f>HYPERLINK("https://twitter.com/egmic/status/703126028084903936","703126028084903936")</f>
        <v>703126028084903936</v>
      </c>
      <c r="F2063" s="12" t="s">
        <v>236</v>
      </c>
      <c r="G2063" s="13">
        <v>2609.0</v>
      </c>
      <c r="H2063" s="13">
        <v>2550.0</v>
      </c>
      <c r="I2063" s="13">
        <v>0.0</v>
      </c>
      <c r="J2063" s="13">
        <v>1.0</v>
      </c>
      <c r="K2063" s="12" t="s">
        <v>21</v>
      </c>
      <c r="L2063" s="7">
        <v>40576.29082175926</v>
      </c>
      <c r="M2063" s="14" t="s">
        <v>4397</v>
      </c>
      <c r="N2063" s="14" t="s">
        <v>4398</v>
      </c>
      <c r="O2063" s="11" t="str">
        <f>HYPERLINK("https://pbs.twimg.com/profile_images/646828785883475970/mondXKTV_normal.jpg","View")</f>
        <v>View</v>
      </c>
      <c r="P2063" s="15"/>
    </row>
    <row r="2064">
      <c r="A2064" s="7">
        <v>42425.9975</v>
      </c>
      <c r="B2064" s="8" t="str">
        <f>HYPERLINK("https://twitter.com/Pvalsfr","@Pvalsfr")</f>
        <v>@Pvalsfr</v>
      </c>
      <c r="C2064" s="10" t="s">
        <v>771</v>
      </c>
      <c r="D2064" s="10" t="s">
        <v>4399</v>
      </c>
      <c r="E2064" s="11" t="str">
        <f>HYPERLINK("https://twitter.com/Pvalsfr/status/703126453701849088","703126453701849088")</f>
        <v>703126453701849088</v>
      </c>
      <c r="F2064" s="12" t="s">
        <v>152</v>
      </c>
      <c r="G2064" s="13">
        <v>1045.0</v>
      </c>
      <c r="H2064" s="13">
        <v>1081.0</v>
      </c>
      <c r="I2064" s="13">
        <v>1.0</v>
      </c>
      <c r="J2064" s="13">
        <v>0.0</v>
      </c>
      <c r="K2064" s="12" t="s">
        <v>21</v>
      </c>
      <c r="L2064" s="7">
        <v>40867.68900462963</v>
      </c>
      <c r="M2064" s="16"/>
      <c r="N2064" s="16"/>
      <c r="O2064" s="11" t="str">
        <f>HYPERLINK("https://abs.twimg.com/sticky/default_profile_images/default_profile_4_normal.png","View")</f>
        <v>View</v>
      </c>
      <c r="P2064" s="15"/>
    </row>
    <row r="2065">
      <c r="A2065" s="7">
        <v>42425.997708333336</v>
      </c>
      <c r="B2065" s="8" t="str">
        <f>HYPERLINK("https://twitter.com/pymudit","@pymudit")</f>
        <v>@pymudit</v>
      </c>
      <c r="C2065" s="10" t="s">
        <v>334</v>
      </c>
      <c r="D2065" s="10" t="s">
        <v>4400</v>
      </c>
      <c r="E2065" s="11" t="str">
        <f>HYPERLINK("https://twitter.com/pymudit/status/703126530193424384","703126530193424384")</f>
        <v>703126530193424384</v>
      </c>
      <c r="F2065" s="12" t="s">
        <v>152</v>
      </c>
      <c r="G2065" s="13">
        <v>21.0</v>
      </c>
      <c r="H2065" s="13">
        <v>86.0</v>
      </c>
      <c r="I2065" s="13">
        <v>0.0</v>
      </c>
      <c r="J2065" s="13">
        <v>1.0</v>
      </c>
      <c r="K2065" s="12" t="s">
        <v>21</v>
      </c>
      <c r="L2065" s="7">
        <v>42168.04733796296</v>
      </c>
      <c r="M2065" s="16"/>
      <c r="N2065" s="14" t="s">
        <v>336</v>
      </c>
      <c r="O2065" s="11" t="str">
        <f>HYPERLINK("https://pbs.twimg.com/profile_images/685472404039012352/b2J0JwJq_normal.jpg","View")</f>
        <v>View</v>
      </c>
      <c r="P2065" s="15"/>
    </row>
    <row r="2066">
      <c r="A2066" s="7">
        <v>42425.99802083333</v>
      </c>
      <c r="B2066" s="8" t="str">
        <f>HYPERLINK("https://twitter.com/aburgool","@aburgool")</f>
        <v>@aburgool</v>
      </c>
      <c r="C2066" s="10" t="s">
        <v>4327</v>
      </c>
      <c r="D2066" s="10" t="s">
        <v>4401</v>
      </c>
      <c r="E2066" s="11" t="str">
        <f>HYPERLINK("https://twitter.com/aburgool/status/703126641115959296","703126641115959296")</f>
        <v>703126641115959296</v>
      </c>
      <c r="F2066" s="12" t="s">
        <v>20</v>
      </c>
      <c r="G2066" s="13">
        <v>79.0</v>
      </c>
      <c r="H2066" s="13">
        <v>292.0</v>
      </c>
      <c r="I2066" s="13">
        <v>1.0</v>
      </c>
      <c r="J2066" s="13">
        <v>0.0</v>
      </c>
      <c r="K2066" s="12" t="s">
        <v>21</v>
      </c>
      <c r="L2066" s="7">
        <v>39730.49030092593</v>
      </c>
      <c r="M2066" s="14" t="s">
        <v>4328</v>
      </c>
      <c r="N2066" s="14" t="s">
        <v>4329</v>
      </c>
      <c r="O2066" s="11" t="str">
        <f>HYPERLINK("https://pbs.twimg.com/profile_images/3307934126/f430733c3c365c583819174a84dc59b2_normal.jpeg","View")</f>
        <v>View</v>
      </c>
      <c r="P2066" s="15"/>
    </row>
    <row r="2067">
      <c r="A2067" s="7">
        <v>42425.99890046296</v>
      </c>
      <c r="B2067" s="8" t="str">
        <f>HYPERLINK("https://twitter.com/SemanticEarth","@SemanticEarth")</f>
        <v>@SemanticEarth</v>
      </c>
      <c r="C2067" s="9" t="s">
        <v>4402</v>
      </c>
      <c r="D2067" s="10" t="s">
        <v>4403</v>
      </c>
      <c r="E2067" s="11" t="str">
        <f>HYPERLINK("https://twitter.com/SemanticEarth/status/703126959220355072","703126959220355072")</f>
        <v>703126959220355072</v>
      </c>
      <c r="F2067" s="12" t="s">
        <v>4404</v>
      </c>
      <c r="G2067" s="13">
        <v>18697.0</v>
      </c>
      <c r="H2067" s="13">
        <v>14413.0</v>
      </c>
      <c r="I2067" s="13">
        <v>211.0</v>
      </c>
      <c r="J2067" s="13">
        <v>0.0</v>
      </c>
      <c r="K2067" s="12" t="s">
        <v>21</v>
      </c>
      <c r="L2067" s="7">
        <v>41279.25802083333</v>
      </c>
      <c r="M2067" s="16"/>
      <c r="N2067" s="14" t="s">
        <v>4405</v>
      </c>
      <c r="O2067" s="11" t="str">
        <f>HYPERLINK("https://pbs.twimg.com/profile_images/420421411417489408/wnRKaR-C_normal.jpeg","View")</f>
        <v>View</v>
      </c>
      <c r="P2067" s="15"/>
    </row>
    <row r="2068">
      <c r="A2068" s="7">
        <v>42425.99927083333</v>
      </c>
      <c r="B2068" s="8" t="str">
        <f>HYPERLINK("https://twitter.com/QuantInsti","@QuantInsti")</f>
        <v>@QuantInsti</v>
      </c>
      <c r="C2068" s="10" t="s">
        <v>32</v>
      </c>
      <c r="D2068" s="10" t="s">
        <v>4406</v>
      </c>
      <c r="E2068" s="11" t="str">
        <f>HYPERLINK("https://twitter.com/QuantInsti/status/703127094474067968","703127094474067968")</f>
        <v>703127094474067968</v>
      </c>
      <c r="F2068" s="12" t="s">
        <v>20</v>
      </c>
      <c r="G2068" s="13">
        <v>857.0</v>
      </c>
      <c r="H2068" s="13">
        <v>657.0</v>
      </c>
      <c r="I2068" s="13">
        <v>0.0</v>
      </c>
      <c r="J2068" s="13">
        <v>1.0</v>
      </c>
      <c r="K2068" s="12" t="s">
        <v>21</v>
      </c>
      <c r="L2068" s="7">
        <v>41191.158530092594</v>
      </c>
      <c r="M2068" s="14" t="s">
        <v>34</v>
      </c>
      <c r="N2068" s="14" t="s">
        <v>35</v>
      </c>
      <c r="O2068" s="11" t="str">
        <f>HYPERLINK("https://pbs.twimg.com/profile_images/3272414315/6100aa5e267d6fc1e2e67b0782d34134_normal.jpeg","View")</f>
        <v>View</v>
      </c>
      <c r="P2068" s="15"/>
    </row>
    <row r="2069">
      <c r="A2069" s="7">
        <v>42426.0</v>
      </c>
      <c r="B2069" s="8" t="str">
        <f>HYPERLINK("https://twitter.com/creative_punch","@creative_punch")</f>
        <v>@creative_punch</v>
      </c>
      <c r="C2069" s="10" t="s">
        <v>1199</v>
      </c>
      <c r="D2069" s="10" t="s">
        <v>4407</v>
      </c>
      <c r="E2069" s="11" t="str">
        <f>HYPERLINK("https://twitter.com/creative_punch/status/703127360262942721","703127360262942721")</f>
        <v>703127360262942721</v>
      </c>
      <c r="F2069" s="12" t="s">
        <v>1199</v>
      </c>
      <c r="G2069" s="13">
        <v>1650.0</v>
      </c>
      <c r="H2069" s="13">
        <v>800.0</v>
      </c>
      <c r="I2069" s="13">
        <v>0.0</v>
      </c>
      <c r="J2069" s="13">
        <v>0.0</v>
      </c>
      <c r="K2069" s="12" t="s">
        <v>21</v>
      </c>
      <c r="L2069" s="7">
        <v>41618.38722222222</v>
      </c>
      <c r="M2069" s="16"/>
      <c r="N2069" s="14" t="s">
        <v>1201</v>
      </c>
      <c r="O2069" s="11" t="str">
        <f>HYPERLINK("https://pbs.twimg.com/profile_images/420579444982431745/j7uTAxtF_normal.png","View")</f>
        <v>View</v>
      </c>
      <c r="P2069" s="15"/>
    </row>
    <row r="2070">
      <c r="A2070" s="7">
        <v>42426.00023148148</v>
      </c>
      <c r="B2070" s="8" t="str">
        <f>HYPERLINK("https://twitter.com/therightaccess","@therightaccess")</f>
        <v>@therightaccess</v>
      </c>
      <c r="C2070" s="10" t="s">
        <v>4408</v>
      </c>
      <c r="D2070" s="10" t="s">
        <v>4409</v>
      </c>
      <c r="E2070" s="11" t="str">
        <f>HYPERLINK("https://twitter.com/therightaccess/status/703127444576841728","703127444576841728")</f>
        <v>703127444576841728</v>
      </c>
      <c r="F2070" s="12" t="s">
        <v>659</v>
      </c>
      <c r="G2070" s="13">
        <v>930.0</v>
      </c>
      <c r="H2070" s="13">
        <v>1281.0</v>
      </c>
      <c r="I2070" s="13">
        <v>0.0</v>
      </c>
      <c r="J2070" s="13">
        <v>0.0</v>
      </c>
      <c r="K2070" s="12" t="s">
        <v>21</v>
      </c>
      <c r="L2070" s="7">
        <v>41948.26872685185</v>
      </c>
      <c r="M2070" s="16"/>
      <c r="N2070" s="16"/>
      <c r="O2070" s="11" t="str">
        <f>HYPERLINK("https://pbs.twimg.com/profile_images/530003878079512579/1bhqJpwb_normal.jpeg","View")</f>
        <v>View</v>
      </c>
      <c r="P2070" s="15"/>
    </row>
    <row r="2071">
      <c r="A2071" s="7">
        <v>42426.000868055555</v>
      </c>
      <c r="B2071" s="8" t="str">
        <f>HYPERLINK("https://twitter.com/GanarConRedes","@GanarConRedes")</f>
        <v>@GanarConRedes</v>
      </c>
      <c r="C2071" s="9" t="s">
        <v>4410</v>
      </c>
      <c r="D2071" s="10" t="s">
        <v>4411</v>
      </c>
      <c r="E2071" s="11" t="str">
        <f>HYPERLINK("https://twitter.com/GanarConRedes/status/703127672189157376","703127672189157376")</f>
        <v>703127672189157376</v>
      </c>
      <c r="F2071" s="17" t="s">
        <v>76</v>
      </c>
      <c r="G2071" s="13">
        <v>12675.0</v>
      </c>
      <c r="H2071" s="13">
        <v>10107.0</v>
      </c>
      <c r="I2071" s="13">
        <v>0.0</v>
      </c>
      <c r="J2071" s="13">
        <v>0.0</v>
      </c>
      <c r="K2071" s="12" t="s">
        <v>21</v>
      </c>
      <c r="L2071" s="7">
        <v>41291.49563657407</v>
      </c>
      <c r="M2071" s="14" t="s">
        <v>4412</v>
      </c>
      <c r="N2071" s="14" t="s">
        <v>4413</v>
      </c>
      <c r="O2071" s="11" t="str">
        <f>HYPERLINK("https://pbs.twimg.com/profile_images/426031337540055040/fLEIarFv_normal.png","View")</f>
        <v>View</v>
      </c>
      <c r="P2071" s="15"/>
    </row>
    <row r="2072">
      <c r="A2072" s="7">
        <v>42426.00175925926</v>
      </c>
      <c r="B2072" s="8" t="str">
        <f>HYPERLINK("https://twitter.com/AutoEmpleo24","@AutoEmpleo24")</f>
        <v>@AutoEmpleo24</v>
      </c>
      <c r="C2072" s="10" t="s">
        <v>4414</v>
      </c>
      <c r="D2072" s="10" t="s">
        <v>4415</v>
      </c>
      <c r="E2072" s="11" t="str">
        <f>HYPERLINK("https://twitter.com/AutoEmpleo24/status/703127996584951808","703127996584951808")</f>
        <v>703127996584951808</v>
      </c>
      <c r="F2072" s="12" t="s">
        <v>236</v>
      </c>
      <c r="G2072" s="13">
        <v>1115.0</v>
      </c>
      <c r="H2072" s="13">
        <v>58.0</v>
      </c>
      <c r="I2072" s="13">
        <v>0.0</v>
      </c>
      <c r="J2072" s="13">
        <v>1.0</v>
      </c>
      <c r="K2072" s="12" t="s">
        <v>21</v>
      </c>
      <c r="L2072" s="7">
        <v>41494.241122685184</v>
      </c>
      <c r="M2072" s="16"/>
      <c r="N2072" s="14" t="s">
        <v>4416</v>
      </c>
      <c r="O2072" s="11" t="str">
        <f>HYPERLINK("https://pbs.twimg.com/profile_images/378800000259858613/ccf5cb5dca2b11faff85533dc7d88624_normal.png","View")</f>
        <v>View</v>
      </c>
      <c r="P2072" s="15"/>
    </row>
    <row r="2073">
      <c r="A2073" s="7">
        <v>42426.00270833333</v>
      </c>
      <c r="B2073" s="8" t="str">
        <f>HYPERLINK("https://twitter.com/ManAHLTech","@ManAHLTech")</f>
        <v>@ManAHLTech</v>
      </c>
      <c r="C2073" s="10" t="s">
        <v>2032</v>
      </c>
      <c r="D2073" s="10" t="s">
        <v>3699</v>
      </c>
      <c r="E2073" s="11" t="str">
        <f>HYPERLINK("https://twitter.com/ManAHLTech/status/703128341713285121","703128341713285121")</f>
        <v>703128341713285121</v>
      </c>
      <c r="F2073" s="12" t="s">
        <v>659</v>
      </c>
      <c r="G2073" s="13">
        <v>500.0</v>
      </c>
      <c r="H2073" s="13">
        <v>248.0</v>
      </c>
      <c r="I2073" s="13">
        <v>30.0</v>
      </c>
      <c r="J2073" s="13">
        <v>0.0</v>
      </c>
      <c r="K2073" s="12" t="s">
        <v>21</v>
      </c>
      <c r="L2073" s="7">
        <v>42142.32065972222</v>
      </c>
      <c r="M2073" s="14" t="s">
        <v>2034</v>
      </c>
      <c r="N2073" s="14" t="s">
        <v>2035</v>
      </c>
      <c r="O2073" s="11" t="str">
        <f>HYPERLINK("https://pbs.twimg.com/profile_images/606122549626445824/F381wuJT_normal.jpg","View")</f>
        <v>View</v>
      </c>
      <c r="P2073" s="15"/>
    </row>
    <row r="2074">
      <c r="A2074" s="7">
        <v>42426.003159722226</v>
      </c>
      <c r="B2074" s="8" t="str">
        <f>HYPERLINK("https://twitter.com/ngtuna11","@ngtuna11")</f>
        <v>@ngtuna11</v>
      </c>
      <c r="C2074" s="10" t="s">
        <v>4417</v>
      </c>
      <c r="D2074" s="10" t="s">
        <v>4211</v>
      </c>
      <c r="E2074" s="11" t="str">
        <f>HYPERLINK("https://twitter.com/ngtuna11/status/703128504758501376","703128504758501376")</f>
        <v>703128504758501376</v>
      </c>
      <c r="F2074" s="12" t="s">
        <v>52</v>
      </c>
      <c r="G2074" s="13">
        <v>201.0</v>
      </c>
      <c r="H2074" s="13">
        <v>335.0</v>
      </c>
      <c r="I2074" s="13">
        <v>55.0</v>
      </c>
      <c r="J2074" s="13">
        <v>0.0</v>
      </c>
      <c r="K2074" s="12" t="s">
        <v>21</v>
      </c>
      <c r="L2074" s="7">
        <v>41468.39915509259</v>
      </c>
      <c r="M2074" s="14" t="s">
        <v>4418</v>
      </c>
      <c r="N2074" s="14" t="s">
        <v>4419</v>
      </c>
      <c r="O2074" s="11" t="str">
        <f>HYPERLINK("https://pbs.twimg.com/profile_images/674474985881141249/75TXvKk6_normal.jpg","View")</f>
        <v>View</v>
      </c>
      <c r="P2074" s="15"/>
    </row>
    <row r="2075">
      <c r="A2075" s="7">
        <v>42426.00392361111</v>
      </c>
      <c r="B2075" s="8" t="str">
        <f>HYPERLINK("https://twitter.com/boblinuxz","@boblinuxz")</f>
        <v>@boblinuxz</v>
      </c>
      <c r="C2075" s="10" t="s">
        <v>4420</v>
      </c>
      <c r="D2075" s="10" t="s">
        <v>4211</v>
      </c>
      <c r="E2075" s="11" t="str">
        <f>HYPERLINK("https://twitter.com/boblinuxz/status/703128780630417408","703128780630417408")</f>
        <v>703128780630417408</v>
      </c>
      <c r="F2075" s="12" t="s">
        <v>20</v>
      </c>
      <c r="G2075" s="13">
        <v>27.0</v>
      </c>
      <c r="H2075" s="13">
        <v>103.0</v>
      </c>
      <c r="I2075" s="13">
        <v>55.0</v>
      </c>
      <c r="J2075" s="13">
        <v>0.0</v>
      </c>
      <c r="K2075" s="12" t="s">
        <v>21</v>
      </c>
      <c r="L2075" s="7">
        <v>41889.18181712963</v>
      </c>
      <c r="M2075" s="14" t="s">
        <v>416</v>
      </c>
      <c r="N2075" s="14" t="s">
        <v>4421</v>
      </c>
      <c r="O2075" s="11" t="str">
        <f>HYPERLINK("https://pbs.twimg.com/profile_images/697568910640607236/oBOxrUko_normal.jpg","View")</f>
        <v>View</v>
      </c>
      <c r="P2075" s="15"/>
    </row>
    <row r="2076">
      <c r="A2076" s="7">
        <v>42426.00430555556</v>
      </c>
      <c r="B2076" s="8" t="str">
        <f>HYPERLINK("https://twitter.com/Webappz","@Webappz")</f>
        <v>@Webappz</v>
      </c>
      <c r="C2076" s="10" t="s">
        <v>4422</v>
      </c>
      <c r="D2076" s="10" t="s">
        <v>4211</v>
      </c>
      <c r="E2076" s="11" t="str">
        <f>HYPERLINK("https://twitter.com/Webappz/status/703128919428300800","703128919428300800")</f>
        <v>703128919428300800</v>
      </c>
      <c r="F2076" s="12" t="s">
        <v>20</v>
      </c>
      <c r="G2076" s="13">
        <v>273.0</v>
      </c>
      <c r="H2076" s="13">
        <v>271.0</v>
      </c>
      <c r="I2076" s="13">
        <v>55.0</v>
      </c>
      <c r="J2076" s="13">
        <v>0.0</v>
      </c>
      <c r="K2076" s="12" t="s">
        <v>21</v>
      </c>
      <c r="L2076" s="7">
        <v>39931.12241898148</v>
      </c>
      <c r="M2076" s="14" t="s">
        <v>4423</v>
      </c>
      <c r="N2076" s="14" t="s">
        <v>4424</v>
      </c>
      <c r="O2076" s="11" t="str">
        <f>HYPERLINK("https://pbs.twimg.com/profile_images/637756417/webappz_normal.jpg","View")</f>
        <v>View</v>
      </c>
      <c r="P2076" s="15"/>
    </row>
    <row r="2077">
      <c r="A2077" s="7">
        <v>42426.00530092593</v>
      </c>
      <c r="B2077" s="8" t="str">
        <f>HYPERLINK("https://twitter.com/thecodinghouse","@thecodinghouse")</f>
        <v>@thecodinghouse</v>
      </c>
      <c r="C2077" s="10" t="s">
        <v>4425</v>
      </c>
      <c r="D2077" s="10" t="s">
        <v>4426</v>
      </c>
      <c r="E2077" s="11" t="str">
        <f>HYPERLINK("https://twitter.com/thecodinghouse/status/703129278280396800","703129278280396800")</f>
        <v>703129278280396800</v>
      </c>
      <c r="F2077" s="12" t="s">
        <v>20</v>
      </c>
      <c r="G2077" s="13">
        <v>21.0</v>
      </c>
      <c r="H2077" s="13">
        <v>112.0</v>
      </c>
      <c r="I2077" s="13">
        <v>0.0</v>
      </c>
      <c r="J2077" s="13">
        <v>0.0</v>
      </c>
      <c r="K2077" s="12" t="s">
        <v>21</v>
      </c>
      <c r="L2077" s="7">
        <v>40935.37611111111</v>
      </c>
      <c r="M2077" s="16"/>
      <c r="N2077" s="16"/>
      <c r="O2077" s="11" t="str">
        <f>HYPERLINK("https://pbs.twimg.com/profile_images/703216850306363392/QCsp-0fB_normal.jpg","View")</f>
        <v>View</v>
      </c>
      <c r="P2077" s="15"/>
    </row>
    <row r="2078">
      <c r="A2078" s="7">
        <v>42426.007013888884</v>
      </c>
      <c r="B2078" s="8" t="str">
        <f>HYPERLINK("https://twitter.com/shepsheplu","@shepsheplu")</f>
        <v>@shepsheplu</v>
      </c>
      <c r="C2078" s="10" t="s">
        <v>4427</v>
      </c>
      <c r="D2078" s="10" t="s">
        <v>4428</v>
      </c>
      <c r="E2078" s="11" t="str">
        <f>HYPERLINK("https://twitter.com/shepsheplu/status/703129899632988160","703129899632988160")</f>
        <v>703129899632988160</v>
      </c>
      <c r="F2078" s="12" t="s">
        <v>294</v>
      </c>
      <c r="G2078" s="13">
        <v>242.0</v>
      </c>
      <c r="H2078" s="13">
        <v>217.0</v>
      </c>
      <c r="I2078" s="13">
        <v>0.0</v>
      </c>
      <c r="J2078" s="13">
        <v>0.0</v>
      </c>
      <c r="K2078" s="12" t="s">
        <v>21</v>
      </c>
      <c r="L2078" s="7">
        <v>40693.6670949074</v>
      </c>
      <c r="M2078" s="14" t="s">
        <v>132</v>
      </c>
      <c r="N2078" s="14" t="s">
        <v>4429</v>
      </c>
      <c r="O2078" s="11" t="str">
        <f>HYPERLINK("https://pbs.twimg.com/profile_images/1375393601/2627257905_f515f21483_o_normal.jpg","View")</f>
        <v>View</v>
      </c>
      <c r="P2078" s="15"/>
    </row>
    <row r="2079">
      <c r="A2079" s="7">
        <v>42426.007372685184</v>
      </c>
      <c r="B2079" s="8" t="str">
        <f>HYPERLINK("https://twitter.com/leo4thewin","@leo4thewin")</f>
        <v>@leo4thewin</v>
      </c>
      <c r="C2079" s="10" t="s">
        <v>4430</v>
      </c>
      <c r="D2079" s="10" t="s">
        <v>4431</v>
      </c>
      <c r="E2079" s="11" t="str">
        <f>HYPERLINK("https://twitter.com/leo4thewin/status/703130030801485824","703130030801485824")</f>
        <v>703130030801485824</v>
      </c>
      <c r="F2079" s="12" t="s">
        <v>240</v>
      </c>
      <c r="G2079" s="13">
        <v>273.0</v>
      </c>
      <c r="H2079" s="13">
        <v>157.0</v>
      </c>
      <c r="I2079" s="13">
        <v>0.0</v>
      </c>
      <c r="J2079" s="13">
        <v>0.0</v>
      </c>
      <c r="K2079" s="12" t="s">
        <v>21</v>
      </c>
      <c r="L2079" s="7">
        <v>41230.49984953704</v>
      </c>
      <c r="M2079" s="14" t="s">
        <v>4432</v>
      </c>
      <c r="N2079" s="16"/>
      <c r="O2079" s="11" t="str">
        <f>HYPERLINK("https://pbs.twimg.com/profile_images/657027957299417089/DgD6G_pw_normal.jpg","View")</f>
        <v>View</v>
      </c>
      <c r="P2079" s="15"/>
    </row>
    <row r="2080">
      <c r="A2080" s="7">
        <v>42426.00969907407</v>
      </c>
      <c r="B2080" s="8" t="str">
        <f>HYPERLINK("https://twitter.com/awaterma","@awaterma")</f>
        <v>@awaterma</v>
      </c>
      <c r="C2080" s="10" t="s">
        <v>4433</v>
      </c>
      <c r="D2080" s="10" t="s">
        <v>4211</v>
      </c>
      <c r="E2080" s="11" t="str">
        <f>HYPERLINK("https://twitter.com/awaterma/status/703130872627630080","703130872627630080")</f>
        <v>703130872627630080</v>
      </c>
      <c r="F2080" s="12" t="s">
        <v>52</v>
      </c>
      <c r="G2080" s="13">
        <v>423.0</v>
      </c>
      <c r="H2080" s="13">
        <v>421.0</v>
      </c>
      <c r="I2080" s="13">
        <v>55.0</v>
      </c>
      <c r="J2080" s="13">
        <v>0.0</v>
      </c>
      <c r="K2080" s="12" t="s">
        <v>21</v>
      </c>
      <c r="L2080" s="7">
        <v>39335.025613425925</v>
      </c>
      <c r="M2080" s="14" t="s">
        <v>4434</v>
      </c>
      <c r="N2080" s="14" t="s">
        <v>4435</v>
      </c>
      <c r="O2080" s="11" t="str">
        <f>HYPERLINK("https://pbs.twimg.com/profile_images/547102200657227776/e3daOmhB_normal.png","View")</f>
        <v>View</v>
      </c>
      <c r="P2080" s="15"/>
    </row>
    <row r="2081">
      <c r="A2081" s="7">
        <v>42426.01140046296</v>
      </c>
      <c r="B2081" s="8" t="str">
        <f>HYPERLINK("https://twitter.com/lporcheron","@lporcheron")</f>
        <v>@lporcheron</v>
      </c>
      <c r="C2081" s="10" t="s">
        <v>4436</v>
      </c>
      <c r="D2081" s="10" t="s">
        <v>4211</v>
      </c>
      <c r="E2081" s="11" t="str">
        <f>HYPERLINK("https://twitter.com/lporcheron/status/703131488619929600","703131488619929600")</f>
        <v>703131488619929600</v>
      </c>
      <c r="F2081" s="12" t="s">
        <v>152</v>
      </c>
      <c r="G2081" s="13">
        <v>205.0</v>
      </c>
      <c r="H2081" s="13">
        <v>528.0</v>
      </c>
      <c r="I2081" s="13">
        <v>55.0</v>
      </c>
      <c r="J2081" s="13">
        <v>0.0</v>
      </c>
      <c r="K2081" s="12" t="s">
        <v>21</v>
      </c>
      <c r="L2081" s="7">
        <v>39824.35042824074</v>
      </c>
      <c r="M2081" s="14" t="s">
        <v>4437</v>
      </c>
      <c r="N2081" s="14" t="s">
        <v>4438</v>
      </c>
      <c r="O2081" s="11" t="str">
        <f>HYPERLINK("https://pbs.twimg.com/profile_images/1789833755/fb02_normal.png","View")</f>
        <v>View</v>
      </c>
      <c r="P2081" s="15"/>
    </row>
    <row r="2082">
      <c r="A2082" s="7">
        <v>42426.01207175926</v>
      </c>
      <c r="B2082" s="8" t="str">
        <f>HYPERLINK("https://twitter.com/365Python","@365Python")</f>
        <v>@365Python</v>
      </c>
      <c r="C2082" s="10" t="s">
        <v>4439</v>
      </c>
      <c r="D2082" s="10" t="s">
        <v>4440</v>
      </c>
      <c r="E2082" s="11" t="str">
        <f>HYPERLINK("https://twitter.com/365Python/status/703131733709860865","703131733709860865")</f>
        <v>703131733709860865</v>
      </c>
      <c r="F2082" s="12" t="s">
        <v>1961</v>
      </c>
      <c r="G2082" s="13">
        <v>51.0</v>
      </c>
      <c r="H2082" s="13">
        <v>0.0</v>
      </c>
      <c r="I2082" s="13">
        <v>0.0</v>
      </c>
      <c r="J2082" s="13">
        <v>0.0</v>
      </c>
      <c r="K2082" s="12" t="s">
        <v>21</v>
      </c>
      <c r="L2082" s="7">
        <v>41934.55619212963</v>
      </c>
      <c r="M2082" s="14" t="s">
        <v>4441</v>
      </c>
      <c r="N2082" s="14" t="s">
        <v>4442</v>
      </c>
      <c r="O2082" s="11" t="str">
        <f>HYPERLINK("https://pbs.twimg.com/profile_images/525019025873444864/9WrZZD7__normal.png","View")</f>
        <v>View</v>
      </c>
      <c r="P2082" s="15"/>
    </row>
    <row r="2083">
      <c r="A2083" s="7">
        <v>42426.013078703705</v>
      </c>
      <c r="B2083" s="8" t="str">
        <f>HYPERLINK("https://twitter.com/JosefZamrzla","@JosefZamrzla")</f>
        <v>@JosefZamrzla</v>
      </c>
      <c r="C2083" s="10" t="s">
        <v>4443</v>
      </c>
      <c r="D2083" s="10" t="s">
        <v>4211</v>
      </c>
      <c r="E2083" s="11" t="str">
        <f>HYPERLINK("https://twitter.com/JosefZamrzla/status/703132098731741184","703132098731741184")</f>
        <v>703132098731741184</v>
      </c>
      <c r="F2083" s="12" t="s">
        <v>52</v>
      </c>
      <c r="G2083" s="13">
        <v>170.0</v>
      </c>
      <c r="H2083" s="13">
        <v>263.0</v>
      </c>
      <c r="I2083" s="13">
        <v>55.0</v>
      </c>
      <c r="J2083" s="13">
        <v>0.0</v>
      </c>
      <c r="K2083" s="12" t="s">
        <v>21</v>
      </c>
      <c r="L2083" s="7">
        <v>40830.48513888889</v>
      </c>
      <c r="M2083" s="14" t="s">
        <v>4444</v>
      </c>
      <c r="N2083" s="14" t="s">
        <v>4445</v>
      </c>
      <c r="O2083" s="11" t="str">
        <f>HYPERLINK("https://pbs.twimg.com/profile_images/2016657771/P7160133_normal.JPG","View")</f>
        <v>View</v>
      </c>
      <c r="P2083" s="15"/>
    </row>
    <row r="2084">
      <c r="A2084" s="7">
        <v>42426.01768518519</v>
      </c>
      <c r="B2084" s="8" t="str">
        <f>HYPERLINK("https://twitter.com/HH_Technology","@HH_Technology")</f>
        <v>@HH_Technology</v>
      </c>
      <c r="C2084" s="10" t="s">
        <v>3921</v>
      </c>
      <c r="D2084" s="10" t="s">
        <v>4446</v>
      </c>
      <c r="E2084" s="11" t="str">
        <f>HYPERLINK("https://twitter.com/HH_Technology/status/703133769692131329","703133769692131329")</f>
        <v>703133769692131329</v>
      </c>
      <c r="F2084" s="12" t="s">
        <v>3923</v>
      </c>
      <c r="G2084" s="13">
        <v>1750.0</v>
      </c>
      <c r="H2084" s="13">
        <v>1942.0</v>
      </c>
      <c r="I2084" s="13">
        <v>3.0</v>
      </c>
      <c r="J2084" s="13">
        <v>1.0</v>
      </c>
      <c r="K2084" s="12" t="s">
        <v>21</v>
      </c>
      <c r="L2084" s="7">
        <v>41032.02991898148</v>
      </c>
      <c r="M2084" s="16"/>
      <c r="N2084" s="16"/>
      <c r="O2084" s="11" t="str">
        <f>HYPERLINK("https://pbs.twimg.com/profile_images/543263084735787010/32MyAWdQ_normal.png","View")</f>
        <v>View</v>
      </c>
      <c r="P2084" s="15"/>
    </row>
    <row r="2085">
      <c r="A2085" s="7">
        <v>42426.018055555556</v>
      </c>
      <c r="B2085" s="8" t="str">
        <f>HYPERLINK("https://twitter.com/mikegrimshaw2","@mikegrimshaw2")</f>
        <v>@mikegrimshaw2</v>
      </c>
      <c r="C2085" s="10" t="s">
        <v>1244</v>
      </c>
      <c r="D2085" s="10" t="s">
        <v>4447</v>
      </c>
      <c r="E2085" s="11" t="str">
        <f>HYPERLINK("https://twitter.com/mikegrimshaw2/status/703133903700103168","703133903700103168")</f>
        <v>703133903700103168</v>
      </c>
      <c r="F2085" s="12" t="s">
        <v>52</v>
      </c>
      <c r="G2085" s="13">
        <v>2411.0</v>
      </c>
      <c r="H2085" s="13">
        <v>2667.0</v>
      </c>
      <c r="I2085" s="13">
        <v>1.0</v>
      </c>
      <c r="J2085" s="13">
        <v>0.0</v>
      </c>
      <c r="K2085" s="12" t="s">
        <v>21</v>
      </c>
      <c r="L2085" s="7">
        <v>40570.697916666664</v>
      </c>
      <c r="M2085" s="14" t="s">
        <v>1246</v>
      </c>
      <c r="N2085" s="14" t="s">
        <v>1247</v>
      </c>
      <c r="O2085" s="11" t="str">
        <f>HYPERLINK("https://pbs.twimg.com/profile_images/611686609407180800/hZKDoHLq_normal.jpg","View")</f>
        <v>View</v>
      </c>
      <c r="P2085" s="15"/>
    </row>
    <row r="2086">
      <c r="A2086" s="7">
        <v>42426.018912037034</v>
      </c>
      <c r="B2086" s="8" t="str">
        <f>HYPERLINK("https://twitter.com/Rootsector","@Rootsector")</f>
        <v>@Rootsector</v>
      </c>
      <c r="C2086" s="10" t="s">
        <v>4448</v>
      </c>
      <c r="D2086" s="10" t="s">
        <v>4449</v>
      </c>
      <c r="E2086" s="11" t="str">
        <f>HYPERLINK("https://twitter.com/Rootsector/status/703134213185208320","703134213185208320")</f>
        <v>703134213185208320</v>
      </c>
      <c r="F2086" s="12" t="s">
        <v>52</v>
      </c>
      <c r="G2086" s="13">
        <v>2216.0</v>
      </c>
      <c r="H2086" s="13">
        <v>673.0</v>
      </c>
      <c r="I2086" s="13">
        <v>4.0</v>
      </c>
      <c r="J2086" s="13">
        <v>2.0</v>
      </c>
      <c r="K2086" s="12" t="s">
        <v>21</v>
      </c>
      <c r="L2086" s="7">
        <v>41779.288252314815</v>
      </c>
      <c r="M2086" s="14" t="s">
        <v>4450</v>
      </c>
      <c r="N2086" s="14" t="s">
        <v>4451</v>
      </c>
      <c r="O2086" s="11" t="str">
        <f>HYPERLINK("https://pbs.twimg.com/profile_images/683430069562388481/QkddJBEC_normal.jpg","View")</f>
        <v>View</v>
      </c>
      <c r="P2086" s="15"/>
    </row>
    <row r="2087">
      <c r="A2087" s="7">
        <v>42426.01988425926</v>
      </c>
      <c r="B2087" s="8" t="str">
        <f>HYPERLINK("https://twitter.com/gordonchiam","@gordonchiam")</f>
        <v>@gordonchiam</v>
      </c>
      <c r="C2087" s="10" t="s">
        <v>4452</v>
      </c>
      <c r="D2087" s="10" t="s">
        <v>4453</v>
      </c>
      <c r="E2087" s="11" t="str">
        <f>HYPERLINK("https://twitter.com/gordonchiam/status/703134563195711488","703134563195711488")</f>
        <v>703134563195711488</v>
      </c>
      <c r="F2087" s="12" t="s">
        <v>152</v>
      </c>
      <c r="G2087" s="13">
        <v>175.0</v>
      </c>
      <c r="H2087" s="13">
        <v>771.0</v>
      </c>
      <c r="I2087" s="13">
        <v>0.0</v>
      </c>
      <c r="J2087" s="13">
        <v>0.0</v>
      </c>
      <c r="K2087" s="12" t="s">
        <v>21</v>
      </c>
      <c r="L2087" s="7">
        <v>39673.08734953704</v>
      </c>
      <c r="M2087" s="14" t="s">
        <v>3482</v>
      </c>
      <c r="N2087" s="16"/>
      <c r="O2087" s="11" t="str">
        <f>HYPERLINK("https://pbs.twimg.com/profile_images/459921443552116736/EGCsLpNC_normal.jpeg","View")</f>
        <v>View</v>
      </c>
      <c r="P2087" s="15"/>
    </row>
    <row r="2088">
      <c r="A2088" s="7">
        <v>42426.020277777774</v>
      </c>
      <c r="B2088" s="8" t="str">
        <f t="shared" ref="B2088:B2095" si="219">HYPERLINK("https://twitter.com/artwisanggeni","@artwisanggeni")</f>
        <v>@artwisanggeni</v>
      </c>
      <c r="C2088" s="10" t="s">
        <v>74</v>
      </c>
      <c r="D2088" s="10" t="s">
        <v>4454</v>
      </c>
      <c r="E2088" s="11" t="str">
        <f>HYPERLINK("https://twitter.com/artwisanggeni/status/703134708775825408","703134708775825408")</f>
        <v>703134708775825408</v>
      </c>
      <c r="F2088" s="17" t="s">
        <v>76</v>
      </c>
      <c r="G2088" s="13">
        <v>236.0</v>
      </c>
      <c r="H2088" s="13">
        <v>61.0</v>
      </c>
      <c r="I2088" s="13">
        <v>0.0</v>
      </c>
      <c r="J2088" s="13">
        <v>0.0</v>
      </c>
      <c r="K2088" s="12" t="s">
        <v>21</v>
      </c>
      <c r="L2088" s="7">
        <v>41218.90608796296</v>
      </c>
      <c r="M2088" s="14" t="s">
        <v>77</v>
      </c>
      <c r="N2088" s="14" t="s">
        <v>78</v>
      </c>
      <c r="O2088" s="11" t="str">
        <f t="shared" ref="O2088:O2095" si="220">HYPERLINK("https://pbs.twimg.com/profile_images/2813636657/599521f69e2bc210a57323b64d8e39e6_normal.jpeg","View")</f>
        <v>View</v>
      </c>
      <c r="P2088" s="15"/>
    </row>
    <row r="2089">
      <c r="A2089" s="7">
        <v>42426.02028935185</v>
      </c>
      <c r="B2089" s="8" t="str">
        <f t="shared" si="219"/>
        <v>@artwisanggeni</v>
      </c>
      <c r="C2089" s="10" t="s">
        <v>74</v>
      </c>
      <c r="D2089" s="10" t="s">
        <v>4455</v>
      </c>
      <c r="E2089" s="11" t="str">
        <f>HYPERLINK("https://twitter.com/artwisanggeni/status/703134713246945282","703134713246945282")</f>
        <v>703134713246945282</v>
      </c>
      <c r="F2089" s="17" t="s">
        <v>76</v>
      </c>
      <c r="G2089" s="13">
        <v>236.0</v>
      </c>
      <c r="H2089" s="13">
        <v>61.0</v>
      </c>
      <c r="I2089" s="13">
        <v>0.0</v>
      </c>
      <c r="J2089" s="13">
        <v>0.0</v>
      </c>
      <c r="K2089" s="12" t="s">
        <v>21</v>
      </c>
      <c r="L2089" s="7">
        <v>41218.90608796296</v>
      </c>
      <c r="M2089" s="14" t="s">
        <v>77</v>
      </c>
      <c r="N2089" s="14" t="s">
        <v>78</v>
      </c>
      <c r="O2089" s="11" t="str">
        <f t="shared" si="220"/>
        <v>View</v>
      </c>
      <c r="P2089" s="15"/>
    </row>
    <row r="2090">
      <c r="A2090" s="7">
        <v>42426.0203125</v>
      </c>
      <c r="B2090" s="8" t="str">
        <f t="shared" si="219"/>
        <v>@artwisanggeni</v>
      </c>
      <c r="C2090" s="10" t="s">
        <v>74</v>
      </c>
      <c r="D2090" s="10" t="s">
        <v>4456</v>
      </c>
      <c r="E2090" s="11" t="str">
        <f>HYPERLINK("https://twitter.com/artwisanggeni/status/703134717839675392","703134717839675392")</f>
        <v>703134717839675392</v>
      </c>
      <c r="F2090" s="17" t="s">
        <v>76</v>
      </c>
      <c r="G2090" s="13">
        <v>236.0</v>
      </c>
      <c r="H2090" s="13">
        <v>61.0</v>
      </c>
      <c r="I2090" s="13">
        <v>0.0</v>
      </c>
      <c r="J2090" s="13">
        <v>0.0</v>
      </c>
      <c r="K2090" s="12" t="s">
        <v>21</v>
      </c>
      <c r="L2090" s="7">
        <v>41218.90608796296</v>
      </c>
      <c r="M2090" s="14" t="s">
        <v>77</v>
      </c>
      <c r="N2090" s="14" t="s">
        <v>78</v>
      </c>
      <c r="O2090" s="11" t="str">
        <f t="shared" si="220"/>
        <v>View</v>
      </c>
      <c r="P2090" s="15"/>
    </row>
    <row r="2091">
      <c r="A2091" s="7">
        <v>42426.0203125</v>
      </c>
      <c r="B2091" s="8" t="str">
        <f t="shared" si="219"/>
        <v>@artwisanggeni</v>
      </c>
      <c r="C2091" s="10" t="s">
        <v>74</v>
      </c>
      <c r="D2091" s="10" t="s">
        <v>4457</v>
      </c>
      <c r="E2091" s="11" t="str">
        <f>HYPERLINK("https://twitter.com/artwisanggeni/status/703134721903951873","703134721903951873")</f>
        <v>703134721903951873</v>
      </c>
      <c r="F2091" s="17" t="s">
        <v>76</v>
      </c>
      <c r="G2091" s="13">
        <v>236.0</v>
      </c>
      <c r="H2091" s="13">
        <v>61.0</v>
      </c>
      <c r="I2091" s="13">
        <v>0.0</v>
      </c>
      <c r="J2091" s="13">
        <v>0.0</v>
      </c>
      <c r="K2091" s="12" t="s">
        <v>21</v>
      </c>
      <c r="L2091" s="7">
        <v>41218.90608796296</v>
      </c>
      <c r="M2091" s="14" t="s">
        <v>77</v>
      </c>
      <c r="N2091" s="14" t="s">
        <v>78</v>
      </c>
      <c r="O2091" s="11" t="str">
        <f t="shared" si="220"/>
        <v>View</v>
      </c>
      <c r="P2091" s="15"/>
    </row>
    <row r="2092">
      <c r="A2092" s="7">
        <v>42426.02033564815</v>
      </c>
      <c r="B2092" s="8" t="str">
        <f t="shared" si="219"/>
        <v>@artwisanggeni</v>
      </c>
      <c r="C2092" s="10" t="s">
        <v>74</v>
      </c>
      <c r="D2092" s="10" t="s">
        <v>4458</v>
      </c>
      <c r="E2092" s="11" t="str">
        <f>HYPERLINK("https://twitter.com/artwisanggeni/status/703134726320599040","703134726320599040")</f>
        <v>703134726320599040</v>
      </c>
      <c r="F2092" s="17" t="s">
        <v>76</v>
      </c>
      <c r="G2092" s="13">
        <v>236.0</v>
      </c>
      <c r="H2092" s="13">
        <v>61.0</v>
      </c>
      <c r="I2092" s="13">
        <v>0.0</v>
      </c>
      <c r="J2092" s="13">
        <v>0.0</v>
      </c>
      <c r="K2092" s="12" t="s">
        <v>21</v>
      </c>
      <c r="L2092" s="7">
        <v>41218.90608796296</v>
      </c>
      <c r="M2092" s="14" t="s">
        <v>77</v>
      </c>
      <c r="N2092" s="14" t="s">
        <v>78</v>
      </c>
      <c r="O2092" s="11" t="str">
        <f t="shared" si="220"/>
        <v>View</v>
      </c>
      <c r="P2092" s="15"/>
    </row>
    <row r="2093">
      <c r="A2093" s="7">
        <v>42426.02034722222</v>
      </c>
      <c r="B2093" s="8" t="str">
        <f t="shared" si="219"/>
        <v>@artwisanggeni</v>
      </c>
      <c r="C2093" s="10" t="s">
        <v>74</v>
      </c>
      <c r="D2093" s="10" t="s">
        <v>4459</v>
      </c>
      <c r="E2093" s="11" t="str">
        <f>HYPERLINK("https://twitter.com/artwisanggeni/status/703134731618033664","703134731618033664")</f>
        <v>703134731618033664</v>
      </c>
      <c r="F2093" s="17" t="s">
        <v>76</v>
      </c>
      <c r="G2093" s="13">
        <v>236.0</v>
      </c>
      <c r="H2093" s="13">
        <v>61.0</v>
      </c>
      <c r="I2093" s="13">
        <v>0.0</v>
      </c>
      <c r="J2093" s="13">
        <v>0.0</v>
      </c>
      <c r="K2093" s="12" t="s">
        <v>21</v>
      </c>
      <c r="L2093" s="7">
        <v>41218.90608796296</v>
      </c>
      <c r="M2093" s="14" t="s">
        <v>77</v>
      </c>
      <c r="N2093" s="14" t="s">
        <v>78</v>
      </c>
      <c r="O2093" s="11" t="str">
        <f t="shared" si="220"/>
        <v>View</v>
      </c>
      <c r="P2093" s="15"/>
    </row>
    <row r="2094">
      <c r="A2094" s="7">
        <v>42426.0203587963</v>
      </c>
      <c r="B2094" s="8" t="str">
        <f t="shared" si="219"/>
        <v>@artwisanggeni</v>
      </c>
      <c r="C2094" s="10" t="s">
        <v>74</v>
      </c>
      <c r="D2094" s="10" t="s">
        <v>4460</v>
      </c>
      <c r="E2094" s="11" t="str">
        <f>HYPERLINK("https://twitter.com/artwisanggeni/status/703134736684699648","703134736684699648")</f>
        <v>703134736684699648</v>
      </c>
      <c r="F2094" s="17" t="s">
        <v>76</v>
      </c>
      <c r="G2094" s="13">
        <v>236.0</v>
      </c>
      <c r="H2094" s="13">
        <v>61.0</v>
      </c>
      <c r="I2094" s="13">
        <v>0.0</v>
      </c>
      <c r="J2094" s="13">
        <v>0.0</v>
      </c>
      <c r="K2094" s="12" t="s">
        <v>21</v>
      </c>
      <c r="L2094" s="7">
        <v>41218.90608796296</v>
      </c>
      <c r="M2094" s="14" t="s">
        <v>77</v>
      </c>
      <c r="N2094" s="14" t="s">
        <v>78</v>
      </c>
      <c r="O2094" s="11" t="str">
        <f t="shared" si="220"/>
        <v>View</v>
      </c>
      <c r="P2094" s="15"/>
    </row>
    <row r="2095">
      <c r="A2095" s="7">
        <v>42426.020370370374</v>
      </c>
      <c r="B2095" s="8" t="str">
        <f t="shared" si="219"/>
        <v>@artwisanggeni</v>
      </c>
      <c r="C2095" s="10" t="s">
        <v>74</v>
      </c>
      <c r="D2095" s="10" t="s">
        <v>4461</v>
      </c>
      <c r="E2095" s="11" t="str">
        <f>HYPERLINK("https://twitter.com/artwisanggeni/status/703134740522541056","703134740522541056")</f>
        <v>703134740522541056</v>
      </c>
      <c r="F2095" s="17" t="s">
        <v>76</v>
      </c>
      <c r="G2095" s="13">
        <v>236.0</v>
      </c>
      <c r="H2095" s="13">
        <v>61.0</v>
      </c>
      <c r="I2095" s="13">
        <v>0.0</v>
      </c>
      <c r="J2095" s="13">
        <v>0.0</v>
      </c>
      <c r="K2095" s="12" t="s">
        <v>21</v>
      </c>
      <c r="L2095" s="7">
        <v>41218.90608796296</v>
      </c>
      <c r="M2095" s="14" t="s">
        <v>77</v>
      </c>
      <c r="N2095" s="14" t="s">
        <v>78</v>
      </c>
      <c r="O2095" s="11" t="str">
        <f t="shared" si="220"/>
        <v>View</v>
      </c>
      <c r="P2095" s="15"/>
    </row>
    <row r="2096">
      <c r="A2096" s="7">
        <v>42426.02097222222</v>
      </c>
      <c r="B2096" s="8" t="str">
        <f>HYPERLINK("https://twitter.com/OpenRiskNews","@OpenRiskNews")</f>
        <v>@OpenRiskNews</v>
      </c>
      <c r="C2096" s="10" t="s">
        <v>4462</v>
      </c>
      <c r="D2096" s="10" t="s">
        <v>4463</v>
      </c>
      <c r="E2096" s="11" t="str">
        <f>HYPERLINK("https://twitter.com/OpenRiskNews/status/703134960585043968","703134960585043968")</f>
        <v>703134960585043968</v>
      </c>
      <c r="F2096" s="12" t="s">
        <v>20</v>
      </c>
      <c r="G2096" s="13">
        <v>801.0</v>
      </c>
      <c r="H2096" s="13">
        <v>709.0</v>
      </c>
      <c r="I2096" s="13">
        <v>4.0</v>
      </c>
      <c r="J2096" s="13">
        <v>5.0</v>
      </c>
      <c r="K2096" s="12" t="s">
        <v>21</v>
      </c>
      <c r="L2096" s="7">
        <v>41623.49454861111</v>
      </c>
      <c r="M2096" s="14" t="s">
        <v>4464</v>
      </c>
      <c r="N2096" s="14" t="s">
        <v>4465</v>
      </c>
      <c r="O2096" s="11" t="str">
        <f>HYPERLINK("https://pbs.twimg.com/profile_images/465750700673093632/fr1PqqzT_normal.png","View")</f>
        <v>View</v>
      </c>
      <c r="P2096" s="15"/>
    </row>
    <row r="2097">
      <c r="A2097" s="7">
        <v>42426.021006944444</v>
      </c>
      <c r="B2097" s="8" t="str">
        <f>HYPERLINK("https://twitter.com/lucasoft_co_uk","@lucasoft_co_uk")</f>
        <v>@lucasoft_co_uk</v>
      </c>
      <c r="C2097" s="10" t="s">
        <v>4466</v>
      </c>
      <c r="D2097" s="10" t="s">
        <v>4467</v>
      </c>
      <c r="E2097" s="11" t="str">
        <f>HYPERLINK("https://twitter.com/lucasoft_co_uk/status/703134972383604736","703134972383604736")</f>
        <v>703134972383604736</v>
      </c>
      <c r="F2097" s="12" t="s">
        <v>659</v>
      </c>
      <c r="G2097" s="13">
        <v>2224.0</v>
      </c>
      <c r="H2097" s="13">
        <v>4131.0</v>
      </c>
      <c r="I2097" s="13">
        <v>0.0</v>
      </c>
      <c r="J2097" s="13">
        <v>0.0</v>
      </c>
      <c r="K2097" s="12" t="s">
        <v>21</v>
      </c>
      <c r="L2097" s="7">
        <v>40213.68809027778</v>
      </c>
      <c r="M2097" s="14" t="s">
        <v>4468</v>
      </c>
      <c r="N2097" s="14" t="s">
        <v>4469</v>
      </c>
      <c r="O2097" s="11" t="str">
        <f>HYPERLINK("https://pbs.twimg.com/profile_images/546760740959305728/KLYPZoQU_normal.png","View")</f>
        <v>View</v>
      </c>
      <c r="P2097" s="15"/>
    </row>
    <row r="2098">
      <c r="A2098" s="7">
        <v>42426.02106481481</v>
      </c>
      <c r="B2098" s="8" t="str">
        <f>HYPERLINK("https://twitter.com/QuantInsti","@QuantInsti")</f>
        <v>@QuantInsti</v>
      </c>
      <c r="C2098" s="10" t="s">
        <v>32</v>
      </c>
      <c r="D2098" s="10" t="s">
        <v>4470</v>
      </c>
      <c r="E2098" s="11" t="str">
        <f>HYPERLINK("https://twitter.com/QuantInsti/status/703134992767983616","703134992767983616")</f>
        <v>703134992767983616</v>
      </c>
      <c r="F2098" s="12" t="s">
        <v>659</v>
      </c>
      <c r="G2098" s="13">
        <v>857.0</v>
      </c>
      <c r="H2098" s="13">
        <v>657.0</v>
      </c>
      <c r="I2098" s="13">
        <v>0.0</v>
      </c>
      <c r="J2098" s="13">
        <v>0.0</v>
      </c>
      <c r="K2098" s="12" t="s">
        <v>21</v>
      </c>
      <c r="L2098" s="7">
        <v>41191.158530092594</v>
      </c>
      <c r="M2098" s="14" t="s">
        <v>34</v>
      </c>
      <c r="N2098" s="14" t="s">
        <v>35</v>
      </c>
      <c r="O2098" s="11" t="str">
        <f>HYPERLINK("https://pbs.twimg.com/profile_images/3272414315/6100aa5e267d6fc1e2e67b0782d34134_normal.jpeg","View")</f>
        <v>View</v>
      </c>
      <c r="P2098" s="15"/>
    </row>
    <row r="2099">
      <c r="A2099" s="7">
        <v>42426.02128472222</v>
      </c>
      <c r="B2099" s="8" t="str">
        <f>HYPERLINK("https://twitter.com/MartaDzBarrera","@MartaDzBarrera")</f>
        <v>@MartaDzBarrera</v>
      </c>
      <c r="C2099" s="10" t="s">
        <v>4471</v>
      </c>
      <c r="D2099" s="10" t="s">
        <v>4472</v>
      </c>
      <c r="E2099" s="11" t="str">
        <f>HYPERLINK("https://twitter.com/MartaDzBarrera/status/703135071637622784","703135071637622784")</f>
        <v>703135071637622784</v>
      </c>
      <c r="F2099" s="12" t="s">
        <v>659</v>
      </c>
      <c r="G2099" s="13">
        <v>1773.0</v>
      </c>
      <c r="H2099" s="13">
        <v>1769.0</v>
      </c>
      <c r="I2099" s="13">
        <v>1.0</v>
      </c>
      <c r="J2099" s="13">
        <v>0.0</v>
      </c>
      <c r="K2099" s="12" t="s">
        <v>21</v>
      </c>
      <c r="L2099" s="7">
        <v>41416.20978009259</v>
      </c>
      <c r="M2099" s="14" t="s">
        <v>4473</v>
      </c>
      <c r="N2099" s="14" t="s">
        <v>4474</v>
      </c>
      <c r="O2099" s="11" t="str">
        <f>HYPERLINK("https://pbs.twimg.com/profile_images/422048680934260736/08x9Ld-Q_normal.jpeg","View")</f>
        <v>View</v>
      </c>
      <c r="P2099" s="15"/>
    </row>
    <row r="2100">
      <c r="A2100" s="7">
        <v>42426.02167824074</v>
      </c>
      <c r="B2100" s="8" t="str">
        <f t="shared" ref="B2100:B2101" si="221">HYPERLINK("https://twitter.com/BigDataTweetBot","@BigDataTweetBot")</f>
        <v>@BigDataTweetBot</v>
      </c>
      <c r="C2100" s="10" t="s">
        <v>1440</v>
      </c>
      <c r="D2100" s="10" t="s">
        <v>4475</v>
      </c>
      <c r="E2100" s="11" t="str">
        <f>HYPERLINK("https://twitter.com/BigDataTweetBot/status/703135214885670913","703135214885670913")</f>
        <v>703135214885670913</v>
      </c>
      <c r="F2100" s="12" t="s">
        <v>1442</v>
      </c>
      <c r="G2100" s="13">
        <v>8623.0</v>
      </c>
      <c r="H2100" s="13">
        <v>243.0</v>
      </c>
      <c r="I2100" s="13">
        <v>3.0</v>
      </c>
      <c r="J2100" s="13">
        <v>0.0</v>
      </c>
      <c r="K2100" s="12" t="s">
        <v>21</v>
      </c>
      <c r="L2100" s="7">
        <v>42187.77106481481</v>
      </c>
      <c r="M2100" s="16"/>
      <c r="N2100" s="14" t="s">
        <v>1443</v>
      </c>
      <c r="O2100" s="11" t="str">
        <f t="shared" ref="O2100:O2101" si="222">HYPERLINK("https://pbs.twimg.com/profile_images/616793252524650496/bQbxJqmz_normal.jpg","View")</f>
        <v>View</v>
      </c>
      <c r="P2100" s="15"/>
    </row>
    <row r="2101">
      <c r="A2101" s="7">
        <v>42426.021689814814</v>
      </c>
      <c r="B2101" s="8" t="str">
        <f t="shared" si="221"/>
        <v>@BigDataTweetBot</v>
      </c>
      <c r="C2101" s="10" t="s">
        <v>1440</v>
      </c>
      <c r="D2101" s="10" t="s">
        <v>4476</v>
      </c>
      <c r="E2101" s="11" t="str">
        <f>HYPERLINK("https://twitter.com/BigDataTweetBot/status/703135220489281536","703135220489281536")</f>
        <v>703135220489281536</v>
      </c>
      <c r="F2101" s="12" t="s">
        <v>1442</v>
      </c>
      <c r="G2101" s="13">
        <v>8623.0</v>
      </c>
      <c r="H2101" s="13">
        <v>243.0</v>
      </c>
      <c r="I2101" s="13">
        <v>1.0</v>
      </c>
      <c r="J2101" s="13">
        <v>0.0</v>
      </c>
      <c r="K2101" s="12" t="s">
        <v>21</v>
      </c>
      <c r="L2101" s="7">
        <v>42187.77106481481</v>
      </c>
      <c r="M2101" s="16"/>
      <c r="N2101" s="14" t="s">
        <v>1443</v>
      </c>
      <c r="O2101" s="11" t="str">
        <f t="shared" si="222"/>
        <v>View</v>
      </c>
      <c r="P2101" s="15"/>
    </row>
    <row r="2102">
      <c r="A2102" s="7">
        <v>42426.0225</v>
      </c>
      <c r="B2102" s="8" t="str">
        <f>HYPERLINK("https://twitter.com/jlmico","@jlmico")</f>
        <v>@jlmico</v>
      </c>
      <c r="C2102" s="10" t="s">
        <v>4477</v>
      </c>
      <c r="D2102" s="10" t="s">
        <v>4478</v>
      </c>
      <c r="E2102" s="11" t="str">
        <f>HYPERLINK("https://twitter.com/jlmico/status/703135511976620032","703135511976620032")</f>
        <v>703135511976620032</v>
      </c>
      <c r="F2102" s="12" t="s">
        <v>152</v>
      </c>
      <c r="G2102" s="13">
        <v>6372.0</v>
      </c>
      <c r="H2102" s="13">
        <v>5690.0</v>
      </c>
      <c r="I2102" s="13">
        <v>1.0</v>
      </c>
      <c r="J2102" s="13">
        <v>2.0</v>
      </c>
      <c r="K2102" s="12" t="s">
        <v>21</v>
      </c>
      <c r="L2102" s="7">
        <v>40511.42884259259</v>
      </c>
      <c r="M2102" s="14" t="s">
        <v>901</v>
      </c>
      <c r="N2102" s="14" t="s">
        <v>4479</v>
      </c>
      <c r="O2102" s="11" t="str">
        <f>HYPERLINK("https://pbs.twimg.com/profile_images/557971388112195584/cOJIiuMX_normal.png","View")</f>
        <v>View</v>
      </c>
      <c r="P2102" s="15"/>
    </row>
    <row r="2103">
      <c r="A2103" s="7">
        <v>42426.02359953704</v>
      </c>
      <c r="B2103" s="8" t="str">
        <f>HYPERLINK("https://twitter.com/freelancer_INT","@freelancer_INT")</f>
        <v>@freelancer_INT</v>
      </c>
      <c r="C2103" s="9" t="s">
        <v>4480</v>
      </c>
      <c r="D2103" s="10" t="s">
        <v>4481</v>
      </c>
      <c r="E2103" s="11" t="str">
        <f>HYPERLINK("https://twitter.com/freelancer_INT/status/703135911467307008","703135911467307008")</f>
        <v>703135911467307008</v>
      </c>
      <c r="F2103" s="12" t="s">
        <v>20</v>
      </c>
      <c r="G2103" s="13">
        <v>485.0</v>
      </c>
      <c r="H2103" s="13">
        <v>239.0</v>
      </c>
      <c r="I2103" s="13">
        <v>0.0</v>
      </c>
      <c r="J2103" s="13">
        <v>1.0</v>
      </c>
      <c r="K2103" s="12" t="s">
        <v>21</v>
      </c>
      <c r="L2103" s="7">
        <v>41341.20710648148</v>
      </c>
      <c r="M2103" s="14" t="s">
        <v>432</v>
      </c>
      <c r="N2103" s="14" t="s">
        <v>4482</v>
      </c>
      <c r="O2103" s="11" t="str">
        <f>HYPERLINK("https://pbs.twimg.com/profile_images/3353165698/5e08bdb5d15d97c7c58c40a498898503_normal.jpeg","View")</f>
        <v>View</v>
      </c>
      <c r="P2103" s="15"/>
    </row>
    <row r="2104">
      <c r="A2104" s="7">
        <v>42426.02758101852</v>
      </c>
      <c r="B2104" s="8" t="str">
        <f>HYPERLINK("https://twitter.com/GogoTraining","@GogoTraining")</f>
        <v>@GogoTraining</v>
      </c>
      <c r="C2104" s="10" t="s">
        <v>4483</v>
      </c>
      <c r="D2104" s="10" t="s">
        <v>4484</v>
      </c>
      <c r="E2104" s="11" t="str">
        <f>HYPERLINK("https://twitter.com/GogoTraining/status/703137355339673602","703137355339673602")</f>
        <v>703137355339673602</v>
      </c>
      <c r="F2104" s="12" t="s">
        <v>659</v>
      </c>
      <c r="G2104" s="13">
        <v>495.0</v>
      </c>
      <c r="H2104" s="13">
        <v>764.0</v>
      </c>
      <c r="I2104" s="13">
        <v>0.0</v>
      </c>
      <c r="J2104" s="13">
        <v>2.0</v>
      </c>
      <c r="K2104" s="12" t="s">
        <v>21</v>
      </c>
      <c r="L2104" s="7">
        <v>40494.13914351852</v>
      </c>
      <c r="M2104" s="14" t="s">
        <v>1054</v>
      </c>
      <c r="N2104" s="14" t="s">
        <v>4485</v>
      </c>
      <c r="O2104" s="11" t="str">
        <f>HYPERLINK("https://pbs.twimg.com/profile_images/1187010497/73x73-Latest_normal.png","View")</f>
        <v>View</v>
      </c>
      <c r="P2104" s="15"/>
    </row>
    <row r="2105">
      <c r="A2105" s="7">
        <v>42426.02840277778</v>
      </c>
      <c r="B2105" s="8" t="str">
        <f>HYPERLINK("https://twitter.com/art_control","@art_control")</f>
        <v>@art_control</v>
      </c>
      <c r="C2105" s="10" t="s">
        <v>309</v>
      </c>
      <c r="D2105" s="10" t="s">
        <v>4486</v>
      </c>
      <c r="E2105" s="11" t="str">
        <f>HYPERLINK("https://twitter.com/art_control/status/703137651092664320","703137651092664320")</f>
        <v>703137651092664320</v>
      </c>
      <c r="F2105" s="12" t="s">
        <v>311</v>
      </c>
      <c r="G2105" s="13">
        <v>989.0</v>
      </c>
      <c r="H2105" s="13">
        <v>850.0</v>
      </c>
      <c r="I2105" s="13">
        <v>0.0</v>
      </c>
      <c r="J2105" s="13">
        <v>0.0</v>
      </c>
      <c r="K2105" s="12" t="s">
        <v>21</v>
      </c>
      <c r="L2105" s="7">
        <v>39896.869675925926</v>
      </c>
      <c r="M2105" s="14" t="s">
        <v>312</v>
      </c>
      <c r="N2105" s="14" t="s">
        <v>313</v>
      </c>
      <c r="O2105" s="11" t="str">
        <f>HYPERLINK("https://pbs.twimg.com/profile_images/649004216690675712/UAcrP6ol_normal.png","View")</f>
        <v>View</v>
      </c>
      <c r="P2105" s="15"/>
    </row>
    <row r="2106">
      <c r="A2106" s="7">
        <v>42426.02869212963</v>
      </c>
      <c r="B2106" s="8" t="str">
        <f>HYPERLINK("https://twitter.com/BigDataTweetBot","@BigDataTweetBot")</f>
        <v>@BigDataTweetBot</v>
      </c>
      <c r="C2106" s="10" t="s">
        <v>1440</v>
      </c>
      <c r="D2106" s="10" t="s">
        <v>4487</v>
      </c>
      <c r="E2106" s="11" t="str">
        <f>HYPERLINK("https://twitter.com/BigDataTweetBot/status/703137757661540352","703137757661540352")</f>
        <v>703137757661540352</v>
      </c>
      <c r="F2106" s="12" t="s">
        <v>1442</v>
      </c>
      <c r="G2106" s="13">
        <v>8623.0</v>
      </c>
      <c r="H2106" s="13">
        <v>243.0</v>
      </c>
      <c r="I2106" s="13">
        <v>1.0</v>
      </c>
      <c r="J2106" s="13">
        <v>0.0</v>
      </c>
      <c r="K2106" s="12" t="s">
        <v>21</v>
      </c>
      <c r="L2106" s="7">
        <v>42187.77106481481</v>
      </c>
      <c r="M2106" s="16"/>
      <c r="N2106" s="14" t="s">
        <v>1443</v>
      </c>
      <c r="O2106" s="11" t="str">
        <f>HYPERLINK("https://pbs.twimg.com/profile_images/616793252524650496/bQbxJqmz_normal.jpg","View")</f>
        <v>View</v>
      </c>
      <c r="P2106" s="15"/>
    </row>
    <row r="2107">
      <c r="A2107" s="7">
        <v>42426.028912037036</v>
      </c>
      <c r="B2107" s="8" t="str">
        <f>HYPERLINK("https://twitter.com/pixelsebi","@pixelsebi")</f>
        <v>@pixelsebi</v>
      </c>
      <c r="C2107" s="10" t="s">
        <v>4488</v>
      </c>
      <c r="D2107" s="10" t="s">
        <v>4211</v>
      </c>
      <c r="E2107" s="11" t="str">
        <f>HYPERLINK("https://twitter.com/pixelsebi/status/703137835218436096","703137835218436096")</f>
        <v>703137835218436096</v>
      </c>
      <c r="F2107" s="12" t="s">
        <v>52</v>
      </c>
      <c r="G2107" s="13">
        <v>2867.0</v>
      </c>
      <c r="H2107" s="13">
        <v>1316.0</v>
      </c>
      <c r="I2107" s="13">
        <v>55.0</v>
      </c>
      <c r="J2107" s="13">
        <v>0.0</v>
      </c>
      <c r="K2107" s="12" t="s">
        <v>21</v>
      </c>
      <c r="L2107" s="7">
        <v>39153.06475694444</v>
      </c>
      <c r="M2107" s="14" t="s">
        <v>1963</v>
      </c>
      <c r="N2107" s="14" t="s">
        <v>4489</v>
      </c>
      <c r="O2107" s="11" t="str">
        <f>HYPERLINK("https://pbs.twimg.com/profile_images/671295533059809280/vielwmlT_normal.jpg","View")</f>
        <v>View</v>
      </c>
      <c r="P2107" s="15"/>
    </row>
    <row r="2108">
      <c r="A2108" s="7">
        <v>42426.03197916667</v>
      </c>
      <c r="B2108" s="8" t="str">
        <f>HYPERLINK("https://twitter.com/Mork_66","@Mork_66")</f>
        <v>@Mork_66</v>
      </c>
      <c r="C2108" s="10" t="s">
        <v>4490</v>
      </c>
      <c r="D2108" s="10" t="s">
        <v>4491</v>
      </c>
      <c r="E2108" s="11" t="str">
        <f>HYPERLINK("https://twitter.com/Mork_66/status/703138949250699264","703138949250699264")</f>
        <v>703138949250699264</v>
      </c>
      <c r="F2108" s="12" t="s">
        <v>20</v>
      </c>
      <c r="G2108" s="13">
        <v>38.0</v>
      </c>
      <c r="H2108" s="13">
        <v>7.0</v>
      </c>
      <c r="I2108" s="13">
        <v>0.0</v>
      </c>
      <c r="J2108" s="13">
        <v>0.0</v>
      </c>
      <c r="K2108" s="12" t="s">
        <v>21</v>
      </c>
      <c r="L2108" s="7">
        <v>41566.13230324074</v>
      </c>
      <c r="M2108" s="16"/>
      <c r="N2108" s="16"/>
      <c r="O2108" s="11" t="str">
        <f>HYPERLINK("https://pbs.twimg.com/profile_images/378800000861785800/uPxDTgv4_normal.jpeg","View")</f>
        <v>View</v>
      </c>
      <c r="P2108" s="15"/>
    </row>
    <row r="2109">
      <c r="A2109" s="7">
        <v>42426.033043981486</v>
      </c>
      <c r="B2109" s="8" t="str">
        <f>HYPERLINK("https://twitter.com/SiphoMazibuko1","@SiphoMazibuko1")</f>
        <v>@SiphoMazibuko1</v>
      </c>
      <c r="C2109" s="10" t="s">
        <v>4492</v>
      </c>
      <c r="D2109" s="10" t="s">
        <v>4493</v>
      </c>
      <c r="E2109" s="11" t="str">
        <f>HYPERLINK("https://twitter.com/SiphoMazibuko1/status/703139331829989376","703139331829989376")</f>
        <v>703139331829989376</v>
      </c>
      <c r="F2109" s="12" t="s">
        <v>52</v>
      </c>
      <c r="G2109" s="13">
        <v>446.0</v>
      </c>
      <c r="H2109" s="13">
        <v>948.0</v>
      </c>
      <c r="I2109" s="13">
        <v>0.0</v>
      </c>
      <c r="J2109" s="13">
        <v>0.0</v>
      </c>
      <c r="K2109" s="12" t="s">
        <v>21</v>
      </c>
      <c r="L2109" s="7">
        <v>40989.27719907407</v>
      </c>
      <c r="M2109" s="14" t="s">
        <v>4494</v>
      </c>
      <c r="N2109" s="14" t="s">
        <v>4495</v>
      </c>
      <c r="O2109" s="11" t="str">
        <f>HYPERLINK("https://pbs.twimg.com/profile_images/702931311628034048/4euAzUSj_normal.jpg","View")</f>
        <v>View</v>
      </c>
      <c r="P2109" s="15"/>
    </row>
    <row r="2110">
      <c r="A2110" s="7">
        <v>42426.036203703705</v>
      </c>
      <c r="B2110" s="8" t="str">
        <f>HYPERLINK("https://twitter.com/mikegrimshaw2","@mikegrimshaw2")</f>
        <v>@mikegrimshaw2</v>
      </c>
      <c r="C2110" s="10" t="s">
        <v>1244</v>
      </c>
      <c r="D2110" s="10" t="s">
        <v>4496</v>
      </c>
      <c r="E2110" s="11" t="str">
        <f>HYPERLINK("https://twitter.com/mikegrimshaw2/status/703140478066098176","703140478066098176")</f>
        <v>703140478066098176</v>
      </c>
      <c r="F2110" s="12" t="s">
        <v>52</v>
      </c>
      <c r="G2110" s="13">
        <v>2411.0</v>
      </c>
      <c r="H2110" s="13">
        <v>2667.0</v>
      </c>
      <c r="I2110" s="13">
        <v>0.0</v>
      </c>
      <c r="J2110" s="13">
        <v>0.0</v>
      </c>
      <c r="K2110" s="12" t="s">
        <v>21</v>
      </c>
      <c r="L2110" s="7">
        <v>40570.697916666664</v>
      </c>
      <c r="M2110" s="14" t="s">
        <v>1246</v>
      </c>
      <c r="N2110" s="14" t="s">
        <v>1247</v>
      </c>
      <c r="O2110" s="11" t="str">
        <f>HYPERLINK("https://pbs.twimg.com/profile_images/611686609407180800/hZKDoHLq_normal.jpg","View")</f>
        <v>View</v>
      </c>
      <c r="P2110" s="15"/>
    </row>
    <row r="2111">
      <c r="A2111" s="7">
        <v>42426.03630787037</v>
      </c>
      <c r="B2111" s="8" t="str">
        <f>HYPERLINK("https://twitter.com/DModel3","@DModel3")</f>
        <v>@DModel3</v>
      </c>
      <c r="C2111" s="10" t="s">
        <v>4497</v>
      </c>
      <c r="D2111" s="10" t="s">
        <v>2945</v>
      </c>
      <c r="E2111" s="11" t="str">
        <f>HYPERLINK("https://twitter.com/DModel3/status/703140516477607936","703140516477607936")</f>
        <v>703140516477607936</v>
      </c>
      <c r="F2111" s="12" t="s">
        <v>20</v>
      </c>
      <c r="G2111" s="13">
        <v>93.0</v>
      </c>
      <c r="H2111" s="13">
        <v>165.0</v>
      </c>
      <c r="I2111" s="13">
        <v>51.0</v>
      </c>
      <c r="J2111" s="13">
        <v>0.0</v>
      </c>
      <c r="K2111" s="12" t="s">
        <v>21</v>
      </c>
      <c r="L2111" s="7">
        <v>42353.1234375</v>
      </c>
      <c r="M2111" s="14" t="s">
        <v>4498</v>
      </c>
      <c r="N2111" s="16"/>
      <c r="O2111" s="11" t="str">
        <f>HYPERLINK("https://pbs.twimg.com/profile_images/676725138067480577/wGPUaJUR_normal.jpg","View")</f>
        <v>View</v>
      </c>
      <c r="P2111" s="15"/>
    </row>
    <row r="2112">
      <c r="A2112" s="7">
        <v>42426.03637731481</v>
      </c>
      <c r="B2112" s="8" t="str">
        <f>HYPERLINK("https://twitter.com/importpython","@importpython")</f>
        <v>@importpython</v>
      </c>
      <c r="C2112" s="10" t="s">
        <v>2536</v>
      </c>
      <c r="D2112" s="10" t="s">
        <v>4499</v>
      </c>
      <c r="E2112" s="11" t="str">
        <f>HYPERLINK("https://twitter.com/importpython/status/703140540502536192","703140540502536192")</f>
        <v>703140540502536192</v>
      </c>
      <c r="F2112" s="12" t="s">
        <v>20</v>
      </c>
      <c r="G2112" s="13">
        <v>1603.0</v>
      </c>
      <c r="H2112" s="13">
        <v>498.0</v>
      </c>
      <c r="I2112" s="13">
        <v>4.0</v>
      </c>
      <c r="J2112" s="13">
        <v>0.0</v>
      </c>
      <c r="K2112" s="12" t="s">
        <v>21</v>
      </c>
      <c r="L2112" s="7">
        <v>41912.04583333334</v>
      </c>
      <c r="M2112" s="14" t="s">
        <v>432</v>
      </c>
      <c r="N2112" s="14" t="s">
        <v>2539</v>
      </c>
      <c r="O2112" s="11" t="str">
        <f>HYPERLINK("https://pbs.twimg.com/profile_images/518108253121552384/ClpFqPbX_normal.png","View")</f>
        <v>View</v>
      </c>
      <c r="P2112" s="15"/>
    </row>
    <row r="2113">
      <c r="A2113" s="7">
        <v>42426.03693287037</v>
      </c>
      <c r="B2113" s="8" t="str">
        <f>HYPERLINK("https://twitter.com/mikegrimshaw2","@mikegrimshaw2")</f>
        <v>@mikegrimshaw2</v>
      </c>
      <c r="C2113" s="10" t="s">
        <v>1244</v>
      </c>
      <c r="D2113" s="10" t="s">
        <v>4500</v>
      </c>
      <c r="E2113" s="11" t="str">
        <f>HYPERLINK("https://twitter.com/mikegrimshaw2/status/703140742315638784","703140742315638784")</f>
        <v>703140742315638784</v>
      </c>
      <c r="F2113" s="12" t="s">
        <v>52</v>
      </c>
      <c r="G2113" s="13">
        <v>2411.0</v>
      </c>
      <c r="H2113" s="13">
        <v>2667.0</v>
      </c>
      <c r="I2113" s="13">
        <v>0.0</v>
      </c>
      <c r="J2113" s="13">
        <v>1.0</v>
      </c>
      <c r="K2113" s="12" t="s">
        <v>21</v>
      </c>
      <c r="L2113" s="7">
        <v>40570.697916666664</v>
      </c>
      <c r="M2113" s="14" t="s">
        <v>1246</v>
      </c>
      <c r="N2113" s="14" t="s">
        <v>1247</v>
      </c>
      <c r="O2113" s="11" t="str">
        <f>HYPERLINK("https://pbs.twimg.com/profile_images/611686609407180800/hZKDoHLq_normal.jpg","View")</f>
        <v>View</v>
      </c>
      <c r="P2113" s="15"/>
    </row>
    <row r="2114">
      <c r="A2114" s="7">
        <v>42426.03839120371</v>
      </c>
      <c r="B2114" s="8" t="str">
        <f>HYPERLINK("https://twitter.com/HanseSecure","@HanseSecure")</f>
        <v>@HanseSecure</v>
      </c>
      <c r="C2114" s="10" t="s">
        <v>4501</v>
      </c>
      <c r="D2114" s="10" t="s">
        <v>4502</v>
      </c>
      <c r="E2114" s="11" t="str">
        <f>HYPERLINK("https://twitter.com/HanseSecure/status/703141271326429185","703141271326429185")</f>
        <v>703141271326429185</v>
      </c>
      <c r="F2114" s="12" t="s">
        <v>152</v>
      </c>
      <c r="G2114" s="13">
        <v>83.0</v>
      </c>
      <c r="H2114" s="13">
        <v>81.0</v>
      </c>
      <c r="I2114" s="13">
        <v>0.0</v>
      </c>
      <c r="J2114" s="13">
        <v>0.0</v>
      </c>
      <c r="K2114" s="12" t="s">
        <v>21</v>
      </c>
      <c r="L2114" s="7">
        <v>42015.55888888889</v>
      </c>
      <c r="M2114" s="14" t="s">
        <v>2337</v>
      </c>
      <c r="N2114" s="14" t="s">
        <v>4503</v>
      </c>
      <c r="O2114" s="11" t="str">
        <f>HYPERLINK("https://pbs.twimg.com/profile_images/684401803648233472/yNxDpQZB_normal.jpg","View")</f>
        <v>View</v>
      </c>
      <c r="P2114" s="15"/>
    </row>
    <row r="2115">
      <c r="A2115" s="7">
        <v>42426.04121527778</v>
      </c>
      <c r="B2115" s="8" t="str">
        <f>HYPERLINK("https://twitter.com/NotTruppi","@NotTruppi")</f>
        <v>@NotTruppi</v>
      </c>
      <c r="C2115" s="10" t="s">
        <v>4504</v>
      </c>
      <c r="D2115" s="10" t="s">
        <v>4505</v>
      </c>
      <c r="E2115" s="11" t="str">
        <f>HYPERLINK("https://twitter.com/NotTruppi/status/703142295311245312","703142295311245312")</f>
        <v>703142295311245312</v>
      </c>
      <c r="F2115" s="12" t="s">
        <v>52</v>
      </c>
      <c r="G2115" s="13">
        <v>148.0</v>
      </c>
      <c r="H2115" s="13">
        <v>189.0</v>
      </c>
      <c r="I2115" s="13">
        <v>4.0</v>
      </c>
      <c r="J2115" s="13">
        <v>0.0</v>
      </c>
      <c r="K2115" s="12" t="s">
        <v>21</v>
      </c>
      <c r="L2115" s="7">
        <v>42130.828831018516</v>
      </c>
      <c r="M2115" s="14" t="s">
        <v>4506</v>
      </c>
      <c r="N2115" s="14" t="s">
        <v>4507</v>
      </c>
      <c r="O2115" s="11" t="str">
        <f>HYPERLINK("https://pbs.twimg.com/profile_images/609413283934773248/sw-fXmfQ_normal.jpg","View")</f>
        <v>View</v>
      </c>
      <c r="P2115" s="15"/>
    </row>
    <row r="2116">
      <c r="A2116" s="7">
        <v>42426.04152777778</v>
      </c>
      <c r="B2116" s="8" t="str">
        <f>HYPERLINK("https://twitter.com/py_nsk","@py_nsk")</f>
        <v>@py_nsk</v>
      </c>
      <c r="C2116" s="10" t="s">
        <v>155</v>
      </c>
      <c r="D2116" s="10" t="s">
        <v>4508</v>
      </c>
      <c r="E2116" s="11" t="str">
        <f>HYPERLINK("https://twitter.com/py_nsk/status/703142407047516160","703142407047516160")</f>
        <v>703142407047516160</v>
      </c>
      <c r="F2116" s="12" t="s">
        <v>157</v>
      </c>
      <c r="G2116" s="13">
        <v>50.0</v>
      </c>
      <c r="H2116" s="13">
        <v>4.0</v>
      </c>
      <c r="I2116" s="13">
        <v>0.0</v>
      </c>
      <c r="J2116" s="13">
        <v>0.0</v>
      </c>
      <c r="K2116" s="12" t="s">
        <v>21</v>
      </c>
      <c r="L2116" s="7">
        <v>42174.03638888889</v>
      </c>
      <c r="M2116" s="16"/>
      <c r="N2116" s="16"/>
      <c r="O2116" s="11" t="str">
        <f>HYPERLINK("https://pbs.twimg.com/profile_images/628733919282745345/Nhm3X3iC_normal.png","View")</f>
        <v>View</v>
      </c>
      <c r="P2116" s="15"/>
    </row>
    <row r="2117">
      <c r="A2117" s="7">
        <v>42426.04168981481</v>
      </c>
      <c r="B2117" s="8" t="str">
        <f>HYPERLINK("https://twitter.com/jandrusk","@jandrusk")</f>
        <v>@jandrusk</v>
      </c>
      <c r="C2117" s="10" t="s">
        <v>4509</v>
      </c>
      <c r="D2117" s="10" t="s">
        <v>4505</v>
      </c>
      <c r="E2117" s="11" t="str">
        <f>HYPERLINK("https://twitter.com/jandrusk/status/703142467323834368","703142467323834368")</f>
        <v>703142467323834368</v>
      </c>
      <c r="F2117" s="12" t="s">
        <v>4510</v>
      </c>
      <c r="G2117" s="13">
        <v>1057.0</v>
      </c>
      <c r="H2117" s="13">
        <v>632.0</v>
      </c>
      <c r="I2117" s="13">
        <v>4.0</v>
      </c>
      <c r="J2117" s="13">
        <v>0.0</v>
      </c>
      <c r="K2117" s="12" t="s">
        <v>21</v>
      </c>
      <c r="L2117" s="7">
        <v>39744.80873842593</v>
      </c>
      <c r="M2117" s="14" t="s">
        <v>2738</v>
      </c>
      <c r="N2117" s="14" t="s">
        <v>4511</v>
      </c>
      <c r="O2117" s="11" t="str">
        <f>HYPERLINK("https://pbs.twimg.com/profile_images/544544396809494528/yD4U3dhY_normal.png","View")</f>
        <v>View</v>
      </c>
      <c r="P2117" s="15"/>
    </row>
    <row r="2118">
      <c r="A2118" s="7">
        <v>42426.041712962964</v>
      </c>
      <c r="B2118" s="8" t="str">
        <f>HYPERLINK("https://twitter.com/jobely","@jobely")</f>
        <v>@jobely</v>
      </c>
      <c r="C2118" s="9" t="s">
        <v>4156</v>
      </c>
      <c r="D2118" s="10" t="s">
        <v>4512</v>
      </c>
      <c r="E2118" s="11" t="str">
        <f>HYPERLINK("https://twitter.com/jobely/status/703142474282192896","703142474282192896")</f>
        <v>703142474282192896</v>
      </c>
      <c r="F2118" s="12" t="s">
        <v>4158</v>
      </c>
      <c r="G2118" s="13">
        <v>1402.0</v>
      </c>
      <c r="H2118" s="13">
        <v>279.0</v>
      </c>
      <c r="I2118" s="13">
        <v>0.0</v>
      </c>
      <c r="J2118" s="13">
        <v>0.0</v>
      </c>
      <c r="K2118" s="12" t="s">
        <v>21</v>
      </c>
      <c r="L2118" s="7">
        <v>40133.93101851852</v>
      </c>
      <c r="M2118" s="14" t="s">
        <v>850</v>
      </c>
      <c r="N2118" s="14" t="s">
        <v>4159</v>
      </c>
      <c r="O2118" s="11" t="str">
        <f>HYPERLINK("https://pbs.twimg.com/profile_images/543819077/Schermata_2009-11-25_a_21.06.35_normal.png","View")</f>
        <v>View</v>
      </c>
      <c r="P2118" s="15"/>
    </row>
    <row r="2119">
      <c r="A2119" s="7">
        <v>42426.04173611111</v>
      </c>
      <c r="B2119" s="8" t="str">
        <f>HYPERLINK("https://twitter.com/artwisanggeni","@artwisanggeni")</f>
        <v>@artwisanggeni</v>
      </c>
      <c r="C2119" s="10" t="s">
        <v>74</v>
      </c>
      <c r="D2119" s="10" t="s">
        <v>4513</v>
      </c>
      <c r="E2119" s="11" t="str">
        <f>HYPERLINK("https://twitter.com/artwisanggeni/status/703142483580944384","703142483580944384")</f>
        <v>703142483580944384</v>
      </c>
      <c r="F2119" s="17" t="s">
        <v>76</v>
      </c>
      <c r="G2119" s="13">
        <v>236.0</v>
      </c>
      <c r="H2119" s="13">
        <v>61.0</v>
      </c>
      <c r="I2119" s="13">
        <v>0.0</v>
      </c>
      <c r="J2119" s="13">
        <v>0.0</v>
      </c>
      <c r="K2119" s="12" t="s">
        <v>21</v>
      </c>
      <c r="L2119" s="7">
        <v>41218.90608796296</v>
      </c>
      <c r="M2119" s="14" t="s">
        <v>77</v>
      </c>
      <c r="N2119" s="14" t="s">
        <v>78</v>
      </c>
      <c r="O2119" s="11" t="str">
        <f>HYPERLINK("https://pbs.twimg.com/profile_images/2813636657/599521f69e2bc210a57323b64d8e39e6_normal.jpeg","View")</f>
        <v>View</v>
      </c>
      <c r="P2119" s="15"/>
    </row>
    <row r="2120">
      <c r="A2120" s="7">
        <v>42426.04357638889</v>
      </c>
      <c r="B2120" s="8" t="str">
        <f>HYPERLINK("https://twitter.com/USaveoff","@USaveoff")</f>
        <v>@USaveoff</v>
      </c>
      <c r="C2120" s="10" t="s">
        <v>4514</v>
      </c>
      <c r="D2120" s="10" t="s">
        <v>4515</v>
      </c>
      <c r="E2120" s="11" t="str">
        <f>HYPERLINK("https://twitter.com/USaveoff/status/703143149879726082","703143149879726082")</f>
        <v>703143149879726082</v>
      </c>
      <c r="F2120" s="12" t="s">
        <v>103</v>
      </c>
      <c r="G2120" s="13">
        <v>560.0</v>
      </c>
      <c r="H2120" s="13">
        <v>4992.0</v>
      </c>
      <c r="I2120" s="13">
        <v>0.0</v>
      </c>
      <c r="J2120" s="13">
        <v>1.0</v>
      </c>
      <c r="K2120" s="12" t="s">
        <v>21</v>
      </c>
      <c r="L2120" s="7">
        <v>42351.898518518516</v>
      </c>
      <c r="M2120" s="16"/>
      <c r="N2120" s="16"/>
      <c r="O2120" s="11" t="str">
        <f>HYPERLINK("https://pbs.twimg.com/profile_images/676277361394843648/S21MNCa1_normal.png","View")</f>
        <v>View</v>
      </c>
      <c r="P2120" s="15"/>
    </row>
    <row r="2121">
      <c r="A2121" s="7">
        <v>42426.04377314815</v>
      </c>
      <c r="B2121" s="8" t="str">
        <f>HYPERLINK("https://twitter.com/sibilarecom","@sibilarecom")</f>
        <v>@sibilarecom</v>
      </c>
      <c r="C2121" s="10" t="s">
        <v>4516</v>
      </c>
      <c r="D2121" s="10" t="s">
        <v>4517</v>
      </c>
      <c r="E2121" s="11" t="str">
        <f>HYPERLINK("https://twitter.com/sibilarecom/status/703143222227304448","703143222227304448")</f>
        <v>703143222227304448</v>
      </c>
      <c r="F2121" s="12" t="s">
        <v>446</v>
      </c>
      <c r="G2121" s="13">
        <v>1113.0</v>
      </c>
      <c r="H2121" s="13">
        <v>865.0</v>
      </c>
      <c r="I2121" s="13">
        <v>0.0</v>
      </c>
      <c r="J2121" s="13">
        <v>1.0</v>
      </c>
      <c r="K2121" s="12" t="s">
        <v>21</v>
      </c>
      <c r="L2121" s="7">
        <v>41396.232835648145</v>
      </c>
      <c r="M2121" s="14" t="s">
        <v>4518</v>
      </c>
      <c r="N2121" s="14" t="s">
        <v>4519</v>
      </c>
      <c r="O2121" s="11" t="str">
        <f>HYPERLINK("https://pbs.twimg.com/profile_images/521611221221380096/HgIeLsIk_normal.jpeg","View")</f>
        <v>View</v>
      </c>
      <c r="P2121" s="15"/>
    </row>
    <row r="2122">
      <c r="A2122" s="7">
        <v>42426.04381944444</v>
      </c>
      <c r="B2122" s="8" t="str">
        <f>HYPERLINK("https://twitter.com/teacheraorg","@teacheraorg")</f>
        <v>@teacheraorg</v>
      </c>
      <c r="C2122" s="10" t="s">
        <v>166</v>
      </c>
      <c r="D2122" s="10" t="s">
        <v>4520</v>
      </c>
      <c r="E2122" s="11" t="str">
        <f>HYPERLINK("https://twitter.com/teacheraorg/status/703143238576635904","703143238576635904")</f>
        <v>703143238576635904</v>
      </c>
      <c r="F2122" s="12" t="s">
        <v>103</v>
      </c>
      <c r="G2122" s="13">
        <v>10.0</v>
      </c>
      <c r="H2122" s="13">
        <v>61.0</v>
      </c>
      <c r="I2122" s="13">
        <v>1.0</v>
      </c>
      <c r="J2122" s="13">
        <v>0.0</v>
      </c>
      <c r="K2122" s="12" t="s">
        <v>21</v>
      </c>
      <c r="L2122" s="7">
        <v>42327.187372685185</v>
      </c>
      <c r="M2122" s="14" t="s">
        <v>168</v>
      </c>
      <c r="N2122" s="14" t="s">
        <v>169</v>
      </c>
      <c r="O2122" s="11" t="str">
        <f>HYPERLINK("https://pbs.twimg.com/profile_images/667320241102454784/lcRdAWy6_normal.jpg","View")</f>
        <v>View</v>
      </c>
      <c r="P2122" s="15"/>
    </row>
    <row r="2123">
      <c r="A2123" s="7">
        <v>42426.043865740736</v>
      </c>
      <c r="B2123" s="8" t="str">
        <f>HYPERLINK("https://twitter.com/anioko1","@anioko1")</f>
        <v>@anioko1</v>
      </c>
      <c r="C2123" s="10" t="s">
        <v>178</v>
      </c>
      <c r="D2123" s="10" t="s">
        <v>4521</v>
      </c>
      <c r="E2123" s="11" t="str">
        <f>HYPERLINK("https://twitter.com/anioko1/status/703143255387418624","703143255387418624")</f>
        <v>703143255387418624</v>
      </c>
      <c r="F2123" s="12" t="s">
        <v>103</v>
      </c>
      <c r="G2123" s="13">
        <v>527.0</v>
      </c>
      <c r="H2123" s="13">
        <v>1936.0</v>
      </c>
      <c r="I2123" s="13">
        <v>0.0</v>
      </c>
      <c r="J2123" s="13">
        <v>7.0</v>
      </c>
      <c r="K2123" s="12" t="s">
        <v>21</v>
      </c>
      <c r="L2123" s="7">
        <v>40367.98541666666</v>
      </c>
      <c r="M2123" s="14" t="s">
        <v>180</v>
      </c>
      <c r="N2123" s="14" t="s">
        <v>181</v>
      </c>
      <c r="O2123" s="11" t="str">
        <f>HYPERLINK("https://pbs.twimg.com/profile_images/695642719948009474/s9J4OUA9_normal.jpg","View")</f>
        <v>View</v>
      </c>
      <c r="P2123" s="15"/>
    </row>
    <row r="2124">
      <c r="A2124" s="7">
        <v>42426.044074074074</v>
      </c>
      <c r="B2124" s="8" t="str">
        <f>HYPERLINK("https://twitter.com/panseybard","@panseybard")</f>
        <v>@panseybard</v>
      </c>
      <c r="C2124" s="10" t="s">
        <v>1602</v>
      </c>
      <c r="D2124" s="10" t="s">
        <v>4522</v>
      </c>
      <c r="E2124" s="11" t="str">
        <f>HYPERLINK("https://twitter.com/panseybard/status/703143329970524160","703143329970524160")</f>
        <v>703143329970524160</v>
      </c>
      <c r="F2124" s="12" t="s">
        <v>1603</v>
      </c>
      <c r="G2124" s="13">
        <v>7596.0</v>
      </c>
      <c r="H2124" s="13">
        <v>7592.0</v>
      </c>
      <c r="I2124" s="13">
        <v>1.0</v>
      </c>
      <c r="J2124" s="13">
        <v>0.0</v>
      </c>
      <c r="K2124" s="12" t="s">
        <v>21</v>
      </c>
      <c r="L2124" s="7">
        <v>41222.09909722222</v>
      </c>
      <c r="M2124" s="14" t="s">
        <v>1604</v>
      </c>
      <c r="N2124" s="14" t="s">
        <v>1605</v>
      </c>
      <c r="O2124" s="11" t="str">
        <f>HYPERLINK("https://pbs.twimg.com/profile_images/583850259970822144/7EgtHLoT_normal.jpg","View")</f>
        <v>View</v>
      </c>
      <c r="P2124" s="15"/>
    </row>
    <row r="2125">
      <c r="A2125" s="7">
        <v>42426.04449074074</v>
      </c>
      <c r="B2125" s="8" t="str">
        <f>HYPERLINK("https://twitter.com/apkech","@apkech")</f>
        <v>@apkech</v>
      </c>
      <c r="C2125" s="10" t="s">
        <v>4523</v>
      </c>
      <c r="D2125" s="10" t="s">
        <v>4211</v>
      </c>
      <c r="E2125" s="11" t="str">
        <f>HYPERLINK("https://twitter.com/apkech/status/703143482521616384","703143482521616384")</f>
        <v>703143482521616384</v>
      </c>
      <c r="F2125" s="12" t="s">
        <v>152</v>
      </c>
      <c r="G2125" s="13">
        <v>13.0</v>
      </c>
      <c r="H2125" s="13">
        <v>57.0</v>
      </c>
      <c r="I2125" s="13">
        <v>55.0</v>
      </c>
      <c r="J2125" s="13">
        <v>0.0</v>
      </c>
      <c r="K2125" s="12" t="s">
        <v>21</v>
      </c>
      <c r="L2125" s="7">
        <v>40736.18363425926</v>
      </c>
      <c r="M2125" s="16"/>
      <c r="N2125" s="16"/>
      <c r="O2125" s="11" t="str">
        <f>HYPERLINK("https://pbs.twimg.com/profile_images/702520190290890753/n6avRy9t_normal.png","View")</f>
        <v>View</v>
      </c>
      <c r="P2125" s="15"/>
    </row>
    <row r="2126">
      <c r="A2126" s="7">
        <v>42426.04517361111</v>
      </c>
      <c r="B2126" s="8" t="str">
        <f>HYPERLINK("https://twitter.com/exonet3i","@exonet3i")</f>
        <v>@exonet3i</v>
      </c>
      <c r="C2126" s="10" t="s">
        <v>4524</v>
      </c>
      <c r="D2126" s="10" t="s">
        <v>4525</v>
      </c>
      <c r="E2126" s="11" t="str">
        <f>HYPERLINK("https://twitter.com/exonet3i/status/703143728169418753","703143728169418753")</f>
        <v>703143728169418753</v>
      </c>
      <c r="F2126" s="12" t="s">
        <v>152</v>
      </c>
      <c r="G2126" s="13">
        <v>494.0</v>
      </c>
      <c r="H2126" s="13">
        <v>761.0</v>
      </c>
      <c r="I2126" s="13">
        <v>0.0</v>
      </c>
      <c r="J2126" s="13">
        <v>0.0</v>
      </c>
      <c r="K2126" s="12" t="s">
        <v>21</v>
      </c>
      <c r="L2126" s="7">
        <v>40105.95185185185</v>
      </c>
      <c r="M2126" s="14" t="s">
        <v>4526</v>
      </c>
      <c r="N2126" s="14" t="s">
        <v>4527</v>
      </c>
      <c r="O2126" s="11" t="str">
        <f>HYPERLINK("https://pbs.twimg.com/profile_images/620650252870242305/1Wpl_CqG_normal.jpg","View")</f>
        <v>View</v>
      </c>
      <c r="P2126" s="15"/>
    </row>
    <row r="2127">
      <c r="A2127" s="7">
        <v>42426.04635416667</v>
      </c>
      <c r="B2127" s="8" t="str">
        <f>HYPERLINK("https://twitter.com/udemy_koupon","@udemy_koupon")</f>
        <v>@udemy_koupon</v>
      </c>
      <c r="C2127" s="10" t="s">
        <v>4528</v>
      </c>
      <c r="D2127" s="10" t="s">
        <v>4529</v>
      </c>
      <c r="E2127" s="11" t="str">
        <f>HYPERLINK("https://twitter.com/udemy_koupon/status/703144157020188673","703144157020188673")</f>
        <v>703144157020188673</v>
      </c>
      <c r="F2127" s="12" t="s">
        <v>103</v>
      </c>
      <c r="G2127" s="13">
        <v>12914.0</v>
      </c>
      <c r="H2127" s="13">
        <v>10221.0</v>
      </c>
      <c r="I2127" s="13">
        <v>0.0</v>
      </c>
      <c r="J2127" s="13">
        <v>0.0</v>
      </c>
      <c r="K2127" s="12" t="s">
        <v>21</v>
      </c>
      <c r="L2127" s="7">
        <v>42167.89608796296</v>
      </c>
      <c r="M2127" s="16"/>
      <c r="N2127" s="14" t="s">
        <v>4530</v>
      </c>
      <c r="O2127" s="11" t="str">
        <f>HYPERLINK("https://pbs.twimg.com/profile_images/609579169471553536/Vvy6dSkC_normal.png","View")</f>
        <v>View</v>
      </c>
      <c r="P2127" s="15"/>
    </row>
    <row r="2128">
      <c r="A2128" s="7">
        <v>42426.0465162037</v>
      </c>
      <c r="B2128" s="8" t="str">
        <f>HYPERLINK("https://twitter.com/DiscountUdemy","@DiscountUdemy")</f>
        <v>@DiscountUdemy</v>
      </c>
      <c r="C2128" s="10" t="s">
        <v>4531</v>
      </c>
      <c r="D2128" s="10" t="s">
        <v>4532</v>
      </c>
      <c r="E2128" s="11" t="str">
        <f>HYPERLINK("https://twitter.com/DiscountUdemy/status/703144214331154436","703144214331154436")</f>
        <v>703144214331154436</v>
      </c>
      <c r="F2128" s="12" t="s">
        <v>103</v>
      </c>
      <c r="G2128" s="13">
        <v>3022.0</v>
      </c>
      <c r="H2128" s="13">
        <v>4999.0</v>
      </c>
      <c r="I2128" s="13">
        <v>0.0</v>
      </c>
      <c r="J2128" s="13">
        <v>1.0</v>
      </c>
      <c r="K2128" s="12" t="s">
        <v>21</v>
      </c>
      <c r="L2128" s="7">
        <v>42229.069560185184</v>
      </c>
      <c r="M2128" s="16"/>
      <c r="N2128" s="16"/>
      <c r="O2128" s="11" t="str">
        <f>HYPERLINK("https://pbs.twimg.com/profile_images/631747603625934849/2qLB-jZC_normal.jpg","View")</f>
        <v>View</v>
      </c>
      <c r="P2128" s="15"/>
    </row>
    <row r="2129">
      <c r="A2129" s="7">
        <v>42426.04689814815</v>
      </c>
      <c r="B2129" s="8" t="str">
        <f>HYPERLINK("https://twitter.com/Mork_66","@Mork_66")</f>
        <v>@Mork_66</v>
      </c>
      <c r="C2129" s="10" t="s">
        <v>4490</v>
      </c>
      <c r="D2129" s="10" t="s">
        <v>4533</v>
      </c>
      <c r="E2129" s="11" t="str">
        <f>HYPERLINK("https://twitter.com/Mork_66/status/703144354903257092","703144354903257092")</f>
        <v>703144354903257092</v>
      </c>
      <c r="F2129" s="12" t="s">
        <v>20</v>
      </c>
      <c r="G2129" s="13">
        <v>38.0</v>
      </c>
      <c r="H2129" s="13">
        <v>7.0</v>
      </c>
      <c r="I2129" s="13">
        <v>0.0</v>
      </c>
      <c r="J2129" s="13">
        <v>0.0</v>
      </c>
      <c r="K2129" s="12" t="s">
        <v>21</v>
      </c>
      <c r="L2129" s="7">
        <v>41566.13230324074</v>
      </c>
      <c r="M2129" s="16"/>
      <c r="N2129" s="16"/>
      <c r="O2129" s="11" t="str">
        <f>HYPERLINK("https://pbs.twimg.com/profile_images/378800000861785800/uPxDTgv4_normal.jpeg","View")</f>
        <v>View</v>
      </c>
      <c r="P2129" s="15"/>
    </row>
    <row r="2130">
      <c r="A2130" s="7">
        <v>42426.04837962963</v>
      </c>
      <c r="B2130" s="8" t="str">
        <f>HYPERLINK("https://twitter.com/coupon_udemy","@coupon_udemy")</f>
        <v>@coupon_udemy</v>
      </c>
      <c r="C2130" s="10" t="s">
        <v>4534</v>
      </c>
      <c r="D2130" s="10" t="s">
        <v>4535</v>
      </c>
      <c r="E2130" s="11" t="str">
        <f>HYPERLINK("https://twitter.com/coupon_udemy/status/703144891711262720","703144891711262720")</f>
        <v>703144891711262720</v>
      </c>
      <c r="F2130" s="12" t="s">
        <v>103</v>
      </c>
      <c r="G2130" s="13">
        <v>5246.0</v>
      </c>
      <c r="H2130" s="13">
        <v>5468.0</v>
      </c>
      <c r="I2130" s="13">
        <v>0.0</v>
      </c>
      <c r="J2130" s="13">
        <v>0.0</v>
      </c>
      <c r="K2130" s="12" t="s">
        <v>21</v>
      </c>
      <c r="L2130" s="7">
        <v>42075.27853009259</v>
      </c>
      <c r="M2130" s="14" t="s">
        <v>2994</v>
      </c>
      <c r="N2130" s="14" t="s">
        <v>4536</v>
      </c>
      <c r="O2130" s="11" t="str">
        <f>HYPERLINK("https://pbs.twimg.com/profile_images/701022461500895234/kbSch0bV_normal.png","View")</f>
        <v>View</v>
      </c>
      <c r="P2130" s="15"/>
    </row>
    <row r="2131">
      <c r="A2131" s="7">
        <v>42426.048680555556</v>
      </c>
      <c r="B2131" s="8" t="str">
        <f>HYPERLINK("https://twitter.com/SiliconArmada","@SiliconArmada")</f>
        <v>@SiliconArmada</v>
      </c>
      <c r="C2131" s="10" t="s">
        <v>1285</v>
      </c>
      <c r="D2131" s="10" t="s">
        <v>4537</v>
      </c>
      <c r="E2131" s="11" t="str">
        <f>HYPERLINK("https://twitter.com/SiliconArmada/status/703144999882399744","703144999882399744")</f>
        <v>703144999882399744</v>
      </c>
      <c r="F2131" s="12" t="s">
        <v>659</v>
      </c>
      <c r="G2131" s="13">
        <v>24615.0</v>
      </c>
      <c r="H2131" s="13">
        <v>24296.0</v>
      </c>
      <c r="I2131" s="13">
        <v>3.0</v>
      </c>
      <c r="J2131" s="13">
        <v>2.0</v>
      </c>
      <c r="K2131" s="12" t="s">
        <v>21</v>
      </c>
      <c r="L2131" s="7">
        <v>41619.121203703704</v>
      </c>
      <c r="M2131" s="14" t="s">
        <v>1287</v>
      </c>
      <c r="N2131" s="14" t="s">
        <v>1288</v>
      </c>
      <c r="O2131" s="11" t="str">
        <f>HYPERLINK("https://pbs.twimg.com/profile_images/660839913970118656/5BS6sNCq_normal.png","View")</f>
        <v>View</v>
      </c>
      <c r="P2131" s="15"/>
    </row>
    <row r="2132">
      <c r="A2132" s="7">
        <v>42426.04900462963</v>
      </c>
      <c r="B2132" s="8" t="str">
        <f>HYPERLINK("https://twitter.com/LarryLiang2","@LarryLiang2")</f>
        <v>@LarryLiang2</v>
      </c>
      <c r="C2132" s="10" t="s">
        <v>4538</v>
      </c>
      <c r="D2132" s="10" t="s">
        <v>4211</v>
      </c>
      <c r="E2132" s="11" t="str">
        <f>HYPERLINK("https://twitter.com/LarryLiang2/status/703145117561978882","703145117561978882")</f>
        <v>703145117561978882</v>
      </c>
      <c r="F2132" s="12" t="s">
        <v>152</v>
      </c>
      <c r="G2132" s="13">
        <v>40.0</v>
      </c>
      <c r="H2132" s="13">
        <v>178.0</v>
      </c>
      <c r="I2132" s="13">
        <v>55.0</v>
      </c>
      <c r="J2132" s="13">
        <v>0.0</v>
      </c>
      <c r="K2132" s="12" t="s">
        <v>21</v>
      </c>
      <c r="L2132" s="7">
        <v>41050.89111111111</v>
      </c>
      <c r="M2132" s="14" t="s">
        <v>4539</v>
      </c>
      <c r="N2132" s="14" t="s">
        <v>4540</v>
      </c>
      <c r="O2132" s="11" t="str">
        <f>HYPERLINK("https://pbs.twimg.com/profile_images/677803827379081216/4LamCR6b_normal.jpg","View")</f>
        <v>View</v>
      </c>
      <c r="P2132" s="15"/>
    </row>
    <row r="2133">
      <c r="A2133" s="7">
        <v>42426.050150462965</v>
      </c>
      <c r="B2133" s="8" t="str">
        <f>HYPERLINK("https://twitter.com/pydigest","@pydigest")</f>
        <v>@pydigest</v>
      </c>
      <c r="C2133" s="10" t="s">
        <v>385</v>
      </c>
      <c r="D2133" s="10" t="s">
        <v>4541</v>
      </c>
      <c r="E2133" s="11" t="str">
        <f>HYPERLINK("https://twitter.com/pydigest/status/703145532537987072","703145532537987072")</f>
        <v>703145532537987072</v>
      </c>
      <c r="F2133" s="12" t="s">
        <v>103</v>
      </c>
      <c r="G2133" s="13">
        <v>634.0</v>
      </c>
      <c r="H2133" s="13">
        <v>22.0</v>
      </c>
      <c r="I2133" s="13">
        <v>0.0</v>
      </c>
      <c r="J2133" s="13">
        <v>3.0</v>
      </c>
      <c r="K2133" s="12" t="s">
        <v>21</v>
      </c>
      <c r="L2133" s="7">
        <v>41797.15729166666</v>
      </c>
      <c r="M2133" s="16"/>
      <c r="N2133" s="14" t="s">
        <v>387</v>
      </c>
      <c r="O2133" s="11" t="str">
        <f>HYPERLINK("https://pbs.twimg.com/profile_images/475228702922387457/6gYeuqxD_normal.jpeg","View")</f>
        <v>View</v>
      </c>
      <c r="P2133" s="15"/>
    </row>
    <row r="2134">
      <c r="A2134" s="7">
        <v>42426.051724537036</v>
      </c>
      <c r="B2134" s="8" t="str">
        <f>HYPERLINK("https://twitter.com/streaming10","@streaming10")</f>
        <v>@streaming10</v>
      </c>
      <c r="C2134" s="10" t="s">
        <v>4542</v>
      </c>
      <c r="D2134" s="10" t="s">
        <v>4505</v>
      </c>
      <c r="E2134" s="11" t="str">
        <f>HYPERLINK("https://twitter.com/streaming10/status/703146105081495553","703146105081495553")</f>
        <v>703146105081495553</v>
      </c>
      <c r="F2134" s="12" t="s">
        <v>20</v>
      </c>
      <c r="G2134" s="13">
        <v>467.0</v>
      </c>
      <c r="H2134" s="13">
        <v>521.0</v>
      </c>
      <c r="I2134" s="13">
        <v>4.0</v>
      </c>
      <c r="J2134" s="13">
        <v>0.0</v>
      </c>
      <c r="K2134" s="12" t="s">
        <v>21</v>
      </c>
      <c r="L2134" s="7">
        <v>40680.07363425926</v>
      </c>
      <c r="M2134" s="14" t="s">
        <v>4543</v>
      </c>
      <c r="N2134" s="14" t="s">
        <v>4544</v>
      </c>
      <c r="O2134" s="11" t="str">
        <f>HYPERLINK("https://pbs.twimg.com/profile_images/565142655718686720/PSVo53jB_normal.jpeg","View")</f>
        <v>View</v>
      </c>
      <c r="P2134" s="15"/>
    </row>
    <row r="2135">
      <c r="A2135" s="7">
        <v>42426.054768518516</v>
      </c>
      <c r="B2135" s="8" t="str">
        <f>HYPERLINK("https://twitter.com/Dublin_TJobs","@Dublin_TJobs")</f>
        <v>@Dublin_TJobs</v>
      </c>
      <c r="C2135" s="10" t="s">
        <v>4545</v>
      </c>
      <c r="D2135" s="10" t="s">
        <v>4546</v>
      </c>
      <c r="E2135" s="11" t="str">
        <f>HYPERLINK("https://twitter.com/Dublin_TJobs/status/703147207042576385","703147207042576385")</f>
        <v>703147207042576385</v>
      </c>
      <c r="F2135" s="12" t="s">
        <v>659</v>
      </c>
      <c r="G2135" s="13">
        <v>42.0</v>
      </c>
      <c r="H2135" s="13">
        <v>129.0</v>
      </c>
      <c r="I2135" s="13">
        <v>0.0</v>
      </c>
      <c r="J2135" s="13">
        <v>0.0</v>
      </c>
      <c r="K2135" s="12" t="s">
        <v>21</v>
      </c>
      <c r="L2135" s="7">
        <v>42416.40678240741</v>
      </c>
      <c r="M2135" s="14" t="s">
        <v>1287</v>
      </c>
      <c r="N2135" s="14" t="s">
        <v>4381</v>
      </c>
      <c r="O2135" s="11" t="str">
        <f>HYPERLINK("https://pbs.twimg.com/profile_images/699651059669737476/x-7zFMg__normal.png","View")</f>
        <v>View</v>
      </c>
      <c r="P2135" s="15"/>
    </row>
    <row r="2136">
      <c r="A2136" s="7">
        <v>42426.05541666667</v>
      </c>
      <c r="B2136" s="8" t="str">
        <f>HYPERLINK("https://twitter.com/dstarod","@dstarod")</f>
        <v>@dstarod</v>
      </c>
      <c r="C2136" s="10" t="s">
        <v>4547</v>
      </c>
      <c r="D2136" s="10" t="s">
        <v>4548</v>
      </c>
      <c r="E2136" s="11" t="str">
        <f>HYPERLINK("https://twitter.com/dstarod/status/703147441298669568","703147441298669568")</f>
        <v>703147441298669568</v>
      </c>
      <c r="F2136" s="12" t="s">
        <v>20</v>
      </c>
      <c r="G2136" s="13">
        <v>56.0</v>
      </c>
      <c r="H2136" s="13">
        <v>43.0</v>
      </c>
      <c r="I2136" s="13">
        <v>2.0</v>
      </c>
      <c r="J2136" s="13">
        <v>2.0</v>
      </c>
      <c r="K2136" s="12" t="s">
        <v>21</v>
      </c>
      <c r="L2136" s="7">
        <v>40541.04112268519</v>
      </c>
      <c r="M2136" s="16"/>
      <c r="N2136" s="14" t="s">
        <v>4549</v>
      </c>
      <c r="O2136" s="11" t="str">
        <f>HYPERLINK("https://pbs.twimg.com/profile_images/582558120532049920/9i7FfU1u_normal.png","View")</f>
        <v>View</v>
      </c>
      <c r="P2136" s="15"/>
    </row>
    <row r="2137">
      <c r="A2137" s="7">
        <v>42426.055439814816</v>
      </c>
      <c r="B2137" s="8" t="str">
        <f>HYPERLINK("https://twitter.com/ameanmbot","@ameanmbot")</f>
        <v>@ameanmbot</v>
      </c>
      <c r="C2137" s="10" t="s">
        <v>174</v>
      </c>
      <c r="D2137" s="10" t="s">
        <v>4550</v>
      </c>
      <c r="E2137" s="11" t="str">
        <f>HYPERLINK("https://twitter.com/ameanmbot/status/703147449804652546","703147449804652546")</f>
        <v>703147449804652546</v>
      </c>
      <c r="F2137" s="12" t="s">
        <v>176</v>
      </c>
      <c r="G2137" s="13">
        <v>3291.0</v>
      </c>
      <c r="H2137" s="13">
        <v>1.0</v>
      </c>
      <c r="I2137" s="13">
        <v>2.0</v>
      </c>
      <c r="J2137" s="13">
        <v>0.0</v>
      </c>
      <c r="K2137" s="12" t="s">
        <v>21</v>
      </c>
      <c r="L2137" s="7">
        <v>41814.009733796294</v>
      </c>
      <c r="M2137" s="16"/>
      <c r="N2137" s="14" t="s">
        <v>177</v>
      </c>
      <c r="O2137" s="11" t="str">
        <f>HYPERLINK("https://pbs.twimg.com/profile_images/481334978161029120/iu3zZFEk_normal.png","View")</f>
        <v>View</v>
      </c>
      <c r="P2137" s="15"/>
    </row>
    <row r="2138">
      <c r="A2138" s="7">
        <v>42426.05583333333</v>
      </c>
      <c r="B2138" s="8" t="str">
        <f>HYPERLINK("https://twitter.com/RashmiRnSethy","@RashmiRnSethy")</f>
        <v>@RashmiRnSethy</v>
      </c>
      <c r="C2138" s="10" t="s">
        <v>3832</v>
      </c>
      <c r="D2138" s="10" t="s">
        <v>4551</v>
      </c>
      <c r="E2138" s="11" t="str">
        <f>HYPERLINK("https://twitter.com/RashmiRnSethy/status/703147593954521088","703147593954521088")</f>
        <v>703147593954521088</v>
      </c>
      <c r="F2138" s="12" t="s">
        <v>236</v>
      </c>
      <c r="G2138" s="13">
        <v>1667.0</v>
      </c>
      <c r="H2138" s="13">
        <v>1593.0</v>
      </c>
      <c r="I2138" s="13">
        <v>0.0</v>
      </c>
      <c r="J2138" s="13">
        <v>0.0</v>
      </c>
      <c r="K2138" s="12" t="s">
        <v>21</v>
      </c>
      <c r="L2138" s="7">
        <v>40155.82634259259</v>
      </c>
      <c r="M2138" s="14" t="s">
        <v>34</v>
      </c>
      <c r="N2138" s="14" t="s">
        <v>3834</v>
      </c>
      <c r="O2138" s="11" t="str">
        <f>HYPERLINK("https://pbs.twimg.com/profile_images/507769924001878016/UsRwSg_A_normal.jpeg","View")</f>
        <v>View</v>
      </c>
      <c r="P2138" s="15"/>
    </row>
    <row r="2139">
      <c r="A2139" s="7">
        <v>42426.05642361111</v>
      </c>
      <c r="B2139" s="8" t="str">
        <f>HYPERLINK("https://twitter.com/javascriptSaBOT","@javascriptSaBOT")</f>
        <v>@javascriptSaBOT</v>
      </c>
      <c r="C2139" s="10" t="s">
        <v>147</v>
      </c>
      <c r="D2139" s="10" t="s">
        <v>4550</v>
      </c>
      <c r="E2139" s="11" t="str">
        <f>HYPERLINK("https://twitter.com/javascriptSaBOT/status/703147804458258433","703147804458258433")</f>
        <v>703147804458258433</v>
      </c>
      <c r="F2139" s="12" t="s">
        <v>148</v>
      </c>
      <c r="G2139" s="13">
        <v>168.0</v>
      </c>
      <c r="H2139" s="13">
        <v>194.0</v>
      </c>
      <c r="I2139" s="13">
        <v>2.0</v>
      </c>
      <c r="J2139" s="13">
        <v>0.0</v>
      </c>
      <c r="K2139" s="12" t="s">
        <v>21</v>
      </c>
      <c r="L2139" s="7">
        <v>42416.8263425926</v>
      </c>
      <c r="M2139" s="16"/>
      <c r="N2139" s="14" t="s">
        <v>149</v>
      </c>
      <c r="O2139" s="11" t="str">
        <f>HYPERLINK("https://pbs.twimg.com/profile_images/699810062752059393/NQQfSM9g_normal.jpg","View")</f>
        <v>View</v>
      </c>
      <c r="P2139" s="15"/>
    </row>
    <row r="2140">
      <c r="A2140" s="7">
        <v>42426.05758101852</v>
      </c>
      <c r="B2140" s="8" t="str">
        <f>HYPERLINK("https://twitter.com/brobeur","@brobeur")</f>
        <v>@brobeur</v>
      </c>
      <c r="C2140" s="9" t="s">
        <v>319</v>
      </c>
      <c r="D2140" s="10" t="s">
        <v>4552</v>
      </c>
      <c r="E2140" s="11" t="str">
        <f>HYPERLINK("https://twitter.com/brobeur/status/703148227420246016","703148227420246016")</f>
        <v>703148227420246016</v>
      </c>
      <c r="F2140" s="12" t="s">
        <v>321</v>
      </c>
      <c r="G2140" s="13">
        <v>1097.0</v>
      </c>
      <c r="H2140" s="13">
        <v>1945.0</v>
      </c>
      <c r="I2140" s="13">
        <v>0.0</v>
      </c>
      <c r="J2140" s="13">
        <v>0.0</v>
      </c>
      <c r="K2140" s="12" t="s">
        <v>21</v>
      </c>
      <c r="L2140" s="7">
        <v>41362.78061342593</v>
      </c>
      <c r="M2140" s="14" t="s">
        <v>322</v>
      </c>
      <c r="N2140" s="14" t="s">
        <v>323</v>
      </c>
      <c r="O2140" s="11" t="str">
        <f>HYPERLINK("https://pbs.twimg.com/profile_images/487211737284739072/HBzP949-_normal.png","View")</f>
        <v>View</v>
      </c>
      <c r="P2140" s="15"/>
    </row>
    <row r="2141">
      <c r="A2141" s="7">
        <v>42426.05898148148</v>
      </c>
      <c r="B2141" s="8" t="str">
        <f>HYPERLINK("https://twitter.com/py3k","@py3k")</f>
        <v>@py3k</v>
      </c>
      <c r="C2141" s="10" t="s">
        <v>297</v>
      </c>
      <c r="D2141" s="10" t="s">
        <v>4553</v>
      </c>
      <c r="E2141" s="11" t="str">
        <f>HYPERLINK("https://twitter.com/py3k/status/703148733513355264","703148733513355264")</f>
        <v>703148733513355264</v>
      </c>
      <c r="F2141" s="12" t="s">
        <v>299</v>
      </c>
      <c r="G2141" s="13">
        <v>1623.0</v>
      </c>
      <c r="H2141" s="13">
        <v>676.0</v>
      </c>
      <c r="I2141" s="13">
        <v>1.0</v>
      </c>
      <c r="J2141" s="13">
        <v>0.0</v>
      </c>
      <c r="K2141" s="12" t="s">
        <v>21</v>
      </c>
      <c r="L2141" s="7">
        <v>41096.62268518518</v>
      </c>
      <c r="M2141" s="16"/>
      <c r="N2141" s="14" t="s">
        <v>300</v>
      </c>
      <c r="O2141" s="11" t="str">
        <f>HYPERLINK("https://pbs.twimg.com/profile_images/2474433856/p075cerxh0arpea6ceip_normal.png","View")</f>
        <v>View</v>
      </c>
      <c r="P2141" s="15"/>
    </row>
    <row r="2142">
      <c r="A2142" s="7">
        <v>42426.05978009259</v>
      </c>
      <c r="B2142" s="8" t="str">
        <f>HYPERLINK("https://twitter.com/cool_python","@cool_python")</f>
        <v>@cool_python</v>
      </c>
      <c r="C2142" s="10" t="s">
        <v>249</v>
      </c>
      <c r="D2142" s="10" t="s">
        <v>4554</v>
      </c>
      <c r="E2142" s="11" t="str">
        <f>HYPERLINK("https://twitter.com/cool_python/status/703149022026969089","703149022026969089")</f>
        <v>703149022026969089</v>
      </c>
      <c r="F2142" s="12" t="s">
        <v>251</v>
      </c>
      <c r="G2142" s="13">
        <v>235.0</v>
      </c>
      <c r="H2142" s="13">
        <v>91.0</v>
      </c>
      <c r="I2142" s="13">
        <v>1.0</v>
      </c>
      <c r="J2142" s="13">
        <v>0.0</v>
      </c>
      <c r="K2142" s="12" t="s">
        <v>21</v>
      </c>
      <c r="L2142" s="7">
        <v>42064.325</v>
      </c>
      <c r="M2142" s="14" t="s">
        <v>252</v>
      </c>
      <c r="N2142" s="14" t="s">
        <v>253</v>
      </c>
      <c r="O2142" s="11" t="str">
        <f>HYPERLINK("https://pbs.twimg.com/profile_images/572091631055028224/Pkx__FSB_normal.png","View")</f>
        <v>View</v>
      </c>
      <c r="P2142" s="15"/>
    </row>
    <row r="2143">
      <c r="A2143" s="7">
        <v>42426.06015046296</v>
      </c>
      <c r="B2143" s="8" t="str">
        <f>HYPERLINK("https://twitter.com/csnipphq","@csnipphq")</f>
        <v>@csnipphq</v>
      </c>
      <c r="C2143" s="10" t="s">
        <v>4555</v>
      </c>
      <c r="D2143" s="10" t="s">
        <v>4556</v>
      </c>
      <c r="E2143" s="11" t="str">
        <f>HYPERLINK("https://twitter.com/csnipphq/status/703149158211805188","703149158211805188")</f>
        <v>703149158211805188</v>
      </c>
      <c r="F2143" s="12" t="s">
        <v>4557</v>
      </c>
      <c r="G2143" s="13">
        <v>308.0</v>
      </c>
      <c r="H2143" s="13">
        <v>125.0</v>
      </c>
      <c r="I2143" s="13">
        <v>0.0</v>
      </c>
      <c r="J2143" s="13">
        <v>0.0</v>
      </c>
      <c r="K2143" s="12" t="s">
        <v>21</v>
      </c>
      <c r="L2143" s="7">
        <v>41653.37222222222</v>
      </c>
      <c r="M2143" s="14" t="s">
        <v>4558</v>
      </c>
      <c r="N2143" s="14" t="s">
        <v>4559</v>
      </c>
      <c r="O2143" s="11" t="str">
        <f>HYPERLINK("https://pbs.twimg.com/profile_images/521525781529235456/ne4uW_Jo_normal.png","View")</f>
        <v>View</v>
      </c>
      <c r="P2143" s="15"/>
    </row>
    <row r="2144">
      <c r="A2144" s="7">
        <v>42426.060324074075</v>
      </c>
      <c r="B2144" s="8" t="str">
        <f>HYPERLINK("https://twitter.com/hh_consulting","@hh_consulting")</f>
        <v>@hh_consulting</v>
      </c>
      <c r="C2144" s="10" t="s">
        <v>4560</v>
      </c>
      <c r="D2144" s="10" t="s">
        <v>4561</v>
      </c>
      <c r="E2144" s="11" t="str">
        <f>HYPERLINK("https://twitter.com/hh_consulting/status/703149218672685061","703149218672685061")</f>
        <v>703149218672685061</v>
      </c>
      <c r="F2144" s="12" t="s">
        <v>4562</v>
      </c>
      <c r="G2144" s="13">
        <v>242.0</v>
      </c>
      <c r="H2144" s="13">
        <v>10.0</v>
      </c>
      <c r="I2144" s="13">
        <v>0.0</v>
      </c>
      <c r="J2144" s="13">
        <v>0.0</v>
      </c>
      <c r="K2144" s="12" t="s">
        <v>21</v>
      </c>
      <c r="L2144" s="7">
        <v>41010.09543981482</v>
      </c>
      <c r="M2144" s="16"/>
      <c r="N2144" s="14" t="s">
        <v>4563</v>
      </c>
      <c r="O2144" s="11" t="str">
        <f>HYPERLINK("https://pbs.twimg.com/profile_images/543260953802833920/7ZCmjbcy_normal.png","View")</f>
        <v>View</v>
      </c>
      <c r="P2144" s="15"/>
    </row>
    <row r="2145">
      <c r="A2145" s="7">
        <v>42426.0625</v>
      </c>
      <c r="B2145" s="8" t="str">
        <f>HYPERLINK("https://twitter.com/FrameworksM","@FrameworksM")</f>
        <v>@FrameworksM</v>
      </c>
      <c r="C2145" s="10" t="s">
        <v>795</v>
      </c>
      <c r="D2145" s="10" t="s">
        <v>4564</v>
      </c>
      <c r="E2145" s="11" t="str">
        <f>HYPERLINK("https://twitter.com/FrameworksM/status/703150008321748993","703150008321748993")</f>
        <v>703150008321748993</v>
      </c>
      <c r="F2145" s="12" t="s">
        <v>797</v>
      </c>
      <c r="G2145" s="13">
        <v>395.0</v>
      </c>
      <c r="H2145" s="13">
        <v>60.0</v>
      </c>
      <c r="I2145" s="13">
        <v>0.0</v>
      </c>
      <c r="J2145" s="13">
        <v>0.0</v>
      </c>
      <c r="K2145" s="12" t="s">
        <v>21</v>
      </c>
      <c r="L2145" s="7">
        <v>42067.85611111111</v>
      </c>
      <c r="M2145" s="16"/>
      <c r="N2145" s="16"/>
      <c r="O2145" s="11" t="str">
        <f>HYPERLINK("https://pbs.twimg.com/profile_images/581037724787822593/wTfuZ2Sd_normal.png","View")</f>
        <v>View</v>
      </c>
      <c r="P2145" s="15"/>
    </row>
    <row r="2146">
      <c r="A2146" s="7">
        <v>42426.06251157407</v>
      </c>
      <c r="B2146" s="8" t="str">
        <f>HYPERLINK("https://twitter.com/Informatica64","@Informatica64")</f>
        <v>@Informatica64</v>
      </c>
      <c r="C2146" s="10" t="s">
        <v>4565</v>
      </c>
      <c r="D2146" s="10" t="s">
        <v>564</v>
      </c>
      <c r="E2146" s="11" t="str">
        <f>HYPERLINK("https://twitter.com/Informatica64/status/703150012834848769","703150012834848769")</f>
        <v>703150012834848769</v>
      </c>
      <c r="F2146" s="12" t="s">
        <v>98</v>
      </c>
      <c r="G2146" s="13">
        <v>23623.0</v>
      </c>
      <c r="H2146" s="13">
        <v>702.0</v>
      </c>
      <c r="I2146" s="13">
        <v>4.0</v>
      </c>
      <c r="J2146" s="13">
        <v>0.0</v>
      </c>
      <c r="K2146" s="12" t="s">
        <v>21</v>
      </c>
      <c r="L2146" s="7">
        <v>40179.98365740741</v>
      </c>
      <c r="M2146" s="14" t="s">
        <v>194</v>
      </c>
      <c r="N2146" s="14" t="s">
        <v>4566</v>
      </c>
      <c r="O2146" s="11" t="str">
        <f>HYPERLINK("https://pbs.twimg.com/profile_images/605156275/i64log_normal.gif","View")</f>
        <v>View</v>
      </c>
      <c r="P2146" s="15"/>
    </row>
    <row r="2147">
      <c r="A2147" s="7">
        <v>42426.0627662037</v>
      </c>
      <c r="B2147" s="8" t="str">
        <f>HYPERLINK("https://twitter.com/_Conserto","@_Conserto")</f>
        <v>@_Conserto</v>
      </c>
      <c r="C2147" s="10" t="s">
        <v>4567</v>
      </c>
      <c r="D2147" s="10" t="s">
        <v>4568</v>
      </c>
      <c r="E2147" s="11" t="str">
        <f>HYPERLINK("https://twitter.com/_Conserto/status/703150103637307392","703150103637307392")</f>
        <v>703150103637307392</v>
      </c>
      <c r="F2147" s="12" t="s">
        <v>446</v>
      </c>
      <c r="G2147" s="13">
        <v>213.0</v>
      </c>
      <c r="H2147" s="13">
        <v>254.0</v>
      </c>
      <c r="I2147" s="13">
        <v>1.0</v>
      </c>
      <c r="J2147" s="13">
        <v>1.0</v>
      </c>
      <c r="K2147" s="12" t="s">
        <v>21</v>
      </c>
      <c r="L2147" s="7">
        <v>41341.319236111114</v>
      </c>
      <c r="M2147" s="16"/>
      <c r="N2147" s="14" t="s">
        <v>4569</v>
      </c>
      <c r="O2147" s="11" t="str">
        <f>HYPERLINK("https://pbs.twimg.com/profile_images/686826588269350912/JnkBiSIb_normal.png","View")</f>
        <v>View</v>
      </c>
      <c r="P2147" s="15"/>
    </row>
    <row r="2148">
      <c r="A2148" s="7">
        <v>42426.06290509259</v>
      </c>
      <c r="B2148" s="8" t="str">
        <f>HYPERLINK("https://twitter.com/SerDeveloper","@SerDeveloper")</f>
        <v>@SerDeveloper</v>
      </c>
      <c r="C2148" s="10" t="s">
        <v>4570</v>
      </c>
      <c r="D2148" s="10" t="s">
        <v>4571</v>
      </c>
      <c r="E2148" s="11" t="str">
        <f>HYPERLINK("https://twitter.com/SerDeveloper/status/703150153302028290","703150153302028290")</f>
        <v>703150153302028290</v>
      </c>
      <c r="F2148" s="12" t="s">
        <v>294</v>
      </c>
      <c r="G2148" s="13">
        <v>7566.0</v>
      </c>
      <c r="H2148" s="13">
        <v>2709.0</v>
      </c>
      <c r="I2148" s="13">
        <v>0.0</v>
      </c>
      <c r="J2148" s="13">
        <v>0.0</v>
      </c>
      <c r="K2148" s="12" t="s">
        <v>21</v>
      </c>
      <c r="L2148" s="7">
        <v>41193.59409722222</v>
      </c>
      <c r="M2148" s="16"/>
      <c r="N2148" s="14" t="s">
        <v>4572</v>
      </c>
      <c r="O2148" s="11" t="str">
        <f>HYPERLINK("https://pbs.twimg.com/profile_images/632796788307591170/u5o75ERx_normal.png","View")</f>
        <v>View</v>
      </c>
      <c r="P2148" s="15"/>
    </row>
    <row r="2149">
      <c r="A2149" s="7">
        <v>42426.06443287037</v>
      </c>
      <c r="B2149" s="8" t="str">
        <f>HYPERLINK("https://twitter.com/n1videos","@n1videos")</f>
        <v>@n1videos</v>
      </c>
      <c r="C2149" s="9" t="s">
        <v>4573</v>
      </c>
      <c r="D2149" s="10" t="s">
        <v>4574</v>
      </c>
      <c r="E2149" s="11" t="str">
        <f>HYPERLINK("https://twitter.com/n1videos/status/703150709785538564","703150709785538564")</f>
        <v>703150709785538564</v>
      </c>
      <c r="F2149" s="17" t="s">
        <v>4573</v>
      </c>
      <c r="G2149" s="13">
        <v>11993.0</v>
      </c>
      <c r="H2149" s="13">
        <v>12746.0</v>
      </c>
      <c r="I2149" s="13">
        <v>0.0</v>
      </c>
      <c r="J2149" s="13">
        <v>0.0</v>
      </c>
      <c r="K2149" s="12" t="s">
        <v>21</v>
      </c>
      <c r="L2149" s="7">
        <v>41757.737291666665</v>
      </c>
      <c r="M2149" s="16"/>
      <c r="N2149" s="14" t="s">
        <v>4575</v>
      </c>
      <c r="O2149" s="11" t="str">
        <f>HYPERLINK("https://pbs.twimg.com/profile_images/600057418182205440/hfBiBMAV_normal.png","View")</f>
        <v>View</v>
      </c>
      <c r="P2149" s="15"/>
    </row>
    <row r="2150">
      <c r="A2150" s="7">
        <v>42426.06471064815</v>
      </c>
      <c r="B2150" s="8" t="str">
        <f t="shared" ref="B2150:B2158" si="223">HYPERLINK("https://twitter.com/artwisanggeni","@artwisanggeni")</f>
        <v>@artwisanggeni</v>
      </c>
      <c r="C2150" s="10" t="s">
        <v>74</v>
      </c>
      <c r="D2150" s="10" t="s">
        <v>4576</v>
      </c>
      <c r="E2150" s="11" t="str">
        <f>HYPERLINK("https://twitter.com/artwisanggeni/status/703150808322306049","703150808322306049")</f>
        <v>703150808322306049</v>
      </c>
      <c r="F2150" s="17" t="s">
        <v>76</v>
      </c>
      <c r="G2150" s="13">
        <v>236.0</v>
      </c>
      <c r="H2150" s="13">
        <v>61.0</v>
      </c>
      <c r="I2150" s="13">
        <v>0.0</v>
      </c>
      <c r="J2150" s="13">
        <v>0.0</v>
      </c>
      <c r="K2150" s="12" t="s">
        <v>21</v>
      </c>
      <c r="L2150" s="7">
        <v>41218.90608796296</v>
      </c>
      <c r="M2150" s="14" t="s">
        <v>77</v>
      </c>
      <c r="N2150" s="14" t="s">
        <v>78</v>
      </c>
      <c r="O2150" s="11" t="str">
        <f t="shared" ref="O2150:O2158" si="224">HYPERLINK("https://pbs.twimg.com/profile_images/2813636657/599521f69e2bc210a57323b64d8e39e6_normal.jpeg","View")</f>
        <v>View</v>
      </c>
      <c r="P2150" s="15"/>
    </row>
    <row r="2151">
      <c r="A2151" s="7">
        <v>42426.06472222222</v>
      </c>
      <c r="B2151" s="8" t="str">
        <f t="shared" si="223"/>
        <v>@artwisanggeni</v>
      </c>
      <c r="C2151" s="10" t="s">
        <v>74</v>
      </c>
      <c r="D2151" s="10" t="s">
        <v>4577</v>
      </c>
      <c r="E2151" s="11" t="str">
        <f>HYPERLINK("https://twitter.com/artwisanggeni/status/703150812889911296","703150812889911296")</f>
        <v>703150812889911296</v>
      </c>
      <c r="F2151" s="17" t="s">
        <v>76</v>
      </c>
      <c r="G2151" s="13">
        <v>236.0</v>
      </c>
      <c r="H2151" s="13">
        <v>61.0</v>
      </c>
      <c r="I2151" s="13">
        <v>0.0</v>
      </c>
      <c r="J2151" s="13">
        <v>0.0</v>
      </c>
      <c r="K2151" s="12" t="s">
        <v>21</v>
      </c>
      <c r="L2151" s="7">
        <v>41218.90608796296</v>
      </c>
      <c r="M2151" s="14" t="s">
        <v>77</v>
      </c>
      <c r="N2151" s="14" t="s">
        <v>78</v>
      </c>
      <c r="O2151" s="11" t="str">
        <f t="shared" si="224"/>
        <v>View</v>
      </c>
      <c r="P2151" s="15"/>
    </row>
    <row r="2152">
      <c r="A2152" s="7">
        <v>42426.064733796295</v>
      </c>
      <c r="B2152" s="8" t="str">
        <f t="shared" si="223"/>
        <v>@artwisanggeni</v>
      </c>
      <c r="C2152" s="10" t="s">
        <v>74</v>
      </c>
      <c r="D2152" s="10" t="s">
        <v>4578</v>
      </c>
      <c r="E2152" s="11" t="str">
        <f>HYPERLINK("https://twitter.com/artwisanggeni/status/703150817189072897","703150817189072897")</f>
        <v>703150817189072897</v>
      </c>
      <c r="F2152" s="17" t="s">
        <v>76</v>
      </c>
      <c r="G2152" s="13">
        <v>236.0</v>
      </c>
      <c r="H2152" s="13">
        <v>61.0</v>
      </c>
      <c r="I2152" s="13">
        <v>0.0</v>
      </c>
      <c r="J2152" s="13">
        <v>0.0</v>
      </c>
      <c r="K2152" s="12" t="s">
        <v>21</v>
      </c>
      <c r="L2152" s="7">
        <v>41218.90608796296</v>
      </c>
      <c r="M2152" s="14" t="s">
        <v>77</v>
      </c>
      <c r="N2152" s="14" t="s">
        <v>78</v>
      </c>
      <c r="O2152" s="11" t="str">
        <f t="shared" si="224"/>
        <v>View</v>
      </c>
      <c r="P2152" s="15"/>
    </row>
    <row r="2153">
      <c r="A2153" s="7">
        <v>42426.06474537037</v>
      </c>
      <c r="B2153" s="8" t="str">
        <f t="shared" si="223"/>
        <v>@artwisanggeni</v>
      </c>
      <c r="C2153" s="10" t="s">
        <v>74</v>
      </c>
      <c r="D2153" s="10" t="s">
        <v>4579</v>
      </c>
      <c r="E2153" s="11" t="str">
        <f>HYPERLINK("https://twitter.com/artwisanggeni/status/703150821265936384","703150821265936384")</f>
        <v>703150821265936384</v>
      </c>
      <c r="F2153" s="17" t="s">
        <v>76</v>
      </c>
      <c r="G2153" s="13">
        <v>236.0</v>
      </c>
      <c r="H2153" s="13">
        <v>61.0</v>
      </c>
      <c r="I2153" s="13">
        <v>0.0</v>
      </c>
      <c r="J2153" s="13">
        <v>0.0</v>
      </c>
      <c r="K2153" s="12" t="s">
        <v>21</v>
      </c>
      <c r="L2153" s="7">
        <v>41218.90608796296</v>
      </c>
      <c r="M2153" s="14" t="s">
        <v>77</v>
      </c>
      <c r="N2153" s="14" t="s">
        <v>78</v>
      </c>
      <c r="O2153" s="11" t="str">
        <f t="shared" si="224"/>
        <v>View</v>
      </c>
      <c r="P2153" s="15"/>
    </row>
    <row r="2154">
      <c r="A2154" s="7">
        <v>42426.06475694444</v>
      </c>
      <c r="B2154" s="8" t="str">
        <f t="shared" si="223"/>
        <v>@artwisanggeni</v>
      </c>
      <c r="C2154" s="10" t="s">
        <v>74</v>
      </c>
      <c r="D2154" s="10" t="s">
        <v>4580</v>
      </c>
      <c r="E2154" s="11" t="str">
        <f>HYPERLINK("https://twitter.com/artwisanggeni/status/703150825841913856","703150825841913856")</f>
        <v>703150825841913856</v>
      </c>
      <c r="F2154" s="17" t="s">
        <v>76</v>
      </c>
      <c r="G2154" s="13">
        <v>236.0</v>
      </c>
      <c r="H2154" s="13">
        <v>61.0</v>
      </c>
      <c r="I2154" s="13">
        <v>0.0</v>
      </c>
      <c r="J2154" s="13">
        <v>0.0</v>
      </c>
      <c r="K2154" s="12" t="s">
        <v>21</v>
      </c>
      <c r="L2154" s="7">
        <v>41218.90608796296</v>
      </c>
      <c r="M2154" s="14" t="s">
        <v>77</v>
      </c>
      <c r="N2154" s="14" t="s">
        <v>78</v>
      </c>
      <c r="O2154" s="11" t="str">
        <f t="shared" si="224"/>
        <v>View</v>
      </c>
      <c r="P2154" s="15"/>
    </row>
    <row r="2155">
      <c r="A2155" s="7">
        <v>42426.06476851852</v>
      </c>
      <c r="B2155" s="8" t="str">
        <f t="shared" si="223"/>
        <v>@artwisanggeni</v>
      </c>
      <c r="C2155" s="10" t="s">
        <v>74</v>
      </c>
      <c r="D2155" s="10" t="s">
        <v>4581</v>
      </c>
      <c r="E2155" s="11" t="str">
        <f>HYPERLINK("https://twitter.com/artwisanggeni/status/703150831361626112","703150831361626112")</f>
        <v>703150831361626112</v>
      </c>
      <c r="F2155" s="17" t="s">
        <v>76</v>
      </c>
      <c r="G2155" s="13">
        <v>236.0</v>
      </c>
      <c r="H2155" s="13">
        <v>61.0</v>
      </c>
      <c r="I2155" s="13">
        <v>0.0</v>
      </c>
      <c r="J2155" s="13">
        <v>0.0</v>
      </c>
      <c r="K2155" s="12" t="s">
        <v>21</v>
      </c>
      <c r="L2155" s="7">
        <v>41218.90608796296</v>
      </c>
      <c r="M2155" s="14" t="s">
        <v>77</v>
      </c>
      <c r="N2155" s="14" t="s">
        <v>78</v>
      </c>
      <c r="O2155" s="11" t="str">
        <f t="shared" si="224"/>
        <v>View</v>
      </c>
      <c r="P2155" s="15"/>
    </row>
    <row r="2156">
      <c r="A2156" s="7">
        <v>42426.064780092594</v>
      </c>
      <c r="B2156" s="8" t="str">
        <f t="shared" si="223"/>
        <v>@artwisanggeni</v>
      </c>
      <c r="C2156" s="10" t="s">
        <v>74</v>
      </c>
      <c r="D2156" s="10" t="s">
        <v>4582</v>
      </c>
      <c r="E2156" s="11" t="str">
        <f>HYPERLINK("https://twitter.com/artwisanggeni/status/703150835350392837","703150835350392837")</f>
        <v>703150835350392837</v>
      </c>
      <c r="F2156" s="17" t="s">
        <v>76</v>
      </c>
      <c r="G2156" s="13">
        <v>236.0</v>
      </c>
      <c r="H2156" s="13">
        <v>61.0</v>
      </c>
      <c r="I2156" s="13">
        <v>0.0</v>
      </c>
      <c r="J2156" s="13">
        <v>0.0</v>
      </c>
      <c r="K2156" s="12" t="s">
        <v>21</v>
      </c>
      <c r="L2156" s="7">
        <v>41218.90608796296</v>
      </c>
      <c r="M2156" s="14" t="s">
        <v>77</v>
      </c>
      <c r="N2156" s="14" t="s">
        <v>78</v>
      </c>
      <c r="O2156" s="11" t="str">
        <f t="shared" si="224"/>
        <v>View</v>
      </c>
      <c r="P2156" s="15"/>
    </row>
    <row r="2157">
      <c r="A2157" s="7">
        <v>42426.064791666664</v>
      </c>
      <c r="B2157" s="8" t="str">
        <f t="shared" si="223"/>
        <v>@artwisanggeni</v>
      </c>
      <c r="C2157" s="10" t="s">
        <v>74</v>
      </c>
      <c r="D2157" s="10" t="s">
        <v>4583</v>
      </c>
      <c r="E2157" s="11" t="str">
        <f>HYPERLINK("https://twitter.com/artwisanggeni/status/703150838718402561","703150838718402561")</f>
        <v>703150838718402561</v>
      </c>
      <c r="F2157" s="17" t="s">
        <v>76</v>
      </c>
      <c r="G2157" s="13">
        <v>236.0</v>
      </c>
      <c r="H2157" s="13">
        <v>61.0</v>
      </c>
      <c r="I2157" s="13">
        <v>0.0</v>
      </c>
      <c r="J2157" s="13">
        <v>0.0</v>
      </c>
      <c r="K2157" s="12" t="s">
        <v>21</v>
      </c>
      <c r="L2157" s="7">
        <v>41218.90608796296</v>
      </c>
      <c r="M2157" s="14" t="s">
        <v>77</v>
      </c>
      <c r="N2157" s="14" t="s">
        <v>78</v>
      </c>
      <c r="O2157" s="11" t="str">
        <f t="shared" si="224"/>
        <v>View</v>
      </c>
      <c r="P2157" s="15"/>
    </row>
    <row r="2158">
      <c r="A2158" s="7">
        <v>42426.06480324074</v>
      </c>
      <c r="B2158" s="8" t="str">
        <f t="shared" si="223"/>
        <v>@artwisanggeni</v>
      </c>
      <c r="C2158" s="10" t="s">
        <v>74</v>
      </c>
      <c r="D2158" s="10" t="s">
        <v>4584</v>
      </c>
      <c r="E2158" s="11" t="str">
        <f>HYPERLINK("https://twitter.com/artwisanggeni/status/703150842069692416","703150842069692416")</f>
        <v>703150842069692416</v>
      </c>
      <c r="F2158" s="17" t="s">
        <v>76</v>
      </c>
      <c r="G2158" s="13">
        <v>236.0</v>
      </c>
      <c r="H2158" s="13">
        <v>61.0</v>
      </c>
      <c r="I2158" s="13">
        <v>0.0</v>
      </c>
      <c r="J2158" s="13">
        <v>1.0</v>
      </c>
      <c r="K2158" s="12" t="s">
        <v>21</v>
      </c>
      <c r="L2158" s="7">
        <v>41218.90608796296</v>
      </c>
      <c r="M2158" s="14" t="s">
        <v>77</v>
      </c>
      <c r="N2158" s="14" t="s">
        <v>78</v>
      </c>
      <c r="O2158" s="11" t="str">
        <f t="shared" si="224"/>
        <v>View</v>
      </c>
      <c r="P2158" s="15"/>
    </row>
    <row r="2159">
      <c r="A2159" s="7">
        <v>42426.06525462963</v>
      </c>
      <c r="B2159" s="8" t="str">
        <f t="shared" ref="B2159:B2160" si="225">HYPERLINK("https://twitter.com/LillianEdmiston","@LillianEdmiston")</f>
        <v>@LillianEdmiston</v>
      </c>
      <c r="C2159" s="10" t="s">
        <v>170</v>
      </c>
      <c r="D2159" s="10" t="s">
        <v>4585</v>
      </c>
      <c r="E2159" s="11" t="str">
        <f>HYPERLINK("https://twitter.com/LillianEdmiston/status/703151007824367618","703151007824367618")</f>
        <v>703151007824367618</v>
      </c>
      <c r="F2159" s="12" t="s">
        <v>103</v>
      </c>
      <c r="G2159" s="13">
        <v>1050.0</v>
      </c>
      <c r="H2159" s="13">
        <v>40.0</v>
      </c>
      <c r="I2159" s="13">
        <v>3.0</v>
      </c>
      <c r="J2159" s="13">
        <v>3.0</v>
      </c>
      <c r="K2159" s="12" t="s">
        <v>21</v>
      </c>
      <c r="L2159" s="7">
        <v>42293.27416666667</v>
      </c>
      <c r="M2159" s="14" t="s">
        <v>172</v>
      </c>
      <c r="N2159" s="14" t="s">
        <v>173</v>
      </c>
      <c r="O2159" s="11" t="str">
        <f t="shared" ref="O2159:O2160" si="226">HYPERLINK("https://pbs.twimg.com/profile_images/655014978101993476/ZpsnJW8B_normal.jpg","View")</f>
        <v>View</v>
      </c>
      <c r="P2159" s="15"/>
    </row>
    <row r="2160">
      <c r="A2160" s="7">
        <v>42426.0652662037</v>
      </c>
      <c r="B2160" s="8" t="str">
        <f t="shared" si="225"/>
        <v>@LillianEdmiston</v>
      </c>
      <c r="C2160" s="10" t="s">
        <v>170</v>
      </c>
      <c r="D2160" s="10" t="s">
        <v>4586</v>
      </c>
      <c r="E2160" s="11" t="str">
        <f>HYPERLINK("https://twitter.com/LillianEdmiston/status/703151009502068737","703151009502068737")</f>
        <v>703151009502068737</v>
      </c>
      <c r="F2160" s="12" t="s">
        <v>103</v>
      </c>
      <c r="G2160" s="13">
        <v>1050.0</v>
      </c>
      <c r="H2160" s="13">
        <v>40.0</v>
      </c>
      <c r="I2160" s="13">
        <v>1.0</v>
      </c>
      <c r="J2160" s="13">
        <v>0.0</v>
      </c>
      <c r="K2160" s="12" t="s">
        <v>21</v>
      </c>
      <c r="L2160" s="7">
        <v>42293.27416666667</v>
      </c>
      <c r="M2160" s="14" t="s">
        <v>172</v>
      </c>
      <c r="N2160" s="14" t="s">
        <v>173</v>
      </c>
      <c r="O2160" s="11" t="str">
        <f t="shared" si="226"/>
        <v>View</v>
      </c>
      <c r="P2160" s="15"/>
    </row>
    <row r="2161">
      <c r="A2161" s="7">
        <v>42426.0652662037</v>
      </c>
      <c r="B2161" s="8" t="str">
        <f t="shared" ref="B2161:B2162" si="227">HYPERLINK("https://twitter.com/ameanmbot","@ameanmbot")</f>
        <v>@ameanmbot</v>
      </c>
      <c r="C2161" s="10" t="s">
        <v>174</v>
      </c>
      <c r="D2161" s="10" t="s">
        <v>4587</v>
      </c>
      <c r="E2161" s="11" t="str">
        <f>HYPERLINK("https://twitter.com/ameanmbot/status/703151010491998208","703151010491998208")</f>
        <v>703151010491998208</v>
      </c>
      <c r="F2161" s="12" t="s">
        <v>176</v>
      </c>
      <c r="G2161" s="13">
        <v>3291.0</v>
      </c>
      <c r="H2161" s="13">
        <v>1.0</v>
      </c>
      <c r="I2161" s="13">
        <v>3.0</v>
      </c>
      <c r="J2161" s="13">
        <v>0.0</v>
      </c>
      <c r="K2161" s="12" t="s">
        <v>21</v>
      </c>
      <c r="L2161" s="7">
        <v>41814.009733796294</v>
      </c>
      <c r="M2161" s="16"/>
      <c r="N2161" s="14" t="s">
        <v>177</v>
      </c>
      <c r="O2161" s="11" t="str">
        <f t="shared" ref="O2161:O2162" si="228">HYPERLINK("https://pbs.twimg.com/profile_images/481334978161029120/iu3zZFEk_normal.png","View")</f>
        <v>View</v>
      </c>
      <c r="P2161" s="15"/>
    </row>
    <row r="2162">
      <c r="A2162" s="7">
        <v>42426.0652662037</v>
      </c>
      <c r="B2162" s="8" t="str">
        <f t="shared" si="227"/>
        <v>@ameanmbot</v>
      </c>
      <c r="C2162" s="10" t="s">
        <v>174</v>
      </c>
      <c r="D2162" s="10" t="s">
        <v>4588</v>
      </c>
      <c r="E2162" s="11" t="str">
        <f>HYPERLINK("https://twitter.com/ameanmbot/status/703151011922186240","703151011922186240")</f>
        <v>703151011922186240</v>
      </c>
      <c r="F2162" s="12" t="s">
        <v>176</v>
      </c>
      <c r="G2162" s="13">
        <v>3291.0</v>
      </c>
      <c r="H2162" s="13">
        <v>1.0</v>
      </c>
      <c r="I2162" s="13">
        <v>1.0</v>
      </c>
      <c r="J2162" s="13">
        <v>0.0</v>
      </c>
      <c r="K2162" s="12" t="s">
        <v>21</v>
      </c>
      <c r="L2162" s="7">
        <v>41814.009733796294</v>
      </c>
      <c r="M2162" s="16"/>
      <c r="N2162" s="14" t="s">
        <v>177</v>
      </c>
      <c r="O2162" s="11" t="str">
        <f t="shared" si="228"/>
        <v>View</v>
      </c>
      <c r="P2162" s="15"/>
    </row>
    <row r="2163">
      <c r="A2163" s="7">
        <v>42426.06527777778</v>
      </c>
      <c r="B2163" s="8" t="str">
        <f>HYPERLINK("https://twitter.com/LillianEdmiston","@LillianEdmiston")</f>
        <v>@LillianEdmiston</v>
      </c>
      <c r="C2163" s="10" t="s">
        <v>170</v>
      </c>
      <c r="D2163" s="10" t="s">
        <v>4589</v>
      </c>
      <c r="E2163" s="11" t="str">
        <f>HYPERLINK("https://twitter.com/LillianEdmiston/status/703151016267481088","703151016267481088")</f>
        <v>703151016267481088</v>
      </c>
      <c r="F2163" s="12" t="s">
        <v>103</v>
      </c>
      <c r="G2163" s="13">
        <v>1050.0</v>
      </c>
      <c r="H2163" s="13">
        <v>40.0</v>
      </c>
      <c r="I2163" s="13">
        <v>1.0</v>
      </c>
      <c r="J2163" s="13">
        <v>0.0</v>
      </c>
      <c r="K2163" s="12" t="s">
        <v>21</v>
      </c>
      <c r="L2163" s="7">
        <v>42293.27416666667</v>
      </c>
      <c r="M2163" s="14" t="s">
        <v>172</v>
      </c>
      <c r="N2163" s="14" t="s">
        <v>173</v>
      </c>
      <c r="O2163" s="11" t="str">
        <f>HYPERLINK("https://pbs.twimg.com/profile_images/655014978101993476/ZpsnJW8B_normal.jpg","View")</f>
        <v>View</v>
      </c>
      <c r="P2163" s="15"/>
    </row>
    <row r="2164">
      <c r="A2164" s="7">
        <v>42426.065289351856</v>
      </c>
      <c r="B2164" s="8" t="str">
        <f>HYPERLINK("https://twitter.com/ameanmbot","@ameanmbot")</f>
        <v>@ameanmbot</v>
      </c>
      <c r="C2164" s="10" t="s">
        <v>174</v>
      </c>
      <c r="D2164" s="10" t="s">
        <v>4590</v>
      </c>
      <c r="E2164" s="11" t="str">
        <f>HYPERLINK("https://twitter.com/ameanmbot/status/703151018628911104","703151018628911104")</f>
        <v>703151018628911104</v>
      </c>
      <c r="F2164" s="12" t="s">
        <v>176</v>
      </c>
      <c r="G2164" s="13">
        <v>3291.0</v>
      </c>
      <c r="H2164" s="13">
        <v>1.0</v>
      </c>
      <c r="I2164" s="13">
        <v>1.0</v>
      </c>
      <c r="J2164" s="13">
        <v>0.0</v>
      </c>
      <c r="K2164" s="12" t="s">
        <v>21</v>
      </c>
      <c r="L2164" s="7">
        <v>41814.009733796294</v>
      </c>
      <c r="M2164" s="16"/>
      <c r="N2164" s="14" t="s">
        <v>177</v>
      </c>
      <c r="O2164" s="11" t="str">
        <f>HYPERLINK("https://pbs.twimg.com/profile_images/481334978161029120/iu3zZFEk_normal.png","View")</f>
        <v>View</v>
      </c>
      <c r="P2164" s="15"/>
    </row>
    <row r="2165">
      <c r="A2165" s="7">
        <v>42426.06606481482</v>
      </c>
      <c r="B2165" s="8" t="str">
        <f>HYPERLINK("https://twitter.com/QuantInsti","@QuantInsti")</f>
        <v>@QuantInsti</v>
      </c>
      <c r="C2165" s="10" t="s">
        <v>32</v>
      </c>
      <c r="D2165" s="10" t="s">
        <v>4591</v>
      </c>
      <c r="E2165" s="11" t="str">
        <f>HYPERLINK("https://twitter.com/QuantInsti/status/703151299722743808","703151299722743808")</f>
        <v>703151299722743808</v>
      </c>
      <c r="F2165" s="12" t="s">
        <v>659</v>
      </c>
      <c r="G2165" s="13">
        <v>857.0</v>
      </c>
      <c r="H2165" s="13">
        <v>657.0</v>
      </c>
      <c r="I2165" s="13">
        <v>0.0</v>
      </c>
      <c r="J2165" s="13">
        <v>3.0</v>
      </c>
      <c r="K2165" s="12" t="s">
        <v>21</v>
      </c>
      <c r="L2165" s="7">
        <v>41191.158530092594</v>
      </c>
      <c r="M2165" s="14" t="s">
        <v>34</v>
      </c>
      <c r="N2165" s="14" t="s">
        <v>35</v>
      </c>
      <c r="O2165" s="11" t="str">
        <f>HYPERLINK("https://pbs.twimg.com/profile_images/3272414315/6100aa5e267d6fc1e2e67b0782d34134_normal.jpeg","View")</f>
        <v>View</v>
      </c>
      <c r="P2165" s="15"/>
    </row>
    <row r="2166">
      <c r="A2166" s="7">
        <v>42426.06633101852</v>
      </c>
      <c r="B2166" s="8" t="str">
        <f>HYPERLINK("https://twitter.com/zaidkhanintel","@zaidkhanintel")</f>
        <v>@zaidkhanintel</v>
      </c>
      <c r="C2166" s="10" t="s">
        <v>4592</v>
      </c>
      <c r="D2166" s="10" t="s">
        <v>4593</v>
      </c>
      <c r="E2166" s="11" t="str">
        <f>HYPERLINK("https://twitter.com/zaidkhanintel/status/703151395776495620","703151395776495620")</f>
        <v>703151395776495620</v>
      </c>
      <c r="F2166" s="12" t="s">
        <v>20</v>
      </c>
      <c r="G2166" s="13">
        <v>269.0</v>
      </c>
      <c r="H2166" s="13">
        <v>1017.0</v>
      </c>
      <c r="I2166" s="13">
        <v>1.0</v>
      </c>
      <c r="J2166" s="13">
        <v>2.0</v>
      </c>
      <c r="K2166" s="12" t="s">
        <v>21</v>
      </c>
      <c r="L2166" s="7">
        <v>40879.065300925926</v>
      </c>
      <c r="M2166" s="14" t="s">
        <v>34</v>
      </c>
      <c r="N2166" s="14" t="s">
        <v>4594</v>
      </c>
      <c r="O2166" s="11" t="str">
        <f>HYPERLINK("https://pbs.twimg.com/profile_images/634422118810161153/F7Dlof87_normal.jpg","View")</f>
        <v>View</v>
      </c>
      <c r="P2166" s="15"/>
    </row>
    <row r="2167">
      <c r="A2167" s="7">
        <v>42426.06726851852</v>
      </c>
      <c r="B2167" s="8" t="str">
        <f>HYPERLINK("https://twitter.com/jdimov","@jdimov")</f>
        <v>@jdimov</v>
      </c>
      <c r="C2167" s="10" t="s">
        <v>4595</v>
      </c>
      <c r="D2167" s="10" t="s">
        <v>4596</v>
      </c>
      <c r="E2167" s="11" t="str">
        <f>HYPERLINK("https://twitter.com/jdimov/status/703151735913598981","703151735913598981")</f>
        <v>703151735913598981</v>
      </c>
      <c r="F2167" s="12" t="s">
        <v>20</v>
      </c>
      <c r="G2167" s="13">
        <v>286.0</v>
      </c>
      <c r="H2167" s="13">
        <v>57.0</v>
      </c>
      <c r="I2167" s="13">
        <v>1.0</v>
      </c>
      <c r="J2167" s="13">
        <v>6.0</v>
      </c>
      <c r="K2167" s="12" t="s">
        <v>21</v>
      </c>
      <c r="L2167" s="7">
        <v>40579.4683912037</v>
      </c>
      <c r="M2167" s="14" t="s">
        <v>1093</v>
      </c>
      <c r="N2167" s="14" t="s">
        <v>4597</v>
      </c>
      <c r="O2167" s="11" t="str">
        <f>HYPERLINK("https://pbs.twimg.com/profile_images/593526370937876480/UqX0p6bg_normal.jpg","View")</f>
        <v>View</v>
      </c>
      <c r="P2167" s="15"/>
    </row>
    <row r="2168">
      <c r="A2168" s="7">
        <v>42426.06793981481</v>
      </c>
      <c r="B2168" s="8" t="str">
        <f>HYPERLINK("https://twitter.com/AirwentGames","@AirwentGames")</f>
        <v>@AirwentGames</v>
      </c>
      <c r="C2168" s="10" t="s">
        <v>4598</v>
      </c>
      <c r="D2168" s="10" t="s">
        <v>4599</v>
      </c>
      <c r="E2168" s="11" t="str">
        <f>HYPERLINK("https://twitter.com/AirwentGames/status/703151978562457600","703151978562457600")</f>
        <v>703151978562457600</v>
      </c>
      <c r="F2168" s="12" t="s">
        <v>4600</v>
      </c>
      <c r="G2168" s="13">
        <v>555.0</v>
      </c>
      <c r="H2168" s="13">
        <v>0.0</v>
      </c>
      <c r="I2168" s="13">
        <v>1.0</v>
      </c>
      <c r="J2168" s="13">
        <v>0.0</v>
      </c>
      <c r="K2168" s="12" t="s">
        <v>21</v>
      </c>
      <c r="L2168" s="7">
        <v>42210.25234953704</v>
      </c>
      <c r="M2168" s="16"/>
      <c r="N2168" s="14" t="s">
        <v>4601</v>
      </c>
      <c r="O2168" s="11" t="str">
        <f>HYPERLINK("https://pbs.twimg.com/profile_images/677771192279932929/YqEN8wX9_normal.png","View")</f>
        <v>View</v>
      </c>
      <c r="P2168" s="15"/>
    </row>
    <row r="2169">
      <c r="A2169" s="7">
        <v>42426.06805555556</v>
      </c>
      <c r="B2169" s="8" t="str">
        <f>HYPERLINK("https://twitter.com/jremes84","@jremes84")</f>
        <v>@jremes84</v>
      </c>
      <c r="C2169" s="10" t="s">
        <v>4602</v>
      </c>
      <c r="D2169" s="10" t="s">
        <v>4603</v>
      </c>
      <c r="E2169" s="11" t="str">
        <f>HYPERLINK("https://twitter.com/jremes84/status/703152022946582529","703152022946582529")</f>
        <v>703152022946582529</v>
      </c>
      <c r="F2169" s="12" t="s">
        <v>20</v>
      </c>
      <c r="G2169" s="13">
        <v>1693.0</v>
      </c>
      <c r="H2169" s="13">
        <v>1695.0</v>
      </c>
      <c r="I2169" s="13">
        <v>0.0</v>
      </c>
      <c r="J2169" s="13">
        <v>0.0</v>
      </c>
      <c r="K2169" s="12" t="s">
        <v>21</v>
      </c>
      <c r="L2169" s="7">
        <v>41389.46517361111</v>
      </c>
      <c r="M2169" s="14" t="s">
        <v>4604</v>
      </c>
      <c r="N2169" s="14" t="s">
        <v>4605</v>
      </c>
      <c r="O2169" s="11" t="str">
        <f>HYPERLINK("https://pbs.twimg.com/profile_images/582215133843365889/LetiaCSH_normal.png","View")</f>
        <v>View</v>
      </c>
      <c r="P2169" s="15"/>
    </row>
    <row r="2170">
      <c r="A2170" s="7">
        <v>42426.06962962963</v>
      </c>
      <c r="B2170" s="8" t="str">
        <f>HYPERLINK("https://twitter.com/komodoide","@komodoide")</f>
        <v>@komodoide</v>
      </c>
      <c r="C2170" s="10" t="s">
        <v>4606</v>
      </c>
      <c r="D2170" s="10" t="s">
        <v>4607</v>
      </c>
      <c r="E2170" s="11" t="str">
        <f>HYPERLINK("https://twitter.com/komodoide/status/703152590289129473","703152590289129473")</f>
        <v>703152590289129473</v>
      </c>
      <c r="F2170" s="12" t="s">
        <v>659</v>
      </c>
      <c r="G2170" s="13">
        <v>3211.0</v>
      </c>
      <c r="H2170" s="13">
        <v>531.0</v>
      </c>
      <c r="I2170" s="13">
        <v>0.0</v>
      </c>
      <c r="J2170" s="13">
        <v>3.0</v>
      </c>
      <c r="K2170" s="12" t="s">
        <v>21</v>
      </c>
      <c r="L2170" s="7">
        <v>41621.37789351852</v>
      </c>
      <c r="M2170" s="14" t="s">
        <v>4608</v>
      </c>
      <c r="N2170" s="14" t="s">
        <v>4609</v>
      </c>
      <c r="O2170" s="11" t="str">
        <f>HYPERLINK("https://pbs.twimg.com/profile_images/667759734276001792/ikgCh8sn_normal.png","View")</f>
        <v>View</v>
      </c>
      <c r="P2170" s="15"/>
    </row>
    <row r="2171">
      <c r="A2171" s="7">
        <v>42426.06969907407</v>
      </c>
      <c r="B2171" s="8" t="str">
        <f>HYPERLINK("https://twitter.com/HarriSrivastav","@HarriSrivastav")</f>
        <v>@HarriSrivastav</v>
      </c>
      <c r="C2171" s="10" t="s">
        <v>3808</v>
      </c>
      <c r="D2171" s="10" t="s">
        <v>4610</v>
      </c>
      <c r="E2171" s="11" t="str">
        <f>HYPERLINK("https://twitter.com/HarriSrivastav/status/703152617422065665","703152617422065665")</f>
        <v>703152617422065665</v>
      </c>
      <c r="F2171" s="12" t="s">
        <v>659</v>
      </c>
      <c r="G2171" s="13">
        <v>1300.0</v>
      </c>
      <c r="H2171" s="13">
        <v>1282.0</v>
      </c>
      <c r="I2171" s="13">
        <v>1.0</v>
      </c>
      <c r="J2171" s="13">
        <v>1.0</v>
      </c>
      <c r="K2171" s="12" t="s">
        <v>21</v>
      </c>
      <c r="L2171" s="7">
        <v>42173.163125</v>
      </c>
      <c r="M2171" s="14" t="s">
        <v>761</v>
      </c>
      <c r="N2171" s="14" t="s">
        <v>3810</v>
      </c>
      <c r="O2171" s="11" t="str">
        <f>HYPERLINK("https://pbs.twimg.com/profile_images/631722182180102145/d37Eq9sH_normal.jpg","View")</f>
        <v>View</v>
      </c>
      <c r="P2171" s="15"/>
    </row>
    <row r="2172">
      <c r="A2172" s="7">
        <v>42426.0706712963</v>
      </c>
      <c r="B2172" s="8" t="str">
        <f>HYPERLINK("https://twitter.com/JohReichard","@JohReichard")</f>
        <v>@JohReichard</v>
      </c>
      <c r="C2172" s="10" t="s">
        <v>4611</v>
      </c>
      <c r="D2172" s="10" t="s">
        <v>4612</v>
      </c>
      <c r="E2172" s="11" t="str">
        <f>HYPERLINK("https://twitter.com/JohReichard/status/703152967633883136","703152967633883136")</f>
        <v>703152967633883136</v>
      </c>
      <c r="F2172" s="12" t="s">
        <v>446</v>
      </c>
      <c r="G2172" s="13">
        <v>62.0</v>
      </c>
      <c r="H2172" s="13">
        <v>141.0</v>
      </c>
      <c r="I2172" s="13">
        <v>0.0</v>
      </c>
      <c r="J2172" s="13">
        <v>1.0</v>
      </c>
      <c r="K2172" s="12" t="s">
        <v>21</v>
      </c>
      <c r="L2172" s="7">
        <v>40984.66790509259</v>
      </c>
      <c r="M2172" s="14" t="s">
        <v>4613</v>
      </c>
      <c r="N2172" s="14" t="s">
        <v>4614</v>
      </c>
      <c r="O2172" s="11" t="str">
        <f>HYPERLINK("https://pbs.twimg.com/profile_images/612153021842214912/sccyNJtH_normal.jpg","View")</f>
        <v>View</v>
      </c>
      <c r="P2172" s="15"/>
    </row>
    <row r="2173">
      <c r="A2173" s="7">
        <v>42426.07068287037</v>
      </c>
      <c r="B2173" s="8" t="str">
        <f>HYPERLINK("https://twitter.com/FULLBRIDGEjp","@FULLBRIDGEjp")</f>
        <v>@FULLBRIDGEjp</v>
      </c>
      <c r="C2173" s="10" t="s">
        <v>4615</v>
      </c>
      <c r="D2173" s="10" t="s">
        <v>4616</v>
      </c>
      <c r="E2173" s="11" t="str">
        <f>HYPERLINK("https://twitter.com/FULLBRIDGEjp/status/703152972197265408","703152972197265408")</f>
        <v>703152972197265408</v>
      </c>
      <c r="F2173" s="12" t="s">
        <v>236</v>
      </c>
      <c r="G2173" s="13">
        <v>52.0</v>
      </c>
      <c r="H2173" s="13">
        <v>68.0</v>
      </c>
      <c r="I2173" s="13">
        <v>0.0</v>
      </c>
      <c r="J2173" s="13">
        <v>0.0</v>
      </c>
      <c r="K2173" s="12" t="s">
        <v>21</v>
      </c>
      <c r="L2173" s="7">
        <v>40698.62519675926</v>
      </c>
      <c r="M2173" s="16"/>
      <c r="N2173" s="14" t="s">
        <v>4617</v>
      </c>
      <c r="O2173" s="11" t="str">
        <f>HYPERLINK("https://pbs.twimg.com/profile_images/378800000821720665/5a21b9f027f382e90fcc1323374a9ec2_normal.jpeg","View")</f>
        <v>View</v>
      </c>
      <c r="P2173" s="15"/>
    </row>
    <row r="2174">
      <c r="A2174" s="7">
        <v>42426.07079861111</v>
      </c>
      <c r="B2174" s="8" t="str">
        <f>HYPERLINK("https://twitter.com/wcmckeedotcom","@wcmckeedotcom")</f>
        <v>@wcmckeedotcom</v>
      </c>
      <c r="C2174" s="10" t="s">
        <v>476</v>
      </c>
      <c r="D2174" s="10" t="s">
        <v>4618</v>
      </c>
      <c r="E2174" s="11" t="str">
        <f>HYPERLINK("https://twitter.com/wcmckeedotcom/status/703153016178737152","703153016178737152")</f>
        <v>703153016178737152</v>
      </c>
      <c r="F2174" s="12" t="s">
        <v>478</v>
      </c>
      <c r="G2174" s="13">
        <v>1011.0</v>
      </c>
      <c r="H2174" s="13">
        <v>875.0</v>
      </c>
      <c r="I2174" s="13">
        <v>0.0</v>
      </c>
      <c r="J2174" s="13">
        <v>0.0</v>
      </c>
      <c r="K2174" s="12" t="s">
        <v>21</v>
      </c>
      <c r="L2174" s="7">
        <v>41902.048368055555</v>
      </c>
      <c r="M2174" s="14" t="s">
        <v>479</v>
      </c>
      <c r="N2174" s="14" t="s">
        <v>480</v>
      </c>
      <c r="O2174" s="11" t="str">
        <f>HYPERLINK("https://pbs.twimg.com/profile_images/621211385746161664/tGchJstD_normal.jpg","View")</f>
        <v>View</v>
      </c>
      <c r="P2174" s="15"/>
    </row>
    <row r="2175">
      <c r="A2175" s="7">
        <v>42426.07099537037</v>
      </c>
      <c r="B2175" s="8" t="str">
        <f>HYPERLINK("https://twitter.com/plon_io","@plon_io")</f>
        <v>@plon_io</v>
      </c>
      <c r="C2175" s="9" t="s">
        <v>4619</v>
      </c>
      <c r="D2175" s="10" t="s">
        <v>4620</v>
      </c>
      <c r="E2175" s="11" t="str">
        <f>HYPERLINK("https://twitter.com/plon_io/status/703153084847894528","703153084847894528")</f>
        <v>703153084847894528</v>
      </c>
      <c r="F2175" s="12" t="s">
        <v>20</v>
      </c>
      <c r="G2175" s="13">
        <v>59.0</v>
      </c>
      <c r="H2175" s="13">
        <v>166.0</v>
      </c>
      <c r="I2175" s="13">
        <v>0.0</v>
      </c>
      <c r="J2175" s="13">
        <v>0.0</v>
      </c>
      <c r="K2175" s="12" t="s">
        <v>21</v>
      </c>
      <c r="L2175" s="7">
        <v>42077.03866898148</v>
      </c>
      <c r="M2175" s="14" t="s">
        <v>4621</v>
      </c>
      <c r="N2175" s="14" t="s">
        <v>4622</v>
      </c>
      <c r="O2175" s="11" t="str">
        <f>HYPERLINK("https://pbs.twimg.com/profile_images/589367041536176128/TfjOhvci_normal.png","View")</f>
        <v>View</v>
      </c>
      <c r="P2175" s="15"/>
    </row>
    <row r="2176">
      <c r="A2176" s="7">
        <v>42426.07144675926</v>
      </c>
      <c r="B2176" s="8" t="str">
        <f>HYPERLINK("https://twitter.com/erlanghacker","@erlanghacker")</f>
        <v>@erlanghacker</v>
      </c>
      <c r="C2176" s="10" t="s">
        <v>4623</v>
      </c>
      <c r="D2176" s="10" t="s">
        <v>4211</v>
      </c>
      <c r="E2176" s="11" t="str">
        <f>HYPERLINK("https://twitter.com/erlanghacker/status/703153250803929088","703153250803929088")</f>
        <v>703153250803929088</v>
      </c>
      <c r="F2176" s="12" t="s">
        <v>52</v>
      </c>
      <c r="G2176" s="13">
        <v>49.0</v>
      </c>
      <c r="H2176" s="13">
        <v>109.0</v>
      </c>
      <c r="I2176" s="13">
        <v>55.0</v>
      </c>
      <c r="J2176" s="13">
        <v>0.0</v>
      </c>
      <c r="K2176" s="12" t="s">
        <v>21</v>
      </c>
      <c r="L2176" s="7">
        <v>41888.45400462963</v>
      </c>
      <c r="M2176" s="14" t="s">
        <v>4624</v>
      </c>
      <c r="N2176" s="14" t="s">
        <v>4625</v>
      </c>
      <c r="O2176" s="11" t="str">
        <f>HYPERLINK("https://pbs.twimg.com/profile_images/510065976658784256/ZzEuNqY0_normal.jpeg","View")</f>
        <v>View</v>
      </c>
      <c r="P2176" s="15"/>
    </row>
    <row r="2177">
      <c r="A2177" s="7">
        <v>42426.07151620371</v>
      </c>
      <c r="B2177" s="8" t="str">
        <f>HYPERLINK("https://twitter.com/ashish_fagna","@ashish_fagna")</f>
        <v>@ashish_fagna</v>
      </c>
      <c r="C2177" s="10" t="s">
        <v>4626</v>
      </c>
      <c r="D2177" s="10" t="s">
        <v>4627</v>
      </c>
      <c r="E2177" s="11" t="str">
        <f>HYPERLINK("https://twitter.com/ashish_fagna/status/703153276238180352","703153276238180352")</f>
        <v>703153276238180352</v>
      </c>
      <c r="F2177" s="12" t="s">
        <v>20</v>
      </c>
      <c r="G2177" s="13">
        <v>914.0</v>
      </c>
      <c r="H2177" s="13">
        <v>1740.0</v>
      </c>
      <c r="I2177" s="13">
        <v>4.0</v>
      </c>
      <c r="J2177" s="13">
        <v>0.0</v>
      </c>
      <c r="K2177" s="12" t="s">
        <v>21</v>
      </c>
      <c r="L2177" s="7">
        <v>40283.063368055555</v>
      </c>
      <c r="M2177" s="14" t="s">
        <v>34</v>
      </c>
      <c r="N2177" s="14" t="s">
        <v>4628</v>
      </c>
      <c r="O2177" s="11" t="str">
        <f>HYPERLINK("https://pbs.twimg.com/profile_images/551815722645479425/shEvNYQP_normal.jpeg","View")</f>
        <v>View</v>
      </c>
      <c r="P2177" s="15"/>
    </row>
    <row r="2178">
      <c r="A2178" s="7">
        <v>42426.07266203704</v>
      </c>
      <c r="B2178" s="8" t="str">
        <f>HYPERLINK("https://twitter.com/pejonz","@pejonz")</f>
        <v>@pejonz</v>
      </c>
      <c r="C2178" s="10" t="s">
        <v>4629</v>
      </c>
      <c r="D2178" s="10" t="s">
        <v>4630</v>
      </c>
      <c r="E2178" s="11" t="str">
        <f>HYPERLINK("https://twitter.com/pejonz/status/703153691310723072","703153691310723072")</f>
        <v>703153691310723072</v>
      </c>
      <c r="F2178" s="12" t="s">
        <v>20</v>
      </c>
      <c r="G2178" s="13">
        <v>1395.0</v>
      </c>
      <c r="H2178" s="13">
        <v>1657.0</v>
      </c>
      <c r="I2178" s="13">
        <v>1.0</v>
      </c>
      <c r="J2178" s="13">
        <v>0.0</v>
      </c>
      <c r="K2178" s="12" t="s">
        <v>21</v>
      </c>
      <c r="L2178" s="7">
        <v>41863.99440972222</v>
      </c>
      <c r="M2178" s="16"/>
      <c r="N2178" s="14" t="s">
        <v>4631</v>
      </c>
      <c r="O2178" s="11" t="str">
        <f>HYPERLINK("https://pbs.twimg.com/profile_images/500253996792037377/2p8jeE6u_normal.jpeg","View")</f>
        <v>View</v>
      </c>
      <c r="P2178" s="15"/>
    </row>
    <row r="2179">
      <c r="A2179" s="7">
        <v>42426.07267361111</v>
      </c>
      <c r="B2179" s="8" t="str">
        <f>HYPERLINK("https://twitter.com/MichelleJanosi","@MichelleJanosi")</f>
        <v>@MichelleJanosi</v>
      </c>
      <c r="C2179" s="10" t="s">
        <v>4632</v>
      </c>
      <c r="D2179" s="10" t="s">
        <v>4633</v>
      </c>
      <c r="E2179" s="11" t="str">
        <f>HYPERLINK("https://twitter.com/MichelleJanosi/status/703153696926879744","703153696926879744")</f>
        <v>703153696926879744</v>
      </c>
      <c r="F2179" s="12" t="s">
        <v>294</v>
      </c>
      <c r="G2179" s="13">
        <v>4351.0</v>
      </c>
      <c r="H2179" s="13">
        <v>478.0</v>
      </c>
      <c r="I2179" s="13">
        <v>0.0</v>
      </c>
      <c r="J2179" s="13">
        <v>0.0</v>
      </c>
      <c r="K2179" s="12" t="s">
        <v>21</v>
      </c>
      <c r="L2179" s="7">
        <v>41098.21773148148</v>
      </c>
      <c r="M2179" s="14" t="s">
        <v>4634</v>
      </c>
      <c r="N2179" s="14" t="s">
        <v>4635</v>
      </c>
      <c r="O2179" s="11" t="str">
        <f>HYPERLINK("https://pbs.twimg.com/profile_images/689772581310717953/FUlyI50B_normal.jpg","View")</f>
        <v>View</v>
      </c>
      <c r="P2179" s="15"/>
    </row>
    <row r="2180">
      <c r="A2180" s="7">
        <v>42426.07305555556</v>
      </c>
      <c r="B2180" s="8" t="str">
        <f>HYPERLINK("https://twitter.com/verbeiren","@verbeiren")</f>
        <v>@verbeiren</v>
      </c>
      <c r="C2180" s="10" t="s">
        <v>4636</v>
      </c>
      <c r="D2180" s="10" t="s">
        <v>4211</v>
      </c>
      <c r="E2180" s="11" t="str">
        <f>HYPERLINK("https://twitter.com/verbeiren/status/703153834273538048","703153834273538048")</f>
        <v>703153834273538048</v>
      </c>
      <c r="F2180" s="12" t="s">
        <v>20</v>
      </c>
      <c r="G2180" s="13">
        <v>159.0</v>
      </c>
      <c r="H2180" s="13">
        <v>602.0</v>
      </c>
      <c r="I2180" s="13">
        <v>55.0</v>
      </c>
      <c r="J2180" s="13">
        <v>0.0</v>
      </c>
      <c r="K2180" s="12" t="s">
        <v>21</v>
      </c>
      <c r="L2180" s="7">
        <v>39992.41106481481</v>
      </c>
      <c r="M2180" s="14" t="s">
        <v>4637</v>
      </c>
      <c r="N2180" s="14" t="s">
        <v>4638</v>
      </c>
      <c r="O2180" s="11" t="str">
        <f>HYPERLINK("https://pbs.twimg.com/profile_images/389225824/n587200100_1088218_6983_1__normal.jpg","View")</f>
        <v>View</v>
      </c>
      <c r="P2180" s="15"/>
    </row>
    <row r="2181">
      <c r="A2181" s="7">
        <v>42426.07335648148</v>
      </c>
      <c r="B2181" s="8" t="str">
        <f>HYPERLINK("https://twitter.com/pflueras","@pflueras")</f>
        <v>@pflueras</v>
      </c>
      <c r="C2181" s="10" t="s">
        <v>4639</v>
      </c>
      <c r="D2181" s="10" t="s">
        <v>4211</v>
      </c>
      <c r="E2181" s="11" t="str">
        <f>HYPERLINK("https://twitter.com/pflueras/status/703153941068906496","703153941068906496")</f>
        <v>703153941068906496</v>
      </c>
      <c r="F2181" s="12" t="s">
        <v>52</v>
      </c>
      <c r="G2181" s="13">
        <v>37.0</v>
      </c>
      <c r="H2181" s="13">
        <v>91.0</v>
      </c>
      <c r="I2181" s="13">
        <v>55.0</v>
      </c>
      <c r="J2181" s="13">
        <v>0.0</v>
      </c>
      <c r="K2181" s="12" t="s">
        <v>21</v>
      </c>
      <c r="L2181" s="7">
        <v>40536.33877314815</v>
      </c>
      <c r="M2181" s="14" t="s">
        <v>4640</v>
      </c>
      <c r="N2181" s="16"/>
      <c r="O2181" s="11" t="str">
        <f>HYPERLINK("https://abs.twimg.com/sticky/default_profile_images/default_profile_2_normal.png","View")</f>
        <v>View</v>
      </c>
      <c r="P2181" s="15"/>
    </row>
    <row r="2182">
      <c r="A2182" s="7">
        <v>42426.073842592596</v>
      </c>
      <c r="B2182" s="8" t="str">
        <f>HYPERLINK("https://twitter.com/fleilgug","@fleilgug")</f>
        <v>@fleilgug</v>
      </c>
      <c r="C2182" s="10" t="s">
        <v>4641</v>
      </c>
      <c r="D2182" s="10" t="s">
        <v>4642</v>
      </c>
      <c r="E2182" s="11" t="str">
        <f>HYPERLINK("https://twitter.com/fleilgug/status/703154118706069504","703154118706069504")</f>
        <v>703154118706069504</v>
      </c>
      <c r="F2182" s="12" t="s">
        <v>20</v>
      </c>
      <c r="G2182" s="13">
        <v>477.0</v>
      </c>
      <c r="H2182" s="13">
        <v>746.0</v>
      </c>
      <c r="I2182" s="13">
        <v>0.0</v>
      </c>
      <c r="J2182" s="13">
        <v>1.0</v>
      </c>
      <c r="K2182" s="12" t="s">
        <v>21</v>
      </c>
      <c r="L2182" s="7">
        <v>40198.04840277778</v>
      </c>
      <c r="M2182" s="14" t="s">
        <v>1093</v>
      </c>
      <c r="N2182" s="14" t="s">
        <v>4643</v>
      </c>
      <c r="O2182" s="11" t="str">
        <f>HYPERLINK("https://pbs.twimg.com/profile_images/499571610349600769/1bqfcj5K_normal.jpeg","View")</f>
        <v>View</v>
      </c>
      <c r="P2182" s="15"/>
    </row>
    <row r="2183">
      <c r="A2183" s="7">
        <v>42426.07493055555</v>
      </c>
      <c r="B2183" s="8" t="str">
        <f>HYPERLINK("https://twitter.com/joonoopenstory","@joonoopenstory")</f>
        <v>@joonoopenstory</v>
      </c>
      <c r="C2183" s="10" t="s">
        <v>2747</v>
      </c>
      <c r="D2183" s="10" t="s">
        <v>2748</v>
      </c>
      <c r="E2183" s="11" t="str">
        <f>HYPERLINK("https://twitter.com/joonoopenstory/status/703154514455502848","703154514455502848")</f>
        <v>703154514455502848</v>
      </c>
      <c r="F2183" s="17" t="s">
        <v>2749</v>
      </c>
      <c r="G2183" s="13">
        <v>2478.0</v>
      </c>
      <c r="H2183" s="13">
        <v>2435.0</v>
      </c>
      <c r="I2183" s="13">
        <v>0.0</v>
      </c>
      <c r="J2183" s="13">
        <v>1.0</v>
      </c>
      <c r="K2183" s="12" t="s">
        <v>21</v>
      </c>
      <c r="L2183" s="7">
        <v>41385.88618055556</v>
      </c>
      <c r="M2183" s="16"/>
      <c r="N2183" s="14" t="s">
        <v>2750</v>
      </c>
      <c r="O2183" s="11" t="str">
        <f>HYPERLINK("https://pbs.twimg.com/profile_images/485962916626067456/IlECTKMq_normal.jpeg","View")</f>
        <v>View</v>
      </c>
      <c r="P2183" s="15"/>
    </row>
    <row r="2184">
      <c r="A2184" s="7">
        <v>42426.076469907406</v>
      </c>
      <c r="B2184" s="8" t="str">
        <f>HYPERLINK("https://twitter.com/GameCreating","@GameCreating")</f>
        <v>@GameCreating</v>
      </c>
      <c r="C2184" s="10" t="s">
        <v>4644</v>
      </c>
      <c r="D2184" s="10" t="s">
        <v>4645</v>
      </c>
      <c r="E2184" s="11" t="str">
        <f>HYPERLINK("https://twitter.com/GameCreating/status/703155068762136576","703155068762136576")</f>
        <v>703155068762136576</v>
      </c>
      <c r="F2184" s="12" t="s">
        <v>4646</v>
      </c>
      <c r="G2184" s="13">
        <v>23824.0</v>
      </c>
      <c r="H2184" s="13">
        <v>39.0</v>
      </c>
      <c r="I2184" s="13">
        <v>0.0</v>
      </c>
      <c r="J2184" s="13">
        <v>0.0</v>
      </c>
      <c r="K2184" s="12" t="s">
        <v>21</v>
      </c>
      <c r="L2184" s="7">
        <v>40843.65574074074</v>
      </c>
      <c r="M2184" s="14" t="s">
        <v>4647</v>
      </c>
      <c r="N2184" s="14" t="s">
        <v>4648</v>
      </c>
      <c r="O2184" s="11" t="str">
        <f>HYPERLINK("https://pbs.twimg.com/profile_images/458957058692247552/kgUWn4RW_normal.jpeg","View")</f>
        <v>View</v>
      </c>
      <c r="P2184" s="15"/>
    </row>
    <row r="2185">
      <c r="A2185" s="7">
        <v>42426.07927083333</v>
      </c>
      <c r="B2185" s="8" t="str">
        <f>HYPERLINK("https://twitter.com/itjobs_pt","@itjobs_pt")</f>
        <v>@itjobs_pt</v>
      </c>
      <c r="C2185" s="10" t="s">
        <v>4649</v>
      </c>
      <c r="D2185" s="10" t="s">
        <v>4650</v>
      </c>
      <c r="E2185" s="11" t="str">
        <f>HYPERLINK("https://twitter.com/itjobs_pt/status/703156087227183104","703156087227183104")</f>
        <v>703156087227183104</v>
      </c>
      <c r="F2185" s="17" t="s">
        <v>76</v>
      </c>
      <c r="G2185" s="13">
        <v>2129.0</v>
      </c>
      <c r="H2185" s="13">
        <v>40.0</v>
      </c>
      <c r="I2185" s="13">
        <v>0.0</v>
      </c>
      <c r="J2185" s="13">
        <v>0.0</v>
      </c>
      <c r="K2185" s="12" t="s">
        <v>21</v>
      </c>
      <c r="L2185" s="7">
        <v>39715.459027777775</v>
      </c>
      <c r="M2185" s="14" t="s">
        <v>4651</v>
      </c>
      <c r="N2185" s="14" t="s">
        <v>4652</v>
      </c>
      <c r="O2185" s="11" t="str">
        <f>HYPERLINK("https://pbs.twimg.com/profile_images/626800856608997376/djs4hzQw_normal.png","View")</f>
        <v>View</v>
      </c>
      <c r="P2185" s="15"/>
    </row>
    <row r="2186">
      <c r="A2186" s="7">
        <v>42426.08018518519</v>
      </c>
      <c r="B2186" s="8" t="str">
        <f>HYPERLINK("https://twitter.com/Shikari_do","@Shikari_do")</f>
        <v>@Shikari_do</v>
      </c>
      <c r="C2186" s="9" t="s">
        <v>4653</v>
      </c>
      <c r="D2186" s="10" t="s">
        <v>4654</v>
      </c>
      <c r="E2186" s="11" t="str">
        <f>HYPERLINK("https://twitter.com/Shikari_do/status/703156418958897152","703156418958897152")</f>
        <v>703156418958897152</v>
      </c>
      <c r="F2186" s="12" t="s">
        <v>4655</v>
      </c>
      <c r="G2186" s="13">
        <v>22.0</v>
      </c>
      <c r="H2186" s="13">
        <v>1.0</v>
      </c>
      <c r="I2186" s="13">
        <v>0.0</v>
      </c>
      <c r="J2186" s="13">
        <v>0.0</v>
      </c>
      <c r="K2186" s="12" t="s">
        <v>21</v>
      </c>
      <c r="L2186" s="7">
        <v>42398.130891203706</v>
      </c>
      <c r="M2186" s="14" t="s">
        <v>4656</v>
      </c>
      <c r="N2186" s="14" t="s">
        <v>4657</v>
      </c>
      <c r="O2186" s="11" t="str">
        <f>HYPERLINK("https://pbs.twimg.com/profile_images/693028517903257600/WDCOpcD8_normal.png","View")</f>
        <v>View</v>
      </c>
      <c r="P2186" s="15"/>
    </row>
    <row r="2187">
      <c r="A2187" s="7">
        <v>42426.081238425926</v>
      </c>
      <c r="B2187" s="8" t="str">
        <f>HYPERLINK("https://twitter.com/sushtechie","@sushtechie")</f>
        <v>@sushtechie</v>
      </c>
      <c r="C2187" s="10" t="s">
        <v>4658</v>
      </c>
      <c r="D2187" s="10" t="s">
        <v>4659</v>
      </c>
      <c r="E2187" s="11" t="str">
        <f>HYPERLINK("https://twitter.com/sushtechie/status/703156799772319749","703156799772319749")</f>
        <v>703156799772319749</v>
      </c>
      <c r="F2187" s="12" t="s">
        <v>20</v>
      </c>
      <c r="G2187" s="13">
        <v>64.0</v>
      </c>
      <c r="H2187" s="13">
        <v>201.0</v>
      </c>
      <c r="I2187" s="13">
        <v>0.0</v>
      </c>
      <c r="J2187" s="13">
        <v>0.0</v>
      </c>
      <c r="K2187" s="12" t="s">
        <v>21</v>
      </c>
      <c r="L2187" s="7">
        <v>40612.75494212963</v>
      </c>
      <c r="M2187" s="14" t="s">
        <v>4660</v>
      </c>
      <c r="N2187" s="14" t="s">
        <v>4661</v>
      </c>
      <c r="O2187" s="11" t="str">
        <f>HYPERLINK("https://pbs.twimg.com/profile_images/668777134450610177/XH0ZrTpj_normal.jpg","View")</f>
        <v>View</v>
      </c>
      <c r="P2187" s="15"/>
    </row>
    <row r="2188">
      <c r="A2188" s="7">
        <v>42426.083148148144</v>
      </c>
      <c r="B2188" s="8" t="str">
        <f t="shared" ref="B2188:B2190" si="229">HYPERLINK("https://twitter.com/PythonBooks","@PythonBooks")</f>
        <v>@PythonBooks</v>
      </c>
      <c r="C2188" s="10" t="s">
        <v>267</v>
      </c>
      <c r="D2188" s="10" t="s">
        <v>4499</v>
      </c>
      <c r="E2188" s="11" t="str">
        <f>HYPERLINK("https://twitter.com/PythonBooks/status/703157492516130816","703157492516130816")</f>
        <v>703157492516130816</v>
      </c>
      <c r="F2188" s="12" t="s">
        <v>20</v>
      </c>
      <c r="G2188" s="13">
        <v>20.0</v>
      </c>
      <c r="H2188" s="13">
        <v>70.0</v>
      </c>
      <c r="I2188" s="13">
        <v>4.0</v>
      </c>
      <c r="J2188" s="13">
        <v>0.0</v>
      </c>
      <c r="K2188" s="12" t="s">
        <v>21</v>
      </c>
      <c r="L2188" s="7">
        <v>42424.13631944444</v>
      </c>
      <c r="M2188" s="14" t="s">
        <v>269</v>
      </c>
      <c r="N2188" s="14" t="s">
        <v>270</v>
      </c>
      <c r="O2188" s="11" t="str">
        <f t="shared" ref="O2188:O2190" si="230">HYPERLINK("https://pbs.twimg.com/profile_images/702455638157168640/AeDgtn0C_normal.jpg","View")</f>
        <v>View</v>
      </c>
      <c r="P2188" s="15"/>
    </row>
    <row r="2189">
      <c r="A2189" s="7">
        <v>42426.08342592593</v>
      </c>
      <c r="B2189" s="8" t="str">
        <f t="shared" si="229"/>
        <v>@PythonBooks</v>
      </c>
      <c r="C2189" s="10" t="s">
        <v>267</v>
      </c>
      <c r="D2189" s="10" t="s">
        <v>1391</v>
      </c>
      <c r="E2189" s="11" t="str">
        <f>HYPERLINK("https://twitter.com/PythonBooks/status/703157593317871616","703157593317871616")</f>
        <v>703157593317871616</v>
      </c>
      <c r="F2189" s="12" t="s">
        <v>20</v>
      </c>
      <c r="G2189" s="13">
        <v>20.0</v>
      </c>
      <c r="H2189" s="13">
        <v>70.0</v>
      </c>
      <c r="I2189" s="13">
        <v>4.0</v>
      </c>
      <c r="J2189" s="13">
        <v>0.0</v>
      </c>
      <c r="K2189" s="12" t="s">
        <v>21</v>
      </c>
      <c r="L2189" s="7">
        <v>42424.13631944444</v>
      </c>
      <c r="M2189" s="14" t="s">
        <v>269</v>
      </c>
      <c r="N2189" s="14" t="s">
        <v>270</v>
      </c>
      <c r="O2189" s="11" t="str">
        <f t="shared" si="230"/>
        <v>View</v>
      </c>
      <c r="P2189" s="15"/>
    </row>
    <row r="2190">
      <c r="A2190" s="7">
        <v>42426.083761574075</v>
      </c>
      <c r="B2190" s="8" t="str">
        <f t="shared" si="229"/>
        <v>@PythonBooks</v>
      </c>
      <c r="C2190" s="10" t="s">
        <v>267</v>
      </c>
      <c r="D2190" s="10" t="s">
        <v>4662</v>
      </c>
      <c r="E2190" s="11" t="str">
        <f>HYPERLINK("https://twitter.com/PythonBooks/status/703157712582905856","703157712582905856")</f>
        <v>703157712582905856</v>
      </c>
      <c r="F2190" s="12" t="s">
        <v>20</v>
      </c>
      <c r="G2190" s="13">
        <v>20.0</v>
      </c>
      <c r="H2190" s="13">
        <v>70.0</v>
      </c>
      <c r="I2190" s="13">
        <v>2.0</v>
      </c>
      <c r="J2190" s="13">
        <v>0.0</v>
      </c>
      <c r="K2190" s="12" t="s">
        <v>21</v>
      </c>
      <c r="L2190" s="7">
        <v>42424.13631944444</v>
      </c>
      <c r="M2190" s="14" t="s">
        <v>269</v>
      </c>
      <c r="N2190" s="14" t="s">
        <v>270</v>
      </c>
      <c r="O2190" s="11" t="str">
        <f t="shared" si="230"/>
        <v>View</v>
      </c>
      <c r="P2190" s="15"/>
    </row>
    <row r="2191">
      <c r="A2191" s="7">
        <v>42426.08472222222</v>
      </c>
      <c r="B2191" s="8" t="str">
        <f>HYPERLINK("https://twitter.com/FAECTA_","@FAECTA_")</f>
        <v>@FAECTA_</v>
      </c>
      <c r="C2191" s="10" t="s">
        <v>4663</v>
      </c>
      <c r="D2191" s="10" t="s">
        <v>2927</v>
      </c>
      <c r="E2191" s="11" t="str">
        <f>HYPERLINK("https://twitter.com/FAECTA_/status/703158060080984064","703158060080984064")</f>
        <v>703158060080984064</v>
      </c>
      <c r="F2191" s="12" t="s">
        <v>659</v>
      </c>
      <c r="G2191" s="13">
        <v>3303.0</v>
      </c>
      <c r="H2191" s="13">
        <v>2059.0</v>
      </c>
      <c r="I2191" s="13">
        <v>3.0</v>
      </c>
      <c r="J2191" s="13">
        <v>0.0</v>
      </c>
      <c r="K2191" s="12" t="s">
        <v>21</v>
      </c>
      <c r="L2191" s="7">
        <v>40163.47887731482</v>
      </c>
      <c r="M2191" s="14" t="s">
        <v>4664</v>
      </c>
      <c r="N2191" s="14" t="s">
        <v>4665</v>
      </c>
      <c r="O2191" s="11" t="str">
        <f>HYPERLINK("https://pbs.twimg.com/profile_images/569844133280223232/LZVHwr1u_normal.png","View")</f>
        <v>View</v>
      </c>
      <c r="P2191" s="15"/>
    </row>
    <row r="2192">
      <c r="A2192" s="7">
        <v>42426.08594907407</v>
      </c>
      <c r="B2192" s="8" t="str">
        <f>HYPERLINK("https://twitter.com/vicmagv","@vicmagv")</f>
        <v>@vicmagv</v>
      </c>
      <c r="C2192" s="10" t="s">
        <v>4666</v>
      </c>
      <c r="D2192" s="10" t="s">
        <v>4667</v>
      </c>
      <c r="E2192" s="11" t="str">
        <f>HYPERLINK("https://twitter.com/vicmagv/status/703158506606579713","703158506606579713")</f>
        <v>703158506606579713</v>
      </c>
      <c r="F2192" s="12" t="s">
        <v>152</v>
      </c>
      <c r="G2192" s="13">
        <v>28.0</v>
      </c>
      <c r="H2192" s="13">
        <v>87.0</v>
      </c>
      <c r="I2192" s="13">
        <v>1.0</v>
      </c>
      <c r="J2192" s="13">
        <v>3.0</v>
      </c>
      <c r="K2192" s="12" t="s">
        <v>21</v>
      </c>
      <c r="L2192" s="7">
        <v>42215.06456018519</v>
      </c>
      <c r="M2192" s="14" t="s">
        <v>4668</v>
      </c>
      <c r="N2192" s="14" t="s">
        <v>4669</v>
      </c>
      <c r="O2192" s="11" t="str">
        <f>HYPERLINK("https://pbs.twimg.com/profile_images/628343616109477888/n0tyOuyI_normal.png","View")</f>
        <v>View</v>
      </c>
      <c r="P2192" s="15"/>
    </row>
    <row r="2193">
      <c r="A2193" s="7">
        <v>42426.0868287037</v>
      </c>
      <c r="B2193" s="8" t="str">
        <f>HYPERLINK("https://twitter.com/PythonBooks","@PythonBooks")</f>
        <v>@PythonBooks</v>
      </c>
      <c r="C2193" s="10" t="s">
        <v>267</v>
      </c>
      <c r="D2193" s="10" t="s">
        <v>4670</v>
      </c>
      <c r="E2193" s="11" t="str">
        <f>HYPERLINK("https://twitter.com/PythonBooks/status/703158822756421632","703158822756421632")</f>
        <v>703158822756421632</v>
      </c>
      <c r="F2193" s="12" t="s">
        <v>20</v>
      </c>
      <c r="G2193" s="13">
        <v>20.0</v>
      </c>
      <c r="H2193" s="13">
        <v>70.0</v>
      </c>
      <c r="I2193" s="13">
        <v>1.0</v>
      </c>
      <c r="J2193" s="13">
        <v>0.0</v>
      </c>
      <c r="K2193" s="12" t="s">
        <v>21</v>
      </c>
      <c r="L2193" s="7">
        <v>42424.13631944444</v>
      </c>
      <c r="M2193" s="14" t="s">
        <v>269</v>
      </c>
      <c r="N2193" s="14" t="s">
        <v>270</v>
      </c>
      <c r="O2193" s="11" t="str">
        <f>HYPERLINK("https://pbs.twimg.com/profile_images/702455638157168640/AeDgtn0C_normal.jpg","View")</f>
        <v>View</v>
      </c>
      <c r="P2193" s="15"/>
    </row>
    <row r="2194">
      <c r="A2194" s="7">
        <v>42426.086851851855</v>
      </c>
      <c r="B2194" s="8" t="str">
        <f>HYPERLINK("https://twitter.com/javascriptd","@javascriptd")</f>
        <v>@javascriptd</v>
      </c>
      <c r="C2194" s="10" t="s">
        <v>2655</v>
      </c>
      <c r="D2194" s="10" t="s">
        <v>4587</v>
      </c>
      <c r="E2194" s="11" t="str">
        <f>HYPERLINK("https://twitter.com/javascriptd/status/703158833976217602","703158833976217602")</f>
        <v>703158833976217602</v>
      </c>
      <c r="F2194" s="12" t="s">
        <v>2657</v>
      </c>
      <c r="G2194" s="13">
        <v>9923.0</v>
      </c>
      <c r="H2194" s="13">
        <v>5.0</v>
      </c>
      <c r="I2194" s="13">
        <v>3.0</v>
      </c>
      <c r="J2194" s="13">
        <v>0.0</v>
      </c>
      <c r="K2194" s="12" t="s">
        <v>21</v>
      </c>
      <c r="L2194" s="7">
        <v>41854.45717592593</v>
      </c>
      <c r="M2194" s="14" t="s">
        <v>2658</v>
      </c>
      <c r="N2194" s="14" t="s">
        <v>2659</v>
      </c>
      <c r="O2194" s="11" t="str">
        <f>HYPERLINK("https://pbs.twimg.com/profile_images/544034757730779136/-jOL7GnN_normal.jpeg","View")</f>
        <v>View</v>
      </c>
      <c r="P2194" s="15"/>
    </row>
    <row r="2195">
      <c r="A2195" s="7">
        <v>42426.08760416666</v>
      </c>
      <c r="B2195" s="8" t="str">
        <f t="shared" ref="B2195:B2204" si="231">HYPERLINK("https://twitter.com/artwisanggeni","@artwisanggeni")</f>
        <v>@artwisanggeni</v>
      </c>
      <c r="C2195" s="10" t="s">
        <v>74</v>
      </c>
      <c r="D2195" s="10" t="s">
        <v>4671</v>
      </c>
      <c r="E2195" s="11" t="str">
        <f>HYPERLINK("https://twitter.com/artwisanggeni/status/703159103946764288","703159103946764288")</f>
        <v>703159103946764288</v>
      </c>
      <c r="F2195" s="17" t="s">
        <v>76</v>
      </c>
      <c r="G2195" s="13">
        <v>236.0</v>
      </c>
      <c r="H2195" s="13">
        <v>61.0</v>
      </c>
      <c r="I2195" s="13">
        <v>0.0</v>
      </c>
      <c r="J2195" s="13">
        <v>0.0</v>
      </c>
      <c r="K2195" s="12" t="s">
        <v>21</v>
      </c>
      <c r="L2195" s="7">
        <v>41218.90608796296</v>
      </c>
      <c r="M2195" s="14" t="s">
        <v>77</v>
      </c>
      <c r="N2195" s="14" t="s">
        <v>78</v>
      </c>
      <c r="O2195" s="11" t="str">
        <f t="shared" ref="O2195:O2204" si="232">HYPERLINK("https://pbs.twimg.com/profile_images/2813636657/599521f69e2bc210a57323b64d8e39e6_normal.jpeg","View")</f>
        <v>View</v>
      </c>
      <c r="P2195" s="15"/>
    </row>
    <row r="2196">
      <c r="A2196" s="7">
        <v>42426.08760416666</v>
      </c>
      <c r="B2196" s="8" t="str">
        <f t="shared" si="231"/>
        <v>@artwisanggeni</v>
      </c>
      <c r="C2196" s="10" t="s">
        <v>74</v>
      </c>
      <c r="D2196" s="10" t="s">
        <v>4672</v>
      </c>
      <c r="E2196" s="11" t="str">
        <f>HYPERLINK("https://twitter.com/artwisanggeni/status/703159107285422080","703159107285422080")</f>
        <v>703159107285422080</v>
      </c>
      <c r="F2196" s="17" t="s">
        <v>76</v>
      </c>
      <c r="G2196" s="13">
        <v>236.0</v>
      </c>
      <c r="H2196" s="13">
        <v>61.0</v>
      </c>
      <c r="I2196" s="13">
        <v>0.0</v>
      </c>
      <c r="J2196" s="13">
        <v>0.0</v>
      </c>
      <c r="K2196" s="12" t="s">
        <v>21</v>
      </c>
      <c r="L2196" s="7">
        <v>41218.90608796296</v>
      </c>
      <c r="M2196" s="14" t="s">
        <v>77</v>
      </c>
      <c r="N2196" s="14" t="s">
        <v>78</v>
      </c>
      <c r="O2196" s="11" t="str">
        <f t="shared" si="232"/>
        <v>View</v>
      </c>
      <c r="P2196" s="15"/>
    </row>
    <row r="2197">
      <c r="A2197" s="7">
        <v>42426.08761574074</v>
      </c>
      <c r="B2197" s="8" t="str">
        <f t="shared" si="231"/>
        <v>@artwisanggeni</v>
      </c>
      <c r="C2197" s="10" t="s">
        <v>74</v>
      </c>
      <c r="D2197" s="10" t="s">
        <v>4673</v>
      </c>
      <c r="E2197" s="11" t="str">
        <f>HYPERLINK("https://twitter.com/artwisanggeni/status/703159110234058754","703159110234058754")</f>
        <v>703159110234058754</v>
      </c>
      <c r="F2197" s="17" t="s">
        <v>76</v>
      </c>
      <c r="G2197" s="13">
        <v>236.0</v>
      </c>
      <c r="H2197" s="13">
        <v>61.0</v>
      </c>
      <c r="I2197" s="13">
        <v>0.0</v>
      </c>
      <c r="J2197" s="13">
        <v>0.0</v>
      </c>
      <c r="K2197" s="12" t="s">
        <v>21</v>
      </c>
      <c r="L2197" s="7">
        <v>41218.90608796296</v>
      </c>
      <c r="M2197" s="14" t="s">
        <v>77</v>
      </c>
      <c r="N2197" s="14" t="s">
        <v>78</v>
      </c>
      <c r="O2197" s="11" t="str">
        <f t="shared" si="232"/>
        <v>View</v>
      </c>
      <c r="P2197" s="15"/>
    </row>
    <row r="2198">
      <c r="A2198" s="7">
        <v>42426.08762731482</v>
      </c>
      <c r="B2198" s="8" t="str">
        <f t="shared" si="231"/>
        <v>@artwisanggeni</v>
      </c>
      <c r="C2198" s="10" t="s">
        <v>74</v>
      </c>
      <c r="D2198" s="10" t="s">
        <v>4674</v>
      </c>
      <c r="E2198" s="11" t="str">
        <f>HYPERLINK("https://twitter.com/artwisanggeni/status/703159112977092608","703159112977092608")</f>
        <v>703159112977092608</v>
      </c>
      <c r="F2198" s="17" t="s">
        <v>76</v>
      </c>
      <c r="G2198" s="13">
        <v>236.0</v>
      </c>
      <c r="H2198" s="13">
        <v>61.0</v>
      </c>
      <c r="I2198" s="13">
        <v>0.0</v>
      </c>
      <c r="J2198" s="13">
        <v>0.0</v>
      </c>
      <c r="K2198" s="12" t="s">
        <v>21</v>
      </c>
      <c r="L2198" s="7">
        <v>41218.90608796296</v>
      </c>
      <c r="M2198" s="14" t="s">
        <v>77</v>
      </c>
      <c r="N2198" s="14" t="s">
        <v>78</v>
      </c>
      <c r="O2198" s="11" t="str">
        <f t="shared" si="232"/>
        <v>View</v>
      </c>
      <c r="P2198" s="15"/>
    </row>
    <row r="2199">
      <c r="A2199" s="7">
        <v>42426.08762731482</v>
      </c>
      <c r="B2199" s="8" t="str">
        <f t="shared" si="231"/>
        <v>@artwisanggeni</v>
      </c>
      <c r="C2199" s="10" t="s">
        <v>74</v>
      </c>
      <c r="D2199" s="10" t="s">
        <v>4675</v>
      </c>
      <c r="E2199" s="11" t="str">
        <f>HYPERLINK("https://twitter.com/artwisanggeni/status/703159115330113542","703159115330113542")</f>
        <v>703159115330113542</v>
      </c>
      <c r="F2199" s="17" t="s">
        <v>76</v>
      </c>
      <c r="G2199" s="13">
        <v>236.0</v>
      </c>
      <c r="H2199" s="13">
        <v>61.0</v>
      </c>
      <c r="I2199" s="13">
        <v>0.0</v>
      </c>
      <c r="J2199" s="13">
        <v>0.0</v>
      </c>
      <c r="K2199" s="12" t="s">
        <v>21</v>
      </c>
      <c r="L2199" s="7">
        <v>41218.90608796296</v>
      </c>
      <c r="M2199" s="14" t="s">
        <v>77</v>
      </c>
      <c r="N2199" s="14" t="s">
        <v>78</v>
      </c>
      <c r="O2199" s="11" t="str">
        <f t="shared" si="232"/>
        <v>View</v>
      </c>
      <c r="P2199" s="15"/>
    </row>
    <row r="2200">
      <c r="A2200" s="7">
        <v>42426.08763888889</v>
      </c>
      <c r="B2200" s="8" t="str">
        <f t="shared" si="231"/>
        <v>@artwisanggeni</v>
      </c>
      <c r="C2200" s="10" t="s">
        <v>74</v>
      </c>
      <c r="D2200" s="10" t="s">
        <v>4676</v>
      </c>
      <c r="E2200" s="11" t="str">
        <f>HYPERLINK("https://twitter.com/artwisanggeni/status/703159117737668609","703159117737668609")</f>
        <v>703159117737668609</v>
      </c>
      <c r="F2200" s="17" t="s">
        <v>76</v>
      </c>
      <c r="G2200" s="13">
        <v>236.0</v>
      </c>
      <c r="H2200" s="13">
        <v>61.0</v>
      </c>
      <c r="I2200" s="13">
        <v>0.0</v>
      </c>
      <c r="J2200" s="13">
        <v>0.0</v>
      </c>
      <c r="K2200" s="12" t="s">
        <v>21</v>
      </c>
      <c r="L2200" s="7">
        <v>41218.90608796296</v>
      </c>
      <c r="M2200" s="14" t="s">
        <v>77</v>
      </c>
      <c r="N2200" s="14" t="s">
        <v>78</v>
      </c>
      <c r="O2200" s="11" t="str">
        <f t="shared" si="232"/>
        <v>View</v>
      </c>
      <c r="P2200" s="15"/>
    </row>
    <row r="2201">
      <c r="A2201" s="7">
        <v>42426.08765046296</v>
      </c>
      <c r="B2201" s="8" t="str">
        <f t="shared" si="231"/>
        <v>@artwisanggeni</v>
      </c>
      <c r="C2201" s="10" t="s">
        <v>74</v>
      </c>
      <c r="D2201" s="10" t="s">
        <v>4677</v>
      </c>
      <c r="E2201" s="11" t="str">
        <f>HYPERLINK("https://twitter.com/artwisanggeni/status/703159120413626368","703159120413626368")</f>
        <v>703159120413626368</v>
      </c>
      <c r="F2201" s="17" t="s">
        <v>76</v>
      </c>
      <c r="G2201" s="13">
        <v>236.0</v>
      </c>
      <c r="H2201" s="13">
        <v>61.0</v>
      </c>
      <c r="I2201" s="13">
        <v>0.0</v>
      </c>
      <c r="J2201" s="13">
        <v>0.0</v>
      </c>
      <c r="K2201" s="12" t="s">
        <v>21</v>
      </c>
      <c r="L2201" s="7">
        <v>41218.90608796296</v>
      </c>
      <c r="M2201" s="14" t="s">
        <v>77</v>
      </c>
      <c r="N2201" s="14" t="s">
        <v>78</v>
      </c>
      <c r="O2201" s="11" t="str">
        <f t="shared" si="232"/>
        <v>View</v>
      </c>
      <c r="P2201" s="15"/>
    </row>
    <row r="2202">
      <c r="A2202" s="7">
        <v>42426.08765046296</v>
      </c>
      <c r="B2202" s="8" t="str">
        <f t="shared" si="231"/>
        <v>@artwisanggeni</v>
      </c>
      <c r="C2202" s="10" t="s">
        <v>74</v>
      </c>
      <c r="D2202" s="10" t="s">
        <v>4678</v>
      </c>
      <c r="E2202" s="11" t="str">
        <f>HYPERLINK("https://twitter.com/artwisanggeni/status/703159122775019520","703159122775019520")</f>
        <v>703159122775019520</v>
      </c>
      <c r="F2202" s="17" t="s">
        <v>76</v>
      </c>
      <c r="G2202" s="13">
        <v>236.0</v>
      </c>
      <c r="H2202" s="13">
        <v>61.0</v>
      </c>
      <c r="I2202" s="13">
        <v>0.0</v>
      </c>
      <c r="J2202" s="13">
        <v>0.0</v>
      </c>
      <c r="K2202" s="12" t="s">
        <v>21</v>
      </c>
      <c r="L2202" s="7">
        <v>41218.90608796296</v>
      </c>
      <c r="M2202" s="14" t="s">
        <v>77</v>
      </c>
      <c r="N2202" s="14" t="s">
        <v>78</v>
      </c>
      <c r="O2202" s="11" t="str">
        <f t="shared" si="232"/>
        <v>View</v>
      </c>
      <c r="P2202" s="15"/>
    </row>
    <row r="2203">
      <c r="A2203" s="7">
        <v>42426.08766203704</v>
      </c>
      <c r="B2203" s="8" t="str">
        <f t="shared" si="231"/>
        <v>@artwisanggeni</v>
      </c>
      <c r="C2203" s="10" t="s">
        <v>74</v>
      </c>
      <c r="D2203" s="10" t="s">
        <v>4679</v>
      </c>
      <c r="E2203" s="11" t="str">
        <f>HYPERLINK("https://twitter.com/artwisanggeni/status/703159125073526785","703159125073526785")</f>
        <v>703159125073526785</v>
      </c>
      <c r="F2203" s="17" t="s">
        <v>76</v>
      </c>
      <c r="G2203" s="13">
        <v>236.0</v>
      </c>
      <c r="H2203" s="13">
        <v>61.0</v>
      </c>
      <c r="I2203" s="13">
        <v>0.0</v>
      </c>
      <c r="J2203" s="13">
        <v>1.0</v>
      </c>
      <c r="K2203" s="12" t="s">
        <v>21</v>
      </c>
      <c r="L2203" s="7">
        <v>41218.90608796296</v>
      </c>
      <c r="M2203" s="14" t="s">
        <v>77</v>
      </c>
      <c r="N2203" s="14" t="s">
        <v>78</v>
      </c>
      <c r="O2203" s="11" t="str">
        <f t="shared" si="232"/>
        <v>View</v>
      </c>
      <c r="P2203" s="15"/>
    </row>
    <row r="2204">
      <c r="A2204" s="7">
        <v>42426.08766203704</v>
      </c>
      <c r="B2204" s="8" t="str">
        <f t="shared" si="231"/>
        <v>@artwisanggeni</v>
      </c>
      <c r="C2204" s="10" t="s">
        <v>74</v>
      </c>
      <c r="D2204" s="10" t="s">
        <v>4680</v>
      </c>
      <c r="E2204" s="11" t="str">
        <f>HYPERLINK("https://twitter.com/artwisanggeni/status/703159127732654080","703159127732654080")</f>
        <v>703159127732654080</v>
      </c>
      <c r="F2204" s="17" t="s">
        <v>76</v>
      </c>
      <c r="G2204" s="13">
        <v>236.0</v>
      </c>
      <c r="H2204" s="13">
        <v>61.0</v>
      </c>
      <c r="I2204" s="13">
        <v>0.0</v>
      </c>
      <c r="J2204" s="13">
        <v>0.0</v>
      </c>
      <c r="K2204" s="12" t="s">
        <v>21</v>
      </c>
      <c r="L2204" s="7">
        <v>41218.90608796296</v>
      </c>
      <c r="M2204" s="14" t="s">
        <v>77</v>
      </c>
      <c r="N2204" s="14" t="s">
        <v>78</v>
      </c>
      <c r="O2204" s="11" t="str">
        <f t="shared" si="232"/>
        <v>View</v>
      </c>
      <c r="P2204" s="15"/>
    </row>
    <row r="2205">
      <c r="A2205" s="7">
        <v>42426.08893518518</v>
      </c>
      <c r="B2205" s="8" t="str">
        <f>HYPERLINK("https://twitter.com/SowPiano","@SowPiano")</f>
        <v>@SowPiano</v>
      </c>
      <c r="C2205" s="10" t="s">
        <v>595</v>
      </c>
      <c r="D2205" s="10" t="s">
        <v>4681</v>
      </c>
      <c r="E2205" s="11" t="str">
        <f>HYPERLINK("https://twitter.com/SowPiano/status/703159587692654597","703159587692654597")</f>
        <v>703159587692654597</v>
      </c>
      <c r="F2205" s="12" t="s">
        <v>20</v>
      </c>
      <c r="G2205" s="13">
        <v>39.0</v>
      </c>
      <c r="H2205" s="13">
        <v>64.0</v>
      </c>
      <c r="I2205" s="13">
        <v>0.0</v>
      </c>
      <c r="J2205" s="13">
        <v>3.0</v>
      </c>
      <c r="K2205" s="12" t="s">
        <v>21</v>
      </c>
      <c r="L2205" s="7">
        <v>41987.364166666666</v>
      </c>
      <c r="M2205" s="14" t="s">
        <v>597</v>
      </c>
      <c r="N2205" s="14" t="s">
        <v>598</v>
      </c>
      <c r="O2205" s="11" t="str">
        <f>HYPERLINK("https://pbs.twimg.com/profile_images/601478745128620032/GrGhZw7d_normal.jpg","View")</f>
        <v>View</v>
      </c>
      <c r="P2205" s="15"/>
    </row>
    <row r="2206">
      <c r="A2206" s="7">
        <v>42426.09049768519</v>
      </c>
      <c r="B2206" s="8" t="str">
        <f>HYPERLINK("https://twitter.com/kidandcat","@kidandcat")</f>
        <v>@kidandcat</v>
      </c>
      <c r="C2206" s="10" t="s">
        <v>4682</v>
      </c>
      <c r="D2206" s="10" t="s">
        <v>1575</v>
      </c>
      <c r="E2206" s="11" t="str">
        <f>HYPERLINK("https://twitter.com/kidandcat/status/703160154838028288","703160154838028288")</f>
        <v>703160154838028288</v>
      </c>
      <c r="F2206" s="12" t="s">
        <v>152</v>
      </c>
      <c r="G2206" s="13">
        <v>154.0</v>
      </c>
      <c r="H2206" s="13">
        <v>122.0</v>
      </c>
      <c r="I2206" s="13">
        <v>9.0</v>
      </c>
      <c r="J2206" s="13">
        <v>0.0</v>
      </c>
      <c r="K2206" s="12" t="s">
        <v>21</v>
      </c>
      <c r="L2206" s="7">
        <v>40482.474444444444</v>
      </c>
      <c r="M2206" s="16"/>
      <c r="N2206" s="14" t="s">
        <v>4683</v>
      </c>
      <c r="O2206" s="11" t="str">
        <f>HYPERLINK("https://pbs.twimg.com/profile_images/669761837378969600/P9mNbkht_normal.jpg","View")</f>
        <v>View</v>
      </c>
      <c r="P2206" s="15"/>
    </row>
    <row r="2207">
      <c r="A2207" s="7">
        <v>42426.09171296297</v>
      </c>
      <c r="B2207" s="8" t="str">
        <f>HYPERLINK("https://twitter.com/tdsnet2015","@tdsnet2015")</f>
        <v>@tdsnet2015</v>
      </c>
      <c r="C2207" s="10" t="s">
        <v>304</v>
      </c>
      <c r="D2207" s="10" t="s">
        <v>4684</v>
      </c>
      <c r="E2207" s="11" t="str">
        <f>HYPERLINK("https://twitter.com/tdsnet2015/status/703160594480795648","703160594480795648")</f>
        <v>703160594480795648</v>
      </c>
      <c r="F2207" s="12" t="s">
        <v>306</v>
      </c>
      <c r="G2207" s="13">
        <v>26.0</v>
      </c>
      <c r="H2207" s="13">
        <v>28.0</v>
      </c>
      <c r="I2207" s="13">
        <v>0.0</v>
      </c>
      <c r="J2207" s="13">
        <v>0.0</v>
      </c>
      <c r="K2207" s="12" t="s">
        <v>21</v>
      </c>
      <c r="L2207" s="7">
        <v>42360.46430555556</v>
      </c>
      <c r="M2207" s="14" t="s">
        <v>307</v>
      </c>
      <c r="N2207" s="14" t="s">
        <v>308</v>
      </c>
      <c r="O2207" s="11" t="str">
        <f>HYPERLINK("https://pbs.twimg.com/profile_images/686377891911745536/AQFu2YWO_normal.png","View")</f>
        <v>View</v>
      </c>
      <c r="P2207" s="15"/>
    </row>
    <row r="2208">
      <c r="A2208" s="7">
        <v>42426.09186342593</v>
      </c>
      <c r="B2208" s="8" t="str">
        <f>HYPERLINK("https://twitter.com/programmingncr","@programmingncr")</f>
        <v>@programmingncr</v>
      </c>
      <c r="C2208" s="10" t="s">
        <v>262</v>
      </c>
      <c r="D2208" s="10" t="s">
        <v>4685</v>
      </c>
      <c r="E2208" s="11" t="str">
        <f>HYPERLINK("https://twitter.com/programmingncr/status/703160650919342080","703160650919342080")</f>
        <v>703160650919342080</v>
      </c>
      <c r="F2208" s="12" t="s">
        <v>103</v>
      </c>
      <c r="G2208" s="13">
        <v>328.0</v>
      </c>
      <c r="H2208" s="13">
        <v>99.0</v>
      </c>
      <c r="I2208" s="13">
        <v>0.0</v>
      </c>
      <c r="J2208" s="13">
        <v>0.0</v>
      </c>
      <c r="K2208" s="12" t="s">
        <v>21</v>
      </c>
      <c r="L2208" s="7">
        <v>42220.86634259259</v>
      </c>
      <c r="M2208" s="14" t="s">
        <v>264</v>
      </c>
      <c r="N2208" s="14" t="s">
        <v>265</v>
      </c>
      <c r="O2208" s="11" t="str">
        <f>HYPERLINK("https://pbs.twimg.com/profile_images/662602436222193664/qKuvsfnG_normal.jpg","View")</f>
        <v>View</v>
      </c>
      <c r="P2208" s="15"/>
    </row>
    <row r="2209">
      <c r="A2209" s="7">
        <v>42426.091886574075</v>
      </c>
      <c r="B2209" s="8" t="str">
        <f>HYPERLINK("https://twitter.com/MGallagher2010","@MGallagher2010")</f>
        <v>@MGallagher2010</v>
      </c>
      <c r="C2209" s="10" t="s">
        <v>4686</v>
      </c>
      <c r="D2209" s="10" t="s">
        <v>4687</v>
      </c>
      <c r="E2209" s="11" t="str">
        <f>HYPERLINK("https://twitter.com/MGallagher2010/status/703160657407975424","703160657407975424")</f>
        <v>703160657407975424</v>
      </c>
      <c r="F2209" s="12" t="s">
        <v>294</v>
      </c>
      <c r="G2209" s="13">
        <v>110.0</v>
      </c>
      <c r="H2209" s="13">
        <v>351.0</v>
      </c>
      <c r="I2209" s="13">
        <v>0.0</v>
      </c>
      <c r="J2209" s="13">
        <v>0.0</v>
      </c>
      <c r="K2209" s="12" t="s">
        <v>21</v>
      </c>
      <c r="L2209" s="7">
        <v>40268.36056712963</v>
      </c>
      <c r="M2209" s="14" t="s">
        <v>43</v>
      </c>
      <c r="N2209" s="14" t="s">
        <v>4688</v>
      </c>
      <c r="O2209" s="11" t="str">
        <f>HYPERLINK("https://pbs.twimg.com/profile_images/469802033856266240/G4Y4rX8A_normal.jpeg","View")</f>
        <v>View</v>
      </c>
      <c r="P2209" s="15"/>
    </row>
    <row r="2210">
      <c r="A2210" s="7">
        <v>42426.091956018514</v>
      </c>
      <c r="B2210" s="8" t="str">
        <f>HYPERLINK("https://twitter.com/pythontrending","@pythontrending")</f>
        <v>@pythontrending</v>
      </c>
      <c r="C2210" s="10" t="s">
        <v>2074</v>
      </c>
      <c r="D2210" s="10" t="s">
        <v>4689</v>
      </c>
      <c r="E2210" s="11" t="str">
        <f>HYPERLINK("https://twitter.com/pythontrending/status/703160682221408256","703160682221408256")</f>
        <v>703160682221408256</v>
      </c>
      <c r="F2210" s="12" t="s">
        <v>2076</v>
      </c>
      <c r="G2210" s="13">
        <v>3966.0</v>
      </c>
      <c r="H2210" s="13">
        <v>4420.0</v>
      </c>
      <c r="I2210" s="13">
        <v>2.0</v>
      </c>
      <c r="J2210" s="13">
        <v>3.0</v>
      </c>
      <c r="K2210" s="12" t="s">
        <v>21</v>
      </c>
      <c r="L2210" s="7">
        <v>41744.47299768518</v>
      </c>
      <c r="M2210" s="14" t="s">
        <v>2077</v>
      </c>
      <c r="N2210" s="14" t="s">
        <v>2078</v>
      </c>
      <c r="O2210" s="11" t="str">
        <f>HYPERLINK("https://pbs.twimg.com/profile_images/456490947287605248/4oklmBWe_normal.png","View")</f>
        <v>View</v>
      </c>
      <c r="P2210" s="15"/>
    </row>
    <row r="2211">
      <c r="A2211" s="7">
        <v>42426.0928125</v>
      </c>
      <c r="B2211" s="8" t="str">
        <f>HYPERLINK("https://twitter.com/JoshuaLongUK","@JoshuaLongUK")</f>
        <v>@JoshuaLongUK</v>
      </c>
      <c r="C2211" s="10" t="s">
        <v>101</v>
      </c>
      <c r="D2211" s="10" t="s">
        <v>4690</v>
      </c>
      <c r="E2211" s="11" t="str">
        <f>HYPERLINK("https://twitter.com/JoshuaLongUK/status/703160991995944960","703160991995944960")</f>
        <v>703160991995944960</v>
      </c>
      <c r="F2211" s="12" t="s">
        <v>103</v>
      </c>
      <c r="G2211" s="13">
        <v>25832.0</v>
      </c>
      <c r="H2211" s="13">
        <v>93.0</v>
      </c>
      <c r="I2211" s="13">
        <v>0.0</v>
      </c>
      <c r="J2211" s="13">
        <v>0.0</v>
      </c>
      <c r="K2211" s="12" t="s">
        <v>21</v>
      </c>
      <c r="L2211" s="7">
        <v>41149.39659722222</v>
      </c>
      <c r="M2211" s="14" t="s">
        <v>104</v>
      </c>
      <c r="N2211" s="14" t="s">
        <v>105</v>
      </c>
      <c r="O2211" s="11" t="str">
        <f>HYPERLINK("https://pbs.twimg.com/profile_images/627996138403168256/DaASdgVr_normal.jpg","View")</f>
        <v>View</v>
      </c>
      <c r="P2211" s="15"/>
    </row>
    <row r="2212">
      <c r="A2212" s="7">
        <v>42426.09306712963</v>
      </c>
      <c r="B2212" s="8" t="str">
        <f>HYPERLINK("https://twitter.com/cool_python","@cool_python")</f>
        <v>@cool_python</v>
      </c>
      <c r="C2212" s="10" t="s">
        <v>249</v>
      </c>
      <c r="D2212" s="10" t="s">
        <v>4691</v>
      </c>
      <c r="E2212" s="11" t="str">
        <f>HYPERLINK("https://twitter.com/cool_python/status/703161085428273153","703161085428273153")</f>
        <v>703161085428273153</v>
      </c>
      <c r="F2212" s="12" t="s">
        <v>251</v>
      </c>
      <c r="G2212" s="13">
        <v>235.0</v>
      </c>
      <c r="H2212" s="13">
        <v>91.0</v>
      </c>
      <c r="I2212" s="13">
        <v>2.0</v>
      </c>
      <c r="J2212" s="13">
        <v>0.0</v>
      </c>
      <c r="K2212" s="12" t="s">
        <v>21</v>
      </c>
      <c r="L2212" s="7">
        <v>42064.325</v>
      </c>
      <c r="M2212" s="14" t="s">
        <v>252</v>
      </c>
      <c r="N2212" s="14" t="s">
        <v>253</v>
      </c>
      <c r="O2212" s="11" t="str">
        <f>HYPERLINK("https://pbs.twimg.com/profile_images/572091631055028224/Pkx__FSB_normal.png","View")</f>
        <v>View</v>
      </c>
      <c r="P2212" s="15"/>
    </row>
    <row r="2213">
      <c r="A2213" s="7">
        <v>42426.09321759259</v>
      </c>
      <c r="B2213" s="8" t="str">
        <f>HYPERLINK("https://twitter.com/kamiljsokolowsk","@kamiljsokolowsk")</f>
        <v>@kamiljsokolowsk</v>
      </c>
      <c r="C2213" s="10" t="s">
        <v>390</v>
      </c>
      <c r="D2213" s="10" t="s">
        <v>4692</v>
      </c>
      <c r="E2213" s="11" t="str">
        <f>HYPERLINK("https://twitter.com/kamiljsokolowsk/status/703161137836093440","703161137836093440")</f>
        <v>703161137836093440</v>
      </c>
      <c r="F2213" s="12" t="s">
        <v>20</v>
      </c>
      <c r="G2213" s="13">
        <v>11.0</v>
      </c>
      <c r="H2213" s="13">
        <v>52.0</v>
      </c>
      <c r="I2213" s="13">
        <v>0.0</v>
      </c>
      <c r="J2213" s="13">
        <v>0.0</v>
      </c>
      <c r="K2213" s="12" t="s">
        <v>21</v>
      </c>
      <c r="L2213" s="7">
        <v>42382.15236111111</v>
      </c>
      <c r="M2213" s="16"/>
      <c r="N2213" s="16"/>
      <c r="O2213" s="11" t="str">
        <f>HYPERLINK("https://pbs.twimg.com/profile_images/689960396065734656/fLrueKGG_normal.jpg","View")</f>
        <v>View</v>
      </c>
      <c r="P2213" s="15"/>
    </row>
    <row r="2214">
      <c r="A2214" s="7">
        <v>42426.09372685185</v>
      </c>
      <c r="B2214" s="8" t="str">
        <f>HYPERLINK("https://twitter.com/Pvalsfr","@Pvalsfr")</f>
        <v>@Pvalsfr</v>
      </c>
      <c r="C2214" s="10" t="s">
        <v>771</v>
      </c>
      <c r="D2214" s="10" t="s">
        <v>4693</v>
      </c>
      <c r="E2214" s="11" t="str">
        <f>HYPERLINK("https://twitter.com/Pvalsfr/status/703161323350175745","703161323350175745")</f>
        <v>703161323350175745</v>
      </c>
      <c r="F2214" s="12" t="s">
        <v>20</v>
      </c>
      <c r="G2214" s="13">
        <v>1045.0</v>
      </c>
      <c r="H2214" s="13">
        <v>1081.0</v>
      </c>
      <c r="I2214" s="13">
        <v>1.0</v>
      </c>
      <c r="J2214" s="13">
        <v>0.0</v>
      </c>
      <c r="K2214" s="12" t="s">
        <v>21</v>
      </c>
      <c r="L2214" s="7">
        <v>40867.68900462963</v>
      </c>
      <c r="M2214" s="16"/>
      <c r="N2214" s="16"/>
      <c r="O2214" s="11" t="str">
        <f>HYPERLINK("https://abs.twimg.com/sticky/default_profile_images/default_profile_4_normal.png","View")</f>
        <v>View</v>
      </c>
      <c r="P2214" s="15"/>
    </row>
    <row r="2215">
      <c r="A2215" s="7">
        <v>42426.0952662037</v>
      </c>
      <c r="B2215" s="8" t="str">
        <f>HYPERLINK("https://twitter.com/BestCourses_","@BestCourses_")</f>
        <v>@BestCourses_</v>
      </c>
      <c r="C2215" s="10" t="s">
        <v>409</v>
      </c>
      <c r="D2215" s="10" t="s">
        <v>4694</v>
      </c>
      <c r="E2215" s="11" t="str">
        <f>HYPERLINK("https://twitter.com/BestCourses_/status/703161882421493760","703161882421493760")</f>
        <v>703161882421493760</v>
      </c>
      <c r="F2215" s="12" t="s">
        <v>103</v>
      </c>
      <c r="G2215" s="13">
        <v>528.0</v>
      </c>
      <c r="H2215" s="13">
        <v>40.0</v>
      </c>
      <c r="I2215" s="13">
        <v>0.0</v>
      </c>
      <c r="J2215" s="13">
        <v>0.0</v>
      </c>
      <c r="K2215" s="12" t="s">
        <v>21</v>
      </c>
      <c r="L2215" s="7">
        <v>42294.333125000005</v>
      </c>
      <c r="M2215" s="14" t="s">
        <v>411</v>
      </c>
      <c r="N2215" s="14" t="s">
        <v>412</v>
      </c>
      <c r="O2215" s="11" t="str">
        <f>HYPERLINK("https://pbs.twimg.com/profile_images/655401968802861056/yuPEMhy3_normal.jpg","View")</f>
        <v>View</v>
      </c>
      <c r="P2215" s="15"/>
    </row>
    <row r="2216">
      <c r="A2216" s="7">
        <v>42426.095300925925</v>
      </c>
      <c r="B2216" s="8" t="str">
        <f>HYPERLINK("https://twitter.com/hwmrocker","@hwmrocker")</f>
        <v>@hwmrocker</v>
      </c>
      <c r="C2216" s="10" t="s">
        <v>4695</v>
      </c>
      <c r="D2216" s="10" t="s">
        <v>3368</v>
      </c>
      <c r="E2216" s="11" t="str">
        <f>HYPERLINK("https://twitter.com/hwmrocker/status/703161895004409856","703161895004409856")</f>
        <v>703161895004409856</v>
      </c>
      <c r="F2216" s="12" t="s">
        <v>20</v>
      </c>
      <c r="G2216" s="13">
        <v>49.0</v>
      </c>
      <c r="H2216" s="13">
        <v>81.0</v>
      </c>
      <c r="I2216" s="13">
        <v>10.0</v>
      </c>
      <c r="J2216" s="13">
        <v>0.0</v>
      </c>
      <c r="K2216" s="12" t="s">
        <v>21</v>
      </c>
      <c r="L2216" s="7">
        <v>40044.999131944445</v>
      </c>
      <c r="M2216" s="16"/>
      <c r="N2216" s="16"/>
      <c r="O2216" s="11" t="str">
        <f>HYPERLINK("https://pbs.twimg.com/profile_images/537530535275278336/3ZWIrnt2_normal.jpeg","View")</f>
        <v>View</v>
      </c>
      <c r="P2216" s="15"/>
    </row>
    <row r="2217">
      <c r="A2217" s="7">
        <v>42426.09596064815</v>
      </c>
      <c r="B2217" s="8" t="str">
        <f>HYPERLINK("https://twitter.com/livecodingtv","@livecodingtv")</f>
        <v>@livecodingtv</v>
      </c>
      <c r="C2217" s="9" t="s">
        <v>630</v>
      </c>
      <c r="D2217" s="10" t="s">
        <v>4696</v>
      </c>
      <c r="E2217" s="11" t="str">
        <f>HYPERLINK("https://twitter.com/livecodingtv/status/703162132297175040","703162132297175040")</f>
        <v>703162132297175040</v>
      </c>
      <c r="F2217" s="17" t="s">
        <v>632</v>
      </c>
      <c r="G2217" s="13">
        <v>4224.0</v>
      </c>
      <c r="H2217" s="13">
        <v>1766.0</v>
      </c>
      <c r="I2217" s="13">
        <v>0.0</v>
      </c>
      <c r="J2217" s="13">
        <v>0.0</v>
      </c>
      <c r="K2217" s="12" t="s">
        <v>21</v>
      </c>
      <c r="L2217" s="7">
        <v>41919.33319444444</v>
      </c>
      <c r="M2217" s="14" t="s">
        <v>69</v>
      </c>
      <c r="N2217" s="14" t="s">
        <v>633</v>
      </c>
      <c r="O2217" s="11" t="str">
        <f>HYPERLINK("https://pbs.twimg.com/profile_images/539451988929294337/hCieN16A_normal.png","View")</f>
        <v>View</v>
      </c>
      <c r="P2217" s="15"/>
    </row>
    <row r="2218">
      <c r="A2218" s="7">
        <v>42426.09630787037</v>
      </c>
      <c r="B2218" s="8" t="str">
        <f>HYPERLINK("https://twitter.com/PythonBooks","@PythonBooks")</f>
        <v>@PythonBooks</v>
      </c>
      <c r="C2218" s="10" t="s">
        <v>267</v>
      </c>
      <c r="D2218" s="10" t="s">
        <v>4697</v>
      </c>
      <c r="E2218" s="11" t="str">
        <f>HYPERLINK("https://twitter.com/PythonBooks/status/703162258780598274","703162258780598274")</f>
        <v>703162258780598274</v>
      </c>
      <c r="F2218" s="12" t="s">
        <v>20</v>
      </c>
      <c r="G2218" s="13">
        <v>20.0</v>
      </c>
      <c r="H2218" s="13">
        <v>70.0</v>
      </c>
      <c r="I2218" s="13">
        <v>1.0</v>
      </c>
      <c r="J2218" s="13">
        <v>0.0</v>
      </c>
      <c r="K2218" s="12" t="s">
        <v>21</v>
      </c>
      <c r="L2218" s="7">
        <v>42424.13631944444</v>
      </c>
      <c r="M2218" s="14" t="s">
        <v>269</v>
      </c>
      <c r="N2218" s="14" t="s">
        <v>270</v>
      </c>
      <c r="O2218" s="11" t="str">
        <f>HYPERLINK("https://pbs.twimg.com/profile_images/702455638157168640/AeDgtn0C_normal.jpg","View")</f>
        <v>View</v>
      </c>
      <c r="P2218" s="15"/>
    </row>
    <row r="2219">
      <c r="A2219" s="7">
        <v>42426.09633101852</v>
      </c>
      <c r="B2219" s="8" t="str">
        <f>HYPERLINK("https://twitter.com/LillianEdmiston","@LillianEdmiston")</f>
        <v>@LillianEdmiston</v>
      </c>
      <c r="C2219" s="10" t="s">
        <v>170</v>
      </c>
      <c r="D2219" s="10" t="s">
        <v>4698</v>
      </c>
      <c r="E2219" s="11" t="str">
        <f>HYPERLINK("https://twitter.com/LillianEdmiston/status/703162267408306176","703162267408306176")</f>
        <v>703162267408306176</v>
      </c>
      <c r="F2219" s="12" t="s">
        <v>103</v>
      </c>
      <c r="G2219" s="13">
        <v>1050.0</v>
      </c>
      <c r="H2219" s="13">
        <v>40.0</v>
      </c>
      <c r="I2219" s="13">
        <v>0.0</v>
      </c>
      <c r="J2219" s="13">
        <v>0.0</v>
      </c>
      <c r="K2219" s="12" t="s">
        <v>21</v>
      </c>
      <c r="L2219" s="7">
        <v>42293.27416666667</v>
      </c>
      <c r="M2219" s="14" t="s">
        <v>172</v>
      </c>
      <c r="N2219" s="14" t="s">
        <v>173</v>
      </c>
      <c r="O2219" s="11" t="str">
        <f>HYPERLINK("https://pbs.twimg.com/profile_images/655014978101993476/ZpsnJW8B_normal.jpg","View")</f>
        <v>View</v>
      </c>
      <c r="P2219" s="15"/>
    </row>
    <row r="2220">
      <c r="A2220" s="7">
        <v>42426.096608796295</v>
      </c>
      <c r="B2220" s="8" t="str">
        <f>HYPERLINK("https://twitter.com/alexandreesl","@alexandreesl")</f>
        <v>@alexandreesl</v>
      </c>
      <c r="C2220" s="10" t="s">
        <v>4699</v>
      </c>
      <c r="D2220" s="10" t="s">
        <v>4211</v>
      </c>
      <c r="E2220" s="11" t="str">
        <f>HYPERLINK("https://twitter.com/alexandreesl/status/703162367715049472","703162367715049472")</f>
        <v>703162367715049472</v>
      </c>
      <c r="F2220" s="12" t="s">
        <v>152</v>
      </c>
      <c r="G2220" s="13">
        <v>45.0</v>
      </c>
      <c r="H2220" s="13">
        <v>234.0</v>
      </c>
      <c r="I2220" s="13">
        <v>55.0</v>
      </c>
      <c r="J2220" s="13">
        <v>0.0</v>
      </c>
      <c r="K2220" s="12" t="s">
        <v>21</v>
      </c>
      <c r="L2220" s="7">
        <v>40359.84494212963</v>
      </c>
      <c r="M2220" s="16"/>
      <c r="N2220" s="14" t="s">
        <v>4700</v>
      </c>
      <c r="O2220" s="11" t="str">
        <f>HYPERLINK("https://pbs.twimg.com/profile_images/615126402728390656/m2gI-tiv_normal.jpg","View")</f>
        <v>View</v>
      </c>
      <c r="P2220" s="15"/>
    </row>
    <row r="2221">
      <c r="A2221" s="7">
        <v>42426.09732638889</v>
      </c>
      <c r="B2221" s="8" t="str">
        <f>HYPERLINK("https://twitter.com/ManAHLTech","@ManAHLTech")</f>
        <v>@ManAHLTech</v>
      </c>
      <c r="C2221" s="10" t="s">
        <v>2032</v>
      </c>
      <c r="D2221" s="10" t="s">
        <v>4701</v>
      </c>
      <c r="E2221" s="11" t="str">
        <f>HYPERLINK("https://twitter.com/ManAHLTech/status/703162630052024321","703162630052024321")</f>
        <v>703162630052024321</v>
      </c>
      <c r="F2221" s="12" t="s">
        <v>659</v>
      </c>
      <c r="G2221" s="13">
        <v>500.0</v>
      </c>
      <c r="H2221" s="13">
        <v>248.0</v>
      </c>
      <c r="I2221" s="13">
        <v>0.0</v>
      </c>
      <c r="J2221" s="13">
        <v>0.0</v>
      </c>
      <c r="K2221" s="12" t="s">
        <v>21</v>
      </c>
      <c r="L2221" s="7">
        <v>42142.32065972222</v>
      </c>
      <c r="M2221" s="14" t="s">
        <v>2034</v>
      </c>
      <c r="N2221" s="14" t="s">
        <v>2035</v>
      </c>
      <c r="O2221" s="11" t="str">
        <f>HYPERLINK("https://pbs.twimg.com/profile_images/606122549626445824/F381wuJT_normal.jpg","View")</f>
        <v>View</v>
      </c>
      <c r="P2221" s="15"/>
    </row>
    <row r="2222">
      <c r="A2222" s="7">
        <v>42426.09741898148</v>
      </c>
      <c r="B2222" s="8" t="str">
        <f>HYPERLINK("https://twitter.com/3ndz","@3ndz")</f>
        <v>@3ndz</v>
      </c>
      <c r="C2222" s="10" t="s">
        <v>4702</v>
      </c>
      <c r="D2222" s="10" t="s">
        <v>4196</v>
      </c>
      <c r="E2222" s="11" t="str">
        <f>HYPERLINK("https://twitter.com/3ndz/status/703162662054539264","703162662054539264")</f>
        <v>703162662054539264</v>
      </c>
      <c r="F2222" s="12" t="s">
        <v>152</v>
      </c>
      <c r="G2222" s="13">
        <v>61.0</v>
      </c>
      <c r="H2222" s="13">
        <v>205.0</v>
      </c>
      <c r="I2222" s="13">
        <v>2.0</v>
      </c>
      <c r="J2222" s="13">
        <v>0.0</v>
      </c>
      <c r="K2222" s="12" t="s">
        <v>21</v>
      </c>
      <c r="L2222" s="7">
        <v>41235.06935185185</v>
      </c>
      <c r="M2222" s="14" t="s">
        <v>765</v>
      </c>
      <c r="N2222" s="16"/>
      <c r="O2222" s="11" t="str">
        <f>HYPERLINK("https://pbs.twimg.com/profile_images/3375916834/00a0a48d6227433de20135c88ec80e1d_normal.png","View")</f>
        <v>View</v>
      </c>
      <c r="P2222" s="15"/>
    </row>
    <row r="2223">
      <c r="A2223" s="7">
        <v>42426.09796296296</v>
      </c>
      <c r="B2223" s="8" t="str">
        <f>HYPERLINK("https://twitter.com/Pvalsfr","@Pvalsfr")</f>
        <v>@Pvalsfr</v>
      </c>
      <c r="C2223" s="10" t="s">
        <v>771</v>
      </c>
      <c r="D2223" s="10" t="s">
        <v>4691</v>
      </c>
      <c r="E2223" s="11" t="str">
        <f>HYPERLINK("https://twitter.com/Pvalsfr/status/703162861149773824","703162861149773824")</f>
        <v>703162861149773824</v>
      </c>
      <c r="F2223" s="12" t="s">
        <v>152</v>
      </c>
      <c r="G2223" s="13">
        <v>1045.0</v>
      </c>
      <c r="H2223" s="13">
        <v>1081.0</v>
      </c>
      <c r="I2223" s="13">
        <v>2.0</v>
      </c>
      <c r="J2223" s="13">
        <v>0.0</v>
      </c>
      <c r="K2223" s="12" t="s">
        <v>21</v>
      </c>
      <c r="L2223" s="7">
        <v>40867.68900462963</v>
      </c>
      <c r="M2223" s="16"/>
      <c r="N2223" s="16"/>
      <c r="O2223" s="11" t="str">
        <f>HYPERLINK("https://abs.twimg.com/sticky/default_profile_images/default_profile_4_normal.png","View")</f>
        <v>View</v>
      </c>
      <c r="P2223" s="15"/>
    </row>
    <row r="2224">
      <c r="A2224" s="7">
        <v>42426.098657407405</v>
      </c>
      <c r="B2224" s="8" t="str">
        <f t="shared" ref="B2224:B2226" si="233">HYPERLINK("https://twitter.com/olivegreen_01","@olivegreen_01")</f>
        <v>@olivegreen_01</v>
      </c>
      <c r="C2224" s="10" t="s">
        <v>4703</v>
      </c>
      <c r="D2224" s="10" t="s">
        <v>3183</v>
      </c>
      <c r="E2224" s="11" t="str">
        <f>HYPERLINK("https://twitter.com/olivegreen_01/status/703163113089073152","703163113089073152")</f>
        <v>703163113089073152</v>
      </c>
      <c r="F2224" s="12" t="s">
        <v>52</v>
      </c>
      <c r="G2224" s="13">
        <v>1186.0</v>
      </c>
      <c r="H2224" s="13">
        <v>740.0</v>
      </c>
      <c r="I2224" s="13">
        <v>11.0</v>
      </c>
      <c r="J2224" s="13">
        <v>0.0</v>
      </c>
      <c r="K2224" s="12" t="s">
        <v>21</v>
      </c>
      <c r="L2224" s="7">
        <v>42165.01310185185</v>
      </c>
      <c r="M2224" s="14" t="s">
        <v>1939</v>
      </c>
      <c r="N2224" s="14" t="s">
        <v>4704</v>
      </c>
      <c r="O2224" s="11" t="str">
        <f t="shared" ref="O2224:O2226" si="234">HYPERLINK("https://pbs.twimg.com/profile_images/699578032919437313/tVp4FV8A_normal.jpg","View")</f>
        <v>View</v>
      </c>
      <c r="P2224" s="15"/>
    </row>
    <row r="2225">
      <c r="A2225" s="7">
        <v>42426.09890046297</v>
      </c>
      <c r="B2225" s="8" t="str">
        <f t="shared" si="233"/>
        <v>@olivegreen_01</v>
      </c>
      <c r="C2225" s="10" t="s">
        <v>4703</v>
      </c>
      <c r="D2225" s="10" t="s">
        <v>289</v>
      </c>
      <c r="E2225" s="11" t="str">
        <f>HYPERLINK("https://twitter.com/olivegreen_01/status/703163200498302977","703163200498302977")</f>
        <v>703163200498302977</v>
      </c>
      <c r="F2225" s="12" t="s">
        <v>52</v>
      </c>
      <c r="G2225" s="13">
        <v>1186.0</v>
      </c>
      <c r="H2225" s="13">
        <v>740.0</v>
      </c>
      <c r="I2225" s="13">
        <v>13.0</v>
      </c>
      <c r="J2225" s="13">
        <v>0.0</v>
      </c>
      <c r="K2225" s="12" t="s">
        <v>21</v>
      </c>
      <c r="L2225" s="7">
        <v>42165.01310185185</v>
      </c>
      <c r="M2225" s="14" t="s">
        <v>1939</v>
      </c>
      <c r="N2225" s="14" t="s">
        <v>4704</v>
      </c>
      <c r="O2225" s="11" t="str">
        <f t="shared" si="234"/>
        <v>View</v>
      </c>
      <c r="P2225" s="15"/>
    </row>
    <row r="2226">
      <c r="A2226" s="7">
        <v>42426.09895833333</v>
      </c>
      <c r="B2226" s="8" t="str">
        <f t="shared" si="233"/>
        <v>@olivegreen_01</v>
      </c>
      <c r="C2226" s="10" t="s">
        <v>4703</v>
      </c>
      <c r="D2226" s="10" t="s">
        <v>690</v>
      </c>
      <c r="E2226" s="11" t="str">
        <f>HYPERLINK("https://twitter.com/olivegreen_01/status/703163220291223552","703163220291223552")</f>
        <v>703163220291223552</v>
      </c>
      <c r="F2226" s="12" t="s">
        <v>52</v>
      </c>
      <c r="G2226" s="13">
        <v>1186.0</v>
      </c>
      <c r="H2226" s="13">
        <v>740.0</v>
      </c>
      <c r="I2226" s="13">
        <v>46.0</v>
      </c>
      <c r="J2226" s="13">
        <v>0.0</v>
      </c>
      <c r="K2226" s="12" t="s">
        <v>21</v>
      </c>
      <c r="L2226" s="7">
        <v>42165.01310185185</v>
      </c>
      <c r="M2226" s="14" t="s">
        <v>1939</v>
      </c>
      <c r="N2226" s="14" t="s">
        <v>4704</v>
      </c>
      <c r="O2226" s="11" t="str">
        <f t="shared" si="234"/>
        <v>View</v>
      </c>
      <c r="P2226" s="15"/>
    </row>
    <row r="2227">
      <c r="A2227" s="7">
        <v>42426.099016203705</v>
      </c>
      <c r="B2227" s="8" t="str">
        <f>HYPERLINK("https://twitter.com/actcattgg","@actcattgg")</f>
        <v>@actcattgg</v>
      </c>
      <c r="C2227" s="10" t="s">
        <v>4705</v>
      </c>
      <c r="D2227" s="10" t="s">
        <v>4706</v>
      </c>
      <c r="E2227" s="11" t="str">
        <f>HYPERLINK("https://twitter.com/actcattgg/status/703163241942245378","703163241942245378")</f>
        <v>703163241942245378</v>
      </c>
      <c r="F2227" s="12" t="s">
        <v>450</v>
      </c>
      <c r="G2227" s="13">
        <v>20.0</v>
      </c>
      <c r="H2227" s="13">
        <v>52.0</v>
      </c>
      <c r="I2227" s="13">
        <v>0.0</v>
      </c>
      <c r="J2227" s="13">
        <v>1.0</v>
      </c>
      <c r="K2227" s="12" t="s">
        <v>21</v>
      </c>
      <c r="L2227" s="7">
        <v>41881.312893518516</v>
      </c>
      <c r="M2227" s="14" t="s">
        <v>4707</v>
      </c>
      <c r="N2227" s="16"/>
      <c r="O2227" s="11" t="str">
        <f>HYPERLINK("https://pbs.twimg.com/profile_images/505727914759815168/s4eqANw6_normal.jpeg","View")</f>
        <v>View</v>
      </c>
      <c r="P2227" s="15"/>
    </row>
    <row r="2228">
      <c r="A2228" s="7">
        <v>42426.09914351851</v>
      </c>
      <c r="B2228" s="8" t="str">
        <f>HYPERLINK("https://twitter.com/PythonBooks","@PythonBooks")</f>
        <v>@PythonBooks</v>
      </c>
      <c r="C2228" s="10" t="s">
        <v>267</v>
      </c>
      <c r="D2228" s="10" t="s">
        <v>4708</v>
      </c>
      <c r="E2228" s="11" t="str">
        <f>HYPERLINK("https://twitter.com/PythonBooks/status/703163285332340736","703163285332340736")</f>
        <v>703163285332340736</v>
      </c>
      <c r="F2228" s="12" t="s">
        <v>20</v>
      </c>
      <c r="G2228" s="13">
        <v>20.0</v>
      </c>
      <c r="H2228" s="13">
        <v>70.0</v>
      </c>
      <c r="I2228" s="13">
        <v>2.0</v>
      </c>
      <c r="J2228" s="13">
        <v>0.0</v>
      </c>
      <c r="K2228" s="12" t="s">
        <v>21</v>
      </c>
      <c r="L2228" s="7">
        <v>42424.13631944444</v>
      </c>
      <c r="M2228" s="14" t="s">
        <v>269</v>
      </c>
      <c r="N2228" s="14" t="s">
        <v>270</v>
      </c>
      <c r="O2228" s="11" t="str">
        <f>HYPERLINK("https://pbs.twimg.com/profile_images/702455638157168640/AeDgtn0C_normal.jpg","View")</f>
        <v>View</v>
      </c>
      <c r="P2228" s="15"/>
    </row>
    <row r="2229">
      <c r="A2229" s="7">
        <v>42426.09989583334</v>
      </c>
      <c r="B2229" s="8" t="str">
        <f>HYPERLINK("https://twitter.com/gh0std4ncer","@gh0std4ncer")</f>
        <v>@gh0std4ncer</v>
      </c>
      <c r="C2229" s="10" t="s">
        <v>4709</v>
      </c>
      <c r="D2229" s="10" t="s">
        <v>3368</v>
      </c>
      <c r="E2229" s="11" t="str">
        <f>HYPERLINK("https://twitter.com/gh0std4ncer/status/703163558456995843","703163558456995843")</f>
        <v>703163558456995843</v>
      </c>
      <c r="F2229" s="12" t="s">
        <v>446</v>
      </c>
      <c r="G2229" s="13">
        <v>162.0</v>
      </c>
      <c r="H2229" s="13">
        <v>56.0</v>
      </c>
      <c r="I2229" s="13">
        <v>10.0</v>
      </c>
      <c r="J2229" s="13">
        <v>0.0</v>
      </c>
      <c r="K2229" s="12" t="s">
        <v>21</v>
      </c>
      <c r="L2229" s="7">
        <v>41837.10366898148</v>
      </c>
      <c r="M2229" s="16"/>
      <c r="N2229" s="14" t="s">
        <v>4710</v>
      </c>
      <c r="O2229" s="11" t="str">
        <f>HYPERLINK("https://pbs.twimg.com/profile_images/489755296374325248/1HPWwAdO_normal.jpeg","View")</f>
        <v>View</v>
      </c>
      <c r="P2229" s="15"/>
    </row>
    <row r="2230">
      <c r="A2230" s="7">
        <v>42426.100543981476</v>
      </c>
      <c r="B2230" s="8" t="str">
        <f>HYPERLINK("https://twitter.com/C3Amorocho","@C3Amorocho")</f>
        <v>@C3Amorocho</v>
      </c>
      <c r="C2230" s="10" t="s">
        <v>4711</v>
      </c>
      <c r="D2230" s="10" t="s">
        <v>4505</v>
      </c>
      <c r="E2230" s="11" t="str">
        <f>HYPERLINK("https://twitter.com/C3Amorocho/status/703163795166752769","703163795166752769")</f>
        <v>703163795166752769</v>
      </c>
      <c r="F2230" s="12" t="s">
        <v>152</v>
      </c>
      <c r="G2230" s="13">
        <v>249.0</v>
      </c>
      <c r="H2230" s="13">
        <v>985.0</v>
      </c>
      <c r="I2230" s="13">
        <v>4.0</v>
      </c>
      <c r="J2230" s="13">
        <v>0.0</v>
      </c>
      <c r="K2230" s="12" t="s">
        <v>21</v>
      </c>
      <c r="L2230" s="7">
        <v>41012.76267361111</v>
      </c>
      <c r="M2230" s="14" t="s">
        <v>4712</v>
      </c>
      <c r="N2230" s="14" t="s">
        <v>4713</v>
      </c>
      <c r="O2230" s="11" t="str">
        <f>HYPERLINK("https://pbs.twimg.com/profile_images/544307745802162176/_zO_pEms_normal.jpeg","View")</f>
        <v>View</v>
      </c>
      <c r="P2230" s="15"/>
    </row>
    <row r="2231">
      <c r="A2231" s="7">
        <v>42426.10119212963</v>
      </c>
      <c r="B2231" s="8" t="str">
        <f>HYPERLINK("https://twitter.com/PythonBooks","@PythonBooks")</f>
        <v>@PythonBooks</v>
      </c>
      <c r="C2231" s="10" t="s">
        <v>267</v>
      </c>
      <c r="D2231" s="10" t="s">
        <v>4714</v>
      </c>
      <c r="E2231" s="11" t="str">
        <f>HYPERLINK("https://twitter.com/PythonBooks/status/703164027728318464","703164027728318464")</f>
        <v>703164027728318464</v>
      </c>
      <c r="F2231" s="12" t="s">
        <v>20</v>
      </c>
      <c r="G2231" s="13">
        <v>20.0</v>
      </c>
      <c r="H2231" s="13">
        <v>70.0</v>
      </c>
      <c r="I2231" s="13">
        <v>1.0</v>
      </c>
      <c r="J2231" s="13">
        <v>0.0</v>
      </c>
      <c r="K2231" s="12" t="s">
        <v>21</v>
      </c>
      <c r="L2231" s="7">
        <v>42424.13631944444</v>
      </c>
      <c r="M2231" s="14" t="s">
        <v>269</v>
      </c>
      <c r="N2231" s="14" t="s">
        <v>270</v>
      </c>
      <c r="O2231" s="11" t="str">
        <f>HYPERLINK("https://pbs.twimg.com/profile_images/702455638157168640/AeDgtn0C_normal.jpg","View")</f>
        <v>View</v>
      </c>
      <c r="P2231" s="15"/>
    </row>
    <row r="2232">
      <c r="A2232" s="7">
        <v>42426.10186342592</v>
      </c>
      <c r="B2232" s="8" t="str">
        <f>HYPERLINK("https://twitter.com/7oas7er","@7oas7er")</f>
        <v>@7oas7er</v>
      </c>
      <c r="C2232" s="10" t="s">
        <v>4715</v>
      </c>
      <c r="D2232" s="10" t="s">
        <v>4716</v>
      </c>
      <c r="E2232" s="11" t="str">
        <f>HYPERLINK("https://twitter.com/7oas7er/status/703164271476101121","703164271476101121")</f>
        <v>703164271476101121</v>
      </c>
      <c r="F2232" s="12" t="s">
        <v>4717</v>
      </c>
      <c r="G2232" s="13">
        <v>182.0</v>
      </c>
      <c r="H2232" s="13">
        <v>109.0</v>
      </c>
      <c r="I2232" s="13">
        <v>1.0</v>
      </c>
      <c r="J2232" s="13">
        <v>0.0</v>
      </c>
      <c r="K2232" s="12" t="s">
        <v>21</v>
      </c>
      <c r="L2232" s="7">
        <v>41150.227222222224</v>
      </c>
      <c r="M2232" s="16"/>
      <c r="N2232" s="16"/>
      <c r="O2232" s="11" t="str">
        <f>HYPERLINK("https://pbs.twimg.com/profile_images/378800000371213464/751b5ddeddfeaa4b39de69fc35cefcad_normal.jpeg","View")</f>
        <v>View</v>
      </c>
      <c r="P2232" s="15"/>
    </row>
    <row r="2233">
      <c r="A2233" s="7">
        <v>42426.102476851855</v>
      </c>
      <c r="B2233" s="8" t="str">
        <f>HYPERLINK("https://twitter.com/HartwigMicheal","@HartwigMicheal")</f>
        <v>@HartwigMicheal</v>
      </c>
      <c r="C2233" s="10" t="s">
        <v>842</v>
      </c>
      <c r="D2233" s="10" t="s">
        <v>4718</v>
      </c>
      <c r="E2233" s="11" t="str">
        <f>HYPERLINK("https://twitter.com/HartwigMicheal/status/703164496991248384","703164496991248384")</f>
        <v>703164496991248384</v>
      </c>
      <c r="F2233" s="12" t="s">
        <v>103</v>
      </c>
      <c r="G2233" s="13">
        <v>541.0</v>
      </c>
      <c r="H2233" s="13">
        <v>830.0</v>
      </c>
      <c r="I2233" s="13">
        <v>0.0</v>
      </c>
      <c r="J2233" s="13">
        <v>0.0</v>
      </c>
      <c r="K2233" s="12" t="s">
        <v>21</v>
      </c>
      <c r="L2233" s="7">
        <v>42362.00148148148</v>
      </c>
      <c r="M2233" s="14" t="s">
        <v>844</v>
      </c>
      <c r="N2233" s="14" t="s">
        <v>845</v>
      </c>
      <c r="O2233" s="11" t="str">
        <f>HYPERLINK("https://pbs.twimg.com/profile_images/679948461953781761/pDo9356K_normal.jpg","View")</f>
        <v>View</v>
      </c>
      <c r="P2233" s="15"/>
    </row>
    <row r="2234">
      <c r="A2234" s="7">
        <v>42426.10251157408</v>
      </c>
      <c r="B2234" s="8" t="str">
        <f>HYPERLINK("https://twitter.com/infosecretwit","@infosecretwit")</f>
        <v>@infosecretwit</v>
      </c>
      <c r="C2234" s="10" t="s">
        <v>4719</v>
      </c>
      <c r="D2234" s="10" t="s">
        <v>4720</v>
      </c>
      <c r="E2234" s="11" t="str">
        <f>HYPERLINK("https://twitter.com/infosecretwit/status/703164507007266816","703164507007266816")</f>
        <v>703164507007266816</v>
      </c>
      <c r="F2234" s="12" t="s">
        <v>103</v>
      </c>
      <c r="G2234" s="13">
        <v>1023.0</v>
      </c>
      <c r="H2234" s="13">
        <v>0.0</v>
      </c>
      <c r="I2234" s="13">
        <v>0.0</v>
      </c>
      <c r="J2234" s="13">
        <v>0.0</v>
      </c>
      <c r="K2234" s="12" t="s">
        <v>21</v>
      </c>
      <c r="L2234" s="7">
        <v>42333.28377314815</v>
      </c>
      <c r="M2234" s="16"/>
      <c r="N2234" s="14" t="s">
        <v>4721</v>
      </c>
      <c r="O2234" s="11" t="str">
        <f>HYPERLINK("https://pbs.twimg.com/profile_images/669567305089728512/eS8fX6Be_normal.jpg","View")</f>
        <v>View</v>
      </c>
      <c r="P2234" s="15"/>
    </row>
    <row r="2235">
      <c r="A2235" s="7">
        <v>42426.10252314815</v>
      </c>
      <c r="B2235" s="8" t="str">
        <f>HYPERLINK("https://twitter.com/HartwigMicheal","@HartwigMicheal")</f>
        <v>@HartwigMicheal</v>
      </c>
      <c r="C2235" s="10" t="s">
        <v>842</v>
      </c>
      <c r="D2235" s="10" t="s">
        <v>4722</v>
      </c>
      <c r="E2235" s="11" t="str">
        <f>HYPERLINK("https://twitter.com/HartwigMicheal/status/703164510618546178","703164510618546178")</f>
        <v>703164510618546178</v>
      </c>
      <c r="F2235" s="12" t="s">
        <v>103</v>
      </c>
      <c r="G2235" s="13">
        <v>541.0</v>
      </c>
      <c r="H2235" s="13">
        <v>830.0</v>
      </c>
      <c r="I2235" s="13">
        <v>0.0</v>
      </c>
      <c r="J2235" s="13">
        <v>0.0</v>
      </c>
      <c r="K2235" s="12" t="s">
        <v>21</v>
      </c>
      <c r="L2235" s="7">
        <v>42362.00148148148</v>
      </c>
      <c r="M2235" s="14" t="s">
        <v>844</v>
      </c>
      <c r="N2235" s="14" t="s">
        <v>845</v>
      </c>
      <c r="O2235" s="11" t="str">
        <f>HYPERLINK("https://pbs.twimg.com/profile_images/679948461953781761/pDo9356K_normal.jpg","View")</f>
        <v>View</v>
      </c>
      <c r="P2235" s="15"/>
    </row>
    <row r="2236">
      <c r="A2236" s="7">
        <v>42426.10318287037</v>
      </c>
      <c r="B2236" s="8" t="str">
        <f>HYPERLINK("https://twitter.com/ejlivsey","@ejlivsey")</f>
        <v>@ejlivsey</v>
      </c>
      <c r="C2236" s="10" t="s">
        <v>4723</v>
      </c>
      <c r="D2236" s="10" t="s">
        <v>4724</v>
      </c>
      <c r="E2236" s="11" t="str">
        <f>HYPERLINK("https://twitter.com/ejlivsey/status/703164751451287555","703164751451287555")</f>
        <v>703164751451287555</v>
      </c>
      <c r="F2236" s="12" t="s">
        <v>152</v>
      </c>
      <c r="G2236" s="13">
        <v>10.0</v>
      </c>
      <c r="H2236" s="13">
        <v>18.0</v>
      </c>
      <c r="I2236" s="13">
        <v>0.0</v>
      </c>
      <c r="J2236" s="13">
        <v>0.0</v>
      </c>
      <c r="K2236" s="12" t="s">
        <v>21</v>
      </c>
      <c r="L2236" s="7">
        <v>42411.48726851852</v>
      </c>
      <c r="M2236" s="14" t="s">
        <v>104</v>
      </c>
      <c r="N2236" s="14" t="s">
        <v>4725</v>
      </c>
      <c r="O2236" s="11" t="str">
        <f>HYPERLINK("https://abs.twimg.com/sticky/default_profile_images/default_profile_3_normal.png","View")</f>
        <v>View</v>
      </c>
      <c r="P2236" s="15"/>
    </row>
    <row r="2237">
      <c r="A2237" s="7">
        <v>42426.10322916666</v>
      </c>
      <c r="B2237" s="8" t="str">
        <f t="shared" ref="B2237:B2238" si="235">HYPERLINK("https://twitter.com/MTotolrahaman","@MTotolrahaman")</f>
        <v>@MTotolrahaman</v>
      </c>
      <c r="C2237" s="10" t="s">
        <v>848</v>
      </c>
      <c r="D2237" s="10" t="s">
        <v>4726</v>
      </c>
      <c r="E2237" s="11" t="str">
        <f>HYPERLINK("https://twitter.com/MTotolrahaman/status/703164767905542144","703164767905542144")</f>
        <v>703164767905542144</v>
      </c>
      <c r="F2237" s="12" t="s">
        <v>103</v>
      </c>
      <c r="G2237" s="13">
        <v>766.0</v>
      </c>
      <c r="H2237" s="13">
        <v>846.0</v>
      </c>
      <c r="I2237" s="13">
        <v>0.0</v>
      </c>
      <c r="J2237" s="13">
        <v>0.0</v>
      </c>
      <c r="K2237" s="12" t="s">
        <v>21</v>
      </c>
      <c r="L2237" s="7">
        <v>42355.250798611116</v>
      </c>
      <c r="M2237" s="14" t="s">
        <v>850</v>
      </c>
      <c r="N2237" s="14" t="s">
        <v>851</v>
      </c>
      <c r="O2237" s="11" t="str">
        <f t="shared" ref="O2237:O2238" si="236">HYPERLINK("https://pbs.twimg.com/profile_images/677493910256484352/-EdVaVPl_normal.jpg","View")</f>
        <v>View</v>
      </c>
      <c r="P2237" s="15"/>
    </row>
    <row r="2238">
      <c r="A2238" s="7">
        <v>42426.10326388889</v>
      </c>
      <c r="B2238" s="8" t="str">
        <f t="shared" si="235"/>
        <v>@MTotolrahaman</v>
      </c>
      <c r="C2238" s="10" t="s">
        <v>848</v>
      </c>
      <c r="D2238" s="10" t="s">
        <v>4727</v>
      </c>
      <c r="E2238" s="11" t="str">
        <f>HYPERLINK("https://twitter.com/MTotolrahaman/status/703164780689764352","703164780689764352")</f>
        <v>703164780689764352</v>
      </c>
      <c r="F2238" s="12" t="s">
        <v>103</v>
      </c>
      <c r="G2238" s="13">
        <v>766.0</v>
      </c>
      <c r="H2238" s="13">
        <v>846.0</v>
      </c>
      <c r="I2238" s="13">
        <v>0.0</v>
      </c>
      <c r="J2238" s="13">
        <v>0.0</v>
      </c>
      <c r="K2238" s="12" t="s">
        <v>21</v>
      </c>
      <c r="L2238" s="7">
        <v>42355.250798611116</v>
      </c>
      <c r="M2238" s="14" t="s">
        <v>850</v>
      </c>
      <c r="N2238" s="14" t="s">
        <v>851</v>
      </c>
      <c r="O2238" s="11" t="str">
        <f t="shared" si="236"/>
        <v>View</v>
      </c>
      <c r="P2238" s="15"/>
    </row>
    <row r="2239">
      <c r="A2239" s="7">
        <v>42426.103379629625</v>
      </c>
      <c r="B2239" s="8" t="str">
        <f>HYPERLINK("https://twitter.com/MediaTekLabs","@MediaTekLabs")</f>
        <v>@MediaTekLabs</v>
      </c>
      <c r="C2239" s="10" t="s">
        <v>4728</v>
      </c>
      <c r="D2239" s="10" t="s">
        <v>4729</v>
      </c>
      <c r="E2239" s="11" t="str">
        <f>HYPERLINK("https://twitter.com/MediaTekLabs/status/703164822469259264","703164822469259264")</f>
        <v>703164822469259264</v>
      </c>
      <c r="F2239" s="12" t="s">
        <v>446</v>
      </c>
      <c r="G2239" s="13">
        <v>3315.0</v>
      </c>
      <c r="H2239" s="13">
        <v>756.0</v>
      </c>
      <c r="I2239" s="13">
        <v>2.0</v>
      </c>
      <c r="J2239" s="13">
        <v>8.0</v>
      </c>
      <c r="K2239" s="12" t="s">
        <v>21</v>
      </c>
      <c r="L2239" s="7">
        <v>41943.24916666667</v>
      </c>
      <c r="M2239" s="16"/>
      <c r="N2239" s="14" t="s">
        <v>4730</v>
      </c>
      <c r="O2239" s="11" t="str">
        <f>HYPERLINK("https://pbs.twimg.com/profile_images/528169468619284480/hKGJPh8f_normal.jpeg","View")</f>
        <v>View</v>
      </c>
      <c r="P2239" s="15"/>
    </row>
    <row r="2240">
      <c r="A2240" s="7">
        <v>42426.10340277778</v>
      </c>
      <c r="B2240" s="8" t="str">
        <f>HYPERLINK("https://twitter.com/distinctlyctfp","@distinctlyctfp")</f>
        <v>@distinctlyctfp</v>
      </c>
      <c r="C2240" s="10" t="s">
        <v>4731</v>
      </c>
      <c r="D2240" s="10" t="s">
        <v>4732</v>
      </c>
      <c r="E2240" s="11" t="str">
        <f>HYPERLINK("https://twitter.com/distinctlyctfp/status/703164830413254656","703164830413254656")</f>
        <v>703164830413254656</v>
      </c>
      <c r="F2240" s="12" t="s">
        <v>446</v>
      </c>
      <c r="G2240" s="13">
        <v>27.0</v>
      </c>
      <c r="H2240" s="13">
        <v>12.0</v>
      </c>
      <c r="I2240" s="13">
        <v>0.0</v>
      </c>
      <c r="J2240" s="13">
        <v>1.0</v>
      </c>
      <c r="K2240" s="12" t="s">
        <v>21</v>
      </c>
      <c r="L2240" s="7">
        <v>41785.48763888889</v>
      </c>
      <c r="M2240" s="14" t="s">
        <v>4733</v>
      </c>
      <c r="N2240" s="14" t="s">
        <v>4734</v>
      </c>
      <c r="O2240" s="11" t="str">
        <f>HYPERLINK("https://pbs.twimg.com/profile_images/473145864710393857/C4j-pf5-_normal.png","View")</f>
        <v>View</v>
      </c>
      <c r="P2240" s="15"/>
    </row>
    <row r="2241">
      <c r="A2241" s="7">
        <v>42426.1034375</v>
      </c>
      <c r="B2241" s="8" t="str">
        <f>HYPERLINK("https://twitter.com/HSirtl","@HSirtl")</f>
        <v>@HSirtl</v>
      </c>
      <c r="C2241" s="10" t="s">
        <v>4735</v>
      </c>
      <c r="D2241" s="10" t="s">
        <v>4736</v>
      </c>
      <c r="E2241" s="11" t="str">
        <f>HYPERLINK("https://twitter.com/HSirtl/status/703164844501893120","703164844501893120")</f>
        <v>703164844501893120</v>
      </c>
      <c r="F2241" s="12" t="s">
        <v>4737</v>
      </c>
      <c r="G2241" s="13">
        <v>218.0</v>
      </c>
      <c r="H2241" s="13">
        <v>26.0</v>
      </c>
      <c r="I2241" s="13">
        <v>2.0</v>
      </c>
      <c r="J2241" s="13">
        <v>2.0</v>
      </c>
      <c r="K2241" s="12" t="s">
        <v>21</v>
      </c>
      <c r="L2241" s="7">
        <v>41204.01917824074</v>
      </c>
      <c r="M2241" s="16"/>
      <c r="N2241" s="14" t="s">
        <v>4738</v>
      </c>
      <c r="O2241" s="11" t="str">
        <f>HYPERLINK("https://pbs.twimg.com/profile_images/2749490600/afc0c011978b83664da79c8c15947141_normal.jpeg","View")</f>
        <v>View</v>
      </c>
      <c r="P2241" s="15"/>
    </row>
    <row r="2242">
      <c r="A2242" s="7">
        <v>42426.1039699074</v>
      </c>
      <c r="B2242" s="8" t="str">
        <f>HYPERLINK("https://twitter.com/Pvalsfr","@Pvalsfr")</f>
        <v>@Pvalsfr</v>
      </c>
      <c r="C2242" s="10" t="s">
        <v>771</v>
      </c>
      <c r="D2242" s="10" t="s">
        <v>4739</v>
      </c>
      <c r="E2242" s="11" t="str">
        <f>HYPERLINK("https://twitter.com/Pvalsfr/status/703165034667466752","703165034667466752")</f>
        <v>703165034667466752</v>
      </c>
      <c r="F2242" s="12" t="s">
        <v>152</v>
      </c>
      <c r="G2242" s="13">
        <v>1045.0</v>
      </c>
      <c r="H2242" s="13">
        <v>1081.0</v>
      </c>
      <c r="I2242" s="13">
        <v>3.0</v>
      </c>
      <c r="J2242" s="13">
        <v>0.0</v>
      </c>
      <c r="K2242" s="12" t="s">
        <v>21</v>
      </c>
      <c r="L2242" s="7">
        <v>40867.68900462963</v>
      </c>
      <c r="M2242" s="16"/>
      <c r="N2242" s="16"/>
      <c r="O2242" s="11" t="str">
        <f>HYPERLINK("https://abs.twimg.com/sticky/default_profile_images/default_profile_4_normal.png","View")</f>
        <v>View</v>
      </c>
      <c r="P2242" s="15"/>
    </row>
    <row r="2243">
      <c r="A2243" s="7">
        <v>42426.10417824074</v>
      </c>
      <c r="B2243" s="8" t="str">
        <f>HYPERLINK("https://twitter.com/0x626F74","@0x626F74")</f>
        <v>@0x626F74</v>
      </c>
      <c r="C2243" s="10" t="s">
        <v>2707</v>
      </c>
      <c r="D2243" s="10" t="s">
        <v>4740</v>
      </c>
      <c r="E2243" s="11" t="str">
        <f>HYPERLINK("https://twitter.com/0x626F74/status/703165110634749952","703165110634749952")</f>
        <v>703165110634749952</v>
      </c>
      <c r="F2243" s="12" t="s">
        <v>2709</v>
      </c>
      <c r="G2243" s="13">
        <v>44.0</v>
      </c>
      <c r="H2243" s="13">
        <v>0.0</v>
      </c>
      <c r="I2243" s="13">
        <v>0.0</v>
      </c>
      <c r="J2243" s="13">
        <v>0.0</v>
      </c>
      <c r="K2243" s="12" t="s">
        <v>21</v>
      </c>
      <c r="L2243" s="7">
        <v>41484.2893287037</v>
      </c>
      <c r="M2243" s="16"/>
      <c r="N2243" s="16"/>
      <c r="O2243" s="11" t="str">
        <f>HYPERLINK("https://abs.twimg.com/sticky/default_profile_images/default_profile_3_normal.png","View")</f>
        <v>View</v>
      </c>
      <c r="P2243" s="15"/>
    </row>
    <row r="2244">
      <c r="A2244" s="7">
        <v>42426.104733796295</v>
      </c>
      <c r="B2244" s="8" t="str">
        <f>HYPERLINK("https://twitter.com/ConnectionsNY","@ConnectionsNY")</f>
        <v>@ConnectionsNY</v>
      </c>
      <c r="C2244" s="10" t="s">
        <v>1088</v>
      </c>
      <c r="D2244" s="10" t="s">
        <v>4741</v>
      </c>
      <c r="E2244" s="11" t="str">
        <f>HYPERLINK("https://twitter.com/ConnectionsNY/status/703165311218880512","703165311218880512")</f>
        <v>703165311218880512</v>
      </c>
      <c r="F2244" s="12" t="s">
        <v>659</v>
      </c>
      <c r="G2244" s="13">
        <v>1272.0</v>
      </c>
      <c r="H2244" s="13">
        <v>825.0</v>
      </c>
      <c r="I2244" s="13">
        <v>0.0</v>
      </c>
      <c r="J2244" s="13">
        <v>0.0</v>
      </c>
      <c r="K2244" s="12" t="s">
        <v>21</v>
      </c>
      <c r="L2244" s="7">
        <v>39916.460486111115</v>
      </c>
      <c r="M2244" s="14" t="s">
        <v>1090</v>
      </c>
      <c r="N2244" s="14" t="s">
        <v>1091</v>
      </c>
      <c r="O2244" s="11" t="str">
        <f>HYPERLINK("https://pbs.twimg.com/profile_images/646430794391650304/jK6EaLeg_normal.jpg","View")</f>
        <v>View</v>
      </c>
      <c r="P2244" s="15"/>
    </row>
    <row r="2245">
      <c r="A2245" s="7">
        <v>42426.10563657407</v>
      </c>
      <c r="B2245" s="8" t="str">
        <f>HYPERLINK("https://twitter.com/salvatoremonaco","@salvatoremonaco")</f>
        <v>@salvatoremonaco</v>
      </c>
      <c r="C2245" s="10" t="s">
        <v>418</v>
      </c>
      <c r="D2245" s="10" t="s">
        <v>4742</v>
      </c>
      <c r="E2245" s="11" t="str">
        <f>HYPERLINK("https://twitter.com/salvatoremonaco/status/703165641415524353","703165641415524353")</f>
        <v>703165641415524353</v>
      </c>
      <c r="F2245" s="12" t="s">
        <v>20</v>
      </c>
      <c r="G2245" s="13">
        <v>195.0</v>
      </c>
      <c r="H2245" s="13">
        <v>524.0</v>
      </c>
      <c r="I2245" s="13">
        <v>1.0</v>
      </c>
      <c r="J2245" s="13">
        <v>2.0</v>
      </c>
      <c r="K2245" s="12" t="s">
        <v>21</v>
      </c>
      <c r="L2245" s="7">
        <v>39971.13170138889</v>
      </c>
      <c r="M2245" s="14" t="s">
        <v>420</v>
      </c>
      <c r="N2245" s="14" t="s">
        <v>421</v>
      </c>
      <c r="O2245" s="11" t="str">
        <f>HYPERLINK("https://pbs.twimg.com/profile_images/1781002900/image_normal.jpg","View")</f>
        <v>View</v>
      </c>
      <c r="P2245" s="15"/>
    </row>
    <row r="2246">
      <c r="A2246" s="7">
        <v>42426.10578703704</v>
      </c>
      <c r="B2246" s="8" t="str">
        <f>HYPERLINK("https://twitter.com/kamatat2006","@kamatat2006")</f>
        <v>@kamatat2006</v>
      </c>
      <c r="C2246" s="10" t="s">
        <v>4743</v>
      </c>
      <c r="D2246" s="10" t="s">
        <v>4211</v>
      </c>
      <c r="E2246" s="11" t="str">
        <f>HYPERLINK("https://twitter.com/kamatat2006/status/703165693601062912","703165693601062912")</f>
        <v>703165693601062912</v>
      </c>
      <c r="F2246" s="12" t="s">
        <v>152</v>
      </c>
      <c r="G2246" s="13">
        <v>66.0</v>
      </c>
      <c r="H2246" s="13">
        <v>75.0</v>
      </c>
      <c r="I2246" s="13">
        <v>55.0</v>
      </c>
      <c r="J2246" s="13">
        <v>0.0</v>
      </c>
      <c r="K2246" s="12" t="s">
        <v>21</v>
      </c>
      <c r="L2246" s="7">
        <v>40528.77541666667</v>
      </c>
      <c r="M2246" s="14" t="s">
        <v>4744</v>
      </c>
      <c r="N2246" s="14" t="s">
        <v>4745</v>
      </c>
      <c r="O2246" s="11" t="str">
        <f>HYPERLINK("https://pbs.twimg.com/profile_images/378800000277104498/bc110fa953c596e528e7050c0f408b20_normal.jpeg","View")</f>
        <v>View</v>
      </c>
      <c r="P2246" s="15"/>
    </row>
    <row r="2247">
      <c r="A2247" s="7">
        <v>42426.10806712963</v>
      </c>
      <c r="B2247" s="8" t="str">
        <f>HYPERLINK("https://twitter.com/jamiesincerous","@jamiesincerous")</f>
        <v>@jamiesincerous</v>
      </c>
      <c r="C2247" s="10" t="s">
        <v>4746</v>
      </c>
      <c r="D2247" s="10" t="s">
        <v>4747</v>
      </c>
      <c r="E2247" s="11" t="str">
        <f>HYPERLINK("https://twitter.com/jamiesincerous/status/703166521732780032","703166521732780032")</f>
        <v>703166521732780032</v>
      </c>
      <c r="F2247" s="12" t="s">
        <v>446</v>
      </c>
      <c r="G2247" s="13">
        <v>240.0</v>
      </c>
      <c r="H2247" s="13">
        <v>138.0</v>
      </c>
      <c r="I2247" s="13">
        <v>0.0</v>
      </c>
      <c r="J2247" s="13">
        <v>6.0</v>
      </c>
      <c r="K2247" s="12" t="s">
        <v>21</v>
      </c>
      <c r="L2247" s="7">
        <v>41303.7590625</v>
      </c>
      <c r="M2247" s="14" t="s">
        <v>4733</v>
      </c>
      <c r="N2247" s="14" t="s">
        <v>4748</v>
      </c>
      <c r="O2247" s="11" t="str">
        <f>HYPERLINK("https://pbs.twimg.com/profile_images/544972321824333825/ECrPVT7q_normal.jpeg","View")</f>
        <v>View</v>
      </c>
      <c r="P2247" s="15"/>
    </row>
    <row r="2248">
      <c r="A2248" s="7">
        <v>42426.108668981484</v>
      </c>
      <c r="B2248" s="8" t="str">
        <f>HYPERLINK("https://twitter.com/Owentis","@Owentis")</f>
        <v>@Owentis</v>
      </c>
      <c r="C2248" s="10" t="s">
        <v>4749</v>
      </c>
      <c r="D2248" s="10" t="s">
        <v>4211</v>
      </c>
      <c r="E2248" s="11" t="str">
        <f>HYPERLINK("https://twitter.com/Owentis/status/703166737831714816","703166737831714816")</f>
        <v>703166737831714816</v>
      </c>
      <c r="F2248" s="12" t="s">
        <v>20</v>
      </c>
      <c r="G2248" s="13">
        <v>99.0</v>
      </c>
      <c r="H2248" s="13">
        <v>207.0</v>
      </c>
      <c r="I2248" s="13">
        <v>55.0</v>
      </c>
      <c r="J2248" s="13">
        <v>0.0</v>
      </c>
      <c r="K2248" s="12" t="s">
        <v>21</v>
      </c>
      <c r="L2248" s="7">
        <v>40949.29560185185</v>
      </c>
      <c r="M2248" s="14" t="s">
        <v>4750</v>
      </c>
      <c r="N2248" s="14" t="s">
        <v>4751</v>
      </c>
      <c r="O2248" s="11" t="str">
        <f>HYPERLINK("https://pbs.twimg.com/profile_images/1862602287/owentis_logo_normal.jpg","View")</f>
        <v>View</v>
      </c>
      <c r="P2248" s="15"/>
    </row>
    <row r="2249">
      <c r="A2249" s="7">
        <v>42426.10988425926</v>
      </c>
      <c r="B2249" s="8" t="str">
        <f t="shared" ref="B2249:B2250" si="237">HYPERLINK("https://twitter.com/artwisanggeni","@artwisanggeni")</f>
        <v>@artwisanggeni</v>
      </c>
      <c r="C2249" s="10" t="s">
        <v>74</v>
      </c>
      <c r="D2249" s="10" t="s">
        <v>4752</v>
      </c>
      <c r="E2249" s="11" t="str">
        <f>HYPERLINK("https://twitter.com/artwisanggeni/status/703167178397192192","703167178397192192")</f>
        <v>703167178397192192</v>
      </c>
      <c r="F2249" s="17" t="s">
        <v>76</v>
      </c>
      <c r="G2249" s="13">
        <v>236.0</v>
      </c>
      <c r="H2249" s="13">
        <v>61.0</v>
      </c>
      <c r="I2249" s="13">
        <v>0.0</v>
      </c>
      <c r="J2249" s="13">
        <v>0.0</v>
      </c>
      <c r="K2249" s="12" t="s">
        <v>21</v>
      </c>
      <c r="L2249" s="7">
        <v>41218.90608796296</v>
      </c>
      <c r="M2249" s="14" t="s">
        <v>77</v>
      </c>
      <c r="N2249" s="14" t="s">
        <v>78</v>
      </c>
      <c r="O2249" s="11" t="str">
        <f t="shared" ref="O2249:O2250" si="238">HYPERLINK("https://pbs.twimg.com/profile_images/2813636657/599521f69e2bc210a57323b64d8e39e6_normal.jpeg","View")</f>
        <v>View</v>
      </c>
      <c r="P2249" s="15"/>
    </row>
    <row r="2250">
      <c r="A2250" s="7">
        <v>42426.10989583333</v>
      </c>
      <c r="B2250" s="8" t="str">
        <f t="shared" si="237"/>
        <v>@artwisanggeni</v>
      </c>
      <c r="C2250" s="10" t="s">
        <v>74</v>
      </c>
      <c r="D2250" s="10" t="s">
        <v>4753</v>
      </c>
      <c r="E2250" s="11" t="str">
        <f>HYPERLINK("https://twitter.com/artwisanggeni/status/703167182541172738","703167182541172738")</f>
        <v>703167182541172738</v>
      </c>
      <c r="F2250" s="17" t="s">
        <v>76</v>
      </c>
      <c r="G2250" s="13">
        <v>236.0</v>
      </c>
      <c r="H2250" s="13">
        <v>61.0</v>
      </c>
      <c r="I2250" s="13">
        <v>0.0</v>
      </c>
      <c r="J2250" s="13">
        <v>0.0</v>
      </c>
      <c r="K2250" s="12" t="s">
        <v>21</v>
      </c>
      <c r="L2250" s="7">
        <v>41218.90608796296</v>
      </c>
      <c r="M2250" s="14" t="s">
        <v>77</v>
      </c>
      <c r="N2250" s="14" t="s">
        <v>78</v>
      </c>
      <c r="O2250" s="11" t="str">
        <f t="shared" si="238"/>
        <v>View</v>
      </c>
      <c r="P2250" s="15"/>
    </row>
    <row r="2251">
      <c r="A2251" s="7">
        <v>42426.10994212963</v>
      </c>
      <c r="B2251" s="8" t="str">
        <f>HYPERLINK("https://twitter.com/WebScraperDB","@WebScraperDB")</f>
        <v>@WebScraperDB</v>
      </c>
      <c r="C2251" s="10" t="s">
        <v>2743</v>
      </c>
      <c r="D2251" s="10" t="s">
        <v>4754</v>
      </c>
      <c r="E2251" s="11" t="str">
        <f>HYPERLINK("https://twitter.com/WebScraperDB/status/703167202405449728","703167202405449728")</f>
        <v>703167202405449728</v>
      </c>
      <c r="F2251" s="12" t="s">
        <v>2743</v>
      </c>
      <c r="G2251" s="13">
        <v>298.0</v>
      </c>
      <c r="H2251" s="13">
        <v>927.0</v>
      </c>
      <c r="I2251" s="13">
        <v>0.0</v>
      </c>
      <c r="J2251" s="13">
        <v>1.0</v>
      </c>
      <c r="K2251" s="12" t="s">
        <v>21</v>
      </c>
      <c r="L2251" s="7">
        <v>42410.33493055556</v>
      </c>
      <c r="M2251" s="14" t="s">
        <v>2745</v>
      </c>
      <c r="N2251" s="14" t="s">
        <v>2746</v>
      </c>
      <c r="O2251" s="11" t="str">
        <f>HYPERLINK("https://pbs.twimg.com/profile_images/699545598450606080/s8CU8cVg_normal.png","View")</f>
        <v>View</v>
      </c>
      <c r="P2251" s="15"/>
    </row>
    <row r="2252">
      <c r="A2252" s="7">
        <v>42426.110821759255</v>
      </c>
      <c r="B2252" s="8" t="str">
        <f>HYPERLINK("https://twitter.com/Pvalsfr","@Pvalsfr")</f>
        <v>@Pvalsfr</v>
      </c>
      <c r="C2252" s="10" t="s">
        <v>771</v>
      </c>
      <c r="D2252" s="10" t="s">
        <v>4587</v>
      </c>
      <c r="E2252" s="11" t="str">
        <f>HYPERLINK("https://twitter.com/Pvalsfr/status/703167518383276032","703167518383276032")</f>
        <v>703167518383276032</v>
      </c>
      <c r="F2252" s="12" t="s">
        <v>152</v>
      </c>
      <c r="G2252" s="13">
        <v>1045.0</v>
      </c>
      <c r="H2252" s="13">
        <v>1081.0</v>
      </c>
      <c r="I2252" s="13">
        <v>3.0</v>
      </c>
      <c r="J2252" s="13">
        <v>0.0</v>
      </c>
      <c r="K2252" s="12" t="s">
        <v>21</v>
      </c>
      <c r="L2252" s="7">
        <v>40867.68900462963</v>
      </c>
      <c r="M2252" s="16"/>
      <c r="N2252" s="16"/>
      <c r="O2252" s="11" t="str">
        <f>HYPERLINK("https://abs.twimg.com/sticky/default_profile_images/default_profile_4_normal.png","View")</f>
        <v>View</v>
      </c>
      <c r="P2252" s="15"/>
    </row>
    <row r="2253">
      <c r="A2253" s="7">
        <v>42426.111805555556</v>
      </c>
      <c r="B2253" s="8" t="str">
        <f>HYPERLINK("https://twitter.com/cocoacoda","@cocoacoda")</f>
        <v>@cocoacoda</v>
      </c>
      <c r="C2253" s="10" t="s">
        <v>486</v>
      </c>
      <c r="D2253" s="10" t="s">
        <v>4755</v>
      </c>
      <c r="E2253" s="11" t="str">
        <f>HYPERLINK("https://twitter.com/cocoacoda/status/703167875767402496","703167875767402496")</f>
        <v>703167875767402496</v>
      </c>
      <c r="F2253" s="12" t="s">
        <v>488</v>
      </c>
      <c r="G2253" s="13">
        <v>124.0</v>
      </c>
      <c r="H2253" s="13">
        <v>142.0</v>
      </c>
      <c r="I2253" s="13">
        <v>0.0</v>
      </c>
      <c r="J2253" s="13">
        <v>0.0</v>
      </c>
      <c r="K2253" s="12" t="s">
        <v>21</v>
      </c>
      <c r="L2253" s="7">
        <v>40951.29611111111</v>
      </c>
      <c r="M2253" s="14" t="s">
        <v>489</v>
      </c>
      <c r="N2253" s="14" t="s">
        <v>490</v>
      </c>
      <c r="O2253" s="11" t="str">
        <f>HYPERLINK("https://pbs.twimg.com/profile_images/452064440687423488/nbwrKTwP_normal.jpeg","View")</f>
        <v>View</v>
      </c>
      <c r="P2253" s="15"/>
    </row>
    <row r="2254">
      <c r="A2254" s="7">
        <v>42426.11259259259</v>
      </c>
      <c r="B2254" s="8" t="str">
        <f>HYPERLINK("https://twitter.com/pydigest","@pydigest")</f>
        <v>@pydigest</v>
      </c>
      <c r="C2254" s="10" t="s">
        <v>385</v>
      </c>
      <c r="D2254" s="10" t="s">
        <v>4756</v>
      </c>
      <c r="E2254" s="11" t="str">
        <f>HYPERLINK("https://twitter.com/pydigest/status/703168159033851906","703168159033851906")</f>
        <v>703168159033851906</v>
      </c>
      <c r="F2254" s="12" t="s">
        <v>103</v>
      </c>
      <c r="G2254" s="13">
        <v>634.0</v>
      </c>
      <c r="H2254" s="13">
        <v>22.0</v>
      </c>
      <c r="I2254" s="13">
        <v>0.0</v>
      </c>
      <c r="J2254" s="13">
        <v>1.0</v>
      </c>
      <c r="K2254" s="12" t="s">
        <v>21</v>
      </c>
      <c r="L2254" s="7">
        <v>41797.15729166666</v>
      </c>
      <c r="M2254" s="16"/>
      <c r="N2254" s="14" t="s">
        <v>387</v>
      </c>
      <c r="O2254" s="11" t="str">
        <f>HYPERLINK("https://pbs.twimg.com/profile_images/475228702922387457/6gYeuqxD_normal.jpeg","View")</f>
        <v>View</v>
      </c>
      <c r="P2254" s="15"/>
    </row>
    <row r="2255">
      <c r="A2255" s="7">
        <v>42426.11387731481</v>
      </c>
      <c r="B2255" s="8" t="str">
        <f>HYPERLINK("https://twitter.com/ravikiranreddyy","@ravikiranreddyy")</f>
        <v>@ravikiranreddyy</v>
      </c>
      <c r="C2255" s="10" t="s">
        <v>4757</v>
      </c>
      <c r="D2255" s="10" t="s">
        <v>4758</v>
      </c>
      <c r="E2255" s="11" t="str">
        <f>HYPERLINK("https://twitter.com/ravikiranreddyy/status/703168628242272256","703168628242272256")</f>
        <v>703168628242272256</v>
      </c>
      <c r="F2255" s="12" t="s">
        <v>20</v>
      </c>
      <c r="G2255" s="13">
        <v>66.0</v>
      </c>
      <c r="H2255" s="13">
        <v>491.0</v>
      </c>
      <c r="I2255" s="13">
        <v>0.0</v>
      </c>
      <c r="J2255" s="13">
        <v>0.0</v>
      </c>
      <c r="K2255" s="12" t="s">
        <v>21</v>
      </c>
      <c r="L2255" s="7">
        <v>40711.40353009259</v>
      </c>
      <c r="M2255" s="14" t="s">
        <v>4759</v>
      </c>
      <c r="N2255" s="14" t="s">
        <v>4760</v>
      </c>
      <c r="O2255" s="11" t="str">
        <f>HYPERLINK("https://pbs.twimg.com/profile_images/695557884529147904/nSbdlKno_normal.jpg","View")</f>
        <v>View</v>
      </c>
      <c r="P2255" s="15"/>
    </row>
    <row r="2256">
      <c r="A2256" s="7">
        <v>42426.115011574075</v>
      </c>
      <c r="B2256" s="8" t="str">
        <f>HYPERLINK("https://twitter.com/pvergain","@pvergain")</f>
        <v>@pvergain</v>
      </c>
      <c r="C2256" s="10" t="s">
        <v>878</v>
      </c>
      <c r="D2256" s="10" t="s">
        <v>4761</v>
      </c>
      <c r="E2256" s="11" t="str">
        <f>HYPERLINK("https://twitter.com/pvergain/status/703169039770611712","703169039770611712")</f>
        <v>703169039770611712</v>
      </c>
      <c r="F2256" s="12" t="s">
        <v>20</v>
      </c>
      <c r="G2256" s="13">
        <v>909.0</v>
      </c>
      <c r="H2256" s="13">
        <v>1654.0</v>
      </c>
      <c r="I2256" s="13">
        <v>0.0</v>
      </c>
      <c r="J2256" s="13">
        <v>0.0</v>
      </c>
      <c r="K2256" s="12" t="s">
        <v>21</v>
      </c>
      <c r="L2256" s="7">
        <v>40003.974375</v>
      </c>
      <c r="M2256" s="14" t="s">
        <v>879</v>
      </c>
      <c r="N2256" s="14" t="s">
        <v>880</v>
      </c>
      <c r="O2256" s="11" t="str">
        <f>HYPERLINK("https://pbs.twimg.com/profile_images/528272392766779392/5AeOFtlc_normal.jpeg","View")</f>
        <v>View</v>
      </c>
      <c r="P2256" s="15"/>
    </row>
    <row r="2257">
      <c r="A2257" s="7">
        <v>42426.11552083334</v>
      </c>
      <c r="B2257" s="8" t="str">
        <f>HYPERLINK("https://twitter.com/karounos","@karounos")</f>
        <v>@karounos</v>
      </c>
      <c r="C2257" s="10" t="s">
        <v>4762</v>
      </c>
      <c r="D2257" s="10" t="s">
        <v>4763</v>
      </c>
      <c r="E2257" s="11" t="str">
        <f>HYPERLINK("https://twitter.com/karounos/status/703169223627919362","703169223627919362")</f>
        <v>703169223627919362</v>
      </c>
      <c r="F2257" s="12" t="s">
        <v>20</v>
      </c>
      <c r="G2257" s="13">
        <v>9452.0</v>
      </c>
      <c r="H2257" s="13">
        <v>7906.0</v>
      </c>
      <c r="I2257" s="13">
        <v>1.0</v>
      </c>
      <c r="J2257" s="13">
        <v>0.0</v>
      </c>
      <c r="K2257" s="12" t="s">
        <v>21</v>
      </c>
      <c r="L2257" s="7">
        <v>39199.008414351854</v>
      </c>
      <c r="M2257" s="14" t="s">
        <v>4764</v>
      </c>
      <c r="N2257" s="14" t="s">
        <v>4765</v>
      </c>
      <c r="O2257" s="11" t="str">
        <f>HYPERLINK("https://pbs.twimg.com/profile_images/662398329066618880/wU7R1hlB_normal.jpg","View")</f>
        <v>View</v>
      </c>
      <c r="P2257" s="15"/>
    </row>
    <row r="2258">
      <c r="A2258" s="7">
        <v>42426.1174537037</v>
      </c>
      <c r="B2258" s="8" t="str">
        <f>HYPERLINK("https://twitter.com/thesp0nge","@thesp0nge")</f>
        <v>@thesp0nge</v>
      </c>
      <c r="C2258" s="10" t="s">
        <v>4766</v>
      </c>
      <c r="D2258" s="10" t="s">
        <v>4767</v>
      </c>
      <c r="E2258" s="11" t="str">
        <f>HYPERLINK("https://twitter.com/thesp0nge/status/703169920960323584","703169920960323584")</f>
        <v>703169920960323584</v>
      </c>
      <c r="F2258" s="12" t="s">
        <v>4768</v>
      </c>
      <c r="G2258" s="13">
        <v>1541.0</v>
      </c>
      <c r="H2258" s="13">
        <v>2003.0</v>
      </c>
      <c r="I2258" s="13">
        <v>2.0</v>
      </c>
      <c r="J2258" s="13">
        <v>0.0</v>
      </c>
      <c r="K2258" s="12" t="s">
        <v>21</v>
      </c>
      <c r="L2258" s="7">
        <v>39380.02471064815</v>
      </c>
      <c r="M2258" s="14" t="s">
        <v>4769</v>
      </c>
      <c r="N2258" s="14" t="s">
        <v>4770</v>
      </c>
      <c r="O2258" s="11" t="str">
        <f>HYPERLINK("https://pbs.twimg.com/profile_images/3180043645/eb4e2dd3da071953b8071c40ab01d979_normal.jpeg","View")</f>
        <v>View</v>
      </c>
      <c r="P2258" s="15"/>
    </row>
    <row r="2259">
      <c r="A2259" s="7">
        <v>42426.117627314816</v>
      </c>
      <c r="B2259" s="8" t="str">
        <f>HYPERLINK("https://twitter.com/365Python","@365Python")</f>
        <v>@365Python</v>
      </c>
      <c r="C2259" s="10" t="s">
        <v>4439</v>
      </c>
      <c r="D2259" s="10" t="s">
        <v>4771</v>
      </c>
      <c r="E2259" s="11" t="str">
        <f>HYPERLINK("https://twitter.com/365Python/status/703169985296752640","703169985296752640")</f>
        <v>703169985296752640</v>
      </c>
      <c r="F2259" s="12" t="s">
        <v>1961</v>
      </c>
      <c r="G2259" s="13">
        <v>51.0</v>
      </c>
      <c r="H2259" s="13">
        <v>0.0</v>
      </c>
      <c r="I2259" s="13">
        <v>0.0</v>
      </c>
      <c r="J2259" s="13">
        <v>0.0</v>
      </c>
      <c r="K2259" s="12" t="s">
        <v>21</v>
      </c>
      <c r="L2259" s="7">
        <v>41934.55619212963</v>
      </c>
      <c r="M2259" s="14" t="s">
        <v>4441</v>
      </c>
      <c r="N2259" s="14" t="s">
        <v>4442</v>
      </c>
      <c r="O2259" s="11" t="str">
        <f>HYPERLINK("https://pbs.twimg.com/profile_images/525019025873444864/9WrZZD7__normal.png","View")</f>
        <v>View</v>
      </c>
      <c r="P2259" s="15"/>
    </row>
    <row r="2260">
      <c r="A2260" s="7">
        <v>42426.118113425924</v>
      </c>
      <c r="B2260" s="8" t="str">
        <f>HYPERLINK("https://twitter.com/dyjh","@dyjh")</f>
        <v>@dyjh</v>
      </c>
      <c r="C2260" s="10" t="s">
        <v>4772</v>
      </c>
      <c r="D2260" s="10" t="s">
        <v>4773</v>
      </c>
      <c r="E2260" s="11" t="str">
        <f>HYPERLINK("https://twitter.com/dyjh/status/703170162459934720","703170162459934720")</f>
        <v>703170162459934720</v>
      </c>
      <c r="F2260" s="12" t="s">
        <v>20</v>
      </c>
      <c r="G2260" s="13">
        <v>1763.0</v>
      </c>
      <c r="H2260" s="13">
        <v>475.0</v>
      </c>
      <c r="I2260" s="13">
        <v>0.0</v>
      </c>
      <c r="J2260" s="13">
        <v>1.0</v>
      </c>
      <c r="K2260" s="12" t="s">
        <v>21</v>
      </c>
      <c r="L2260" s="7">
        <v>39450.04886574074</v>
      </c>
      <c r="M2260" s="14" t="s">
        <v>4774</v>
      </c>
      <c r="N2260" s="14" t="s">
        <v>4775</v>
      </c>
      <c r="O2260" s="11" t="str">
        <f>HYPERLINK("https://pbs.twimg.com/profile_images/700330302724509696/zxd9dlPE_normal.png","View")</f>
        <v>View</v>
      </c>
      <c r="P2260" s="15"/>
    </row>
    <row r="2261">
      <c r="A2261" s="7">
        <v>42426.11871527778</v>
      </c>
      <c r="B2261" s="8" t="str">
        <f>HYPERLINK("https://twitter.com/pearson_mrs","@pearson_mrs")</f>
        <v>@pearson_mrs</v>
      </c>
      <c r="C2261" s="10" t="s">
        <v>4776</v>
      </c>
      <c r="D2261" s="10" t="s">
        <v>1515</v>
      </c>
      <c r="E2261" s="11" t="str">
        <f>HYPERLINK("https://twitter.com/pearson_mrs/status/703170378546327552","703170378546327552")</f>
        <v>703170378546327552</v>
      </c>
      <c r="F2261" s="12" t="s">
        <v>52</v>
      </c>
      <c r="G2261" s="13">
        <v>122.0</v>
      </c>
      <c r="H2261" s="13">
        <v>174.0</v>
      </c>
      <c r="I2261" s="13">
        <v>4.0</v>
      </c>
      <c r="J2261" s="13">
        <v>0.0</v>
      </c>
      <c r="K2261" s="12" t="s">
        <v>21</v>
      </c>
      <c r="L2261" s="7">
        <v>41659.396828703706</v>
      </c>
      <c r="M2261" s="16"/>
      <c r="N2261" s="16"/>
      <c r="O2261" s="11" t="str">
        <f>HYPERLINK("https://pbs.twimg.com/profile_images/445988526463942656/XxYvL69n_normal.jpeg","View")</f>
        <v>View</v>
      </c>
      <c r="P2261" s="15"/>
    </row>
    <row r="2262">
      <c r="A2262" s="7">
        <v>42426.12106481481</v>
      </c>
      <c r="B2262" s="8" t="str">
        <f>HYPERLINK("https://twitter.com/filsaggi","@filsaggi")</f>
        <v>@filsaggi</v>
      </c>
      <c r="C2262" s="10" t="s">
        <v>4777</v>
      </c>
      <c r="D2262" s="10" t="s">
        <v>4778</v>
      </c>
      <c r="E2262" s="11" t="str">
        <f>HYPERLINK("https://twitter.com/filsaggi/status/703171231256678400","703171231256678400")</f>
        <v>703171231256678400</v>
      </c>
      <c r="F2262" s="12" t="s">
        <v>152</v>
      </c>
      <c r="G2262" s="13">
        <v>165.0</v>
      </c>
      <c r="H2262" s="13">
        <v>455.0</v>
      </c>
      <c r="I2262" s="13">
        <v>0.0</v>
      </c>
      <c r="J2262" s="13">
        <v>0.0</v>
      </c>
      <c r="K2262" s="12" t="s">
        <v>21</v>
      </c>
      <c r="L2262" s="7">
        <v>42413.266747685186</v>
      </c>
      <c r="M2262" s="14" t="s">
        <v>4779</v>
      </c>
      <c r="N2262" s="14" t="s">
        <v>4780</v>
      </c>
      <c r="O2262" s="11" t="str">
        <f>HYPERLINK("https://pbs.twimg.com/profile_images/703187201660551168/cDNzzPwo_normal.jpg","View")</f>
        <v>View</v>
      </c>
      <c r="P2262" s="15"/>
    </row>
    <row r="2263">
      <c r="A2263" s="7">
        <v>42426.12126157407</v>
      </c>
      <c r="B2263" s="8" t="str">
        <f>HYPERLINK("https://twitter.com/LinuxEXPRES","@LinuxEXPRES")</f>
        <v>@LinuxEXPRES</v>
      </c>
      <c r="C2263" s="10" t="s">
        <v>4781</v>
      </c>
      <c r="D2263" s="10" t="s">
        <v>4782</v>
      </c>
      <c r="E2263" s="11" t="str">
        <f>HYPERLINK("https://twitter.com/LinuxEXPRES/status/703171301158948864","703171301158948864")</f>
        <v>703171301158948864</v>
      </c>
      <c r="F2263" s="12" t="s">
        <v>20</v>
      </c>
      <c r="G2263" s="13">
        <v>1229.0</v>
      </c>
      <c r="H2263" s="13">
        <v>59.0</v>
      </c>
      <c r="I2263" s="13">
        <v>0.0</v>
      </c>
      <c r="J2263" s="13">
        <v>0.0</v>
      </c>
      <c r="K2263" s="12" t="s">
        <v>21</v>
      </c>
      <c r="L2263" s="7">
        <v>40121.41043981482</v>
      </c>
      <c r="M2263" s="14" t="s">
        <v>4783</v>
      </c>
      <c r="N2263" s="14" t="s">
        <v>4784</v>
      </c>
      <c r="O2263" s="11" t="str">
        <f>HYPERLINK("https://pbs.twimg.com/profile_images/509391277/motiv_normal_normal.png","View")</f>
        <v>View</v>
      </c>
      <c r="P2263" s="15"/>
    </row>
    <row r="2264">
      <c r="A2264" s="7">
        <v>42426.12174768519</v>
      </c>
      <c r="B2264" s="8" t="str">
        <f>HYPERLINK("https://twitter.com/korezian","@korezian")</f>
        <v>@korezian</v>
      </c>
      <c r="C2264" s="10" t="s">
        <v>2584</v>
      </c>
      <c r="D2264" s="10" t="s">
        <v>2287</v>
      </c>
      <c r="E2264" s="11" t="str">
        <f>HYPERLINK("https://twitter.com/korezian/status/703171480842932225","703171480842932225")</f>
        <v>703171480842932225</v>
      </c>
      <c r="F2264" s="12" t="s">
        <v>152</v>
      </c>
      <c r="G2264" s="13">
        <v>336.0</v>
      </c>
      <c r="H2264" s="13">
        <v>662.0</v>
      </c>
      <c r="I2264" s="13">
        <v>16.0</v>
      </c>
      <c r="J2264" s="13">
        <v>0.0</v>
      </c>
      <c r="K2264" s="12" t="s">
        <v>21</v>
      </c>
      <c r="L2264" s="7">
        <v>41318.54667824074</v>
      </c>
      <c r="M2264" s="16"/>
      <c r="N2264" s="14" t="s">
        <v>2585</v>
      </c>
      <c r="O2264" s="11" t="str">
        <f>HYPERLINK("https://pbs.twimg.com/profile_images/460099412526518272/aNXvaTyn_normal.jpeg","View")</f>
        <v>View</v>
      </c>
      <c r="P2264" s="15"/>
    </row>
    <row r="2265">
      <c r="A2265" s="7">
        <v>42426.1225</v>
      </c>
      <c r="B2265" s="8" t="str">
        <f>HYPERLINK("https://twitter.com/ntdbrophy","@ntdbrophy")</f>
        <v>@ntdbrophy</v>
      </c>
      <c r="C2265" s="10" t="s">
        <v>4785</v>
      </c>
      <c r="D2265" s="10" t="s">
        <v>4786</v>
      </c>
      <c r="E2265" s="11" t="str">
        <f>HYPERLINK("https://twitter.com/ntdbrophy/status/703171753166528517","703171753166528517")</f>
        <v>703171753166528517</v>
      </c>
      <c r="F2265" s="12" t="s">
        <v>20</v>
      </c>
      <c r="G2265" s="13">
        <v>14.0</v>
      </c>
      <c r="H2265" s="13">
        <v>24.0</v>
      </c>
      <c r="I2265" s="13">
        <v>0.0</v>
      </c>
      <c r="J2265" s="13">
        <v>0.0</v>
      </c>
      <c r="K2265" s="12" t="s">
        <v>21</v>
      </c>
      <c r="L2265" s="7">
        <v>40904.58555555555</v>
      </c>
      <c r="M2265" s="14" t="s">
        <v>4787</v>
      </c>
      <c r="N2265" s="14" t="s">
        <v>4788</v>
      </c>
      <c r="O2265" s="11" t="str">
        <f>HYPERLINK("https://pbs.twimg.com/profile_images/1718301782/profile_pic_normal.jpg","View")</f>
        <v>View</v>
      </c>
      <c r="P2265" s="15"/>
    </row>
    <row r="2266">
      <c r="A2266" s="7">
        <v>42426.12329861111</v>
      </c>
      <c r="B2266" s="8" t="str">
        <f>HYPERLINK("https://twitter.com/geisasantos","@geisasantos")</f>
        <v>@geisasantos</v>
      </c>
      <c r="C2266" s="10" t="s">
        <v>4789</v>
      </c>
      <c r="D2266" s="10" t="s">
        <v>4790</v>
      </c>
      <c r="E2266" s="11" t="str">
        <f>HYPERLINK("https://twitter.com/geisasantos/status/703172041197785090","703172041197785090")</f>
        <v>703172041197785090</v>
      </c>
      <c r="F2266" s="12" t="s">
        <v>124</v>
      </c>
      <c r="G2266" s="13">
        <v>1322.0</v>
      </c>
      <c r="H2266" s="13">
        <v>711.0</v>
      </c>
      <c r="I2266" s="13">
        <v>0.0</v>
      </c>
      <c r="J2266" s="13">
        <v>0.0</v>
      </c>
      <c r="K2266" s="12" t="s">
        <v>21</v>
      </c>
      <c r="L2266" s="7">
        <v>40022.39204861111</v>
      </c>
      <c r="M2266" s="14" t="s">
        <v>4791</v>
      </c>
      <c r="N2266" s="14" t="s">
        <v>4792</v>
      </c>
      <c r="O2266" s="11" t="str">
        <f>HYPERLINK("https://pbs.twimg.com/profile_images/622520096943120384/VRcgCuk-_normal.jpg","View")</f>
        <v>View</v>
      </c>
      <c r="P2266" s="15"/>
    </row>
    <row r="2267">
      <c r="A2267" s="7">
        <v>42426.12331018518</v>
      </c>
      <c r="B2267" s="8" t="str">
        <f>HYPERLINK("https://twitter.com/PythonBooks","@PythonBooks")</f>
        <v>@PythonBooks</v>
      </c>
      <c r="C2267" s="10" t="s">
        <v>267</v>
      </c>
      <c r="D2267" s="10" t="s">
        <v>4793</v>
      </c>
      <c r="E2267" s="11" t="str">
        <f>HYPERLINK("https://twitter.com/PythonBooks/status/703172043265585152","703172043265585152")</f>
        <v>703172043265585152</v>
      </c>
      <c r="F2267" s="17" t="s">
        <v>76</v>
      </c>
      <c r="G2267" s="13">
        <v>20.0</v>
      </c>
      <c r="H2267" s="13">
        <v>70.0</v>
      </c>
      <c r="I2267" s="13">
        <v>0.0</v>
      </c>
      <c r="J2267" s="13">
        <v>0.0</v>
      </c>
      <c r="K2267" s="12" t="s">
        <v>21</v>
      </c>
      <c r="L2267" s="7">
        <v>42424.13631944444</v>
      </c>
      <c r="M2267" s="14" t="s">
        <v>269</v>
      </c>
      <c r="N2267" s="14" t="s">
        <v>270</v>
      </c>
      <c r="O2267" s="11" t="str">
        <f>HYPERLINK("https://pbs.twimg.com/profile_images/702455638157168640/AeDgtn0C_normal.jpg","View")</f>
        <v>View</v>
      </c>
      <c r="P2267" s="15"/>
    </row>
    <row r="2268">
      <c r="A2268" s="7">
        <v>42426.12347222222</v>
      </c>
      <c r="B2268" s="8" t="str">
        <f>HYPERLINK("https://twitter.com/vascogpinho","@vascogpinho")</f>
        <v>@vascogpinho</v>
      </c>
      <c r="C2268" s="10" t="s">
        <v>4794</v>
      </c>
      <c r="D2268" s="10" t="s">
        <v>4795</v>
      </c>
      <c r="E2268" s="11" t="str">
        <f>HYPERLINK("https://twitter.com/vascogpinho/status/703172104951181314","703172104951181314")</f>
        <v>703172104951181314</v>
      </c>
      <c r="F2268" s="12" t="s">
        <v>20</v>
      </c>
      <c r="G2268" s="13">
        <v>168.0</v>
      </c>
      <c r="H2268" s="13">
        <v>74.0</v>
      </c>
      <c r="I2268" s="13">
        <v>0.0</v>
      </c>
      <c r="J2268" s="13">
        <v>1.0</v>
      </c>
      <c r="K2268" s="12" t="s">
        <v>21</v>
      </c>
      <c r="L2268" s="7">
        <v>40806.098761574074</v>
      </c>
      <c r="M2268" s="14" t="s">
        <v>3505</v>
      </c>
      <c r="N2268" s="14" t="s">
        <v>4796</v>
      </c>
      <c r="O2268" s="11" t="str">
        <f>HYPERLINK("https://pbs.twimg.com/profile_images/630325071324823552/chOjKabe_normal.jpg","View")</f>
        <v>View</v>
      </c>
      <c r="P2268" s="15"/>
    </row>
    <row r="2269">
      <c r="A2269" s="7">
        <v>42426.1246412037</v>
      </c>
      <c r="B2269" s="8" t="str">
        <f>HYPERLINK("https://twitter.com/korezian","@korezian")</f>
        <v>@korezian</v>
      </c>
      <c r="C2269" s="10" t="s">
        <v>2584</v>
      </c>
      <c r="D2269" s="10" t="s">
        <v>3163</v>
      </c>
      <c r="E2269" s="11" t="str">
        <f>HYPERLINK("https://twitter.com/korezian/status/703172526663290880","703172526663290880")</f>
        <v>703172526663290880</v>
      </c>
      <c r="F2269" s="12" t="s">
        <v>152</v>
      </c>
      <c r="G2269" s="13">
        <v>336.0</v>
      </c>
      <c r="H2269" s="13">
        <v>662.0</v>
      </c>
      <c r="I2269" s="13">
        <v>15.0</v>
      </c>
      <c r="J2269" s="13">
        <v>0.0</v>
      </c>
      <c r="K2269" s="12" t="s">
        <v>21</v>
      </c>
      <c r="L2269" s="7">
        <v>41318.54667824074</v>
      </c>
      <c r="M2269" s="16"/>
      <c r="N2269" s="14" t="s">
        <v>2585</v>
      </c>
      <c r="O2269" s="11" t="str">
        <f>HYPERLINK("https://pbs.twimg.com/profile_images/460099412526518272/aNXvaTyn_normal.jpeg","View")</f>
        <v>View</v>
      </c>
      <c r="P2269" s="15"/>
    </row>
    <row r="2270">
      <c r="A2270" s="7">
        <v>42426.125659722224</v>
      </c>
      <c r="B2270" s="8" t="str">
        <f>HYPERLINK("https://twitter.com/akucchan_world","@akucchan_world")</f>
        <v>@akucchan_world</v>
      </c>
      <c r="C2270" s="10" t="s">
        <v>4797</v>
      </c>
      <c r="D2270" s="10" t="s">
        <v>4798</v>
      </c>
      <c r="E2270" s="11" t="str">
        <f>HYPERLINK("https://twitter.com/akucchan_world/status/703172896974200832","703172896974200832")</f>
        <v>703172896974200832</v>
      </c>
      <c r="F2270" s="12" t="s">
        <v>446</v>
      </c>
      <c r="G2270" s="13">
        <v>449.0</v>
      </c>
      <c r="H2270" s="13">
        <v>1889.0</v>
      </c>
      <c r="I2270" s="13">
        <v>0.0</v>
      </c>
      <c r="J2270" s="13">
        <v>1.0</v>
      </c>
      <c r="K2270" s="12" t="s">
        <v>21</v>
      </c>
      <c r="L2270" s="7">
        <v>40548.21068287037</v>
      </c>
      <c r="M2270" s="14" t="s">
        <v>328</v>
      </c>
      <c r="N2270" s="14" t="s">
        <v>4799</v>
      </c>
      <c r="O2270" s="11" t="str">
        <f>HYPERLINK("https://pbs.twimg.com/profile_images/1216345873/70755_100001902148705_8207987_q_normal.jpg","View")</f>
        <v>View</v>
      </c>
      <c r="P2270" s="15"/>
    </row>
    <row r="2271">
      <c r="A2271" s="7">
        <v>42426.12700231481</v>
      </c>
      <c r="B2271" s="8" t="str">
        <f>HYPERLINK("https://twitter.com/NoSQLDigest","@NoSQLDigest")</f>
        <v>@NoSQLDigest</v>
      </c>
      <c r="C2271" s="10" t="s">
        <v>200</v>
      </c>
      <c r="D2271" s="10" t="s">
        <v>4475</v>
      </c>
      <c r="E2271" s="11" t="str">
        <f>HYPERLINK("https://twitter.com/NoSQLDigest/status/703173382305509377","703173382305509377")</f>
        <v>703173382305509377</v>
      </c>
      <c r="F2271" s="12" t="s">
        <v>202</v>
      </c>
      <c r="G2271" s="13">
        <v>11375.0</v>
      </c>
      <c r="H2271" s="13">
        <v>12.0</v>
      </c>
      <c r="I2271" s="13">
        <v>3.0</v>
      </c>
      <c r="J2271" s="13">
        <v>0.0</v>
      </c>
      <c r="K2271" s="12" t="s">
        <v>21</v>
      </c>
      <c r="L2271" s="7">
        <v>41854.421805555554</v>
      </c>
      <c r="M2271" s="16"/>
      <c r="N2271" s="14" t="s">
        <v>203</v>
      </c>
      <c r="O2271" s="11" t="str">
        <f>HYPERLINK("https://pbs.twimg.com/profile_images/499257180009529344/CSWhr7LZ_normal.jpeg","View")</f>
        <v>View</v>
      </c>
      <c r="P2271" s="15"/>
    </row>
    <row r="2272">
      <c r="A2272" s="7">
        <v>42426.12787037037</v>
      </c>
      <c r="B2272" s="8" t="str">
        <f>HYPERLINK("https://twitter.com/akucchan_world","@akucchan_world")</f>
        <v>@akucchan_world</v>
      </c>
      <c r="C2272" s="10" t="s">
        <v>4797</v>
      </c>
      <c r="D2272" s="10" t="s">
        <v>4800</v>
      </c>
      <c r="E2272" s="11" t="str">
        <f>HYPERLINK("https://twitter.com/akucchan_world/status/703173696345669634","703173696345669634")</f>
        <v>703173696345669634</v>
      </c>
      <c r="F2272" s="12" t="s">
        <v>446</v>
      </c>
      <c r="G2272" s="13">
        <v>449.0</v>
      </c>
      <c r="H2272" s="13">
        <v>1889.0</v>
      </c>
      <c r="I2272" s="13">
        <v>0.0</v>
      </c>
      <c r="J2272" s="13">
        <v>0.0</v>
      </c>
      <c r="K2272" s="12" t="s">
        <v>21</v>
      </c>
      <c r="L2272" s="7">
        <v>40548.21068287037</v>
      </c>
      <c r="M2272" s="14" t="s">
        <v>328</v>
      </c>
      <c r="N2272" s="14" t="s">
        <v>4799</v>
      </c>
      <c r="O2272" s="11" t="str">
        <f>HYPERLINK("https://pbs.twimg.com/profile_images/1216345873/70755_100001902148705_8207987_q_normal.jpg","View")</f>
        <v>View</v>
      </c>
      <c r="P2272" s="15"/>
    </row>
    <row r="2273">
      <c r="A2273" s="7">
        <v>42426.12799768518</v>
      </c>
      <c r="B2273" s="8" t="str">
        <f>HYPERLINK("https://twitter.com/AWJuliaM","@AWJuliaM")</f>
        <v>@AWJuliaM</v>
      </c>
      <c r="C2273" s="10" t="s">
        <v>4801</v>
      </c>
      <c r="D2273" s="10" t="s">
        <v>1002</v>
      </c>
      <c r="E2273" s="11" t="str">
        <f>HYPERLINK("https://twitter.com/AWJuliaM/status/703173741958660096","703173741958660096")</f>
        <v>703173741958660096</v>
      </c>
      <c r="F2273" s="12" t="s">
        <v>20</v>
      </c>
      <c r="G2273" s="13">
        <v>156.0</v>
      </c>
      <c r="H2273" s="13">
        <v>309.0</v>
      </c>
      <c r="I2273" s="13">
        <v>3.0</v>
      </c>
      <c r="J2273" s="13">
        <v>0.0</v>
      </c>
      <c r="K2273" s="12" t="s">
        <v>21</v>
      </c>
      <c r="L2273" s="7">
        <v>41851.08547453704</v>
      </c>
      <c r="M2273" s="14" t="s">
        <v>241</v>
      </c>
      <c r="N2273" s="14" t="s">
        <v>4802</v>
      </c>
      <c r="O2273" s="11" t="str">
        <f>HYPERLINK("https://pbs.twimg.com/profile_images/521315547787444224/GurxZv3A_normal.jpeg","View")</f>
        <v>View</v>
      </c>
      <c r="P2273" s="15"/>
    </row>
    <row r="2274">
      <c r="A2274" s="7">
        <v>42426.13048611111</v>
      </c>
      <c r="B2274" s="8" t="str">
        <f>HYPERLINK("https://twitter.com/jlmico","@jlmico")</f>
        <v>@jlmico</v>
      </c>
      <c r="C2274" s="10" t="s">
        <v>4477</v>
      </c>
      <c r="D2274" s="10" t="s">
        <v>4803</v>
      </c>
      <c r="E2274" s="11" t="str">
        <f>HYPERLINK("https://twitter.com/jlmico/status/703174643780202499","703174643780202499")</f>
        <v>703174643780202499</v>
      </c>
      <c r="F2274" s="12" t="s">
        <v>152</v>
      </c>
      <c r="G2274" s="13">
        <v>6372.0</v>
      </c>
      <c r="H2274" s="13">
        <v>5690.0</v>
      </c>
      <c r="I2274" s="13">
        <v>1.0</v>
      </c>
      <c r="J2274" s="13">
        <v>0.0</v>
      </c>
      <c r="K2274" s="12" t="s">
        <v>21</v>
      </c>
      <c r="L2274" s="7">
        <v>40511.42884259259</v>
      </c>
      <c r="M2274" s="14" t="s">
        <v>901</v>
      </c>
      <c r="N2274" s="14" t="s">
        <v>4479</v>
      </c>
      <c r="O2274" s="11" t="str">
        <f>HYPERLINK("https://pbs.twimg.com/profile_images/557971388112195584/cOJIiuMX_normal.png","View")</f>
        <v>View</v>
      </c>
      <c r="P2274" s="15"/>
    </row>
    <row r="2275">
      <c r="A2275" s="7">
        <v>42426.13209490741</v>
      </c>
      <c r="B2275" s="8" t="str">
        <f>HYPERLINK("https://twitter.com/BigDataTweetBot","@BigDataTweetBot")</f>
        <v>@BigDataTweetBot</v>
      </c>
      <c r="C2275" s="10" t="s">
        <v>1440</v>
      </c>
      <c r="D2275" s="10" t="s">
        <v>4804</v>
      </c>
      <c r="E2275" s="11" t="str">
        <f>HYPERLINK("https://twitter.com/BigDataTweetBot/status/703175230320046082","703175230320046082")</f>
        <v>703175230320046082</v>
      </c>
      <c r="F2275" s="12" t="s">
        <v>1442</v>
      </c>
      <c r="G2275" s="13">
        <v>8623.0</v>
      </c>
      <c r="H2275" s="13">
        <v>243.0</v>
      </c>
      <c r="I2275" s="13">
        <v>1.0</v>
      </c>
      <c r="J2275" s="13">
        <v>0.0</v>
      </c>
      <c r="K2275" s="12" t="s">
        <v>21</v>
      </c>
      <c r="L2275" s="7">
        <v>42187.77106481481</v>
      </c>
      <c r="M2275" s="16"/>
      <c r="N2275" s="14" t="s">
        <v>1443</v>
      </c>
      <c r="O2275" s="11" t="str">
        <f>HYPERLINK("https://pbs.twimg.com/profile_images/616793252524650496/bQbxJqmz_normal.jpg","View")</f>
        <v>View</v>
      </c>
      <c r="P2275" s="15"/>
    </row>
    <row r="2276">
      <c r="A2276" s="7">
        <v>42426.13217592593</v>
      </c>
      <c r="B2276" s="8" t="str">
        <f>HYPERLINK("https://twitter.com/nfaggian","@nfaggian")</f>
        <v>@nfaggian</v>
      </c>
      <c r="C2276" s="10" t="s">
        <v>4805</v>
      </c>
      <c r="D2276" s="10" t="s">
        <v>3699</v>
      </c>
      <c r="E2276" s="11" t="str">
        <f>HYPERLINK("https://twitter.com/nfaggian/status/703175258539360256","703175258539360256")</f>
        <v>703175258539360256</v>
      </c>
      <c r="F2276" s="12" t="s">
        <v>20</v>
      </c>
      <c r="G2276" s="13">
        <v>92.0</v>
      </c>
      <c r="H2276" s="13">
        <v>363.0</v>
      </c>
      <c r="I2276" s="13">
        <v>30.0</v>
      </c>
      <c r="J2276" s="13">
        <v>0.0</v>
      </c>
      <c r="K2276" s="12" t="s">
        <v>21</v>
      </c>
      <c r="L2276" s="7">
        <v>40538.69510416667</v>
      </c>
      <c r="M2276" s="16"/>
      <c r="N2276" s="16"/>
      <c r="O2276" s="11" t="str">
        <f>HYPERLINK("https://pbs.twimg.com/profile_images/3513817400/c01cc17d1f2e2190274d5aa11add24c0_normal.jpeg","View")</f>
        <v>View</v>
      </c>
      <c r="P2276" s="15"/>
    </row>
    <row r="2277">
      <c r="A2277" s="7">
        <v>42426.13277777778</v>
      </c>
      <c r="B2277" s="8" t="str">
        <f t="shared" ref="B2277:B2284" si="239">HYPERLINK("https://twitter.com/artwisanggeni","@artwisanggeni")</f>
        <v>@artwisanggeni</v>
      </c>
      <c r="C2277" s="10" t="s">
        <v>74</v>
      </c>
      <c r="D2277" s="10" t="s">
        <v>4806</v>
      </c>
      <c r="E2277" s="11" t="str">
        <f>HYPERLINK("https://twitter.com/artwisanggeni/status/703175474256588801","703175474256588801")</f>
        <v>703175474256588801</v>
      </c>
      <c r="F2277" s="17" t="s">
        <v>76</v>
      </c>
      <c r="G2277" s="13">
        <v>236.0</v>
      </c>
      <c r="H2277" s="13">
        <v>61.0</v>
      </c>
      <c r="I2277" s="13">
        <v>0.0</v>
      </c>
      <c r="J2277" s="13">
        <v>0.0</v>
      </c>
      <c r="K2277" s="12" t="s">
        <v>21</v>
      </c>
      <c r="L2277" s="7">
        <v>41218.90608796296</v>
      </c>
      <c r="M2277" s="14" t="s">
        <v>77</v>
      </c>
      <c r="N2277" s="14" t="s">
        <v>78</v>
      </c>
      <c r="O2277" s="11" t="str">
        <f t="shared" ref="O2277:O2284" si="240">HYPERLINK("https://pbs.twimg.com/profile_images/2813636657/599521f69e2bc210a57323b64d8e39e6_normal.jpeg","View")</f>
        <v>View</v>
      </c>
      <c r="P2277" s="15"/>
    </row>
    <row r="2278">
      <c r="A2278" s="7">
        <v>42426.13277777778</v>
      </c>
      <c r="B2278" s="8" t="str">
        <f t="shared" si="239"/>
        <v>@artwisanggeni</v>
      </c>
      <c r="C2278" s="10" t="s">
        <v>74</v>
      </c>
      <c r="D2278" s="10" t="s">
        <v>4807</v>
      </c>
      <c r="E2278" s="11" t="str">
        <f>HYPERLINK("https://twitter.com/artwisanggeni/status/703175477893029889","703175477893029889")</f>
        <v>703175477893029889</v>
      </c>
      <c r="F2278" s="17" t="s">
        <v>76</v>
      </c>
      <c r="G2278" s="13">
        <v>236.0</v>
      </c>
      <c r="H2278" s="13">
        <v>61.0</v>
      </c>
      <c r="I2278" s="13">
        <v>0.0</v>
      </c>
      <c r="J2278" s="13">
        <v>0.0</v>
      </c>
      <c r="K2278" s="12" t="s">
        <v>21</v>
      </c>
      <c r="L2278" s="7">
        <v>41218.90608796296</v>
      </c>
      <c r="M2278" s="14" t="s">
        <v>77</v>
      </c>
      <c r="N2278" s="14" t="s">
        <v>78</v>
      </c>
      <c r="O2278" s="11" t="str">
        <f t="shared" si="240"/>
        <v>View</v>
      </c>
      <c r="P2278" s="15"/>
    </row>
    <row r="2279">
      <c r="A2279" s="7">
        <v>42426.13278935185</v>
      </c>
      <c r="B2279" s="8" t="str">
        <f t="shared" si="239"/>
        <v>@artwisanggeni</v>
      </c>
      <c r="C2279" s="10" t="s">
        <v>74</v>
      </c>
      <c r="D2279" s="10" t="s">
        <v>4808</v>
      </c>
      <c r="E2279" s="11" t="str">
        <f>HYPERLINK("https://twitter.com/artwisanggeni/status/703175481357524992","703175481357524992")</f>
        <v>703175481357524992</v>
      </c>
      <c r="F2279" s="17" t="s">
        <v>76</v>
      </c>
      <c r="G2279" s="13">
        <v>236.0</v>
      </c>
      <c r="H2279" s="13">
        <v>61.0</v>
      </c>
      <c r="I2279" s="13">
        <v>0.0</v>
      </c>
      <c r="J2279" s="13">
        <v>0.0</v>
      </c>
      <c r="K2279" s="12" t="s">
        <v>21</v>
      </c>
      <c r="L2279" s="7">
        <v>41218.90608796296</v>
      </c>
      <c r="M2279" s="14" t="s">
        <v>77</v>
      </c>
      <c r="N2279" s="14" t="s">
        <v>78</v>
      </c>
      <c r="O2279" s="11" t="str">
        <f t="shared" si="240"/>
        <v>View</v>
      </c>
      <c r="P2279" s="15"/>
    </row>
    <row r="2280">
      <c r="A2280" s="7">
        <v>42426.1328125</v>
      </c>
      <c r="B2280" s="8" t="str">
        <f t="shared" si="239"/>
        <v>@artwisanggeni</v>
      </c>
      <c r="C2280" s="10" t="s">
        <v>74</v>
      </c>
      <c r="D2280" s="10" t="s">
        <v>4809</v>
      </c>
      <c r="E2280" s="11" t="str">
        <f>HYPERLINK("https://twitter.com/artwisanggeni/status/703175486839455744","703175486839455744")</f>
        <v>703175486839455744</v>
      </c>
      <c r="F2280" s="17" t="s">
        <v>76</v>
      </c>
      <c r="G2280" s="13">
        <v>236.0</v>
      </c>
      <c r="H2280" s="13">
        <v>61.0</v>
      </c>
      <c r="I2280" s="13">
        <v>0.0</v>
      </c>
      <c r="J2280" s="13">
        <v>0.0</v>
      </c>
      <c r="K2280" s="12" t="s">
        <v>21</v>
      </c>
      <c r="L2280" s="7">
        <v>41218.90608796296</v>
      </c>
      <c r="M2280" s="14" t="s">
        <v>77</v>
      </c>
      <c r="N2280" s="14" t="s">
        <v>78</v>
      </c>
      <c r="O2280" s="11" t="str">
        <f t="shared" si="240"/>
        <v>View</v>
      </c>
      <c r="P2280" s="15"/>
    </row>
    <row r="2281">
      <c r="A2281" s="7">
        <v>42426.1328125</v>
      </c>
      <c r="B2281" s="8" t="str">
        <f t="shared" si="239"/>
        <v>@artwisanggeni</v>
      </c>
      <c r="C2281" s="10" t="s">
        <v>74</v>
      </c>
      <c r="D2281" s="10" t="s">
        <v>4810</v>
      </c>
      <c r="E2281" s="11" t="str">
        <f>HYPERLINK("https://twitter.com/artwisanggeni/status/703175489691607040","703175489691607040")</f>
        <v>703175489691607040</v>
      </c>
      <c r="F2281" s="17" t="s">
        <v>76</v>
      </c>
      <c r="G2281" s="13">
        <v>236.0</v>
      </c>
      <c r="H2281" s="13">
        <v>61.0</v>
      </c>
      <c r="I2281" s="13">
        <v>0.0</v>
      </c>
      <c r="J2281" s="13">
        <v>0.0</v>
      </c>
      <c r="K2281" s="12" t="s">
        <v>21</v>
      </c>
      <c r="L2281" s="7">
        <v>41218.90608796296</v>
      </c>
      <c r="M2281" s="14" t="s">
        <v>77</v>
      </c>
      <c r="N2281" s="14" t="s">
        <v>78</v>
      </c>
      <c r="O2281" s="11" t="str">
        <f t="shared" si="240"/>
        <v>View</v>
      </c>
      <c r="P2281" s="15"/>
    </row>
    <row r="2282">
      <c r="A2282" s="7">
        <v>42426.13282407407</v>
      </c>
      <c r="B2282" s="8" t="str">
        <f t="shared" si="239"/>
        <v>@artwisanggeni</v>
      </c>
      <c r="C2282" s="10" t="s">
        <v>74</v>
      </c>
      <c r="D2282" s="10" t="s">
        <v>4811</v>
      </c>
      <c r="E2282" s="11" t="str">
        <f>HYPERLINK("https://twitter.com/artwisanggeni/status/703175492858310657","703175492858310657")</f>
        <v>703175492858310657</v>
      </c>
      <c r="F2282" s="17" t="s">
        <v>76</v>
      </c>
      <c r="G2282" s="13">
        <v>236.0</v>
      </c>
      <c r="H2282" s="13">
        <v>61.0</v>
      </c>
      <c r="I2282" s="13">
        <v>0.0</v>
      </c>
      <c r="J2282" s="13">
        <v>0.0</v>
      </c>
      <c r="K2282" s="12" t="s">
        <v>21</v>
      </c>
      <c r="L2282" s="7">
        <v>41218.90608796296</v>
      </c>
      <c r="M2282" s="14" t="s">
        <v>77</v>
      </c>
      <c r="N2282" s="14" t="s">
        <v>78</v>
      </c>
      <c r="O2282" s="11" t="str">
        <f t="shared" si="240"/>
        <v>View</v>
      </c>
      <c r="P2282" s="15"/>
    </row>
    <row r="2283">
      <c r="A2283" s="7">
        <v>42426.13283564815</v>
      </c>
      <c r="B2283" s="8" t="str">
        <f t="shared" si="239"/>
        <v>@artwisanggeni</v>
      </c>
      <c r="C2283" s="10" t="s">
        <v>74</v>
      </c>
      <c r="D2283" s="10" t="s">
        <v>4812</v>
      </c>
      <c r="E2283" s="11" t="str">
        <f>HYPERLINK("https://twitter.com/artwisanggeni/status/703175496125689857","703175496125689857")</f>
        <v>703175496125689857</v>
      </c>
      <c r="F2283" s="17" t="s">
        <v>76</v>
      </c>
      <c r="G2283" s="13">
        <v>236.0</v>
      </c>
      <c r="H2283" s="13">
        <v>61.0</v>
      </c>
      <c r="I2283" s="13">
        <v>0.0</v>
      </c>
      <c r="J2283" s="13">
        <v>0.0</v>
      </c>
      <c r="K2283" s="12" t="s">
        <v>21</v>
      </c>
      <c r="L2283" s="7">
        <v>41218.90608796296</v>
      </c>
      <c r="M2283" s="14" t="s">
        <v>77</v>
      </c>
      <c r="N2283" s="14" t="s">
        <v>78</v>
      </c>
      <c r="O2283" s="11" t="str">
        <f t="shared" si="240"/>
        <v>View</v>
      </c>
      <c r="P2283" s="15"/>
    </row>
    <row r="2284">
      <c r="A2284" s="7">
        <v>42426.13284722222</v>
      </c>
      <c r="B2284" s="8" t="str">
        <f t="shared" si="239"/>
        <v>@artwisanggeni</v>
      </c>
      <c r="C2284" s="10" t="s">
        <v>74</v>
      </c>
      <c r="D2284" s="10" t="s">
        <v>4813</v>
      </c>
      <c r="E2284" s="11" t="str">
        <f>HYPERLINK("https://twitter.com/artwisanggeni/status/703175499107794944","703175499107794944")</f>
        <v>703175499107794944</v>
      </c>
      <c r="F2284" s="17" t="s">
        <v>76</v>
      </c>
      <c r="G2284" s="13">
        <v>236.0</v>
      </c>
      <c r="H2284" s="13">
        <v>61.0</v>
      </c>
      <c r="I2284" s="13">
        <v>0.0</v>
      </c>
      <c r="J2284" s="13">
        <v>0.0</v>
      </c>
      <c r="K2284" s="12" t="s">
        <v>21</v>
      </c>
      <c r="L2284" s="7">
        <v>41218.90608796296</v>
      </c>
      <c r="M2284" s="14" t="s">
        <v>77</v>
      </c>
      <c r="N2284" s="14" t="s">
        <v>78</v>
      </c>
      <c r="O2284" s="11" t="str">
        <f t="shared" si="240"/>
        <v>View</v>
      </c>
      <c r="P2284" s="15"/>
    </row>
    <row r="2285">
      <c r="A2285" s="7">
        <v>42426.133611111116</v>
      </c>
      <c r="B2285" s="8" t="str">
        <f>HYPERLINK("https://twitter.com/programmingncr","@programmingncr")</f>
        <v>@programmingncr</v>
      </c>
      <c r="C2285" s="10" t="s">
        <v>262</v>
      </c>
      <c r="D2285" s="10" t="s">
        <v>4814</v>
      </c>
      <c r="E2285" s="11" t="str">
        <f>HYPERLINK("https://twitter.com/programmingncr/status/703175779664961536","703175779664961536")</f>
        <v>703175779664961536</v>
      </c>
      <c r="F2285" s="12" t="s">
        <v>103</v>
      </c>
      <c r="G2285" s="13">
        <v>328.0</v>
      </c>
      <c r="H2285" s="13">
        <v>99.0</v>
      </c>
      <c r="I2285" s="13">
        <v>0.0</v>
      </c>
      <c r="J2285" s="13">
        <v>0.0</v>
      </c>
      <c r="K2285" s="12" t="s">
        <v>21</v>
      </c>
      <c r="L2285" s="7">
        <v>42220.86634259259</v>
      </c>
      <c r="M2285" s="14" t="s">
        <v>264</v>
      </c>
      <c r="N2285" s="14" t="s">
        <v>265</v>
      </c>
      <c r="O2285" s="11" t="str">
        <f>HYPERLINK("https://pbs.twimg.com/profile_images/662602436222193664/qKuvsfnG_normal.jpg","View")</f>
        <v>View</v>
      </c>
      <c r="P2285" s="15"/>
    </row>
    <row r="2286">
      <c r="A2286" s="7">
        <v>42426.134247685186</v>
      </c>
      <c r="B2286" s="8" t="str">
        <f>HYPERLINK("https://twitter.com/Maarkybhoy","@Maarkybhoy")</f>
        <v>@Maarkybhoy</v>
      </c>
      <c r="C2286" s="10" t="s">
        <v>4815</v>
      </c>
      <c r="D2286" s="10" t="s">
        <v>4816</v>
      </c>
      <c r="E2286" s="11" t="str">
        <f>HYPERLINK("https://twitter.com/Maarkybhoy/status/703176008879353858","703176008879353858")</f>
        <v>703176008879353858</v>
      </c>
      <c r="F2286" s="12" t="s">
        <v>152</v>
      </c>
      <c r="G2286" s="13">
        <v>34.0</v>
      </c>
      <c r="H2286" s="13">
        <v>63.0</v>
      </c>
      <c r="I2286" s="13">
        <v>0.0</v>
      </c>
      <c r="J2286" s="13">
        <v>1.0</v>
      </c>
      <c r="K2286" s="12" t="s">
        <v>21</v>
      </c>
      <c r="L2286" s="7">
        <v>40664.49030092593</v>
      </c>
      <c r="M2286" s="14" t="s">
        <v>4817</v>
      </c>
      <c r="N2286" s="14" t="s">
        <v>4818</v>
      </c>
      <c r="O2286" s="11" t="str">
        <f>HYPERLINK("https://pbs.twimg.com/profile_images/702598053698600960/uviMefqg_normal.jpg","View")</f>
        <v>View</v>
      </c>
      <c r="P2286" s="15"/>
    </row>
    <row r="2287">
      <c r="A2287" s="7">
        <v>42426.13440972222</v>
      </c>
      <c r="B2287" s="8" t="str">
        <f>HYPERLINK("https://twitter.com/JoshuaLongUK","@JoshuaLongUK")</f>
        <v>@JoshuaLongUK</v>
      </c>
      <c r="C2287" s="10" t="s">
        <v>101</v>
      </c>
      <c r="D2287" s="10" t="s">
        <v>4819</v>
      </c>
      <c r="E2287" s="11" t="str">
        <f>HYPERLINK("https://twitter.com/JoshuaLongUK/status/703176066836385792","703176066836385792")</f>
        <v>703176066836385792</v>
      </c>
      <c r="F2287" s="12" t="s">
        <v>103</v>
      </c>
      <c r="G2287" s="13">
        <v>25832.0</v>
      </c>
      <c r="H2287" s="13">
        <v>93.0</v>
      </c>
      <c r="I2287" s="13">
        <v>0.0</v>
      </c>
      <c r="J2287" s="13">
        <v>0.0</v>
      </c>
      <c r="K2287" s="12" t="s">
        <v>21</v>
      </c>
      <c r="L2287" s="7">
        <v>41149.39659722222</v>
      </c>
      <c r="M2287" s="14" t="s">
        <v>104</v>
      </c>
      <c r="N2287" s="14" t="s">
        <v>105</v>
      </c>
      <c r="O2287" s="11" t="str">
        <f>HYPERLINK("https://pbs.twimg.com/profile_images/627996138403168256/DaASdgVr_normal.jpg","View")</f>
        <v>View</v>
      </c>
      <c r="P2287" s="15"/>
    </row>
    <row r="2288">
      <c r="A2288" s="7">
        <v>42426.13469907407</v>
      </c>
      <c r="B2288" s="8" t="str">
        <f>HYPERLINK("https://twitter.com/PythonDaily","@PythonDaily")</f>
        <v>@PythonDaily</v>
      </c>
      <c r="C2288" s="10" t="s">
        <v>521</v>
      </c>
      <c r="D2288" s="10" t="s">
        <v>4820</v>
      </c>
      <c r="E2288" s="11" t="str">
        <f>HYPERLINK("https://twitter.com/PythonDaily/status/703176171735756801","703176171735756801")</f>
        <v>703176171735756801</v>
      </c>
      <c r="F2288" s="12" t="s">
        <v>521</v>
      </c>
      <c r="G2288" s="13">
        <v>3329.0</v>
      </c>
      <c r="H2288" s="13">
        <v>57.0</v>
      </c>
      <c r="I2288" s="13">
        <v>1.0</v>
      </c>
      <c r="J2288" s="13">
        <v>4.0</v>
      </c>
      <c r="K2288" s="12" t="s">
        <v>21</v>
      </c>
      <c r="L2288" s="7">
        <v>41447.56123842593</v>
      </c>
      <c r="M2288" s="16"/>
      <c r="N2288" s="14" t="s">
        <v>523</v>
      </c>
      <c r="O2288" s="11" t="str">
        <f>HYPERLINK("https://pbs.twimg.com/profile_images/378800000030851202/b6bb871a13825bae9004a9aab3a1d726_normal.jpeg","View")</f>
        <v>View</v>
      </c>
      <c r="P2288" s="15"/>
    </row>
    <row r="2289">
      <c r="A2289" s="7">
        <v>42426.13694444444</v>
      </c>
      <c r="B2289" s="8" t="str">
        <f>HYPERLINK("https://twitter.com/miry_sof","@miry_sof")</f>
        <v>@miry_sof</v>
      </c>
      <c r="C2289" s="10" t="s">
        <v>4821</v>
      </c>
      <c r="D2289" s="10" t="s">
        <v>4211</v>
      </c>
      <c r="E2289" s="11" t="str">
        <f>HYPERLINK("https://twitter.com/miry_sof/status/703176985996972034","703176985996972034")</f>
        <v>703176985996972034</v>
      </c>
      <c r="F2289" s="12" t="s">
        <v>52</v>
      </c>
      <c r="G2289" s="13">
        <v>43.0</v>
      </c>
      <c r="H2289" s="13">
        <v>105.0</v>
      </c>
      <c r="I2289" s="13">
        <v>55.0</v>
      </c>
      <c r="J2289" s="13">
        <v>0.0</v>
      </c>
      <c r="K2289" s="12" t="s">
        <v>21</v>
      </c>
      <c r="L2289" s="7">
        <v>40212.5658912037</v>
      </c>
      <c r="M2289" s="14" t="s">
        <v>1963</v>
      </c>
      <c r="N2289" s="14" t="s">
        <v>4822</v>
      </c>
      <c r="O2289" s="11" t="str">
        <f>HYPERLINK("https://pbs.twimg.com/profile_images/425577674224844800/DwuaBzSt_normal.jpeg","View")</f>
        <v>View</v>
      </c>
      <c r="P2289" s="15"/>
    </row>
    <row r="2290">
      <c r="A2290" s="7">
        <v>42426.137708333335</v>
      </c>
      <c r="B2290" s="8" t="str">
        <f>HYPERLINK("https://twitter.com/shakamunyi","@shakamunyi")</f>
        <v>@shakamunyi</v>
      </c>
      <c r="C2290" s="10" t="s">
        <v>2773</v>
      </c>
      <c r="D2290" s="10" t="s">
        <v>4823</v>
      </c>
      <c r="E2290" s="11" t="str">
        <f>HYPERLINK("https://twitter.com/shakamunyi/status/703177261415923713","703177261415923713")</f>
        <v>703177261415923713</v>
      </c>
      <c r="F2290" s="12" t="s">
        <v>38</v>
      </c>
      <c r="G2290" s="13">
        <v>1863.0</v>
      </c>
      <c r="H2290" s="13">
        <v>1075.0</v>
      </c>
      <c r="I2290" s="13">
        <v>2.0</v>
      </c>
      <c r="J2290" s="13">
        <v>0.0</v>
      </c>
      <c r="K2290" s="12" t="s">
        <v>21</v>
      </c>
      <c r="L2290" s="7">
        <v>41726.41787037037</v>
      </c>
      <c r="M2290" s="14" t="s">
        <v>2775</v>
      </c>
      <c r="N2290" s="14" t="s">
        <v>2776</v>
      </c>
      <c r="O2290" s="11" t="str">
        <f>HYPERLINK("https://pbs.twimg.com/profile_images/598640478657978368/PgSHeCsJ_normal.jpg","View")</f>
        <v>View</v>
      </c>
      <c r="P2290" s="15"/>
    </row>
    <row r="2291">
      <c r="A2291" s="7">
        <v>42426.13778935185</v>
      </c>
      <c r="B2291" s="8" t="str">
        <f>HYPERLINK("https://twitter.com/flubdevork","@flubdevork")</f>
        <v>@flubdevork</v>
      </c>
      <c r="C2291" s="10" t="s">
        <v>4824</v>
      </c>
      <c r="D2291" s="10" t="s">
        <v>4825</v>
      </c>
      <c r="E2291" s="11" t="str">
        <f>HYPERLINK("https://twitter.com/flubdevork/status/703177291472326660","703177291472326660")</f>
        <v>703177291472326660</v>
      </c>
      <c r="F2291" s="12" t="s">
        <v>20</v>
      </c>
      <c r="G2291" s="13">
        <v>222.0</v>
      </c>
      <c r="H2291" s="13">
        <v>245.0</v>
      </c>
      <c r="I2291" s="13">
        <v>0.0</v>
      </c>
      <c r="J2291" s="13">
        <v>0.0</v>
      </c>
      <c r="K2291" s="12" t="s">
        <v>21</v>
      </c>
      <c r="L2291" s="7">
        <v>40374.530127314814</v>
      </c>
      <c r="M2291" s="14" t="s">
        <v>519</v>
      </c>
      <c r="N2291" s="14" t="s">
        <v>4826</v>
      </c>
      <c r="O2291" s="11" t="str">
        <f>HYPERLINK("https://pbs.twimg.com/profile_images/1081297474/headshot_square_bw_normal.jpg","View")</f>
        <v>View</v>
      </c>
      <c r="P2291" s="15"/>
    </row>
    <row r="2292">
      <c r="A2292" s="7">
        <v>42426.13802083333</v>
      </c>
      <c r="B2292" s="8" t="str">
        <f>HYPERLINK("https://twitter.com/techcloudfirst","@techcloudfirst")</f>
        <v>@techcloudfirst</v>
      </c>
      <c r="C2292" s="10" t="s">
        <v>4827</v>
      </c>
      <c r="D2292" s="10" t="s">
        <v>4151</v>
      </c>
      <c r="E2292" s="11" t="str">
        <f>HYPERLINK("https://twitter.com/techcloudfirst/status/703177377250045953","703177377250045953")</f>
        <v>703177377250045953</v>
      </c>
      <c r="F2292" s="12" t="s">
        <v>20</v>
      </c>
      <c r="G2292" s="13">
        <v>45.0</v>
      </c>
      <c r="H2292" s="13">
        <v>60.0</v>
      </c>
      <c r="I2292" s="13">
        <v>16.0</v>
      </c>
      <c r="J2292" s="13">
        <v>0.0</v>
      </c>
      <c r="K2292" s="12" t="s">
        <v>21</v>
      </c>
      <c r="L2292" s="7">
        <v>42193.39175925926</v>
      </c>
      <c r="M2292" s="16"/>
      <c r="N2292" s="16"/>
      <c r="O2292" s="11" t="str">
        <f>HYPERLINK("https://abs.twimg.com/sticky/default_profile_images/default_profile_3_normal.png","View")</f>
        <v>View</v>
      </c>
      <c r="P2292" s="15"/>
    </row>
    <row r="2293">
      <c r="A2293" s="7">
        <v>42426.13840277778</v>
      </c>
      <c r="B2293" s="8" t="str">
        <f>HYPERLINK("https://twitter.com/panseybard","@panseybard")</f>
        <v>@panseybard</v>
      </c>
      <c r="C2293" s="10" t="s">
        <v>1602</v>
      </c>
      <c r="D2293" s="10" t="s">
        <v>4151</v>
      </c>
      <c r="E2293" s="11" t="str">
        <f>HYPERLINK("https://twitter.com/panseybard/status/703177514017882113","703177514017882113")</f>
        <v>703177514017882113</v>
      </c>
      <c r="F2293" s="12" t="s">
        <v>1603</v>
      </c>
      <c r="G2293" s="13">
        <v>7596.0</v>
      </c>
      <c r="H2293" s="13">
        <v>7592.0</v>
      </c>
      <c r="I2293" s="13">
        <v>16.0</v>
      </c>
      <c r="J2293" s="13">
        <v>0.0</v>
      </c>
      <c r="K2293" s="12" t="s">
        <v>21</v>
      </c>
      <c r="L2293" s="7">
        <v>41222.09909722222</v>
      </c>
      <c r="M2293" s="14" t="s">
        <v>1604</v>
      </c>
      <c r="N2293" s="14" t="s">
        <v>1605</v>
      </c>
      <c r="O2293" s="11" t="str">
        <f>HYPERLINK("https://pbs.twimg.com/profile_images/583850259970822144/7EgtHLoT_normal.jpg","View")</f>
        <v>View</v>
      </c>
      <c r="P2293" s="15"/>
    </row>
    <row r="2294">
      <c r="A2294" s="7">
        <v>42426.13841435185</v>
      </c>
      <c r="B2294" s="8" t="str">
        <f>HYPERLINK("https://twitter.com/J_Dalmau","@J_Dalmau")</f>
        <v>@J_Dalmau</v>
      </c>
      <c r="C2294" s="10" t="s">
        <v>4828</v>
      </c>
      <c r="D2294" s="10" t="s">
        <v>4829</v>
      </c>
      <c r="E2294" s="11" t="str">
        <f>HYPERLINK("https://twitter.com/J_Dalmau/status/703177519315353604","703177519315353604")</f>
        <v>703177519315353604</v>
      </c>
      <c r="F2294" s="12" t="s">
        <v>20</v>
      </c>
      <c r="G2294" s="13">
        <v>549.0</v>
      </c>
      <c r="H2294" s="13">
        <v>424.0</v>
      </c>
      <c r="I2294" s="13">
        <v>0.0</v>
      </c>
      <c r="J2294" s="13">
        <v>0.0</v>
      </c>
      <c r="K2294" s="12" t="s">
        <v>21</v>
      </c>
      <c r="L2294" s="7">
        <v>40601.06731481481</v>
      </c>
      <c r="M2294" s="14" t="s">
        <v>4830</v>
      </c>
      <c r="N2294" s="14" t="s">
        <v>4831</v>
      </c>
      <c r="O2294" s="11" t="str">
        <f>HYPERLINK("https://pbs.twimg.com/profile_images/1256486190/186549_1198876463_8277777_n_normal.jpg","View")</f>
        <v>View</v>
      </c>
      <c r="P2294" s="15"/>
    </row>
    <row r="2295">
      <c r="A2295" s="7">
        <v>42426.13946759259</v>
      </c>
      <c r="B2295" s="8" t="str">
        <f>HYPERLINK("https://twitter.com/Zk433","@Zk433")</f>
        <v>@Zk433</v>
      </c>
      <c r="C2295" s="10" t="s">
        <v>4832</v>
      </c>
      <c r="D2295" s="10" t="s">
        <v>4833</v>
      </c>
      <c r="E2295" s="11" t="str">
        <f>HYPERLINK("https://twitter.com/Zk433/status/703177900070055936","703177900070055936")</f>
        <v>703177900070055936</v>
      </c>
      <c r="F2295" s="12" t="s">
        <v>20</v>
      </c>
      <c r="G2295" s="13">
        <v>18.0</v>
      </c>
      <c r="H2295" s="13">
        <v>94.0</v>
      </c>
      <c r="I2295" s="13">
        <v>0.0</v>
      </c>
      <c r="J2295" s="13">
        <v>0.0</v>
      </c>
      <c r="K2295" s="12" t="s">
        <v>21</v>
      </c>
      <c r="L2295" s="7">
        <v>40400.10403935185</v>
      </c>
      <c r="M2295" s="14" t="s">
        <v>2833</v>
      </c>
      <c r="N2295" s="14" t="s">
        <v>4834</v>
      </c>
      <c r="O2295" s="11" t="str">
        <f>HYPERLINK("https://pbs.twimg.com/profile_images/668051820091166721/uP7X3fI5_normal.jpg","View")</f>
        <v>View</v>
      </c>
      <c r="P2295" s="15"/>
    </row>
    <row r="2296">
      <c r="A2296" s="7">
        <v>42426.13998842593</v>
      </c>
      <c r="B2296" s="8" t="str">
        <f>HYPERLINK("https://twitter.com/EderRoger","@EderRoger")</f>
        <v>@EderRoger</v>
      </c>
      <c r="C2296" s="10" t="s">
        <v>4835</v>
      </c>
      <c r="D2296" s="10" t="s">
        <v>4211</v>
      </c>
      <c r="E2296" s="11" t="str">
        <f>HYPERLINK("https://twitter.com/EderRoger/status/703178087458934784","703178087458934784")</f>
        <v>703178087458934784</v>
      </c>
      <c r="F2296" s="12" t="s">
        <v>20</v>
      </c>
      <c r="G2296" s="13">
        <v>149.0</v>
      </c>
      <c r="H2296" s="13">
        <v>72.0</v>
      </c>
      <c r="I2296" s="13">
        <v>55.0</v>
      </c>
      <c r="J2296" s="13">
        <v>0.0</v>
      </c>
      <c r="K2296" s="12" t="s">
        <v>21</v>
      </c>
      <c r="L2296" s="7">
        <v>39947.19547453704</v>
      </c>
      <c r="M2296" s="14" t="s">
        <v>1386</v>
      </c>
      <c r="N2296" s="14" t="s">
        <v>4836</v>
      </c>
      <c r="O2296" s="11" t="str">
        <f>HYPERLINK("https://pbs.twimg.com/profile_images/620932614392815616/MHOsurpy_normal.jpg","View")</f>
        <v>View</v>
      </c>
      <c r="P2296" s="15"/>
    </row>
    <row r="2297">
      <c r="A2297" s="7">
        <v>42426.14009259259</v>
      </c>
      <c r="B2297" s="8" t="str">
        <f>HYPERLINK("https://twitter.com/astrofra","@astrofra")</f>
        <v>@astrofra</v>
      </c>
      <c r="C2297" s="10" t="s">
        <v>3523</v>
      </c>
      <c r="D2297" s="10" t="s">
        <v>4837</v>
      </c>
      <c r="E2297" s="11" t="str">
        <f>HYPERLINK("https://twitter.com/astrofra/status/703178124721156096","703178124721156096")</f>
        <v>703178124721156096</v>
      </c>
      <c r="F2297" s="12" t="s">
        <v>52</v>
      </c>
      <c r="G2297" s="13">
        <v>171.0</v>
      </c>
      <c r="H2297" s="13">
        <v>212.0</v>
      </c>
      <c r="I2297" s="13">
        <v>9.0</v>
      </c>
      <c r="J2297" s="13">
        <v>9.0</v>
      </c>
      <c r="K2297" s="12" t="s">
        <v>21</v>
      </c>
      <c r="L2297" s="7">
        <v>41810.96375</v>
      </c>
      <c r="M2297" s="14" t="s">
        <v>416</v>
      </c>
      <c r="N2297" s="14" t="s">
        <v>3525</v>
      </c>
      <c r="O2297" s="11" t="str">
        <f>HYPERLINK("https://pbs.twimg.com/profile_images/480235311906455552/ekUeBDr3_normal.jpeg","View")</f>
        <v>View</v>
      </c>
      <c r="P2297" s="15"/>
    </row>
    <row r="2298">
      <c r="A2298" s="7">
        <v>42426.140694444446</v>
      </c>
      <c r="B2298" s="8" t="str">
        <f>HYPERLINK("https://twitter.com/IndieGameDevBot","@IndieGameDevBot")</f>
        <v>@IndieGameDevBot</v>
      </c>
      <c r="C2298" s="10" t="s">
        <v>2460</v>
      </c>
      <c r="D2298" s="10" t="s">
        <v>4838</v>
      </c>
      <c r="E2298" s="11" t="str">
        <f>HYPERLINK("https://twitter.com/IndieGameDevBot/status/703178344724955137","703178344724955137")</f>
        <v>703178344724955137</v>
      </c>
      <c r="F2298" s="12" t="s">
        <v>2462</v>
      </c>
      <c r="G2298" s="13">
        <v>20955.0</v>
      </c>
      <c r="H2298" s="13">
        <v>5699.0</v>
      </c>
      <c r="I2298" s="13">
        <v>9.0</v>
      </c>
      <c r="J2298" s="13">
        <v>0.0</v>
      </c>
      <c r="K2298" s="12" t="s">
        <v>21</v>
      </c>
      <c r="L2298" s="7">
        <v>41927.697488425925</v>
      </c>
      <c r="M2298" s="16"/>
      <c r="N2298" s="14" t="s">
        <v>2463</v>
      </c>
      <c r="O2298" s="11" t="str">
        <f>HYPERLINK("https://pbs.twimg.com/profile_images/522536769502195712/cG1yitHo_normal.jpeg","View")</f>
        <v>View</v>
      </c>
      <c r="P2298" s="15"/>
    </row>
    <row r="2299">
      <c r="A2299" s="7">
        <v>42426.141793981486</v>
      </c>
      <c r="B2299" s="8" t="str">
        <f>HYPERLINK("https://twitter.com/GameAssistant","@GameAssistant")</f>
        <v>@GameAssistant</v>
      </c>
      <c r="C2299" s="10" t="s">
        <v>4839</v>
      </c>
      <c r="D2299" s="10" t="s">
        <v>4838</v>
      </c>
      <c r="E2299" s="11" t="str">
        <f>HYPERLINK("https://twitter.com/GameAssistant/status/703178745020960769","703178745020960769")</f>
        <v>703178745020960769</v>
      </c>
      <c r="F2299" s="12" t="s">
        <v>4840</v>
      </c>
      <c r="G2299" s="13">
        <v>881.0</v>
      </c>
      <c r="H2299" s="13">
        <v>0.0</v>
      </c>
      <c r="I2299" s="13">
        <v>9.0</v>
      </c>
      <c r="J2299" s="13">
        <v>0.0</v>
      </c>
      <c r="K2299" s="12" t="s">
        <v>21</v>
      </c>
      <c r="L2299" s="7">
        <v>42332.425775462965</v>
      </c>
      <c r="M2299" s="16"/>
      <c r="N2299" s="14" t="s">
        <v>4841</v>
      </c>
      <c r="O2299" s="11" t="str">
        <f>HYPERLINK("https://pbs.twimg.com/profile_images/669819140354531329/O5pJ9Hmc_normal.png","View")</f>
        <v>View</v>
      </c>
      <c r="P2299" s="15"/>
    </row>
    <row r="2300">
      <c r="A2300" s="7">
        <v>42426.142812499995</v>
      </c>
      <c r="B2300" s="8" t="str">
        <f>HYPERLINK("https://twitter.com/FreeTutsForYou","@FreeTutsForYou")</f>
        <v>@FreeTutsForYou</v>
      </c>
      <c r="C2300" s="10" t="s">
        <v>1618</v>
      </c>
      <c r="D2300" s="10" t="s">
        <v>4838</v>
      </c>
      <c r="E2300" s="11" t="str">
        <f>HYPERLINK("https://twitter.com/FreeTutsForYou/status/703179113494925312","703179113494925312")</f>
        <v>703179113494925312</v>
      </c>
      <c r="F2300" s="12" t="s">
        <v>1619</v>
      </c>
      <c r="G2300" s="13">
        <v>118.0</v>
      </c>
      <c r="H2300" s="13">
        <v>64.0</v>
      </c>
      <c r="I2300" s="13">
        <v>9.0</v>
      </c>
      <c r="J2300" s="13">
        <v>0.0</v>
      </c>
      <c r="K2300" s="12" t="s">
        <v>21</v>
      </c>
      <c r="L2300" s="7">
        <v>42352.06935185185</v>
      </c>
      <c r="M2300" s="14" t="s">
        <v>34</v>
      </c>
      <c r="N2300" s="14" t="s">
        <v>1620</v>
      </c>
      <c r="O2300" s="11" t="str">
        <f>HYPERLINK("https://pbs.twimg.com/profile_images/676343744250044416/OidH-eFp_normal.png","View")</f>
        <v>View</v>
      </c>
      <c r="P2300" s="15"/>
    </row>
    <row r="2301">
      <c r="A2301" s="7">
        <v>42426.142858796295</v>
      </c>
      <c r="B2301" s="8" t="str">
        <f>HYPERLINK("https://twitter.com/SamT4Cloud","@SamT4Cloud")</f>
        <v>@SamT4Cloud</v>
      </c>
      <c r="C2301" s="10" t="s">
        <v>4842</v>
      </c>
      <c r="D2301" s="10" t="s">
        <v>244</v>
      </c>
      <c r="E2301" s="11" t="str">
        <f>HYPERLINK("https://twitter.com/SamT4Cloud/status/703179127164022784","703179127164022784")</f>
        <v>703179127164022784</v>
      </c>
      <c r="F2301" s="12" t="s">
        <v>152</v>
      </c>
      <c r="G2301" s="13">
        <v>28.0</v>
      </c>
      <c r="H2301" s="13">
        <v>119.0</v>
      </c>
      <c r="I2301" s="13">
        <v>16.0</v>
      </c>
      <c r="J2301" s="13">
        <v>0.0</v>
      </c>
      <c r="K2301" s="12" t="s">
        <v>21</v>
      </c>
      <c r="L2301" s="7">
        <v>42312.859375</v>
      </c>
      <c r="M2301" s="16"/>
      <c r="N2301" s="16"/>
      <c r="O2301" s="11" t="str">
        <f>HYPERLINK("https://abs.twimg.com/sticky/default_profile_images/default_profile_2_normal.png","View")</f>
        <v>View</v>
      </c>
      <c r="P2301" s="15"/>
    </row>
    <row r="2302">
      <c r="A2302" s="7">
        <v>42426.14412037037</v>
      </c>
      <c r="B2302" s="8" t="str">
        <f>HYPERLINK("https://twitter.com/WebScraperDB","@WebScraperDB")</f>
        <v>@WebScraperDB</v>
      </c>
      <c r="C2302" s="10" t="s">
        <v>2743</v>
      </c>
      <c r="D2302" s="10" t="s">
        <v>4843</v>
      </c>
      <c r="E2302" s="11" t="str">
        <f>HYPERLINK("https://twitter.com/WebScraperDB/status/703179587409195009","703179587409195009")</f>
        <v>703179587409195009</v>
      </c>
      <c r="F2302" s="12" t="s">
        <v>2743</v>
      </c>
      <c r="G2302" s="13">
        <v>298.0</v>
      </c>
      <c r="H2302" s="13">
        <v>927.0</v>
      </c>
      <c r="I2302" s="13">
        <v>0.0</v>
      </c>
      <c r="J2302" s="13">
        <v>2.0</v>
      </c>
      <c r="K2302" s="12" t="s">
        <v>21</v>
      </c>
      <c r="L2302" s="7">
        <v>42410.33493055556</v>
      </c>
      <c r="M2302" s="14" t="s">
        <v>2745</v>
      </c>
      <c r="N2302" s="14" t="s">
        <v>2746</v>
      </c>
      <c r="O2302" s="11" t="str">
        <f>HYPERLINK("https://pbs.twimg.com/profile_images/699545598450606080/s8CU8cVg_normal.png","View")</f>
        <v>View</v>
      </c>
      <c r="P2302" s="15"/>
    </row>
    <row r="2303">
      <c r="A2303" s="7">
        <v>42426.14418981482</v>
      </c>
      <c r="B2303" s="8" t="str">
        <f>HYPERLINK("https://twitter.com/francescalante1","@francescalante1")</f>
        <v>@francescalante1</v>
      </c>
      <c r="C2303" s="10" t="s">
        <v>4844</v>
      </c>
      <c r="D2303" s="10" t="s">
        <v>4845</v>
      </c>
      <c r="E2303" s="11" t="str">
        <f>HYPERLINK("https://twitter.com/francescalante1/status/703179609618010112","703179609618010112")</f>
        <v>703179609618010112</v>
      </c>
      <c r="F2303" s="12" t="s">
        <v>20</v>
      </c>
      <c r="G2303" s="13">
        <v>197.0</v>
      </c>
      <c r="H2303" s="13">
        <v>110.0</v>
      </c>
      <c r="I2303" s="13">
        <v>0.0</v>
      </c>
      <c r="J2303" s="13">
        <v>0.0</v>
      </c>
      <c r="K2303" s="12" t="s">
        <v>21</v>
      </c>
      <c r="L2303" s="7">
        <v>41467.110543981486</v>
      </c>
      <c r="M2303" s="14" t="s">
        <v>4846</v>
      </c>
      <c r="N2303" s="14" t="s">
        <v>4847</v>
      </c>
      <c r="O2303" s="11" t="str">
        <f>HYPERLINK("https://pbs.twimg.com/profile_images/458935759949791232/Tk77hzJh_normal.jpeg","View")</f>
        <v>View</v>
      </c>
      <c r="P2303" s="15"/>
    </row>
    <row r="2304">
      <c r="A2304" s="7">
        <v>42426.14577546297</v>
      </c>
      <c r="B2304" s="8" t="str">
        <f>HYPERLINK("https://twitter.com/Corneliability","@Corneliability")</f>
        <v>@Corneliability</v>
      </c>
      <c r="C2304" s="10" t="s">
        <v>4848</v>
      </c>
      <c r="D2304" s="10" t="s">
        <v>4849</v>
      </c>
      <c r="E2304" s="11" t="str">
        <f>HYPERLINK("https://twitter.com/Corneliability/status/703180188268408832","703180188268408832")</f>
        <v>703180188268408832</v>
      </c>
      <c r="F2304" s="12" t="s">
        <v>20</v>
      </c>
      <c r="G2304" s="13">
        <v>102.0</v>
      </c>
      <c r="H2304" s="13">
        <v>118.0</v>
      </c>
      <c r="I2304" s="13">
        <v>0.0</v>
      </c>
      <c r="J2304" s="13">
        <v>5.0</v>
      </c>
      <c r="K2304" s="12" t="s">
        <v>21</v>
      </c>
      <c r="L2304" s="7">
        <v>40569.40351851852</v>
      </c>
      <c r="M2304" s="14" t="s">
        <v>489</v>
      </c>
      <c r="N2304" s="14" t="s">
        <v>4850</v>
      </c>
      <c r="O2304" s="11" t="str">
        <f>HYPERLINK("https://pbs.twimg.com/profile_images/596681404940976128/6woa3l_E_normal.jpg","View")</f>
        <v>View</v>
      </c>
      <c r="P2304" s="15"/>
    </row>
    <row r="2305">
      <c r="A2305" s="7">
        <v>42426.1481712963</v>
      </c>
      <c r="B2305" s="8" t="str">
        <f>HYPERLINK("https://twitter.com/opendatacoop","@opendatacoop")</f>
        <v>@opendatacoop</v>
      </c>
      <c r="C2305" s="10" t="s">
        <v>4851</v>
      </c>
      <c r="D2305" s="10" t="s">
        <v>4852</v>
      </c>
      <c r="E2305" s="11" t="str">
        <f>HYPERLINK("https://twitter.com/opendatacoop/status/703181055428157441","703181055428157441")</f>
        <v>703181055428157441</v>
      </c>
      <c r="F2305" s="12" t="s">
        <v>446</v>
      </c>
      <c r="G2305" s="13">
        <v>222.0</v>
      </c>
      <c r="H2305" s="13">
        <v>72.0</v>
      </c>
      <c r="I2305" s="13">
        <v>0.0</v>
      </c>
      <c r="J2305" s="13">
        <v>2.0</v>
      </c>
      <c r="K2305" s="12" t="s">
        <v>21</v>
      </c>
      <c r="L2305" s="7">
        <v>42082.277395833335</v>
      </c>
      <c r="M2305" s="16"/>
      <c r="N2305" s="14" t="s">
        <v>4853</v>
      </c>
      <c r="O2305" s="11" t="str">
        <f>HYPERLINK("https://pbs.twimg.com/profile_images/601060850670141440/AJ_Q-oYo_normal.png","View")</f>
        <v>View</v>
      </c>
      <c r="P2305" s="15"/>
    </row>
    <row r="2306">
      <c r="A2306" s="7">
        <v>42426.148981481485</v>
      </c>
      <c r="B2306" s="8" t="str">
        <f>HYPERLINK("https://twitter.com/dr_dimaka","@dr_dimaka")</f>
        <v>@dr_dimaka</v>
      </c>
      <c r="C2306" s="10" t="s">
        <v>4854</v>
      </c>
      <c r="D2306" s="10" t="s">
        <v>4855</v>
      </c>
      <c r="E2306" s="11" t="str">
        <f>HYPERLINK("https://twitter.com/dr_dimaka/status/703181346202464257","703181346202464257")</f>
        <v>703181346202464257</v>
      </c>
      <c r="F2306" s="12" t="s">
        <v>1563</v>
      </c>
      <c r="G2306" s="13">
        <v>243.0</v>
      </c>
      <c r="H2306" s="13">
        <v>176.0</v>
      </c>
      <c r="I2306" s="13">
        <v>0.0</v>
      </c>
      <c r="J2306" s="13">
        <v>0.0</v>
      </c>
      <c r="K2306" s="12" t="s">
        <v>21</v>
      </c>
      <c r="L2306" s="7">
        <v>40187.31321759259</v>
      </c>
      <c r="M2306" s="14" t="s">
        <v>4856</v>
      </c>
      <c r="N2306" s="14" t="s">
        <v>4857</v>
      </c>
      <c r="O2306" s="11" t="str">
        <f>HYPERLINK("https://pbs.twimg.com/profile_images/3091698355/7c688047e61247dc210aae5e476a33e6_normal.jpeg","View")</f>
        <v>View</v>
      </c>
      <c r="P2306" s="15"/>
    </row>
    <row r="2307">
      <c r="A2307" s="7">
        <v>42426.152141203704</v>
      </c>
      <c r="B2307" s="8" t="str">
        <f>HYPERLINK("https://twitter.com/pastelgpc","@pastelgpc")</f>
        <v>@pastelgpc</v>
      </c>
      <c r="C2307" s="10" t="s">
        <v>4858</v>
      </c>
      <c r="D2307" s="10" t="s">
        <v>4859</v>
      </c>
      <c r="E2307" s="11" t="str">
        <f>HYPERLINK("https://twitter.com/pastelgpc/status/703182491180347393","703182491180347393")</f>
        <v>703182491180347393</v>
      </c>
      <c r="F2307" s="12" t="s">
        <v>294</v>
      </c>
      <c r="G2307" s="13">
        <v>1247.0</v>
      </c>
      <c r="H2307" s="13">
        <v>615.0</v>
      </c>
      <c r="I2307" s="13">
        <v>0.0</v>
      </c>
      <c r="J2307" s="13">
        <v>0.0</v>
      </c>
      <c r="K2307" s="12" t="s">
        <v>21</v>
      </c>
      <c r="L2307" s="7">
        <v>41385.137395833335</v>
      </c>
      <c r="M2307" s="16"/>
      <c r="N2307" s="14" t="s">
        <v>4860</v>
      </c>
      <c r="O2307" s="11" t="str">
        <f>HYPERLINK("https://pbs.twimg.com/profile_images/557303543439167492/4l5HxAqf_normal.jpeg","View")</f>
        <v>View</v>
      </c>
      <c r="P2307" s="15"/>
    </row>
    <row r="2308">
      <c r="A2308" s="7">
        <v>42426.15314814815</v>
      </c>
      <c r="B2308" s="8" t="str">
        <f>HYPERLINK("https://twitter.com/ThetfordUTP","@ThetfordUTP")</f>
        <v>@ThetfordUTP</v>
      </c>
      <c r="C2308" s="10" t="s">
        <v>4861</v>
      </c>
      <c r="D2308" s="10" t="s">
        <v>4862</v>
      </c>
      <c r="E2308" s="11" t="str">
        <f>HYPERLINK("https://twitter.com/ThetfordUTP/status/703182856097497088","703182856097497088")</f>
        <v>703182856097497088</v>
      </c>
      <c r="F2308" s="12" t="s">
        <v>1573</v>
      </c>
      <c r="G2308" s="13">
        <v>157.0</v>
      </c>
      <c r="H2308" s="13">
        <v>465.0</v>
      </c>
      <c r="I2308" s="13">
        <v>1.0</v>
      </c>
      <c r="J2308" s="13">
        <v>1.0</v>
      </c>
      <c r="K2308" s="12" t="s">
        <v>21</v>
      </c>
      <c r="L2308" s="7">
        <v>42296.53465277777</v>
      </c>
      <c r="M2308" s="14" t="s">
        <v>4863</v>
      </c>
      <c r="N2308" s="14" t="s">
        <v>4864</v>
      </c>
      <c r="O2308" s="11" t="str">
        <f>HYPERLINK("https://pbs.twimg.com/profile_images/656196259494109184/VckKxAbh_normal.png","View")</f>
        <v>View</v>
      </c>
      <c r="P2308" s="15"/>
    </row>
    <row r="2309">
      <c r="A2309" s="7">
        <v>42426.153819444444</v>
      </c>
      <c r="B2309" s="8" t="str">
        <f>HYPERLINK("https://twitter.com/rodagundez","@rodagundez")</f>
        <v>@rodagundez</v>
      </c>
      <c r="C2309" s="10" t="s">
        <v>4865</v>
      </c>
      <c r="D2309" s="10" t="s">
        <v>4866</v>
      </c>
      <c r="E2309" s="11" t="str">
        <f>HYPERLINK("https://twitter.com/rodagundez/status/703183099748880384","703183099748880384")</f>
        <v>703183099748880384</v>
      </c>
      <c r="F2309" s="12" t="s">
        <v>4867</v>
      </c>
      <c r="G2309" s="13">
        <v>3.0</v>
      </c>
      <c r="H2309" s="13">
        <v>23.0</v>
      </c>
      <c r="I2309" s="13">
        <v>0.0</v>
      </c>
      <c r="J2309" s="13">
        <v>0.0</v>
      </c>
      <c r="K2309" s="12" t="s">
        <v>21</v>
      </c>
      <c r="L2309" s="7">
        <v>42421.5294212963</v>
      </c>
      <c r="M2309" s="14" t="s">
        <v>4868</v>
      </c>
      <c r="N2309" s="16"/>
      <c r="O2309" s="11" t="str">
        <f>HYPERLINK("https://pbs.twimg.com/profile_images/701518697815527425/f53q5rhP_normal.jpg","View")</f>
        <v>View</v>
      </c>
      <c r="P2309" s="15"/>
    </row>
    <row r="2310">
      <c r="A2310" s="7">
        <v>42426.15472222222</v>
      </c>
      <c r="B2310" s="8" t="str">
        <f>HYPERLINK("https://twitter.com/StackCodeReview","@StackCodeReview")</f>
        <v>@StackCodeReview</v>
      </c>
      <c r="C2310" s="10" t="s">
        <v>83</v>
      </c>
      <c r="D2310" s="10" t="s">
        <v>4869</v>
      </c>
      <c r="E2310" s="11" t="str">
        <f>HYPERLINK("https://twitter.com/StackCodeReview/status/703183426661310465","703183426661310465")</f>
        <v>703183426661310465</v>
      </c>
      <c r="F2310" s="12" t="s">
        <v>85</v>
      </c>
      <c r="G2310" s="13">
        <v>595.0</v>
      </c>
      <c r="H2310" s="13">
        <v>0.0</v>
      </c>
      <c r="I2310" s="13">
        <v>0.0</v>
      </c>
      <c r="J2310" s="13">
        <v>0.0</v>
      </c>
      <c r="K2310" s="12" t="s">
        <v>21</v>
      </c>
      <c r="L2310" s="7">
        <v>40562.104942129634</v>
      </c>
      <c r="M2310" s="14" t="s">
        <v>86</v>
      </c>
      <c r="N2310" s="14" t="s">
        <v>87</v>
      </c>
      <c r="O2310" s="11" t="str">
        <f>HYPERLINK("https://pbs.twimg.com/profile_images/669613362255282176/8iApenAA_normal.png","View")</f>
        <v>View</v>
      </c>
      <c r="P2310" s="15"/>
    </row>
    <row r="2311">
      <c r="A2311" s="7">
        <v>42426.15497685185</v>
      </c>
      <c r="B2311" s="8" t="str">
        <f t="shared" ref="B2311:B2312" si="241">HYPERLINK("https://twitter.com/artwisanggeni","@artwisanggeni")</f>
        <v>@artwisanggeni</v>
      </c>
      <c r="C2311" s="10" t="s">
        <v>74</v>
      </c>
      <c r="D2311" s="10" t="s">
        <v>4870</v>
      </c>
      <c r="E2311" s="11" t="str">
        <f>HYPERLINK("https://twitter.com/artwisanggeni/status/703183518847758336","703183518847758336")</f>
        <v>703183518847758336</v>
      </c>
      <c r="F2311" s="17" t="s">
        <v>76</v>
      </c>
      <c r="G2311" s="13">
        <v>236.0</v>
      </c>
      <c r="H2311" s="13">
        <v>61.0</v>
      </c>
      <c r="I2311" s="13">
        <v>0.0</v>
      </c>
      <c r="J2311" s="13">
        <v>0.0</v>
      </c>
      <c r="K2311" s="12" t="s">
        <v>21</v>
      </c>
      <c r="L2311" s="7">
        <v>41218.90608796296</v>
      </c>
      <c r="M2311" s="14" t="s">
        <v>77</v>
      </c>
      <c r="N2311" s="14" t="s">
        <v>78</v>
      </c>
      <c r="O2311" s="11" t="str">
        <f t="shared" ref="O2311:O2312" si="242">HYPERLINK("https://pbs.twimg.com/profile_images/2813636657/599521f69e2bc210a57323b64d8e39e6_normal.jpeg","View")</f>
        <v>View</v>
      </c>
      <c r="P2311" s="15"/>
    </row>
    <row r="2312">
      <c r="A2312" s="7">
        <v>42426.15498842593</v>
      </c>
      <c r="B2312" s="8" t="str">
        <f t="shared" si="241"/>
        <v>@artwisanggeni</v>
      </c>
      <c r="C2312" s="10" t="s">
        <v>74</v>
      </c>
      <c r="D2312" s="10" t="s">
        <v>4871</v>
      </c>
      <c r="E2312" s="11" t="str">
        <f>HYPERLINK("https://twitter.com/artwisanggeni/status/703183523021127680","703183523021127680")</f>
        <v>703183523021127680</v>
      </c>
      <c r="F2312" s="17" t="s">
        <v>76</v>
      </c>
      <c r="G2312" s="13">
        <v>236.0</v>
      </c>
      <c r="H2312" s="13">
        <v>61.0</v>
      </c>
      <c r="I2312" s="13">
        <v>0.0</v>
      </c>
      <c r="J2312" s="13">
        <v>0.0</v>
      </c>
      <c r="K2312" s="12" t="s">
        <v>21</v>
      </c>
      <c r="L2312" s="7">
        <v>41218.90608796296</v>
      </c>
      <c r="M2312" s="14" t="s">
        <v>77</v>
      </c>
      <c r="N2312" s="14" t="s">
        <v>78</v>
      </c>
      <c r="O2312" s="11" t="str">
        <f t="shared" si="242"/>
        <v>View</v>
      </c>
      <c r="P2312" s="15"/>
    </row>
    <row r="2313">
      <c r="A2313" s="7">
        <v>42426.15513888889</v>
      </c>
      <c r="B2313" s="8" t="str">
        <f>HYPERLINK("https://twitter.com/DevilleSy","@DevilleSy")</f>
        <v>@DevilleSy</v>
      </c>
      <c r="C2313" s="10" t="s">
        <v>4872</v>
      </c>
      <c r="D2313" s="10" t="s">
        <v>4873</v>
      </c>
      <c r="E2313" s="11" t="str">
        <f>HYPERLINK("https://twitter.com/DevilleSy/status/703183580575326209","703183580575326209")</f>
        <v>703183580575326209</v>
      </c>
      <c r="F2313" s="12" t="s">
        <v>446</v>
      </c>
      <c r="G2313" s="13">
        <v>2165.0</v>
      </c>
      <c r="H2313" s="13">
        <v>1254.0</v>
      </c>
      <c r="I2313" s="13">
        <v>0.0</v>
      </c>
      <c r="J2313" s="13">
        <v>0.0</v>
      </c>
      <c r="K2313" s="12" t="s">
        <v>21</v>
      </c>
      <c r="L2313" s="7">
        <v>40731.58616898148</v>
      </c>
      <c r="M2313" s="14" t="s">
        <v>416</v>
      </c>
      <c r="N2313" s="14" t="s">
        <v>4874</v>
      </c>
      <c r="O2313" s="11" t="str">
        <f>HYPERLINK("https://pbs.twimg.com/profile_images/692807481802801155/9adbZlM3_normal.jpg","View")</f>
        <v>View</v>
      </c>
      <c r="P2313" s="15"/>
    </row>
    <row r="2314">
      <c r="A2314" s="7">
        <v>42426.15563657407</v>
      </c>
      <c r="B2314" s="8" t="str">
        <f>HYPERLINK("https://twitter.com/happymedy","@happymedy")</f>
        <v>@happymedy</v>
      </c>
      <c r="C2314" s="10" t="s">
        <v>4875</v>
      </c>
      <c r="D2314" s="10" t="s">
        <v>4876</v>
      </c>
      <c r="E2314" s="11" t="str">
        <f>HYPERLINK("https://twitter.com/happymedy/status/703183760779382788","703183760779382788")</f>
        <v>703183760779382788</v>
      </c>
      <c r="F2314" s="12" t="s">
        <v>20</v>
      </c>
      <c r="G2314" s="13">
        <v>243.0</v>
      </c>
      <c r="H2314" s="13">
        <v>1076.0</v>
      </c>
      <c r="I2314" s="13">
        <v>0.0</v>
      </c>
      <c r="J2314" s="13">
        <v>3.0</v>
      </c>
      <c r="K2314" s="12" t="s">
        <v>21</v>
      </c>
      <c r="L2314" s="7">
        <v>39989.45744212963</v>
      </c>
      <c r="M2314" s="14" t="s">
        <v>4877</v>
      </c>
      <c r="N2314" s="16"/>
      <c r="O2314" s="11" t="str">
        <f>HYPERLINK("https://pbs.twimg.com/profile_images/378800000147984125/61cddab0f959649412cc28892e8c3ad3_normal.jpeg","View")</f>
        <v>View</v>
      </c>
      <c r="P2314" s="15"/>
    </row>
    <row r="2315">
      <c r="A2315" s="7">
        <v>42426.155960648146</v>
      </c>
      <c r="B2315" s="8" t="str">
        <f>HYPERLINK("https://twitter.com/RomainSabathe","@RomainSabathe")</f>
        <v>@RomainSabathe</v>
      </c>
      <c r="C2315" s="10" t="s">
        <v>4878</v>
      </c>
      <c r="D2315" s="10" t="s">
        <v>4879</v>
      </c>
      <c r="E2315" s="11" t="str">
        <f>HYPERLINK("https://twitter.com/RomainSabathe/status/703183876252786688","703183876252786688")</f>
        <v>703183876252786688</v>
      </c>
      <c r="F2315" s="12" t="s">
        <v>20</v>
      </c>
      <c r="G2315" s="13">
        <v>64.0</v>
      </c>
      <c r="H2315" s="13">
        <v>143.0</v>
      </c>
      <c r="I2315" s="13">
        <v>1.0</v>
      </c>
      <c r="J2315" s="13">
        <v>2.0</v>
      </c>
      <c r="K2315" s="12" t="s">
        <v>21</v>
      </c>
      <c r="L2315" s="7">
        <v>41952.01832175926</v>
      </c>
      <c r="M2315" s="14" t="s">
        <v>2034</v>
      </c>
      <c r="N2315" s="14" t="s">
        <v>4880</v>
      </c>
      <c r="O2315" s="11" t="str">
        <f>HYPERLINK("https://pbs.twimg.com/profile_images/531362775948201984/xnuMIJn4_normal.jpeg","View")</f>
        <v>View</v>
      </c>
      <c r="P2315" s="15"/>
    </row>
    <row r="2316">
      <c r="A2316" s="7">
        <v>42426.15734953704</v>
      </c>
      <c r="B2316" s="8" t="str">
        <f>HYPERLINK("https://twitter.com/Bridge_Tweed","@Bridge_Tweed")</f>
        <v>@Bridge_Tweed</v>
      </c>
      <c r="C2316" s="10" t="s">
        <v>4881</v>
      </c>
      <c r="D2316" s="10" t="s">
        <v>4882</v>
      </c>
      <c r="E2316" s="11" t="str">
        <f>HYPERLINK("https://twitter.com/Bridge_Tweed/status/703184381695778817","703184381695778817")</f>
        <v>703184381695778817</v>
      </c>
      <c r="F2316" s="12" t="s">
        <v>20</v>
      </c>
      <c r="G2316" s="13">
        <v>544.0</v>
      </c>
      <c r="H2316" s="13">
        <v>304.0</v>
      </c>
      <c r="I2316" s="13">
        <v>0.0</v>
      </c>
      <c r="J2316" s="13">
        <v>1.0</v>
      </c>
      <c r="K2316" s="12" t="s">
        <v>21</v>
      </c>
      <c r="L2316" s="7">
        <v>39995.9387037037</v>
      </c>
      <c r="M2316" s="14" t="s">
        <v>1007</v>
      </c>
      <c r="N2316" s="14" t="s">
        <v>4883</v>
      </c>
      <c r="O2316" s="11" t="str">
        <f>HYPERLINK("https://pbs.twimg.com/profile_images/682128326480154624/4vsR1xot_normal.png","View")</f>
        <v>View</v>
      </c>
      <c r="P2316" s="15"/>
    </row>
    <row r="2317">
      <c r="A2317" s="7">
        <v>42426.157418981486</v>
      </c>
      <c r="B2317" s="8" t="str">
        <f>HYPERLINK("https://twitter.com/hsnorwich","@hsnorwich")</f>
        <v>@hsnorwich</v>
      </c>
      <c r="C2317" s="10" t="s">
        <v>4884</v>
      </c>
      <c r="D2317" s="10" t="s">
        <v>4885</v>
      </c>
      <c r="E2317" s="11" t="str">
        <f>HYPERLINK("https://twitter.com/hsnorwich/status/703184405699891200","703184405699891200")</f>
        <v>703184405699891200</v>
      </c>
      <c r="F2317" s="12" t="s">
        <v>20</v>
      </c>
      <c r="G2317" s="13">
        <v>2438.0</v>
      </c>
      <c r="H2317" s="13">
        <v>1455.0</v>
      </c>
      <c r="I2317" s="13">
        <v>1.0</v>
      </c>
      <c r="J2317" s="13">
        <v>0.0</v>
      </c>
      <c r="K2317" s="12" t="s">
        <v>21</v>
      </c>
      <c r="L2317" s="7">
        <v>40483.306597222225</v>
      </c>
      <c r="M2317" s="14" t="s">
        <v>4886</v>
      </c>
      <c r="N2317" s="14" t="s">
        <v>4887</v>
      </c>
      <c r="O2317" s="11" t="str">
        <f>HYPERLINK("https://pbs.twimg.com/profile_images/1157302988/hotsource-twitter-logo_normal.jpg","View")</f>
        <v>View</v>
      </c>
      <c r="P2317" s="15"/>
    </row>
    <row r="2318">
      <c r="A2318" s="7">
        <v>42426.15755787037</v>
      </c>
      <c r="B2318" s="8" t="str">
        <f>HYPERLINK("https://twitter.com/GISPyQuestions","@GISPyQuestions")</f>
        <v>@GISPyQuestions</v>
      </c>
      <c r="C2318" s="10" t="s">
        <v>1959</v>
      </c>
      <c r="D2318" s="10" t="s">
        <v>4888</v>
      </c>
      <c r="E2318" s="11" t="str">
        <f>HYPERLINK("https://twitter.com/GISPyQuestions/status/703184454282416128","703184454282416128")</f>
        <v>703184454282416128</v>
      </c>
      <c r="F2318" s="12" t="s">
        <v>1961</v>
      </c>
      <c r="G2318" s="13">
        <v>372.0</v>
      </c>
      <c r="H2318" s="13">
        <v>0.0</v>
      </c>
      <c r="I2318" s="13">
        <v>0.0</v>
      </c>
      <c r="J2318" s="13">
        <v>0.0</v>
      </c>
      <c r="K2318" s="12" t="s">
        <v>21</v>
      </c>
      <c r="L2318" s="7">
        <v>40997.581712962965</v>
      </c>
      <c r="M2318" s="16"/>
      <c r="N2318" s="16"/>
      <c r="O2318" s="11" t="str">
        <f>HYPERLINK("https://pbs.twimg.com/profile_images/1987767273/python-logo-glassy_normal.png","View")</f>
        <v>View</v>
      </c>
      <c r="P2318" s="15"/>
    </row>
    <row r="2319">
      <c r="A2319" s="7">
        <v>42426.15773148148</v>
      </c>
      <c r="B2319" s="8" t="str">
        <f>HYPERLINK("https://twitter.com/machinelearnbot","@machinelearnbot")</f>
        <v>@machinelearnbot</v>
      </c>
      <c r="C2319" s="10" t="s">
        <v>4889</v>
      </c>
      <c r="D2319" s="10" t="s">
        <v>4890</v>
      </c>
      <c r="E2319" s="11" t="str">
        <f>HYPERLINK("https://twitter.com/machinelearnbot/status/703184520489603072","703184520489603072")</f>
        <v>703184520489603072</v>
      </c>
      <c r="F2319" s="12" t="s">
        <v>4891</v>
      </c>
      <c r="G2319" s="13">
        <v>1662.0</v>
      </c>
      <c r="H2319" s="13">
        <v>2875.0</v>
      </c>
      <c r="I2319" s="13">
        <v>1.0</v>
      </c>
      <c r="J2319" s="13">
        <v>0.0</v>
      </c>
      <c r="K2319" s="12" t="s">
        <v>21</v>
      </c>
      <c r="L2319" s="7">
        <v>42386.163865740746</v>
      </c>
      <c r="M2319" s="16"/>
      <c r="N2319" s="14" t="s">
        <v>4892</v>
      </c>
      <c r="O2319" s="11" t="str">
        <f>HYPERLINK("https://pbs.twimg.com/profile_images/688735459892195329/v8sHaWSG_normal.jpg","View")</f>
        <v>View</v>
      </c>
      <c r="P2319" s="15"/>
    </row>
    <row r="2320">
      <c r="A2320" s="7">
        <v>42426.15795138889</v>
      </c>
      <c r="B2320" s="8" t="str">
        <f>HYPERLINK("https://twitter.com/randydeutsch","@randydeutsch")</f>
        <v>@randydeutsch</v>
      </c>
      <c r="C2320" s="10" t="s">
        <v>4893</v>
      </c>
      <c r="D2320" s="10" t="s">
        <v>4894</v>
      </c>
      <c r="E2320" s="11" t="str">
        <f>HYPERLINK("https://twitter.com/randydeutsch/status/703184596708397057","703184596708397057")</f>
        <v>703184596708397057</v>
      </c>
      <c r="F2320" s="12" t="s">
        <v>20</v>
      </c>
      <c r="G2320" s="13">
        <v>6106.0</v>
      </c>
      <c r="H2320" s="13">
        <v>12.0</v>
      </c>
      <c r="I2320" s="13">
        <v>0.0</v>
      </c>
      <c r="J2320" s="13">
        <v>1.0</v>
      </c>
      <c r="K2320" s="12" t="s">
        <v>21</v>
      </c>
      <c r="L2320" s="7">
        <v>39831.690405092595</v>
      </c>
      <c r="M2320" s="14" t="s">
        <v>4895</v>
      </c>
      <c r="N2320" s="14" t="s">
        <v>4896</v>
      </c>
      <c r="O2320" s="11" t="str">
        <f>HYPERLINK("https://pbs.twimg.com/profile_images/591955365027123201/1gwiXP3Z_normal.jpg","View")</f>
        <v>View</v>
      </c>
      <c r="P2320" s="15"/>
    </row>
    <row r="2321">
      <c r="A2321" s="7">
        <v>42426.15810185185</v>
      </c>
      <c r="B2321" s="8" t="str">
        <f>HYPERLINK("https://twitter.com/SeiichiShiga","@SeiichiShiga")</f>
        <v>@SeiichiShiga</v>
      </c>
      <c r="C2321" s="10" t="s">
        <v>833</v>
      </c>
      <c r="D2321" s="10" t="s">
        <v>4897</v>
      </c>
      <c r="E2321" s="11" t="str">
        <f>HYPERLINK("https://twitter.com/SeiichiShiga/status/703184654333915136","703184654333915136")</f>
        <v>703184654333915136</v>
      </c>
      <c r="F2321" s="12" t="s">
        <v>20</v>
      </c>
      <c r="G2321" s="13">
        <v>1215.0</v>
      </c>
      <c r="H2321" s="13">
        <v>2729.0</v>
      </c>
      <c r="I2321" s="13">
        <v>1.0</v>
      </c>
      <c r="J2321" s="13">
        <v>2.0</v>
      </c>
      <c r="K2321" s="12" t="s">
        <v>21</v>
      </c>
      <c r="L2321" s="7">
        <v>42307.67229166666</v>
      </c>
      <c r="M2321" s="14" t="s">
        <v>328</v>
      </c>
      <c r="N2321" s="14" t="s">
        <v>835</v>
      </c>
      <c r="O2321" s="11" t="str">
        <f>HYPERLINK("https://pbs.twimg.com/profile_images/678592301489242113/Sfm3y8Po_normal.jpg","View")</f>
        <v>View</v>
      </c>
      <c r="P2321" s="15"/>
    </row>
    <row r="2322">
      <c r="A2322" s="7">
        <v>42426.159363425926</v>
      </c>
      <c r="B2322" s="8" t="str">
        <f>HYPERLINK("https://twitter.com/MoonWatcherMD","@MoonWatcherMD")</f>
        <v>@MoonWatcherMD</v>
      </c>
      <c r="C2322" s="10" t="s">
        <v>4898</v>
      </c>
      <c r="D2322" s="10" t="s">
        <v>4838</v>
      </c>
      <c r="E2322" s="11" t="str">
        <f>HYPERLINK("https://twitter.com/MoonWatcherMD/status/703185111131385856","703185111131385856")</f>
        <v>703185111131385856</v>
      </c>
      <c r="F2322" s="12" t="s">
        <v>20</v>
      </c>
      <c r="G2322" s="13">
        <v>328.0</v>
      </c>
      <c r="H2322" s="13">
        <v>157.0</v>
      </c>
      <c r="I2322" s="13">
        <v>9.0</v>
      </c>
      <c r="J2322" s="13">
        <v>0.0</v>
      </c>
      <c r="K2322" s="12" t="s">
        <v>21</v>
      </c>
      <c r="L2322" s="7">
        <v>40734.63916666667</v>
      </c>
      <c r="M2322" s="16"/>
      <c r="N2322" s="14" t="s">
        <v>4899</v>
      </c>
      <c r="O2322" s="11" t="str">
        <f>HYPERLINK("https://pbs.twimg.com/profile_images/701431621686169600/LE24hvGa_normal.png","View")</f>
        <v>View</v>
      </c>
      <c r="P2322" s="15"/>
    </row>
    <row r="2323">
      <c r="A2323" s="7">
        <v>42426.15974537037</v>
      </c>
      <c r="B2323" s="8" t="str">
        <f>HYPERLINK("https://twitter.com/clickerdeals","@clickerdeals")</f>
        <v>@clickerdeals</v>
      </c>
      <c r="C2323" s="9" t="s">
        <v>4005</v>
      </c>
      <c r="D2323" s="10" t="s">
        <v>4900</v>
      </c>
      <c r="E2323" s="11" t="str">
        <f>HYPERLINK("https://twitter.com/clickerdeals/status/703185248364826624","703185248364826624")</f>
        <v>703185248364826624</v>
      </c>
      <c r="F2323" s="12" t="s">
        <v>4007</v>
      </c>
      <c r="G2323" s="13">
        <v>548.0</v>
      </c>
      <c r="H2323" s="13">
        <v>57.0</v>
      </c>
      <c r="I2323" s="13">
        <v>0.0</v>
      </c>
      <c r="J2323" s="13">
        <v>0.0</v>
      </c>
      <c r="K2323" s="12" t="s">
        <v>21</v>
      </c>
      <c r="L2323" s="7">
        <v>39982.34512731482</v>
      </c>
      <c r="M2323" s="14" t="s">
        <v>519</v>
      </c>
      <c r="N2323" s="14" t="s">
        <v>4008</v>
      </c>
      <c r="O2323" s="11" t="str">
        <f>HYPERLINK("https://pbs.twimg.com/profile_images/269222451/clickerdeals_normal.png","View")</f>
        <v>View</v>
      </c>
      <c r="P2323" s="15"/>
    </row>
    <row r="2324">
      <c r="A2324" s="7">
        <v>42426.16013888889</v>
      </c>
      <c r="B2324" s="8" t="str">
        <f t="shared" ref="B2324:B2325" si="243">HYPERLINK("https://twitter.com/AdamSmitht1","@AdamSmitht1")</f>
        <v>@AdamSmitht1</v>
      </c>
      <c r="C2324" s="10" t="s">
        <v>468</v>
      </c>
      <c r="D2324" s="10" t="s">
        <v>4901</v>
      </c>
      <c r="E2324" s="11" t="str">
        <f>HYPERLINK("https://twitter.com/AdamSmitht1/status/703185390627323904","703185390627323904")</f>
        <v>703185390627323904</v>
      </c>
      <c r="F2324" s="12" t="s">
        <v>103</v>
      </c>
      <c r="G2324" s="13">
        <v>849.0</v>
      </c>
      <c r="H2324" s="13">
        <v>793.0</v>
      </c>
      <c r="I2324" s="13">
        <v>0.0</v>
      </c>
      <c r="J2324" s="13">
        <v>0.0</v>
      </c>
      <c r="K2324" s="12" t="s">
        <v>21</v>
      </c>
      <c r="L2324" s="7">
        <v>42336.12709490741</v>
      </c>
      <c r="M2324" s="14" t="s">
        <v>470</v>
      </c>
      <c r="N2324" s="14" t="s">
        <v>471</v>
      </c>
      <c r="O2324" s="11" t="str">
        <f t="shared" ref="O2324:O2325" si="244">HYPERLINK("https://pbs.twimg.com/profile_images/671623862916812800/yGsDKiP4_normal.jpg","View")</f>
        <v>View</v>
      </c>
      <c r="P2324" s="15"/>
    </row>
    <row r="2325">
      <c r="A2325" s="7">
        <v>42426.16013888889</v>
      </c>
      <c r="B2325" s="8" t="str">
        <f t="shared" si="243"/>
        <v>@AdamSmitht1</v>
      </c>
      <c r="C2325" s="10" t="s">
        <v>468</v>
      </c>
      <c r="D2325" s="10" t="s">
        <v>4902</v>
      </c>
      <c r="E2325" s="11" t="str">
        <f>HYPERLINK("https://twitter.com/AdamSmitht1/status/703185391805927424","703185391805927424")</f>
        <v>703185391805927424</v>
      </c>
      <c r="F2325" s="12" t="s">
        <v>103</v>
      </c>
      <c r="G2325" s="13">
        <v>849.0</v>
      </c>
      <c r="H2325" s="13">
        <v>793.0</v>
      </c>
      <c r="I2325" s="13">
        <v>0.0</v>
      </c>
      <c r="J2325" s="13">
        <v>0.0</v>
      </c>
      <c r="K2325" s="12" t="s">
        <v>21</v>
      </c>
      <c r="L2325" s="7">
        <v>42336.12709490741</v>
      </c>
      <c r="M2325" s="14" t="s">
        <v>470</v>
      </c>
      <c r="N2325" s="14" t="s">
        <v>471</v>
      </c>
      <c r="O2325" s="11" t="str">
        <f t="shared" si="244"/>
        <v>View</v>
      </c>
      <c r="P2325" s="15"/>
    </row>
    <row r="2326">
      <c r="A2326" s="7">
        <v>42426.16045138889</v>
      </c>
      <c r="B2326" s="8" t="str">
        <f>HYPERLINK("https://twitter.com/BigDataTweetBot","@BigDataTweetBot")</f>
        <v>@BigDataTweetBot</v>
      </c>
      <c r="C2326" s="10" t="s">
        <v>1440</v>
      </c>
      <c r="D2326" s="10" t="s">
        <v>4903</v>
      </c>
      <c r="E2326" s="11" t="str">
        <f>HYPERLINK("https://twitter.com/BigDataTweetBot/status/703185504158806016","703185504158806016")</f>
        <v>703185504158806016</v>
      </c>
      <c r="F2326" s="12" t="s">
        <v>1442</v>
      </c>
      <c r="G2326" s="13">
        <v>8623.0</v>
      </c>
      <c r="H2326" s="13">
        <v>243.0</v>
      </c>
      <c r="I2326" s="13">
        <v>1.0</v>
      </c>
      <c r="J2326" s="13">
        <v>0.0</v>
      </c>
      <c r="K2326" s="12" t="s">
        <v>21</v>
      </c>
      <c r="L2326" s="7">
        <v>42187.77106481481</v>
      </c>
      <c r="M2326" s="16"/>
      <c r="N2326" s="14" t="s">
        <v>1443</v>
      </c>
      <c r="O2326" s="11" t="str">
        <f>HYPERLINK("https://pbs.twimg.com/profile_images/616793252524650496/bQbxJqmz_normal.jpg","View")</f>
        <v>View</v>
      </c>
      <c r="P2326" s="15"/>
    </row>
    <row r="2327">
      <c r="A2327" s="7">
        <v>42426.16091435185</v>
      </c>
      <c r="B2327" s="8" t="str">
        <f t="shared" ref="B2327:B2328" si="245">HYPERLINK("https://twitter.com/startechwall","@startechwall")</f>
        <v>@startechwall</v>
      </c>
      <c r="C2327" s="10" t="s">
        <v>1478</v>
      </c>
      <c r="D2327" s="10" t="s">
        <v>4904</v>
      </c>
      <c r="E2327" s="11" t="str">
        <f>HYPERLINK("https://twitter.com/startechwall/status/703185671876313088","703185671876313088")</f>
        <v>703185671876313088</v>
      </c>
      <c r="F2327" s="12" t="s">
        <v>103</v>
      </c>
      <c r="G2327" s="13">
        <v>557.0</v>
      </c>
      <c r="H2327" s="13">
        <v>859.0</v>
      </c>
      <c r="I2327" s="13">
        <v>0.0</v>
      </c>
      <c r="J2327" s="13">
        <v>0.0</v>
      </c>
      <c r="K2327" s="12" t="s">
        <v>21</v>
      </c>
      <c r="L2327" s="7">
        <v>42360.959502314814</v>
      </c>
      <c r="M2327" s="14" t="s">
        <v>1480</v>
      </c>
      <c r="N2327" s="14" t="s">
        <v>1481</v>
      </c>
      <c r="O2327" s="11" t="str">
        <f t="shared" ref="O2327:O2328" si="246">HYPERLINK("https://pbs.twimg.com/profile_images/679566117187145728/UUo30Zpm_normal.jpg","View")</f>
        <v>View</v>
      </c>
      <c r="P2327" s="15"/>
    </row>
    <row r="2328">
      <c r="A2328" s="7">
        <v>42426.16091435185</v>
      </c>
      <c r="B2328" s="8" t="str">
        <f t="shared" si="245"/>
        <v>@startechwall</v>
      </c>
      <c r="C2328" s="10" t="s">
        <v>1478</v>
      </c>
      <c r="D2328" s="10" t="s">
        <v>4905</v>
      </c>
      <c r="E2328" s="11" t="str">
        <f>HYPERLINK("https://twitter.com/startechwall/status/703185673294123008","703185673294123008")</f>
        <v>703185673294123008</v>
      </c>
      <c r="F2328" s="12" t="s">
        <v>103</v>
      </c>
      <c r="G2328" s="13">
        <v>557.0</v>
      </c>
      <c r="H2328" s="13">
        <v>859.0</v>
      </c>
      <c r="I2328" s="13">
        <v>0.0</v>
      </c>
      <c r="J2328" s="13">
        <v>0.0</v>
      </c>
      <c r="K2328" s="12" t="s">
        <v>21</v>
      </c>
      <c r="L2328" s="7">
        <v>42360.959502314814</v>
      </c>
      <c r="M2328" s="14" t="s">
        <v>1480</v>
      </c>
      <c r="N2328" s="14" t="s">
        <v>1481</v>
      </c>
      <c r="O2328" s="11" t="str">
        <f t="shared" si="246"/>
        <v>View</v>
      </c>
      <c r="P2328" s="15"/>
    </row>
    <row r="2329">
      <c r="A2329" s="7">
        <v>42426.16193287037</v>
      </c>
      <c r="B2329" s="8" t="str">
        <f>HYPERLINK("https://twitter.com/StephanusSch","@StephanusSch")</f>
        <v>@StephanusSch</v>
      </c>
      <c r="C2329" s="10" t="s">
        <v>4906</v>
      </c>
      <c r="D2329" s="10" t="s">
        <v>4823</v>
      </c>
      <c r="E2329" s="11" t="str">
        <f>HYPERLINK("https://twitter.com/StephanusSch/status/703186039343435777","703186039343435777")</f>
        <v>703186039343435777</v>
      </c>
      <c r="F2329" s="12" t="s">
        <v>4907</v>
      </c>
      <c r="G2329" s="13">
        <v>27.0</v>
      </c>
      <c r="H2329" s="13">
        <v>33.0</v>
      </c>
      <c r="I2329" s="13">
        <v>2.0</v>
      </c>
      <c r="J2329" s="13">
        <v>0.0</v>
      </c>
      <c r="K2329" s="12" t="s">
        <v>21</v>
      </c>
      <c r="L2329" s="7">
        <v>41130.92306712963</v>
      </c>
      <c r="M2329" s="16"/>
      <c r="N2329" s="14" t="s">
        <v>4908</v>
      </c>
      <c r="O2329" s="11" t="str">
        <f>HYPERLINK("https://pbs.twimg.com/profile_images/2487812325/avatar-head_normal.jpg","View")</f>
        <v>View</v>
      </c>
      <c r="P2329" s="15"/>
    </row>
    <row r="2330">
      <c r="A2330" s="7">
        <v>42426.16401620371</v>
      </c>
      <c r="B2330" s="8" t="str">
        <f>HYPERLINK("https://twitter.com/sumitsinghal","@sumitsinghal")</f>
        <v>@sumitsinghal</v>
      </c>
      <c r="C2330" s="10" t="s">
        <v>4909</v>
      </c>
      <c r="D2330" s="10" t="s">
        <v>4910</v>
      </c>
      <c r="E2330" s="11" t="str">
        <f>HYPERLINK("https://twitter.com/sumitsinghal/status/703186796960739328","703186796960739328")</f>
        <v>703186796960739328</v>
      </c>
      <c r="F2330" s="12" t="s">
        <v>20</v>
      </c>
      <c r="G2330" s="13">
        <v>244.0</v>
      </c>
      <c r="H2330" s="13">
        <v>268.0</v>
      </c>
      <c r="I2330" s="13">
        <v>1.0</v>
      </c>
      <c r="J2330" s="13">
        <v>2.0</v>
      </c>
      <c r="K2330" s="12" t="s">
        <v>21</v>
      </c>
      <c r="L2330" s="7">
        <v>40055.3331712963</v>
      </c>
      <c r="M2330" s="14" t="s">
        <v>99</v>
      </c>
      <c r="N2330" s="14" t="s">
        <v>4911</v>
      </c>
      <c r="O2330" s="11" t="str">
        <f>HYPERLINK("https://pbs.twimg.com/profile_images/598427563858522112/fneTG4IH_normal.png","View")</f>
        <v>View</v>
      </c>
      <c r="P2330" s="15"/>
    </row>
    <row r="2331">
      <c r="A2331" s="7">
        <v>42426.16510416666</v>
      </c>
      <c r="B2331" s="8" t="str">
        <f>HYPERLINK("https://twitter.com/eduSatoe","@eduSatoe")</f>
        <v>@eduSatoe</v>
      </c>
      <c r="C2331" s="10" t="s">
        <v>4912</v>
      </c>
      <c r="D2331" s="10" t="s">
        <v>4913</v>
      </c>
      <c r="E2331" s="11" t="str">
        <f>HYPERLINK("https://twitter.com/eduSatoe/status/703187191376154625","703187191376154625")</f>
        <v>703187191376154625</v>
      </c>
      <c r="F2331" s="12" t="s">
        <v>20</v>
      </c>
      <c r="G2331" s="13">
        <v>2620.0</v>
      </c>
      <c r="H2331" s="13">
        <v>1577.0</v>
      </c>
      <c r="I2331" s="13">
        <v>1.0</v>
      </c>
      <c r="J2331" s="13">
        <v>5.0</v>
      </c>
      <c r="K2331" s="12" t="s">
        <v>21</v>
      </c>
      <c r="L2331" s="7">
        <v>40627.14325231481</v>
      </c>
      <c r="M2331" s="14" t="s">
        <v>4914</v>
      </c>
      <c r="N2331" s="14" t="s">
        <v>4915</v>
      </c>
      <c r="O2331" s="11" t="str">
        <f>HYPERLINK("https://pbs.twimg.com/profile_images/651880776498196480/bPEMrJ74_normal.jpg","View")</f>
        <v>View</v>
      </c>
      <c r="P2331" s="15"/>
    </row>
    <row r="2332">
      <c r="A2332" s="7">
        <v>42426.16667824074</v>
      </c>
      <c r="B2332" s="8" t="str">
        <f>HYPERLINK("https://twitter.com/0x626F74","@0x626F74")</f>
        <v>@0x626F74</v>
      </c>
      <c r="C2332" s="10" t="s">
        <v>2707</v>
      </c>
      <c r="D2332" s="10" t="s">
        <v>4916</v>
      </c>
      <c r="E2332" s="11" t="str">
        <f>HYPERLINK("https://twitter.com/0x626F74/status/703187759259787268","703187759259787268")</f>
        <v>703187759259787268</v>
      </c>
      <c r="F2332" s="12" t="s">
        <v>2709</v>
      </c>
      <c r="G2332" s="13">
        <v>44.0</v>
      </c>
      <c r="H2332" s="13">
        <v>0.0</v>
      </c>
      <c r="I2332" s="13">
        <v>0.0</v>
      </c>
      <c r="J2332" s="13">
        <v>0.0</v>
      </c>
      <c r="K2332" s="12" t="s">
        <v>21</v>
      </c>
      <c r="L2332" s="7">
        <v>41484.2893287037</v>
      </c>
      <c r="M2332" s="16"/>
      <c r="N2332" s="16"/>
      <c r="O2332" s="11" t="str">
        <f>HYPERLINK("https://abs.twimg.com/sticky/default_profile_images/default_profile_3_normal.png","View")</f>
        <v>View</v>
      </c>
      <c r="P2332" s="15"/>
    </row>
    <row r="2333">
      <c r="A2333" s="7">
        <v>42426.16704861111</v>
      </c>
      <c r="B2333" s="8" t="str">
        <f>HYPERLINK("https://twitter.com/BigDataTweetBot","@BigDataTweetBot")</f>
        <v>@BigDataTweetBot</v>
      </c>
      <c r="C2333" s="10" t="s">
        <v>1440</v>
      </c>
      <c r="D2333" s="10" t="s">
        <v>4917</v>
      </c>
      <c r="E2333" s="11" t="str">
        <f>HYPERLINK("https://twitter.com/BigDataTweetBot/status/703187896304586752","703187896304586752")</f>
        <v>703187896304586752</v>
      </c>
      <c r="F2333" s="12" t="s">
        <v>1442</v>
      </c>
      <c r="G2333" s="13">
        <v>8623.0</v>
      </c>
      <c r="H2333" s="13">
        <v>243.0</v>
      </c>
      <c r="I2333" s="13">
        <v>1.0</v>
      </c>
      <c r="J2333" s="13">
        <v>0.0</v>
      </c>
      <c r="K2333" s="12" t="s">
        <v>21</v>
      </c>
      <c r="L2333" s="7">
        <v>42187.77106481481</v>
      </c>
      <c r="M2333" s="16"/>
      <c r="N2333" s="14" t="s">
        <v>1443</v>
      </c>
      <c r="O2333" s="11" t="str">
        <f>HYPERLINK("https://pbs.twimg.com/profile_images/616793252524650496/bQbxJqmz_normal.jpg","View")</f>
        <v>View</v>
      </c>
      <c r="P2333" s="15"/>
    </row>
    <row r="2334">
      <c r="A2334" s="7">
        <v>42426.16756944444</v>
      </c>
      <c r="B2334" s="8" t="str">
        <f>HYPERLINK("https://twitter.com/SanFran_TJobs","@SanFran_TJobs")</f>
        <v>@SanFran_TJobs</v>
      </c>
      <c r="C2334" s="10" t="s">
        <v>4918</v>
      </c>
      <c r="D2334" s="10" t="s">
        <v>4919</v>
      </c>
      <c r="E2334" s="11" t="str">
        <f>HYPERLINK("https://twitter.com/SanFran_TJobs/status/703188082703601664","703188082703601664")</f>
        <v>703188082703601664</v>
      </c>
      <c r="F2334" s="12" t="s">
        <v>659</v>
      </c>
      <c r="G2334" s="13">
        <v>18.0</v>
      </c>
      <c r="H2334" s="13">
        <v>58.0</v>
      </c>
      <c r="I2334" s="13">
        <v>0.0</v>
      </c>
      <c r="J2334" s="13">
        <v>0.0</v>
      </c>
      <c r="K2334" s="12" t="s">
        <v>21</v>
      </c>
      <c r="L2334" s="7">
        <v>42419.52217592593</v>
      </c>
      <c r="M2334" s="14" t="s">
        <v>1287</v>
      </c>
      <c r="N2334" s="14" t="s">
        <v>4381</v>
      </c>
      <c r="O2334" s="11" t="str">
        <f>HYPERLINK("https://pbs.twimg.com/profile_images/700788888789450752/8iUC8862_normal.png","View")</f>
        <v>View</v>
      </c>
      <c r="P2334" s="15"/>
    </row>
    <row r="2335">
      <c r="A2335" s="7">
        <v>42426.16814814815</v>
      </c>
      <c r="B2335" s="8" t="str">
        <f>HYPERLINK("https://twitter.com/udemy_koupon","@udemy_koupon")</f>
        <v>@udemy_koupon</v>
      </c>
      <c r="C2335" s="10" t="s">
        <v>4528</v>
      </c>
      <c r="D2335" s="10" t="s">
        <v>4920</v>
      </c>
      <c r="E2335" s="11" t="str">
        <f>HYPERLINK("https://twitter.com/udemy_koupon/status/703188292234321920","703188292234321920")</f>
        <v>703188292234321920</v>
      </c>
      <c r="F2335" s="12" t="s">
        <v>659</v>
      </c>
      <c r="G2335" s="13">
        <v>12914.0</v>
      </c>
      <c r="H2335" s="13">
        <v>10221.0</v>
      </c>
      <c r="I2335" s="13">
        <v>0.0</v>
      </c>
      <c r="J2335" s="13">
        <v>0.0</v>
      </c>
      <c r="K2335" s="12" t="s">
        <v>21</v>
      </c>
      <c r="L2335" s="7">
        <v>42167.89608796296</v>
      </c>
      <c r="M2335" s="16"/>
      <c r="N2335" s="14" t="s">
        <v>4530</v>
      </c>
      <c r="O2335" s="11" t="str">
        <f>HYPERLINK("https://pbs.twimg.com/profile_images/609579169471553536/Vvy6dSkC_normal.png","View")</f>
        <v>View</v>
      </c>
      <c r="P2335" s="15"/>
    </row>
    <row r="2336">
      <c r="A2336" s="7">
        <v>42426.16814814815</v>
      </c>
      <c r="B2336" s="8" t="str">
        <f>HYPERLINK("https://twitter.com/LearningCoupon","@LearningCoupon")</f>
        <v>@LearningCoupon</v>
      </c>
      <c r="C2336" s="10" t="s">
        <v>4921</v>
      </c>
      <c r="D2336" s="10" t="s">
        <v>4922</v>
      </c>
      <c r="E2336" s="11" t="str">
        <f>HYPERLINK("https://twitter.com/LearningCoupon/status/703188292674699265","703188292674699265")</f>
        <v>703188292674699265</v>
      </c>
      <c r="F2336" s="12" t="s">
        <v>659</v>
      </c>
      <c r="G2336" s="13">
        <v>1820.0</v>
      </c>
      <c r="H2336" s="13">
        <v>4999.0</v>
      </c>
      <c r="I2336" s="13">
        <v>1.0</v>
      </c>
      <c r="J2336" s="13">
        <v>0.0</v>
      </c>
      <c r="K2336" s="12" t="s">
        <v>21</v>
      </c>
      <c r="L2336" s="7">
        <v>42270.80119212963</v>
      </c>
      <c r="M2336" s="16"/>
      <c r="N2336" s="16"/>
      <c r="O2336" s="11" t="str">
        <f>HYPERLINK("https://pbs.twimg.com/profile_images/646872524781780992/eu6w3vdk_normal.png","View")</f>
        <v>View</v>
      </c>
      <c r="P2336" s="15"/>
    </row>
    <row r="2337">
      <c r="A2337" s="7">
        <v>42426.168969907405</v>
      </c>
      <c r="B2337" s="8" t="str">
        <f>HYPERLINK("https://twitter.com/ImagineGameDev","@ImagineGameDev")</f>
        <v>@ImagineGameDev</v>
      </c>
      <c r="C2337" s="10" t="s">
        <v>4923</v>
      </c>
      <c r="D2337" s="10" t="s">
        <v>4838</v>
      </c>
      <c r="E2337" s="11" t="str">
        <f>HYPERLINK("https://twitter.com/ImagineGameDev/status/703188589853671424","703188589853671424")</f>
        <v>703188589853671424</v>
      </c>
      <c r="F2337" s="12" t="s">
        <v>52</v>
      </c>
      <c r="G2337" s="13">
        <v>411.0</v>
      </c>
      <c r="H2337" s="13">
        <v>139.0</v>
      </c>
      <c r="I2337" s="13">
        <v>9.0</v>
      </c>
      <c r="J2337" s="13">
        <v>0.0</v>
      </c>
      <c r="K2337" s="12" t="s">
        <v>21</v>
      </c>
      <c r="L2337" s="7">
        <v>42122.70353009259</v>
      </c>
      <c r="M2337" s="16"/>
      <c r="N2337" s="14" t="s">
        <v>4924</v>
      </c>
      <c r="O2337" s="11" t="str">
        <f>HYPERLINK("https://abs.twimg.com/sticky/default_profile_images/default_profile_1_normal.png","View")</f>
        <v>View</v>
      </c>
      <c r="P2337" s="15"/>
    </row>
    <row r="2338">
      <c r="A2338" s="7">
        <v>42426.169062500005</v>
      </c>
      <c r="B2338" s="8" t="str">
        <f>HYPERLINK("https://twitter.com/anioko1","@anioko1")</f>
        <v>@anioko1</v>
      </c>
      <c r="C2338" s="10" t="s">
        <v>178</v>
      </c>
      <c r="D2338" s="10" t="s">
        <v>650</v>
      </c>
      <c r="E2338" s="11" t="str">
        <f>HYPERLINK("https://twitter.com/anioko1/status/703188627115921408","703188627115921408")</f>
        <v>703188627115921408</v>
      </c>
      <c r="F2338" s="12" t="s">
        <v>103</v>
      </c>
      <c r="G2338" s="13">
        <v>527.0</v>
      </c>
      <c r="H2338" s="13">
        <v>1936.0</v>
      </c>
      <c r="I2338" s="13">
        <v>1.0</v>
      </c>
      <c r="J2338" s="13">
        <v>3.0</v>
      </c>
      <c r="K2338" s="12" t="s">
        <v>21</v>
      </c>
      <c r="L2338" s="7">
        <v>40367.98541666666</v>
      </c>
      <c r="M2338" s="14" t="s">
        <v>180</v>
      </c>
      <c r="N2338" s="14" t="s">
        <v>181</v>
      </c>
      <c r="O2338" s="11" t="str">
        <f>HYPERLINK("https://pbs.twimg.com/profile_images/695642719948009474/s9J4OUA9_normal.jpg","View")</f>
        <v>View</v>
      </c>
      <c r="P2338" s="15"/>
    </row>
    <row r="2339">
      <c r="A2339" s="7">
        <v>42426.169641203705</v>
      </c>
      <c r="B2339" s="8" t="str">
        <f>HYPERLINK("https://twitter.com/TechforLifeUK","@TechforLifeUK")</f>
        <v>@TechforLifeUK</v>
      </c>
      <c r="C2339" s="10" t="s">
        <v>4925</v>
      </c>
      <c r="D2339" s="10" t="s">
        <v>4926</v>
      </c>
      <c r="E2339" s="11" t="str">
        <f>HYPERLINK("https://twitter.com/TechforLifeUK/status/703188836050989057","703188836050989057")</f>
        <v>703188836050989057</v>
      </c>
      <c r="F2339" s="12" t="s">
        <v>294</v>
      </c>
      <c r="G2339" s="13">
        <v>45.0</v>
      </c>
      <c r="H2339" s="13">
        <v>149.0</v>
      </c>
      <c r="I2339" s="13">
        <v>2.0</v>
      </c>
      <c r="J2339" s="13">
        <v>0.0</v>
      </c>
      <c r="K2339" s="12" t="s">
        <v>21</v>
      </c>
      <c r="L2339" s="7">
        <v>42423.24741898148</v>
      </c>
      <c r="M2339" s="14" t="s">
        <v>4927</v>
      </c>
      <c r="N2339" s="14" t="s">
        <v>4928</v>
      </c>
      <c r="O2339" s="11" t="str">
        <f>HYPERLINK("https://pbs.twimg.com/profile_images/702440110437109760/9YAI6jN2_normal.png","View")</f>
        <v>View</v>
      </c>
      <c r="P2339" s="15"/>
    </row>
    <row r="2340">
      <c r="A2340" s="7">
        <v>42426.16965277778</v>
      </c>
      <c r="B2340" s="8" t="str">
        <f>HYPERLINK("https://twitter.com/SpritesMind","@SpritesMind")</f>
        <v>@SpritesMind</v>
      </c>
      <c r="C2340" s="10" t="s">
        <v>4929</v>
      </c>
      <c r="D2340" s="10" t="s">
        <v>4838</v>
      </c>
      <c r="E2340" s="11" t="str">
        <f>HYPERLINK("https://twitter.com/SpritesMind/status/703188838953279488","703188838953279488")</f>
        <v>703188838953279488</v>
      </c>
      <c r="F2340" s="12" t="s">
        <v>20</v>
      </c>
      <c r="G2340" s="13">
        <v>159.0</v>
      </c>
      <c r="H2340" s="13">
        <v>65.0</v>
      </c>
      <c r="I2340" s="13">
        <v>9.0</v>
      </c>
      <c r="J2340" s="13">
        <v>0.0</v>
      </c>
      <c r="K2340" s="12" t="s">
        <v>21</v>
      </c>
      <c r="L2340" s="7">
        <v>41292.808217592596</v>
      </c>
      <c r="M2340" s="16"/>
      <c r="N2340" s="14" t="s">
        <v>4930</v>
      </c>
      <c r="O2340" s="11" t="str">
        <f>HYPERLINK("https://pbs.twimg.com/profile_images/3127278086/09c461b2744951038e95b0fdda1728b9_normal.png","View")</f>
        <v>View</v>
      </c>
      <c r="P2340" s="15"/>
    </row>
    <row r="2341">
      <c r="A2341" s="7">
        <v>42426.17028935185</v>
      </c>
      <c r="B2341" s="8" t="str">
        <f>HYPERLINK("https://twitter.com/DataSkyMak","@DataSkyMak")</f>
        <v>@DataSkyMak</v>
      </c>
      <c r="C2341" s="10" t="s">
        <v>4931</v>
      </c>
      <c r="D2341" s="10" t="s">
        <v>4932</v>
      </c>
      <c r="E2341" s="11" t="str">
        <f>HYPERLINK("https://twitter.com/DataSkyMak/status/703189068775960576","703189068775960576")</f>
        <v>703189068775960576</v>
      </c>
      <c r="F2341" s="12" t="s">
        <v>52</v>
      </c>
      <c r="G2341" s="13">
        <v>60.0</v>
      </c>
      <c r="H2341" s="13">
        <v>121.0</v>
      </c>
      <c r="I2341" s="13">
        <v>14.0</v>
      </c>
      <c r="J2341" s="13">
        <v>0.0</v>
      </c>
      <c r="K2341" s="12" t="s">
        <v>21</v>
      </c>
      <c r="L2341" s="7">
        <v>39862.220300925925</v>
      </c>
      <c r="M2341" s="14" t="s">
        <v>4933</v>
      </c>
      <c r="N2341" s="14" t="s">
        <v>4934</v>
      </c>
      <c r="O2341" s="11" t="str">
        <f>HYPERLINK("https://pbs.twimg.com/profile_images/378800000433255445/afb972726a697b2afa012123e2a4ea46_normal.png","View")</f>
        <v>View</v>
      </c>
      <c r="P2341" s="15"/>
    </row>
    <row r="2342">
      <c r="A2342" s="7">
        <v>42426.17061342593</v>
      </c>
      <c r="B2342" s="8" t="str">
        <f>HYPERLINK("https://twitter.com/AdamSmitht1","@AdamSmitht1")</f>
        <v>@AdamSmitht1</v>
      </c>
      <c r="C2342" s="10" t="s">
        <v>468</v>
      </c>
      <c r="D2342" s="10" t="s">
        <v>4935</v>
      </c>
      <c r="E2342" s="11" t="str">
        <f>HYPERLINK("https://twitter.com/AdamSmitht1/status/703189186891874304","703189186891874304")</f>
        <v>703189186891874304</v>
      </c>
      <c r="F2342" s="12" t="s">
        <v>103</v>
      </c>
      <c r="G2342" s="13">
        <v>849.0</v>
      </c>
      <c r="H2342" s="13">
        <v>793.0</v>
      </c>
      <c r="I2342" s="13">
        <v>0.0</v>
      </c>
      <c r="J2342" s="13">
        <v>0.0</v>
      </c>
      <c r="K2342" s="12" t="s">
        <v>21</v>
      </c>
      <c r="L2342" s="7">
        <v>42336.12709490741</v>
      </c>
      <c r="M2342" s="14" t="s">
        <v>470</v>
      </c>
      <c r="N2342" s="14" t="s">
        <v>471</v>
      </c>
      <c r="O2342" s="11" t="str">
        <f>HYPERLINK("https://pbs.twimg.com/profile_images/671623862916812800/yGsDKiP4_normal.jpg","View")</f>
        <v>View</v>
      </c>
      <c r="P2342" s="15"/>
    </row>
    <row r="2343">
      <c r="A2343" s="7">
        <v>42426.171435185184</v>
      </c>
      <c r="B2343" s="8" t="str">
        <f>HYPERLINK("https://twitter.com/startechwall","@startechwall")</f>
        <v>@startechwall</v>
      </c>
      <c r="C2343" s="10" t="s">
        <v>1478</v>
      </c>
      <c r="D2343" s="10" t="s">
        <v>4936</v>
      </c>
      <c r="E2343" s="11" t="str">
        <f>HYPERLINK("https://twitter.com/startechwall/status/703189484616212480","703189484616212480")</f>
        <v>703189484616212480</v>
      </c>
      <c r="F2343" s="12" t="s">
        <v>103</v>
      </c>
      <c r="G2343" s="13">
        <v>557.0</v>
      </c>
      <c r="H2343" s="13">
        <v>859.0</v>
      </c>
      <c r="I2343" s="13">
        <v>0.0</v>
      </c>
      <c r="J2343" s="13">
        <v>0.0</v>
      </c>
      <c r="K2343" s="12" t="s">
        <v>21</v>
      </c>
      <c r="L2343" s="7">
        <v>42360.959502314814</v>
      </c>
      <c r="M2343" s="14" t="s">
        <v>1480</v>
      </c>
      <c r="N2343" s="14" t="s">
        <v>1481</v>
      </c>
      <c r="O2343" s="11" t="str">
        <f>HYPERLINK("https://pbs.twimg.com/profile_images/679566117187145728/UUo30Zpm_normal.jpg","View")</f>
        <v>View</v>
      </c>
      <c r="P2343" s="15"/>
    </row>
    <row r="2344">
      <c r="A2344" s="7">
        <v>42426.1721875</v>
      </c>
      <c r="B2344" s="8" t="str">
        <f>HYPERLINK("https://twitter.com/SugokuDekkai","@SugokuDekkai")</f>
        <v>@SugokuDekkai</v>
      </c>
      <c r="C2344" s="10" t="s">
        <v>4937</v>
      </c>
      <c r="D2344" s="10" t="s">
        <v>4938</v>
      </c>
      <c r="E2344" s="11" t="str">
        <f>HYPERLINK("https://twitter.com/SugokuDekkai/status/703189755853447168","703189755853447168")</f>
        <v>703189755853447168</v>
      </c>
      <c r="F2344" s="12" t="s">
        <v>450</v>
      </c>
      <c r="G2344" s="13">
        <v>69.0</v>
      </c>
      <c r="H2344" s="13">
        <v>193.0</v>
      </c>
      <c r="I2344" s="13">
        <v>0.0</v>
      </c>
      <c r="J2344" s="13">
        <v>1.0</v>
      </c>
      <c r="K2344" s="12" t="s">
        <v>21</v>
      </c>
      <c r="L2344" s="7">
        <v>42075.68547453704</v>
      </c>
      <c r="M2344" s="14" t="s">
        <v>3273</v>
      </c>
      <c r="N2344" s="14" t="s">
        <v>4939</v>
      </c>
      <c r="O2344" s="11" t="str">
        <f>HYPERLINK("https://pbs.twimg.com/profile_images/657493938975084544/EFKvx3e1_normal.jpg","View")</f>
        <v>View</v>
      </c>
      <c r="P2344" s="15"/>
    </row>
    <row r="2345">
      <c r="A2345" s="7">
        <v>42426.17309027778</v>
      </c>
      <c r="B2345" s="8" t="str">
        <f>HYPERLINK("https://twitter.com/jr0cket","@jr0cket")</f>
        <v>@jr0cket</v>
      </c>
      <c r="C2345" s="10" t="s">
        <v>4940</v>
      </c>
      <c r="D2345" s="10" t="s">
        <v>4941</v>
      </c>
      <c r="E2345" s="11" t="str">
        <f>HYPERLINK("https://twitter.com/jr0cket/status/703190084976189440","703190084976189440")</f>
        <v>703190084976189440</v>
      </c>
      <c r="F2345" s="12" t="s">
        <v>152</v>
      </c>
      <c r="G2345" s="13">
        <v>2943.0</v>
      </c>
      <c r="H2345" s="13">
        <v>2720.0</v>
      </c>
      <c r="I2345" s="13">
        <v>3.0</v>
      </c>
      <c r="J2345" s="13">
        <v>3.0</v>
      </c>
      <c r="K2345" s="12" t="s">
        <v>21</v>
      </c>
      <c r="L2345" s="7">
        <v>40036.33087962963</v>
      </c>
      <c r="M2345" s="14" t="s">
        <v>4942</v>
      </c>
      <c r="N2345" s="14" t="s">
        <v>4943</v>
      </c>
      <c r="O2345" s="11" t="str">
        <f>HYPERLINK("https://pbs.twimg.com/profile_images/1610571617/john-stevenson-profile-barrel_normal.png","View")</f>
        <v>View</v>
      </c>
      <c r="P2345" s="15"/>
    </row>
    <row r="2346">
      <c r="A2346" s="7">
        <v>42426.173113425924</v>
      </c>
      <c r="B2346" s="8" t="str">
        <f>HYPERLINK("https://twitter.com/coSfera","@coSfera")</f>
        <v>@coSfera</v>
      </c>
      <c r="C2346" s="10" t="s">
        <v>4944</v>
      </c>
      <c r="D2346" s="10" t="s">
        <v>4945</v>
      </c>
      <c r="E2346" s="11" t="str">
        <f>HYPERLINK("https://twitter.com/coSfera/status/703190092777725953","703190092777725953")</f>
        <v>703190092777725953</v>
      </c>
      <c r="F2346" s="12" t="s">
        <v>659</v>
      </c>
      <c r="G2346" s="13">
        <v>4352.0</v>
      </c>
      <c r="H2346" s="13">
        <v>1279.0</v>
      </c>
      <c r="I2346" s="13">
        <v>0.0</v>
      </c>
      <c r="J2346" s="13">
        <v>0.0</v>
      </c>
      <c r="K2346" s="12" t="s">
        <v>21</v>
      </c>
      <c r="L2346" s="7">
        <v>40875.184212962966</v>
      </c>
      <c r="M2346" s="14" t="s">
        <v>4946</v>
      </c>
      <c r="N2346" s="14" t="s">
        <v>4947</v>
      </c>
      <c r="O2346" s="11" t="str">
        <f>HYPERLINK("https://pbs.twimg.com/profile_images/378800000467629727/55fd96b4d0799dc13574e6649b07d73a_normal.png","View")</f>
        <v>View</v>
      </c>
      <c r="P2346" s="15"/>
    </row>
    <row r="2347">
      <c r="A2347" s="7">
        <v>42426.173321759255</v>
      </c>
      <c r="B2347" s="8" t="str">
        <f>HYPERLINK("https://twitter.com/spugamola","@spugamola")</f>
        <v>@spugamola</v>
      </c>
      <c r="C2347" s="10" t="s">
        <v>4948</v>
      </c>
      <c r="D2347" s="10" t="s">
        <v>4949</v>
      </c>
      <c r="E2347" s="11" t="str">
        <f>HYPERLINK("https://twitter.com/spugamola/status/703190168430219265","703190168430219265")</f>
        <v>703190168430219265</v>
      </c>
      <c r="F2347" s="12" t="s">
        <v>20</v>
      </c>
      <c r="G2347" s="13">
        <v>554.0</v>
      </c>
      <c r="H2347" s="13">
        <v>533.0</v>
      </c>
      <c r="I2347" s="13">
        <v>0.0</v>
      </c>
      <c r="J2347" s="13">
        <v>0.0</v>
      </c>
      <c r="K2347" s="12" t="s">
        <v>21</v>
      </c>
      <c r="L2347" s="7">
        <v>39323.35486111111</v>
      </c>
      <c r="M2347" s="14" t="s">
        <v>4950</v>
      </c>
      <c r="N2347" s="14" t="s">
        <v>4951</v>
      </c>
      <c r="O2347" s="11" t="str">
        <f>HYPERLINK("https://pbs.twimg.com/profile_images/344513261572672871/551869ae2c4cdb7406ae4467e98e407f_normal.png","View")</f>
        <v>View</v>
      </c>
      <c r="P2347" s="15"/>
    </row>
    <row r="2348">
      <c r="A2348" s="7">
        <v>42426.17334490741</v>
      </c>
      <c r="B2348" s="8" t="str">
        <f>HYPERLINK("https://twitter.com/rogerio_gentil","@rogerio_gentil")</f>
        <v>@rogerio_gentil</v>
      </c>
      <c r="C2348" s="10" t="s">
        <v>4952</v>
      </c>
      <c r="D2348" s="10" t="s">
        <v>4953</v>
      </c>
      <c r="E2348" s="11" t="str">
        <f>HYPERLINK("https://twitter.com/rogerio_gentil/status/703190177334874112","703190177334874112")</f>
        <v>703190177334874112</v>
      </c>
      <c r="F2348" s="12" t="s">
        <v>1563</v>
      </c>
      <c r="G2348" s="13">
        <v>257.0</v>
      </c>
      <c r="H2348" s="13">
        <v>197.0</v>
      </c>
      <c r="I2348" s="13">
        <v>0.0</v>
      </c>
      <c r="J2348" s="13">
        <v>0.0</v>
      </c>
      <c r="K2348" s="12" t="s">
        <v>21</v>
      </c>
      <c r="L2348" s="7">
        <v>40060.787881944445</v>
      </c>
      <c r="M2348" s="14" t="s">
        <v>4954</v>
      </c>
      <c r="N2348" s="14" t="s">
        <v>4955</v>
      </c>
      <c r="O2348" s="11" t="str">
        <f>HYPERLINK("https://pbs.twimg.com/profile_images/583742193082433537/YiGhGasc_normal.jpg","View")</f>
        <v>View</v>
      </c>
      <c r="P2348" s="15"/>
    </row>
    <row r="2349">
      <c r="A2349" s="7">
        <v>42426.17347222222</v>
      </c>
      <c r="B2349" s="8" t="str">
        <f>HYPERLINK("https://twitter.com/coupon_udemy","@coupon_udemy")</f>
        <v>@coupon_udemy</v>
      </c>
      <c r="C2349" s="10" t="s">
        <v>4534</v>
      </c>
      <c r="D2349" s="10" t="s">
        <v>4956</v>
      </c>
      <c r="E2349" s="11" t="str">
        <f>HYPERLINK("https://twitter.com/coupon_udemy/status/703190222582976512","703190222582976512")</f>
        <v>703190222582976512</v>
      </c>
      <c r="F2349" s="12" t="s">
        <v>103</v>
      </c>
      <c r="G2349" s="13">
        <v>5246.0</v>
      </c>
      <c r="H2349" s="13">
        <v>5468.0</v>
      </c>
      <c r="I2349" s="13">
        <v>1.0</v>
      </c>
      <c r="J2349" s="13">
        <v>0.0</v>
      </c>
      <c r="K2349" s="12" t="s">
        <v>21</v>
      </c>
      <c r="L2349" s="7">
        <v>42075.27853009259</v>
      </c>
      <c r="M2349" s="14" t="s">
        <v>2994</v>
      </c>
      <c r="N2349" s="14" t="s">
        <v>4536</v>
      </c>
      <c r="O2349" s="11" t="str">
        <f>HYPERLINK("https://pbs.twimg.com/profile_images/701022461500895234/kbSch0bV_normal.png","View")</f>
        <v>View</v>
      </c>
      <c r="P2349" s="15"/>
    </row>
    <row r="2350">
      <c r="A2350" s="7">
        <v>42426.174050925925</v>
      </c>
      <c r="B2350" s="8" t="str">
        <f>HYPERLINK("https://twitter.com/DiscountUdemy","@DiscountUdemy")</f>
        <v>@DiscountUdemy</v>
      </c>
      <c r="C2350" s="10" t="s">
        <v>4531</v>
      </c>
      <c r="D2350" s="10" t="s">
        <v>4957</v>
      </c>
      <c r="E2350" s="11" t="str">
        <f>HYPERLINK("https://twitter.com/DiscountUdemy/status/703190434726678528","703190434726678528")</f>
        <v>703190434726678528</v>
      </c>
      <c r="F2350" s="12" t="s">
        <v>659</v>
      </c>
      <c r="G2350" s="13">
        <v>3022.0</v>
      </c>
      <c r="H2350" s="13">
        <v>4999.0</v>
      </c>
      <c r="I2350" s="13">
        <v>1.0</v>
      </c>
      <c r="J2350" s="13">
        <v>1.0</v>
      </c>
      <c r="K2350" s="12" t="s">
        <v>21</v>
      </c>
      <c r="L2350" s="7">
        <v>42229.069560185184</v>
      </c>
      <c r="M2350" s="16"/>
      <c r="N2350" s="16"/>
      <c r="O2350" s="11" t="str">
        <f>HYPERLINK("https://pbs.twimg.com/profile_images/631747603625934849/2qLB-jZC_normal.jpg","View")</f>
        <v>View</v>
      </c>
      <c r="P2350" s="15"/>
    </row>
    <row r="2351">
      <c r="A2351" s="7">
        <v>42426.17447916667</v>
      </c>
      <c r="B2351" s="8" t="str">
        <f t="shared" ref="B2351:B2352" si="247">HYPERLINK("https://twitter.com/PythonBooks","@PythonBooks")</f>
        <v>@PythonBooks</v>
      </c>
      <c r="C2351" s="10" t="s">
        <v>267</v>
      </c>
      <c r="D2351" s="10" t="s">
        <v>4958</v>
      </c>
      <c r="E2351" s="11" t="str">
        <f>HYPERLINK("https://twitter.com/PythonBooks/status/703190589551058944","703190589551058944")</f>
        <v>703190589551058944</v>
      </c>
      <c r="F2351" s="12" t="s">
        <v>20</v>
      </c>
      <c r="G2351" s="13">
        <v>20.0</v>
      </c>
      <c r="H2351" s="13">
        <v>70.0</v>
      </c>
      <c r="I2351" s="13">
        <v>1.0</v>
      </c>
      <c r="J2351" s="13">
        <v>0.0</v>
      </c>
      <c r="K2351" s="12" t="s">
        <v>21</v>
      </c>
      <c r="L2351" s="7">
        <v>42424.13631944444</v>
      </c>
      <c r="M2351" s="14" t="s">
        <v>269</v>
      </c>
      <c r="N2351" s="14" t="s">
        <v>270</v>
      </c>
      <c r="O2351" s="11" t="str">
        <f t="shared" ref="O2351:O2352" si="248">HYPERLINK("https://pbs.twimg.com/profile_images/702455638157168640/AeDgtn0C_normal.jpg","View")</f>
        <v>View</v>
      </c>
      <c r="P2351" s="15"/>
    </row>
    <row r="2352">
      <c r="A2352" s="7">
        <v>42426.17482638889</v>
      </c>
      <c r="B2352" s="8" t="str">
        <f t="shared" si="247"/>
        <v>@PythonBooks</v>
      </c>
      <c r="C2352" s="10" t="s">
        <v>267</v>
      </c>
      <c r="D2352" s="10" t="s">
        <v>4211</v>
      </c>
      <c r="E2352" s="11" t="str">
        <f>HYPERLINK("https://twitter.com/PythonBooks/status/703190713304006656","703190713304006656")</f>
        <v>703190713304006656</v>
      </c>
      <c r="F2352" s="12" t="s">
        <v>20</v>
      </c>
      <c r="G2352" s="13">
        <v>20.0</v>
      </c>
      <c r="H2352" s="13">
        <v>70.0</v>
      </c>
      <c r="I2352" s="13">
        <v>55.0</v>
      </c>
      <c r="J2352" s="13">
        <v>0.0</v>
      </c>
      <c r="K2352" s="12" t="s">
        <v>21</v>
      </c>
      <c r="L2352" s="7">
        <v>42424.13631944444</v>
      </c>
      <c r="M2352" s="14" t="s">
        <v>269</v>
      </c>
      <c r="N2352" s="14" t="s">
        <v>270</v>
      </c>
      <c r="O2352" s="11" t="str">
        <f t="shared" si="248"/>
        <v>View</v>
      </c>
      <c r="P2352" s="15"/>
    </row>
    <row r="2353">
      <c r="A2353" s="7">
        <v>42426.17493055556</v>
      </c>
      <c r="B2353" s="8" t="str">
        <f>HYPERLINK("https://twitter.com/flubdevork","@flubdevork")</f>
        <v>@flubdevork</v>
      </c>
      <c r="C2353" s="10" t="s">
        <v>4824</v>
      </c>
      <c r="D2353" s="10" t="s">
        <v>4959</v>
      </c>
      <c r="E2353" s="11" t="str">
        <f>HYPERLINK("https://twitter.com/flubdevork/status/703190750192758784","703190750192758784")</f>
        <v>703190750192758784</v>
      </c>
      <c r="F2353" s="12" t="s">
        <v>20</v>
      </c>
      <c r="G2353" s="13">
        <v>222.0</v>
      </c>
      <c r="H2353" s="13">
        <v>245.0</v>
      </c>
      <c r="I2353" s="13">
        <v>0.0</v>
      </c>
      <c r="J2353" s="13">
        <v>1.0</v>
      </c>
      <c r="K2353" s="12" t="s">
        <v>21</v>
      </c>
      <c r="L2353" s="7">
        <v>40374.530127314814</v>
      </c>
      <c r="M2353" s="14" t="s">
        <v>519</v>
      </c>
      <c r="N2353" s="14" t="s">
        <v>4826</v>
      </c>
      <c r="O2353" s="11" t="str">
        <f>HYPERLINK("https://pbs.twimg.com/profile_images/1081297474/headshot_square_bw_normal.jpg","View")</f>
        <v>View</v>
      </c>
      <c r="P2353" s="15"/>
    </row>
    <row r="2354">
      <c r="A2354" s="7">
        <v>42426.17493055556</v>
      </c>
      <c r="B2354" s="8" t="str">
        <f>HYPERLINK("https://twitter.com/jfgallag","@jfgallag")</f>
        <v>@jfgallag</v>
      </c>
      <c r="C2354" s="10" t="s">
        <v>4960</v>
      </c>
      <c r="D2354" s="10" t="s">
        <v>4961</v>
      </c>
      <c r="E2354" s="11" t="str">
        <f>HYPERLINK("https://twitter.com/jfgallag/status/703190753216958464","703190753216958464")</f>
        <v>703190753216958464</v>
      </c>
      <c r="F2354" s="12" t="s">
        <v>20</v>
      </c>
      <c r="G2354" s="13">
        <v>66.0</v>
      </c>
      <c r="H2354" s="13">
        <v>301.0</v>
      </c>
      <c r="I2354" s="13">
        <v>0.0</v>
      </c>
      <c r="J2354" s="13">
        <v>3.0</v>
      </c>
      <c r="K2354" s="12" t="s">
        <v>21</v>
      </c>
      <c r="L2354" s="7">
        <v>41562.55091435185</v>
      </c>
      <c r="M2354" s="14" t="s">
        <v>679</v>
      </c>
      <c r="N2354" s="14" t="s">
        <v>4962</v>
      </c>
      <c r="O2354" s="11" t="str">
        <f>HYPERLINK("https://pbs.twimg.com/profile_images/649523644981493760/qoSy0B2j_normal.jpg","View")</f>
        <v>View</v>
      </c>
      <c r="P2354" s="15"/>
    </row>
    <row r="2355">
      <c r="A2355" s="7">
        <v>42426.17506944445</v>
      </c>
      <c r="B2355" s="8" t="str">
        <f t="shared" ref="B2355:B2359" si="249">HYPERLINK("https://twitter.com/PythonBooks","@PythonBooks")</f>
        <v>@PythonBooks</v>
      </c>
      <c r="C2355" s="10" t="s">
        <v>267</v>
      </c>
      <c r="D2355" s="10" t="s">
        <v>3038</v>
      </c>
      <c r="E2355" s="11" t="str">
        <f>HYPERLINK("https://twitter.com/PythonBooks/status/703190803447992321","703190803447992321")</f>
        <v>703190803447992321</v>
      </c>
      <c r="F2355" s="12" t="s">
        <v>20</v>
      </c>
      <c r="G2355" s="13">
        <v>20.0</v>
      </c>
      <c r="H2355" s="13">
        <v>70.0</v>
      </c>
      <c r="I2355" s="13">
        <v>4.0</v>
      </c>
      <c r="J2355" s="13">
        <v>0.0</v>
      </c>
      <c r="K2355" s="12" t="s">
        <v>21</v>
      </c>
      <c r="L2355" s="7">
        <v>42424.13631944444</v>
      </c>
      <c r="M2355" s="14" t="s">
        <v>269</v>
      </c>
      <c r="N2355" s="14" t="s">
        <v>270</v>
      </c>
      <c r="O2355" s="11" t="str">
        <f t="shared" ref="O2355:O2359" si="250">HYPERLINK("https://pbs.twimg.com/profile_images/702455638157168640/AeDgtn0C_normal.jpg","View")</f>
        <v>View</v>
      </c>
      <c r="P2355" s="15"/>
    </row>
    <row r="2356">
      <c r="A2356" s="7">
        <v>42426.175162037034</v>
      </c>
      <c r="B2356" s="8" t="str">
        <f t="shared" si="249"/>
        <v>@PythonBooks</v>
      </c>
      <c r="C2356" s="10" t="s">
        <v>267</v>
      </c>
      <c r="D2356" s="10" t="s">
        <v>4963</v>
      </c>
      <c r="E2356" s="11" t="str">
        <f>HYPERLINK("https://twitter.com/PythonBooks/status/703190834322259969","703190834322259969")</f>
        <v>703190834322259969</v>
      </c>
      <c r="F2356" s="12" t="s">
        <v>20</v>
      </c>
      <c r="G2356" s="13">
        <v>20.0</v>
      </c>
      <c r="H2356" s="13">
        <v>70.0</v>
      </c>
      <c r="I2356" s="13">
        <v>12.0</v>
      </c>
      <c r="J2356" s="13">
        <v>0.0</v>
      </c>
      <c r="K2356" s="12" t="s">
        <v>21</v>
      </c>
      <c r="L2356" s="7">
        <v>42424.13631944444</v>
      </c>
      <c r="M2356" s="14" t="s">
        <v>269</v>
      </c>
      <c r="N2356" s="14" t="s">
        <v>270</v>
      </c>
      <c r="O2356" s="11" t="str">
        <f t="shared" si="250"/>
        <v>View</v>
      </c>
      <c r="P2356" s="15"/>
    </row>
    <row r="2357">
      <c r="A2357" s="7">
        <v>42426.17527777777</v>
      </c>
      <c r="B2357" s="8" t="str">
        <f t="shared" si="249"/>
        <v>@PythonBooks</v>
      </c>
      <c r="C2357" s="10" t="s">
        <v>267</v>
      </c>
      <c r="D2357" s="10" t="s">
        <v>4964</v>
      </c>
      <c r="E2357" s="11" t="str">
        <f>HYPERLINK("https://twitter.com/PythonBooks/status/703190877238403072","703190877238403072")</f>
        <v>703190877238403072</v>
      </c>
      <c r="F2357" s="12" t="s">
        <v>20</v>
      </c>
      <c r="G2357" s="13">
        <v>20.0</v>
      </c>
      <c r="H2357" s="13">
        <v>70.0</v>
      </c>
      <c r="I2357" s="13">
        <v>6.0</v>
      </c>
      <c r="J2357" s="13">
        <v>0.0</v>
      </c>
      <c r="K2357" s="12" t="s">
        <v>21</v>
      </c>
      <c r="L2357" s="7">
        <v>42424.13631944444</v>
      </c>
      <c r="M2357" s="14" t="s">
        <v>269</v>
      </c>
      <c r="N2357" s="14" t="s">
        <v>270</v>
      </c>
      <c r="O2357" s="11" t="str">
        <f t="shared" si="250"/>
        <v>View</v>
      </c>
      <c r="P2357" s="15"/>
    </row>
    <row r="2358">
      <c r="A2358" s="7">
        <v>42426.17565972223</v>
      </c>
      <c r="B2358" s="8" t="str">
        <f t="shared" si="249"/>
        <v>@PythonBooks</v>
      </c>
      <c r="C2358" s="10" t="s">
        <v>267</v>
      </c>
      <c r="D2358" s="10" t="s">
        <v>4965</v>
      </c>
      <c r="E2358" s="11" t="str">
        <f>HYPERLINK("https://twitter.com/PythonBooks/status/703191013872025600","703191013872025600")</f>
        <v>703191013872025600</v>
      </c>
      <c r="F2358" s="12" t="s">
        <v>20</v>
      </c>
      <c r="G2358" s="13">
        <v>20.0</v>
      </c>
      <c r="H2358" s="13">
        <v>70.0</v>
      </c>
      <c r="I2358" s="13">
        <v>1.0</v>
      </c>
      <c r="J2358" s="13">
        <v>0.0</v>
      </c>
      <c r="K2358" s="12" t="s">
        <v>21</v>
      </c>
      <c r="L2358" s="7">
        <v>42424.13631944444</v>
      </c>
      <c r="M2358" s="14" t="s">
        <v>269</v>
      </c>
      <c r="N2358" s="14" t="s">
        <v>270</v>
      </c>
      <c r="O2358" s="11" t="str">
        <f t="shared" si="250"/>
        <v>View</v>
      </c>
      <c r="P2358" s="15"/>
    </row>
    <row r="2359">
      <c r="A2359" s="7">
        <v>42426.17571759259</v>
      </c>
      <c r="B2359" s="8" t="str">
        <f t="shared" si="249"/>
        <v>@PythonBooks</v>
      </c>
      <c r="C2359" s="10" t="s">
        <v>267</v>
      </c>
      <c r="D2359" s="10" t="s">
        <v>4966</v>
      </c>
      <c r="E2359" s="11" t="str">
        <f>HYPERLINK("https://twitter.com/PythonBooks/status/703191037209157632","703191037209157632")</f>
        <v>703191037209157632</v>
      </c>
      <c r="F2359" s="12" t="s">
        <v>20</v>
      </c>
      <c r="G2359" s="13">
        <v>20.0</v>
      </c>
      <c r="H2359" s="13">
        <v>70.0</v>
      </c>
      <c r="I2359" s="13">
        <v>1.0</v>
      </c>
      <c r="J2359" s="13">
        <v>0.0</v>
      </c>
      <c r="K2359" s="12" t="s">
        <v>21</v>
      </c>
      <c r="L2359" s="7">
        <v>42424.13631944444</v>
      </c>
      <c r="M2359" s="14" t="s">
        <v>269</v>
      </c>
      <c r="N2359" s="14" t="s">
        <v>270</v>
      </c>
      <c r="O2359" s="11" t="str">
        <f t="shared" si="250"/>
        <v>View</v>
      </c>
      <c r="P2359" s="15"/>
    </row>
    <row r="2360">
      <c r="A2360" s="7">
        <v>42426.17584490741</v>
      </c>
      <c r="B2360" s="8" t="str">
        <f>HYPERLINK("https://twitter.com/JoshuaLongUK","@JoshuaLongUK")</f>
        <v>@JoshuaLongUK</v>
      </c>
      <c r="C2360" s="10" t="s">
        <v>101</v>
      </c>
      <c r="D2360" s="10" t="s">
        <v>4967</v>
      </c>
      <c r="E2360" s="11" t="str">
        <f>HYPERLINK("https://twitter.com/JoshuaLongUK/status/703191084923559936","703191084923559936")</f>
        <v>703191084923559936</v>
      </c>
      <c r="F2360" s="12" t="s">
        <v>103</v>
      </c>
      <c r="G2360" s="13">
        <v>25832.0</v>
      </c>
      <c r="H2360" s="13">
        <v>93.0</v>
      </c>
      <c r="I2360" s="13">
        <v>0.0</v>
      </c>
      <c r="J2360" s="13">
        <v>0.0</v>
      </c>
      <c r="K2360" s="12" t="s">
        <v>21</v>
      </c>
      <c r="L2360" s="7">
        <v>41149.39659722222</v>
      </c>
      <c r="M2360" s="14" t="s">
        <v>104</v>
      </c>
      <c r="N2360" s="14" t="s">
        <v>105</v>
      </c>
      <c r="O2360" s="11" t="str">
        <f>HYPERLINK("https://pbs.twimg.com/profile_images/627996138403168256/DaASdgVr_normal.jpg","View")</f>
        <v>View</v>
      </c>
      <c r="P2360" s="15"/>
    </row>
    <row r="2361">
      <c r="A2361" s="7">
        <v>42426.175983796296</v>
      </c>
      <c r="B2361" s="8" t="str">
        <f t="shared" ref="B2361:B2362" si="251">HYPERLINK("https://twitter.com/PythonBooks","@PythonBooks")</f>
        <v>@PythonBooks</v>
      </c>
      <c r="C2361" s="10" t="s">
        <v>267</v>
      </c>
      <c r="D2361" s="10" t="s">
        <v>4968</v>
      </c>
      <c r="E2361" s="11" t="str">
        <f>HYPERLINK("https://twitter.com/PythonBooks/status/703191134823170048","703191134823170048")</f>
        <v>703191134823170048</v>
      </c>
      <c r="F2361" s="12" t="s">
        <v>20</v>
      </c>
      <c r="G2361" s="13">
        <v>20.0</v>
      </c>
      <c r="H2361" s="13">
        <v>70.0</v>
      </c>
      <c r="I2361" s="13">
        <v>2.0</v>
      </c>
      <c r="J2361" s="13">
        <v>0.0</v>
      </c>
      <c r="K2361" s="12" t="s">
        <v>21</v>
      </c>
      <c r="L2361" s="7">
        <v>42424.13631944444</v>
      </c>
      <c r="M2361" s="14" t="s">
        <v>269</v>
      </c>
      <c r="N2361" s="14" t="s">
        <v>270</v>
      </c>
      <c r="O2361" s="11" t="str">
        <f t="shared" ref="O2361:O2362" si="252">HYPERLINK("https://pbs.twimg.com/profile_images/702455638157168640/AeDgtn0C_normal.jpg","View")</f>
        <v>View</v>
      </c>
      <c r="P2361" s="15"/>
    </row>
    <row r="2362">
      <c r="A2362" s="7">
        <v>42426.17612268518</v>
      </c>
      <c r="B2362" s="8" t="str">
        <f t="shared" si="251"/>
        <v>@PythonBooks</v>
      </c>
      <c r="C2362" s="10" t="s">
        <v>267</v>
      </c>
      <c r="D2362" s="10" t="s">
        <v>4969</v>
      </c>
      <c r="E2362" s="11" t="str">
        <f>HYPERLINK("https://twitter.com/PythonBooks/status/703191183267401729","703191183267401729")</f>
        <v>703191183267401729</v>
      </c>
      <c r="F2362" s="12" t="s">
        <v>20</v>
      </c>
      <c r="G2362" s="13">
        <v>20.0</v>
      </c>
      <c r="H2362" s="13">
        <v>70.0</v>
      </c>
      <c r="I2362" s="13">
        <v>1.0</v>
      </c>
      <c r="J2362" s="13">
        <v>0.0</v>
      </c>
      <c r="K2362" s="12" t="s">
        <v>21</v>
      </c>
      <c r="L2362" s="7">
        <v>42424.13631944444</v>
      </c>
      <c r="M2362" s="14" t="s">
        <v>269</v>
      </c>
      <c r="N2362" s="14" t="s">
        <v>270</v>
      </c>
      <c r="O2362" s="11" t="str">
        <f t="shared" si="252"/>
        <v>View</v>
      </c>
      <c r="P2362" s="15"/>
    </row>
    <row r="2363">
      <c r="A2363" s="7">
        <v>42426.17648148148</v>
      </c>
      <c r="B2363" s="8" t="str">
        <f>HYPERLINK("https://twitter.com/AdWordsJobs","@AdWordsJobs")</f>
        <v>@AdWordsJobs</v>
      </c>
      <c r="C2363" s="10" t="s">
        <v>894</v>
      </c>
      <c r="D2363" s="10" t="s">
        <v>4970</v>
      </c>
      <c r="E2363" s="11" t="str">
        <f>HYPERLINK("https://twitter.com/AdWordsJobs/status/703191313546498050","703191313546498050")</f>
        <v>703191313546498050</v>
      </c>
      <c r="F2363" s="17" t="s">
        <v>76</v>
      </c>
      <c r="G2363" s="13">
        <v>238.0</v>
      </c>
      <c r="H2363" s="13">
        <v>12.0</v>
      </c>
      <c r="I2363" s="13">
        <v>0.0</v>
      </c>
      <c r="J2363" s="13">
        <v>0.0</v>
      </c>
      <c r="K2363" s="12" t="s">
        <v>21</v>
      </c>
      <c r="L2363" s="7">
        <v>41412.57059027778</v>
      </c>
      <c r="M2363" s="16"/>
      <c r="N2363" s="14" t="s">
        <v>896</v>
      </c>
      <c r="O2363" s="11" t="str">
        <f>HYPERLINK("https://abs.twimg.com/sticky/default_profile_images/default_profile_1_normal.png","View")</f>
        <v>View</v>
      </c>
      <c r="P2363" s="15"/>
    </row>
    <row r="2364">
      <c r="A2364" s="7">
        <v>42426.17695601852</v>
      </c>
      <c r="B2364" s="8" t="str">
        <f>HYPERLINK("https://twitter.com/wcmckeedotcom","@wcmckeedotcom")</f>
        <v>@wcmckeedotcom</v>
      </c>
      <c r="C2364" s="10" t="s">
        <v>476</v>
      </c>
      <c r="D2364" s="10" t="s">
        <v>4971</v>
      </c>
      <c r="E2364" s="11" t="str">
        <f>HYPERLINK("https://twitter.com/wcmckeedotcom/status/703191485026590721","703191485026590721")</f>
        <v>703191485026590721</v>
      </c>
      <c r="F2364" s="12" t="s">
        <v>478</v>
      </c>
      <c r="G2364" s="13">
        <v>1011.0</v>
      </c>
      <c r="H2364" s="13">
        <v>875.0</v>
      </c>
      <c r="I2364" s="13">
        <v>0.0</v>
      </c>
      <c r="J2364" s="13">
        <v>0.0</v>
      </c>
      <c r="K2364" s="12" t="s">
        <v>21</v>
      </c>
      <c r="L2364" s="7">
        <v>41902.048368055555</v>
      </c>
      <c r="M2364" s="14" t="s">
        <v>479</v>
      </c>
      <c r="N2364" s="14" t="s">
        <v>480</v>
      </c>
      <c r="O2364" s="11" t="str">
        <f>HYPERLINK("https://pbs.twimg.com/profile_images/621211385746161664/tGchJstD_normal.jpg","View")</f>
        <v>View</v>
      </c>
      <c r="P2364" s="15"/>
    </row>
    <row r="2365">
      <c r="A2365" s="7">
        <v>42426.17759259259</v>
      </c>
      <c r="B2365" s="8" t="str">
        <f>HYPERLINK("https://twitter.com/developer_tv","@developer_tv")</f>
        <v>@developer_tv</v>
      </c>
      <c r="C2365" s="10" t="s">
        <v>4972</v>
      </c>
      <c r="D2365" s="10" t="s">
        <v>4973</v>
      </c>
      <c r="E2365" s="11" t="str">
        <f>HYPERLINK("https://twitter.com/developer_tv/status/703191714425675776","703191714425675776")</f>
        <v>703191714425675776</v>
      </c>
      <c r="F2365" s="12" t="s">
        <v>659</v>
      </c>
      <c r="G2365" s="13">
        <v>5888.0</v>
      </c>
      <c r="H2365" s="13">
        <v>6442.0</v>
      </c>
      <c r="I2365" s="13">
        <v>0.0</v>
      </c>
      <c r="J2365" s="13">
        <v>0.0</v>
      </c>
      <c r="K2365" s="12" t="s">
        <v>21</v>
      </c>
      <c r="L2365" s="7">
        <v>42228.991006944445</v>
      </c>
      <c r="M2365" s="16"/>
      <c r="N2365" s="16"/>
      <c r="O2365" s="11" t="str">
        <f>HYPERLINK("https://pbs.twimg.com/profile_images/631719878576074752/x-egaQIl_normal.jpg","View")</f>
        <v>View</v>
      </c>
      <c r="P2365" s="15"/>
    </row>
    <row r="2366">
      <c r="A2366" s="7">
        <v>42426.17811342592</v>
      </c>
      <c r="B2366" s="8" t="str">
        <f>HYPERLINK("https://twitter.com/aengelicc","@aengelicc")</f>
        <v>@aengelicc</v>
      </c>
      <c r="C2366" s="10" t="s">
        <v>3561</v>
      </c>
      <c r="D2366" s="10" t="s">
        <v>4974</v>
      </c>
      <c r="E2366" s="11" t="str">
        <f>HYPERLINK("https://twitter.com/aengelicc/status/703191906658856960","703191906658856960")</f>
        <v>703191906658856960</v>
      </c>
      <c r="F2366" s="12" t="s">
        <v>152</v>
      </c>
      <c r="G2366" s="13">
        <v>887.0</v>
      </c>
      <c r="H2366" s="13">
        <v>1206.0</v>
      </c>
      <c r="I2366" s="13">
        <v>1.0</v>
      </c>
      <c r="J2366" s="13">
        <v>0.0</v>
      </c>
      <c r="K2366" s="12" t="s">
        <v>21</v>
      </c>
      <c r="L2366" s="7">
        <v>41859.483125</v>
      </c>
      <c r="M2366" s="16"/>
      <c r="N2366" s="14" t="s">
        <v>4975</v>
      </c>
      <c r="O2366" s="11" t="str">
        <f>HYPERLINK("https://pbs.twimg.com/profile_images/675379500918677504/VdM3P9GZ_normal.jpg","View")</f>
        <v>View</v>
      </c>
      <c r="P2366" s="15"/>
    </row>
    <row r="2367">
      <c r="A2367" s="7">
        <v>42426.17859953704</v>
      </c>
      <c r="B2367" s="8" t="str">
        <f t="shared" ref="B2367:B2376" si="253">HYPERLINK("https://twitter.com/artwisanggeni","@artwisanggeni")</f>
        <v>@artwisanggeni</v>
      </c>
      <c r="C2367" s="10" t="s">
        <v>74</v>
      </c>
      <c r="D2367" s="10" t="s">
        <v>4976</v>
      </c>
      <c r="E2367" s="11" t="str">
        <f>HYPERLINK("https://twitter.com/artwisanggeni/status/703192083306164224","703192083306164224")</f>
        <v>703192083306164224</v>
      </c>
      <c r="F2367" s="17" t="s">
        <v>76</v>
      </c>
      <c r="G2367" s="13">
        <v>236.0</v>
      </c>
      <c r="H2367" s="13">
        <v>61.0</v>
      </c>
      <c r="I2367" s="13">
        <v>0.0</v>
      </c>
      <c r="J2367" s="13">
        <v>0.0</v>
      </c>
      <c r="K2367" s="12" t="s">
        <v>21</v>
      </c>
      <c r="L2367" s="7">
        <v>41218.90608796296</v>
      </c>
      <c r="M2367" s="14" t="s">
        <v>77</v>
      </c>
      <c r="N2367" s="14" t="s">
        <v>78</v>
      </c>
      <c r="O2367" s="11" t="str">
        <f t="shared" ref="O2367:O2376" si="254">HYPERLINK("https://pbs.twimg.com/profile_images/2813636657/599521f69e2bc210a57323b64d8e39e6_normal.jpeg","View")</f>
        <v>View</v>
      </c>
      <c r="P2367" s="15"/>
    </row>
    <row r="2368">
      <c r="A2368" s="7">
        <v>42426.178611111114</v>
      </c>
      <c r="B2368" s="8" t="str">
        <f t="shared" si="253"/>
        <v>@artwisanggeni</v>
      </c>
      <c r="C2368" s="10" t="s">
        <v>74</v>
      </c>
      <c r="D2368" s="10" t="s">
        <v>4977</v>
      </c>
      <c r="E2368" s="11" t="str">
        <f>HYPERLINK("https://twitter.com/artwisanggeni/status/703192085873037312","703192085873037312")</f>
        <v>703192085873037312</v>
      </c>
      <c r="F2368" s="17" t="s">
        <v>76</v>
      </c>
      <c r="G2368" s="13">
        <v>236.0</v>
      </c>
      <c r="H2368" s="13">
        <v>61.0</v>
      </c>
      <c r="I2368" s="13">
        <v>0.0</v>
      </c>
      <c r="J2368" s="13">
        <v>0.0</v>
      </c>
      <c r="K2368" s="12" t="s">
        <v>21</v>
      </c>
      <c r="L2368" s="7">
        <v>41218.90608796296</v>
      </c>
      <c r="M2368" s="14" t="s">
        <v>77</v>
      </c>
      <c r="N2368" s="14" t="s">
        <v>78</v>
      </c>
      <c r="O2368" s="11" t="str">
        <f t="shared" si="254"/>
        <v>View</v>
      </c>
      <c r="P2368" s="15"/>
    </row>
    <row r="2369">
      <c r="A2369" s="7">
        <v>42426.17865740741</v>
      </c>
      <c r="B2369" s="8" t="str">
        <f t="shared" si="253"/>
        <v>@artwisanggeni</v>
      </c>
      <c r="C2369" s="10" t="s">
        <v>74</v>
      </c>
      <c r="D2369" s="10" t="s">
        <v>4978</v>
      </c>
      <c r="E2369" s="11" t="str">
        <f>HYPERLINK("https://twitter.com/artwisanggeni/status/703192100263710725","703192100263710725")</f>
        <v>703192100263710725</v>
      </c>
      <c r="F2369" s="17" t="s">
        <v>76</v>
      </c>
      <c r="G2369" s="13">
        <v>236.0</v>
      </c>
      <c r="H2369" s="13">
        <v>61.0</v>
      </c>
      <c r="I2369" s="13">
        <v>0.0</v>
      </c>
      <c r="J2369" s="13">
        <v>0.0</v>
      </c>
      <c r="K2369" s="12" t="s">
        <v>21</v>
      </c>
      <c r="L2369" s="7">
        <v>41218.90608796296</v>
      </c>
      <c r="M2369" s="14" t="s">
        <v>77</v>
      </c>
      <c r="N2369" s="14" t="s">
        <v>78</v>
      </c>
      <c r="O2369" s="11" t="str">
        <f t="shared" si="254"/>
        <v>View</v>
      </c>
      <c r="P2369" s="15"/>
    </row>
    <row r="2370">
      <c r="A2370" s="7">
        <v>42426.17865740741</v>
      </c>
      <c r="B2370" s="8" t="str">
        <f t="shared" si="253"/>
        <v>@artwisanggeni</v>
      </c>
      <c r="C2370" s="10" t="s">
        <v>74</v>
      </c>
      <c r="D2370" s="10" t="s">
        <v>4979</v>
      </c>
      <c r="E2370" s="11" t="str">
        <f>HYPERLINK("https://twitter.com/artwisanggeni/status/703192102797086720","703192102797086720")</f>
        <v>703192102797086720</v>
      </c>
      <c r="F2370" s="17" t="s">
        <v>76</v>
      </c>
      <c r="G2370" s="13">
        <v>236.0</v>
      </c>
      <c r="H2370" s="13">
        <v>61.0</v>
      </c>
      <c r="I2370" s="13">
        <v>0.0</v>
      </c>
      <c r="J2370" s="13">
        <v>0.0</v>
      </c>
      <c r="K2370" s="12" t="s">
        <v>21</v>
      </c>
      <c r="L2370" s="7">
        <v>41218.90608796296</v>
      </c>
      <c r="M2370" s="14" t="s">
        <v>77</v>
      </c>
      <c r="N2370" s="14" t="s">
        <v>78</v>
      </c>
      <c r="O2370" s="11" t="str">
        <f t="shared" si="254"/>
        <v>View</v>
      </c>
      <c r="P2370" s="15"/>
    </row>
    <row r="2371">
      <c r="A2371" s="7">
        <v>42426.178668981476</v>
      </c>
      <c r="B2371" s="8" t="str">
        <f t="shared" si="253"/>
        <v>@artwisanggeni</v>
      </c>
      <c r="C2371" s="10" t="s">
        <v>74</v>
      </c>
      <c r="D2371" s="10" t="s">
        <v>4980</v>
      </c>
      <c r="E2371" s="11" t="str">
        <f>HYPERLINK("https://twitter.com/artwisanggeni/status/703192105280151552","703192105280151552")</f>
        <v>703192105280151552</v>
      </c>
      <c r="F2371" s="17" t="s">
        <v>76</v>
      </c>
      <c r="G2371" s="13">
        <v>236.0</v>
      </c>
      <c r="H2371" s="13">
        <v>61.0</v>
      </c>
      <c r="I2371" s="13">
        <v>0.0</v>
      </c>
      <c r="J2371" s="13">
        <v>0.0</v>
      </c>
      <c r="K2371" s="12" t="s">
        <v>21</v>
      </c>
      <c r="L2371" s="7">
        <v>41218.90608796296</v>
      </c>
      <c r="M2371" s="14" t="s">
        <v>77</v>
      </c>
      <c r="N2371" s="14" t="s">
        <v>78</v>
      </c>
      <c r="O2371" s="11" t="str">
        <f t="shared" si="254"/>
        <v>View</v>
      </c>
      <c r="P2371" s="15"/>
    </row>
    <row r="2372">
      <c r="A2372" s="7">
        <v>42426.178668981476</v>
      </c>
      <c r="B2372" s="8" t="str">
        <f t="shared" si="253"/>
        <v>@artwisanggeni</v>
      </c>
      <c r="C2372" s="10" t="s">
        <v>74</v>
      </c>
      <c r="D2372" s="10" t="s">
        <v>4981</v>
      </c>
      <c r="E2372" s="11" t="str">
        <f>HYPERLINK("https://twitter.com/artwisanggeni/status/703192107641495553","703192107641495553")</f>
        <v>703192107641495553</v>
      </c>
      <c r="F2372" s="17" t="s">
        <v>76</v>
      </c>
      <c r="G2372" s="13">
        <v>236.0</v>
      </c>
      <c r="H2372" s="13">
        <v>61.0</v>
      </c>
      <c r="I2372" s="13">
        <v>0.0</v>
      </c>
      <c r="J2372" s="13">
        <v>0.0</v>
      </c>
      <c r="K2372" s="12" t="s">
        <v>21</v>
      </c>
      <c r="L2372" s="7">
        <v>41218.90608796296</v>
      </c>
      <c r="M2372" s="14" t="s">
        <v>77</v>
      </c>
      <c r="N2372" s="14" t="s">
        <v>78</v>
      </c>
      <c r="O2372" s="11" t="str">
        <f t="shared" si="254"/>
        <v>View</v>
      </c>
      <c r="P2372" s="15"/>
    </row>
    <row r="2373">
      <c r="A2373" s="7">
        <v>42426.17868055556</v>
      </c>
      <c r="B2373" s="8" t="str">
        <f t="shared" si="253"/>
        <v>@artwisanggeni</v>
      </c>
      <c r="C2373" s="10" t="s">
        <v>74</v>
      </c>
      <c r="D2373" s="10" t="s">
        <v>4982</v>
      </c>
      <c r="E2373" s="11" t="str">
        <f>HYPERLINK("https://twitter.com/artwisanggeni/status/703192109822513152","703192109822513152")</f>
        <v>703192109822513152</v>
      </c>
      <c r="F2373" s="17" t="s">
        <v>76</v>
      </c>
      <c r="G2373" s="13">
        <v>236.0</v>
      </c>
      <c r="H2373" s="13">
        <v>61.0</v>
      </c>
      <c r="I2373" s="13">
        <v>0.0</v>
      </c>
      <c r="J2373" s="13">
        <v>0.0</v>
      </c>
      <c r="K2373" s="12" t="s">
        <v>21</v>
      </c>
      <c r="L2373" s="7">
        <v>41218.90608796296</v>
      </c>
      <c r="M2373" s="14" t="s">
        <v>77</v>
      </c>
      <c r="N2373" s="14" t="s">
        <v>78</v>
      </c>
      <c r="O2373" s="11" t="str">
        <f t="shared" si="254"/>
        <v>View</v>
      </c>
      <c r="P2373" s="15"/>
    </row>
    <row r="2374">
      <c r="A2374" s="7">
        <v>42426.17868055556</v>
      </c>
      <c r="B2374" s="8" t="str">
        <f t="shared" si="253"/>
        <v>@artwisanggeni</v>
      </c>
      <c r="C2374" s="10" t="s">
        <v>74</v>
      </c>
      <c r="D2374" s="10" t="s">
        <v>4983</v>
      </c>
      <c r="E2374" s="11" t="str">
        <f>HYPERLINK("https://twitter.com/artwisanggeni/status/703192112087461888","703192112087461888")</f>
        <v>703192112087461888</v>
      </c>
      <c r="F2374" s="17" t="s">
        <v>76</v>
      </c>
      <c r="G2374" s="13">
        <v>236.0</v>
      </c>
      <c r="H2374" s="13">
        <v>61.0</v>
      </c>
      <c r="I2374" s="13">
        <v>0.0</v>
      </c>
      <c r="J2374" s="13">
        <v>0.0</v>
      </c>
      <c r="K2374" s="12" t="s">
        <v>21</v>
      </c>
      <c r="L2374" s="7">
        <v>41218.90608796296</v>
      </c>
      <c r="M2374" s="14" t="s">
        <v>77</v>
      </c>
      <c r="N2374" s="14" t="s">
        <v>78</v>
      </c>
      <c r="O2374" s="11" t="str">
        <f t="shared" si="254"/>
        <v>View</v>
      </c>
      <c r="P2374" s="15"/>
    </row>
    <row r="2375">
      <c r="A2375" s="7">
        <v>42426.17869212963</v>
      </c>
      <c r="B2375" s="8" t="str">
        <f t="shared" si="253"/>
        <v>@artwisanggeni</v>
      </c>
      <c r="C2375" s="10" t="s">
        <v>74</v>
      </c>
      <c r="D2375" s="10" t="s">
        <v>4984</v>
      </c>
      <c r="E2375" s="11" t="str">
        <f>HYPERLINK("https://twitter.com/artwisanggeni/status/703192114625024005","703192114625024005")</f>
        <v>703192114625024005</v>
      </c>
      <c r="F2375" s="17" t="s">
        <v>76</v>
      </c>
      <c r="G2375" s="13">
        <v>236.0</v>
      </c>
      <c r="H2375" s="13">
        <v>61.0</v>
      </c>
      <c r="I2375" s="13">
        <v>0.0</v>
      </c>
      <c r="J2375" s="13">
        <v>0.0</v>
      </c>
      <c r="K2375" s="12" t="s">
        <v>21</v>
      </c>
      <c r="L2375" s="7">
        <v>41218.90608796296</v>
      </c>
      <c r="M2375" s="14" t="s">
        <v>77</v>
      </c>
      <c r="N2375" s="14" t="s">
        <v>78</v>
      </c>
      <c r="O2375" s="11" t="str">
        <f t="shared" si="254"/>
        <v>View</v>
      </c>
      <c r="P2375" s="15"/>
    </row>
    <row r="2376">
      <c r="A2376" s="7">
        <v>42426.1787037037</v>
      </c>
      <c r="B2376" s="8" t="str">
        <f t="shared" si="253"/>
        <v>@artwisanggeni</v>
      </c>
      <c r="C2376" s="10" t="s">
        <v>74</v>
      </c>
      <c r="D2376" s="10" t="s">
        <v>4985</v>
      </c>
      <c r="E2376" s="11" t="str">
        <f>HYPERLINK("https://twitter.com/artwisanggeni/status/703192117795893248","703192117795893248")</f>
        <v>703192117795893248</v>
      </c>
      <c r="F2376" s="17" t="s">
        <v>76</v>
      </c>
      <c r="G2376" s="13">
        <v>236.0</v>
      </c>
      <c r="H2376" s="13">
        <v>61.0</v>
      </c>
      <c r="I2376" s="13">
        <v>0.0</v>
      </c>
      <c r="J2376" s="13">
        <v>0.0</v>
      </c>
      <c r="K2376" s="12" t="s">
        <v>21</v>
      </c>
      <c r="L2376" s="7">
        <v>41218.90608796296</v>
      </c>
      <c r="M2376" s="14" t="s">
        <v>77</v>
      </c>
      <c r="N2376" s="14" t="s">
        <v>78</v>
      </c>
      <c r="O2376" s="11" t="str">
        <f t="shared" si="254"/>
        <v>View</v>
      </c>
      <c r="P2376" s="15"/>
    </row>
    <row r="2377">
      <c r="A2377" s="7">
        <v>42426.18091435185</v>
      </c>
      <c r="B2377" s="8" t="str">
        <f>HYPERLINK("https://twitter.com/HarriSrivastav","@HarriSrivastav")</f>
        <v>@HarriSrivastav</v>
      </c>
      <c r="C2377" s="10" t="s">
        <v>3808</v>
      </c>
      <c r="D2377" s="10" t="s">
        <v>4986</v>
      </c>
      <c r="E2377" s="11" t="str">
        <f>HYPERLINK("https://twitter.com/HarriSrivastav/status/703192922011934720","703192922011934720")</f>
        <v>703192922011934720</v>
      </c>
      <c r="F2377" s="12" t="s">
        <v>659</v>
      </c>
      <c r="G2377" s="13">
        <v>1300.0</v>
      </c>
      <c r="H2377" s="13">
        <v>1282.0</v>
      </c>
      <c r="I2377" s="13">
        <v>1.0</v>
      </c>
      <c r="J2377" s="13">
        <v>1.0</v>
      </c>
      <c r="K2377" s="12" t="s">
        <v>21</v>
      </c>
      <c r="L2377" s="7">
        <v>42173.163125</v>
      </c>
      <c r="M2377" s="14" t="s">
        <v>761</v>
      </c>
      <c r="N2377" s="14" t="s">
        <v>3810</v>
      </c>
      <c r="O2377" s="11" t="str">
        <f>HYPERLINK("https://pbs.twimg.com/profile_images/631722182180102145/d37Eq9sH_normal.jpg","View")</f>
        <v>View</v>
      </c>
      <c r="P2377" s="15"/>
    </row>
    <row r="2378">
      <c r="A2378" s="7">
        <v>42426.180972222224</v>
      </c>
      <c r="B2378" s="8" t="str">
        <f>HYPERLINK("https://twitter.com/dstarod","@dstarod")</f>
        <v>@dstarod</v>
      </c>
      <c r="C2378" s="10" t="s">
        <v>4547</v>
      </c>
      <c r="D2378" s="10" t="s">
        <v>4987</v>
      </c>
      <c r="E2378" s="11" t="str">
        <f>HYPERLINK("https://twitter.com/dstarod/status/703192943151161345","703192943151161345")</f>
        <v>703192943151161345</v>
      </c>
      <c r="F2378" s="12" t="s">
        <v>20</v>
      </c>
      <c r="G2378" s="13">
        <v>56.0</v>
      </c>
      <c r="H2378" s="13">
        <v>43.0</v>
      </c>
      <c r="I2378" s="13">
        <v>0.0</v>
      </c>
      <c r="J2378" s="13">
        <v>2.0</v>
      </c>
      <c r="K2378" s="12" t="s">
        <v>21</v>
      </c>
      <c r="L2378" s="7">
        <v>40541.04112268519</v>
      </c>
      <c r="M2378" s="16"/>
      <c r="N2378" s="14" t="s">
        <v>4549</v>
      </c>
      <c r="O2378" s="11" t="str">
        <f>HYPERLINK("https://pbs.twimg.com/profile_images/582558120532049920/9i7FfU1u_normal.png","View")</f>
        <v>View</v>
      </c>
      <c r="P2378" s="15"/>
    </row>
    <row r="2379">
      <c r="A2379" s="7">
        <v>42426.18172453703</v>
      </c>
      <c r="B2379" s="8" t="str">
        <f>HYPERLINK("https://twitter.com/OTAugustsson","@OTAugustsson")</f>
        <v>@OTAugustsson</v>
      </c>
      <c r="C2379" s="10" t="s">
        <v>4988</v>
      </c>
      <c r="D2379" s="10" t="s">
        <v>4989</v>
      </c>
      <c r="E2379" s="11" t="str">
        <f>HYPERLINK("https://twitter.com/OTAugustsson/status/703193215344578560","703193215344578560")</f>
        <v>703193215344578560</v>
      </c>
      <c r="F2379" s="12" t="s">
        <v>3408</v>
      </c>
      <c r="G2379" s="13">
        <v>729.0</v>
      </c>
      <c r="H2379" s="13">
        <v>2169.0</v>
      </c>
      <c r="I2379" s="13">
        <v>0.0</v>
      </c>
      <c r="J2379" s="13">
        <v>2.0</v>
      </c>
      <c r="K2379" s="12" t="s">
        <v>21</v>
      </c>
      <c r="L2379" s="7">
        <v>40613.664618055554</v>
      </c>
      <c r="M2379" s="14" t="s">
        <v>4990</v>
      </c>
      <c r="N2379" s="14" t="s">
        <v>4991</v>
      </c>
      <c r="O2379" s="11" t="str">
        <f>HYPERLINK("https://pbs.twimg.com/profile_images/647383165254766592/FWaWuGY9_normal.jpg","View")</f>
        <v>View</v>
      </c>
      <c r="P2379" s="15"/>
    </row>
    <row r="2380">
      <c r="A2380" s="7">
        <v>42426.18288194445</v>
      </c>
      <c r="B2380" s="8" t="str">
        <f>HYPERLINK("https://twitter.com/Talent_Digger","@Talent_Digger")</f>
        <v>@Talent_Digger</v>
      </c>
      <c r="C2380" s="10" t="s">
        <v>4992</v>
      </c>
      <c r="D2380" s="10" t="s">
        <v>4993</v>
      </c>
      <c r="E2380" s="11" t="str">
        <f>HYPERLINK("https://twitter.com/Talent_Digger/status/703193632166141953","703193632166141953")</f>
        <v>703193632166141953</v>
      </c>
      <c r="F2380" s="12" t="s">
        <v>20</v>
      </c>
      <c r="G2380" s="13">
        <v>919.0</v>
      </c>
      <c r="H2380" s="13">
        <v>1646.0</v>
      </c>
      <c r="I2380" s="13">
        <v>3.0</v>
      </c>
      <c r="J2380" s="13">
        <v>5.0</v>
      </c>
      <c r="K2380" s="12" t="s">
        <v>21</v>
      </c>
      <c r="L2380" s="7">
        <v>41903.52605324074</v>
      </c>
      <c r="M2380" s="14" t="s">
        <v>489</v>
      </c>
      <c r="N2380" s="14" t="s">
        <v>4994</v>
      </c>
      <c r="O2380" s="11" t="str">
        <f>HYPERLINK("https://pbs.twimg.com/profile_images/640594278847279104/OF1T85mR_normal.jpg","View")</f>
        <v>View</v>
      </c>
      <c r="P2380" s="15"/>
    </row>
    <row r="2381">
      <c r="A2381" s="7">
        <v>42426.18405092593</v>
      </c>
      <c r="B2381" s="8" t="str">
        <f>HYPERLINK("https://twitter.com/DCKY86","@DCKY86")</f>
        <v>@DCKY86</v>
      </c>
      <c r="C2381" s="10" t="s">
        <v>4995</v>
      </c>
      <c r="D2381" s="10" t="s">
        <v>4996</v>
      </c>
      <c r="E2381" s="11" t="str">
        <f>HYPERLINK("https://twitter.com/DCKY86/status/703194056311046145","703194056311046145")</f>
        <v>703194056311046145</v>
      </c>
      <c r="F2381" s="12" t="s">
        <v>450</v>
      </c>
      <c r="G2381" s="13">
        <v>318.0</v>
      </c>
      <c r="H2381" s="13">
        <v>97.0</v>
      </c>
      <c r="I2381" s="13">
        <v>0.0</v>
      </c>
      <c r="J2381" s="13">
        <v>0.0</v>
      </c>
      <c r="K2381" s="12" t="s">
        <v>21</v>
      </c>
      <c r="L2381" s="7">
        <v>40214.984664351854</v>
      </c>
      <c r="M2381" s="14" t="s">
        <v>4997</v>
      </c>
      <c r="N2381" s="16"/>
      <c r="O2381" s="11" t="str">
        <f>HYPERLINK("https://pbs.twimg.com/profile_images/3666257655/51434580187368bcd75e9d519596fcb6_normal.jpeg","View")</f>
        <v>View</v>
      </c>
      <c r="P2381" s="15"/>
    </row>
    <row r="2382">
      <c r="A2382" s="7">
        <v>42426.18429398148</v>
      </c>
      <c r="B2382" s="8" t="str">
        <f>HYPERLINK("https://twitter.com/RashmiRnSethy","@RashmiRnSethy")</f>
        <v>@RashmiRnSethy</v>
      </c>
      <c r="C2382" s="10" t="s">
        <v>3832</v>
      </c>
      <c r="D2382" s="10" t="s">
        <v>4998</v>
      </c>
      <c r="E2382" s="11" t="str">
        <f>HYPERLINK("https://twitter.com/RashmiRnSethy/status/703194144391327744","703194144391327744")</f>
        <v>703194144391327744</v>
      </c>
      <c r="F2382" s="12" t="s">
        <v>236</v>
      </c>
      <c r="G2382" s="13">
        <v>1667.0</v>
      </c>
      <c r="H2382" s="13">
        <v>1593.0</v>
      </c>
      <c r="I2382" s="13">
        <v>0.0</v>
      </c>
      <c r="J2382" s="13">
        <v>0.0</v>
      </c>
      <c r="K2382" s="12" t="s">
        <v>21</v>
      </c>
      <c r="L2382" s="7">
        <v>40155.82634259259</v>
      </c>
      <c r="M2382" s="14" t="s">
        <v>34</v>
      </c>
      <c r="N2382" s="14" t="s">
        <v>3834</v>
      </c>
      <c r="O2382" s="11" t="str">
        <f>HYPERLINK("https://pbs.twimg.com/profile_images/507769924001878016/UsRwSg_A_normal.jpeg","View")</f>
        <v>View</v>
      </c>
      <c r="P2382" s="15"/>
    </row>
    <row r="2383">
      <c r="A2383" s="7">
        <v>42426.18547453704</v>
      </c>
      <c r="B2383" s="8" t="str">
        <f>HYPERLINK("https://twitter.com/Pvalsfr","@Pvalsfr")</f>
        <v>@Pvalsfr</v>
      </c>
      <c r="C2383" s="10" t="s">
        <v>771</v>
      </c>
      <c r="D2383" s="10" t="s">
        <v>4999</v>
      </c>
      <c r="E2383" s="11" t="str">
        <f>HYPERLINK("https://twitter.com/Pvalsfr/status/703194573774827520","703194573774827520")</f>
        <v>703194573774827520</v>
      </c>
      <c r="F2383" s="12" t="s">
        <v>152</v>
      </c>
      <c r="G2383" s="13">
        <v>1045.0</v>
      </c>
      <c r="H2383" s="13">
        <v>1081.0</v>
      </c>
      <c r="I2383" s="13">
        <v>1.0</v>
      </c>
      <c r="J2383" s="13">
        <v>0.0</v>
      </c>
      <c r="K2383" s="12" t="s">
        <v>21</v>
      </c>
      <c r="L2383" s="7">
        <v>40867.68900462963</v>
      </c>
      <c r="M2383" s="16"/>
      <c r="N2383" s="16"/>
      <c r="O2383" s="11" t="str">
        <f>HYPERLINK("https://abs.twimg.com/sticky/default_profile_images/default_profile_4_normal.png","View")</f>
        <v>View</v>
      </c>
      <c r="P2383" s="15"/>
    </row>
    <row r="2384">
      <c r="A2384" s="7">
        <v>42426.185752314814</v>
      </c>
      <c r="B2384" s="8" t="str">
        <f>HYPERLINK("https://twitter.com/programmingncr","@programmingncr")</f>
        <v>@programmingncr</v>
      </c>
      <c r="C2384" s="10" t="s">
        <v>262</v>
      </c>
      <c r="D2384" s="10" t="s">
        <v>5000</v>
      </c>
      <c r="E2384" s="11" t="str">
        <f>HYPERLINK("https://twitter.com/programmingncr/status/703194675247783936","703194675247783936")</f>
        <v>703194675247783936</v>
      </c>
      <c r="F2384" s="12" t="s">
        <v>103</v>
      </c>
      <c r="G2384" s="13">
        <v>328.0</v>
      </c>
      <c r="H2384" s="13">
        <v>99.0</v>
      </c>
      <c r="I2384" s="13">
        <v>0.0</v>
      </c>
      <c r="J2384" s="13">
        <v>0.0</v>
      </c>
      <c r="K2384" s="12" t="s">
        <v>21</v>
      </c>
      <c r="L2384" s="7">
        <v>42220.86634259259</v>
      </c>
      <c r="M2384" s="14" t="s">
        <v>264</v>
      </c>
      <c r="N2384" s="14" t="s">
        <v>265</v>
      </c>
      <c r="O2384" s="11" t="str">
        <f>HYPERLINK("https://pbs.twimg.com/profile_images/662602436222193664/qKuvsfnG_normal.jpg","View")</f>
        <v>View</v>
      </c>
      <c r="P2384" s="15"/>
    </row>
    <row r="2385">
      <c r="A2385" s="7">
        <v>42426.18583333334</v>
      </c>
      <c r="B2385" s="8" t="str">
        <f>HYPERLINK("https://twitter.com/DCKY86","@DCKY86")</f>
        <v>@DCKY86</v>
      </c>
      <c r="C2385" s="10" t="s">
        <v>4995</v>
      </c>
      <c r="D2385" s="10" t="s">
        <v>5001</v>
      </c>
      <c r="E2385" s="11" t="str">
        <f>HYPERLINK("https://twitter.com/DCKY86/status/703194703035023360","703194703035023360")</f>
        <v>703194703035023360</v>
      </c>
      <c r="F2385" s="12" t="s">
        <v>450</v>
      </c>
      <c r="G2385" s="13">
        <v>318.0</v>
      </c>
      <c r="H2385" s="13">
        <v>97.0</v>
      </c>
      <c r="I2385" s="13">
        <v>0.0</v>
      </c>
      <c r="J2385" s="13">
        <v>0.0</v>
      </c>
      <c r="K2385" s="12" t="s">
        <v>21</v>
      </c>
      <c r="L2385" s="7">
        <v>40214.984664351854</v>
      </c>
      <c r="M2385" s="14" t="s">
        <v>4997</v>
      </c>
      <c r="N2385" s="16"/>
      <c r="O2385" s="11" t="str">
        <f>HYPERLINK("https://pbs.twimg.com/profile_images/3666257655/51434580187368bcd75e9d519596fcb6_normal.jpeg","View")</f>
        <v>View</v>
      </c>
      <c r="P2385" s="15"/>
    </row>
    <row r="2386">
      <c r="A2386" s="7">
        <v>42426.18722222222</v>
      </c>
      <c r="B2386" s="8" t="str">
        <f>HYPERLINK("https://twitter.com/MurrayData","@MurrayData")</f>
        <v>@MurrayData</v>
      </c>
      <c r="C2386" s="10" t="s">
        <v>5002</v>
      </c>
      <c r="D2386" s="10" t="s">
        <v>5003</v>
      </c>
      <c r="E2386" s="11" t="str">
        <f>HYPERLINK("https://twitter.com/MurrayData/status/703195206636556289","703195206636556289")</f>
        <v>703195206636556289</v>
      </c>
      <c r="F2386" s="12" t="s">
        <v>20</v>
      </c>
      <c r="G2386" s="13">
        <v>1792.0</v>
      </c>
      <c r="H2386" s="13">
        <v>2158.0</v>
      </c>
      <c r="I2386" s="13">
        <v>0.0</v>
      </c>
      <c r="J2386" s="13">
        <v>2.0</v>
      </c>
      <c r="K2386" s="12" t="s">
        <v>21</v>
      </c>
      <c r="L2386" s="7">
        <v>40929.439988425926</v>
      </c>
      <c r="M2386" s="14" t="s">
        <v>5004</v>
      </c>
      <c r="N2386" s="14" t="s">
        <v>5005</v>
      </c>
      <c r="O2386" s="11" t="str">
        <f>HYPERLINK("https://pbs.twimg.com/profile_images/668034827661234177/AN0gwMA6_normal.jpg","View")</f>
        <v>View</v>
      </c>
      <c r="P2386" s="15"/>
    </row>
    <row r="2387">
      <c r="A2387" s="7">
        <v>42426.18734953704</v>
      </c>
      <c r="B2387" s="8" t="str">
        <f>HYPERLINK("https://twitter.com/3baal","@3baal")</f>
        <v>@3baal</v>
      </c>
      <c r="C2387" s="10" t="s">
        <v>5006</v>
      </c>
      <c r="D2387" s="10" t="s">
        <v>5007</v>
      </c>
      <c r="E2387" s="11" t="str">
        <f>HYPERLINK("https://twitter.com/3baal/status/703195252308500480","703195252308500480")</f>
        <v>703195252308500480</v>
      </c>
      <c r="F2387" s="12" t="s">
        <v>20</v>
      </c>
      <c r="G2387" s="13">
        <v>445.0</v>
      </c>
      <c r="H2387" s="13">
        <v>343.0</v>
      </c>
      <c r="I2387" s="13">
        <v>0.0</v>
      </c>
      <c r="J2387" s="13">
        <v>1.0</v>
      </c>
      <c r="K2387" s="12" t="s">
        <v>21</v>
      </c>
      <c r="L2387" s="7">
        <v>40472.09075231481</v>
      </c>
      <c r="M2387" s="14" t="s">
        <v>5008</v>
      </c>
      <c r="N2387" s="14" t="s">
        <v>5009</v>
      </c>
      <c r="O2387" s="11" t="str">
        <f>HYPERLINK("https://pbs.twimg.com/profile_images/3510834636/83ecb7b11173e893ec7025b26bad18df_normal.jpeg","View")</f>
        <v>View</v>
      </c>
      <c r="P2387" s="15"/>
    </row>
    <row r="2388">
      <c r="A2388" s="7">
        <v>42426.18751157407</v>
      </c>
      <c r="B2388" s="8" t="str">
        <f>HYPERLINK("https://twitter.com/DeepInTheCode","@DeepInTheCode")</f>
        <v>@DeepInTheCode</v>
      </c>
      <c r="C2388" s="10" t="s">
        <v>716</v>
      </c>
      <c r="D2388" s="10" t="s">
        <v>5010</v>
      </c>
      <c r="E2388" s="11" t="str">
        <f>HYPERLINK("https://twitter.com/DeepInTheCode/status/703195311993389056","703195311993389056")</f>
        <v>703195311993389056</v>
      </c>
      <c r="F2388" s="17" t="s">
        <v>718</v>
      </c>
      <c r="G2388" s="13">
        <v>2813.0</v>
      </c>
      <c r="H2388" s="13">
        <v>1000.0</v>
      </c>
      <c r="I2388" s="13">
        <v>0.0</v>
      </c>
      <c r="J2388" s="13">
        <v>3.0</v>
      </c>
      <c r="K2388" s="12" t="s">
        <v>21</v>
      </c>
      <c r="L2388" s="7">
        <v>40192.37349537037</v>
      </c>
      <c r="M2388" s="14" t="s">
        <v>719</v>
      </c>
      <c r="N2388" s="14" t="s">
        <v>720</v>
      </c>
      <c r="O2388" s="11" t="str">
        <f>HYPERLINK("https://pbs.twimg.com/profile_images/378800000386667255/1ad0c995dc9f694579d374948e6d9923_normal.jpeg","View")</f>
        <v>View</v>
      </c>
      <c r="P2388" s="15"/>
    </row>
    <row r="2389">
      <c r="A2389" s="7">
        <v>42426.187743055554</v>
      </c>
      <c r="B2389" s="8" t="str">
        <f>HYPERLINK("https://twitter.com/BigDataTweetBot","@BigDataTweetBot")</f>
        <v>@BigDataTweetBot</v>
      </c>
      <c r="C2389" s="10" t="s">
        <v>1440</v>
      </c>
      <c r="D2389" s="10" t="s">
        <v>5011</v>
      </c>
      <c r="E2389" s="11" t="str">
        <f>HYPERLINK("https://twitter.com/BigDataTweetBot/status/703195396181508096","703195396181508096")</f>
        <v>703195396181508096</v>
      </c>
      <c r="F2389" s="12" t="s">
        <v>1442</v>
      </c>
      <c r="G2389" s="13">
        <v>8623.0</v>
      </c>
      <c r="H2389" s="13">
        <v>243.0</v>
      </c>
      <c r="I2389" s="13">
        <v>3.0</v>
      </c>
      <c r="J2389" s="13">
        <v>0.0</v>
      </c>
      <c r="K2389" s="12" t="s">
        <v>21</v>
      </c>
      <c r="L2389" s="7">
        <v>42187.77106481481</v>
      </c>
      <c r="M2389" s="16"/>
      <c r="N2389" s="14" t="s">
        <v>1443</v>
      </c>
      <c r="O2389" s="11" t="str">
        <f>HYPERLINK("https://pbs.twimg.com/profile_images/616793252524650496/bQbxJqmz_normal.jpg","View")</f>
        <v>View</v>
      </c>
      <c r="P2389" s="15"/>
    </row>
    <row r="2390">
      <c r="A2390" s="7">
        <v>42426.18900462963</v>
      </c>
      <c r="B2390" s="8" t="str">
        <f>HYPERLINK("https://twitter.com/EricSchles","@EricSchles")</f>
        <v>@EricSchles</v>
      </c>
      <c r="C2390" s="10" t="s">
        <v>3270</v>
      </c>
      <c r="D2390" s="10" t="s">
        <v>3372</v>
      </c>
      <c r="E2390" s="11" t="str">
        <f>HYPERLINK("https://twitter.com/EricSchles/status/703195851682942976","703195851682942976")</f>
        <v>703195851682942976</v>
      </c>
      <c r="F2390" s="12" t="s">
        <v>52</v>
      </c>
      <c r="G2390" s="13">
        <v>903.0</v>
      </c>
      <c r="H2390" s="13">
        <v>1990.0</v>
      </c>
      <c r="I2390" s="13">
        <v>2.0</v>
      </c>
      <c r="J2390" s="13">
        <v>0.0</v>
      </c>
      <c r="K2390" s="12" t="s">
        <v>21</v>
      </c>
      <c r="L2390" s="7">
        <v>40547.634930555556</v>
      </c>
      <c r="M2390" s="16"/>
      <c r="N2390" s="14" t="s">
        <v>3271</v>
      </c>
      <c r="O2390" s="11" t="str">
        <f>HYPERLINK("https://pbs.twimg.com/profile_images/378800000832302106/6d27373ca42fc853aaabdf6d7d719f5f_normal.jpeg","View")</f>
        <v>View</v>
      </c>
      <c r="P2390" s="15"/>
    </row>
    <row r="2391">
      <c r="A2391" s="7">
        <v>42426.18912037037</v>
      </c>
      <c r="B2391" s="8" t="str">
        <f>HYPERLINK("https://twitter.com/_kemar","@_kemar")</f>
        <v>@_kemar</v>
      </c>
      <c r="C2391" s="10" t="s">
        <v>5012</v>
      </c>
      <c r="D2391" s="10" t="s">
        <v>5013</v>
      </c>
      <c r="E2391" s="11" t="str">
        <f>HYPERLINK("https://twitter.com/_kemar/status/703195895559393280","703195895559393280")</f>
        <v>703195895559393280</v>
      </c>
      <c r="F2391" s="12" t="s">
        <v>4109</v>
      </c>
      <c r="G2391" s="13">
        <v>377.0</v>
      </c>
      <c r="H2391" s="13">
        <v>110.0</v>
      </c>
      <c r="I2391" s="13">
        <v>1.0</v>
      </c>
      <c r="J2391" s="13">
        <v>0.0</v>
      </c>
      <c r="K2391" s="12" t="s">
        <v>21</v>
      </c>
      <c r="L2391" s="7">
        <v>39207.075694444444</v>
      </c>
      <c r="M2391" s="14" t="s">
        <v>462</v>
      </c>
      <c r="N2391" s="18" t="s">
        <v>5014</v>
      </c>
      <c r="O2391" s="11" t="str">
        <f>HYPERLINK("https://pbs.twimg.com/profile_images/597312558870167552/e9lRnUdB_normal.png","View")</f>
        <v>View</v>
      </c>
      <c r="P2391" s="15"/>
    </row>
    <row r="2392">
      <c r="A2392" s="7">
        <v>42426.189317129625</v>
      </c>
      <c r="B2392" s="8" t="str">
        <f>HYPERLINK("https://twitter.com/__pythonist__","@__pythonist__")</f>
        <v>@__pythonist__</v>
      </c>
      <c r="C2392" s="10" t="s">
        <v>2523</v>
      </c>
      <c r="D2392" s="10" t="s">
        <v>5015</v>
      </c>
      <c r="E2392" s="11" t="str">
        <f>HYPERLINK("https://twitter.com/__pythonist__/status/703195964597792768","703195964597792768")</f>
        <v>703195964597792768</v>
      </c>
      <c r="F2392" s="12" t="s">
        <v>20</v>
      </c>
      <c r="G2392" s="13">
        <v>206.0</v>
      </c>
      <c r="H2392" s="13">
        <v>422.0</v>
      </c>
      <c r="I2392" s="13">
        <v>1.0</v>
      </c>
      <c r="J2392" s="13">
        <v>0.0</v>
      </c>
      <c r="K2392" s="12" t="s">
        <v>21</v>
      </c>
      <c r="L2392" s="7">
        <v>42184.978634259256</v>
      </c>
      <c r="M2392" s="14" t="s">
        <v>2525</v>
      </c>
      <c r="N2392" s="14" t="s">
        <v>2526</v>
      </c>
      <c r="O2392" s="11" t="str">
        <f>HYPERLINK("https://pbs.twimg.com/profile_images/671078379500658688/PDOMM_Xp_normal.jpg","View")</f>
        <v>View</v>
      </c>
      <c r="P2392" s="15"/>
    </row>
    <row r="2393">
      <c r="A2393" s="7">
        <v>42426.18954861111</v>
      </c>
      <c r="B2393" s="8" t="str">
        <f>HYPERLINK("https://twitter.com/EricSchles","@EricSchles")</f>
        <v>@EricSchles</v>
      </c>
      <c r="C2393" s="10" t="s">
        <v>3270</v>
      </c>
      <c r="D2393" s="10" t="s">
        <v>3368</v>
      </c>
      <c r="E2393" s="11" t="str">
        <f>HYPERLINK("https://twitter.com/EricSchles/status/703196049184313344","703196049184313344")</f>
        <v>703196049184313344</v>
      </c>
      <c r="F2393" s="12" t="s">
        <v>52</v>
      </c>
      <c r="G2393" s="13">
        <v>903.0</v>
      </c>
      <c r="H2393" s="13">
        <v>1990.0</v>
      </c>
      <c r="I2393" s="13">
        <v>10.0</v>
      </c>
      <c r="J2393" s="13">
        <v>0.0</v>
      </c>
      <c r="K2393" s="12" t="s">
        <v>21</v>
      </c>
      <c r="L2393" s="7">
        <v>40547.634930555556</v>
      </c>
      <c r="M2393" s="16"/>
      <c r="N2393" s="14" t="s">
        <v>3271</v>
      </c>
      <c r="O2393" s="11" t="str">
        <f>HYPERLINK("https://pbs.twimg.com/profile_images/378800000832302106/6d27373ca42fc853aaabdf6d7d719f5f_normal.jpeg","View")</f>
        <v>View</v>
      </c>
      <c r="P2393" s="15"/>
    </row>
    <row r="2394">
      <c r="A2394" s="7">
        <v>42426.18969907408</v>
      </c>
      <c r="B2394" s="8" t="str">
        <f>HYPERLINK("https://twitter.com/halfnibble","@halfnibble")</f>
        <v>@halfnibble</v>
      </c>
      <c r="C2394" s="10" t="s">
        <v>5016</v>
      </c>
      <c r="D2394" s="10" t="s">
        <v>5017</v>
      </c>
      <c r="E2394" s="11" t="str">
        <f>HYPERLINK("https://twitter.com/halfnibble/status/703196105467629568","703196105467629568")</f>
        <v>703196105467629568</v>
      </c>
      <c r="F2394" s="12" t="s">
        <v>294</v>
      </c>
      <c r="G2394" s="13">
        <v>143.0</v>
      </c>
      <c r="H2394" s="13">
        <v>145.0</v>
      </c>
      <c r="I2394" s="13">
        <v>0.0</v>
      </c>
      <c r="J2394" s="13">
        <v>1.0</v>
      </c>
      <c r="K2394" s="12" t="s">
        <v>21</v>
      </c>
      <c r="L2394" s="7">
        <v>41238.795578703706</v>
      </c>
      <c r="M2394" s="14" t="s">
        <v>4281</v>
      </c>
      <c r="N2394" s="14" t="s">
        <v>5018</v>
      </c>
      <c r="O2394" s="11" t="str">
        <f>HYPERLINK("https://pbs.twimg.com/profile_images/3106785628/0e8cbe81403799f31a944e284af423bd_normal.jpeg","View")</f>
        <v>View</v>
      </c>
      <c r="P2394" s="15"/>
    </row>
    <row r="2395">
      <c r="A2395" s="7">
        <v>42426.19012731481</v>
      </c>
      <c r="B2395" s="8" t="str">
        <f>HYPERLINK("https://twitter.com/api_echo","@api_echo")</f>
        <v>@api_echo</v>
      </c>
      <c r="C2395" s="10" t="s">
        <v>5019</v>
      </c>
      <c r="D2395" s="10" t="s">
        <v>5020</v>
      </c>
      <c r="E2395" s="11" t="str">
        <f>HYPERLINK("https://twitter.com/api_echo/status/703196258949697536","703196258949697536")</f>
        <v>703196258949697536</v>
      </c>
      <c r="F2395" s="12" t="s">
        <v>52</v>
      </c>
      <c r="G2395" s="13">
        <v>36.0</v>
      </c>
      <c r="H2395" s="13">
        <v>44.0</v>
      </c>
      <c r="I2395" s="13">
        <v>1.0</v>
      </c>
      <c r="J2395" s="13">
        <v>0.0</v>
      </c>
      <c r="K2395" s="12" t="s">
        <v>21</v>
      </c>
      <c r="L2395" s="7">
        <v>42313.838124999995</v>
      </c>
      <c r="M2395" s="16"/>
      <c r="N2395" s="16"/>
      <c r="O2395" s="11" t="str">
        <f>HYPERLINK("https://pbs.twimg.com/profile_images/662481852935053313/_m8t5yD3_normal.jpg","View")</f>
        <v>View</v>
      </c>
      <c r="P2395" s="15"/>
    </row>
    <row r="2396">
      <c r="A2396" s="7">
        <v>42426.190289351856</v>
      </c>
      <c r="B2396" s="8" t="str">
        <f>HYPERLINK("https://twitter.com/py3k","@py3k")</f>
        <v>@py3k</v>
      </c>
      <c r="C2396" s="10" t="s">
        <v>297</v>
      </c>
      <c r="D2396" s="10" t="s">
        <v>5021</v>
      </c>
      <c r="E2396" s="11" t="str">
        <f>HYPERLINK("https://twitter.com/py3k/status/703196316831186944","703196316831186944")</f>
        <v>703196316831186944</v>
      </c>
      <c r="F2396" s="12" t="s">
        <v>299</v>
      </c>
      <c r="G2396" s="13">
        <v>1623.0</v>
      </c>
      <c r="H2396" s="13">
        <v>676.0</v>
      </c>
      <c r="I2396" s="13">
        <v>1.0</v>
      </c>
      <c r="J2396" s="13">
        <v>0.0</v>
      </c>
      <c r="K2396" s="12" t="s">
        <v>21</v>
      </c>
      <c r="L2396" s="7">
        <v>41096.62268518518</v>
      </c>
      <c r="M2396" s="16"/>
      <c r="N2396" s="14" t="s">
        <v>300</v>
      </c>
      <c r="O2396" s="11" t="str">
        <f>HYPERLINK("https://pbs.twimg.com/profile_images/2474433856/p075cerxh0arpea6ceip_normal.png","View")</f>
        <v>View</v>
      </c>
      <c r="P2396" s="15"/>
    </row>
    <row r="2397">
      <c r="A2397" s="7">
        <v>42426.191608796296</v>
      </c>
      <c r="B2397" s="8" t="str">
        <f>HYPERLINK("https://twitter.com/AdamSmitht1","@AdamSmitht1")</f>
        <v>@AdamSmitht1</v>
      </c>
      <c r="C2397" s="10" t="s">
        <v>468</v>
      </c>
      <c r="D2397" s="10" t="s">
        <v>5022</v>
      </c>
      <c r="E2397" s="11" t="str">
        <f>HYPERLINK("https://twitter.com/AdamSmitht1/status/703196794755354624","703196794755354624")</f>
        <v>703196794755354624</v>
      </c>
      <c r="F2397" s="12" t="s">
        <v>103</v>
      </c>
      <c r="G2397" s="13">
        <v>849.0</v>
      </c>
      <c r="H2397" s="13">
        <v>793.0</v>
      </c>
      <c r="I2397" s="13">
        <v>0.0</v>
      </c>
      <c r="J2397" s="13">
        <v>0.0</v>
      </c>
      <c r="K2397" s="12" t="s">
        <v>21</v>
      </c>
      <c r="L2397" s="7">
        <v>42336.12709490741</v>
      </c>
      <c r="M2397" s="14" t="s">
        <v>470</v>
      </c>
      <c r="N2397" s="14" t="s">
        <v>471</v>
      </c>
      <c r="O2397" s="11" t="str">
        <f>HYPERLINK("https://pbs.twimg.com/profile_images/671623862916812800/yGsDKiP4_normal.jpg","View")</f>
        <v>View</v>
      </c>
      <c r="P2397" s="15"/>
    </row>
    <row r="2398">
      <c r="A2398" s="7">
        <v>42426.192245370374</v>
      </c>
      <c r="B2398" s="8" t="str">
        <f>HYPERLINK("https://twitter.com/cool_python","@cool_python")</f>
        <v>@cool_python</v>
      </c>
      <c r="C2398" s="10" t="s">
        <v>249</v>
      </c>
      <c r="D2398" s="10" t="s">
        <v>5023</v>
      </c>
      <c r="E2398" s="11" t="str">
        <f>HYPERLINK("https://twitter.com/cool_python/status/703197024787816448","703197024787816448")</f>
        <v>703197024787816448</v>
      </c>
      <c r="F2398" s="12" t="s">
        <v>251</v>
      </c>
      <c r="G2398" s="13">
        <v>235.0</v>
      </c>
      <c r="H2398" s="13">
        <v>91.0</v>
      </c>
      <c r="I2398" s="13">
        <v>1.0</v>
      </c>
      <c r="J2398" s="13">
        <v>0.0</v>
      </c>
      <c r="K2398" s="12" t="s">
        <v>21</v>
      </c>
      <c r="L2398" s="7">
        <v>42064.325</v>
      </c>
      <c r="M2398" s="14" t="s">
        <v>252</v>
      </c>
      <c r="N2398" s="14" t="s">
        <v>253</v>
      </c>
      <c r="O2398" s="11" t="str">
        <f>HYPERLINK("https://pbs.twimg.com/profile_images/572091631055028224/Pkx__FSB_normal.png","View")</f>
        <v>View</v>
      </c>
      <c r="P2398" s="15"/>
    </row>
    <row r="2399">
      <c r="A2399" s="7">
        <v>42426.192523148144</v>
      </c>
      <c r="B2399" s="8" t="str">
        <f>HYPERLINK("https://twitter.com/gilguilherme","@gilguilherme")</f>
        <v>@gilguilherme</v>
      </c>
      <c r="C2399" s="10" t="s">
        <v>5024</v>
      </c>
      <c r="D2399" s="10" t="s">
        <v>5025</v>
      </c>
      <c r="E2399" s="11" t="str">
        <f>HYPERLINK("https://twitter.com/gilguilherme/status/703197126356914176","703197126356914176")</f>
        <v>703197126356914176</v>
      </c>
      <c r="F2399" s="12" t="s">
        <v>20</v>
      </c>
      <c r="G2399" s="13">
        <v>98.0</v>
      </c>
      <c r="H2399" s="13">
        <v>94.0</v>
      </c>
      <c r="I2399" s="13">
        <v>0.0</v>
      </c>
      <c r="J2399" s="13">
        <v>0.0</v>
      </c>
      <c r="K2399" s="12" t="s">
        <v>21</v>
      </c>
      <c r="L2399" s="7">
        <v>40448.31458333333</v>
      </c>
      <c r="M2399" s="14" t="s">
        <v>5026</v>
      </c>
      <c r="N2399" s="14" t="s">
        <v>5027</v>
      </c>
      <c r="O2399" s="11" t="str">
        <f>HYPERLINK("https://pbs.twimg.com/profile_images/1132461818/gil_web_normal.jpg","View")</f>
        <v>View</v>
      </c>
      <c r="P2399" s="15"/>
    </row>
    <row r="2400">
      <c r="A2400" s="7">
        <v>42426.19341435185</v>
      </c>
      <c r="B2400" s="8" t="str">
        <f>HYPERLINK("https://twitter.com/alarmsBot","@alarmsBot")</f>
        <v>@alarmsBot</v>
      </c>
      <c r="C2400" s="10" t="s">
        <v>5028</v>
      </c>
      <c r="D2400" s="10" t="s">
        <v>4211</v>
      </c>
      <c r="E2400" s="11" t="str">
        <f>HYPERLINK("https://twitter.com/alarmsBot/status/703197448366268416","703197448366268416")</f>
        <v>703197448366268416</v>
      </c>
      <c r="F2400" s="12" t="s">
        <v>152</v>
      </c>
      <c r="G2400" s="13">
        <v>5.0</v>
      </c>
      <c r="H2400" s="13">
        <v>21.0</v>
      </c>
      <c r="I2400" s="13">
        <v>55.0</v>
      </c>
      <c r="J2400" s="13">
        <v>0.0</v>
      </c>
      <c r="K2400" s="12" t="s">
        <v>21</v>
      </c>
      <c r="L2400" s="7">
        <v>42383.122210648144</v>
      </c>
      <c r="M2400" s="16"/>
      <c r="N2400" s="16"/>
      <c r="O2400" s="11" t="str">
        <f>HYPERLINK("https://abs.twimg.com/sticky/default_profile_images/default_profile_3_normal.png","View")</f>
        <v>View</v>
      </c>
      <c r="P2400" s="15"/>
    </row>
    <row r="2401">
      <c r="A2401" s="7">
        <v>42426.19405092593</v>
      </c>
      <c r="B2401" s="8" t="str">
        <f>HYPERLINK("https://twitter.com/russel_winder","@russel_winder")</f>
        <v>@russel_winder</v>
      </c>
      <c r="C2401" s="10" t="s">
        <v>5029</v>
      </c>
      <c r="D2401" s="10" t="s">
        <v>5030</v>
      </c>
      <c r="E2401" s="11" t="str">
        <f>HYPERLINK("https://twitter.com/russel_winder/status/703197681972334592","703197681972334592")</f>
        <v>703197681972334592</v>
      </c>
      <c r="F2401" s="12" t="s">
        <v>659</v>
      </c>
      <c r="G2401" s="13">
        <v>1477.0</v>
      </c>
      <c r="H2401" s="13">
        <v>559.0</v>
      </c>
      <c r="I2401" s="13">
        <v>3.0</v>
      </c>
      <c r="J2401" s="13">
        <v>0.0</v>
      </c>
      <c r="K2401" s="12" t="s">
        <v>21</v>
      </c>
      <c r="L2401" s="7">
        <v>40558.17704861111</v>
      </c>
      <c r="M2401" s="14" t="s">
        <v>489</v>
      </c>
      <c r="N2401" s="14" t="s">
        <v>5031</v>
      </c>
      <c r="O2401" s="11" t="str">
        <f>HYPERLINK("https://pbs.twimg.com/profile_images/1216266877/2006-05-01_500x444_300dpi_q95_normal.jpg","View")</f>
        <v>View</v>
      </c>
      <c r="P2401" s="15"/>
    </row>
    <row r="2402">
      <c r="A2402" s="7">
        <v>42426.194513888884</v>
      </c>
      <c r="B2402" s="8" t="str">
        <f>HYPERLINK("https://twitter.com/Scylardor","@Scylardor")</f>
        <v>@Scylardor</v>
      </c>
      <c r="C2402" s="10" t="s">
        <v>5032</v>
      </c>
      <c r="D2402" s="10" t="s">
        <v>5033</v>
      </c>
      <c r="E2402" s="11" t="str">
        <f>HYPERLINK("https://twitter.com/Scylardor/status/703197850159681536","703197850159681536")</f>
        <v>703197850159681536</v>
      </c>
      <c r="F2402" s="12" t="s">
        <v>20</v>
      </c>
      <c r="G2402" s="13">
        <v>33.0</v>
      </c>
      <c r="H2402" s="13">
        <v>53.0</v>
      </c>
      <c r="I2402" s="13">
        <v>0.0</v>
      </c>
      <c r="J2402" s="13">
        <v>0.0</v>
      </c>
      <c r="K2402" s="12" t="s">
        <v>21</v>
      </c>
      <c r="L2402" s="7">
        <v>41663.55763888889</v>
      </c>
      <c r="M2402" s="14" t="s">
        <v>121</v>
      </c>
      <c r="N2402" s="14" t="s">
        <v>5034</v>
      </c>
      <c r="O2402" s="11" t="str">
        <f>HYPERLINK("https://pbs.twimg.com/profile_images/426835941571837952/2iq2CUk4_normal.png","View")</f>
        <v>View</v>
      </c>
      <c r="P2402" s="15"/>
    </row>
    <row r="2403">
      <c r="A2403" s="7">
        <v>42426.19493055556</v>
      </c>
      <c r="B2403" s="8" t="str">
        <f>HYPERLINK("https://twitter.com/JFPuget","@JFPuget")</f>
        <v>@JFPuget</v>
      </c>
      <c r="C2403" s="10" t="s">
        <v>5035</v>
      </c>
      <c r="D2403" s="10" t="s">
        <v>5036</v>
      </c>
      <c r="E2403" s="11" t="str">
        <f>HYPERLINK("https://twitter.com/JFPuget/status/703198001121009664","703198001121009664")</f>
        <v>703198001121009664</v>
      </c>
      <c r="F2403" s="12" t="s">
        <v>20</v>
      </c>
      <c r="G2403" s="13">
        <v>1839.0</v>
      </c>
      <c r="H2403" s="13">
        <v>967.0</v>
      </c>
      <c r="I2403" s="13">
        <v>3.0</v>
      </c>
      <c r="J2403" s="13">
        <v>1.0</v>
      </c>
      <c r="K2403" s="12" t="s">
        <v>21</v>
      </c>
      <c r="L2403" s="7">
        <v>40993.37931712963</v>
      </c>
      <c r="M2403" s="14" t="s">
        <v>5037</v>
      </c>
      <c r="N2403" s="14" t="s">
        <v>5038</v>
      </c>
      <c r="O2403" s="11" t="str">
        <f>HYPERLINK("https://pbs.twimg.com/profile_images/2065763037/JFP2_normal.jpg","View")</f>
        <v>View</v>
      </c>
      <c r="P2403" s="15"/>
    </row>
    <row r="2404">
      <c r="A2404" s="7">
        <v>42426.195138888885</v>
      </c>
      <c r="B2404" s="8" t="str">
        <f>HYPERLINK("https://twitter.com/cocoacoda","@cocoacoda")</f>
        <v>@cocoacoda</v>
      </c>
      <c r="C2404" s="10" t="s">
        <v>486</v>
      </c>
      <c r="D2404" s="10" t="s">
        <v>5039</v>
      </c>
      <c r="E2404" s="11" t="str">
        <f>HYPERLINK("https://twitter.com/cocoacoda/status/703198074923937792","703198074923937792")</f>
        <v>703198074923937792</v>
      </c>
      <c r="F2404" s="12" t="s">
        <v>488</v>
      </c>
      <c r="G2404" s="13">
        <v>124.0</v>
      </c>
      <c r="H2404" s="13">
        <v>142.0</v>
      </c>
      <c r="I2404" s="13">
        <v>0.0</v>
      </c>
      <c r="J2404" s="13">
        <v>0.0</v>
      </c>
      <c r="K2404" s="12" t="s">
        <v>21</v>
      </c>
      <c r="L2404" s="7">
        <v>40951.29611111111</v>
      </c>
      <c r="M2404" s="14" t="s">
        <v>489</v>
      </c>
      <c r="N2404" s="14" t="s">
        <v>490</v>
      </c>
      <c r="O2404" s="11" t="str">
        <f>HYPERLINK("https://pbs.twimg.com/profile_images/452064440687423488/nbwrKTwP_normal.jpeg","View")</f>
        <v>View</v>
      </c>
      <c r="P2404" s="15"/>
    </row>
    <row r="2405">
      <c r="A2405" s="7">
        <v>42426.19591435185</v>
      </c>
      <c r="B2405" s="8" t="str">
        <f>HYPERLINK("https://twitter.com/pydigest","@pydigest")</f>
        <v>@pydigest</v>
      </c>
      <c r="C2405" s="10" t="s">
        <v>385</v>
      </c>
      <c r="D2405" s="10" t="s">
        <v>5040</v>
      </c>
      <c r="E2405" s="11" t="str">
        <f>HYPERLINK("https://twitter.com/pydigest/status/703198357724991490","703198357724991490")</f>
        <v>703198357724991490</v>
      </c>
      <c r="F2405" s="12" t="s">
        <v>103</v>
      </c>
      <c r="G2405" s="13">
        <v>634.0</v>
      </c>
      <c r="H2405" s="13">
        <v>22.0</v>
      </c>
      <c r="I2405" s="13">
        <v>1.0</v>
      </c>
      <c r="J2405" s="13">
        <v>4.0</v>
      </c>
      <c r="K2405" s="12" t="s">
        <v>21</v>
      </c>
      <c r="L2405" s="7">
        <v>41797.15729166666</v>
      </c>
      <c r="M2405" s="16"/>
      <c r="N2405" s="14" t="s">
        <v>387</v>
      </c>
      <c r="O2405" s="11" t="str">
        <f>HYPERLINK("https://pbs.twimg.com/profile_images/475228702922387457/6gYeuqxD_normal.jpeg","View")</f>
        <v>View</v>
      </c>
      <c r="P2405" s="15"/>
    </row>
    <row r="2406">
      <c r="A2406" s="7">
        <v>42426.196284722224</v>
      </c>
      <c r="B2406" s="8" t="str">
        <f>HYPERLINK("https://twitter.com/TehHarry","@TehHarry")</f>
        <v>@TehHarry</v>
      </c>
      <c r="C2406" s="10" t="s">
        <v>5041</v>
      </c>
      <c r="D2406" s="10" t="s">
        <v>5042</v>
      </c>
      <c r="E2406" s="11" t="str">
        <f>HYPERLINK("https://twitter.com/TehHarry/status/703198489430196224","703198489430196224")</f>
        <v>703198489430196224</v>
      </c>
      <c r="F2406" s="12" t="s">
        <v>240</v>
      </c>
      <c r="G2406" s="13">
        <v>154.0</v>
      </c>
      <c r="H2406" s="13">
        <v>76.0</v>
      </c>
      <c r="I2406" s="13">
        <v>1.0</v>
      </c>
      <c r="J2406" s="13">
        <v>0.0</v>
      </c>
      <c r="K2406" s="12" t="s">
        <v>21</v>
      </c>
      <c r="L2406" s="7">
        <v>40083.69589120371</v>
      </c>
      <c r="M2406" s="16"/>
      <c r="N2406" s="14" t="s">
        <v>5043</v>
      </c>
      <c r="O2406" s="11" t="str">
        <f>HYPERLINK("https://pbs.twimg.com/profile_images/1834601597/Wall-E_normal.jpg","View")</f>
        <v>View</v>
      </c>
      <c r="P2406" s="15"/>
    </row>
    <row r="2407">
      <c r="A2407" s="7">
        <v>42426.196377314816</v>
      </c>
      <c r="B2407" s="8" t="str">
        <f>HYPERLINK("https://twitter.com/unlmtdsmarttech","@unlmtdsmarttech")</f>
        <v>@unlmtdsmarttech</v>
      </c>
      <c r="C2407" s="10" t="s">
        <v>1909</v>
      </c>
      <c r="D2407" s="10" t="s">
        <v>5044</v>
      </c>
      <c r="E2407" s="11" t="str">
        <f>HYPERLINK("https://twitter.com/unlmtdsmarttech/status/703198522145947649","703198522145947649")</f>
        <v>703198522145947649</v>
      </c>
      <c r="F2407" s="12" t="s">
        <v>103</v>
      </c>
      <c r="G2407" s="13">
        <v>1599.0</v>
      </c>
      <c r="H2407" s="13">
        <v>4.0</v>
      </c>
      <c r="I2407" s="13">
        <v>0.0</v>
      </c>
      <c r="J2407" s="13">
        <v>0.0</v>
      </c>
      <c r="K2407" s="12" t="s">
        <v>21</v>
      </c>
      <c r="L2407" s="7">
        <v>42338.778240740736</v>
      </c>
      <c r="M2407" s="16"/>
      <c r="N2407" s="16"/>
      <c r="O2407" s="11" t="str">
        <f>HYPERLINK("https://pbs.twimg.com/profile_images/671525031948652544/gPRky3nV_normal.jpg","View")</f>
        <v>View</v>
      </c>
      <c r="P2407" s="15"/>
    </row>
    <row r="2408">
      <c r="A2408" s="7">
        <v>42426.19668981481</v>
      </c>
      <c r="B2408" s="8" t="str">
        <f>HYPERLINK("https://twitter.com/5610gex","@5610gex")</f>
        <v>@5610gex</v>
      </c>
      <c r="C2408" s="10" t="s">
        <v>5045</v>
      </c>
      <c r="D2408" s="10" t="s">
        <v>4211</v>
      </c>
      <c r="E2408" s="11" t="str">
        <f>HYPERLINK("https://twitter.com/5610gex/status/703198638210572288","703198638210572288")</f>
        <v>703198638210572288</v>
      </c>
      <c r="F2408" s="12" t="s">
        <v>152</v>
      </c>
      <c r="G2408" s="13">
        <v>20.0</v>
      </c>
      <c r="H2408" s="13">
        <v>108.0</v>
      </c>
      <c r="I2408" s="13">
        <v>55.0</v>
      </c>
      <c r="J2408" s="13">
        <v>0.0</v>
      </c>
      <c r="K2408" s="12" t="s">
        <v>21</v>
      </c>
      <c r="L2408" s="7">
        <v>40168.40584490741</v>
      </c>
      <c r="M2408" s="16"/>
      <c r="N2408" s="16"/>
      <c r="O2408" s="11" t="str">
        <f>HYPERLINK("https://pbs.twimg.com/profile_images/497481780752953344/1zPwV6ga_normal.jpeg","View")</f>
        <v>View</v>
      </c>
      <c r="P2408" s="15"/>
    </row>
    <row r="2409">
      <c r="A2409" s="7">
        <v>42426.196747685186</v>
      </c>
      <c r="B2409" s="8" t="str">
        <f>HYPERLINK("https://twitter.com/pycareer","@pycareer")</f>
        <v>@pycareer</v>
      </c>
      <c r="C2409" s="10" t="s">
        <v>5046</v>
      </c>
      <c r="D2409" s="10" t="s">
        <v>5047</v>
      </c>
      <c r="E2409" s="11" t="str">
        <f>HYPERLINK("https://twitter.com/pycareer/status/703198657978437633","703198657978437633")</f>
        <v>703198657978437633</v>
      </c>
      <c r="F2409" s="12" t="s">
        <v>659</v>
      </c>
      <c r="G2409" s="13">
        <v>14.0</v>
      </c>
      <c r="H2409" s="13">
        <v>7.0</v>
      </c>
      <c r="I2409" s="13">
        <v>0.0</v>
      </c>
      <c r="J2409" s="13">
        <v>1.0</v>
      </c>
      <c r="K2409" s="12" t="s">
        <v>21</v>
      </c>
      <c r="L2409" s="7">
        <v>41186.94237268518</v>
      </c>
      <c r="M2409" s="16"/>
      <c r="N2409" s="14" t="s">
        <v>5048</v>
      </c>
      <c r="O2409" s="11" t="str">
        <f>HYPERLINK("https://pbs.twimg.com/profile_images/701128023454588928/Idr3xRMB_normal.png","View")</f>
        <v>View</v>
      </c>
      <c r="P2409" s="15"/>
    </row>
    <row r="2410">
      <c r="A2410" s="7">
        <v>42426.199849537035</v>
      </c>
      <c r="B2410" s="8" t="str">
        <f>HYPERLINK("https://twitter.com/alisonjo2786","@alisonjo2786")</f>
        <v>@alisonjo2786</v>
      </c>
      <c r="C2410" s="10" t="s">
        <v>5049</v>
      </c>
      <c r="D2410" s="10" t="s">
        <v>5050</v>
      </c>
      <c r="E2410" s="11" t="str">
        <f>HYPERLINK("https://twitter.com/alisonjo2786/status/703199781850578944","703199781850578944")</f>
        <v>703199781850578944</v>
      </c>
      <c r="F2410" s="12" t="s">
        <v>152</v>
      </c>
      <c r="G2410" s="13">
        <v>159.0</v>
      </c>
      <c r="H2410" s="13">
        <v>266.0</v>
      </c>
      <c r="I2410" s="13">
        <v>0.0</v>
      </c>
      <c r="J2410" s="13">
        <v>0.0</v>
      </c>
      <c r="K2410" s="12" t="s">
        <v>21</v>
      </c>
      <c r="L2410" s="7">
        <v>39652.57679398148</v>
      </c>
      <c r="M2410" s="16"/>
      <c r="N2410" s="14" t="s">
        <v>5051</v>
      </c>
      <c r="O2410" s="11" t="str">
        <f>HYPERLINK("https://pbs.twimg.com/profile_images/378800000596360619/df4d9a5afecd79145b3c8d9382c97d26_normal.jpeg","View")</f>
        <v>View</v>
      </c>
      <c r="P2410" s="15"/>
    </row>
    <row r="2411">
      <c r="A2411" s="7">
        <v>42426.200266203705</v>
      </c>
      <c r="B2411" s="8" t="str">
        <f>HYPERLINK("https://twitter.com/py3k","@py3k")</f>
        <v>@py3k</v>
      </c>
      <c r="C2411" s="10" t="s">
        <v>297</v>
      </c>
      <c r="D2411" s="10" t="s">
        <v>5052</v>
      </c>
      <c r="E2411" s="11" t="str">
        <f>HYPERLINK("https://twitter.com/py3k/status/703199935060172800","703199935060172800")</f>
        <v>703199935060172800</v>
      </c>
      <c r="F2411" s="12" t="s">
        <v>299</v>
      </c>
      <c r="G2411" s="13">
        <v>1623.0</v>
      </c>
      <c r="H2411" s="13">
        <v>676.0</v>
      </c>
      <c r="I2411" s="13">
        <v>1.0</v>
      </c>
      <c r="J2411" s="13">
        <v>1.0</v>
      </c>
      <c r="K2411" s="12" t="s">
        <v>21</v>
      </c>
      <c r="L2411" s="7">
        <v>41096.62268518518</v>
      </c>
      <c r="M2411" s="16"/>
      <c r="N2411" s="14" t="s">
        <v>300</v>
      </c>
      <c r="O2411" s="11" t="str">
        <f>HYPERLINK("https://pbs.twimg.com/profile_images/2474433856/p075cerxh0arpea6ceip_normal.png","View")</f>
        <v>View</v>
      </c>
      <c r="P2411" s="15"/>
    </row>
    <row r="2412">
      <c r="A2412" s="7">
        <v>42426.20050925926</v>
      </c>
      <c r="B2412" s="8" t="str">
        <f>HYPERLINK("https://twitter.com/Pvalsfr","@Pvalsfr")</f>
        <v>@Pvalsfr</v>
      </c>
      <c r="C2412" s="10" t="s">
        <v>771</v>
      </c>
      <c r="D2412" s="10" t="s">
        <v>4475</v>
      </c>
      <c r="E2412" s="11" t="str">
        <f>HYPERLINK("https://twitter.com/Pvalsfr/status/703200021257129984","703200021257129984")</f>
        <v>703200021257129984</v>
      </c>
      <c r="F2412" s="12" t="s">
        <v>152</v>
      </c>
      <c r="G2412" s="13">
        <v>1045.0</v>
      </c>
      <c r="H2412" s="13">
        <v>1081.0</v>
      </c>
      <c r="I2412" s="13">
        <v>3.0</v>
      </c>
      <c r="J2412" s="13">
        <v>0.0</v>
      </c>
      <c r="K2412" s="12" t="s">
        <v>21</v>
      </c>
      <c r="L2412" s="7">
        <v>40867.68900462963</v>
      </c>
      <c r="M2412" s="16"/>
      <c r="N2412" s="16"/>
      <c r="O2412" s="11" t="str">
        <f>HYPERLINK("https://abs.twimg.com/sticky/default_profile_images/default_profile_4_normal.png","View")</f>
        <v>View</v>
      </c>
      <c r="P2412" s="15"/>
    </row>
    <row r="2413">
      <c r="A2413" s="7">
        <v>42426.20152777778</v>
      </c>
      <c r="B2413" s="8" t="str">
        <f t="shared" ref="B2413:B2417" si="255">HYPERLINK("https://twitter.com/artwisanggeni","@artwisanggeni")</f>
        <v>@artwisanggeni</v>
      </c>
      <c r="C2413" s="10" t="s">
        <v>74</v>
      </c>
      <c r="D2413" s="10" t="s">
        <v>5053</v>
      </c>
      <c r="E2413" s="11" t="str">
        <f>HYPERLINK("https://twitter.com/artwisanggeni/status/703200390804668417","703200390804668417")</f>
        <v>703200390804668417</v>
      </c>
      <c r="F2413" s="17" t="s">
        <v>76</v>
      </c>
      <c r="G2413" s="13">
        <v>236.0</v>
      </c>
      <c r="H2413" s="13">
        <v>61.0</v>
      </c>
      <c r="I2413" s="13">
        <v>0.0</v>
      </c>
      <c r="J2413" s="13">
        <v>0.0</v>
      </c>
      <c r="K2413" s="12" t="s">
        <v>21</v>
      </c>
      <c r="L2413" s="7">
        <v>41218.90608796296</v>
      </c>
      <c r="M2413" s="14" t="s">
        <v>77</v>
      </c>
      <c r="N2413" s="14" t="s">
        <v>78</v>
      </c>
      <c r="O2413" s="11" t="str">
        <f t="shared" ref="O2413:O2417" si="256">HYPERLINK("https://pbs.twimg.com/profile_images/2813636657/599521f69e2bc210a57323b64d8e39e6_normal.jpeg","View")</f>
        <v>View</v>
      </c>
      <c r="P2413" s="15"/>
    </row>
    <row r="2414">
      <c r="A2414" s="7">
        <v>42426.20153935185</v>
      </c>
      <c r="B2414" s="8" t="str">
        <f t="shared" si="255"/>
        <v>@artwisanggeni</v>
      </c>
      <c r="C2414" s="10" t="s">
        <v>74</v>
      </c>
      <c r="D2414" s="10" t="s">
        <v>5054</v>
      </c>
      <c r="E2414" s="11" t="str">
        <f>HYPERLINK("https://twitter.com/artwisanggeni/status/703200396248903682","703200396248903682")</f>
        <v>703200396248903682</v>
      </c>
      <c r="F2414" s="17" t="s">
        <v>76</v>
      </c>
      <c r="G2414" s="13">
        <v>236.0</v>
      </c>
      <c r="H2414" s="13">
        <v>61.0</v>
      </c>
      <c r="I2414" s="13">
        <v>0.0</v>
      </c>
      <c r="J2414" s="13">
        <v>0.0</v>
      </c>
      <c r="K2414" s="12" t="s">
        <v>21</v>
      </c>
      <c r="L2414" s="7">
        <v>41218.90608796296</v>
      </c>
      <c r="M2414" s="14" t="s">
        <v>77</v>
      </c>
      <c r="N2414" s="14" t="s">
        <v>78</v>
      </c>
      <c r="O2414" s="11" t="str">
        <f t="shared" si="256"/>
        <v>View</v>
      </c>
      <c r="P2414" s="15"/>
    </row>
    <row r="2415">
      <c r="A2415" s="7">
        <v>42426.2015625</v>
      </c>
      <c r="B2415" s="8" t="str">
        <f t="shared" si="255"/>
        <v>@artwisanggeni</v>
      </c>
      <c r="C2415" s="10" t="s">
        <v>74</v>
      </c>
      <c r="D2415" s="10" t="s">
        <v>5055</v>
      </c>
      <c r="E2415" s="11" t="str">
        <f>HYPERLINK("https://twitter.com/artwisanggeni/status/703200400887799808","703200400887799808")</f>
        <v>703200400887799808</v>
      </c>
      <c r="F2415" s="17" t="s">
        <v>76</v>
      </c>
      <c r="G2415" s="13">
        <v>236.0</v>
      </c>
      <c r="H2415" s="13">
        <v>61.0</v>
      </c>
      <c r="I2415" s="13">
        <v>0.0</v>
      </c>
      <c r="J2415" s="13">
        <v>0.0</v>
      </c>
      <c r="K2415" s="12" t="s">
        <v>21</v>
      </c>
      <c r="L2415" s="7">
        <v>41218.90608796296</v>
      </c>
      <c r="M2415" s="14" t="s">
        <v>77</v>
      </c>
      <c r="N2415" s="14" t="s">
        <v>78</v>
      </c>
      <c r="O2415" s="11" t="str">
        <f t="shared" si="256"/>
        <v>View</v>
      </c>
      <c r="P2415" s="15"/>
    </row>
    <row r="2416">
      <c r="A2416" s="7">
        <v>42426.201574074075</v>
      </c>
      <c r="B2416" s="8" t="str">
        <f t="shared" si="255"/>
        <v>@artwisanggeni</v>
      </c>
      <c r="C2416" s="10" t="s">
        <v>74</v>
      </c>
      <c r="D2416" s="10" t="s">
        <v>5056</v>
      </c>
      <c r="E2416" s="11" t="str">
        <f>HYPERLINK("https://twitter.com/artwisanggeni/status/703200407128973313","703200407128973313")</f>
        <v>703200407128973313</v>
      </c>
      <c r="F2416" s="17" t="s">
        <v>76</v>
      </c>
      <c r="G2416" s="13">
        <v>236.0</v>
      </c>
      <c r="H2416" s="13">
        <v>61.0</v>
      </c>
      <c r="I2416" s="13">
        <v>0.0</v>
      </c>
      <c r="J2416" s="13">
        <v>0.0</v>
      </c>
      <c r="K2416" s="12" t="s">
        <v>21</v>
      </c>
      <c r="L2416" s="7">
        <v>41218.90608796296</v>
      </c>
      <c r="M2416" s="14" t="s">
        <v>77</v>
      </c>
      <c r="N2416" s="14" t="s">
        <v>78</v>
      </c>
      <c r="O2416" s="11" t="str">
        <f t="shared" si="256"/>
        <v>View</v>
      </c>
      <c r="P2416" s="15"/>
    </row>
    <row r="2417">
      <c r="A2417" s="7">
        <v>42426.201585648145</v>
      </c>
      <c r="B2417" s="8" t="str">
        <f t="shared" si="255"/>
        <v>@artwisanggeni</v>
      </c>
      <c r="C2417" s="10" t="s">
        <v>74</v>
      </c>
      <c r="D2417" s="10" t="s">
        <v>5057</v>
      </c>
      <c r="E2417" s="11" t="str">
        <f>HYPERLINK("https://twitter.com/artwisanggeni/status/703200410937364480","703200410937364480")</f>
        <v>703200410937364480</v>
      </c>
      <c r="F2417" s="17" t="s">
        <v>76</v>
      </c>
      <c r="G2417" s="13">
        <v>236.0</v>
      </c>
      <c r="H2417" s="13">
        <v>61.0</v>
      </c>
      <c r="I2417" s="13">
        <v>0.0</v>
      </c>
      <c r="J2417" s="13">
        <v>0.0</v>
      </c>
      <c r="K2417" s="12" t="s">
        <v>21</v>
      </c>
      <c r="L2417" s="7">
        <v>41218.90608796296</v>
      </c>
      <c r="M2417" s="14" t="s">
        <v>77</v>
      </c>
      <c r="N2417" s="14" t="s">
        <v>78</v>
      </c>
      <c r="O2417" s="11" t="str">
        <f t="shared" si="256"/>
        <v>View</v>
      </c>
      <c r="P2417" s="15"/>
    </row>
    <row r="2418">
      <c r="A2418" s="7">
        <v>42426.20181712963</v>
      </c>
      <c r="B2418" s="8" t="str">
        <f>HYPERLINK("https://twitter.com/CIRCA_StAndrews","@CIRCA_StAndrews")</f>
        <v>@CIRCA_StAndrews</v>
      </c>
      <c r="C2418" s="10" t="s">
        <v>5058</v>
      </c>
      <c r="D2418" s="10" t="s">
        <v>5059</v>
      </c>
      <c r="E2418" s="11" t="str">
        <f>HYPERLINK("https://twitter.com/CIRCA_StAndrews/status/703200494676631552","703200494676631552")</f>
        <v>703200494676631552</v>
      </c>
      <c r="F2418" s="12" t="s">
        <v>98</v>
      </c>
      <c r="G2418" s="13">
        <v>225.0</v>
      </c>
      <c r="H2418" s="13">
        <v>224.0</v>
      </c>
      <c r="I2418" s="13">
        <v>3.0</v>
      </c>
      <c r="J2418" s="13">
        <v>0.0</v>
      </c>
      <c r="K2418" s="12" t="s">
        <v>21</v>
      </c>
      <c r="L2418" s="7">
        <v>42046.50383101852</v>
      </c>
      <c r="M2418" s="14" t="s">
        <v>5060</v>
      </c>
      <c r="N2418" s="14" t="s">
        <v>5061</v>
      </c>
      <c r="O2418" s="11" t="str">
        <f>HYPERLINK("https://pbs.twimg.com/profile_images/565634839013883904/kB5TbwA-_normal.png","View")</f>
        <v>View</v>
      </c>
      <c r="P2418" s="15"/>
    </row>
    <row r="2419">
      <c r="A2419" s="7">
        <v>42426.20185185185</v>
      </c>
      <c r="B2419" s="8" t="str">
        <f>HYPERLINK("https://twitter.com/AdamSmitht1","@AdamSmitht1")</f>
        <v>@AdamSmitht1</v>
      </c>
      <c r="C2419" s="10" t="s">
        <v>468</v>
      </c>
      <c r="D2419" s="10" t="s">
        <v>5062</v>
      </c>
      <c r="E2419" s="11" t="str">
        <f>HYPERLINK("https://twitter.com/AdamSmitht1/status/703200507649777664","703200507649777664")</f>
        <v>703200507649777664</v>
      </c>
      <c r="F2419" s="12" t="s">
        <v>103</v>
      </c>
      <c r="G2419" s="13">
        <v>849.0</v>
      </c>
      <c r="H2419" s="13">
        <v>793.0</v>
      </c>
      <c r="I2419" s="13">
        <v>0.0</v>
      </c>
      <c r="J2419" s="13">
        <v>0.0</v>
      </c>
      <c r="K2419" s="12" t="s">
        <v>21</v>
      </c>
      <c r="L2419" s="7">
        <v>42336.12709490741</v>
      </c>
      <c r="M2419" s="14" t="s">
        <v>470</v>
      </c>
      <c r="N2419" s="14" t="s">
        <v>471</v>
      </c>
      <c r="O2419" s="11" t="str">
        <f>HYPERLINK("https://pbs.twimg.com/profile_images/671623862916812800/yGsDKiP4_normal.jpg","View")</f>
        <v>View</v>
      </c>
      <c r="P2419" s="15"/>
    </row>
    <row r="2420">
      <c r="A2420" s="7">
        <v>42426.201886574076</v>
      </c>
      <c r="B2420" s="8" t="str">
        <f>HYPERLINK("https://twitter.com/py3k","@py3k")</f>
        <v>@py3k</v>
      </c>
      <c r="C2420" s="10" t="s">
        <v>297</v>
      </c>
      <c r="D2420" s="10" t="s">
        <v>5063</v>
      </c>
      <c r="E2420" s="11" t="str">
        <f>HYPERLINK("https://twitter.com/py3k/status/703200522220789760","703200522220789760")</f>
        <v>703200522220789760</v>
      </c>
      <c r="F2420" s="12" t="s">
        <v>299</v>
      </c>
      <c r="G2420" s="13">
        <v>1623.0</v>
      </c>
      <c r="H2420" s="13">
        <v>676.0</v>
      </c>
      <c r="I2420" s="13">
        <v>1.0</v>
      </c>
      <c r="J2420" s="13">
        <v>0.0</v>
      </c>
      <c r="K2420" s="12" t="s">
        <v>21</v>
      </c>
      <c r="L2420" s="7">
        <v>41096.62268518518</v>
      </c>
      <c r="M2420" s="16"/>
      <c r="N2420" s="14" t="s">
        <v>300</v>
      </c>
      <c r="O2420" s="11" t="str">
        <f>HYPERLINK("https://pbs.twimg.com/profile_images/2474433856/p075cerxh0arpea6ceip_normal.png","View")</f>
        <v>View</v>
      </c>
      <c r="P2420" s="15"/>
    </row>
    <row r="2421">
      <c r="A2421" s="7">
        <v>42426.20197916667</v>
      </c>
      <c r="B2421" s="8" t="str">
        <f>HYPERLINK("https://twitter.com/joblinkme","@joblinkme")</f>
        <v>@joblinkme</v>
      </c>
      <c r="C2421" s="10" t="s">
        <v>5064</v>
      </c>
      <c r="D2421" s="10" t="s">
        <v>5065</v>
      </c>
      <c r="E2421" s="11" t="str">
        <f>HYPERLINK("https://twitter.com/joblinkme/status/703200553946316804","703200553946316804")</f>
        <v>703200553946316804</v>
      </c>
      <c r="F2421" s="12" t="s">
        <v>446</v>
      </c>
      <c r="G2421" s="13">
        <v>22.0</v>
      </c>
      <c r="H2421" s="13">
        <v>16.0</v>
      </c>
      <c r="I2421" s="13">
        <v>0.0</v>
      </c>
      <c r="J2421" s="13">
        <v>0.0</v>
      </c>
      <c r="K2421" s="12" t="s">
        <v>21</v>
      </c>
      <c r="L2421" s="7">
        <v>42394.40353009259</v>
      </c>
      <c r="M2421" s="14" t="s">
        <v>104</v>
      </c>
      <c r="N2421" s="14" t="s">
        <v>5066</v>
      </c>
      <c r="O2421" s="11" t="str">
        <f>HYPERLINK("https://pbs.twimg.com/profile_images/691680215874019330/dQWsqhG8_normal.jpg","View")</f>
        <v>View</v>
      </c>
      <c r="P2421" s="15"/>
    </row>
    <row r="2422">
      <c r="A2422" s="7">
        <v>42426.202685185184</v>
      </c>
      <c r="B2422" s="8" t="str">
        <f>HYPERLINK("https://twitter.com/startechwall","@startechwall")</f>
        <v>@startechwall</v>
      </c>
      <c r="C2422" s="10" t="s">
        <v>1478</v>
      </c>
      <c r="D2422" s="10" t="s">
        <v>5067</v>
      </c>
      <c r="E2422" s="11" t="str">
        <f>HYPERLINK("https://twitter.com/startechwall/status/703200809664774145","703200809664774145")</f>
        <v>703200809664774145</v>
      </c>
      <c r="F2422" s="12" t="s">
        <v>103</v>
      </c>
      <c r="G2422" s="13">
        <v>557.0</v>
      </c>
      <c r="H2422" s="13">
        <v>859.0</v>
      </c>
      <c r="I2422" s="13">
        <v>0.0</v>
      </c>
      <c r="J2422" s="13">
        <v>0.0</v>
      </c>
      <c r="K2422" s="12" t="s">
        <v>21</v>
      </c>
      <c r="L2422" s="7">
        <v>42360.959502314814</v>
      </c>
      <c r="M2422" s="14" t="s">
        <v>1480</v>
      </c>
      <c r="N2422" s="14" t="s">
        <v>1481</v>
      </c>
      <c r="O2422" s="11" t="str">
        <f>HYPERLINK("https://pbs.twimg.com/profile_images/679566117187145728/UUo30Zpm_normal.jpg","View")</f>
        <v>View</v>
      </c>
      <c r="P2422" s="15"/>
    </row>
    <row r="2423">
      <c r="A2423" s="7">
        <v>42426.20287037037</v>
      </c>
      <c r="B2423" s="8" t="str">
        <f>HYPERLINK("https://twitter.com/vsatayamas","@vsatayamas")</f>
        <v>@vsatayamas</v>
      </c>
      <c r="C2423" s="10" t="s">
        <v>5068</v>
      </c>
      <c r="D2423" s="10" t="s">
        <v>4211</v>
      </c>
      <c r="E2423" s="11" t="str">
        <f>HYPERLINK("https://twitter.com/vsatayamas/status/703200877373317120","703200877373317120")</f>
        <v>703200877373317120</v>
      </c>
      <c r="F2423" s="12" t="s">
        <v>124</v>
      </c>
      <c r="G2423" s="13">
        <v>891.0</v>
      </c>
      <c r="H2423" s="13">
        <v>179.0</v>
      </c>
      <c r="I2423" s="13">
        <v>55.0</v>
      </c>
      <c r="J2423" s="13">
        <v>0.0</v>
      </c>
      <c r="K2423" s="12" t="s">
        <v>21</v>
      </c>
      <c r="L2423" s="7">
        <v>39378.86481481481</v>
      </c>
      <c r="M2423" s="14" t="s">
        <v>5069</v>
      </c>
      <c r="N2423" s="14" t="s">
        <v>5070</v>
      </c>
      <c r="O2423" s="11" t="str">
        <f>HYPERLINK("https://pbs.twimg.com/profile_images/652770622192287745/tHCGcol4_normal.jpg","View")</f>
        <v>View</v>
      </c>
      <c r="P2423" s="15"/>
    </row>
    <row r="2424">
      <c r="A2424" s="7">
        <v>42426.20300925926</v>
      </c>
      <c r="B2424" s="8" t="str">
        <f>HYPERLINK("https://twitter.com/Think3dPrint3d","@Think3dPrint3d")</f>
        <v>@Think3dPrint3d</v>
      </c>
      <c r="C2424" s="10" t="s">
        <v>5071</v>
      </c>
      <c r="D2424" s="10" t="s">
        <v>3564</v>
      </c>
      <c r="E2424" s="11" t="str">
        <f>HYPERLINK("https://twitter.com/Think3dPrint3d/status/703200926010507265","703200926010507265")</f>
        <v>703200926010507265</v>
      </c>
      <c r="F2424" s="12" t="s">
        <v>152</v>
      </c>
      <c r="G2424" s="13">
        <v>257.0</v>
      </c>
      <c r="H2424" s="13">
        <v>51.0</v>
      </c>
      <c r="I2424" s="13">
        <v>2.0</v>
      </c>
      <c r="J2424" s="13">
        <v>0.0</v>
      </c>
      <c r="K2424" s="12" t="s">
        <v>21</v>
      </c>
      <c r="L2424" s="7">
        <v>41531.209768518514</v>
      </c>
      <c r="M2424" s="14" t="s">
        <v>5072</v>
      </c>
      <c r="N2424" s="14" t="s">
        <v>5073</v>
      </c>
      <c r="O2424" s="11" t="str">
        <f>HYPERLINK("https://pbs.twimg.com/profile_images/378800000638306540/2520440e21b00c5c73a11cd0cdf06102_normal.png","View")</f>
        <v>View</v>
      </c>
      <c r="P2424" s="15"/>
    </row>
    <row r="2425">
      <c r="A2425" s="7">
        <v>42426.20302083333</v>
      </c>
      <c r="B2425" s="8" t="str">
        <f>HYPERLINK("https://twitter.com/pavdmyt","@pavdmyt")</f>
        <v>@pavdmyt</v>
      </c>
      <c r="C2425" s="10" t="s">
        <v>5074</v>
      </c>
      <c r="D2425" s="10" t="s">
        <v>5075</v>
      </c>
      <c r="E2425" s="11" t="str">
        <f>HYPERLINK("https://twitter.com/pavdmyt/status/703200930506928128","703200930506928128")</f>
        <v>703200930506928128</v>
      </c>
      <c r="F2425" s="12" t="s">
        <v>20</v>
      </c>
      <c r="G2425" s="13">
        <v>63.0</v>
      </c>
      <c r="H2425" s="13">
        <v>116.0</v>
      </c>
      <c r="I2425" s="13">
        <v>0.0</v>
      </c>
      <c r="J2425" s="13">
        <v>0.0</v>
      </c>
      <c r="K2425" s="12" t="s">
        <v>21</v>
      </c>
      <c r="L2425" s="7">
        <v>42276.06196759259</v>
      </c>
      <c r="M2425" s="14" t="s">
        <v>3794</v>
      </c>
      <c r="N2425" s="14" t="s">
        <v>5076</v>
      </c>
      <c r="O2425" s="11" t="str">
        <f>HYPERLINK("https://pbs.twimg.com/profile_images/648777888980840448/i1sqh0mw_normal.jpg","View")</f>
        <v>View</v>
      </c>
      <c r="P2425" s="15"/>
    </row>
    <row r="2426">
      <c r="A2426" s="7">
        <v>42426.203622685185</v>
      </c>
      <c r="B2426" s="8" t="str">
        <f>HYPERLINK("https://twitter.com/cesarnogCPS","@cesarnogCPS")</f>
        <v>@cesarnogCPS</v>
      </c>
      <c r="C2426" s="10" t="s">
        <v>1140</v>
      </c>
      <c r="D2426" s="10" t="s">
        <v>5077</v>
      </c>
      <c r="E2426" s="11" t="str">
        <f>HYPERLINK("https://twitter.com/cesarnogCPS/status/703201149537624064","703201149537624064")</f>
        <v>703201149537624064</v>
      </c>
      <c r="F2426" s="12" t="s">
        <v>38</v>
      </c>
      <c r="G2426" s="13">
        <v>1578.0</v>
      </c>
      <c r="H2426" s="13">
        <v>2406.0</v>
      </c>
      <c r="I2426" s="13">
        <v>1.0</v>
      </c>
      <c r="J2426" s="13">
        <v>0.0</v>
      </c>
      <c r="K2426" s="12" t="s">
        <v>21</v>
      </c>
      <c r="L2426" s="7">
        <v>40076.82166666667</v>
      </c>
      <c r="M2426" s="14" t="s">
        <v>1142</v>
      </c>
      <c r="N2426" s="14" t="s">
        <v>1143</v>
      </c>
      <c r="O2426" s="11" t="str">
        <f>HYPERLINK("https://pbs.twimg.com/profile_images/682455128805359617/r4Be4Yll_normal.jpg","View")</f>
        <v>View</v>
      </c>
      <c r="P2426" s="15"/>
    </row>
    <row r="2427">
      <c r="A2427" s="7">
        <v>42426.20453703703</v>
      </c>
      <c r="B2427" s="8" t="str">
        <f>HYPERLINK("https://twitter.com/outsdset","@outsdset")</f>
        <v>@outsdset</v>
      </c>
      <c r="C2427" s="10" t="s">
        <v>5078</v>
      </c>
      <c r="D2427" s="10" t="s">
        <v>4211</v>
      </c>
      <c r="E2427" s="11" t="str">
        <f>HYPERLINK("https://twitter.com/outsdset/status/703201479654404096","703201479654404096")</f>
        <v>703201479654404096</v>
      </c>
      <c r="F2427" s="12" t="s">
        <v>152</v>
      </c>
      <c r="G2427" s="13">
        <v>42.0</v>
      </c>
      <c r="H2427" s="13">
        <v>85.0</v>
      </c>
      <c r="I2427" s="13">
        <v>55.0</v>
      </c>
      <c r="J2427" s="13">
        <v>0.0</v>
      </c>
      <c r="K2427" s="12" t="s">
        <v>21</v>
      </c>
      <c r="L2427" s="7">
        <v>41187.699108796296</v>
      </c>
      <c r="M2427" s="16"/>
      <c r="N2427" s="16"/>
      <c r="O2427" s="11" t="str">
        <f>HYPERLINK("https://pbs.twimg.com/profile_images/571677464486756352/tZddM2mM_normal.jpeg","View")</f>
        <v>View</v>
      </c>
      <c r="P2427" s="15"/>
    </row>
    <row r="2428">
      <c r="A2428" s="7">
        <v>42426.205196759256</v>
      </c>
      <c r="B2428" s="8" t="str">
        <f>HYPERLINK("https://twitter.com/theplafone","@theplafone")</f>
        <v>@theplafone</v>
      </c>
      <c r="C2428" s="10" t="s">
        <v>5079</v>
      </c>
      <c r="D2428" s="10" t="s">
        <v>5080</v>
      </c>
      <c r="E2428" s="11" t="str">
        <f>HYPERLINK("https://twitter.com/theplafone/status/703201717928722432","703201717928722432")</f>
        <v>703201717928722432</v>
      </c>
      <c r="F2428" s="12" t="s">
        <v>20</v>
      </c>
      <c r="G2428" s="13">
        <v>61.0</v>
      </c>
      <c r="H2428" s="13">
        <v>145.0</v>
      </c>
      <c r="I2428" s="13">
        <v>4.0</v>
      </c>
      <c r="J2428" s="13">
        <v>5.0</v>
      </c>
      <c r="K2428" s="12" t="s">
        <v>21</v>
      </c>
      <c r="L2428" s="7">
        <v>40887.27699074074</v>
      </c>
      <c r="M2428" s="16"/>
      <c r="N2428" s="14" t="s">
        <v>5081</v>
      </c>
      <c r="O2428" s="11" t="str">
        <f>HYPERLINK("https://pbs.twimg.com/profile_images/601625897699975168/UNvBEBTA_normal.png","View")</f>
        <v>View</v>
      </c>
      <c r="P2428" s="15"/>
    </row>
    <row r="2429">
      <c r="A2429" s="7">
        <v>42426.20520833333</v>
      </c>
      <c r="B2429" s="8" t="str">
        <f>HYPERLINK("https://twitter.com/complex","@complex")</f>
        <v>@complex</v>
      </c>
      <c r="C2429" s="10" t="s">
        <v>5082</v>
      </c>
      <c r="D2429" s="10" t="s">
        <v>5083</v>
      </c>
      <c r="E2429" s="11" t="str">
        <f>HYPERLINK("https://twitter.com/complex/status/703201723284856832","703201723284856832")</f>
        <v>703201723284856832</v>
      </c>
      <c r="F2429" s="12" t="s">
        <v>20</v>
      </c>
      <c r="G2429" s="13">
        <v>1688.0</v>
      </c>
      <c r="H2429" s="13">
        <v>2141.0</v>
      </c>
      <c r="I2429" s="13">
        <v>0.0</v>
      </c>
      <c r="J2429" s="13">
        <v>0.0</v>
      </c>
      <c r="K2429" s="12" t="s">
        <v>21</v>
      </c>
      <c r="L2429" s="7">
        <v>39133.55783564815</v>
      </c>
      <c r="M2429" s="16"/>
      <c r="N2429" s="14" t="s">
        <v>5084</v>
      </c>
      <c r="O2429" s="11" t="str">
        <f>HYPERLINK("https://pbs.twimg.com/profile_images/783576456/Gleamies_WALLPAPER_by_Barbroute_normal.jpg","View")</f>
        <v>View</v>
      </c>
      <c r="P2429" s="15"/>
    </row>
    <row r="2430">
      <c r="A2430" s="7">
        <v>42426.205289351856</v>
      </c>
      <c r="B2430" s="8" t="str">
        <f t="shared" ref="B2430:B2431" si="257">HYPERLINK("https://twitter.com/cool_python","@cool_python")</f>
        <v>@cool_python</v>
      </c>
      <c r="C2430" s="10" t="s">
        <v>249</v>
      </c>
      <c r="D2430" s="10" t="s">
        <v>5085</v>
      </c>
      <c r="E2430" s="11" t="str">
        <f>HYPERLINK("https://twitter.com/cool_python/status/703201752074559488","703201752074559488")</f>
        <v>703201752074559488</v>
      </c>
      <c r="F2430" s="12" t="s">
        <v>251</v>
      </c>
      <c r="G2430" s="13">
        <v>235.0</v>
      </c>
      <c r="H2430" s="13">
        <v>91.0</v>
      </c>
      <c r="I2430" s="13">
        <v>1.0</v>
      </c>
      <c r="J2430" s="13">
        <v>0.0</v>
      </c>
      <c r="K2430" s="12" t="s">
        <v>21</v>
      </c>
      <c r="L2430" s="7">
        <v>42064.325</v>
      </c>
      <c r="M2430" s="14" t="s">
        <v>252</v>
      </c>
      <c r="N2430" s="14" t="s">
        <v>253</v>
      </c>
      <c r="O2430" s="11" t="str">
        <f t="shared" ref="O2430:O2431" si="258">HYPERLINK("https://pbs.twimg.com/profile_images/572091631055028224/Pkx__FSB_normal.png","View")</f>
        <v>View</v>
      </c>
      <c r="P2430" s="15"/>
    </row>
    <row r="2431">
      <c r="A2431" s="7">
        <v>42426.205289351856</v>
      </c>
      <c r="B2431" s="8" t="str">
        <f t="shared" si="257"/>
        <v>@cool_python</v>
      </c>
      <c r="C2431" s="10" t="s">
        <v>249</v>
      </c>
      <c r="D2431" s="10" t="s">
        <v>5086</v>
      </c>
      <c r="E2431" s="11" t="str">
        <f>HYPERLINK("https://twitter.com/cool_python/status/703201753769111552","703201753769111552")</f>
        <v>703201753769111552</v>
      </c>
      <c r="F2431" s="12" t="s">
        <v>251</v>
      </c>
      <c r="G2431" s="13">
        <v>235.0</v>
      </c>
      <c r="H2431" s="13">
        <v>91.0</v>
      </c>
      <c r="I2431" s="13">
        <v>1.0</v>
      </c>
      <c r="J2431" s="13">
        <v>0.0</v>
      </c>
      <c r="K2431" s="12" t="s">
        <v>21</v>
      </c>
      <c r="L2431" s="7">
        <v>42064.325</v>
      </c>
      <c r="M2431" s="14" t="s">
        <v>252</v>
      </c>
      <c r="N2431" s="14" t="s">
        <v>253</v>
      </c>
      <c r="O2431" s="11" t="str">
        <f t="shared" si="258"/>
        <v>View</v>
      </c>
      <c r="P2431" s="15"/>
    </row>
    <row r="2432">
      <c r="A2432" s="7">
        <v>42426.20548611111</v>
      </c>
      <c r="B2432" s="8" t="str">
        <f>HYPERLINK("https://twitter.com/101byben","@101byben")</f>
        <v>@101byben</v>
      </c>
      <c r="C2432" s="10" t="s">
        <v>512</v>
      </c>
      <c r="D2432" s="10" t="s">
        <v>5087</v>
      </c>
      <c r="E2432" s="11" t="str">
        <f>HYPERLINK("https://twitter.com/101byben/status/703201825256775680","703201825256775680")</f>
        <v>703201825256775680</v>
      </c>
      <c r="F2432" s="12" t="s">
        <v>431</v>
      </c>
      <c r="G2432" s="13">
        <v>3371.0</v>
      </c>
      <c r="H2432" s="13">
        <v>10.0</v>
      </c>
      <c r="I2432" s="13">
        <v>0.0</v>
      </c>
      <c r="J2432" s="13">
        <v>0.0</v>
      </c>
      <c r="K2432" s="12" t="s">
        <v>21</v>
      </c>
      <c r="L2432" s="7">
        <v>40822.702256944445</v>
      </c>
      <c r="M2432" s="14" t="s">
        <v>514</v>
      </c>
      <c r="N2432" s="14" t="s">
        <v>515</v>
      </c>
      <c r="O2432" s="11" t="str">
        <f>HYPERLINK("https://pbs.twimg.com/profile_images/1576211833/8_normal.jpg","View")</f>
        <v>View</v>
      </c>
      <c r="P2432" s="15"/>
    </row>
    <row r="2433">
      <c r="A2433" s="7">
        <v>42426.205983796295</v>
      </c>
      <c r="B2433" s="8" t="str">
        <f>HYPERLINK("https://twitter.com/Velinda_Packt","@Velinda_Packt")</f>
        <v>@Velinda_Packt</v>
      </c>
      <c r="C2433" s="10" t="s">
        <v>5088</v>
      </c>
      <c r="D2433" s="10" t="s">
        <v>5089</v>
      </c>
      <c r="E2433" s="11" t="str">
        <f>HYPERLINK("https://twitter.com/Velinda_Packt/status/703202004038909955","703202004038909955")</f>
        <v>703202004038909955</v>
      </c>
      <c r="F2433" s="12" t="s">
        <v>20</v>
      </c>
      <c r="G2433" s="13">
        <v>246.0</v>
      </c>
      <c r="H2433" s="13">
        <v>893.0</v>
      </c>
      <c r="I2433" s="13">
        <v>0.0</v>
      </c>
      <c r="J2433" s="13">
        <v>0.0</v>
      </c>
      <c r="K2433" s="12" t="s">
        <v>21</v>
      </c>
      <c r="L2433" s="7">
        <v>41828.259363425925</v>
      </c>
      <c r="M2433" s="14" t="s">
        <v>1235</v>
      </c>
      <c r="N2433" s="14" t="s">
        <v>5090</v>
      </c>
      <c r="O2433" s="11" t="str">
        <f>HYPERLINK("https://pbs.twimg.com/profile_images/651733187278716928/Z6hz-ep1_normal.jpg","View")</f>
        <v>View</v>
      </c>
      <c r="P2433" s="15"/>
    </row>
    <row r="2434">
      <c r="A2434" s="7">
        <v>42426.20655092593</v>
      </c>
      <c r="B2434" s="8" t="str">
        <f>HYPERLINK("https://twitter.com/GameDevBRbot","@GameDevBRbot")</f>
        <v>@GameDevBRbot</v>
      </c>
      <c r="C2434" s="10" t="s">
        <v>2396</v>
      </c>
      <c r="D2434" s="10" t="s">
        <v>5091</v>
      </c>
      <c r="E2434" s="11" t="str">
        <f>HYPERLINK("https://twitter.com/GameDevBRbot/status/703202212357378049","703202212357378049")</f>
        <v>703202212357378049</v>
      </c>
      <c r="F2434" s="12" t="s">
        <v>2398</v>
      </c>
      <c r="G2434" s="13">
        <v>5047.0</v>
      </c>
      <c r="H2434" s="13">
        <v>1380.0</v>
      </c>
      <c r="I2434" s="13">
        <v>4.0</v>
      </c>
      <c r="J2434" s="13">
        <v>0.0</v>
      </c>
      <c r="K2434" s="12" t="s">
        <v>21</v>
      </c>
      <c r="L2434" s="7">
        <v>41372.60420138889</v>
      </c>
      <c r="M2434" s="14" t="s">
        <v>432</v>
      </c>
      <c r="N2434" s="14" t="s">
        <v>2399</v>
      </c>
      <c r="O2434" s="11" t="str">
        <f>HYPERLINK("https://pbs.twimg.com/profile_images/645761542269440000/a2TC8EJh_normal.jpg","View")</f>
        <v>View</v>
      </c>
      <c r="P2434" s="15"/>
    </row>
    <row r="2435">
      <c r="A2435" s="7">
        <v>42426.20659722222</v>
      </c>
      <c r="B2435" s="8" t="str">
        <f>HYPERLINK("https://twitter.com/EvanBianco","@EvanBianco")</f>
        <v>@EvanBianco</v>
      </c>
      <c r="C2435" s="10" t="s">
        <v>5092</v>
      </c>
      <c r="D2435" s="10" t="s">
        <v>5093</v>
      </c>
      <c r="E2435" s="11" t="str">
        <f>HYPERLINK("https://twitter.com/EvanBianco/status/703202226764906496","703202226764906496")</f>
        <v>703202226764906496</v>
      </c>
      <c r="F2435" s="12" t="s">
        <v>20</v>
      </c>
      <c r="G2435" s="13">
        <v>1182.0</v>
      </c>
      <c r="H2435" s="13">
        <v>997.0</v>
      </c>
      <c r="I2435" s="13">
        <v>0.0</v>
      </c>
      <c r="J2435" s="13">
        <v>1.0</v>
      </c>
      <c r="K2435" s="12" t="s">
        <v>21</v>
      </c>
      <c r="L2435" s="7">
        <v>40533.23265046296</v>
      </c>
      <c r="M2435" s="14" t="s">
        <v>5094</v>
      </c>
      <c r="N2435" s="14" t="s">
        <v>5095</v>
      </c>
      <c r="O2435" s="11" t="str">
        <f>HYPERLINK("https://pbs.twimg.com/profile_images/2118254595/Evan_1432_normal.jpg","View")</f>
        <v>View</v>
      </c>
      <c r="P2435" s="15"/>
    </row>
    <row r="2436">
      <c r="A2436" s="7">
        <v>42426.20663194444</v>
      </c>
      <c r="B2436" s="8" t="str">
        <f>HYPERLINK("https://twitter.com/kevlbass1024","@kevlbass1024")</f>
        <v>@kevlbass1024</v>
      </c>
      <c r="C2436" s="10" t="s">
        <v>3851</v>
      </c>
      <c r="D2436" s="10" t="s">
        <v>5096</v>
      </c>
      <c r="E2436" s="11" t="str">
        <f>HYPERLINK("https://twitter.com/kevlbass1024/status/703202238311825408","703202238311825408")</f>
        <v>703202238311825408</v>
      </c>
      <c r="F2436" s="12" t="s">
        <v>20</v>
      </c>
      <c r="G2436" s="13">
        <v>530.0</v>
      </c>
      <c r="H2436" s="13">
        <v>830.0</v>
      </c>
      <c r="I2436" s="13">
        <v>0.0</v>
      </c>
      <c r="J2436" s="13">
        <v>0.0</v>
      </c>
      <c r="K2436" s="12" t="s">
        <v>21</v>
      </c>
      <c r="L2436" s="7">
        <v>42369.77342592593</v>
      </c>
      <c r="M2436" s="16"/>
      <c r="N2436" s="14" t="s">
        <v>3853</v>
      </c>
      <c r="O2436" s="11" t="str">
        <f>HYPERLINK("https://pbs.twimg.com/profile_images/682757887261818880/Q5--Prn6_normal.jpg","View")</f>
        <v>View</v>
      </c>
      <c r="P2436" s="15"/>
    </row>
    <row r="2437">
      <c r="A2437" s="7">
        <v>42426.20686342593</v>
      </c>
      <c r="B2437" s="8" t="str">
        <f>HYPERLINK("https://twitter.com/AprenderGameDev","@AprenderGameDev")</f>
        <v>@AprenderGameDev</v>
      </c>
      <c r="C2437" s="10" t="s">
        <v>5097</v>
      </c>
      <c r="D2437" s="10" t="s">
        <v>5091</v>
      </c>
      <c r="E2437" s="11" t="str">
        <f>HYPERLINK("https://twitter.com/AprenderGameDev/status/703202324706004992","703202324706004992")</f>
        <v>703202324706004992</v>
      </c>
      <c r="F2437" s="12" t="s">
        <v>5098</v>
      </c>
      <c r="G2437" s="13">
        <v>6054.0</v>
      </c>
      <c r="H2437" s="13">
        <v>1762.0</v>
      </c>
      <c r="I2437" s="13">
        <v>4.0</v>
      </c>
      <c r="J2437" s="13">
        <v>0.0</v>
      </c>
      <c r="K2437" s="12" t="s">
        <v>21</v>
      </c>
      <c r="L2437" s="7">
        <v>42264.630625000005</v>
      </c>
      <c r="M2437" s="16"/>
      <c r="N2437" s="14" t="s">
        <v>5099</v>
      </c>
      <c r="O2437" s="11" t="str">
        <f>HYPERLINK("https://pbs.twimg.com/profile_images/646145735222628352/JdwsTZeW_normal.jpg","View")</f>
        <v>View</v>
      </c>
      <c r="P2437" s="15"/>
    </row>
    <row r="2438">
      <c r="A2438" s="7">
        <v>42426.207557870366</v>
      </c>
      <c r="B2438" s="8" t="str">
        <f>HYPERLINK("https://twitter.com/panseybard","@panseybard")</f>
        <v>@panseybard</v>
      </c>
      <c r="C2438" s="10" t="s">
        <v>1602</v>
      </c>
      <c r="D2438" s="10" t="s">
        <v>5091</v>
      </c>
      <c r="E2438" s="11" t="str">
        <f>HYPERLINK("https://twitter.com/panseybard/status/703202573545648128","703202573545648128")</f>
        <v>703202573545648128</v>
      </c>
      <c r="F2438" s="12" t="s">
        <v>1603</v>
      </c>
      <c r="G2438" s="13">
        <v>7596.0</v>
      </c>
      <c r="H2438" s="13">
        <v>7592.0</v>
      </c>
      <c r="I2438" s="13">
        <v>4.0</v>
      </c>
      <c r="J2438" s="13">
        <v>0.0</v>
      </c>
      <c r="K2438" s="12" t="s">
        <v>21</v>
      </c>
      <c r="L2438" s="7">
        <v>41222.09909722222</v>
      </c>
      <c r="M2438" s="14" t="s">
        <v>1604</v>
      </c>
      <c r="N2438" s="14" t="s">
        <v>1605</v>
      </c>
      <c r="O2438" s="11" t="str">
        <f>HYPERLINK("https://pbs.twimg.com/profile_images/583850259970822144/7EgtHLoT_normal.jpg","View")</f>
        <v>View</v>
      </c>
      <c r="P2438" s="15"/>
    </row>
    <row r="2439">
      <c r="A2439" s="7">
        <v>42426.20798611111</v>
      </c>
      <c r="B2439" s="8" t="str">
        <f>HYPERLINK("https://twitter.com/sdouche","@sdouche")</f>
        <v>@sdouche</v>
      </c>
      <c r="C2439" s="10" t="s">
        <v>5100</v>
      </c>
      <c r="D2439" s="10" t="s">
        <v>5101</v>
      </c>
      <c r="E2439" s="11" t="str">
        <f>HYPERLINK("https://twitter.com/sdouche/status/703202730224041984","703202730224041984")</f>
        <v>703202730224041984</v>
      </c>
      <c r="F2439" s="12" t="s">
        <v>446</v>
      </c>
      <c r="G2439" s="13">
        <v>2285.0</v>
      </c>
      <c r="H2439" s="13">
        <v>152.0</v>
      </c>
      <c r="I2439" s="13">
        <v>0.0</v>
      </c>
      <c r="J2439" s="13">
        <v>1.0</v>
      </c>
      <c r="K2439" s="12" t="s">
        <v>21</v>
      </c>
      <c r="L2439" s="7">
        <v>39672.73585648148</v>
      </c>
      <c r="M2439" s="14" t="s">
        <v>241</v>
      </c>
      <c r="N2439" s="14" t="s">
        <v>5102</v>
      </c>
      <c r="O2439" s="11" t="str">
        <f>HYPERLINK("https://pbs.twimg.com/profile_images/666975647030501378/p8oTApbG_normal.jpg","View")</f>
        <v>View</v>
      </c>
      <c r="P2439" s="15"/>
    </row>
    <row r="2440">
      <c r="A2440" s="7">
        <v>42426.209074074075</v>
      </c>
      <c r="B2440" s="8" t="str">
        <f>HYPERLINK("https://twitter.com/dwhitena","@dwhitena")</f>
        <v>@dwhitena</v>
      </c>
      <c r="C2440" s="10" t="s">
        <v>5103</v>
      </c>
      <c r="D2440" s="10" t="s">
        <v>5104</v>
      </c>
      <c r="E2440" s="11" t="str">
        <f>HYPERLINK("https://twitter.com/dwhitena/status/703203124002103296","703203124002103296")</f>
        <v>703203124002103296</v>
      </c>
      <c r="F2440" s="12" t="s">
        <v>20</v>
      </c>
      <c r="G2440" s="13">
        <v>380.0</v>
      </c>
      <c r="H2440" s="13">
        <v>546.0</v>
      </c>
      <c r="I2440" s="13">
        <v>0.0</v>
      </c>
      <c r="J2440" s="13">
        <v>2.0</v>
      </c>
      <c r="K2440" s="12" t="s">
        <v>21</v>
      </c>
      <c r="L2440" s="7">
        <v>40190.45407407408</v>
      </c>
      <c r="M2440" s="14" t="s">
        <v>1158</v>
      </c>
      <c r="N2440" s="14" t="s">
        <v>5105</v>
      </c>
      <c r="O2440" s="11" t="str">
        <f>HYPERLINK("https://pbs.twimg.com/profile_images/691472885265883136/eJR02sjx_normal.png","View")</f>
        <v>View</v>
      </c>
      <c r="P2440" s="15"/>
    </row>
    <row r="2441">
      <c r="A2441" s="7">
        <v>42426.209120370375</v>
      </c>
      <c r="B2441" s="8" t="str">
        <f>HYPERLINK("https://twitter.com/gitlotto","@gitlotto")</f>
        <v>@gitlotto</v>
      </c>
      <c r="C2441" s="10" t="s">
        <v>1777</v>
      </c>
      <c r="D2441" s="10" t="s">
        <v>5106</v>
      </c>
      <c r="E2441" s="11" t="str">
        <f>HYPERLINK("https://twitter.com/gitlotto/status/703203142444384256","703203142444384256")</f>
        <v>703203142444384256</v>
      </c>
      <c r="F2441" s="12" t="s">
        <v>1779</v>
      </c>
      <c r="G2441" s="13">
        <v>110.0</v>
      </c>
      <c r="H2441" s="13">
        <v>6.0</v>
      </c>
      <c r="I2441" s="13">
        <v>0.0</v>
      </c>
      <c r="J2441" s="13">
        <v>1.0</v>
      </c>
      <c r="K2441" s="12" t="s">
        <v>21</v>
      </c>
      <c r="L2441" s="7">
        <v>41548.864224537036</v>
      </c>
      <c r="M2441" s="16"/>
      <c r="N2441" s="14" t="s">
        <v>1780</v>
      </c>
      <c r="O2441" s="11" t="str">
        <f>HYPERLINK("https://pbs.twimg.com/profile_images/517412760750407680/zT6xH1e4_normal.jpeg","View")</f>
        <v>View</v>
      </c>
      <c r="P2441" s="15"/>
    </row>
    <row r="2442">
      <c r="A2442" s="7">
        <v>42426.20931712963</v>
      </c>
      <c r="B2442" s="8" t="str">
        <f>HYPERLINK("https://twitter.com/G2Play","@G2Play")</f>
        <v>@G2Play</v>
      </c>
      <c r="C2442" s="10" t="s">
        <v>5107</v>
      </c>
      <c r="D2442" s="10" t="s">
        <v>5091</v>
      </c>
      <c r="E2442" s="11" t="str">
        <f>HYPERLINK("https://twitter.com/G2Play/status/703203214221549568","703203214221549568")</f>
        <v>703203214221549568</v>
      </c>
      <c r="F2442" s="12" t="s">
        <v>5108</v>
      </c>
      <c r="G2442" s="13">
        <v>374.0</v>
      </c>
      <c r="H2442" s="13">
        <v>1.0</v>
      </c>
      <c r="I2442" s="13">
        <v>4.0</v>
      </c>
      <c r="J2442" s="13">
        <v>0.0</v>
      </c>
      <c r="K2442" s="12" t="s">
        <v>21</v>
      </c>
      <c r="L2442" s="7">
        <v>41612.98402777778</v>
      </c>
      <c r="M2442" s="14" t="s">
        <v>5109</v>
      </c>
      <c r="N2442" s="14" t="s">
        <v>5110</v>
      </c>
      <c r="O2442" s="11" t="str">
        <f>HYPERLINK("https://pbs.twimg.com/profile_images/677381339142729729/5e4WnBDg_normal.png","View")</f>
        <v>View</v>
      </c>
      <c r="P2442" s="15"/>
    </row>
    <row r="2443">
      <c r="A2443" s="7">
        <v>42426.20940972222</v>
      </c>
      <c r="B2443" s="8" t="str">
        <f>HYPERLINK("https://twitter.com/googletricks19","@googletricks19")</f>
        <v>@googletricks19</v>
      </c>
      <c r="C2443" s="10" t="s">
        <v>802</v>
      </c>
      <c r="D2443" s="10" t="s">
        <v>803</v>
      </c>
      <c r="E2443" s="11" t="str">
        <f>HYPERLINK("https://twitter.com/googletricks19/status/703203245481713664","703203245481713664")</f>
        <v>703203245481713664</v>
      </c>
      <c r="F2443" s="12" t="s">
        <v>103</v>
      </c>
      <c r="G2443" s="13">
        <v>819.0</v>
      </c>
      <c r="H2443" s="13">
        <v>218.0</v>
      </c>
      <c r="I2443" s="13">
        <v>0.0</v>
      </c>
      <c r="J2443" s="13">
        <v>0.0</v>
      </c>
      <c r="K2443" s="12" t="s">
        <v>21</v>
      </c>
      <c r="L2443" s="7">
        <v>41974.4943287037</v>
      </c>
      <c r="M2443" s="16"/>
      <c r="N2443" s="16"/>
      <c r="O2443" s="11" t="str">
        <f>HYPERLINK("https://pbs.twimg.com/profile_images/578098320159051776/fZw6-_AW_normal.png","View")</f>
        <v>View</v>
      </c>
      <c r="P2443" s="15"/>
    </row>
    <row r="2444">
      <c r="A2444" s="7">
        <v>42426.21015046297</v>
      </c>
      <c r="B2444" s="8" t="str">
        <f>HYPERLINK("https://twitter.com/nadeauv","@nadeauv")</f>
        <v>@nadeauv</v>
      </c>
      <c r="C2444" s="10" t="s">
        <v>5111</v>
      </c>
      <c r="D2444" s="10" t="s">
        <v>5112</v>
      </c>
      <c r="E2444" s="11" t="str">
        <f>HYPERLINK("https://twitter.com/nadeauv/status/703203515938840577","703203515938840577")</f>
        <v>703203515938840577</v>
      </c>
      <c r="F2444" s="12" t="s">
        <v>52</v>
      </c>
      <c r="G2444" s="13">
        <v>143.0</v>
      </c>
      <c r="H2444" s="13">
        <v>257.0</v>
      </c>
      <c r="I2444" s="13">
        <v>0.0</v>
      </c>
      <c r="J2444" s="13">
        <v>2.0</v>
      </c>
      <c r="K2444" s="12" t="s">
        <v>21</v>
      </c>
      <c r="L2444" s="7">
        <v>40652.771944444445</v>
      </c>
      <c r="M2444" s="14" t="s">
        <v>5113</v>
      </c>
      <c r="N2444" s="14" t="s">
        <v>5114</v>
      </c>
      <c r="O2444" s="11" t="str">
        <f>HYPERLINK("https://pbs.twimg.com/profile_images/688661500521754624/qLQPH0T0_normal.jpg","View")</f>
        <v>View</v>
      </c>
      <c r="P2444" s="15"/>
    </row>
    <row r="2445">
      <c r="A2445" s="7">
        <v>42426.21016203704</v>
      </c>
      <c r="B2445" s="8" t="str">
        <f>HYPERLINK("https://twitter.com/GovsInfo","@GovsInfo")</f>
        <v>@GovsInfo</v>
      </c>
      <c r="C2445" s="10" t="s">
        <v>3208</v>
      </c>
      <c r="D2445" s="10" t="s">
        <v>5115</v>
      </c>
      <c r="E2445" s="11" t="str">
        <f>HYPERLINK("https://twitter.com/GovsInfo/status/703203521005527040","703203521005527040")</f>
        <v>703203521005527040</v>
      </c>
      <c r="F2445" s="12" t="s">
        <v>103</v>
      </c>
      <c r="G2445" s="13">
        <v>53988.0</v>
      </c>
      <c r="H2445" s="13">
        <v>60772.0</v>
      </c>
      <c r="I2445" s="13">
        <v>0.0</v>
      </c>
      <c r="J2445" s="13">
        <v>0.0</v>
      </c>
      <c r="K2445" s="12" t="s">
        <v>21</v>
      </c>
      <c r="L2445" s="7">
        <v>41613.45927083334</v>
      </c>
      <c r="M2445" s="16"/>
      <c r="N2445" s="14" t="s">
        <v>3210</v>
      </c>
      <c r="O2445" s="11" t="str">
        <f>HYPERLINK("https://pbs.twimg.com/profile_images/607796949085855744/yiNwAzF__normal.jpg","View")</f>
        <v>View</v>
      </c>
      <c r="P2445" s="15"/>
    </row>
    <row r="2446">
      <c r="A2446" s="7">
        <v>42426.21090277778</v>
      </c>
      <c r="B2446" s="8" t="str">
        <f>HYPERLINK("https://twitter.com/HackLabAl","@HackLabAl")</f>
        <v>@HackLabAl</v>
      </c>
      <c r="C2446" s="10" t="s">
        <v>5116</v>
      </c>
      <c r="D2446" s="10" t="s">
        <v>5117</v>
      </c>
      <c r="E2446" s="11" t="str">
        <f>HYPERLINK("https://twitter.com/HackLabAl/status/703203787171704832","703203787171704832")</f>
        <v>703203787171704832</v>
      </c>
      <c r="F2446" s="12" t="s">
        <v>152</v>
      </c>
      <c r="G2446" s="13">
        <v>1855.0</v>
      </c>
      <c r="H2446" s="13">
        <v>2592.0</v>
      </c>
      <c r="I2446" s="13">
        <v>1.0</v>
      </c>
      <c r="J2446" s="13">
        <v>0.0</v>
      </c>
      <c r="K2446" s="12" t="s">
        <v>21</v>
      </c>
      <c r="L2446" s="7">
        <v>40998.20539351852</v>
      </c>
      <c r="M2446" s="14" t="s">
        <v>5118</v>
      </c>
      <c r="N2446" s="14" t="s">
        <v>5119</v>
      </c>
      <c r="O2446" s="11" t="str">
        <f>HYPERLINK("https://pbs.twimg.com/profile_images/482077913051709442/9gXVrpBj_normal.png","View")</f>
        <v>View</v>
      </c>
      <c r="P2446" s="15"/>
    </row>
    <row r="2447">
      <c r="A2447" s="7">
        <v>42426.21199074074</v>
      </c>
      <c r="B2447" s="8" t="str">
        <f>HYPERLINK("https://twitter.com/astrotweeps","@astrotweeps")</f>
        <v>@astrotweeps</v>
      </c>
      <c r="C2447" s="10" t="s">
        <v>5120</v>
      </c>
      <c r="D2447" s="10" t="s">
        <v>5121</v>
      </c>
      <c r="E2447" s="11" t="str">
        <f>HYPERLINK("https://twitter.com/astrotweeps/status/703204182191427584","703204182191427584")</f>
        <v>703204182191427584</v>
      </c>
      <c r="F2447" s="12" t="s">
        <v>446</v>
      </c>
      <c r="G2447" s="13">
        <v>3427.0</v>
      </c>
      <c r="H2447" s="13">
        <v>363.0</v>
      </c>
      <c r="I2447" s="13">
        <v>0.0</v>
      </c>
      <c r="J2447" s="13">
        <v>1.0</v>
      </c>
      <c r="K2447" s="12" t="s">
        <v>21</v>
      </c>
      <c r="L2447" s="7">
        <v>41648.33550925926</v>
      </c>
      <c r="M2447" s="14" t="s">
        <v>5122</v>
      </c>
      <c r="N2447" s="14" t="s">
        <v>5123</v>
      </c>
      <c r="O2447" s="11" t="str">
        <f>HYPERLINK("https://pbs.twimg.com/profile_images/421392247448281088/ISTkdnbs_normal.png","View")</f>
        <v>View</v>
      </c>
      <c r="P2447" s="15"/>
    </row>
    <row r="2448">
      <c r="A2448" s="7">
        <v>42426.21228009259</v>
      </c>
      <c r="B2448" s="8" t="str">
        <f>HYPERLINK("https://twitter.com/AdamSmitht1","@AdamSmitht1")</f>
        <v>@AdamSmitht1</v>
      </c>
      <c r="C2448" s="10" t="s">
        <v>468</v>
      </c>
      <c r="D2448" s="10" t="s">
        <v>5124</v>
      </c>
      <c r="E2448" s="11" t="str">
        <f>HYPERLINK("https://twitter.com/AdamSmitht1/status/703204287405543424","703204287405543424")</f>
        <v>703204287405543424</v>
      </c>
      <c r="F2448" s="12" t="s">
        <v>103</v>
      </c>
      <c r="G2448" s="13">
        <v>849.0</v>
      </c>
      <c r="H2448" s="13">
        <v>793.0</v>
      </c>
      <c r="I2448" s="13">
        <v>0.0</v>
      </c>
      <c r="J2448" s="13">
        <v>0.0</v>
      </c>
      <c r="K2448" s="12" t="s">
        <v>21</v>
      </c>
      <c r="L2448" s="7">
        <v>42336.12709490741</v>
      </c>
      <c r="M2448" s="14" t="s">
        <v>470</v>
      </c>
      <c r="N2448" s="14" t="s">
        <v>471</v>
      </c>
      <c r="O2448" s="11" t="str">
        <f>HYPERLINK("https://pbs.twimg.com/profile_images/671623862916812800/yGsDKiP4_normal.jpg","View")</f>
        <v>View</v>
      </c>
      <c r="P2448" s="15"/>
    </row>
    <row r="2449">
      <c r="A2449" s="7">
        <v>42426.21234953703</v>
      </c>
      <c r="B2449" s="8" t="str">
        <f>HYPERLINK("https://twitter.com/wcmckeedotcom","@wcmckeedotcom")</f>
        <v>@wcmckeedotcom</v>
      </c>
      <c r="C2449" s="10" t="s">
        <v>476</v>
      </c>
      <c r="D2449" s="10" t="s">
        <v>5125</v>
      </c>
      <c r="E2449" s="11" t="str">
        <f>HYPERLINK("https://twitter.com/wcmckeedotcom/status/703204311040462848","703204311040462848")</f>
        <v>703204311040462848</v>
      </c>
      <c r="F2449" s="12" t="s">
        <v>478</v>
      </c>
      <c r="G2449" s="13">
        <v>1011.0</v>
      </c>
      <c r="H2449" s="13">
        <v>875.0</v>
      </c>
      <c r="I2449" s="13">
        <v>0.0</v>
      </c>
      <c r="J2449" s="13">
        <v>1.0</v>
      </c>
      <c r="K2449" s="12" t="s">
        <v>21</v>
      </c>
      <c r="L2449" s="7">
        <v>41902.048368055555</v>
      </c>
      <c r="M2449" s="14" t="s">
        <v>479</v>
      </c>
      <c r="N2449" s="14" t="s">
        <v>480</v>
      </c>
      <c r="O2449" s="11" t="str">
        <f>HYPERLINK("https://pbs.twimg.com/profile_images/621211385746161664/tGchJstD_normal.jpg","View")</f>
        <v>View</v>
      </c>
      <c r="P2449" s="15"/>
    </row>
    <row r="2450">
      <c r="A2450" s="7">
        <v>42426.213217592594</v>
      </c>
      <c r="B2450" s="8" t="str">
        <f>HYPERLINK("https://twitter.com/startechwall","@startechwall")</f>
        <v>@startechwall</v>
      </c>
      <c r="C2450" s="10" t="s">
        <v>1478</v>
      </c>
      <c r="D2450" s="10" t="s">
        <v>5126</v>
      </c>
      <c r="E2450" s="11" t="str">
        <f>HYPERLINK("https://twitter.com/startechwall/status/703204627920130049","703204627920130049")</f>
        <v>703204627920130049</v>
      </c>
      <c r="F2450" s="12" t="s">
        <v>103</v>
      </c>
      <c r="G2450" s="13">
        <v>557.0</v>
      </c>
      <c r="H2450" s="13">
        <v>859.0</v>
      </c>
      <c r="I2450" s="13">
        <v>0.0</v>
      </c>
      <c r="J2450" s="13">
        <v>0.0</v>
      </c>
      <c r="K2450" s="12" t="s">
        <v>21</v>
      </c>
      <c r="L2450" s="7">
        <v>42360.959502314814</v>
      </c>
      <c r="M2450" s="14" t="s">
        <v>1480</v>
      </c>
      <c r="N2450" s="14" t="s">
        <v>1481</v>
      </c>
      <c r="O2450" s="11" t="str">
        <f>HYPERLINK("https://pbs.twimg.com/profile_images/679566117187145728/UUo30Zpm_normal.jpg","View")</f>
        <v>View</v>
      </c>
      <c r="P2450" s="15"/>
    </row>
    <row r="2451">
      <c r="A2451" s="7">
        <v>42426.21325231482</v>
      </c>
      <c r="B2451" s="8" t="str">
        <f>HYPERLINK("https://twitter.com/mas_Settoo","@mas_Settoo")</f>
        <v>@mas_Settoo</v>
      </c>
      <c r="C2451" s="10" t="s">
        <v>5127</v>
      </c>
      <c r="D2451" s="10" t="s">
        <v>5128</v>
      </c>
      <c r="E2451" s="11" t="str">
        <f>HYPERLINK("https://twitter.com/mas_Settoo/status/703204639412342784","703204639412342784")</f>
        <v>703204639412342784</v>
      </c>
      <c r="F2451" s="12" t="s">
        <v>450</v>
      </c>
      <c r="G2451" s="13">
        <v>249.0</v>
      </c>
      <c r="H2451" s="13">
        <v>145.0</v>
      </c>
      <c r="I2451" s="13">
        <v>0.0</v>
      </c>
      <c r="J2451" s="13">
        <v>0.0</v>
      </c>
      <c r="K2451" s="12" t="s">
        <v>21</v>
      </c>
      <c r="L2451" s="7">
        <v>40994.96668981481</v>
      </c>
      <c r="M2451" s="14" t="s">
        <v>5129</v>
      </c>
      <c r="N2451" s="14" t="s">
        <v>5130</v>
      </c>
      <c r="O2451" s="11" t="str">
        <f>HYPERLINK("https://pbs.twimg.com/profile_images/542739494173433857/28KoM_k-_normal.jpeg","View")</f>
        <v>View</v>
      </c>
      <c r="P2451" s="15"/>
    </row>
    <row r="2452">
      <c r="A2452" s="7">
        <v>42426.2169212963</v>
      </c>
      <c r="B2452" s="8" t="str">
        <f>HYPERLINK("https://twitter.com/pythontrending","@pythontrending")</f>
        <v>@pythontrending</v>
      </c>
      <c r="C2452" s="10" t="s">
        <v>2074</v>
      </c>
      <c r="D2452" s="10" t="s">
        <v>5131</v>
      </c>
      <c r="E2452" s="11" t="str">
        <f>HYPERLINK("https://twitter.com/pythontrending/status/703205967350079488","703205967350079488")</f>
        <v>703205967350079488</v>
      </c>
      <c r="F2452" s="12" t="s">
        <v>2076</v>
      </c>
      <c r="G2452" s="13">
        <v>3966.0</v>
      </c>
      <c r="H2452" s="13">
        <v>4420.0</v>
      </c>
      <c r="I2452" s="13">
        <v>1.0</v>
      </c>
      <c r="J2452" s="13">
        <v>0.0</v>
      </c>
      <c r="K2452" s="12" t="s">
        <v>21</v>
      </c>
      <c r="L2452" s="7">
        <v>41744.47299768518</v>
      </c>
      <c r="M2452" s="14" t="s">
        <v>2077</v>
      </c>
      <c r="N2452" s="14" t="s">
        <v>2078</v>
      </c>
      <c r="O2452" s="11" t="str">
        <f>HYPERLINK("https://pbs.twimg.com/profile_images/456490947287605248/4oklmBWe_normal.png","View")</f>
        <v>View</v>
      </c>
      <c r="P2452" s="15"/>
    </row>
    <row r="2453">
      <c r="A2453" s="7">
        <v>42426.21697916667</v>
      </c>
      <c r="B2453" s="8" t="str">
        <f>HYPERLINK("https://twitter.com/programmingncr","@programmingncr")</f>
        <v>@programmingncr</v>
      </c>
      <c r="C2453" s="10" t="s">
        <v>262</v>
      </c>
      <c r="D2453" s="10" t="s">
        <v>5132</v>
      </c>
      <c r="E2453" s="11" t="str">
        <f>HYPERLINK("https://twitter.com/programmingncr/status/703205990670475264","703205990670475264")</f>
        <v>703205990670475264</v>
      </c>
      <c r="F2453" s="12" t="s">
        <v>103</v>
      </c>
      <c r="G2453" s="13">
        <v>328.0</v>
      </c>
      <c r="H2453" s="13">
        <v>99.0</v>
      </c>
      <c r="I2453" s="13">
        <v>0.0</v>
      </c>
      <c r="J2453" s="13">
        <v>0.0</v>
      </c>
      <c r="K2453" s="12" t="s">
        <v>21</v>
      </c>
      <c r="L2453" s="7">
        <v>42220.86634259259</v>
      </c>
      <c r="M2453" s="14" t="s">
        <v>264</v>
      </c>
      <c r="N2453" s="14" t="s">
        <v>265</v>
      </c>
      <c r="O2453" s="11" t="str">
        <f>HYPERLINK("https://pbs.twimg.com/profile_images/662602436222193664/qKuvsfnG_normal.jpg","View")</f>
        <v>View</v>
      </c>
      <c r="P2453" s="15"/>
    </row>
    <row r="2454">
      <c r="A2454" s="7">
        <v>42426.21765046296</v>
      </c>
      <c r="B2454" s="8" t="str">
        <f>HYPERLINK("https://twitter.com/JoshuaLongUK","@JoshuaLongUK")</f>
        <v>@JoshuaLongUK</v>
      </c>
      <c r="C2454" s="10" t="s">
        <v>101</v>
      </c>
      <c r="D2454" s="10" t="s">
        <v>5133</v>
      </c>
      <c r="E2454" s="11" t="str">
        <f>HYPERLINK("https://twitter.com/JoshuaLongUK/status/703206231238901760","703206231238901760")</f>
        <v>703206231238901760</v>
      </c>
      <c r="F2454" s="12" t="s">
        <v>103</v>
      </c>
      <c r="G2454" s="13">
        <v>25832.0</v>
      </c>
      <c r="H2454" s="13">
        <v>93.0</v>
      </c>
      <c r="I2454" s="13">
        <v>0.0</v>
      </c>
      <c r="J2454" s="13">
        <v>0.0</v>
      </c>
      <c r="K2454" s="12" t="s">
        <v>21</v>
      </c>
      <c r="L2454" s="7">
        <v>41149.39659722222</v>
      </c>
      <c r="M2454" s="14" t="s">
        <v>104</v>
      </c>
      <c r="N2454" s="14" t="s">
        <v>105</v>
      </c>
      <c r="O2454" s="11" t="str">
        <f>HYPERLINK("https://pbs.twimg.com/profile_images/627996138403168256/DaASdgVr_normal.jpg","View")</f>
        <v>View</v>
      </c>
      <c r="P2454" s="15"/>
    </row>
    <row r="2455">
      <c r="A2455" s="7">
        <v>42426.217997685184</v>
      </c>
      <c r="B2455" s="8" t="str">
        <f>HYPERLINK("https://twitter.com/VictorPerezPalm","@VictorPerezPalm")</f>
        <v>@VictorPerezPalm</v>
      </c>
      <c r="C2455" s="10" t="s">
        <v>5134</v>
      </c>
      <c r="D2455" s="10" t="s">
        <v>4211</v>
      </c>
      <c r="E2455" s="11" t="str">
        <f>HYPERLINK("https://twitter.com/VictorPerezPalm/status/703206357822869504","703206357822869504")</f>
        <v>703206357822869504</v>
      </c>
      <c r="F2455" s="12" t="s">
        <v>52</v>
      </c>
      <c r="G2455" s="13">
        <v>389.0</v>
      </c>
      <c r="H2455" s="13">
        <v>458.0</v>
      </c>
      <c r="I2455" s="13">
        <v>55.0</v>
      </c>
      <c r="J2455" s="13">
        <v>0.0</v>
      </c>
      <c r="K2455" s="12" t="s">
        <v>21</v>
      </c>
      <c r="L2455" s="7">
        <v>41050.41266203704</v>
      </c>
      <c r="M2455" s="14" t="s">
        <v>1783</v>
      </c>
      <c r="N2455" s="14" t="s">
        <v>5135</v>
      </c>
      <c r="O2455" s="11" t="str">
        <f>HYPERLINK("https://pbs.twimg.com/profile_images/698507084019605504/nb0tbDSG_normal.jpg","View")</f>
        <v>View</v>
      </c>
      <c r="P2455" s="15"/>
    </row>
    <row r="2456">
      <c r="A2456" s="7">
        <v>42426.218622685185</v>
      </c>
      <c r="B2456" s="8" t="str">
        <f>HYPERLINK("https://twitter.com/py3k","@py3k")</f>
        <v>@py3k</v>
      </c>
      <c r="C2456" s="10" t="s">
        <v>297</v>
      </c>
      <c r="D2456" s="10" t="s">
        <v>5136</v>
      </c>
      <c r="E2456" s="11" t="str">
        <f>HYPERLINK("https://twitter.com/py3k/status/703206585728901120","703206585728901120")</f>
        <v>703206585728901120</v>
      </c>
      <c r="F2456" s="12" t="s">
        <v>299</v>
      </c>
      <c r="G2456" s="13">
        <v>1623.0</v>
      </c>
      <c r="H2456" s="13">
        <v>676.0</v>
      </c>
      <c r="I2456" s="13">
        <v>1.0</v>
      </c>
      <c r="J2456" s="13">
        <v>0.0</v>
      </c>
      <c r="K2456" s="12" t="s">
        <v>21</v>
      </c>
      <c r="L2456" s="7">
        <v>41096.62268518518</v>
      </c>
      <c r="M2456" s="16"/>
      <c r="N2456" s="14" t="s">
        <v>300</v>
      </c>
      <c r="O2456" s="11" t="str">
        <f>HYPERLINK("https://pbs.twimg.com/profile_images/2474433856/p075cerxh0arpea6ceip_normal.png","View")</f>
        <v>View</v>
      </c>
      <c r="P2456" s="15"/>
    </row>
    <row r="2457">
      <c r="A2457" s="7">
        <v>42426.21902777778</v>
      </c>
      <c r="B2457" s="8" t="str">
        <f>HYPERLINK("https://twitter.com/mpetyx","@mpetyx")</f>
        <v>@mpetyx</v>
      </c>
      <c r="C2457" s="10" t="s">
        <v>2222</v>
      </c>
      <c r="D2457" s="10" t="s">
        <v>5137</v>
      </c>
      <c r="E2457" s="11" t="str">
        <f>HYPERLINK("https://twitter.com/mpetyx/status/703206733313925124","703206733313925124")</f>
        <v>703206733313925124</v>
      </c>
      <c r="F2457" s="12" t="s">
        <v>20</v>
      </c>
      <c r="G2457" s="13">
        <v>876.0</v>
      </c>
      <c r="H2457" s="13">
        <v>653.0</v>
      </c>
      <c r="I2457" s="13">
        <v>0.0</v>
      </c>
      <c r="J2457" s="13">
        <v>0.0</v>
      </c>
      <c r="K2457" s="12" t="s">
        <v>21</v>
      </c>
      <c r="L2457" s="7">
        <v>40154.45451388889</v>
      </c>
      <c r="M2457" s="14" t="s">
        <v>2224</v>
      </c>
      <c r="N2457" s="14" t="s">
        <v>2225</v>
      </c>
      <c r="O2457" s="11" t="str">
        <f>HYPERLINK("https://pbs.twimg.com/profile_images/1376633950/michael_kouklos_normal.jpg","View")</f>
        <v>View</v>
      </c>
      <c r="P2457" s="15"/>
    </row>
    <row r="2458">
      <c r="A2458" s="7">
        <v>42426.21936342593</v>
      </c>
      <c r="B2458" s="8" t="str">
        <f>HYPERLINK("https://twitter.com/steph_hazlewood","@steph_hazlewood")</f>
        <v>@steph_hazlewood</v>
      </c>
      <c r="C2458" s="10" t="s">
        <v>5138</v>
      </c>
      <c r="D2458" s="10" t="s">
        <v>5059</v>
      </c>
      <c r="E2458" s="11" t="str">
        <f>HYPERLINK("https://twitter.com/steph_hazlewood/status/703206854298619904","703206854298619904")</f>
        <v>703206854298619904</v>
      </c>
      <c r="F2458" s="12" t="s">
        <v>20</v>
      </c>
      <c r="G2458" s="13">
        <v>147.0</v>
      </c>
      <c r="H2458" s="13">
        <v>197.0</v>
      </c>
      <c r="I2458" s="13">
        <v>3.0</v>
      </c>
      <c r="J2458" s="13">
        <v>0.0</v>
      </c>
      <c r="K2458" s="12" t="s">
        <v>21</v>
      </c>
      <c r="L2458" s="7">
        <v>40491.45491898148</v>
      </c>
      <c r="M2458" s="14" t="s">
        <v>5139</v>
      </c>
      <c r="N2458" s="14" t="s">
        <v>5140</v>
      </c>
      <c r="O2458" s="11" t="str">
        <f>HYPERLINK("https://pbs.twimg.com/profile_images/1257830384/p-shazlewood_normal.jpg","View")</f>
        <v>View</v>
      </c>
      <c r="P2458" s="15"/>
    </row>
    <row r="2459">
      <c r="A2459" s="7">
        <v>42426.21939814815</v>
      </c>
      <c r="B2459" s="8" t="str">
        <f>HYPERLINK("https://twitter.com/chrbknudsen","@chrbknudsen")</f>
        <v>@chrbknudsen</v>
      </c>
      <c r="C2459" s="10" t="s">
        <v>5141</v>
      </c>
      <c r="D2459" s="10" t="s">
        <v>5142</v>
      </c>
      <c r="E2459" s="11" t="str">
        <f>HYPERLINK("https://twitter.com/chrbknudsen/status/703206868018208768","703206868018208768")</f>
        <v>703206868018208768</v>
      </c>
      <c r="F2459" s="12" t="s">
        <v>152</v>
      </c>
      <c r="G2459" s="13">
        <v>228.0</v>
      </c>
      <c r="H2459" s="13">
        <v>582.0</v>
      </c>
      <c r="I2459" s="13">
        <v>0.0</v>
      </c>
      <c r="J2459" s="13">
        <v>3.0</v>
      </c>
      <c r="K2459" s="12" t="s">
        <v>21</v>
      </c>
      <c r="L2459" s="7">
        <v>40286.54350694444</v>
      </c>
      <c r="M2459" s="14" t="s">
        <v>5143</v>
      </c>
      <c r="N2459" s="14" t="s">
        <v>5144</v>
      </c>
      <c r="O2459" s="11" t="str">
        <f>HYPERLINK("https://pbs.twimg.com/profile_images/658975932984659968/H5q23w7V_normal.jpg","View")</f>
        <v>View</v>
      </c>
      <c r="P2459" s="15"/>
    </row>
    <row r="2460">
      <c r="A2460" s="7">
        <v>42426.219826388886</v>
      </c>
      <c r="B2460" s="8" t="str">
        <f>HYPERLINK("https://twitter.com/DataAndDataViz","@DataAndDataViz")</f>
        <v>@DataAndDataViz</v>
      </c>
      <c r="C2460" s="10" t="s">
        <v>5145</v>
      </c>
      <c r="D2460" s="10" t="s">
        <v>3699</v>
      </c>
      <c r="E2460" s="11" t="str">
        <f>HYPERLINK("https://twitter.com/DataAndDataViz/status/703207023341604864","703207023341604864")</f>
        <v>703207023341604864</v>
      </c>
      <c r="F2460" s="12" t="s">
        <v>5146</v>
      </c>
      <c r="G2460" s="13">
        <v>473.0</v>
      </c>
      <c r="H2460" s="13">
        <v>140.0</v>
      </c>
      <c r="I2460" s="13">
        <v>30.0</v>
      </c>
      <c r="J2460" s="13">
        <v>0.0</v>
      </c>
      <c r="K2460" s="12" t="s">
        <v>21</v>
      </c>
      <c r="L2460" s="7">
        <v>41603.30427083334</v>
      </c>
      <c r="M2460" s="16"/>
      <c r="N2460" s="14" t="s">
        <v>5147</v>
      </c>
      <c r="O2460" s="11" t="str">
        <f>HYPERLINK("https://pbs.twimg.com/profile_images/412249095110008832/J_K4--iQ_normal.png","View")</f>
        <v>View</v>
      </c>
      <c r="P2460" s="15"/>
    </row>
    <row r="2461">
      <c r="A2461" s="7">
        <v>42426.22070601852</v>
      </c>
      <c r="B2461" s="8" t="str">
        <f>HYPERLINK("https://twitter.com/MikeyJck","@MikeyJck")</f>
        <v>@MikeyJck</v>
      </c>
      <c r="C2461" s="10" t="s">
        <v>5148</v>
      </c>
      <c r="D2461" s="10" t="s">
        <v>5149</v>
      </c>
      <c r="E2461" s="11" t="str">
        <f>HYPERLINK("https://twitter.com/MikeyJck/status/703207340758073348","703207340758073348")</f>
        <v>703207340758073348</v>
      </c>
      <c r="F2461" s="12" t="s">
        <v>52</v>
      </c>
      <c r="G2461" s="13">
        <v>836.0</v>
      </c>
      <c r="H2461" s="13">
        <v>878.0</v>
      </c>
      <c r="I2461" s="13">
        <v>2.0</v>
      </c>
      <c r="J2461" s="13">
        <v>4.0</v>
      </c>
      <c r="K2461" s="12" t="s">
        <v>21</v>
      </c>
      <c r="L2461" s="7">
        <v>40588.18234953703</v>
      </c>
      <c r="M2461" s="14" t="s">
        <v>2986</v>
      </c>
      <c r="N2461" s="14" t="s">
        <v>5150</v>
      </c>
      <c r="O2461" s="11" t="str">
        <f>HYPERLINK("https://pbs.twimg.com/profile_images/578715778914086912/f1GcHTDV_normal.jpeg","View")</f>
        <v>View</v>
      </c>
      <c r="P2461" s="15"/>
    </row>
    <row r="2462">
      <c r="A2462" s="7">
        <v>42426.22085648148</v>
      </c>
      <c r="B2462" s="8" t="str">
        <f>HYPERLINK("https://twitter.com/jessejiryudavis","@jessejiryudavis")</f>
        <v>@jessejiryudavis</v>
      </c>
      <c r="C2462" s="10" t="s">
        <v>3140</v>
      </c>
      <c r="D2462" s="10" t="s">
        <v>5151</v>
      </c>
      <c r="E2462" s="11" t="str">
        <f>HYPERLINK("https://twitter.com/jessejiryudavis/status/703207394327793665","703207394327793665")</f>
        <v>703207394327793665</v>
      </c>
      <c r="F2462" s="12" t="s">
        <v>294</v>
      </c>
      <c r="G2462" s="13">
        <v>1316.0</v>
      </c>
      <c r="H2462" s="13">
        <v>441.0</v>
      </c>
      <c r="I2462" s="13">
        <v>5.0</v>
      </c>
      <c r="J2462" s="13">
        <v>8.0</v>
      </c>
      <c r="K2462" s="12" t="s">
        <v>21</v>
      </c>
      <c r="L2462" s="7">
        <v>40276.84116898148</v>
      </c>
      <c r="M2462" s="14" t="s">
        <v>3142</v>
      </c>
      <c r="N2462" s="14" t="s">
        <v>3143</v>
      </c>
      <c r="O2462" s="11" t="str">
        <f>HYPERLINK("https://pbs.twimg.com/profile_images/808380981/profile_normal.jpg","View")</f>
        <v>View</v>
      </c>
      <c r="P2462" s="15"/>
    </row>
    <row r="2463">
      <c r="A2463" s="7">
        <v>42426.221284722225</v>
      </c>
      <c r="B2463" s="8" t="str">
        <f>HYPERLINK("https://twitter.com/dae6d66960534c4","@dae6d66960534c4")</f>
        <v>@dae6d66960534c4</v>
      </c>
      <c r="C2463" s="10" t="s">
        <v>5152</v>
      </c>
      <c r="D2463" s="10" t="s">
        <v>5153</v>
      </c>
      <c r="E2463" s="11" t="str">
        <f>HYPERLINK("https://twitter.com/dae6d66960534c4/status/703207548560793600","703207548560793600")</f>
        <v>703207548560793600</v>
      </c>
      <c r="F2463" s="12" t="s">
        <v>103</v>
      </c>
      <c r="G2463" s="13">
        <v>333.0</v>
      </c>
      <c r="H2463" s="13">
        <v>7.0</v>
      </c>
      <c r="I2463" s="13">
        <v>0.0</v>
      </c>
      <c r="J2463" s="13">
        <v>0.0</v>
      </c>
      <c r="K2463" s="12" t="s">
        <v>21</v>
      </c>
      <c r="L2463" s="7">
        <v>41807.389016203706</v>
      </c>
      <c r="M2463" s="16"/>
      <c r="N2463" s="16"/>
      <c r="O2463" s="11" t="str">
        <f>HYPERLINK("https://pbs.twimg.com/profile_images/478935316922138624/0dnURBb1_normal.jpeg","View")</f>
        <v>View</v>
      </c>
      <c r="P2463" s="15"/>
    </row>
    <row r="2464">
      <c r="A2464" s="7">
        <v>42426.22131944445</v>
      </c>
      <c r="B2464" s="8" t="str">
        <f>HYPERLINK("https://twitter.com/okulisty41","@okulisty41")</f>
        <v>@okulisty41</v>
      </c>
      <c r="C2464" s="10" t="s">
        <v>5154</v>
      </c>
      <c r="D2464" s="10" t="s">
        <v>5153</v>
      </c>
      <c r="E2464" s="11" t="str">
        <f>HYPERLINK("https://twitter.com/okulisty41/status/703207563672821760","703207563672821760")</f>
        <v>703207563672821760</v>
      </c>
      <c r="F2464" s="12" t="s">
        <v>103</v>
      </c>
      <c r="G2464" s="13">
        <v>206.0</v>
      </c>
      <c r="H2464" s="13">
        <v>21.0</v>
      </c>
      <c r="I2464" s="13">
        <v>0.0</v>
      </c>
      <c r="J2464" s="13">
        <v>0.0</v>
      </c>
      <c r="K2464" s="12" t="s">
        <v>21</v>
      </c>
      <c r="L2464" s="7">
        <v>41718.2121875</v>
      </c>
      <c r="M2464" s="16"/>
      <c r="N2464" s="16"/>
      <c r="O2464" s="11" t="str">
        <f>HYPERLINK("https://abs.twimg.com/sticky/default_profile_images/default_profile_4_normal.png","View")</f>
        <v>View</v>
      </c>
      <c r="P2464" s="15"/>
    </row>
    <row r="2465">
      <c r="A2465" s="7">
        <v>42426.22149305556</v>
      </c>
      <c r="B2465" s="8" t="str">
        <f>HYPERLINK("https://twitter.com/RandolphAlexan2","@RandolphAlexan2")</f>
        <v>@RandolphAlexan2</v>
      </c>
      <c r="C2465" s="10" t="s">
        <v>5155</v>
      </c>
      <c r="D2465" s="10" t="s">
        <v>5153</v>
      </c>
      <c r="E2465" s="11" t="str">
        <f>HYPERLINK("https://twitter.com/RandolphAlexan2/status/703207627208171520","703207627208171520")</f>
        <v>703207627208171520</v>
      </c>
      <c r="F2465" s="12" t="s">
        <v>103</v>
      </c>
      <c r="G2465" s="13">
        <v>203.0</v>
      </c>
      <c r="H2465" s="13">
        <v>14.0</v>
      </c>
      <c r="I2465" s="13">
        <v>0.0</v>
      </c>
      <c r="J2465" s="13">
        <v>0.0</v>
      </c>
      <c r="K2465" s="12" t="s">
        <v>21</v>
      </c>
      <c r="L2465" s="7">
        <v>41345.288888888885</v>
      </c>
      <c r="M2465" s="16"/>
      <c r="N2465" s="16"/>
      <c r="O2465" s="11" t="str">
        <f>HYPERLINK("https://pbs.twimg.com/profile_images/3657408228/fe239ad1cf3bbe0d92e7da39eab8c6e3_normal.jpeg","View")</f>
        <v>View</v>
      </c>
      <c r="P2465" s="15"/>
    </row>
    <row r="2466">
      <c r="A2466" s="7">
        <v>42426.22164351852</v>
      </c>
      <c r="B2466" s="8" t="str">
        <f>HYPERLINK("https://twitter.com/SavandBros","@SavandBros")</f>
        <v>@SavandBros</v>
      </c>
      <c r="C2466" s="10" t="s">
        <v>5156</v>
      </c>
      <c r="D2466" s="10" t="s">
        <v>5157</v>
      </c>
      <c r="E2466" s="11" t="str">
        <f>HYPERLINK("https://twitter.com/SavandBros/status/703207681255837696","703207681255837696")</f>
        <v>703207681255837696</v>
      </c>
      <c r="F2466" s="12" t="s">
        <v>152</v>
      </c>
      <c r="G2466" s="13">
        <v>366.0</v>
      </c>
      <c r="H2466" s="13">
        <v>0.0</v>
      </c>
      <c r="I2466" s="13">
        <v>0.0</v>
      </c>
      <c r="J2466" s="13">
        <v>0.0</v>
      </c>
      <c r="K2466" s="12" t="s">
        <v>21</v>
      </c>
      <c r="L2466" s="7">
        <v>42011.0174537037</v>
      </c>
      <c r="M2466" s="16"/>
      <c r="N2466" s="14" t="s">
        <v>5158</v>
      </c>
      <c r="O2466" s="11" t="str">
        <f>HYPERLINK("https://pbs.twimg.com/profile_images/575653847332356098/Dfr7g9pq_normal.png","View")</f>
        <v>View</v>
      </c>
      <c r="P2466" s="15"/>
    </row>
    <row r="2467">
      <c r="A2467" s="7">
        <v>42426.22188657407</v>
      </c>
      <c r="B2467" s="8" t="str">
        <f>HYPERLINK("https://twitter.com/clauersen","@clauersen")</f>
        <v>@clauersen</v>
      </c>
      <c r="C2467" s="10" t="s">
        <v>5159</v>
      </c>
      <c r="D2467" s="10" t="s">
        <v>5160</v>
      </c>
      <c r="E2467" s="11" t="str">
        <f>HYPERLINK("https://twitter.com/clauersen/status/703207768321343488","703207768321343488")</f>
        <v>703207768321343488</v>
      </c>
      <c r="F2467" s="12" t="s">
        <v>52</v>
      </c>
      <c r="G2467" s="13">
        <v>1090.0</v>
      </c>
      <c r="H2467" s="13">
        <v>591.0</v>
      </c>
      <c r="I2467" s="13">
        <v>0.0</v>
      </c>
      <c r="J2467" s="13">
        <v>1.0</v>
      </c>
      <c r="K2467" s="12" t="s">
        <v>21</v>
      </c>
      <c r="L2467" s="7">
        <v>41143.31135416667</v>
      </c>
      <c r="M2467" s="14" t="s">
        <v>5161</v>
      </c>
      <c r="N2467" s="14" t="s">
        <v>5162</v>
      </c>
      <c r="O2467" s="11" t="str">
        <f>HYPERLINK("https://pbs.twimg.com/profile_images/533329217786626048/vLnQ_RbE_normal.jpeg","View")</f>
        <v>View</v>
      </c>
      <c r="P2467" s="15"/>
    </row>
    <row r="2468">
      <c r="A2468" s="7">
        <v>42426.22262731481</v>
      </c>
      <c r="B2468" s="8" t="str">
        <f>HYPERLINK("https://twitter.com/AyrtonPearcy","@AyrtonPearcy")</f>
        <v>@AyrtonPearcy</v>
      </c>
      <c r="C2468" s="10" t="s">
        <v>5163</v>
      </c>
      <c r="D2468" s="10" t="s">
        <v>5153</v>
      </c>
      <c r="E2468" s="11" t="str">
        <f>HYPERLINK("https://twitter.com/AyrtonPearcy/status/703208037666922496","703208037666922496")</f>
        <v>703208037666922496</v>
      </c>
      <c r="F2468" s="12" t="s">
        <v>103</v>
      </c>
      <c r="G2468" s="13">
        <v>235.0</v>
      </c>
      <c r="H2468" s="13">
        <v>16.0</v>
      </c>
      <c r="I2468" s="13">
        <v>0.0</v>
      </c>
      <c r="J2468" s="13">
        <v>0.0</v>
      </c>
      <c r="K2468" s="12" t="s">
        <v>21</v>
      </c>
      <c r="L2468" s="7">
        <v>41346.214525462965</v>
      </c>
      <c r="M2468" s="16"/>
      <c r="N2468" s="16"/>
      <c r="O2468" s="11" t="str">
        <f>HYPERLINK("https://pbs.twimg.com/profile_images/3661786357/45b1e9f9f20ad575ae8eddf45e039ffd_normal.jpeg","View")</f>
        <v>View</v>
      </c>
      <c r="P2468" s="15"/>
    </row>
    <row r="2469">
      <c r="A2469" s="7">
        <v>42426.22274305555</v>
      </c>
      <c r="B2469" s="8" t="str">
        <f>HYPERLINK("https://twitter.com/PressleyMonk","@PressleyMonk")</f>
        <v>@PressleyMonk</v>
      </c>
      <c r="C2469" s="10" t="s">
        <v>5164</v>
      </c>
      <c r="D2469" s="10" t="s">
        <v>5153</v>
      </c>
      <c r="E2469" s="11" t="str">
        <f>HYPERLINK("https://twitter.com/PressleyMonk/status/703208077840015360","703208077840015360")</f>
        <v>703208077840015360</v>
      </c>
      <c r="F2469" s="12" t="s">
        <v>103</v>
      </c>
      <c r="G2469" s="13">
        <v>224.0</v>
      </c>
      <c r="H2469" s="13">
        <v>23.0</v>
      </c>
      <c r="I2469" s="13">
        <v>0.0</v>
      </c>
      <c r="J2469" s="13">
        <v>0.0</v>
      </c>
      <c r="K2469" s="12" t="s">
        <v>21</v>
      </c>
      <c r="L2469" s="7">
        <v>41345.948229166665</v>
      </c>
      <c r="M2469" s="16"/>
      <c r="N2469" s="16"/>
      <c r="O2469" s="11" t="str">
        <f>HYPERLINK("https://pbs.twimg.com/profile_images/3657364971/6983eed06fd54ab6ba7df87c649ecfcb_normal.jpeg","View")</f>
        <v>View</v>
      </c>
      <c r="P2469" s="15"/>
    </row>
    <row r="2470">
      <c r="A2470" s="7">
        <v>42426.22332175926</v>
      </c>
      <c r="B2470" s="8" t="str">
        <f>HYPERLINK("https://twitter.com/FlavioCestari","@FlavioCestari")</f>
        <v>@FlavioCestari</v>
      </c>
      <c r="C2470" s="10" t="s">
        <v>5165</v>
      </c>
      <c r="D2470" s="10" t="s">
        <v>3163</v>
      </c>
      <c r="E2470" s="11" t="str">
        <f>HYPERLINK("https://twitter.com/FlavioCestari/status/703208288247267328","703208288247267328")</f>
        <v>703208288247267328</v>
      </c>
      <c r="F2470" s="12" t="s">
        <v>152</v>
      </c>
      <c r="G2470" s="13">
        <v>283.0</v>
      </c>
      <c r="H2470" s="13">
        <v>1151.0</v>
      </c>
      <c r="I2470" s="13">
        <v>15.0</v>
      </c>
      <c r="J2470" s="13">
        <v>0.0</v>
      </c>
      <c r="K2470" s="12" t="s">
        <v>21</v>
      </c>
      <c r="L2470" s="7">
        <v>39944.683854166666</v>
      </c>
      <c r="M2470" s="14" t="s">
        <v>5166</v>
      </c>
      <c r="N2470" s="14" t="s">
        <v>5167</v>
      </c>
      <c r="O2470" s="11" t="str">
        <f>HYPERLINK("https://pbs.twimg.com/profile_images/671706395159343105/Xm-m8zQo_normal.png","View")</f>
        <v>View</v>
      </c>
      <c r="P2470" s="15"/>
    </row>
    <row r="2471">
      <c r="A2471" s="7">
        <v>42426.223599537036</v>
      </c>
      <c r="B2471" s="8" t="str">
        <f>HYPERLINK("https://twitter.com/cool_python","@cool_python")</f>
        <v>@cool_python</v>
      </c>
      <c r="C2471" s="10" t="s">
        <v>249</v>
      </c>
      <c r="D2471" s="10" t="s">
        <v>5168</v>
      </c>
      <c r="E2471" s="11" t="str">
        <f>HYPERLINK("https://twitter.com/cool_python/status/703208388889616385","703208388889616385")</f>
        <v>703208388889616385</v>
      </c>
      <c r="F2471" s="12" t="s">
        <v>251</v>
      </c>
      <c r="G2471" s="13">
        <v>235.0</v>
      </c>
      <c r="H2471" s="13">
        <v>91.0</v>
      </c>
      <c r="I2471" s="13">
        <v>1.0</v>
      </c>
      <c r="J2471" s="13">
        <v>0.0</v>
      </c>
      <c r="K2471" s="12" t="s">
        <v>21</v>
      </c>
      <c r="L2471" s="7">
        <v>42064.325</v>
      </c>
      <c r="M2471" s="14" t="s">
        <v>252</v>
      </c>
      <c r="N2471" s="14" t="s">
        <v>253</v>
      </c>
      <c r="O2471" s="11" t="str">
        <f>HYPERLINK("https://pbs.twimg.com/profile_images/572091631055028224/Pkx__FSB_normal.png","View")</f>
        <v>View</v>
      </c>
      <c r="P2471" s="15"/>
    </row>
    <row r="2472">
      <c r="A2472" s="7">
        <v>42426.224120370374</v>
      </c>
      <c r="B2472" s="8" t="str">
        <f>HYPERLINK("https://twitter.com/MarybethAnthon1","@MarybethAnthon1")</f>
        <v>@MarybethAnthon1</v>
      </c>
      <c r="C2472" s="10" t="s">
        <v>5169</v>
      </c>
      <c r="D2472" s="10" t="s">
        <v>5153</v>
      </c>
      <c r="E2472" s="11" t="str">
        <f>HYPERLINK("https://twitter.com/MarybethAnthon1/status/703208576580513792","703208576580513792")</f>
        <v>703208576580513792</v>
      </c>
      <c r="F2472" s="12" t="s">
        <v>103</v>
      </c>
      <c r="G2472" s="13">
        <v>263.0</v>
      </c>
      <c r="H2472" s="13">
        <v>29.0</v>
      </c>
      <c r="I2472" s="13">
        <v>0.0</v>
      </c>
      <c r="J2472" s="13">
        <v>0.0</v>
      </c>
      <c r="K2472" s="12" t="s">
        <v>21</v>
      </c>
      <c r="L2472" s="7">
        <v>41344.22679398148</v>
      </c>
      <c r="M2472" s="16"/>
      <c r="N2472" s="16"/>
      <c r="O2472" s="11" t="str">
        <f>HYPERLINK("https://pbs.twimg.com/profile_images/3603678378/d31921cc439fde30d738966b1cf5232f_normal.jpeg","View")</f>
        <v>View</v>
      </c>
      <c r="P2472" s="15"/>
    </row>
    <row r="2473">
      <c r="A2473" s="7">
        <v>42426.224490740744</v>
      </c>
      <c r="B2473" s="8" t="str">
        <f>HYPERLINK("https://twitter.com/py3k","@py3k")</f>
        <v>@py3k</v>
      </c>
      <c r="C2473" s="10" t="s">
        <v>297</v>
      </c>
      <c r="D2473" s="10" t="s">
        <v>5170</v>
      </c>
      <c r="E2473" s="11" t="str">
        <f>HYPERLINK("https://twitter.com/py3k/status/703208711158931458","703208711158931458")</f>
        <v>703208711158931458</v>
      </c>
      <c r="F2473" s="12" t="s">
        <v>299</v>
      </c>
      <c r="G2473" s="13">
        <v>1623.0</v>
      </c>
      <c r="H2473" s="13">
        <v>676.0</v>
      </c>
      <c r="I2473" s="13">
        <v>1.0</v>
      </c>
      <c r="J2473" s="13">
        <v>0.0</v>
      </c>
      <c r="K2473" s="12" t="s">
        <v>21</v>
      </c>
      <c r="L2473" s="7">
        <v>41096.62268518518</v>
      </c>
      <c r="M2473" s="16"/>
      <c r="N2473" s="14" t="s">
        <v>300</v>
      </c>
      <c r="O2473" s="11" t="str">
        <f>HYPERLINK("https://pbs.twimg.com/profile_images/2474433856/p075cerxh0arpea6ceip_normal.png","View")</f>
        <v>View</v>
      </c>
      <c r="P2473" s="15"/>
    </row>
    <row r="2474">
      <c r="A2474" s="7">
        <v>42426.22583333333</v>
      </c>
      <c r="B2474" s="8" t="str">
        <f t="shared" ref="B2474:B2483" si="259">HYPERLINK("https://twitter.com/artwisanggeni","@artwisanggeni")</f>
        <v>@artwisanggeni</v>
      </c>
      <c r="C2474" s="10" t="s">
        <v>74</v>
      </c>
      <c r="D2474" s="10" t="s">
        <v>5171</v>
      </c>
      <c r="E2474" s="11" t="str">
        <f>HYPERLINK("https://twitter.com/artwisanggeni/status/703209196624293888","703209196624293888")</f>
        <v>703209196624293888</v>
      </c>
      <c r="F2474" s="17" t="s">
        <v>76</v>
      </c>
      <c r="G2474" s="13">
        <v>236.0</v>
      </c>
      <c r="H2474" s="13">
        <v>61.0</v>
      </c>
      <c r="I2474" s="13">
        <v>0.0</v>
      </c>
      <c r="J2474" s="13">
        <v>0.0</v>
      </c>
      <c r="K2474" s="12" t="s">
        <v>21</v>
      </c>
      <c r="L2474" s="7">
        <v>41218.90608796296</v>
      </c>
      <c r="M2474" s="14" t="s">
        <v>77</v>
      </c>
      <c r="N2474" s="14" t="s">
        <v>78</v>
      </c>
      <c r="O2474" s="11" t="str">
        <f t="shared" ref="O2474:O2483" si="260">HYPERLINK("https://pbs.twimg.com/profile_images/2813636657/599521f69e2bc210a57323b64d8e39e6_normal.jpeg","View")</f>
        <v>View</v>
      </c>
      <c r="P2474" s="15"/>
    </row>
    <row r="2475">
      <c r="A2475" s="7">
        <v>42426.22583333333</v>
      </c>
      <c r="B2475" s="8" t="str">
        <f t="shared" si="259"/>
        <v>@artwisanggeni</v>
      </c>
      <c r="C2475" s="10" t="s">
        <v>74</v>
      </c>
      <c r="D2475" s="10" t="s">
        <v>5172</v>
      </c>
      <c r="E2475" s="11" t="str">
        <f>HYPERLINK("https://twitter.com/artwisanggeni/status/703209200067833856","703209200067833856")</f>
        <v>703209200067833856</v>
      </c>
      <c r="F2475" s="17" t="s">
        <v>76</v>
      </c>
      <c r="G2475" s="13">
        <v>236.0</v>
      </c>
      <c r="H2475" s="13">
        <v>61.0</v>
      </c>
      <c r="I2475" s="13">
        <v>0.0</v>
      </c>
      <c r="J2475" s="13">
        <v>0.0</v>
      </c>
      <c r="K2475" s="12" t="s">
        <v>21</v>
      </c>
      <c r="L2475" s="7">
        <v>41218.90608796296</v>
      </c>
      <c r="M2475" s="14" t="s">
        <v>77</v>
      </c>
      <c r="N2475" s="14" t="s">
        <v>78</v>
      </c>
      <c r="O2475" s="11" t="str">
        <f t="shared" si="260"/>
        <v>View</v>
      </c>
      <c r="P2475" s="15"/>
    </row>
    <row r="2476">
      <c r="A2476" s="7">
        <v>42426.22584490741</v>
      </c>
      <c r="B2476" s="8" t="str">
        <f t="shared" si="259"/>
        <v>@artwisanggeni</v>
      </c>
      <c r="C2476" s="10" t="s">
        <v>74</v>
      </c>
      <c r="D2476" s="10" t="s">
        <v>5173</v>
      </c>
      <c r="E2476" s="11" t="str">
        <f>HYPERLINK("https://twitter.com/artwisanggeni/status/703209202886422528","703209202886422528")</f>
        <v>703209202886422528</v>
      </c>
      <c r="F2476" s="17" t="s">
        <v>76</v>
      </c>
      <c r="G2476" s="13">
        <v>236.0</v>
      </c>
      <c r="H2476" s="13">
        <v>61.0</v>
      </c>
      <c r="I2476" s="13">
        <v>0.0</v>
      </c>
      <c r="J2476" s="13">
        <v>0.0</v>
      </c>
      <c r="K2476" s="12" t="s">
        <v>21</v>
      </c>
      <c r="L2476" s="7">
        <v>41218.90608796296</v>
      </c>
      <c r="M2476" s="14" t="s">
        <v>77</v>
      </c>
      <c r="N2476" s="14" t="s">
        <v>78</v>
      </c>
      <c r="O2476" s="11" t="str">
        <f t="shared" si="260"/>
        <v>View</v>
      </c>
      <c r="P2476" s="15"/>
    </row>
    <row r="2477">
      <c r="A2477" s="7">
        <v>42426.225856481484</v>
      </c>
      <c r="B2477" s="8" t="str">
        <f t="shared" si="259"/>
        <v>@artwisanggeni</v>
      </c>
      <c r="C2477" s="10" t="s">
        <v>74</v>
      </c>
      <c r="D2477" s="10" t="s">
        <v>5174</v>
      </c>
      <c r="E2477" s="11" t="str">
        <f>HYPERLINK("https://twitter.com/artwisanggeni/status/703209207403663360","703209207403663360")</f>
        <v>703209207403663360</v>
      </c>
      <c r="F2477" s="17" t="s">
        <v>76</v>
      </c>
      <c r="G2477" s="13">
        <v>236.0</v>
      </c>
      <c r="H2477" s="13">
        <v>61.0</v>
      </c>
      <c r="I2477" s="13">
        <v>0.0</v>
      </c>
      <c r="J2477" s="13">
        <v>0.0</v>
      </c>
      <c r="K2477" s="12" t="s">
        <v>21</v>
      </c>
      <c r="L2477" s="7">
        <v>41218.90608796296</v>
      </c>
      <c r="M2477" s="14" t="s">
        <v>77</v>
      </c>
      <c r="N2477" s="14" t="s">
        <v>78</v>
      </c>
      <c r="O2477" s="11" t="str">
        <f t="shared" si="260"/>
        <v>View</v>
      </c>
      <c r="P2477" s="15"/>
    </row>
    <row r="2478">
      <c r="A2478" s="7">
        <v>42426.22586805555</v>
      </c>
      <c r="B2478" s="8" t="str">
        <f t="shared" si="259"/>
        <v>@artwisanggeni</v>
      </c>
      <c r="C2478" s="10" t="s">
        <v>74</v>
      </c>
      <c r="D2478" s="10" t="s">
        <v>5175</v>
      </c>
      <c r="E2478" s="11" t="str">
        <f>HYPERLINK("https://twitter.com/artwisanggeni/status/703209210318729217","703209210318729217")</f>
        <v>703209210318729217</v>
      </c>
      <c r="F2478" s="17" t="s">
        <v>76</v>
      </c>
      <c r="G2478" s="13">
        <v>236.0</v>
      </c>
      <c r="H2478" s="13">
        <v>61.0</v>
      </c>
      <c r="I2478" s="13">
        <v>0.0</v>
      </c>
      <c r="J2478" s="13">
        <v>0.0</v>
      </c>
      <c r="K2478" s="12" t="s">
        <v>21</v>
      </c>
      <c r="L2478" s="7">
        <v>41218.90608796296</v>
      </c>
      <c r="M2478" s="14" t="s">
        <v>77</v>
      </c>
      <c r="N2478" s="14" t="s">
        <v>78</v>
      </c>
      <c r="O2478" s="11" t="str">
        <f t="shared" si="260"/>
        <v>View</v>
      </c>
      <c r="P2478" s="15"/>
    </row>
    <row r="2479">
      <c r="A2479" s="7">
        <v>42426.22587962963</v>
      </c>
      <c r="B2479" s="8" t="str">
        <f t="shared" si="259"/>
        <v>@artwisanggeni</v>
      </c>
      <c r="C2479" s="10" t="s">
        <v>74</v>
      </c>
      <c r="D2479" s="10" t="s">
        <v>5176</v>
      </c>
      <c r="E2479" s="11" t="str">
        <f>HYPERLINK("https://twitter.com/artwisanggeni/status/703209213414125568","703209213414125568")</f>
        <v>703209213414125568</v>
      </c>
      <c r="F2479" s="17" t="s">
        <v>76</v>
      </c>
      <c r="G2479" s="13">
        <v>236.0</v>
      </c>
      <c r="H2479" s="13">
        <v>61.0</v>
      </c>
      <c r="I2479" s="13">
        <v>0.0</v>
      </c>
      <c r="J2479" s="13">
        <v>0.0</v>
      </c>
      <c r="K2479" s="12" t="s">
        <v>21</v>
      </c>
      <c r="L2479" s="7">
        <v>41218.90608796296</v>
      </c>
      <c r="M2479" s="14" t="s">
        <v>77</v>
      </c>
      <c r="N2479" s="14" t="s">
        <v>78</v>
      </c>
      <c r="O2479" s="11" t="str">
        <f t="shared" si="260"/>
        <v>View</v>
      </c>
      <c r="P2479" s="15"/>
    </row>
    <row r="2480">
      <c r="A2480" s="7">
        <v>42426.22587962963</v>
      </c>
      <c r="B2480" s="8" t="str">
        <f t="shared" si="259"/>
        <v>@artwisanggeni</v>
      </c>
      <c r="C2480" s="10" t="s">
        <v>74</v>
      </c>
      <c r="D2480" s="10" t="s">
        <v>5177</v>
      </c>
      <c r="E2480" s="11" t="str">
        <f>HYPERLINK("https://twitter.com/artwisanggeni/status/703209216564015104","703209216564015104")</f>
        <v>703209216564015104</v>
      </c>
      <c r="F2480" s="17" t="s">
        <v>76</v>
      </c>
      <c r="G2480" s="13">
        <v>236.0</v>
      </c>
      <c r="H2480" s="13">
        <v>61.0</v>
      </c>
      <c r="I2480" s="13">
        <v>0.0</v>
      </c>
      <c r="J2480" s="13">
        <v>0.0</v>
      </c>
      <c r="K2480" s="12" t="s">
        <v>21</v>
      </c>
      <c r="L2480" s="7">
        <v>41218.90608796296</v>
      </c>
      <c r="M2480" s="14" t="s">
        <v>77</v>
      </c>
      <c r="N2480" s="14" t="s">
        <v>78</v>
      </c>
      <c r="O2480" s="11" t="str">
        <f t="shared" si="260"/>
        <v>View</v>
      </c>
      <c r="P2480" s="15"/>
    </row>
    <row r="2481">
      <c r="A2481" s="7">
        <v>42426.22589120371</v>
      </c>
      <c r="B2481" s="8" t="str">
        <f t="shared" si="259"/>
        <v>@artwisanggeni</v>
      </c>
      <c r="C2481" s="10" t="s">
        <v>74</v>
      </c>
      <c r="D2481" s="10" t="s">
        <v>5178</v>
      </c>
      <c r="E2481" s="11" t="str">
        <f>HYPERLINK("https://twitter.com/artwisanggeni/status/703209219105824768","703209219105824768")</f>
        <v>703209219105824768</v>
      </c>
      <c r="F2481" s="17" t="s">
        <v>76</v>
      </c>
      <c r="G2481" s="13">
        <v>236.0</v>
      </c>
      <c r="H2481" s="13">
        <v>61.0</v>
      </c>
      <c r="I2481" s="13">
        <v>0.0</v>
      </c>
      <c r="J2481" s="13">
        <v>0.0</v>
      </c>
      <c r="K2481" s="12" t="s">
        <v>21</v>
      </c>
      <c r="L2481" s="7">
        <v>41218.90608796296</v>
      </c>
      <c r="M2481" s="14" t="s">
        <v>77</v>
      </c>
      <c r="N2481" s="14" t="s">
        <v>78</v>
      </c>
      <c r="O2481" s="11" t="str">
        <f t="shared" si="260"/>
        <v>View</v>
      </c>
      <c r="P2481" s="15"/>
    </row>
    <row r="2482">
      <c r="A2482" s="7">
        <v>42426.225902777776</v>
      </c>
      <c r="B2482" s="8" t="str">
        <f t="shared" si="259"/>
        <v>@artwisanggeni</v>
      </c>
      <c r="C2482" s="10" t="s">
        <v>74</v>
      </c>
      <c r="D2482" s="10" t="s">
        <v>5179</v>
      </c>
      <c r="E2482" s="11" t="str">
        <f>HYPERLINK("https://twitter.com/artwisanggeni/status/703209222381506560","703209222381506560")</f>
        <v>703209222381506560</v>
      </c>
      <c r="F2482" s="17" t="s">
        <v>76</v>
      </c>
      <c r="G2482" s="13">
        <v>236.0</v>
      </c>
      <c r="H2482" s="13">
        <v>61.0</v>
      </c>
      <c r="I2482" s="13">
        <v>0.0</v>
      </c>
      <c r="J2482" s="13">
        <v>0.0</v>
      </c>
      <c r="K2482" s="12" t="s">
        <v>21</v>
      </c>
      <c r="L2482" s="7">
        <v>41218.90608796296</v>
      </c>
      <c r="M2482" s="14" t="s">
        <v>77</v>
      </c>
      <c r="N2482" s="14" t="s">
        <v>78</v>
      </c>
      <c r="O2482" s="11" t="str">
        <f t="shared" si="260"/>
        <v>View</v>
      </c>
      <c r="P2482" s="15"/>
    </row>
    <row r="2483">
      <c r="A2483" s="7">
        <v>42426.225902777776</v>
      </c>
      <c r="B2483" s="8" t="str">
        <f t="shared" si="259"/>
        <v>@artwisanggeni</v>
      </c>
      <c r="C2483" s="10" t="s">
        <v>74</v>
      </c>
      <c r="D2483" s="10" t="s">
        <v>5180</v>
      </c>
      <c r="E2483" s="11" t="str">
        <f>HYPERLINK("https://twitter.com/artwisanggeni/status/703209225028182016","703209225028182016")</f>
        <v>703209225028182016</v>
      </c>
      <c r="F2483" s="17" t="s">
        <v>76</v>
      </c>
      <c r="G2483" s="13">
        <v>236.0</v>
      </c>
      <c r="H2483" s="13">
        <v>61.0</v>
      </c>
      <c r="I2483" s="13">
        <v>0.0</v>
      </c>
      <c r="J2483" s="13">
        <v>0.0</v>
      </c>
      <c r="K2483" s="12" t="s">
        <v>21</v>
      </c>
      <c r="L2483" s="7">
        <v>41218.90608796296</v>
      </c>
      <c r="M2483" s="14" t="s">
        <v>77</v>
      </c>
      <c r="N2483" s="14" t="s">
        <v>78</v>
      </c>
      <c r="O2483" s="11" t="str">
        <f t="shared" si="260"/>
        <v>View</v>
      </c>
      <c r="P2483" s="15"/>
    </row>
    <row r="2484">
      <c r="A2484" s="7">
        <v>42426.22607638889</v>
      </c>
      <c r="B2484" s="8" t="str">
        <f>HYPERLINK("https://twitter.com/lyuich","@lyuich")</f>
        <v>@lyuich</v>
      </c>
      <c r="C2484" s="10" t="s">
        <v>5181</v>
      </c>
      <c r="D2484" s="10" t="s">
        <v>5182</v>
      </c>
      <c r="E2484" s="11" t="str">
        <f>HYPERLINK("https://twitter.com/lyuich/status/703209288198549504","703209288198549504")</f>
        <v>703209288198549504</v>
      </c>
      <c r="F2484" s="12" t="s">
        <v>20</v>
      </c>
      <c r="G2484" s="13">
        <v>67.0</v>
      </c>
      <c r="H2484" s="13">
        <v>345.0</v>
      </c>
      <c r="I2484" s="13">
        <v>0.0</v>
      </c>
      <c r="J2484" s="13">
        <v>0.0</v>
      </c>
      <c r="K2484" s="12" t="s">
        <v>21</v>
      </c>
      <c r="L2484" s="7">
        <v>42079.06822916667</v>
      </c>
      <c r="M2484" s="16"/>
      <c r="N2484" s="16"/>
      <c r="O2484" s="11" t="str">
        <f>HYPERLINK("https://pbs.twimg.com/profile_images/694724153337720832/3fTb5wAI_normal.jpg","View")</f>
        <v>View</v>
      </c>
      <c r="P2484" s="15"/>
    </row>
    <row r="2485">
      <c r="A2485" s="7">
        <v>42426.227222222224</v>
      </c>
      <c r="B2485" s="8" t="str">
        <f>HYPERLINK("https://twitter.com/programmingncr","@programmingncr")</f>
        <v>@programmingncr</v>
      </c>
      <c r="C2485" s="10" t="s">
        <v>262</v>
      </c>
      <c r="D2485" s="10" t="s">
        <v>5183</v>
      </c>
      <c r="E2485" s="11" t="str">
        <f>HYPERLINK("https://twitter.com/programmingncr/status/703209703241863168","703209703241863168")</f>
        <v>703209703241863168</v>
      </c>
      <c r="F2485" s="12" t="s">
        <v>103</v>
      </c>
      <c r="G2485" s="13">
        <v>328.0</v>
      </c>
      <c r="H2485" s="13">
        <v>99.0</v>
      </c>
      <c r="I2485" s="13">
        <v>0.0</v>
      </c>
      <c r="J2485" s="13">
        <v>0.0</v>
      </c>
      <c r="K2485" s="12" t="s">
        <v>21</v>
      </c>
      <c r="L2485" s="7">
        <v>42220.86634259259</v>
      </c>
      <c r="M2485" s="14" t="s">
        <v>264</v>
      </c>
      <c r="N2485" s="14" t="s">
        <v>265</v>
      </c>
      <c r="O2485" s="11" t="str">
        <f>HYPERLINK("https://pbs.twimg.com/profile_images/662602436222193664/qKuvsfnG_normal.jpg","View")</f>
        <v>View</v>
      </c>
      <c r="P2485" s="15"/>
    </row>
    <row r="2486">
      <c r="A2486" s="7">
        <v>42426.22797453703</v>
      </c>
      <c r="B2486" s="8" t="str">
        <f>HYPERLINK("https://twitter.com/jessamynsmith","@jessamynsmith")</f>
        <v>@jessamynsmith</v>
      </c>
      <c r="C2486" s="10" t="s">
        <v>5184</v>
      </c>
      <c r="D2486" s="10" t="s">
        <v>5185</v>
      </c>
      <c r="E2486" s="11" t="str">
        <f>HYPERLINK("https://twitter.com/jessamynsmith/status/703209975548649472","703209975548649472")</f>
        <v>703209975548649472</v>
      </c>
      <c r="F2486" s="12" t="s">
        <v>20</v>
      </c>
      <c r="G2486" s="13">
        <v>927.0</v>
      </c>
      <c r="H2486" s="13">
        <v>801.0</v>
      </c>
      <c r="I2486" s="13">
        <v>1.0</v>
      </c>
      <c r="J2486" s="13">
        <v>0.0</v>
      </c>
      <c r="K2486" s="12" t="s">
        <v>21</v>
      </c>
      <c r="L2486" s="7">
        <v>40720.71934027778</v>
      </c>
      <c r="M2486" s="14" t="s">
        <v>5139</v>
      </c>
      <c r="N2486" s="14" t="s">
        <v>5186</v>
      </c>
      <c r="O2486" s="11" t="str">
        <f>HYPERLINK("https://pbs.twimg.com/profile_images/564143878270242816/MB1IFyL7_normal.jpeg","View")</f>
        <v>View</v>
      </c>
      <c r="P2486" s="15"/>
    </row>
    <row r="2487">
      <c r="A2487" s="7">
        <v>42426.228101851855</v>
      </c>
      <c r="B2487" s="8" t="str">
        <f>HYPERLINK("https://twitter.com/Jgonzalezmilla","@Jgonzalezmilla")</f>
        <v>@Jgonzalezmilla</v>
      </c>
      <c r="C2487" s="10" t="s">
        <v>5187</v>
      </c>
      <c r="D2487" s="10" t="s">
        <v>5188</v>
      </c>
      <c r="E2487" s="11" t="str">
        <f>HYPERLINK("https://twitter.com/Jgonzalezmilla/status/703210021266403328","703210021266403328")</f>
        <v>703210021266403328</v>
      </c>
      <c r="F2487" s="12" t="s">
        <v>20</v>
      </c>
      <c r="G2487" s="13">
        <v>227.0</v>
      </c>
      <c r="H2487" s="13">
        <v>736.0</v>
      </c>
      <c r="I2487" s="13">
        <v>0.0</v>
      </c>
      <c r="J2487" s="13">
        <v>0.0</v>
      </c>
      <c r="K2487" s="12" t="s">
        <v>21</v>
      </c>
      <c r="L2487" s="7">
        <v>42307.568877314814</v>
      </c>
      <c r="M2487" s="14" t="s">
        <v>5189</v>
      </c>
      <c r="N2487" s="14" t="s">
        <v>5190</v>
      </c>
      <c r="O2487" s="11" t="str">
        <f>HYPERLINK("https://pbs.twimg.com/profile_images/660439145874108416/xYoJxreH_normal.jpg","View")</f>
        <v>View</v>
      </c>
      <c r="P2487" s="15"/>
    </row>
    <row r="2488">
      <c r="A2488" s="7">
        <v>42426.2281712963</v>
      </c>
      <c r="B2488" s="8" t="str">
        <f>HYPERLINK("https://twitter.com/JoshuaLongUK","@JoshuaLongUK")</f>
        <v>@JoshuaLongUK</v>
      </c>
      <c r="C2488" s="10" t="s">
        <v>101</v>
      </c>
      <c r="D2488" s="10" t="s">
        <v>5191</v>
      </c>
      <c r="E2488" s="11" t="str">
        <f>HYPERLINK("https://twitter.com/JoshuaLongUK/status/703210045341884416","703210045341884416")</f>
        <v>703210045341884416</v>
      </c>
      <c r="F2488" s="12" t="s">
        <v>103</v>
      </c>
      <c r="G2488" s="13">
        <v>25832.0</v>
      </c>
      <c r="H2488" s="13">
        <v>93.0</v>
      </c>
      <c r="I2488" s="13">
        <v>0.0</v>
      </c>
      <c r="J2488" s="13">
        <v>0.0</v>
      </c>
      <c r="K2488" s="12" t="s">
        <v>21</v>
      </c>
      <c r="L2488" s="7">
        <v>41149.39659722222</v>
      </c>
      <c r="M2488" s="14" t="s">
        <v>104</v>
      </c>
      <c r="N2488" s="14" t="s">
        <v>105</v>
      </c>
      <c r="O2488" s="11" t="str">
        <f>HYPERLINK("https://pbs.twimg.com/profile_images/627996138403168256/DaASdgVr_normal.jpg","View")</f>
        <v>View</v>
      </c>
      <c r="P2488" s="15"/>
    </row>
    <row r="2489">
      <c r="A2489" s="7">
        <v>42426.22943287037</v>
      </c>
      <c r="B2489" s="8" t="str">
        <f>HYPERLINK("https://twitter.com/AnalyticsVidhya","@AnalyticsVidhya")</f>
        <v>@AnalyticsVidhya</v>
      </c>
      <c r="C2489" s="10" t="s">
        <v>2998</v>
      </c>
      <c r="D2489" s="10" t="s">
        <v>5192</v>
      </c>
      <c r="E2489" s="11" t="str">
        <f>HYPERLINK("https://twitter.com/AnalyticsVidhya/status/703210504194547712","703210504194547712")</f>
        <v>703210504194547712</v>
      </c>
      <c r="F2489" s="12" t="s">
        <v>294</v>
      </c>
      <c r="G2489" s="13">
        <v>4133.0</v>
      </c>
      <c r="H2489" s="13">
        <v>250.0</v>
      </c>
      <c r="I2489" s="13">
        <v>1.0</v>
      </c>
      <c r="J2489" s="13">
        <v>1.0</v>
      </c>
      <c r="K2489" s="12" t="s">
        <v>21</v>
      </c>
      <c r="L2489" s="7">
        <v>41665.11702546296</v>
      </c>
      <c r="M2489" s="16"/>
      <c r="N2489" s="14" t="s">
        <v>3000</v>
      </c>
      <c r="O2489" s="11" t="str">
        <f>HYPERLINK("https://pbs.twimg.com/profile_images/457775762108448768/XmO2C1-E_normal.png","View")</f>
        <v>View</v>
      </c>
      <c r="P2489" s="15"/>
    </row>
    <row r="2490">
      <c r="A2490" s="7">
        <v>42426.229525462964</v>
      </c>
      <c r="B2490" s="8" t="str">
        <f>HYPERLINK("https://twitter.com/clockworkTalent","@clockworkTalent")</f>
        <v>@clockworkTalent</v>
      </c>
      <c r="C2490" s="10" t="s">
        <v>591</v>
      </c>
      <c r="D2490" s="10" t="s">
        <v>5193</v>
      </c>
      <c r="E2490" s="11" t="str">
        <f>HYPERLINK("https://twitter.com/clockworkTalent/status/703210537077891073","703210537077891073")</f>
        <v>703210537077891073</v>
      </c>
      <c r="F2490" s="12" t="s">
        <v>659</v>
      </c>
      <c r="G2490" s="13">
        <v>1859.0</v>
      </c>
      <c r="H2490" s="13">
        <v>2627.0</v>
      </c>
      <c r="I2490" s="13">
        <v>0.0</v>
      </c>
      <c r="J2490" s="13">
        <v>0.0</v>
      </c>
      <c r="K2490" s="12" t="s">
        <v>21</v>
      </c>
      <c r="L2490" s="7">
        <v>41305.12814814815</v>
      </c>
      <c r="M2490" s="14" t="s">
        <v>593</v>
      </c>
      <c r="N2490" s="14" t="s">
        <v>594</v>
      </c>
      <c r="O2490" s="11" t="str">
        <f>HYPERLINK("https://pbs.twimg.com/profile_images/601659762791550977/ZyOxTkIE_normal.jpg","View")</f>
        <v>View</v>
      </c>
      <c r="P2490" s="15"/>
    </row>
    <row r="2491">
      <c r="A2491" s="7">
        <v>42426.23023148148</v>
      </c>
      <c r="B2491" s="8" t="str">
        <f>HYPERLINK("https://twitter.com/cool_python","@cool_python")</f>
        <v>@cool_python</v>
      </c>
      <c r="C2491" s="10" t="s">
        <v>249</v>
      </c>
      <c r="D2491" s="10" t="s">
        <v>5194</v>
      </c>
      <c r="E2491" s="11" t="str">
        <f>HYPERLINK("https://twitter.com/cool_python/status/703210790929698816","703210790929698816")</f>
        <v>703210790929698816</v>
      </c>
      <c r="F2491" s="12" t="s">
        <v>251</v>
      </c>
      <c r="G2491" s="13">
        <v>235.0</v>
      </c>
      <c r="H2491" s="13">
        <v>91.0</v>
      </c>
      <c r="I2491" s="13">
        <v>1.0</v>
      </c>
      <c r="J2491" s="13">
        <v>0.0</v>
      </c>
      <c r="K2491" s="12" t="s">
        <v>21</v>
      </c>
      <c r="L2491" s="7">
        <v>42064.325</v>
      </c>
      <c r="M2491" s="14" t="s">
        <v>252</v>
      </c>
      <c r="N2491" s="14" t="s">
        <v>253</v>
      </c>
      <c r="O2491" s="11" t="str">
        <f>HYPERLINK("https://pbs.twimg.com/profile_images/572091631055028224/Pkx__FSB_normal.png","View")</f>
        <v>View</v>
      </c>
      <c r="P2491" s="15"/>
    </row>
    <row r="2492">
      <c r="A2492" s="7">
        <v>42426.23038194445</v>
      </c>
      <c r="B2492" s="8" t="str">
        <f>HYPERLINK("https://twitter.com/ninovsnino","@ninovsnino")</f>
        <v>@ninovsnino</v>
      </c>
      <c r="C2492" s="10" t="s">
        <v>5195</v>
      </c>
      <c r="D2492" s="10" t="s">
        <v>5196</v>
      </c>
      <c r="E2492" s="11" t="str">
        <f>HYPERLINK("https://twitter.com/ninovsnino/status/703210846793519104","703210846793519104")</f>
        <v>703210846793519104</v>
      </c>
      <c r="F2492" s="12" t="s">
        <v>20</v>
      </c>
      <c r="G2492" s="13">
        <v>274.0</v>
      </c>
      <c r="H2492" s="13">
        <v>597.0</v>
      </c>
      <c r="I2492" s="13">
        <v>5.0</v>
      </c>
      <c r="J2492" s="13">
        <v>0.0</v>
      </c>
      <c r="K2492" s="12" t="s">
        <v>21</v>
      </c>
      <c r="L2492" s="7">
        <v>40305.784363425926</v>
      </c>
      <c r="M2492" s="14" t="s">
        <v>3482</v>
      </c>
      <c r="N2492" s="14" t="s">
        <v>5197</v>
      </c>
      <c r="O2492" s="11" t="str">
        <f>HYPERLINK("https://pbs.twimg.com/profile_images/433461831395311616/J4GYY0_e_normal.jpeg","View")</f>
        <v>View</v>
      </c>
      <c r="P2492" s="15"/>
    </row>
    <row r="2493">
      <c r="A2493" s="7">
        <v>42426.23042824074</v>
      </c>
      <c r="B2493" s="8" t="str">
        <f>HYPERLINK("https://twitter.com/SecurityTube","@SecurityTube")</f>
        <v>@SecurityTube</v>
      </c>
      <c r="C2493" s="10" t="s">
        <v>5198</v>
      </c>
      <c r="D2493" s="10" t="s">
        <v>5199</v>
      </c>
      <c r="E2493" s="11" t="str">
        <f>HYPERLINK("https://twitter.com/SecurityTube/status/703210863075971072","703210863075971072")</f>
        <v>703210863075971072</v>
      </c>
      <c r="F2493" s="12" t="s">
        <v>659</v>
      </c>
      <c r="G2493" s="13">
        <v>88857.0</v>
      </c>
      <c r="H2493" s="13">
        <v>10048.0</v>
      </c>
      <c r="I2493" s="13">
        <v>3.0</v>
      </c>
      <c r="J2493" s="13">
        <v>7.0</v>
      </c>
      <c r="K2493" s="12" t="s">
        <v>21</v>
      </c>
      <c r="L2493" s="7">
        <v>39854.3734837963</v>
      </c>
      <c r="M2493" s="14" t="s">
        <v>5200</v>
      </c>
      <c r="N2493" s="14" t="s">
        <v>5201</v>
      </c>
      <c r="O2493" s="11" t="str">
        <f>HYPERLINK("https://pbs.twimg.com/profile_images/684304046975483904/i8NbiURh_normal.jpg","View")</f>
        <v>View</v>
      </c>
      <c r="P2493" s="15"/>
    </row>
    <row r="2494">
      <c r="A2494" s="7">
        <v>42426.23065972222</v>
      </c>
      <c r="B2494" s="8" t="str">
        <f>HYPERLINK("https://twitter.com/thefrenchsmith","@thefrenchsmith")</f>
        <v>@thefrenchsmith</v>
      </c>
      <c r="C2494" s="10" t="s">
        <v>5202</v>
      </c>
      <c r="D2494" s="10" t="s">
        <v>1653</v>
      </c>
      <c r="E2494" s="11" t="str">
        <f>HYPERLINK("https://twitter.com/thefrenchsmith/status/703210948736229380","703210948736229380")</f>
        <v>703210948736229380</v>
      </c>
      <c r="F2494" s="12" t="s">
        <v>20</v>
      </c>
      <c r="G2494" s="13">
        <v>1003.0</v>
      </c>
      <c r="H2494" s="13">
        <v>966.0</v>
      </c>
      <c r="I2494" s="13">
        <v>8.0</v>
      </c>
      <c r="J2494" s="13">
        <v>0.0</v>
      </c>
      <c r="K2494" s="12" t="s">
        <v>21</v>
      </c>
      <c r="L2494" s="7">
        <v>42202.33155092593</v>
      </c>
      <c r="M2494" s="14" t="s">
        <v>2002</v>
      </c>
      <c r="N2494" s="14" t="s">
        <v>5203</v>
      </c>
      <c r="O2494" s="11" t="str">
        <f>HYPERLINK("https://pbs.twimg.com/profile_images/622159941307138048/5ralgs16_normal.jpg","View")</f>
        <v>View</v>
      </c>
      <c r="P2494" s="15"/>
    </row>
    <row r="2495">
      <c r="A2495" s="7">
        <v>42426.23103009259</v>
      </c>
      <c r="B2495" s="8" t="str">
        <f>HYPERLINK("https://twitter.com/Brighton_Hour","@Brighton_Hour")</f>
        <v>@Brighton_Hour</v>
      </c>
      <c r="C2495" s="10" t="s">
        <v>5204</v>
      </c>
      <c r="D2495" s="10" t="s">
        <v>2097</v>
      </c>
      <c r="E2495" s="11" t="str">
        <f>HYPERLINK("https://twitter.com/Brighton_Hour/status/703211083381788672","703211083381788672")</f>
        <v>703211083381788672</v>
      </c>
      <c r="F2495" s="12" t="s">
        <v>659</v>
      </c>
      <c r="G2495" s="13">
        <v>5058.0</v>
      </c>
      <c r="H2495" s="13">
        <v>4158.0</v>
      </c>
      <c r="I2495" s="13">
        <v>2.0</v>
      </c>
      <c r="J2495" s="13">
        <v>0.0</v>
      </c>
      <c r="K2495" s="12" t="s">
        <v>21</v>
      </c>
      <c r="L2495" s="7">
        <v>41577.23778935185</v>
      </c>
      <c r="M2495" s="14" t="s">
        <v>5205</v>
      </c>
      <c r="N2495" s="14" t="s">
        <v>5206</v>
      </c>
      <c r="O2495" s="11" t="str">
        <f>HYPERLINK("https://pbs.twimg.com/profile_images/378800000669180211/c389cef79cacc7cf59f420caf65a4dbc_normal.jpeg","View")</f>
        <v>View</v>
      </c>
      <c r="P2495" s="15"/>
    </row>
    <row r="2496">
      <c r="A2496" s="7">
        <v>42426.23114583333</v>
      </c>
      <c r="B2496" s="8" t="str">
        <f>HYPERLINK("https://twitter.com/quantumzone","@quantumzone")</f>
        <v>@quantumzone</v>
      </c>
      <c r="C2496" s="10" t="s">
        <v>5207</v>
      </c>
      <c r="D2496" s="10" t="s">
        <v>5208</v>
      </c>
      <c r="E2496" s="11" t="str">
        <f>HYPERLINK("https://twitter.com/quantumzone/status/703211123965763585","703211123965763585")</f>
        <v>703211123965763585</v>
      </c>
      <c r="F2496" s="12" t="s">
        <v>52</v>
      </c>
      <c r="G2496" s="13">
        <v>212.0</v>
      </c>
      <c r="H2496" s="13">
        <v>854.0</v>
      </c>
      <c r="I2496" s="13">
        <v>3.0</v>
      </c>
      <c r="J2496" s="13">
        <v>0.0</v>
      </c>
      <c r="K2496" s="12" t="s">
        <v>21</v>
      </c>
      <c r="L2496" s="7">
        <v>39917.804606481484</v>
      </c>
      <c r="M2496" s="16"/>
      <c r="N2496" s="14" t="s">
        <v>5209</v>
      </c>
      <c r="O2496" s="11" t="str">
        <f>HYPERLINK("https://pbs.twimg.com/profile_images/138424173/allseeingeye_normal.png","View")</f>
        <v>View</v>
      </c>
      <c r="P2496" s="15"/>
    </row>
    <row r="2497">
      <c r="A2497" s="7">
        <v>42426.23277777778</v>
      </c>
      <c r="B2497" s="8" t="str">
        <f>HYPERLINK("https://twitter.com/isimarjeetsingh","@isimarjeetsingh")</f>
        <v>@isimarjeetsingh</v>
      </c>
      <c r="C2497" s="10" t="s">
        <v>1695</v>
      </c>
      <c r="D2497" s="10" t="s">
        <v>1653</v>
      </c>
      <c r="E2497" s="11" t="str">
        <f>HYPERLINK("https://twitter.com/isimarjeetsingh/status/703211715375308800","703211715375308800")</f>
        <v>703211715375308800</v>
      </c>
      <c r="F2497" s="12" t="s">
        <v>1696</v>
      </c>
      <c r="G2497" s="13">
        <v>127.0</v>
      </c>
      <c r="H2497" s="13">
        <v>33.0</v>
      </c>
      <c r="I2497" s="13">
        <v>8.0</v>
      </c>
      <c r="J2497" s="13">
        <v>0.0</v>
      </c>
      <c r="K2497" s="12" t="s">
        <v>21</v>
      </c>
      <c r="L2497" s="7">
        <v>40432.44851851852</v>
      </c>
      <c r="M2497" s="14" t="s">
        <v>1697</v>
      </c>
      <c r="N2497" s="16"/>
      <c r="O2497" s="11" t="str">
        <f>HYPERLINK("https://pbs.twimg.com/profile_images/1410657635/gjuihiuhihioh_normal.JPG","View")</f>
        <v>View</v>
      </c>
      <c r="P2497" s="15"/>
    </row>
    <row r="2498">
      <c r="A2498" s="7">
        <v>42426.232835648145</v>
      </c>
      <c r="B2498" s="8" t="str">
        <f>HYPERLINK("https://twitter.com/homeAIinfo","@homeAIinfo")</f>
        <v>@homeAIinfo</v>
      </c>
      <c r="C2498" s="10" t="s">
        <v>36</v>
      </c>
      <c r="D2498" s="10" t="s">
        <v>5210</v>
      </c>
      <c r="E2498" s="11" t="str">
        <f>HYPERLINK("https://twitter.com/homeAIinfo/status/703211734522306560","703211734522306560")</f>
        <v>703211734522306560</v>
      </c>
      <c r="F2498" s="12" t="s">
        <v>38</v>
      </c>
      <c r="G2498" s="13">
        <v>52868.0</v>
      </c>
      <c r="H2498" s="13">
        <v>1328.0</v>
      </c>
      <c r="I2498" s="13">
        <v>1.0</v>
      </c>
      <c r="J2498" s="13">
        <v>0.0</v>
      </c>
      <c r="K2498" s="12" t="s">
        <v>21</v>
      </c>
      <c r="L2498" s="7">
        <v>42133.34662037037</v>
      </c>
      <c r="M2498" s="14" t="s">
        <v>39</v>
      </c>
      <c r="N2498" s="14" t="s">
        <v>40</v>
      </c>
      <c r="O2498" s="11" t="str">
        <f>HYPERLINK("https://pbs.twimg.com/profile_images/645650110374936580/-oQakt8x_normal.png","View")</f>
        <v>View</v>
      </c>
      <c r="P2498" s="15"/>
    </row>
    <row r="2499">
      <c r="A2499" s="7">
        <v>42426.23298611111</v>
      </c>
      <c r="B2499" s="8" t="str">
        <f>HYPERLINK("https://twitter.com/AdamSmitht1","@AdamSmitht1")</f>
        <v>@AdamSmitht1</v>
      </c>
      <c r="C2499" s="10" t="s">
        <v>468</v>
      </c>
      <c r="D2499" s="10" t="s">
        <v>5211</v>
      </c>
      <c r="E2499" s="11" t="str">
        <f>HYPERLINK("https://twitter.com/AdamSmitht1/status/703211792084893696","703211792084893696")</f>
        <v>703211792084893696</v>
      </c>
      <c r="F2499" s="12" t="s">
        <v>103</v>
      </c>
      <c r="G2499" s="13">
        <v>849.0</v>
      </c>
      <c r="H2499" s="13">
        <v>793.0</v>
      </c>
      <c r="I2499" s="13">
        <v>0.0</v>
      </c>
      <c r="J2499" s="13">
        <v>0.0</v>
      </c>
      <c r="K2499" s="12" t="s">
        <v>21</v>
      </c>
      <c r="L2499" s="7">
        <v>42336.12709490741</v>
      </c>
      <c r="M2499" s="14" t="s">
        <v>470</v>
      </c>
      <c r="N2499" s="14" t="s">
        <v>471</v>
      </c>
      <c r="O2499" s="11" t="str">
        <f>HYPERLINK("https://pbs.twimg.com/profile_images/671623862916812800/yGsDKiP4_normal.jpg","View")</f>
        <v>View</v>
      </c>
      <c r="P2499" s="15"/>
    </row>
    <row r="2500">
      <c r="A2500" s="7">
        <v>42426.23299768519</v>
      </c>
      <c r="B2500" s="8" t="str">
        <f>HYPERLINK("https://twitter.com/muayyadalsadi","@muayyadalsadi")</f>
        <v>@muayyadalsadi</v>
      </c>
      <c r="C2500" s="20" t="s">
        <v>5212</v>
      </c>
      <c r="D2500" s="10" t="s">
        <v>4211</v>
      </c>
      <c r="E2500" s="11" t="str">
        <f>HYPERLINK("https://twitter.com/muayyadalsadi/status/703211793657655296","703211793657655296")</f>
        <v>703211793657655296</v>
      </c>
      <c r="F2500" s="12" t="s">
        <v>2063</v>
      </c>
      <c r="G2500" s="13">
        <v>530.0</v>
      </c>
      <c r="H2500" s="13">
        <v>139.0</v>
      </c>
      <c r="I2500" s="13">
        <v>55.0</v>
      </c>
      <c r="J2500" s="13">
        <v>0.0</v>
      </c>
      <c r="K2500" s="12" t="s">
        <v>21</v>
      </c>
      <c r="L2500" s="7">
        <v>40535.252071759256</v>
      </c>
      <c r="M2500" s="16"/>
      <c r="N2500" s="21" t="s">
        <v>5213</v>
      </c>
      <c r="O2500" s="11" t="str">
        <f>HYPERLINK("https://pbs.twimg.com/profile_images/497274908699660288/T-e717dV_normal.png","View")</f>
        <v>View</v>
      </c>
      <c r="P2500" s="15"/>
    </row>
    <row r="2501">
      <c r="A2501" s="7">
        <v>42426.23334490741</v>
      </c>
      <c r="B2501" s="8" t="str">
        <f>HYPERLINK("https://twitter.com/MathFlashcards","@MathFlashcards")</f>
        <v>@MathFlashcards</v>
      </c>
      <c r="C2501" s="10" t="s">
        <v>5214</v>
      </c>
      <c r="D2501" s="10" t="s">
        <v>5215</v>
      </c>
      <c r="E2501" s="11" t="str">
        <f>HYPERLINK("https://twitter.com/MathFlashcards/status/703211920665411585","703211920665411585")</f>
        <v>703211920665411585</v>
      </c>
      <c r="F2501" s="12" t="s">
        <v>5216</v>
      </c>
      <c r="G2501" s="13">
        <v>1333.0</v>
      </c>
      <c r="H2501" s="13">
        <v>2025.0</v>
      </c>
      <c r="I2501" s="13">
        <v>0.0</v>
      </c>
      <c r="J2501" s="13">
        <v>0.0</v>
      </c>
      <c r="K2501" s="12" t="s">
        <v>21</v>
      </c>
      <c r="L2501" s="7">
        <v>41856.80571759259</v>
      </c>
      <c r="M2501" s="14" t="s">
        <v>379</v>
      </c>
      <c r="N2501" s="14" t="s">
        <v>5217</v>
      </c>
      <c r="O2501" s="11" t="str">
        <f>HYPERLINK("https://pbs.twimg.com/profile_images/496845076304101376/nyUffD1o_normal.png","View")</f>
        <v>View</v>
      </c>
      <c r="P2501" s="15"/>
    </row>
    <row r="2502">
      <c r="A2502" s="7">
        <v>42426.23379629629</v>
      </c>
      <c r="B2502" s="8" t="str">
        <f>HYPERLINK("https://twitter.com/py3k","@py3k")</f>
        <v>@py3k</v>
      </c>
      <c r="C2502" s="10" t="s">
        <v>297</v>
      </c>
      <c r="D2502" s="10" t="s">
        <v>5218</v>
      </c>
      <c r="E2502" s="11" t="str">
        <f>HYPERLINK("https://twitter.com/py3k/status/703212083463233536","703212083463233536")</f>
        <v>703212083463233536</v>
      </c>
      <c r="F2502" s="12" t="s">
        <v>299</v>
      </c>
      <c r="G2502" s="13">
        <v>1623.0</v>
      </c>
      <c r="H2502" s="13">
        <v>676.0</v>
      </c>
      <c r="I2502" s="13">
        <v>1.0</v>
      </c>
      <c r="J2502" s="13">
        <v>0.0</v>
      </c>
      <c r="K2502" s="12" t="s">
        <v>21</v>
      </c>
      <c r="L2502" s="7">
        <v>41096.62268518518</v>
      </c>
      <c r="M2502" s="16"/>
      <c r="N2502" s="14" t="s">
        <v>300</v>
      </c>
      <c r="O2502" s="11" t="str">
        <f>HYPERLINK("https://pbs.twimg.com/profile_images/2474433856/p075cerxh0arpea6ceip_normal.png","View")</f>
        <v>View</v>
      </c>
      <c r="P2502" s="15"/>
    </row>
    <row r="2503">
      <c r="A2503" s="7">
        <v>42426.233923611115</v>
      </c>
      <c r="B2503" s="8" t="str">
        <f>HYPERLINK("https://twitter.com/startechwall","@startechwall")</f>
        <v>@startechwall</v>
      </c>
      <c r="C2503" s="10" t="s">
        <v>1478</v>
      </c>
      <c r="D2503" s="10" t="s">
        <v>5219</v>
      </c>
      <c r="E2503" s="11" t="str">
        <f>HYPERLINK("https://twitter.com/startechwall/status/703212128178716672","703212128178716672")</f>
        <v>703212128178716672</v>
      </c>
      <c r="F2503" s="12" t="s">
        <v>103</v>
      </c>
      <c r="G2503" s="13">
        <v>557.0</v>
      </c>
      <c r="H2503" s="13">
        <v>859.0</v>
      </c>
      <c r="I2503" s="13">
        <v>0.0</v>
      </c>
      <c r="J2503" s="13">
        <v>0.0</v>
      </c>
      <c r="K2503" s="12" t="s">
        <v>21</v>
      </c>
      <c r="L2503" s="7">
        <v>42360.959502314814</v>
      </c>
      <c r="M2503" s="14" t="s">
        <v>1480</v>
      </c>
      <c r="N2503" s="14" t="s">
        <v>1481</v>
      </c>
      <c r="O2503" s="11" t="str">
        <f>HYPERLINK("https://pbs.twimg.com/profile_images/679566117187145728/UUo30Zpm_normal.jpg","View")</f>
        <v>View</v>
      </c>
      <c r="P2503" s="15"/>
    </row>
    <row r="2504">
      <c r="A2504" s="7">
        <v>42426.233923611115</v>
      </c>
      <c r="B2504" s="8" t="str">
        <f>HYPERLINK("https://twitter.com/TychoTa","@TychoTa")</f>
        <v>@TychoTa</v>
      </c>
      <c r="C2504" s="10" t="s">
        <v>5220</v>
      </c>
      <c r="D2504" s="10" t="s">
        <v>4085</v>
      </c>
      <c r="E2504" s="11" t="str">
        <f>HYPERLINK("https://twitter.com/TychoTa/status/703212130019856390","703212130019856390")</f>
        <v>703212130019856390</v>
      </c>
      <c r="F2504" s="12" t="s">
        <v>152</v>
      </c>
      <c r="G2504" s="13">
        <v>49.0</v>
      </c>
      <c r="H2504" s="13">
        <v>299.0</v>
      </c>
      <c r="I2504" s="13">
        <v>2.0</v>
      </c>
      <c r="J2504" s="13">
        <v>0.0</v>
      </c>
      <c r="K2504" s="12" t="s">
        <v>21</v>
      </c>
      <c r="L2504" s="7">
        <v>41036.346400462964</v>
      </c>
      <c r="M2504" s="14" t="s">
        <v>2002</v>
      </c>
      <c r="N2504" s="16"/>
      <c r="O2504" s="11" t="str">
        <f>HYPERLINK("https://pbs.twimg.com/profile_images/631894467612647424/cggm6Khg_normal.jpg","View")</f>
        <v>View</v>
      </c>
      <c r="P2504" s="15"/>
    </row>
    <row r="2505">
      <c r="A2505" s="7">
        <v>42426.23403935185</v>
      </c>
      <c r="B2505" s="8" t="str">
        <f>HYPERLINK("https://twitter.com/adamos94","@adamos94")</f>
        <v>@adamos94</v>
      </c>
      <c r="C2505" s="10" t="s">
        <v>5221</v>
      </c>
      <c r="D2505" s="10" t="s">
        <v>1653</v>
      </c>
      <c r="E2505" s="11" t="str">
        <f>HYPERLINK("https://twitter.com/adamos94/status/703212172202024960","703212172202024960")</f>
        <v>703212172202024960</v>
      </c>
      <c r="F2505" s="12" t="s">
        <v>52</v>
      </c>
      <c r="G2505" s="13">
        <v>85.0</v>
      </c>
      <c r="H2505" s="13">
        <v>76.0</v>
      </c>
      <c r="I2505" s="13">
        <v>8.0</v>
      </c>
      <c r="J2505" s="13">
        <v>0.0</v>
      </c>
      <c r="K2505" s="12" t="s">
        <v>21</v>
      </c>
      <c r="L2505" s="7">
        <v>40226.052569444444</v>
      </c>
      <c r="M2505" s="14" t="s">
        <v>241</v>
      </c>
      <c r="N2505" s="14" t="s">
        <v>5222</v>
      </c>
      <c r="O2505" s="11" t="str">
        <f>HYPERLINK("https://pbs.twimg.com/profile_images/617219010548080640/rjMDramL_normal.jpg","View")</f>
        <v>View</v>
      </c>
      <c r="P2505" s="15"/>
    </row>
    <row r="2506">
      <c r="A2506" s="7">
        <v>42426.23453703704</v>
      </c>
      <c r="B2506" s="8" t="str">
        <f>HYPERLINK("https://twitter.com/craiggwilson","@craiggwilson")</f>
        <v>@craiggwilson</v>
      </c>
      <c r="C2506" s="10" t="s">
        <v>5223</v>
      </c>
      <c r="D2506" s="10" t="s">
        <v>5196</v>
      </c>
      <c r="E2506" s="11" t="str">
        <f>HYPERLINK("https://twitter.com/craiggwilson/status/703212354234769408","703212354234769408")</f>
        <v>703212354234769408</v>
      </c>
      <c r="F2506" s="12" t="s">
        <v>20</v>
      </c>
      <c r="G2506" s="13">
        <v>231.0</v>
      </c>
      <c r="H2506" s="13">
        <v>154.0</v>
      </c>
      <c r="I2506" s="13">
        <v>5.0</v>
      </c>
      <c r="J2506" s="13">
        <v>0.0</v>
      </c>
      <c r="K2506" s="12" t="s">
        <v>21</v>
      </c>
      <c r="L2506" s="7">
        <v>39558.57402777778</v>
      </c>
      <c r="M2506" s="16"/>
      <c r="N2506" s="14" t="s">
        <v>5224</v>
      </c>
      <c r="O2506" s="11" t="str">
        <f>HYPERLINK("https://pbs.twimg.com/profile_images/2645324435/a482edbf7271eb468ae1e651c581040c_normal.png","View")</f>
        <v>View</v>
      </c>
      <c r="P2506" s="15"/>
    </row>
    <row r="2507">
      <c r="A2507" s="7">
        <v>42426.234618055554</v>
      </c>
      <c r="B2507" s="8" t="str">
        <f>HYPERLINK("https://twitter.com/nicolas_gkz","@nicolas_gkz")</f>
        <v>@nicolas_gkz</v>
      </c>
      <c r="C2507" s="10" t="s">
        <v>5225</v>
      </c>
      <c r="D2507" s="10" t="s">
        <v>1653</v>
      </c>
      <c r="E2507" s="11" t="str">
        <f>HYPERLINK("https://twitter.com/nicolas_gkz/status/703212382684729344","703212382684729344")</f>
        <v>703212382684729344</v>
      </c>
      <c r="F2507" s="12" t="s">
        <v>52</v>
      </c>
      <c r="G2507" s="13">
        <v>101.0</v>
      </c>
      <c r="H2507" s="13">
        <v>145.0</v>
      </c>
      <c r="I2507" s="13">
        <v>8.0</v>
      </c>
      <c r="J2507" s="13">
        <v>0.0</v>
      </c>
      <c r="K2507" s="12" t="s">
        <v>21</v>
      </c>
      <c r="L2507" s="7">
        <v>40190.373194444444</v>
      </c>
      <c r="M2507" s="14" t="s">
        <v>5226</v>
      </c>
      <c r="N2507" s="14" t="s">
        <v>5227</v>
      </c>
      <c r="O2507" s="11" t="str">
        <f>HYPERLINK("https://pbs.twimg.com/profile_images/2342387415/xw43fzhynfrmm9gg016b_normal.png","View")</f>
        <v>View</v>
      </c>
      <c r="P2507" s="15"/>
    </row>
    <row r="2508">
      <c r="A2508" s="7">
        <v>42426.2352662037</v>
      </c>
      <c r="B2508" s="8" t="str">
        <f>HYPERLINK("https://twitter.com/snapshorty","@snapshorty")</f>
        <v>@snapshorty</v>
      </c>
      <c r="C2508" s="10" t="s">
        <v>5228</v>
      </c>
      <c r="D2508" s="10" t="s">
        <v>5208</v>
      </c>
      <c r="E2508" s="11" t="str">
        <f>HYPERLINK("https://twitter.com/snapshorty/status/703212615149842433","703212615149842433")</f>
        <v>703212615149842433</v>
      </c>
      <c r="F2508" s="12" t="s">
        <v>20</v>
      </c>
      <c r="G2508" s="13">
        <v>136.0</v>
      </c>
      <c r="H2508" s="13">
        <v>1149.0</v>
      </c>
      <c r="I2508" s="13">
        <v>3.0</v>
      </c>
      <c r="J2508" s="13">
        <v>0.0</v>
      </c>
      <c r="K2508" s="12" t="s">
        <v>21</v>
      </c>
      <c r="L2508" s="7">
        <v>39984.51011574074</v>
      </c>
      <c r="M2508" s="14" t="s">
        <v>913</v>
      </c>
      <c r="N2508" s="14" t="s">
        <v>5229</v>
      </c>
      <c r="O2508" s="11" t="str">
        <f>HYPERLINK("https://pbs.twimg.com/profile_images/1545092248/bad_smile_normal.png","View")</f>
        <v>View</v>
      </c>
      <c r="P2508" s="15"/>
    </row>
    <row r="2509">
      <c r="A2509" s="7">
        <v>42426.23606481482</v>
      </c>
      <c r="B2509" s="8" t="str">
        <f>HYPERLINK("https://twitter.com/cool_python","@cool_python")</f>
        <v>@cool_python</v>
      </c>
      <c r="C2509" s="10" t="s">
        <v>249</v>
      </c>
      <c r="D2509" s="10" t="s">
        <v>5230</v>
      </c>
      <c r="E2509" s="11" t="str">
        <f>HYPERLINK("https://twitter.com/cool_python/status/703212907702657025","703212907702657025")</f>
        <v>703212907702657025</v>
      </c>
      <c r="F2509" s="12" t="s">
        <v>251</v>
      </c>
      <c r="G2509" s="13">
        <v>235.0</v>
      </c>
      <c r="H2509" s="13">
        <v>91.0</v>
      </c>
      <c r="I2509" s="13">
        <v>1.0</v>
      </c>
      <c r="J2509" s="13">
        <v>0.0</v>
      </c>
      <c r="K2509" s="12" t="s">
        <v>21</v>
      </c>
      <c r="L2509" s="7">
        <v>42064.325</v>
      </c>
      <c r="M2509" s="14" t="s">
        <v>252</v>
      </c>
      <c r="N2509" s="14" t="s">
        <v>253</v>
      </c>
      <c r="O2509" s="11" t="str">
        <f>HYPERLINK("https://pbs.twimg.com/profile_images/572091631055028224/Pkx__FSB_normal.png","View")</f>
        <v>View</v>
      </c>
      <c r="P2509" s="15"/>
    </row>
    <row r="2510">
      <c r="A2510" s="7">
        <v>42426.236805555556</v>
      </c>
      <c r="B2510" s="8" t="str">
        <f>HYPERLINK("https://twitter.com/cocoacoda","@cocoacoda")</f>
        <v>@cocoacoda</v>
      </c>
      <c r="C2510" s="10" t="s">
        <v>486</v>
      </c>
      <c r="D2510" s="10" t="s">
        <v>5231</v>
      </c>
      <c r="E2510" s="11" t="str">
        <f>HYPERLINK("https://twitter.com/cocoacoda/status/703213175362093057","703213175362093057")</f>
        <v>703213175362093057</v>
      </c>
      <c r="F2510" s="12" t="s">
        <v>488</v>
      </c>
      <c r="G2510" s="13">
        <v>124.0</v>
      </c>
      <c r="H2510" s="13">
        <v>142.0</v>
      </c>
      <c r="I2510" s="13">
        <v>0.0</v>
      </c>
      <c r="J2510" s="13">
        <v>0.0</v>
      </c>
      <c r="K2510" s="12" t="s">
        <v>21</v>
      </c>
      <c r="L2510" s="7">
        <v>40951.29611111111</v>
      </c>
      <c r="M2510" s="14" t="s">
        <v>489</v>
      </c>
      <c r="N2510" s="14" t="s">
        <v>490</v>
      </c>
      <c r="O2510" s="11" t="str">
        <f>HYPERLINK("https://pbs.twimg.com/profile_images/452064440687423488/nbwrKTwP_normal.jpeg","View")</f>
        <v>View</v>
      </c>
      <c r="P2510" s="15"/>
    </row>
    <row r="2511">
      <c r="A2511" s="7">
        <v>42426.238900462966</v>
      </c>
      <c r="B2511" s="8" t="str">
        <f>HYPERLINK("https://twitter.com/MathFlashcards","@MathFlashcards")</f>
        <v>@MathFlashcards</v>
      </c>
      <c r="C2511" s="10" t="s">
        <v>5214</v>
      </c>
      <c r="D2511" s="10" t="s">
        <v>5232</v>
      </c>
      <c r="E2511" s="11" t="str">
        <f>HYPERLINK("https://twitter.com/MathFlashcards/status/703213933776142338","703213933776142338")</f>
        <v>703213933776142338</v>
      </c>
      <c r="F2511" s="12" t="s">
        <v>5216</v>
      </c>
      <c r="G2511" s="13">
        <v>1333.0</v>
      </c>
      <c r="H2511" s="13">
        <v>2025.0</v>
      </c>
      <c r="I2511" s="13">
        <v>0.0</v>
      </c>
      <c r="J2511" s="13">
        <v>1.0</v>
      </c>
      <c r="K2511" s="12" t="s">
        <v>21</v>
      </c>
      <c r="L2511" s="7">
        <v>41856.80571759259</v>
      </c>
      <c r="M2511" s="14" t="s">
        <v>379</v>
      </c>
      <c r="N2511" s="14" t="s">
        <v>5217</v>
      </c>
      <c r="O2511" s="11" t="str">
        <f>HYPERLINK("https://pbs.twimg.com/profile_images/496845076304101376/nyUffD1o_normal.png","View")</f>
        <v>View</v>
      </c>
      <c r="P2511" s="15"/>
    </row>
    <row r="2512">
      <c r="A2512" s="7">
        <v>42426.2390625</v>
      </c>
      <c r="B2512" s="8" t="str">
        <f>HYPERLINK("https://twitter.com/basaldizain","@basaldizain")</f>
        <v>@basaldizain</v>
      </c>
      <c r="C2512" s="10" t="s">
        <v>5233</v>
      </c>
      <c r="D2512" s="10" t="s">
        <v>5234</v>
      </c>
      <c r="E2512" s="11" t="str">
        <f>HYPERLINK("https://twitter.com/basaldizain/status/703213992639070208","703213992639070208")</f>
        <v>703213992639070208</v>
      </c>
      <c r="F2512" s="12" t="s">
        <v>20</v>
      </c>
      <c r="G2512" s="13">
        <v>317.0</v>
      </c>
      <c r="H2512" s="13">
        <v>532.0</v>
      </c>
      <c r="I2512" s="13">
        <v>2.0</v>
      </c>
      <c r="J2512" s="13">
        <v>0.0</v>
      </c>
      <c r="K2512" s="12" t="s">
        <v>21</v>
      </c>
      <c r="L2512" s="7">
        <v>40712.23478009259</v>
      </c>
      <c r="M2512" s="14" t="s">
        <v>1597</v>
      </c>
      <c r="N2512" s="14" t="s">
        <v>5235</v>
      </c>
      <c r="O2512" s="11" t="str">
        <f>HYPERLINK("https://pbs.twimg.com/profile_images/378800000759229088/cca86ddd424f8fb945ed8d7ea4171d0b_normal.jpeg","View")</f>
        <v>View</v>
      </c>
      <c r="P2512" s="15"/>
    </row>
    <row r="2513">
      <c r="A2513" s="7">
        <v>42426.23950231481</v>
      </c>
      <c r="B2513" s="8" t="str">
        <f>HYPERLINK("https://twitter.com/MrArmaar","@MrArmaar")</f>
        <v>@MrArmaar</v>
      </c>
      <c r="C2513" s="10" t="s">
        <v>5236</v>
      </c>
      <c r="D2513" s="10" t="s">
        <v>3183</v>
      </c>
      <c r="E2513" s="11" t="str">
        <f>HYPERLINK("https://twitter.com/MrArmaar/status/703214149833265152","703214149833265152")</f>
        <v>703214149833265152</v>
      </c>
      <c r="F2513" s="12" t="s">
        <v>20</v>
      </c>
      <c r="G2513" s="13">
        <v>505.0</v>
      </c>
      <c r="H2513" s="13">
        <v>1743.0</v>
      </c>
      <c r="I2513" s="13">
        <v>11.0</v>
      </c>
      <c r="J2513" s="13">
        <v>0.0</v>
      </c>
      <c r="K2513" s="12" t="s">
        <v>21</v>
      </c>
      <c r="L2513" s="7">
        <v>40666.88175925926</v>
      </c>
      <c r="M2513" s="16"/>
      <c r="N2513" s="14" t="s">
        <v>5237</v>
      </c>
      <c r="O2513" s="11" t="str">
        <f>HYPERLINK("https://pbs.twimg.com/profile_images/3373749025/983351446932f110e7be80a329621f30_normal.jpeg","View")</f>
        <v>View</v>
      </c>
      <c r="P2513" s="15"/>
    </row>
    <row r="2514">
      <c r="A2514" s="7">
        <v>42426.2397800926</v>
      </c>
      <c r="B2514" s="8" t="str">
        <f>HYPERLINK("https://twitter.com/Pvalsfr","@Pvalsfr")</f>
        <v>@Pvalsfr</v>
      </c>
      <c r="C2514" s="10" t="s">
        <v>771</v>
      </c>
      <c r="D2514" s="10" t="s">
        <v>5238</v>
      </c>
      <c r="E2514" s="11" t="str">
        <f>HYPERLINK("https://twitter.com/Pvalsfr/status/703214251108933632","703214251108933632")</f>
        <v>703214251108933632</v>
      </c>
      <c r="F2514" s="12" t="s">
        <v>152</v>
      </c>
      <c r="G2514" s="13">
        <v>1045.0</v>
      </c>
      <c r="H2514" s="13">
        <v>1081.0</v>
      </c>
      <c r="I2514" s="13">
        <v>1.0</v>
      </c>
      <c r="J2514" s="13">
        <v>0.0</v>
      </c>
      <c r="K2514" s="12" t="s">
        <v>21</v>
      </c>
      <c r="L2514" s="7">
        <v>40867.68900462963</v>
      </c>
      <c r="M2514" s="16"/>
      <c r="N2514" s="16"/>
      <c r="O2514" s="11" t="str">
        <f>HYPERLINK("https://abs.twimg.com/sticky/default_profile_images/default_profile_4_normal.png","View")</f>
        <v>View</v>
      </c>
      <c r="P2514" s="15"/>
    </row>
    <row r="2515">
      <c r="A2515" s="7">
        <v>42426.2397800926</v>
      </c>
      <c r="B2515" s="8" t="str">
        <f>HYPERLINK("https://twitter.com/TheAhmedSherif","@TheAhmedSherif")</f>
        <v>@TheAhmedSherif</v>
      </c>
      <c r="C2515" s="10" t="s">
        <v>5239</v>
      </c>
      <c r="D2515" s="10" t="s">
        <v>5240</v>
      </c>
      <c r="E2515" s="11" t="str">
        <f>HYPERLINK("https://twitter.com/TheAhmedSherif/status/703214253306683392","703214253306683392")</f>
        <v>703214253306683392</v>
      </c>
      <c r="F2515" s="12" t="s">
        <v>294</v>
      </c>
      <c r="G2515" s="13">
        <v>608.0</v>
      </c>
      <c r="H2515" s="13">
        <v>1119.0</v>
      </c>
      <c r="I2515" s="13">
        <v>0.0</v>
      </c>
      <c r="J2515" s="13">
        <v>3.0</v>
      </c>
      <c r="K2515" s="12" t="s">
        <v>21</v>
      </c>
      <c r="L2515" s="7">
        <v>39923.51760416667</v>
      </c>
      <c r="M2515" s="14" t="s">
        <v>828</v>
      </c>
      <c r="N2515" s="14" t="s">
        <v>5241</v>
      </c>
      <c r="O2515" s="11" t="str">
        <f>HYPERLINK("https://pbs.twimg.com/profile_images/525487693308760064/2sKS05eC_normal.jpeg","View")</f>
        <v>View</v>
      </c>
      <c r="P2515" s="15"/>
    </row>
    <row r="2516">
      <c r="A2516" s="7">
        <v>42426.23988425926</v>
      </c>
      <c r="B2516" s="8" t="str">
        <f>HYPERLINK("https://twitter.com/jjrennie","@jjrennie")</f>
        <v>@jjrennie</v>
      </c>
      <c r="C2516" s="10" t="s">
        <v>1101</v>
      </c>
      <c r="D2516" s="10" t="s">
        <v>5242</v>
      </c>
      <c r="E2516" s="11" t="str">
        <f>HYPERLINK("https://twitter.com/jjrennie/status/703214291873300480","703214291873300480")</f>
        <v>703214291873300480</v>
      </c>
      <c r="F2516" s="12" t="s">
        <v>98</v>
      </c>
      <c r="G2516" s="13">
        <v>397.0</v>
      </c>
      <c r="H2516" s="13">
        <v>454.0</v>
      </c>
      <c r="I2516" s="13">
        <v>5.0</v>
      </c>
      <c r="J2516" s="13">
        <v>9.0</v>
      </c>
      <c r="K2516" s="12" t="s">
        <v>21</v>
      </c>
      <c r="L2516" s="7">
        <v>39900.72038194444</v>
      </c>
      <c r="M2516" s="14" t="s">
        <v>1103</v>
      </c>
      <c r="N2516" s="14" t="s">
        <v>1104</v>
      </c>
      <c r="O2516" s="11" t="str">
        <f>HYPERLINK("https://pbs.twimg.com/profile_images/1116449459/Photo_on_2010-09-03_at_10.06__3_normal.jpg","View")</f>
        <v>View</v>
      </c>
      <c r="P2516" s="15"/>
    </row>
    <row r="2517">
      <c r="A2517" s="7">
        <v>42426.24141203704</v>
      </c>
      <c r="B2517" s="8" t="str">
        <f>HYPERLINK("https://twitter.com/RossC0","@RossC0")</f>
        <v>@RossC0</v>
      </c>
      <c r="C2517" s="10" t="s">
        <v>5243</v>
      </c>
      <c r="D2517" s="10" t="s">
        <v>5196</v>
      </c>
      <c r="E2517" s="11" t="str">
        <f>HYPERLINK("https://twitter.com/RossC0/status/703214841994018817","703214841994018817")</f>
        <v>703214841994018817</v>
      </c>
      <c r="F2517" s="12" t="s">
        <v>20</v>
      </c>
      <c r="G2517" s="13">
        <v>860.0</v>
      </c>
      <c r="H2517" s="13">
        <v>416.0</v>
      </c>
      <c r="I2517" s="13">
        <v>5.0</v>
      </c>
      <c r="J2517" s="13">
        <v>0.0</v>
      </c>
      <c r="K2517" s="12" t="s">
        <v>21</v>
      </c>
      <c r="L2517" s="7">
        <v>39199.12636574074</v>
      </c>
      <c r="M2517" s="14" t="s">
        <v>519</v>
      </c>
      <c r="N2517" s="14" t="s">
        <v>5244</v>
      </c>
      <c r="O2517" s="11" t="str">
        <f>HYPERLINK("https://pbs.twimg.com/profile_images/677443275201060864/oUPMnwpC_normal.jpg","View")</f>
        <v>View</v>
      </c>
      <c r="P2517" s="15"/>
    </row>
    <row r="2518">
      <c r="A2518" s="7">
        <v>42426.241481481484</v>
      </c>
      <c r="B2518" s="8" t="str">
        <f>HYPERLINK("https://twitter.com/anioko1","@anioko1")</f>
        <v>@anioko1</v>
      </c>
      <c r="C2518" s="10" t="s">
        <v>178</v>
      </c>
      <c r="D2518" s="10" t="s">
        <v>919</v>
      </c>
      <c r="E2518" s="11" t="str">
        <f>HYPERLINK("https://twitter.com/anioko1/status/703214868871192576","703214868871192576")</f>
        <v>703214868871192576</v>
      </c>
      <c r="F2518" s="12" t="s">
        <v>103</v>
      </c>
      <c r="G2518" s="13">
        <v>527.0</v>
      </c>
      <c r="H2518" s="13">
        <v>1936.0</v>
      </c>
      <c r="I2518" s="13">
        <v>1.0</v>
      </c>
      <c r="J2518" s="13">
        <v>0.0</v>
      </c>
      <c r="K2518" s="12" t="s">
        <v>21</v>
      </c>
      <c r="L2518" s="7">
        <v>40367.98541666666</v>
      </c>
      <c r="M2518" s="14" t="s">
        <v>180</v>
      </c>
      <c r="N2518" s="14" t="s">
        <v>181</v>
      </c>
      <c r="O2518" s="11" t="str">
        <f>HYPERLINK("https://pbs.twimg.com/profile_images/695642719948009474/s9J4OUA9_normal.jpg","View")</f>
        <v>View</v>
      </c>
      <c r="P2518" s="15"/>
    </row>
    <row r="2519">
      <c r="A2519" s="7">
        <v>42426.241481481484</v>
      </c>
      <c r="B2519" s="8" t="str">
        <f>HYPERLINK("https://twitter.com/BeingExample","@BeingExample")</f>
        <v>@BeingExample</v>
      </c>
      <c r="C2519" s="10" t="s">
        <v>5245</v>
      </c>
      <c r="D2519" s="10" t="s">
        <v>5246</v>
      </c>
      <c r="E2519" s="11" t="str">
        <f>HYPERLINK("https://twitter.com/BeingExample/status/703214870599172096","703214870599172096")</f>
        <v>703214870599172096</v>
      </c>
      <c r="F2519" s="12" t="s">
        <v>5247</v>
      </c>
      <c r="G2519" s="13">
        <v>6168.0</v>
      </c>
      <c r="H2519" s="13">
        <v>4986.0</v>
      </c>
      <c r="I2519" s="13">
        <v>1.0</v>
      </c>
      <c r="J2519" s="13">
        <v>0.0</v>
      </c>
      <c r="K2519" s="12" t="s">
        <v>21</v>
      </c>
      <c r="L2519" s="7">
        <v>41825.99667824074</v>
      </c>
      <c r="M2519" s="14" t="s">
        <v>269</v>
      </c>
      <c r="N2519" s="14" t="s">
        <v>5248</v>
      </c>
      <c r="O2519" s="11" t="str">
        <f>HYPERLINK("https://pbs.twimg.com/profile_images/582277789987950593/i4jOHneO_normal.jpg","View")</f>
        <v>View</v>
      </c>
      <c r="P2519" s="15"/>
    </row>
    <row r="2520">
      <c r="A2520" s="7">
        <v>42426.242743055554</v>
      </c>
      <c r="B2520" s="8" t="str">
        <f>HYPERLINK("https://twitter.com/birdsarah","@birdsarah")</f>
        <v>@birdsarah</v>
      </c>
      <c r="C2520" s="10" t="s">
        <v>5249</v>
      </c>
      <c r="D2520" s="10" t="s">
        <v>3699</v>
      </c>
      <c r="E2520" s="11" t="str">
        <f>HYPERLINK("https://twitter.com/birdsarah/status/703215326700240896","703215326700240896")</f>
        <v>703215326700240896</v>
      </c>
      <c r="F2520" s="12" t="s">
        <v>446</v>
      </c>
      <c r="G2520" s="13">
        <v>637.0</v>
      </c>
      <c r="H2520" s="13">
        <v>282.0</v>
      </c>
      <c r="I2520" s="13">
        <v>30.0</v>
      </c>
      <c r="J2520" s="13">
        <v>0.0</v>
      </c>
      <c r="K2520" s="12" t="s">
        <v>21</v>
      </c>
      <c r="L2520" s="7">
        <v>39790.52180555556</v>
      </c>
      <c r="M2520" s="14" t="s">
        <v>5250</v>
      </c>
      <c r="N2520" s="14" t="s">
        <v>5251</v>
      </c>
      <c r="O2520" s="11" t="str">
        <f>HYPERLINK("https://pbs.twimg.com/profile_images/648667530/headshot1_normal.JPG","View")</f>
        <v>View</v>
      </c>
      <c r="P2520" s="15"/>
    </row>
    <row r="2521">
      <c r="A2521" s="7">
        <v>42426.2440162037</v>
      </c>
      <c r="B2521" s="8" t="str">
        <f>HYPERLINK("https://twitter.com/deronaucoin","@deronaucoin")</f>
        <v>@deronaucoin</v>
      </c>
      <c r="C2521" s="10" t="s">
        <v>5252</v>
      </c>
      <c r="D2521" s="10" t="s">
        <v>3699</v>
      </c>
      <c r="E2521" s="11" t="str">
        <f>HYPERLINK("https://twitter.com/deronaucoin/status/703215787889143808","703215787889143808")</f>
        <v>703215787889143808</v>
      </c>
      <c r="F2521" s="12" t="s">
        <v>52</v>
      </c>
      <c r="G2521" s="13">
        <v>345.0</v>
      </c>
      <c r="H2521" s="13">
        <v>619.0</v>
      </c>
      <c r="I2521" s="13">
        <v>30.0</v>
      </c>
      <c r="J2521" s="13">
        <v>0.0</v>
      </c>
      <c r="K2521" s="12" t="s">
        <v>21</v>
      </c>
      <c r="L2521" s="7">
        <v>39821.8975</v>
      </c>
      <c r="M2521" s="14" t="s">
        <v>5253</v>
      </c>
      <c r="N2521" s="14" t="s">
        <v>5254</v>
      </c>
      <c r="O2521" s="11" t="str">
        <f>HYPERLINK("https://pbs.twimg.com/profile_images/2344675896/image_normal.jpg","View")</f>
        <v>View</v>
      </c>
      <c r="P2521" s="15"/>
    </row>
    <row r="2522">
      <c r="A2522" s="7">
        <v>42426.244479166664</v>
      </c>
      <c r="B2522" s="8" t="str">
        <f>HYPERLINK("https://twitter.com/MathFlashcards","@MathFlashcards")</f>
        <v>@MathFlashcards</v>
      </c>
      <c r="C2522" s="10" t="s">
        <v>5214</v>
      </c>
      <c r="D2522" s="10" t="s">
        <v>5255</v>
      </c>
      <c r="E2522" s="11" t="str">
        <f>HYPERLINK("https://twitter.com/MathFlashcards/status/703215955468378113","703215955468378113")</f>
        <v>703215955468378113</v>
      </c>
      <c r="F2522" s="12" t="s">
        <v>5216</v>
      </c>
      <c r="G2522" s="13">
        <v>1333.0</v>
      </c>
      <c r="H2522" s="13">
        <v>2025.0</v>
      </c>
      <c r="I2522" s="13">
        <v>0.0</v>
      </c>
      <c r="J2522" s="13">
        <v>0.0</v>
      </c>
      <c r="K2522" s="12" t="s">
        <v>21</v>
      </c>
      <c r="L2522" s="7">
        <v>41856.80571759259</v>
      </c>
      <c r="M2522" s="14" t="s">
        <v>379</v>
      </c>
      <c r="N2522" s="14" t="s">
        <v>5217</v>
      </c>
      <c r="O2522" s="11" t="str">
        <f>HYPERLINK("https://pbs.twimg.com/profile_images/496845076304101376/nyUffD1o_normal.png","View")</f>
        <v>View</v>
      </c>
      <c r="P2522" s="15"/>
    </row>
    <row r="2523">
      <c r="A2523" s="7">
        <v>42426.2446875</v>
      </c>
      <c r="B2523" s="8" t="str">
        <f>HYPERLINK("https://twitter.com/philjeffes","@philjeffes")</f>
        <v>@philjeffes</v>
      </c>
      <c r="C2523" s="10" t="s">
        <v>5256</v>
      </c>
      <c r="D2523" s="10" t="s">
        <v>4968</v>
      </c>
      <c r="E2523" s="11" t="str">
        <f>HYPERLINK("https://twitter.com/philjeffes/status/703216031687417857","703216031687417857")</f>
        <v>703216031687417857</v>
      </c>
      <c r="F2523" s="12" t="s">
        <v>20</v>
      </c>
      <c r="G2523" s="13">
        <v>513.0</v>
      </c>
      <c r="H2523" s="13">
        <v>842.0</v>
      </c>
      <c r="I2523" s="13">
        <v>2.0</v>
      </c>
      <c r="J2523" s="13">
        <v>0.0</v>
      </c>
      <c r="K2523" s="12" t="s">
        <v>21</v>
      </c>
      <c r="L2523" s="7">
        <v>40808.63261574074</v>
      </c>
      <c r="M2523" s="14" t="s">
        <v>5257</v>
      </c>
      <c r="N2523" s="14" t="s">
        <v>5258</v>
      </c>
      <c r="O2523" s="11" t="str">
        <f>HYPERLINK("https://pbs.twimg.com/profile_images/679330923167522816/VO8otQfp_normal.jpg","View")</f>
        <v>View</v>
      </c>
      <c r="P2523" s="15"/>
    </row>
    <row r="2524">
      <c r="A2524" s="7">
        <v>42426.24481481481</v>
      </c>
      <c r="B2524" s="8" t="str">
        <f>HYPERLINK("https://twitter.com/catbaba","@catbaba")</f>
        <v>@catbaba</v>
      </c>
      <c r="C2524" s="10" t="s">
        <v>5259</v>
      </c>
      <c r="D2524" s="10" t="s">
        <v>5260</v>
      </c>
      <c r="E2524" s="11" t="str">
        <f>HYPERLINK("https://twitter.com/catbaba/status/703216077040455680","703216077040455680")</f>
        <v>703216077040455680</v>
      </c>
      <c r="F2524" s="12" t="s">
        <v>52</v>
      </c>
      <c r="G2524" s="13">
        <v>684.0</v>
      </c>
      <c r="H2524" s="13">
        <v>560.0</v>
      </c>
      <c r="I2524" s="13">
        <v>2.0</v>
      </c>
      <c r="J2524" s="13">
        <v>0.0</v>
      </c>
      <c r="K2524" s="12" t="s">
        <v>21</v>
      </c>
      <c r="L2524" s="7">
        <v>39807.12871527778</v>
      </c>
      <c r="M2524" s="14" t="s">
        <v>1093</v>
      </c>
      <c r="N2524" s="14" t="s">
        <v>5261</v>
      </c>
      <c r="O2524" s="11" t="str">
        <f>HYPERLINK("https://pbs.twimg.com/profile_images/588673078592409601/NmgpLkX5_normal.jpg","View")</f>
        <v>View</v>
      </c>
      <c r="P2524" s="15"/>
    </row>
    <row r="2525">
      <c r="A2525" s="7">
        <v>42426.245046296295</v>
      </c>
      <c r="B2525" s="8" t="str">
        <f>HYPERLINK("https://twitter.com/ujigis","@ujigis")</f>
        <v>@ujigis</v>
      </c>
      <c r="C2525" s="10" t="s">
        <v>5262</v>
      </c>
      <c r="D2525" s="10" t="s">
        <v>5263</v>
      </c>
      <c r="E2525" s="11" t="str">
        <f>HYPERLINK("https://twitter.com/ujigis/status/703216159806492672","703216159806492672")</f>
        <v>703216159806492672</v>
      </c>
      <c r="F2525" s="12" t="s">
        <v>327</v>
      </c>
      <c r="G2525" s="13">
        <v>1014.0</v>
      </c>
      <c r="H2525" s="13">
        <v>1258.0</v>
      </c>
      <c r="I2525" s="13">
        <v>2.0</v>
      </c>
      <c r="J2525" s="13">
        <v>1.0</v>
      </c>
      <c r="K2525" s="12" t="s">
        <v>21</v>
      </c>
      <c r="L2525" s="7">
        <v>40791.22795138889</v>
      </c>
      <c r="M2525" s="16"/>
      <c r="N2525" s="14" t="s">
        <v>5264</v>
      </c>
      <c r="O2525" s="11" t="str">
        <f>HYPERLINK("https://pbs.twimg.com/profile_images/1776406585/neko_normal.jpg","View")</f>
        <v>View</v>
      </c>
      <c r="P2525" s="15"/>
    </row>
    <row r="2526">
      <c r="A2526" s="7">
        <v>42426.24511574074</v>
      </c>
      <c r="B2526" s="8" t="str">
        <f>HYPERLINK("https://twitter.com/macasomedina","@macasomedina")</f>
        <v>@macasomedina</v>
      </c>
      <c r="C2526" s="10" t="s">
        <v>5265</v>
      </c>
      <c r="D2526" s="10" t="s">
        <v>5266</v>
      </c>
      <c r="E2526" s="11" t="str">
        <f>HYPERLINK("https://twitter.com/macasomedina/status/703216184318107648","703216184318107648")</f>
        <v>703216184318107648</v>
      </c>
      <c r="F2526" s="12" t="s">
        <v>20</v>
      </c>
      <c r="G2526" s="13">
        <v>223.0</v>
      </c>
      <c r="H2526" s="13">
        <v>222.0</v>
      </c>
      <c r="I2526" s="13">
        <v>0.0</v>
      </c>
      <c r="J2526" s="13">
        <v>0.0</v>
      </c>
      <c r="K2526" s="12" t="s">
        <v>21</v>
      </c>
      <c r="L2526" s="7">
        <v>41811.88327546296</v>
      </c>
      <c r="M2526" s="16"/>
      <c r="N2526" s="14" t="s">
        <v>5267</v>
      </c>
      <c r="O2526" s="11" t="str">
        <f>HYPERLINK("https://pbs.twimg.com/profile_images/702514928041656320/VQkmKws4_normal.png","View")</f>
        <v>View</v>
      </c>
      <c r="P2526" s="15"/>
    </row>
    <row r="2527">
      <c r="A2527" s="7">
        <v>42426.2452199074</v>
      </c>
      <c r="B2527" s="8" t="str">
        <f>HYPERLINK("https://twitter.com/soupcurry049","@soupcurry049")</f>
        <v>@soupcurry049</v>
      </c>
      <c r="C2527" s="10" t="s">
        <v>5268</v>
      </c>
      <c r="D2527" s="10" t="s">
        <v>5269</v>
      </c>
      <c r="E2527" s="11" t="str">
        <f>HYPERLINK("https://twitter.com/soupcurry049/status/703216223811538945","703216223811538945")</f>
        <v>703216223811538945</v>
      </c>
      <c r="F2527" s="12" t="s">
        <v>446</v>
      </c>
      <c r="G2527" s="13">
        <v>653.0</v>
      </c>
      <c r="H2527" s="13">
        <v>644.0</v>
      </c>
      <c r="I2527" s="13">
        <v>2.0</v>
      </c>
      <c r="J2527" s="13">
        <v>0.0</v>
      </c>
      <c r="K2527" s="12" t="s">
        <v>21</v>
      </c>
      <c r="L2527" s="7">
        <v>41576.39570601852</v>
      </c>
      <c r="M2527" s="14" t="s">
        <v>5270</v>
      </c>
      <c r="N2527" s="14" t="s">
        <v>5271</v>
      </c>
      <c r="O2527" s="11" t="str">
        <f>HYPERLINK("https://pbs.twimg.com/profile_images/703237339640782849/HMpayxjh_normal.jpg","View")</f>
        <v>View</v>
      </c>
      <c r="P2527" s="15"/>
    </row>
    <row r="2528">
      <c r="A2528" s="7">
        <v>42426.24630787037</v>
      </c>
      <c r="B2528" s="8" t="str">
        <f>HYPERLINK("https://twitter.com/tonyjiazihu","@tonyjiazihu")</f>
        <v>@tonyjiazihu</v>
      </c>
      <c r="C2528" s="10" t="s">
        <v>2769</v>
      </c>
      <c r="D2528" s="10" t="s">
        <v>5272</v>
      </c>
      <c r="E2528" s="11" t="str">
        <f>HYPERLINK("https://twitter.com/tonyjiazihu/status/703216617136779265","703216617136779265")</f>
        <v>703216617136779265</v>
      </c>
      <c r="F2528" s="12" t="s">
        <v>20</v>
      </c>
      <c r="G2528" s="13">
        <v>320.0</v>
      </c>
      <c r="H2528" s="13">
        <v>139.0</v>
      </c>
      <c r="I2528" s="13">
        <v>0.0</v>
      </c>
      <c r="J2528" s="13">
        <v>1.0</v>
      </c>
      <c r="K2528" s="12" t="s">
        <v>21</v>
      </c>
      <c r="L2528" s="7">
        <v>41767.48699074074</v>
      </c>
      <c r="M2528" s="14" t="s">
        <v>2771</v>
      </c>
      <c r="N2528" s="14" t="s">
        <v>2772</v>
      </c>
      <c r="O2528" s="11" t="str">
        <f>HYPERLINK("https://pbs.twimg.com/profile_images/701948459092410370/M-Rhg5_z_normal.jpg","View")</f>
        <v>View</v>
      </c>
      <c r="P2528" s="15"/>
    </row>
    <row r="2529">
      <c r="A2529" s="7">
        <v>42426.246469907404</v>
      </c>
      <c r="B2529" s="8" t="str">
        <f>HYPERLINK("https://twitter.com/makmanalp","@makmanalp")</f>
        <v>@makmanalp</v>
      </c>
      <c r="C2529" s="10" t="s">
        <v>5273</v>
      </c>
      <c r="D2529" s="10" t="s">
        <v>3699</v>
      </c>
      <c r="E2529" s="11" t="str">
        <f>HYPERLINK("https://twitter.com/makmanalp/status/703216676763013121","703216676763013121")</f>
        <v>703216676763013121</v>
      </c>
      <c r="F2529" s="12" t="s">
        <v>152</v>
      </c>
      <c r="G2529" s="13">
        <v>445.0</v>
      </c>
      <c r="H2529" s="13">
        <v>1133.0</v>
      </c>
      <c r="I2529" s="13">
        <v>30.0</v>
      </c>
      <c r="J2529" s="13">
        <v>0.0</v>
      </c>
      <c r="K2529" s="12" t="s">
        <v>21</v>
      </c>
      <c r="L2529" s="7">
        <v>41410.524675925924</v>
      </c>
      <c r="M2529" s="14" t="s">
        <v>5274</v>
      </c>
      <c r="N2529" s="14" t="s">
        <v>5275</v>
      </c>
      <c r="O2529" s="11" t="str">
        <f>HYPERLINK("https://pbs.twimg.com/profile_images/378800000437407013/71199aebe5e2b7fee72a2b1486759897_normal.jpeg","View")</f>
        <v>View</v>
      </c>
      <c r="P2529" s="15"/>
    </row>
    <row r="2530">
      <c r="A2530" s="7">
        <v>42426.24810185185</v>
      </c>
      <c r="B2530" s="8" t="str">
        <f>HYPERLINK("https://twitter.com/programmingncr","@programmingncr")</f>
        <v>@programmingncr</v>
      </c>
      <c r="C2530" s="10" t="s">
        <v>262</v>
      </c>
      <c r="D2530" s="10" t="s">
        <v>5276</v>
      </c>
      <c r="E2530" s="11" t="str">
        <f>HYPERLINK("https://twitter.com/programmingncr/status/703217269619466240","703217269619466240")</f>
        <v>703217269619466240</v>
      </c>
      <c r="F2530" s="12" t="s">
        <v>103</v>
      </c>
      <c r="G2530" s="13">
        <v>328.0</v>
      </c>
      <c r="H2530" s="13">
        <v>99.0</v>
      </c>
      <c r="I2530" s="13">
        <v>0.0</v>
      </c>
      <c r="J2530" s="13">
        <v>0.0</v>
      </c>
      <c r="K2530" s="12" t="s">
        <v>21</v>
      </c>
      <c r="L2530" s="7">
        <v>42220.86634259259</v>
      </c>
      <c r="M2530" s="14" t="s">
        <v>264</v>
      </c>
      <c r="N2530" s="14" t="s">
        <v>265</v>
      </c>
      <c r="O2530" s="11" t="str">
        <f>HYPERLINK("https://pbs.twimg.com/profile_images/662602436222193664/qKuvsfnG_normal.jpg","View")</f>
        <v>View</v>
      </c>
      <c r="P2530" s="15"/>
    </row>
    <row r="2531">
      <c r="A2531" s="7">
        <v>42426.248449074075</v>
      </c>
      <c r="B2531" s="8" t="str">
        <f>HYPERLINK("https://twitter.com/akucchan_world","@akucchan_world")</f>
        <v>@akucchan_world</v>
      </c>
      <c r="C2531" s="10" t="s">
        <v>4797</v>
      </c>
      <c r="D2531" s="10" t="s">
        <v>5277</v>
      </c>
      <c r="E2531" s="11" t="str">
        <f>HYPERLINK("https://twitter.com/akucchan_world/status/703217392621527040","703217392621527040")</f>
        <v>703217392621527040</v>
      </c>
      <c r="F2531" s="12" t="s">
        <v>5278</v>
      </c>
      <c r="G2531" s="13">
        <v>449.0</v>
      </c>
      <c r="H2531" s="13">
        <v>1889.0</v>
      </c>
      <c r="I2531" s="13">
        <v>0.0</v>
      </c>
      <c r="J2531" s="13">
        <v>0.0</v>
      </c>
      <c r="K2531" s="12" t="s">
        <v>21</v>
      </c>
      <c r="L2531" s="7">
        <v>40548.21068287037</v>
      </c>
      <c r="M2531" s="14" t="s">
        <v>328</v>
      </c>
      <c r="N2531" s="14" t="s">
        <v>4799</v>
      </c>
      <c r="O2531" s="11" t="str">
        <f>HYPERLINK("https://pbs.twimg.com/profile_images/1216345873/70755_100001902148705_8207987_q_normal.jpg","View")</f>
        <v>View</v>
      </c>
      <c r="P2531" s="15"/>
    </row>
    <row r="2532">
      <c r="A2532" s="7">
        <v>42426.24873842593</v>
      </c>
      <c r="B2532" s="8" t="str">
        <f>HYPERLINK("https://twitter.com/GinnyGhezzo","@GinnyGhezzo")</f>
        <v>@GinnyGhezzo</v>
      </c>
      <c r="C2532" s="10" t="s">
        <v>5279</v>
      </c>
      <c r="D2532" s="10" t="s">
        <v>5280</v>
      </c>
      <c r="E2532" s="11" t="str">
        <f>HYPERLINK("https://twitter.com/GinnyGhezzo/status/703217498662031364","703217498662031364")</f>
        <v>703217498662031364</v>
      </c>
      <c r="F2532" s="12" t="s">
        <v>20</v>
      </c>
      <c r="G2532" s="13">
        <v>397.0</v>
      </c>
      <c r="H2532" s="13">
        <v>602.0</v>
      </c>
      <c r="I2532" s="13">
        <v>0.0</v>
      </c>
      <c r="J2532" s="13">
        <v>2.0</v>
      </c>
      <c r="K2532" s="12" t="s">
        <v>21</v>
      </c>
      <c r="L2532" s="7">
        <v>41799.38680555556</v>
      </c>
      <c r="M2532" s="14" t="s">
        <v>5281</v>
      </c>
      <c r="N2532" s="14" t="s">
        <v>5282</v>
      </c>
      <c r="O2532" s="11" t="str">
        <f>HYPERLINK("https://pbs.twimg.com/profile_images/476039653405900801/pa5Uuh76_normal.png","View")</f>
        <v>View</v>
      </c>
      <c r="P2532" s="15"/>
    </row>
    <row r="2533">
      <c r="A2533" s="7">
        <v>42426.248807870375</v>
      </c>
      <c r="B2533" s="8" t="str">
        <f>HYPERLINK("https://twitter.com/JoshuaLongUK","@JoshuaLongUK")</f>
        <v>@JoshuaLongUK</v>
      </c>
      <c r="C2533" s="10" t="s">
        <v>101</v>
      </c>
      <c r="D2533" s="10" t="s">
        <v>5283</v>
      </c>
      <c r="E2533" s="11" t="str">
        <f>HYPERLINK("https://twitter.com/JoshuaLongUK/status/703217522301132802","703217522301132802")</f>
        <v>703217522301132802</v>
      </c>
      <c r="F2533" s="12" t="s">
        <v>103</v>
      </c>
      <c r="G2533" s="13">
        <v>25832.0</v>
      </c>
      <c r="H2533" s="13">
        <v>93.0</v>
      </c>
      <c r="I2533" s="13">
        <v>0.0</v>
      </c>
      <c r="J2533" s="13">
        <v>0.0</v>
      </c>
      <c r="K2533" s="12" t="s">
        <v>21</v>
      </c>
      <c r="L2533" s="7">
        <v>41149.39659722222</v>
      </c>
      <c r="M2533" s="14" t="s">
        <v>104</v>
      </c>
      <c r="N2533" s="14" t="s">
        <v>105</v>
      </c>
      <c r="O2533" s="11" t="str">
        <f>HYPERLINK("https://pbs.twimg.com/profile_images/627996138403168256/DaASdgVr_normal.jpg","View")</f>
        <v>View</v>
      </c>
      <c r="P2533" s="15"/>
    </row>
    <row r="2534">
      <c r="A2534" s="7">
        <v>42426.24914351852</v>
      </c>
      <c r="B2534" s="8" t="str">
        <f>HYPERLINK("https://twitter.com/py3k","@py3k")</f>
        <v>@py3k</v>
      </c>
      <c r="C2534" s="10" t="s">
        <v>297</v>
      </c>
      <c r="D2534" s="10" t="s">
        <v>5284</v>
      </c>
      <c r="E2534" s="11" t="str">
        <f>HYPERLINK("https://twitter.com/py3k/status/703217645605224448","703217645605224448")</f>
        <v>703217645605224448</v>
      </c>
      <c r="F2534" s="12" t="s">
        <v>299</v>
      </c>
      <c r="G2534" s="13">
        <v>1623.0</v>
      </c>
      <c r="H2534" s="13">
        <v>676.0</v>
      </c>
      <c r="I2534" s="13">
        <v>1.0</v>
      </c>
      <c r="J2534" s="13">
        <v>0.0</v>
      </c>
      <c r="K2534" s="12" t="s">
        <v>21</v>
      </c>
      <c r="L2534" s="7">
        <v>41096.62268518518</v>
      </c>
      <c r="M2534" s="16"/>
      <c r="N2534" s="14" t="s">
        <v>300</v>
      </c>
      <c r="O2534" s="11" t="str">
        <f>HYPERLINK("https://pbs.twimg.com/profile_images/2474433856/p075cerxh0arpea6ceip_normal.png","View")</f>
        <v>View</v>
      </c>
      <c r="P2534" s="15"/>
    </row>
    <row r="2535">
      <c r="A2535" s="7">
        <v>42426.249756944446</v>
      </c>
      <c r="B2535" s="8" t="str">
        <f>HYPERLINK("https://twitter.com/EdTechPatty","@EdTechPatty")</f>
        <v>@EdTechPatty</v>
      </c>
      <c r="C2535" s="10" t="s">
        <v>818</v>
      </c>
      <c r="D2535" s="10" t="s">
        <v>5285</v>
      </c>
      <c r="E2535" s="11" t="str">
        <f>HYPERLINK("https://twitter.com/EdTechPatty/status/703217867932749826","703217867932749826")</f>
        <v>703217867932749826</v>
      </c>
      <c r="F2535" s="12" t="s">
        <v>20</v>
      </c>
      <c r="G2535" s="13">
        <v>89.0</v>
      </c>
      <c r="H2535" s="13">
        <v>50.0</v>
      </c>
      <c r="I2535" s="13">
        <v>0.0</v>
      </c>
      <c r="J2535" s="13">
        <v>0.0</v>
      </c>
      <c r="K2535" s="12" t="s">
        <v>21</v>
      </c>
      <c r="L2535" s="7">
        <v>41293.229097222225</v>
      </c>
      <c r="M2535" s="16"/>
      <c r="N2535" s="14" t="s">
        <v>820</v>
      </c>
      <c r="O2535" s="11" t="str">
        <f>HYPERLINK("https://pbs.twimg.com/profile_images/520993831274049536/POynJoPN_normal.jpeg","View")</f>
        <v>View</v>
      </c>
      <c r="P2535" s="15"/>
    </row>
    <row r="2536">
      <c r="A2536" s="7">
        <v>42426.25021990741</v>
      </c>
      <c r="B2536" s="8" t="str">
        <f>HYPERLINK("https://twitter.com/aaronrinehart","@aaronrinehart")</f>
        <v>@aaronrinehart</v>
      </c>
      <c r="C2536" s="10" t="s">
        <v>5286</v>
      </c>
      <c r="D2536" s="10" t="s">
        <v>5208</v>
      </c>
      <c r="E2536" s="11" t="str">
        <f>HYPERLINK("https://twitter.com/aaronrinehart/status/703218035000262658","703218035000262658")</f>
        <v>703218035000262658</v>
      </c>
      <c r="F2536" s="12" t="s">
        <v>52</v>
      </c>
      <c r="G2536" s="13">
        <v>273.0</v>
      </c>
      <c r="H2536" s="13">
        <v>798.0</v>
      </c>
      <c r="I2536" s="13">
        <v>3.0</v>
      </c>
      <c r="J2536" s="13">
        <v>0.0</v>
      </c>
      <c r="K2536" s="12" t="s">
        <v>21</v>
      </c>
      <c r="L2536" s="7">
        <v>39927.35072916667</v>
      </c>
      <c r="M2536" s="14" t="s">
        <v>5287</v>
      </c>
      <c r="N2536" s="14" t="s">
        <v>5288</v>
      </c>
      <c r="O2536" s="11" t="str">
        <f>HYPERLINK("https://pbs.twimg.com/profile_images/593977508246245376/Skr4HNwq_normal.jpg","View")</f>
        <v>View</v>
      </c>
      <c r="P2536" s="15"/>
    </row>
    <row r="2537">
      <c r="A2537" s="7">
        <v>42426.2503587963</v>
      </c>
      <c r="B2537" s="8" t="str">
        <f>HYPERLINK("https://twitter.com/javapsyche","@javapsyche")</f>
        <v>@javapsyche</v>
      </c>
      <c r="C2537" s="10" t="s">
        <v>5289</v>
      </c>
      <c r="D2537" s="10" t="s">
        <v>4211</v>
      </c>
      <c r="E2537" s="11" t="str">
        <f>HYPERLINK("https://twitter.com/javapsyche/status/703218086510403584","703218086510403584")</f>
        <v>703218086510403584</v>
      </c>
      <c r="F2537" s="12" t="s">
        <v>152</v>
      </c>
      <c r="G2537" s="13">
        <v>175.0</v>
      </c>
      <c r="H2537" s="13">
        <v>138.0</v>
      </c>
      <c r="I2537" s="13">
        <v>55.0</v>
      </c>
      <c r="J2537" s="13">
        <v>0.0</v>
      </c>
      <c r="K2537" s="12" t="s">
        <v>21</v>
      </c>
      <c r="L2537" s="7">
        <v>41130.0134375</v>
      </c>
      <c r="M2537" s="14" t="s">
        <v>639</v>
      </c>
      <c r="N2537" s="14" t="s">
        <v>5290</v>
      </c>
      <c r="O2537" s="11" t="str">
        <f>HYPERLINK("https://pbs.twimg.com/profile_images/526818821407924224/UzeGb7M9_normal.jpeg","View")</f>
        <v>View</v>
      </c>
      <c r="P2537" s="15"/>
    </row>
    <row r="2538">
      <c r="A2538" s="7">
        <v>42426.25069444445</v>
      </c>
      <c r="B2538" s="8" t="str">
        <f>HYPERLINK("https://twitter.com/PythonWeekly","@PythonWeekly")</f>
        <v>@PythonWeekly</v>
      </c>
      <c r="C2538" s="10" t="s">
        <v>948</v>
      </c>
      <c r="D2538" s="10" t="s">
        <v>5291</v>
      </c>
      <c r="E2538" s="11" t="str">
        <f>HYPERLINK("https://twitter.com/PythonWeekly/status/703218207851737088","703218207851737088")</f>
        <v>703218207851737088</v>
      </c>
      <c r="F2538" s="12" t="s">
        <v>294</v>
      </c>
      <c r="G2538" s="13">
        <v>15565.0</v>
      </c>
      <c r="H2538" s="13">
        <v>0.0</v>
      </c>
      <c r="I2538" s="13">
        <v>6.0</v>
      </c>
      <c r="J2538" s="13">
        <v>8.0</v>
      </c>
      <c r="K2538" s="12" t="s">
        <v>21</v>
      </c>
      <c r="L2538" s="7">
        <v>40800.65934027778</v>
      </c>
      <c r="M2538" s="16"/>
      <c r="N2538" s="14" t="s">
        <v>950</v>
      </c>
      <c r="O2538" s="11" t="str">
        <f>HYPERLINK("https://pbs.twimg.com/profile_images/1554238582/python_normal.jpg","View")</f>
        <v>View</v>
      </c>
      <c r="P2538" s="15"/>
    </row>
    <row r="2539">
      <c r="A2539" s="7">
        <v>42426.25076388889</v>
      </c>
      <c r="B2539" s="8" t="str">
        <f>HYPERLINK("https://twitter.com/enzoooswift","@enzoooswift")</f>
        <v>@enzoooswift</v>
      </c>
      <c r="C2539" s="10" t="s">
        <v>5292</v>
      </c>
      <c r="D2539" s="10" t="s">
        <v>5293</v>
      </c>
      <c r="E2539" s="11" t="str">
        <f>HYPERLINK("https://twitter.com/enzoooswift/status/703218234804207616","703218234804207616")</f>
        <v>703218234804207616</v>
      </c>
      <c r="F2539" s="12" t="s">
        <v>152</v>
      </c>
      <c r="G2539" s="13">
        <v>27.0</v>
      </c>
      <c r="H2539" s="13">
        <v>133.0</v>
      </c>
      <c r="I2539" s="13">
        <v>0.0</v>
      </c>
      <c r="J2539" s="13">
        <v>0.0</v>
      </c>
      <c r="K2539" s="12" t="s">
        <v>21</v>
      </c>
      <c r="L2539" s="7">
        <v>41509.06454861111</v>
      </c>
      <c r="M2539" s="16"/>
      <c r="N2539" s="16"/>
      <c r="O2539" s="11" t="str">
        <f>HYPERLINK("https://pbs.twimg.com/profile_images/700971216195026945/4sQKoiCq_normal.jpg","View")</f>
        <v>View</v>
      </c>
      <c r="P2539" s="15"/>
    </row>
    <row r="2540">
      <c r="A2540" s="7">
        <v>42426.25104166666</v>
      </c>
      <c r="B2540" s="8" t="str">
        <f>HYPERLINK("https://twitter.com/GinnyGhezzo","@GinnyGhezzo")</f>
        <v>@GinnyGhezzo</v>
      </c>
      <c r="C2540" s="10" t="s">
        <v>5279</v>
      </c>
      <c r="D2540" s="10" t="s">
        <v>5294</v>
      </c>
      <c r="E2540" s="11" t="str">
        <f>HYPERLINK("https://twitter.com/GinnyGhezzo/status/703218335266246656","703218335266246656")</f>
        <v>703218335266246656</v>
      </c>
      <c r="F2540" s="12" t="s">
        <v>20</v>
      </c>
      <c r="G2540" s="13">
        <v>397.0</v>
      </c>
      <c r="H2540" s="13">
        <v>602.0</v>
      </c>
      <c r="I2540" s="13">
        <v>3.0</v>
      </c>
      <c r="J2540" s="13">
        <v>6.0</v>
      </c>
      <c r="K2540" s="12" t="s">
        <v>21</v>
      </c>
      <c r="L2540" s="7">
        <v>41799.38680555556</v>
      </c>
      <c r="M2540" s="14" t="s">
        <v>5281</v>
      </c>
      <c r="N2540" s="14" t="s">
        <v>5282</v>
      </c>
      <c r="O2540" s="11" t="str">
        <f>HYPERLINK("https://pbs.twimg.com/profile_images/476039653405900801/pa5Uuh76_normal.png","View")</f>
        <v>View</v>
      </c>
      <c r="P2540" s="15"/>
    </row>
    <row r="2541">
      <c r="A2541" s="7">
        <v>42426.25255787037</v>
      </c>
      <c r="B2541" s="8" t="str">
        <f>HYPERLINK("https://twitter.com/OpenDreamKit","@OpenDreamKit")</f>
        <v>@OpenDreamKit</v>
      </c>
      <c r="C2541" s="10" t="s">
        <v>5295</v>
      </c>
      <c r="D2541" s="10" t="s">
        <v>5059</v>
      </c>
      <c r="E2541" s="11" t="str">
        <f>HYPERLINK("https://twitter.com/OpenDreamKit/status/703218881243062272","703218881243062272")</f>
        <v>703218881243062272</v>
      </c>
      <c r="F2541" s="12" t="s">
        <v>98</v>
      </c>
      <c r="G2541" s="13">
        <v>127.0</v>
      </c>
      <c r="H2541" s="13">
        <v>21.0</v>
      </c>
      <c r="I2541" s="13">
        <v>3.0</v>
      </c>
      <c r="J2541" s="13">
        <v>0.0</v>
      </c>
      <c r="K2541" s="12" t="s">
        <v>21</v>
      </c>
      <c r="L2541" s="7">
        <v>42016.237754629634</v>
      </c>
      <c r="M2541" s="14" t="s">
        <v>1078</v>
      </c>
      <c r="N2541" s="14" t="s">
        <v>5296</v>
      </c>
      <c r="O2541" s="11" t="str">
        <f>HYPERLINK("https://pbs.twimg.com/profile_images/601118114802053120/pxwU1W12_normal.png","View")</f>
        <v>View</v>
      </c>
      <c r="P2541" s="15"/>
    </row>
    <row r="2542">
      <c r="A2542" s="7">
        <v>42426.25268518519</v>
      </c>
      <c r="B2542" s="8" t="str">
        <f>HYPERLINK("https://twitter.com/GKIreland","@GKIreland")</f>
        <v>@GKIreland</v>
      </c>
      <c r="C2542" s="10" t="s">
        <v>5297</v>
      </c>
      <c r="D2542" s="10" t="s">
        <v>5298</v>
      </c>
      <c r="E2542" s="11" t="str">
        <f>HYPERLINK("https://twitter.com/GKIreland/status/703218930492510208","703218930492510208")</f>
        <v>703218930492510208</v>
      </c>
      <c r="F2542" s="12" t="s">
        <v>659</v>
      </c>
      <c r="G2542" s="13">
        <v>1036.0</v>
      </c>
      <c r="H2542" s="13">
        <v>1284.0</v>
      </c>
      <c r="I2542" s="13">
        <v>0.0</v>
      </c>
      <c r="J2542" s="13">
        <v>0.0</v>
      </c>
      <c r="K2542" s="12" t="s">
        <v>21</v>
      </c>
      <c r="L2542" s="7">
        <v>40143.59594907407</v>
      </c>
      <c r="M2542" s="14" t="s">
        <v>1031</v>
      </c>
      <c r="N2542" s="14" t="s">
        <v>5299</v>
      </c>
      <c r="O2542" s="11" t="str">
        <f>HYPERLINK("https://pbs.twimg.com/profile_images/551289942/GKLogoRGB1440x1080_normal.jpg","View")</f>
        <v>View</v>
      </c>
      <c r="P2542" s="15"/>
    </row>
    <row r="2543">
      <c r="A2543" s="7">
        <v>42426.252800925926</v>
      </c>
      <c r="B2543" s="8" t="str">
        <f>HYPERLINK("https://twitter.com/odsc","@odsc")</f>
        <v>@odsc</v>
      </c>
      <c r="C2543" s="10" t="s">
        <v>3212</v>
      </c>
      <c r="D2543" s="10" t="s">
        <v>5300</v>
      </c>
      <c r="E2543" s="11" t="str">
        <f>HYPERLINK("https://twitter.com/odsc/status/703218972112588800","703218972112588800")</f>
        <v>703218972112588800</v>
      </c>
      <c r="F2543" s="12" t="s">
        <v>659</v>
      </c>
      <c r="G2543" s="13">
        <v>13823.0</v>
      </c>
      <c r="H2543" s="13">
        <v>6657.0</v>
      </c>
      <c r="I2543" s="13">
        <v>1.0</v>
      </c>
      <c r="J2543" s="13">
        <v>4.0</v>
      </c>
      <c r="K2543" s="12" t="s">
        <v>21</v>
      </c>
      <c r="L2543" s="7">
        <v>42039.6077662037</v>
      </c>
      <c r="M2543" s="14" t="s">
        <v>3214</v>
      </c>
      <c r="N2543" s="14" t="s">
        <v>3215</v>
      </c>
      <c r="O2543" s="11" t="str">
        <f>HYPERLINK("https://pbs.twimg.com/profile_images/623923923441348612/HxO7gaZZ_normal.png","View")</f>
        <v>View</v>
      </c>
      <c r="P2543" s="15"/>
    </row>
    <row r="2544">
      <c r="A2544" s="7">
        <v>42426.25288194444</v>
      </c>
      <c r="B2544" s="8" t="str">
        <f>HYPERLINK("https://twitter.com/MonsterJobs","@MonsterJobs")</f>
        <v>@MonsterJobs</v>
      </c>
      <c r="C2544" s="10" t="s">
        <v>5301</v>
      </c>
      <c r="D2544" s="10" t="s">
        <v>5302</v>
      </c>
      <c r="E2544" s="11" t="str">
        <f>HYPERLINK("https://twitter.com/MonsterJobs/status/703219001812520962","703219001812520962")</f>
        <v>703219001812520962</v>
      </c>
      <c r="F2544" s="12" t="s">
        <v>5303</v>
      </c>
      <c r="G2544" s="13">
        <v>371.0</v>
      </c>
      <c r="H2544" s="13">
        <v>5.0</v>
      </c>
      <c r="I2544" s="13">
        <v>0.0</v>
      </c>
      <c r="J2544" s="13">
        <v>1.0</v>
      </c>
      <c r="K2544" s="12" t="s">
        <v>21</v>
      </c>
      <c r="L2544" s="7">
        <v>41683.526041666664</v>
      </c>
      <c r="M2544" s="14" t="s">
        <v>432</v>
      </c>
      <c r="N2544" s="14" t="s">
        <v>5304</v>
      </c>
      <c r="O2544" s="11" t="str">
        <f>HYPERLINK("https://pbs.twimg.com/profile_images/700009807181279232/CPnyKs5t_normal.png","View")</f>
        <v>View</v>
      </c>
      <c r="P2544" s="15"/>
    </row>
    <row r="2545">
      <c r="A2545" s="7">
        <v>42426.25356481482</v>
      </c>
      <c r="B2545" s="8" t="str">
        <f>HYPERLINK("https://twitter.com/Paris_TechJobs","@Paris_TechJobs")</f>
        <v>@Paris_TechJobs</v>
      </c>
      <c r="C2545" s="10" t="s">
        <v>4379</v>
      </c>
      <c r="D2545" s="10" t="s">
        <v>5305</v>
      </c>
      <c r="E2545" s="11" t="str">
        <f>HYPERLINK("https://twitter.com/Paris_TechJobs/status/703219246390763522","703219246390763522")</f>
        <v>703219246390763522</v>
      </c>
      <c r="F2545" s="12" t="s">
        <v>659</v>
      </c>
      <c r="G2545" s="13">
        <v>42.0</v>
      </c>
      <c r="H2545" s="13">
        <v>39.0</v>
      </c>
      <c r="I2545" s="13">
        <v>1.0</v>
      </c>
      <c r="J2545" s="13">
        <v>0.0</v>
      </c>
      <c r="K2545" s="12" t="s">
        <v>21</v>
      </c>
      <c r="L2545" s="7">
        <v>42396.45228009259</v>
      </c>
      <c r="M2545" s="14" t="s">
        <v>1287</v>
      </c>
      <c r="N2545" s="14" t="s">
        <v>4381</v>
      </c>
      <c r="O2545" s="11" t="str">
        <f>HYPERLINK("https://pbs.twimg.com/profile_images/692420104462700544/lzD8ftgI_normal.png","View")</f>
        <v>View</v>
      </c>
      <c r="P2545" s="15"/>
    </row>
    <row r="2546">
      <c r="A2546" s="7">
        <v>42426.253645833334</v>
      </c>
      <c r="B2546" s="8" t="str">
        <f>HYPERLINK("https://twitter.com/asirikuy","@asirikuy")</f>
        <v>@asirikuy</v>
      </c>
      <c r="C2546" s="10" t="s">
        <v>5306</v>
      </c>
      <c r="D2546" s="10" t="s">
        <v>5307</v>
      </c>
      <c r="E2546" s="11" t="str">
        <f>HYPERLINK("https://twitter.com/asirikuy/status/703219276551835649","703219276551835649")</f>
        <v>703219276551835649</v>
      </c>
      <c r="F2546" s="12" t="s">
        <v>5308</v>
      </c>
      <c r="G2546" s="13">
        <v>174.0</v>
      </c>
      <c r="H2546" s="13">
        <v>214.0</v>
      </c>
      <c r="I2546" s="13">
        <v>0.0</v>
      </c>
      <c r="J2546" s="13">
        <v>0.0</v>
      </c>
      <c r="K2546" s="12" t="s">
        <v>21</v>
      </c>
      <c r="L2546" s="7">
        <v>40810.35277777778</v>
      </c>
      <c r="M2546" s="16"/>
      <c r="N2546" s="14" t="s">
        <v>5309</v>
      </c>
      <c r="O2546" s="11" t="str">
        <f>HYPERLINK("https://pbs.twimg.com/profile_images/1602211998/image1_normal.jpg","View")</f>
        <v>View</v>
      </c>
      <c r="P2546" s="15"/>
    </row>
    <row r="2547">
      <c r="A2547" s="7">
        <v>42426.25475694444</v>
      </c>
      <c r="B2547" s="8" t="str">
        <f>HYPERLINK("https://twitter.com/wcmckeedotcom","@wcmckeedotcom")</f>
        <v>@wcmckeedotcom</v>
      </c>
      <c r="C2547" s="10" t="s">
        <v>476</v>
      </c>
      <c r="D2547" s="10" t="s">
        <v>5310</v>
      </c>
      <c r="E2547" s="11" t="str">
        <f>HYPERLINK("https://twitter.com/wcmckeedotcom/status/703219680459268101","703219680459268101")</f>
        <v>703219680459268101</v>
      </c>
      <c r="F2547" s="12" t="s">
        <v>478</v>
      </c>
      <c r="G2547" s="13">
        <v>1011.0</v>
      </c>
      <c r="H2547" s="13">
        <v>875.0</v>
      </c>
      <c r="I2547" s="13">
        <v>0.0</v>
      </c>
      <c r="J2547" s="13">
        <v>0.0</v>
      </c>
      <c r="K2547" s="12" t="s">
        <v>21</v>
      </c>
      <c r="L2547" s="7">
        <v>41902.048368055555</v>
      </c>
      <c r="M2547" s="14" t="s">
        <v>479</v>
      </c>
      <c r="N2547" s="14" t="s">
        <v>480</v>
      </c>
      <c r="O2547" s="11" t="str">
        <f>HYPERLINK("https://pbs.twimg.com/profile_images/621211385746161664/tGchJstD_normal.jpg","View")</f>
        <v>View</v>
      </c>
      <c r="P2547" s="15"/>
    </row>
    <row r="2548">
      <c r="A2548" s="7">
        <v>42426.254849537036</v>
      </c>
      <c r="B2548" s="8" t="str">
        <f>HYPERLINK("https://twitter.com/nicocoetzee1","@nicocoetzee1")</f>
        <v>@nicocoetzee1</v>
      </c>
      <c r="C2548" s="10" t="s">
        <v>5311</v>
      </c>
      <c r="D2548" s="10" t="s">
        <v>5312</v>
      </c>
      <c r="E2548" s="11" t="str">
        <f>HYPERLINK("https://twitter.com/nicocoetzee1/status/703219714739326976","703219714739326976")</f>
        <v>703219714739326976</v>
      </c>
      <c r="F2548" s="12" t="s">
        <v>52</v>
      </c>
      <c r="G2548" s="13">
        <v>365.0</v>
      </c>
      <c r="H2548" s="13">
        <v>1177.0</v>
      </c>
      <c r="I2548" s="13">
        <v>6.0</v>
      </c>
      <c r="J2548" s="13">
        <v>0.0</v>
      </c>
      <c r="K2548" s="12" t="s">
        <v>21</v>
      </c>
      <c r="L2548" s="7">
        <v>41051.8884837963</v>
      </c>
      <c r="M2548" s="16"/>
      <c r="N2548" s="14" t="s">
        <v>5313</v>
      </c>
      <c r="O2548" s="11" t="str">
        <f>HYPERLINK("https://pbs.twimg.com/profile_images/2242692076/alberteinsteintongue_normal.jpg","View")</f>
        <v>View</v>
      </c>
      <c r="P2548" s="15"/>
    </row>
    <row r="2549">
      <c r="A2549" s="7">
        <v>42426.25517361111</v>
      </c>
      <c r="B2549" s="8" t="str">
        <f t="shared" ref="B2549:B2550" si="261">HYPERLINK("https://twitter.com/cool_python","@cool_python")</f>
        <v>@cool_python</v>
      </c>
      <c r="C2549" s="10" t="s">
        <v>249</v>
      </c>
      <c r="D2549" s="10" t="s">
        <v>5314</v>
      </c>
      <c r="E2549" s="11" t="str">
        <f>HYPERLINK("https://twitter.com/cool_python/status/703219828782456832","703219828782456832")</f>
        <v>703219828782456832</v>
      </c>
      <c r="F2549" s="12" t="s">
        <v>251</v>
      </c>
      <c r="G2549" s="13">
        <v>235.0</v>
      </c>
      <c r="H2549" s="13">
        <v>91.0</v>
      </c>
      <c r="I2549" s="13">
        <v>1.0</v>
      </c>
      <c r="J2549" s="13">
        <v>0.0</v>
      </c>
      <c r="K2549" s="12" t="s">
        <v>21</v>
      </c>
      <c r="L2549" s="7">
        <v>42064.325</v>
      </c>
      <c r="M2549" s="14" t="s">
        <v>252</v>
      </c>
      <c r="N2549" s="14" t="s">
        <v>253</v>
      </c>
      <c r="O2549" s="11" t="str">
        <f t="shared" ref="O2549:O2550" si="262">HYPERLINK("https://pbs.twimg.com/profile_images/572091631055028224/Pkx__FSB_normal.png","View")</f>
        <v>View</v>
      </c>
      <c r="P2549" s="15"/>
    </row>
    <row r="2550">
      <c r="A2550" s="7">
        <v>42426.25517361111</v>
      </c>
      <c r="B2550" s="8" t="str">
        <f t="shared" si="261"/>
        <v>@cool_python</v>
      </c>
      <c r="C2550" s="10" t="s">
        <v>249</v>
      </c>
      <c r="D2550" s="10" t="s">
        <v>5312</v>
      </c>
      <c r="E2550" s="11" t="str">
        <f>HYPERLINK("https://twitter.com/cool_python/status/703219830049083392","703219830049083392")</f>
        <v>703219830049083392</v>
      </c>
      <c r="F2550" s="12" t="s">
        <v>251</v>
      </c>
      <c r="G2550" s="13">
        <v>235.0</v>
      </c>
      <c r="H2550" s="13">
        <v>91.0</v>
      </c>
      <c r="I2550" s="13">
        <v>6.0</v>
      </c>
      <c r="J2550" s="13">
        <v>0.0</v>
      </c>
      <c r="K2550" s="12" t="s">
        <v>21</v>
      </c>
      <c r="L2550" s="7">
        <v>42064.325</v>
      </c>
      <c r="M2550" s="14" t="s">
        <v>252</v>
      </c>
      <c r="N2550" s="14" t="s">
        <v>253</v>
      </c>
      <c r="O2550" s="11" t="str">
        <f t="shared" si="262"/>
        <v>View</v>
      </c>
      <c r="P2550" s="15"/>
    </row>
    <row r="2551">
      <c r="A2551" s="7">
        <v>42426.257372685184</v>
      </c>
      <c r="B2551" s="8" t="str">
        <f>HYPERLINK("https://twitter.com/Workshapeio_bot","@Workshapeio_bot")</f>
        <v>@Workshapeio_bot</v>
      </c>
      <c r="C2551" s="10" t="s">
        <v>5315</v>
      </c>
      <c r="D2551" s="10" t="s">
        <v>5316</v>
      </c>
      <c r="E2551" s="11" t="str">
        <f>HYPERLINK("https://twitter.com/Workshapeio_bot/status/703220629416353793","703220629416353793")</f>
        <v>703220629416353793</v>
      </c>
      <c r="F2551" s="12" t="s">
        <v>5315</v>
      </c>
      <c r="G2551" s="13">
        <v>57.0</v>
      </c>
      <c r="H2551" s="13">
        <v>4.0</v>
      </c>
      <c r="I2551" s="13">
        <v>0.0</v>
      </c>
      <c r="J2551" s="13">
        <v>0.0</v>
      </c>
      <c r="K2551" s="12" t="s">
        <v>21</v>
      </c>
      <c r="L2551" s="7">
        <v>42135.40775462963</v>
      </c>
      <c r="M2551" s="14" t="s">
        <v>2034</v>
      </c>
      <c r="N2551" s="14" t="s">
        <v>5317</v>
      </c>
      <c r="O2551" s="11" t="str">
        <f>HYPERLINK("https://pbs.twimg.com/profile_images/597807721610608640/xUzXxkoR_normal.png","View")</f>
        <v>View</v>
      </c>
      <c r="P2551" s="15"/>
    </row>
    <row r="2552">
      <c r="A2552" s="7">
        <v>42426.2575</v>
      </c>
      <c r="B2552" s="8" t="str">
        <f>HYPERLINK("https://twitter.com/chrisftaylor","@chrisftaylor")</f>
        <v>@chrisftaylor</v>
      </c>
      <c r="C2552" s="10" t="s">
        <v>5318</v>
      </c>
      <c r="D2552" s="10" t="s">
        <v>5319</v>
      </c>
      <c r="E2552" s="11" t="str">
        <f>HYPERLINK("https://twitter.com/chrisftaylor/status/703220675654389760","703220675654389760")</f>
        <v>703220675654389760</v>
      </c>
      <c r="F2552" s="12" t="s">
        <v>446</v>
      </c>
      <c r="G2552" s="13">
        <v>705.0</v>
      </c>
      <c r="H2552" s="13">
        <v>2165.0</v>
      </c>
      <c r="I2552" s="13">
        <v>0.0</v>
      </c>
      <c r="J2552" s="13">
        <v>1.0</v>
      </c>
      <c r="K2552" s="12" t="s">
        <v>21</v>
      </c>
      <c r="L2552" s="7">
        <v>41422.12385416667</v>
      </c>
      <c r="M2552" s="14" t="s">
        <v>519</v>
      </c>
      <c r="N2552" s="14" t="s">
        <v>5320</v>
      </c>
      <c r="O2552" s="11" t="str">
        <f>HYPERLINK("https://pbs.twimg.com/profile_images/687953389662126080/Gxd9YC6g_normal.png","View")</f>
        <v>View</v>
      </c>
      <c r="P2552" s="15"/>
    </row>
    <row r="2553">
      <c r="A2553" s="7">
        <v>42426.25758101852</v>
      </c>
      <c r="B2553" s="8" t="str">
        <f t="shared" ref="B2553:B2554" si="263">HYPERLINK("https://twitter.com/Workshapeio_bot","@Workshapeio_bot")</f>
        <v>@Workshapeio_bot</v>
      </c>
      <c r="C2553" s="10" t="s">
        <v>5315</v>
      </c>
      <c r="D2553" s="10" t="s">
        <v>5321</v>
      </c>
      <c r="E2553" s="11" t="str">
        <f>HYPERLINK("https://twitter.com/Workshapeio_bot/status/703220701596094464","703220701596094464")</f>
        <v>703220701596094464</v>
      </c>
      <c r="F2553" s="12" t="s">
        <v>5315</v>
      </c>
      <c r="G2553" s="13">
        <v>57.0</v>
      </c>
      <c r="H2553" s="13">
        <v>4.0</v>
      </c>
      <c r="I2553" s="13">
        <v>0.0</v>
      </c>
      <c r="J2553" s="13">
        <v>0.0</v>
      </c>
      <c r="K2553" s="12" t="s">
        <v>21</v>
      </c>
      <c r="L2553" s="7">
        <v>42135.40775462963</v>
      </c>
      <c r="M2553" s="14" t="s">
        <v>2034</v>
      </c>
      <c r="N2553" s="14" t="s">
        <v>5317</v>
      </c>
      <c r="O2553" s="11" t="str">
        <f t="shared" ref="O2553:O2554" si="264">HYPERLINK("https://pbs.twimg.com/profile_images/597807721610608640/xUzXxkoR_normal.png","View")</f>
        <v>View</v>
      </c>
      <c r="P2553" s="15"/>
    </row>
    <row r="2554">
      <c r="A2554" s="7">
        <v>42426.25792824074</v>
      </c>
      <c r="B2554" s="8" t="str">
        <f t="shared" si="263"/>
        <v>@Workshapeio_bot</v>
      </c>
      <c r="C2554" s="10" t="s">
        <v>5315</v>
      </c>
      <c r="D2554" s="10" t="s">
        <v>5322</v>
      </c>
      <c r="E2554" s="11" t="str">
        <f>HYPERLINK("https://twitter.com/Workshapeio_bot/status/703220827618209793","703220827618209793")</f>
        <v>703220827618209793</v>
      </c>
      <c r="F2554" s="12" t="s">
        <v>5315</v>
      </c>
      <c r="G2554" s="13">
        <v>57.0</v>
      </c>
      <c r="H2554" s="13">
        <v>4.0</v>
      </c>
      <c r="I2554" s="13">
        <v>0.0</v>
      </c>
      <c r="J2554" s="13">
        <v>0.0</v>
      </c>
      <c r="K2554" s="12" t="s">
        <v>21</v>
      </c>
      <c r="L2554" s="7">
        <v>42135.40775462963</v>
      </c>
      <c r="M2554" s="14" t="s">
        <v>2034</v>
      </c>
      <c r="N2554" s="14" t="s">
        <v>5317</v>
      </c>
      <c r="O2554" s="11" t="str">
        <f t="shared" si="264"/>
        <v>View</v>
      </c>
      <c r="P2554" s="15"/>
    </row>
    <row r="2555">
      <c r="A2555" s="7">
        <v>42426.257986111115</v>
      </c>
      <c r="B2555" s="8" t="str">
        <f>HYPERLINK("https://twitter.com/nicdm","@nicdm")</f>
        <v>@nicdm</v>
      </c>
      <c r="C2555" s="10" t="s">
        <v>4348</v>
      </c>
      <c r="D2555" s="10" t="s">
        <v>5312</v>
      </c>
      <c r="E2555" s="11" t="str">
        <f>HYPERLINK("https://twitter.com/nicdm/status/703220849550172160","703220849550172160")</f>
        <v>703220849550172160</v>
      </c>
      <c r="F2555" s="12" t="s">
        <v>1801</v>
      </c>
      <c r="G2555" s="13">
        <v>86.0</v>
      </c>
      <c r="H2555" s="13">
        <v>90.0</v>
      </c>
      <c r="I2555" s="13">
        <v>6.0</v>
      </c>
      <c r="J2555" s="13">
        <v>0.0</v>
      </c>
      <c r="K2555" s="12" t="s">
        <v>21</v>
      </c>
      <c r="L2555" s="7">
        <v>39367.1956712963</v>
      </c>
      <c r="M2555" s="14" t="s">
        <v>4349</v>
      </c>
      <c r="N2555" s="14" t="s">
        <v>4350</v>
      </c>
      <c r="O2555" s="11" t="str">
        <f>HYPERLINK("https://pbs.twimg.com/profile_images/442044742612688896/dqE0YTBI_normal.jpeg","View")</f>
        <v>View</v>
      </c>
      <c r="P2555" s="15"/>
    </row>
    <row r="2556">
      <c r="A2556" s="7">
        <v>42426.25814814815</v>
      </c>
      <c r="B2556" s="8" t="str">
        <f>HYPERLINK("https://twitter.com/Workshapeio_bot","@Workshapeio_bot")</f>
        <v>@Workshapeio_bot</v>
      </c>
      <c r="C2556" s="10" t="s">
        <v>5315</v>
      </c>
      <c r="D2556" s="10" t="s">
        <v>5323</v>
      </c>
      <c r="E2556" s="11" t="str">
        <f>HYPERLINK("https://twitter.com/Workshapeio_bot/status/703220910166298624","703220910166298624")</f>
        <v>703220910166298624</v>
      </c>
      <c r="F2556" s="12" t="s">
        <v>5315</v>
      </c>
      <c r="G2556" s="13">
        <v>57.0</v>
      </c>
      <c r="H2556" s="13">
        <v>4.0</v>
      </c>
      <c r="I2556" s="13">
        <v>0.0</v>
      </c>
      <c r="J2556" s="13">
        <v>0.0</v>
      </c>
      <c r="K2556" s="12" t="s">
        <v>21</v>
      </c>
      <c r="L2556" s="7">
        <v>42135.40775462963</v>
      </c>
      <c r="M2556" s="14" t="s">
        <v>2034</v>
      </c>
      <c r="N2556" s="14" t="s">
        <v>5317</v>
      </c>
      <c r="O2556" s="11" t="str">
        <f>HYPERLINK("https://pbs.twimg.com/profile_images/597807721610608640/xUzXxkoR_normal.png","View")</f>
        <v>View</v>
      </c>
      <c r="P2556" s="15"/>
    </row>
    <row r="2557">
      <c r="A2557" s="7">
        <v>42426.25834490741</v>
      </c>
      <c r="B2557" s="8" t="str">
        <f>HYPERLINK("https://twitter.com/mjjacko","@mjjacko")</f>
        <v>@mjjacko</v>
      </c>
      <c r="C2557" s="10" t="s">
        <v>1518</v>
      </c>
      <c r="D2557" s="10" t="s">
        <v>5324</v>
      </c>
      <c r="E2557" s="11" t="str">
        <f>HYPERLINK("https://twitter.com/mjjacko/status/703220979913199616","703220979913199616")</f>
        <v>703220979913199616</v>
      </c>
      <c r="F2557" s="12" t="s">
        <v>446</v>
      </c>
      <c r="G2557" s="13">
        <v>3729.0</v>
      </c>
      <c r="H2557" s="13">
        <v>3090.0</v>
      </c>
      <c r="I2557" s="13">
        <v>1.0</v>
      </c>
      <c r="J2557" s="13">
        <v>4.0</v>
      </c>
      <c r="K2557" s="12" t="s">
        <v>21</v>
      </c>
      <c r="L2557" s="7">
        <v>39580.559641203705</v>
      </c>
      <c r="M2557" s="14" t="s">
        <v>69</v>
      </c>
      <c r="N2557" s="14" t="s">
        <v>1520</v>
      </c>
      <c r="O2557" s="11" t="str">
        <f>HYPERLINK("https://pbs.twimg.com/profile_images/605072073895997441/W_g0G9fU_normal.png","View")</f>
        <v>View</v>
      </c>
      <c r="P2557" s="15"/>
    </row>
    <row r="2558">
      <c r="A2558" s="7">
        <v>42426.25880787037</v>
      </c>
      <c r="B2558" s="8" t="str">
        <f>HYPERLINK("https://twitter.com/SA_Data_Science","@SA_Data_Science")</f>
        <v>@SA_Data_Science</v>
      </c>
      <c r="C2558" s="10" t="s">
        <v>5325</v>
      </c>
      <c r="D2558" s="10" t="s">
        <v>5326</v>
      </c>
      <c r="E2558" s="11" t="str">
        <f>HYPERLINK("https://twitter.com/SA_Data_Science/status/703221147983339521","703221147983339521")</f>
        <v>703221147983339521</v>
      </c>
      <c r="F2558" s="12" t="s">
        <v>659</v>
      </c>
      <c r="G2558" s="13">
        <v>601.0</v>
      </c>
      <c r="H2558" s="13">
        <v>365.0</v>
      </c>
      <c r="I2558" s="13">
        <v>0.0</v>
      </c>
      <c r="J2558" s="13">
        <v>3.0</v>
      </c>
      <c r="K2558" s="12" t="s">
        <v>21</v>
      </c>
      <c r="L2558" s="7">
        <v>42304.31450231481</v>
      </c>
      <c r="M2558" s="14" t="s">
        <v>1287</v>
      </c>
      <c r="N2558" s="14" t="s">
        <v>5327</v>
      </c>
      <c r="O2558" s="11" t="str">
        <f>HYPERLINK("https://pbs.twimg.com/profile_images/659015319483215872/SDoLzliR_normal.jpg","View")</f>
        <v>View</v>
      </c>
      <c r="P2558" s="15"/>
    </row>
    <row r="2559">
      <c r="A2559" s="7">
        <v>42426.25975694445</v>
      </c>
      <c r="B2559" s="8" t="str">
        <f>HYPERLINK("https://twitter.com/PythonBooks","@PythonBooks")</f>
        <v>@PythonBooks</v>
      </c>
      <c r="C2559" s="10" t="s">
        <v>267</v>
      </c>
      <c r="D2559" s="10" t="s">
        <v>5328</v>
      </c>
      <c r="E2559" s="11" t="str">
        <f>HYPERLINK("https://twitter.com/PythonBooks/status/703221491756769280","703221491756769280")</f>
        <v>703221491756769280</v>
      </c>
      <c r="F2559" s="17" t="s">
        <v>76</v>
      </c>
      <c r="G2559" s="13">
        <v>20.0</v>
      </c>
      <c r="H2559" s="13">
        <v>70.0</v>
      </c>
      <c r="I2559" s="13">
        <v>0.0</v>
      </c>
      <c r="J2559" s="13">
        <v>0.0</v>
      </c>
      <c r="K2559" s="12" t="s">
        <v>21</v>
      </c>
      <c r="L2559" s="7">
        <v>42424.13631944444</v>
      </c>
      <c r="M2559" s="14" t="s">
        <v>269</v>
      </c>
      <c r="N2559" s="14" t="s">
        <v>270</v>
      </c>
      <c r="O2559" s="11" t="str">
        <f>HYPERLINK("https://pbs.twimg.com/profile_images/702455638157168640/AeDgtn0C_normal.jpg","View")</f>
        <v>View</v>
      </c>
      <c r="P2559" s="15"/>
    </row>
    <row r="2560">
      <c r="A2560" s="7">
        <v>42426.26136574074</v>
      </c>
      <c r="B2560" s="8" t="str">
        <f>HYPERLINK("https://twitter.com/skfroi","@skfroi")</f>
        <v>@skfroi</v>
      </c>
      <c r="C2560" s="10" t="s">
        <v>5329</v>
      </c>
      <c r="D2560" s="10" t="s">
        <v>5330</v>
      </c>
      <c r="E2560" s="11" t="str">
        <f>HYPERLINK("https://twitter.com/skfroi/status/703222073338912768","703222073338912768")</f>
        <v>703222073338912768</v>
      </c>
      <c r="F2560" s="12" t="s">
        <v>20</v>
      </c>
      <c r="G2560" s="13">
        <v>742.0</v>
      </c>
      <c r="H2560" s="13">
        <v>1079.0</v>
      </c>
      <c r="I2560" s="13">
        <v>1.0</v>
      </c>
      <c r="J2560" s="13">
        <v>0.0</v>
      </c>
      <c r="K2560" s="12" t="s">
        <v>21</v>
      </c>
      <c r="L2560" s="7">
        <v>39937.480671296296</v>
      </c>
      <c r="M2560" s="14" t="s">
        <v>5331</v>
      </c>
      <c r="N2560" s="14" t="s">
        <v>5332</v>
      </c>
      <c r="O2560" s="11" t="str">
        <f>HYPERLINK("https://pbs.twimg.com/profile_images/598830498509496320/ciaDeZbY_normal.jpg","View")</f>
        <v>View</v>
      </c>
      <c r="P2560" s="15"/>
    </row>
    <row r="2561">
      <c r="A2561" s="7">
        <v>42426.26180555555</v>
      </c>
      <c r="B2561" s="8" t="str">
        <f>HYPERLINK("https://twitter.com/hvniekerk","@hvniekerk")</f>
        <v>@hvniekerk</v>
      </c>
      <c r="C2561" s="10" t="s">
        <v>5333</v>
      </c>
      <c r="D2561" s="10" t="s">
        <v>5334</v>
      </c>
      <c r="E2561" s="11" t="str">
        <f>HYPERLINK("https://twitter.com/hvniekerk/status/703222233452437505","703222233452437505")</f>
        <v>703222233452437505</v>
      </c>
      <c r="F2561" s="12" t="s">
        <v>20</v>
      </c>
      <c r="G2561" s="13">
        <v>20.0</v>
      </c>
      <c r="H2561" s="13">
        <v>31.0</v>
      </c>
      <c r="I2561" s="13">
        <v>0.0</v>
      </c>
      <c r="J2561" s="13">
        <v>0.0</v>
      </c>
      <c r="K2561" s="12" t="s">
        <v>21</v>
      </c>
      <c r="L2561" s="7">
        <v>40036.4146875</v>
      </c>
      <c r="M2561" s="16"/>
      <c r="N2561" s="14" t="s">
        <v>5335</v>
      </c>
      <c r="O2561" s="11" t="str">
        <f>HYPERLINK("https://pbs.twimg.com/profile_images/649862466675957760/gjyaoAD2_normal.jpg","View")</f>
        <v>View</v>
      </c>
      <c r="P2561" s="15"/>
    </row>
    <row r="2562">
      <c r="A2562" s="7">
        <v>42426.26189814815</v>
      </c>
      <c r="B2562" s="8" t="str">
        <f>HYPERLINK("https://twitter.com/art_control","@art_control")</f>
        <v>@art_control</v>
      </c>
      <c r="C2562" s="10" t="s">
        <v>309</v>
      </c>
      <c r="D2562" s="10" t="s">
        <v>5336</v>
      </c>
      <c r="E2562" s="11" t="str">
        <f>HYPERLINK("https://twitter.com/art_control/status/703222268541984768","703222268541984768")</f>
        <v>703222268541984768</v>
      </c>
      <c r="F2562" s="12" t="s">
        <v>311</v>
      </c>
      <c r="G2562" s="13">
        <v>989.0</v>
      </c>
      <c r="H2562" s="13">
        <v>850.0</v>
      </c>
      <c r="I2562" s="13">
        <v>0.0</v>
      </c>
      <c r="J2562" s="13">
        <v>0.0</v>
      </c>
      <c r="K2562" s="12" t="s">
        <v>21</v>
      </c>
      <c r="L2562" s="7">
        <v>39896.869675925926</v>
      </c>
      <c r="M2562" s="14" t="s">
        <v>312</v>
      </c>
      <c r="N2562" s="14" t="s">
        <v>313</v>
      </c>
      <c r="O2562" s="11" t="str">
        <f>HYPERLINK("https://pbs.twimg.com/profile_images/649004216690675712/UAcrP6ol_normal.png","View")</f>
        <v>View</v>
      </c>
      <c r="P2562" s="15"/>
    </row>
    <row r="2563">
      <c r="A2563" s="7">
        <v>42426.26203703704</v>
      </c>
      <c r="B2563" s="8" t="str">
        <f>HYPERLINK("https://twitter.com/CaktusGroup","@CaktusGroup")</f>
        <v>@CaktusGroup</v>
      </c>
      <c r="C2563" s="10" t="s">
        <v>2859</v>
      </c>
      <c r="D2563" s="10" t="s">
        <v>5337</v>
      </c>
      <c r="E2563" s="11" t="str">
        <f>HYPERLINK("https://twitter.com/CaktusGroup/status/703222316327702528","703222316327702528")</f>
        <v>703222316327702528</v>
      </c>
      <c r="F2563" s="12" t="s">
        <v>2737</v>
      </c>
      <c r="G2563" s="13">
        <v>987.0</v>
      </c>
      <c r="H2563" s="13">
        <v>364.0</v>
      </c>
      <c r="I2563" s="13">
        <v>3.0</v>
      </c>
      <c r="J2563" s="13">
        <v>0.0</v>
      </c>
      <c r="K2563" s="12" t="s">
        <v>21</v>
      </c>
      <c r="L2563" s="7">
        <v>39983.50111111111</v>
      </c>
      <c r="M2563" s="14" t="s">
        <v>2861</v>
      </c>
      <c r="N2563" s="14" t="s">
        <v>2862</v>
      </c>
      <c r="O2563" s="11" t="str">
        <f>HYPERLINK("https://pbs.twimg.com/profile_images/464122698486919168/qf8YnWJo_normal.png","View")</f>
        <v>View</v>
      </c>
      <c r="P2563" s="15"/>
    </row>
    <row r="2564">
      <c r="A2564" s="7">
        <v>42426.2631712963</v>
      </c>
      <c r="B2564" s="8" t="str">
        <f>HYPERLINK("https://twitter.com/NoSQLDigest","@NoSQLDigest")</f>
        <v>@NoSQLDigest</v>
      </c>
      <c r="C2564" s="10" t="s">
        <v>200</v>
      </c>
      <c r="D2564" s="10" t="s">
        <v>5011</v>
      </c>
      <c r="E2564" s="11" t="str">
        <f>HYPERLINK("https://twitter.com/NoSQLDigest/status/703222730003316740","703222730003316740")</f>
        <v>703222730003316740</v>
      </c>
      <c r="F2564" s="12" t="s">
        <v>202</v>
      </c>
      <c r="G2564" s="13">
        <v>11375.0</v>
      </c>
      <c r="H2564" s="13">
        <v>12.0</v>
      </c>
      <c r="I2564" s="13">
        <v>3.0</v>
      </c>
      <c r="J2564" s="13">
        <v>0.0</v>
      </c>
      <c r="K2564" s="12" t="s">
        <v>21</v>
      </c>
      <c r="L2564" s="7">
        <v>41854.421805555554</v>
      </c>
      <c r="M2564" s="16"/>
      <c r="N2564" s="14" t="s">
        <v>203</v>
      </c>
      <c r="O2564" s="11" t="str">
        <f>HYPERLINK("https://pbs.twimg.com/profile_images/499257180009529344/CSWhr7LZ_normal.jpeg","View")</f>
        <v>View</v>
      </c>
      <c r="P2564" s="15"/>
    </row>
    <row r="2565">
      <c r="A2565" s="7">
        <v>42426.263182870374</v>
      </c>
      <c r="B2565" s="8" t="str">
        <f>HYPERLINK("https://twitter.com/DrOhYes","@DrOhYes")</f>
        <v>@DrOhYes</v>
      </c>
      <c r="C2565" s="10" t="s">
        <v>5338</v>
      </c>
      <c r="D2565" s="10" t="s">
        <v>5337</v>
      </c>
      <c r="E2565" s="11" t="str">
        <f>HYPERLINK("https://twitter.com/DrOhYes/status/703222734600347648","703222734600347648")</f>
        <v>703222734600347648</v>
      </c>
      <c r="F2565" s="12" t="s">
        <v>152</v>
      </c>
      <c r="G2565" s="13">
        <v>420.0</v>
      </c>
      <c r="H2565" s="13">
        <v>139.0</v>
      </c>
      <c r="I2565" s="13">
        <v>3.0</v>
      </c>
      <c r="J2565" s="13">
        <v>0.0</v>
      </c>
      <c r="K2565" s="12" t="s">
        <v>21</v>
      </c>
      <c r="L2565" s="7">
        <v>39914.45722222222</v>
      </c>
      <c r="M2565" s="14" t="s">
        <v>5339</v>
      </c>
      <c r="N2565" s="14" t="s">
        <v>5340</v>
      </c>
      <c r="O2565" s="11" t="str">
        <f>HYPERLINK("https://pbs.twimg.com/profile_images/577284406815035392/bA5vVUTO_normal.jpeg","View")</f>
        <v>View</v>
      </c>
      <c r="P2565" s="15"/>
    </row>
    <row r="2566">
      <c r="A2566" s="7">
        <v>42426.2637962963</v>
      </c>
      <c r="B2566" s="8" t="str">
        <f>HYPERLINK("https://twitter.com/joymwhitt","@joymwhitt")</f>
        <v>@joymwhitt</v>
      </c>
      <c r="C2566" s="10" t="s">
        <v>5341</v>
      </c>
      <c r="D2566" s="10" t="s">
        <v>5342</v>
      </c>
      <c r="E2566" s="11" t="str">
        <f>HYPERLINK("https://twitter.com/joymwhitt/status/703222954956443649","703222954956443649")</f>
        <v>703222954956443649</v>
      </c>
      <c r="F2566" s="12" t="s">
        <v>20</v>
      </c>
      <c r="G2566" s="13">
        <v>369.0</v>
      </c>
      <c r="H2566" s="13">
        <v>501.0</v>
      </c>
      <c r="I2566" s="13">
        <v>0.0</v>
      </c>
      <c r="J2566" s="13">
        <v>4.0</v>
      </c>
      <c r="K2566" s="12" t="s">
        <v>21</v>
      </c>
      <c r="L2566" s="7">
        <v>40078.50392361111</v>
      </c>
      <c r="M2566" s="14" t="s">
        <v>784</v>
      </c>
      <c r="N2566" s="14" t="s">
        <v>5343</v>
      </c>
      <c r="O2566" s="11" t="str">
        <f>HYPERLINK("https://pbs.twimg.com/profile_images/649959977679986688/okosAH8k_normal.jpg","View")</f>
        <v>View</v>
      </c>
      <c r="P2566" s="15"/>
    </row>
    <row r="2567">
      <c r="A2567" s="7">
        <v>42426.265555555554</v>
      </c>
      <c r="B2567" s="8" t="str">
        <f>HYPERLINK("https://twitter.com/DjangoGirlsRDU","@DjangoGirlsRDU")</f>
        <v>@DjangoGirlsRDU</v>
      </c>
      <c r="C2567" s="10" t="s">
        <v>5344</v>
      </c>
      <c r="D2567" s="10" t="s">
        <v>5337</v>
      </c>
      <c r="E2567" s="11" t="str">
        <f>HYPERLINK("https://twitter.com/DjangoGirlsRDU/status/703223593942048768","703223593942048768")</f>
        <v>703223593942048768</v>
      </c>
      <c r="F2567" s="12" t="s">
        <v>2737</v>
      </c>
      <c r="G2567" s="13">
        <v>65.0</v>
      </c>
      <c r="H2567" s="13">
        <v>18.0</v>
      </c>
      <c r="I2567" s="13">
        <v>3.0</v>
      </c>
      <c r="J2567" s="13">
        <v>0.0</v>
      </c>
      <c r="K2567" s="12" t="s">
        <v>21</v>
      </c>
      <c r="L2567" s="7">
        <v>42156.49240740741</v>
      </c>
      <c r="M2567" s="14" t="s">
        <v>2861</v>
      </c>
      <c r="N2567" s="14" t="s">
        <v>5345</v>
      </c>
      <c r="O2567" s="11" t="str">
        <f>HYPERLINK("https://pbs.twimg.com/profile_images/628609525701038080/FP8dtyeU_normal.png","View")</f>
        <v>View</v>
      </c>
      <c r="P2567" s="15"/>
    </row>
    <row r="2568">
      <c r="A2568" s="7">
        <v>42426.26836805556</v>
      </c>
      <c r="B2568" s="8" t="str">
        <f>HYPERLINK("https://twitter.com/JoshuaSamuelMop","@JoshuaSamuelMop")</f>
        <v>@JoshuaSamuelMop</v>
      </c>
      <c r="C2568" s="10" t="s">
        <v>5346</v>
      </c>
      <c r="D2568" s="10" t="s">
        <v>3257</v>
      </c>
      <c r="E2568" s="11" t="str">
        <f>HYPERLINK("https://twitter.com/JoshuaSamuelMop/status/703224610905395201","703224610905395201")</f>
        <v>703224610905395201</v>
      </c>
      <c r="F2568" s="12" t="s">
        <v>52</v>
      </c>
      <c r="G2568" s="13">
        <v>79.0</v>
      </c>
      <c r="H2568" s="13">
        <v>291.0</v>
      </c>
      <c r="I2568" s="13">
        <v>7.0</v>
      </c>
      <c r="J2568" s="13">
        <v>0.0</v>
      </c>
      <c r="K2568" s="12" t="s">
        <v>21</v>
      </c>
      <c r="L2568" s="7">
        <v>41698.851064814815</v>
      </c>
      <c r="M2568" s="14" t="s">
        <v>5347</v>
      </c>
      <c r="N2568" s="16"/>
      <c r="O2568" s="11" t="str">
        <f>HYPERLINK("https://pbs.twimg.com/profile_images/659072132719079424/vg_dbh6K_normal.jpg","View")</f>
        <v>View</v>
      </c>
      <c r="P2568" s="15"/>
    </row>
    <row r="2569">
      <c r="A2569" s="7">
        <v>42426.268634259264</v>
      </c>
      <c r="B2569" s="8" t="str">
        <f t="shared" ref="B2569:B2570" si="265">HYPERLINK("https://twitter.com/kavi2002suresh","@kavi2002suresh")</f>
        <v>@kavi2002suresh</v>
      </c>
      <c r="C2569" s="10" t="s">
        <v>5348</v>
      </c>
      <c r="D2569" s="10" t="s">
        <v>5349</v>
      </c>
      <c r="E2569" s="11" t="str">
        <f>HYPERLINK("https://twitter.com/kavi2002suresh/status/703224710121672704","703224710121672704")</f>
        <v>703224710121672704</v>
      </c>
      <c r="F2569" s="12" t="s">
        <v>20</v>
      </c>
      <c r="G2569" s="13">
        <v>190.0</v>
      </c>
      <c r="H2569" s="13">
        <v>352.0</v>
      </c>
      <c r="I2569" s="13">
        <v>2.0</v>
      </c>
      <c r="J2569" s="13">
        <v>0.0</v>
      </c>
      <c r="K2569" s="12" t="s">
        <v>21</v>
      </c>
      <c r="L2569" s="7">
        <v>41855.8709375</v>
      </c>
      <c r="M2569" s="14" t="s">
        <v>761</v>
      </c>
      <c r="N2569" s="14" t="s">
        <v>5350</v>
      </c>
      <c r="O2569" s="11" t="str">
        <f t="shared" ref="O2569:O2570" si="266">HYPERLINK("https://pbs.twimg.com/profile_images/665881988524457984/5pV75Tq6_normal.jpg","View")</f>
        <v>View</v>
      </c>
      <c r="P2569" s="15"/>
    </row>
    <row r="2570">
      <c r="A2570" s="7">
        <v>42426.26893518519</v>
      </c>
      <c r="B2570" s="8" t="str">
        <f t="shared" si="265"/>
        <v>@kavi2002suresh</v>
      </c>
      <c r="C2570" s="10" t="s">
        <v>5348</v>
      </c>
      <c r="D2570" s="10" t="s">
        <v>5351</v>
      </c>
      <c r="E2570" s="11" t="str">
        <f>HYPERLINK("https://twitter.com/kavi2002suresh/status/703224818041114626","703224818041114626")</f>
        <v>703224818041114626</v>
      </c>
      <c r="F2570" s="12" t="s">
        <v>20</v>
      </c>
      <c r="G2570" s="13">
        <v>190.0</v>
      </c>
      <c r="H2570" s="13">
        <v>352.0</v>
      </c>
      <c r="I2570" s="13">
        <v>6.0</v>
      </c>
      <c r="J2570" s="13">
        <v>0.0</v>
      </c>
      <c r="K2570" s="12" t="s">
        <v>21</v>
      </c>
      <c r="L2570" s="7">
        <v>41855.8709375</v>
      </c>
      <c r="M2570" s="14" t="s">
        <v>761</v>
      </c>
      <c r="N2570" s="14" t="s">
        <v>5350</v>
      </c>
      <c r="O2570" s="11" t="str">
        <f t="shared" si="266"/>
        <v>View</v>
      </c>
      <c r="P2570" s="15"/>
    </row>
    <row r="2571">
      <c r="A2571" s="7">
        <v>42426.26894675926</v>
      </c>
      <c r="B2571" s="8" t="str">
        <f>HYPERLINK("https://twitter.com/py3k","@py3k")</f>
        <v>@py3k</v>
      </c>
      <c r="C2571" s="10" t="s">
        <v>297</v>
      </c>
      <c r="D2571" s="10" t="s">
        <v>5352</v>
      </c>
      <c r="E2571" s="11" t="str">
        <f>HYPERLINK("https://twitter.com/py3k/status/703224820738162688","703224820738162688")</f>
        <v>703224820738162688</v>
      </c>
      <c r="F2571" s="12" t="s">
        <v>299</v>
      </c>
      <c r="G2571" s="13">
        <v>1623.0</v>
      </c>
      <c r="H2571" s="13">
        <v>676.0</v>
      </c>
      <c r="I2571" s="13">
        <v>1.0</v>
      </c>
      <c r="J2571" s="13">
        <v>0.0</v>
      </c>
      <c r="K2571" s="12" t="s">
        <v>21</v>
      </c>
      <c r="L2571" s="7">
        <v>41096.62268518518</v>
      </c>
      <c r="M2571" s="16"/>
      <c r="N2571" s="14" t="s">
        <v>300</v>
      </c>
      <c r="O2571" s="11" t="str">
        <f>HYPERLINK("https://pbs.twimg.com/profile_images/2474433856/p075cerxh0arpea6ceip_normal.png","View")</f>
        <v>View</v>
      </c>
      <c r="P2571" s="15"/>
    </row>
    <row r="2572">
      <c r="A2572" s="7">
        <v>42426.269270833334</v>
      </c>
      <c r="B2572" s="8" t="str">
        <f>HYPERLINK("https://twitter.com/cool_python","@cool_python")</f>
        <v>@cool_python</v>
      </c>
      <c r="C2572" s="10" t="s">
        <v>249</v>
      </c>
      <c r="D2572" s="10" t="s">
        <v>5353</v>
      </c>
      <c r="E2572" s="11" t="str">
        <f>HYPERLINK("https://twitter.com/cool_python/status/703224941169221633","703224941169221633")</f>
        <v>703224941169221633</v>
      </c>
      <c r="F2572" s="12" t="s">
        <v>251</v>
      </c>
      <c r="G2572" s="13">
        <v>235.0</v>
      </c>
      <c r="H2572" s="13">
        <v>91.0</v>
      </c>
      <c r="I2572" s="13">
        <v>1.0</v>
      </c>
      <c r="J2572" s="13">
        <v>0.0</v>
      </c>
      <c r="K2572" s="12" t="s">
        <v>21</v>
      </c>
      <c r="L2572" s="7">
        <v>42064.325</v>
      </c>
      <c r="M2572" s="14" t="s">
        <v>252</v>
      </c>
      <c r="N2572" s="14" t="s">
        <v>253</v>
      </c>
      <c r="O2572" s="11" t="str">
        <f>HYPERLINK("https://pbs.twimg.com/profile_images/572091631055028224/Pkx__FSB_normal.png","View")</f>
        <v>View</v>
      </c>
      <c r="P2572" s="15"/>
    </row>
    <row r="2573">
      <c r="A2573" s="7">
        <v>42426.269537037035</v>
      </c>
      <c r="B2573" s="8" t="str">
        <f>HYPERLINK("https://twitter.com/akucchan_world","@akucchan_world")</f>
        <v>@akucchan_world</v>
      </c>
      <c r="C2573" s="10" t="s">
        <v>4797</v>
      </c>
      <c r="D2573" s="10" t="s">
        <v>5354</v>
      </c>
      <c r="E2573" s="11" t="str">
        <f>HYPERLINK("https://twitter.com/akucchan_world/status/703225037864587265","703225037864587265")</f>
        <v>703225037864587265</v>
      </c>
      <c r="F2573" s="12" t="s">
        <v>5278</v>
      </c>
      <c r="G2573" s="13">
        <v>449.0</v>
      </c>
      <c r="H2573" s="13">
        <v>1889.0</v>
      </c>
      <c r="I2573" s="13">
        <v>0.0</v>
      </c>
      <c r="J2573" s="13">
        <v>0.0</v>
      </c>
      <c r="K2573" s="12" t="s">
        <v>21</v>
      </c>
      <c r="L2573" s="7">
        <v>40548.21068287037</v>
      </c>
      <c r="M2573" s="14" t="s">
        <v>328</v>
      </c>
      <c r="N2573" s="14" t="s">
        <v>4799</v>
      </c>
      <c r="O2573" s="11" t="str">
        <f>HYPERLINK("https://pbs.twimg.com/profile_images/1216345873/70755_100001902148705_8207987_q_normal.jpg","View")</f>
        <v>View</v>
      </c>
      <c r="P2573" s="15"/>
    </row>
    <row r="2574">
      <c r="A2574" s="7">
        <v>42426.270000000004</v>
      </c>
      <c r="B2574" s="8" t="str">
        <f>HYPERLINK("https://twitter.com/jordanlyonstech","@jordanlyonstech")</f>
        <v>@jordanlyonstech</v>
      </c>
      <c r="C2574" s="10" t="s">
        <v>5355</v>
      </c>
      <c r="D2574" s="10" t="s">
        <v>5356</v>
      </c>
      <c r="E2574" s="11" t="str">
        <f>HYPERLINK("https://twitter.com/jordanlyonstech/status/703225203065823232","703225203065823232")</f>
        <v>703225203065823232</v>
      </c>
      <c r="F2574" s="12" t="s">
        <v>294</v>
      </c>
      <c r="G2574" s="13">
        <v>455.0</v>
      </c>
      <c r="H2574" s="13">
        <v>379.0</v>
      </c>
      <c r="I2574" s="13">
        <v>0.0</v>
      </c>
      <c r="J2574" s="13">
        <v>0.0</v>
      </c>
      <c r="K2574" s="12" t="s">
        <v>21</v>
      </c>
      <c r="L2574" s="7">
        <v>42242.4434375</v>
      </c>
      <c r="M2574" s="14" t="s">
        <v>5357</v>
      </c>
      <c r="N2574" s="14" t="s">
        <v>5358</v>
      </c>
      <c r="O2574" s="11" t="str">
        <f>HYPERLINK("https://pbs.twimg.com/profile_images/636594162456989696/HBrM2mjA_normal.jpg","View")</f>
        <v>View</v>
      </c>
      <c r="P2574" s="15"/>
    </row>
    <row r="2575">
      <c r="A2575" s="7">
        <v>42426.27038194444</v>
      </c>
      <c r="B2575" s="8" t="str">
        <f>HYPERLINK("https://twitter.com/KilloverHD","@KilloverHD")</f>
        <v>@KilloverHD</v>
      </c>
      <c r="C2575" s="10" t="s">
        <v>5359</v>
      </c>
      <c r="D2575" s="10" t="s">
        <v>5360</v>
      </c>
      <c r="E2575" s="11" t="str">
        <f>HYPERLINK("https://twitter.com/KilloverHD/status/703225341050003456","703225341050003456")</f>
        <v>703225341050003456</v>
      </c>
      <c r="F2575" s="12" t="s">
        <v>20</v>
      </c>
      <c r="G2575" s="13">
        <v>0.0</v>
      </c>
      <c r="H2575" s="13">
        <v>0.0</v>
      </c>
      <c r="I2575" s="13">
        <v>0.0</v>
      </c>
      <c r="J2575" s="13">
        <v>0.0</v>
      </c>
      <c r="K2575" s="12" t="s">
        <v>21</v>
      </c>
      <c r="L2575" s="7">
        <v>42420.588472222225</v>
      </c>
      <c r="M2575" s="14" t="s">
        <v>5361</v>
      </c>
      <c r="N2575" s="14" t="s">
        <v>5362</v>
      </c>
      <c r="O2575" s="11" t="str">
        <f>HYPERLINK("https://pbs.twimg.com/profile_images/701330468646555649/_i43CaOY_normal.png","View")</f>
        <v>View</v>
      </c>
      <c r="P2575" s="15"/>
    </row>
    <row r="2576">
      <c r="A2576" s="7">
        <v>42426.270949074074</v>
      </c>
      <c r="B2576" s="8" t="str">
        <f t="shared" ref="B2576:B2585" si="267">HYPERLINK("https://twitter.com/artwisanggeni","@artwisanggeni")</f>
        <v>@artwisanggeni</v>
      </c>
      <c r="C2576" s="10" t="s">
        <v>74</v>
      </c>
      <c r="D2576" s="10" t="s">
        <v>5363</v>
      </c>
      <c r="E2576" s="11" t="str">
        <f>HYPERLINK("https://twitter.com/artwisanggeni/status/703225549422874624","703225549422874624")</f>
        <v>703225549422874624</v>
      </c>
      <c r="F2576" s="17" t="s">
        <v>76</v>
      </c>
      <c r="G2576" s="13">
        <v>236.0</v>
      </c>
      <c r="H2576" s="13">
        <v>61.0</v>
      </c>
      <c r="I2576" s="13">
        <v>0.0</v>
      </c>
      <c r="J2576" s="13">
        <v>0.0</v>
      </c>
      <c r="K2576" s="12" t="s">
        <v>21</v>
      </c>
      <c r="L2576" s="7">
        <v>41218.90608796296</v>
      </c>
      <c r="M2576" s="14" t="s">
        <v>77</v>
      </c>
      <c r="N2576" s="14" t="s">
        <v>78</v>
      </c>
      <c r="O2576" s="11" t="str">
        <f t="shared" ref="O2576:O2585" si="268">HYPERLINK("https://pbs.twimg.com/profile_images/2813636657/599521f69e2bc210a57323b64d8e39e6_normal.jpeg","View")</f>
        <v>View</v>
      </c>
      <c r="P2576" s="15"/>
    </row>
    <row r="2577">
      <c r="A2577" s="7">
        <v>42426.27097222222</v>
      </c>
      <c r="B2577" s="8" t="str">
        <f t="shared" si="267"/>
        <v>@artwisanggeni</v>
      </c>
      <c r="C2577" s="10" t="s">
        <v>74</v>
      </c>
      <c r="D2577" s="10" t="s">
        <v>5364</v>
      </c>
      <c r="E2577" s="11" t="str">
        <f>HYPERLINK("https://twitter.com/artwisanggeni/status/703225554787414016","703225554787414016")</f>
        <v>703225554787414016</v>
      </c>
      <c r="F2577" s="17" t="s">
        <v>76</v>
      </c>
      <c r="G2577" s="13">
        <v>236.0</v>
      </c>
      <c r="H2577" s="13">
        <v>61.0</v>
      </c>
      <c r="I2577" s="13">
        <v>0.0</v>
      </c>
      <c r="J2577" s="13">
        <v>0.0</v>
      </c>
      <c r="K2577" s="12" t="s">
        <v>21</v>
      </c>
      <c r="L2577" s="7">
        <v>41218.90608796296</v>
      </c>
      <c r="M2577" s="14" t="s">
        <v>77</v>
      </c>
      <c r="N2577" s="14" t="s">
        <v>78</v>
      </c>
      <c r="O2577" s="11" t="str">
        <f t="shared" si="268"/>
        <v>View</v>
      </c>
      <c r="P2577" s="15"/>
    </row>
    <row r="2578">
      <c r="A2578" s="7">
        <v>42426.2709837963</v>
      </c>
      <c r="B2578" s="8" t="str">
        <f t="shared" si="267"/>
        <v>@artwisanggeni</v>
      </c>
      <c r="C2578" s="10" t="s">
        <v>74</v>
      </c>
      <c r="D2578" s="10" t="s">
        <v>5365</v>
      </c>
      <c r="E2578" s="11" t="str">
        <f>HYPERLINK("https://twitter.com/artwisanggeni/status/703225560470650881","703225560470650881")</f>
        <v>703225560470650881</v>
      </c>
      <c r="F2578" s="17" t="s">
        <v>76</v>
      </c>
      <c r="G2578" s="13">
        <v>236.0</v>
      </c>
      <c r="H2578" s="13">
        <v>61.0</v>
      </c>
      <c r="I2578" s="13">
        <v>0.0</v>
      </c>
      <c r="J2578" s="13">
        <v>0.0</v>
      </c>
      <c r="K2578" s="12" t="s">
        <v>21</v>
      </c>
      <c r="L2578" s="7">
        <v>41218.90608796296</v>
      </c>
      <c r="M2578" s="14" t="s">
        <v>77</v>
      </c>
      <c r="N2578" s="14" t="s">
        <v>78</v>
      </c>
      <c r="O2578" s="11" t="str">
        <f t="shared" si="268"/>
        <v>View</v>
      </c>
      <c r="P2578" s="15"/>
    </row>
    <row r="2579">
      <c r="A2579" s="7">
        <v>42426.270995370374</v>
      </c>
      <c r="B2579" s="8" t="str">
        <f t="shared" si="267"/>
        <v>@artwisanggeni</v>
      </c>
      <c r="C2579" s="10" t="s">
        <v>74</v>
      </c>
      <c r="D2579" s="10" t="s">
        <v>5366</v>
      </c>
      <c r="E2579" s="11" t="str">
        <f>HYPERLINK("https://twitter.com/artwisanggeni/status/703225565717745664","703225565717745664")</f>
        <v>703225565717745664</v>
      </c>
      <c r="F2579" s="17" t="s">
        <v>76</v>
      </c>
      <c r="G2579" s="13">
        <v>236.0</v>
      </c>
      <c r="H2579" s="13">
        <v>61.0</v>
      </c>
      <c r="I2579" s="13">
        <v>0.0</v>
      </c>
      <c r="J2579" s="13">
        <v>0.0</v>
      </c>
      <c r="K2579" s="12" t="s">
        <v>21</v>
      </c>
      <c r="L2579" s="7">
        <v>41218.90608796296</v>
      </c>
      <c r="M2579" s="14" t="s">
        <v>77</v>
      </c>
      <c r="N2579" s="14" t="s">
        <v>78</v>
      </c>
      <c r="O2579" s="11" t="str">
        <f t="shared" si="268"/>
        <v>View</v>
      </c>
      <c r="P2579" s="15"/>
    </row>
    <row r="2580">
      <c r="A2580" s="7">
        <v>42426.271006944444</v>
      </c>
      <c r="B2580" s="8" t="str">
        <f t="shared" si="267"/>
        <v>@artwisanggeni</v>
      </c>
      <c r="C2580" s="10" t="s">
        <v>74</v>
      </c>
      <c r="D2580" s="10" t="s">
        <v>5367</v>
      </c>
      <c r="E2580" s="11" t="str">
        <f>HYPERLINK("https://twitter.com/artwisanggeni/status/703225570406977536","703225570406977536")</f>
        <v>703225570406977536</v>
      </c>
      <c r="F2580" s="17" t="s">
        <v>76</v>
      </c>
      <c r="G2580" s="13">
        <v>236.0</v>
      </c>
      <c r="H2580" s="13">
        <v>61.0</v>
      </c>
      <c r="I2580" s="13">
        <v>0.0</v>
      </c>
      <c r="J2580" s="13">
        <v>0.0</v>
      </c>
      <c r="K2580" s="12" t="s">
        <v>21</v>
      </c>
      <c r="L2580" s="7">
        <v>41218.90608796296</v>
      </c>
      <c r="M2580" s="14" t="s">
        <v>77</v>
      </c>
      <c r="N2580" s="14" t="s">
        <v>78</v>
      </c>
      <c r="O2580" s="11" t="str">
        <f t="shared" si="268"/>
        <v>View</v>
      </c>
      <c r="P2580" s="15"/>
    </row>
    <row r="2581">
      <c r="A2581" s="7">
        <v>42426.27101851851</v>
      </c>
      <c r="B2581" s="8" t="str">
        <f t="shared" si="267"/>
        <v>@artwisanggeni</v>
      </c>
      <c r="C2581" s="10" t="s">
        <v>74</v>
      </c>
      <c r="D2581" s="10" t="s">
        <v>5368</v>
      </c>
      <c r="E2581" s="11" t="str">
        <f>HYPERLINK("https://twitter.com/artwisanggeni/status/703225574588715008","703225574588715008")</f>
        <v>703225574588715008</v>
      </c>
      <c r="F2581" s="17" t="s">
        <v>76</v>
      </c>
      <c r="G2581" s="13">
        <v>236.0</v>
      </c>
      <c r="H2581" s="13">
        <v>61.0</v>
      </c>
      <c r="I2581" s="13">
        <v>0.0</v>
      </c>
      <c r="J2581" s="13">
        <v>0.0</v>
      </c>
      <c r="K2581" s="12" t="s">
        <v>21</v>
      </c>
      <c r="L2581" s="7">
        <v>41218.90608796296</v>
      </c>
      <c r="M2581" s="14" t="s">
        <v>77</v>
      </c>
      <c r="N2581" s="14" t="s">
        <v>78</v>
      </c>
      <c r="O2581" s="11" t="str">
        <f t="shared" si="268"/>
        <v>View</v>
      </c>
      <c r="P2581" s="15"/>
    </row>
    <row r="2582">
      <c r="A2582" s="7">
        <v>42426.2710300926</v>
      </c>
      <c r="B2582" s="8" t="str">
        <f t="shared" si="267"/>
        <v>@artwisanggeni</v>
      </c>
      <c r="C2582" s="10" t="s">
        <v>74</v>
      </c>
      <c r="D2582" s="10" t="s">
        <v>5369</v>
      </c>
      <c r="E2582" s="11" t="str">
        <f>HYPERLINK("https://twitter.com/artwisanggeni/status/703225578510376960","703225578510376960")</f>
        <v>703225578510376960</v>
      </c>
      <c r="F2582" s="17" t="s">
        <v>76</v>
      </c>
      <c r="G2582" s="13">
        <v>236.0</v>
      </c>
      <c r="H2582" s="13">
        <v>61.0</v>
      </c>
      <c r="I2582" s="13">
        <v>0.0</v>
      </c>
      <c r="J2582" s="13">
        <v>0.0</v>
      </c>
      <c r="K2582" s="12" t="s">
        <v>21</v>
      </c>
      <c r="L2582" s="7">
        <v>41218.90608796296</v>
      </c>
      <c r="M2582" s="14" t="s">
        <v>77</v>
      </c>
      <c r="N2582" s="14" t="s">
        <v>78</v>
      </c>
      <c r="O2582" s="11" t="str">
        <f t="shared" si="268"/>
        <v>View</v>
      </c>
      <c r="P2582" s="15"/>
    </row>
    <row r="2583">
      <c r="A2583" s="7">
        <v>42426.27104166667</v>
      </c>
      <c r="B2583" s="8" t="str">
        <f t="shared" si="267"/>
        <v>@artwisanggeni</v>
      </c>
      <c r="C2583" s="10" t="s">
        <v>74</v>
      </c>
      <c r="D2583" s="10" t="s">
        <v>5370</v>
      </c>
      <c r="E2583" s="11" t="str">
        <f>HYPERLINK("https://twitter.com/artwisanggeni/status/703225582629171200","703225582629171200")</f>
        <v>703225582629171200</v>
      </c>
      <c r="F2583" s="17" t="s">
        <v>76</v>
      </c>
      <c r="G2583" s="13">
        <v>236.0</v>
      </c>
      <c r="H2583" s="13">
        <v>61.0</v>
      </c>
      <c r="I2583" s="13">
        <v>0.0</v>
      </c>
      <c r="J2583" s="13">
        <v>0.0</v>
      </c>
      <c r="K2583" s="12" t="s">
        <v>21</v>
      </c>
      <c r="L2583" s="7">
        <v>41218.90608796296</v>
      </c>
      <c r="M2583" s="14" t="s">
        <v>77</v>
      </c>
      <c r="N2583" s="14" t="s">
        <v>78</v>
      </c>
      <c r="O2583" s="11" t="str">
        <f t="shared" si="268"/>
        <v>View</v>
      </c>
      <c r="P2583" s="15"/>
    </row>
    <row r="2584">
      <c r="A2584" s="7">
        <v>42426.27105324074</v>
      </c>
      <c r="B2584" s="8" t="str">
        <f t="shared" si="267"/>
        <v>@artwisanggeni</v>
      </c>
      <c r="C2584" s="10" t="s">
        <v>74</v>
      </c>
      <c r="D2584" s="10" t="s">
        <v>5371</v>
      </c>
      <c r="E2584" s="11" t="str">
        <f>HYPERLINK("https://twitter.com/artwisanggeni/status/703225586232090625","703225586232090625")</f>
        <v>703225586232090625</v>
      </c>
      <c r="F2584" s="17" t="s">
        <v>76</v>
      </c>
      <c r="G2584" s="13">
        <v>236.0</v>
      </c>
      <c r="H2584" s="13">
        <v>61.0</v>
      </c>
      <c r="I2584" s="13">
        <v>0.0</v>
      </c>
      <c r="J2584" s="13">
        <v>0.0</v>
      </c>
      <c r="K2584" s="12" t="s">
        <v>21</v>
      </c>
      <c r="L2584" s="7">
        <v>41218.90608796296</v>
      </c>
      <c r="M2584" s="14" t="s">
        <v>77</v>
      </c>
      <c r="N2584" s="14" t="s">
        <v>78</v>
      </c>
      <c r="O2584" s="11" t="str">
        <f t="shared" si="268"/>
        <v>View</v>
      </c>
      <c r="P2584" s="15"/>
    </row>
    <row r="2585">
      <c r="A2585" s="7">
        <v>42426.27106481481</v>
      </c>
      <c r="B2585" s="8" t="str">
        <f t="shared" si="267"/>
        <v>@artwisanggeni</v>
      </c>
      <c r="C2585" s="10" t="s">
        <v>74</v>
      </c>
      <c r="D2585" s="10" t="s">
        <v>5372</v>
      </c>
      <c r="E2585" s="11" t="str">
        <f>HYPERLINK("https://twitter.com/artwisanggeni/status/703225590061490180","703225590061490180")</f>
        <v>703225590061490180</v>
      </c>
      <c r="F2585" s="17" t="s">
        <v>76</v>
      </c>
      <c r="G2585" s="13">
        <v>236.0</v>
      </c>
      <c r="H2585" s="13">
        <v>61.0</v>
      </c>
      <c r="I2585" s="13">
        <v>0.0</v>
      </c>
      <c r="J2585" s="13">
        <v>0.0</v>
      </c>
      <c r="K2585" s="12" t="s">
        <v>21</v>
      </c>
      <c r="L2585" s="7">
        <v>41218.90608796296</v>
      </c>
      <c r="M2585" s="14" t="s">
        <v>77</v>
      </c>
      <c r="N2585" s="14" t="s">
        <v>78</v>
      </c>
      <c r="O2585" s="11" t="str">
        <f t="shared" si="268"/>
        <v>View</v>
      </c>
      <c r="P2585" s="15"/>
    </row>
    <row r="2586">
      <c r="A2586" s="7">
        <v>42426.27145833333</v>
      </c>
      <c r="B2586" s="8" t="str">
        <f>HYPERLINK("https://twitter.com/crisodisy","@crisodisy")</f>
        <v>@crisodisy</v>
      </c>
      <c r="C2586" s="10" t="s">
        <v>5373</v>
      </c>
      <c r="D2586" s="10" t="s">
        <v>5374</v>
      </c>
      <c r="E2586" s="11" t="str">
        <f>HYPERLINK("https://twitter.com/crisodisy/status/703225733615845376","703225733615845376")</f>
        <v>703225733615845376</v>
      </c>
      <c r="F2586" s="12" t="s">
        <v>294</v>
      </c>
      <c r="G2586" s="13">
        <v>716.0</v>
      </c>
      <c r="H2586" s="13">
        <v>573.0</v>
      </c>
      <c r="I2586" s="13">
        <v>0.0</v>
      </c>
      <c r="J2586" s="13">
        <v>1.0</v>
      </c>
      <c r="K2586" s="12" t="s">
        <v>21</v>
      </c>
      <c r="L2586" s="7">
        <v>39737.11717592592</v>
      </c>
      <c r="M2586" s="14" t="s">
        <v>901</v>
      </c>
      <c r="N2586" s="14" t="s">
        <v>5375</v>
      </c>
      <c r="O2586" s="11" t="str">
        <f>HYPERLINK("https://pbs.twimg.com/profile_images/378800000210104133/a3420c9a02402dde3d09a1e41f1688e5_normal.jpeg","View")</f>
        <v>View</v>
      </c>
      <c r="P2586" s="15"/>
    </row>
    <row r="2587">
      <c r="A2587" s="7">
        <v>42426.27184027778</v>
      </c>
      <c r="B2587" s="8" t="str">
        <f>HYPERLINK("https://twitter.com/csimpkins","@csimpkins")</f>
        <v>@csimpkins</v>
      </c>
      <c r="C2587" s="10" t="s">
        <v>3740</v>
      </c>
      <c r="D2587" s="10" t="s">
        <v>5376</v>
      </c>
      <c r="E2587" s="11" t="str">
        <f>HYPERLINK("https://twitter.com/csimpkins/status/703225870232621057","703225870232621057")</f>
        <v>703225870232621057</v>
      </c>
      <c r="F2587" s="12" t="s">
        <v>446</v>
      </c>
      <c r="G2587" s="13">
        <v>6777.0</v>
      </c>
      <c r="H2587" s="13">
        <v>44.0</v>
      </c>
      <c r="I2587" s="13">
        <v>0.0</v>
      </c>
      <c r="J2587" s="13">
        <v>0.0</v>
      </c>
      <c r="K2587" s="12" t="s">
        <v>21</v>
      </c>
      <c r="L2587" s="7">
        <v>39610.255578703705</v>
      </c>
      <c r="M2587" s="14" t="s">
        <v>3742</v>
      </c>
      <c r="N2587" s="14" t="s">
        <v>3743</v>
      </c>
      <c r="O2587" s="11" t="str">
        <f>HYPERLINK("https://pbs.twimg.com/profile_images/452820822739009536/tHIdp9Kf_normal.png","View")</f>
        <v>View</v>
      </c>
      <c r="P2587" s="15"/>
    </row>
    <row r="2588">
      <c r="A2588" s="7">
        <v>42426.272002314814</v>
      </c>
      <c r="B2588" s="8" t="str">
        <f>HYPERLINK("https://twitter.com/RealPython","@RealPython")</f>
        <v>@RealPython</v>
      </c>
      <c r="C2588" s="9" t="s">
        <v>1021</v>
      </c>
      <c r="D2588" s="10" t="s">
        <v>3867</v>
      </c>
      <c r="E2588" s="11" t="str">
        <f>HYPERLINK("https://twitter.com/RealPython/status/703225927937847296","703225927937847296")</f>
        <v>703225927937847296</v>
      </c>
      <c r="F2588" s="12" t="s">
        <v>20</v>
      </c>
      <c r="G2588" s="13">
        <v>5088.0</v>
      </c>
      <c r="H2588" s="13">
        <v>39.0</v>
      </c>
      <c r="I2588" s="13">
        <v>11.0</v>
      </c>
      <c r="J2588" s="13">
        <v>0.0</v>
      </c>
      <c r="K2588" s="12" t="s">
        <v>21</v>
      </c>
      <c r="L2588" s="7">
        <v>41129.57270833333</v>
      </c>
      <c r="M2588" s="16"/>
      <c r="N2588" s="14" t="s">
        <v>1022</v>
      </c>
      <c r="O2588" s="11" t="str">
        <f>HYPERLINK("https://pbs.twimg.com/profile_images/3312468366/129323224633d71286101d517a2f9817_normal.png","View")</f>
        <v>View</v>
      </c>
      <c r="P2588" s="15"/>
    </row>
    <row r="2589">
      <c r="A2589" s="7">
        <v>42426.27271990741</v>
      </c>
      <c r="B2589" s="8" t="str">
        <f>HYPERLINK("https://twitter.com/KevlinHenney","@KevlinHenney")</f>
        <v>@KevlinHenney</v>
      </c>
      <c r="C2589" s="10" t="s">
        <v>5377</v>
      </c>
      <c r="D2589" s="10" t="s">
        <v>5030</v>
      </c>
      <c r="E2589" s="11" t="str">
        <f>HYPERLINK("https://twitter.com/KevlinHenney/status/703226187397595136","703226187397595136")</f>
        <v>703226187397595136</v>
      </c>
      <c r="F2589" s="12" t="s">
        <v>152</v>
      </c>
      <c r="G2589" s="13">
        <v>7671.0</v>
      </c>
      <c r="H2589" s="13">
        <v>1037.0</v>
      </c>
      <c r="I2589" s="13">
        <v>3.0</v>
      </c>
      <c r="J2589" s="13">
        <v>0.0</v>
      </c>
      <c r="K2589" s="12" t="s">
        <v>21</v>
      </c>
      <c r="L2589" s="7">
        <v>39979.405625</v>
      </c>
      <c r="M2589" s="14" t="s">
        <v>5378</v>
      </c>
      <c r="N2589" s="14" t="s">
        <v>5379</v>
      </c>
      <c r="O2589" s="11" t="str">
        <f>HYPERLINK("https://pbs.twimg.com/profile_images/1452748283/DSC_0065__Reduced__Cropped__normal.jpg","View")</f>
        <v>View</v>
      </c>
      <c r="P2589" s="15"/>
    </row>
    <row r="2590">
      <c r="A2590" s="7">
        <v>42426.27280092593</v>
      </c>
      <c r="B2590" s="8" t="str">
        <f>HYPERLINK("https://twitter.com/csimpkins","@csimpkins")</f>
        <v>@csimpkins</v>
      </c>
      <c r="C2590" s="10" t="s">
        <v>3740</v>
      </c>
      <c r="D2590" s="10" t="s">
        <v>5312</v>
      </c>
      <c r="E2590" s="11" t="str">
        <f>HYPERLINK("https://twitter.com/csimpkins/status/703226218938667008","703226218938667008")</f>
        <v>703226218938667008</v>
      </c>
      <c r="F2590" s="12" t="s">
        <v>446</v>
      </c>
      <c r="G2590" s="13">
        <v>6777.0</v>
      </c>
      <c r="H2590" s="13">
        <v>44.0</v>
      </c>
      <c r="I2590" s="13">
        <v>6.0</v>
      </c>
      <c r="J2590" s="13">
        <v>0.0</v>
      </c>
      <c r="K2590" s="12" t="s">
        <v>21</v>
      </c>
      <c r="L2590" s="7">
        <v>39610.255578703705</v>
      </c>
      <c r="M2590" s="14" t="s">
        <v>3742</v>
      </c>
      <c r="N2590" s="14" t="s">
        <v>3743</v>
      </c>
      <c r="O2590" s="11" t="str">
        <f>HYPERLINK("https://pbs.twimg.com/profile_images/452820822739009536/tHIdp9Kf_normal.png","View")</f>
        <v>View</v>
      </c>
      <c r="P2590" s="15"/>
    </row>
    <row r="2591">
      <c r="A2591" s="7">
        <v>42426.27349537037</v>
      </c>
      <c r="B2591" s="8" t="str">
        <f>HYPERLINK("https://twitter.com/arobotti","@arobotti")</f>
        <v>@arobotti</v>
      </c>
      <c r="C2591" s="10" t="s">
        <v>5380</v>
      </c>
      <c r="D2591" s="10" t="s">
        <v>5381</v>
      </c>
      <c r="E2591" s="11" t="str">
        <f>HYPERLINK("https://twitter.com/arobotti/status/703226472043978752","703226472043978752")</f>
        <v>703226472043978752</v>
      </c>
      <c r="F2591" s="12" t="s">
        <v>446</v>
      </c>
      <c r="G2591" s="13">
        <v>433.0</v>
      </c>
      <c r="H2591" s="13">
        <v>1336.0</v>
      </c>
      <c r="I2591" s="13">
        <v>0.0</v>
      </c>
      <c r="J2591" s="13">
        <v>0.0</v>
      </c>
      <c r="K2591" s="12" t="s">
        <v>21</v>
      </c>
      <c r="L2591" s="7">
        <v>39702.53256944445</v>
      </c>
      <c r="M2591" s="14" t="s">
        <v>5382</v>
      </c>
      <c r="N2591" s="14" t="s">
        <v>5383</v>
      </c>
      <c r="O2591" s="11" t="str">
        <f>HYPERLINK("https://pbs.twimg.com/profile_images/505024311346749441/esdjoyFL_normal.jpeg","View")</f>
        <v>View</v>
      </c>
      <c r="P2591" s="15"/>
    </row>
    <row r="2592">
      <c r="A2592" s="7">
        <v>42426.273634259254</v>
      </c>
      <c r="B2592" s="8" t="str">
        <f>HYPERLINK("https://twitter.com/ltgiv","@ltgiv")</f>
        <v>@ltgiv</v>
      </c>
      <c r="C2592" s="10" t="s">
        <v>5384</v>
      </c>
      <c r="D2592" s="10" t="s">
        <v>3867</v>
      </c>
      <c r="E2592" s="11" t="str">
        <f>HYPERLINK("https://twitter.com/ltgiv/status/703226521603837957","703226521603837957")</f>
        <v>703226521603837957</v>
      </c>
      <c r="F2592" s="12" t="s">
        <v>52</v>
      </c>
      <c r="G2592" s="13">
        <v>1171.0</v>
      </c>
      <c r="H2592" s="13">
        <v>3099.0</v>
      </c>
      <c r="I2592" s="13">
        <v>11.0</v>
      </c>
      <c r="J2592" s="13">
        <v>0.0</v>
      </c>
      <c r="K2592" s="12" t="s">
        <v>21</v>
      </c>
      <c r="L2592" s="7">
        <v>40689.97844907407</v>
      </c>
      <c r="M2592" s="14" t="s">
        <v>5385</v>
      </c>
      <c r="N2592" s="14" t="s">
        <v>5386</v>
      </c>
      <c r="O2592" s="11" t="str">
        <f>HYPERLINK("https://pbs.twimg.com/profile_images/539042482583916544/e5iLbogn_normal.jpeg","View")</f>
        <v>View</v>
      </c>
      <c r="P2592" s="15"/>
    </row>
    <row r="2593">
      <c r="A2593" s="7">
        <v>42426.27385416666</v>
      </c>
      <c r="B2593" s="8" t="str">
        <f>HYPERLINK("https://twitter.com/joymwhitt","@joymwhitt")</f>
        <v>@joymwhitt</v>
      </c>
      <c r="C2593" s="10" t="s">
        <v>5341</v>
      </c>
      <c r="D2593" s="10" t="s">
        <v>5387</v>
      </c>
      <c r="E2593" s="11" t="str">
        <f>HYPERLINK("https://twitter.com/joymwhitt/status/703226601924796416","703226601924796416")</f>
        <v>703226601924796416</v>
      </c>
      <c r="F2593" s="12" t="s">
        <v>20</v>
      </c>
      <c r="G2593" s="13">
        <v>369.0</v>
      </c>
      <c r="H2593" s="13">
        <v>501.0</v>
      </c>
      <c r="I2593" s="13">
        <v>0.0</v>
      </c>
      <c r="J2593" s="13">
        <v>2.0</v>
      </c>
      <c r="K2593" s="12" t="s">
        <v>21</v>
      </c>
      <c r="L2593" s="7">
        <v>40078.50392361111</v>
      </c>
      <c r="M2593" s="14" t="s">
        <v>784</v>
      </c>
      <c r="N2593" s="14" t="s">
        <v>5343</v>
      </c>
      <c r="O2593" s="11" t="str">
        <f>HYPERLINK("https://pbs.twimg.com/profile_images/649959977679986688/okosAH8k_normal.jpg","View")</f>
        <v>View</v>
      </c>
      <c r="P2593" s="15"/>
    </row>
    <row r="2594">
      <c r="A2594" s="7">
        <v>42426.27511574074</v>
      </c>
      <c r="B2594" s="8" t="str">
        <f>HYPERLINK("https://twitter.com/dahlroman","@dahlroman")</f>
        <v>@dahlroman</v>
      </c>
      <c r="C2594" s="10" t="s">
        <v>5388</v>
      </c>
      <c r="D2594" s="10" t="s">
        <v>5389</v>
      </c>
      <c r="E2594" s="11" t="str">
        <f>HYPERLINK("https://twitter.com/dahlroman/status/703227055450759168","703227055450759168")</f>
        <v>703227055450759168</v>
      </c>
      <c r="F2594" s="12" t="s">
        <v>20</v>
      </c>
      <c r="G2594" s="13">
        <v>1076.0</v>
      </c>
      <c r="H2594" s="13">
        <v>1952.0</v>
      </c>
      <c r="I2594" s="13">
        <v>0.0</v>
      </c>
      <c r="J2594" s="13">
        <v>1.0</v>
      </c>
      <c r="K2594" s="12" t="s">
        <v>21</v>
      </c>
      <c r="L2594" s="7">
        <v>39998.551886574074</v>
      </c>
      <c r="M2594" s="16"/>
      <c r="N2594" s="14" t="s">
        <v>5390</v>
      </c>
      <c r="O2594" s="11" t="str">
        <f>HYPERLINK("https://pbs.twimg.com/profile_images/681819908464836609/n3vCKgJU_normal.jpg","View")</f>
        <v>View</v>
      </c>
      <c r="P2594" s="15"/>
    </row>
    <row r="2595">
      <c r="A2595" s="7">
        <v>42426.27564814815</v>
      </c>
      <c r="B2595" s="8" t="str">
        <f>HYPERLINK("https://twitter.com/bshedwick","@bshedwick")</f>
        <v>@bshedwick</v>
      </c>
      <c r="C2595" s="10" t="s">
        <v>5391</v>
      </c>
      <c r="D2595" s="10" t="s">
        <v>5392</v>
      </c>
      <c r="E2595" s="11" t="str">
        <f>HYPERLINK("https://twitter.com/bshedwick/status/703227250158792704","703227250158792704")</f>
        <v>703227250158792704</v>
      </c>
      <c r="F2595" s="12" t="s">
        <v>446</v>
      </c>
      <c r="G2595" s="13">
        <v>578.0</v>
      </c>
      <c r="H2595" s="13">
        <v>224.0</v>
      </c>
      <c r="I2595" s="13">
        <v>0.0</v>
      </c>
      <c r="J2595" s="13">
        <v>0.0</v>
      </c>
      <c r="K2595" s="12" t="s">
        <v>21</v>
      </c>
      <c r="L2595" s="7">
        <v>40004.18020833333</v>
      </c>
      <c r="M2595" s="14" t="s">
        <v>5393</v>
      </c>
      <c r="N2595" s="14" t="s">
        <v>5394</v>
      </c>
      <c r="O2595" s="11" t="str">
        <f>HYPERLINK("https://pbs.twimg.com/profile_images/2199934517/576677_3402888185895_1080549742_32540506_187827713_n_normal.jpg","View")</f>
        <v>View</v>
      </c>
      <c r="P2595" s="15"/>
    </row>
    <row r="2596">
      <c r="A2596" s="7">
        <v>42426.27590277778</v>
      </c>
      <c r="B2596" s="8" t="str">
        <f>HYPERLINK("https://twitter.com/medhrk","@medhrk")</f>
        <v>@medhrk</v>
      </c>
      <c r="C2596" s="10" t="s">
        <v>5395</v>
      </c>
      <c r="D2596" s="10" t="s">
        <v>5396</v>
      </c>
      <c r="E2596" s="11" t="str">
        <f>HYPERLINK("https://twitter.com/medhrk/status/703227341930037248","703227341930037248")</f>
        <v>703227341930037248</v>
      </c>
      <c r="F2596" s="12" t="s">
        <v>20</v>
      </c>
      <c r="G2596" s="13">
        <v>467.0</v>
      </c>
      <c r="H2596" s="13">
        <v>1857.0</v>
      </c>
      <c r="I2596" s="13">
        <v>0.0</v>
      </c>
      <c r="J2596" s="13">
        <v>0.0</v>
      </c>
      <c r="K2596" s="12" t="s">
        <v>21</v>
      </c>
      <c r="L2596" s="7">
        <v>40096.279375</v>
      </c>
      <c r="M2596" s="16"/>
      <c r="N2596" s="16"/>
      <c r="O2596" s="11" t="str">
        <f>HYPERLINK("https://pbs.twimg.com/profile_images/495931994434322433/NDQm5n8H_normal.jpeg","View")</f>
        <v>View</v>
      </c>
      <c r="P2596" s="15"/>
    </row>
    <row r="2597">
      <c r="A2597" s="7">
        <v>42426.276296296295</v>
      </c>
      <c r="B2597" s="8" t="str">
        <f>HYPERLINK("https://twitter.com/AjaxSoundStudio","@AjaxSoundStudio")</f>
        <v>@AjaxSoundStudio</v>
      </c>
      <c r="C2597" s="10" t="s">
        <v>4122</v>
      </c>
      <c r="D2597" s="10" t="s">
        <v>5397</v>
      </c>
      <c r="E2597" s="11" t="str">
        <f>HYPERLINK("https://twitter.com/AjaxSoundStudio/status/703227486323261445","703227486323261445")</f>
        <v>703227486323261445</v>
      </c>
      <c r="F2597" s="12" t="s">
        <v>20</v>
      </c>
      <c r="G2597" s="13">
        <v>365.0</v>
      </c>
      <c r="H2597" s="13">
        <v>608.0</v>
      </c>
      <c r="I2597" s="13">
        <v>0.0</v>
      </c>
      <c r="J2597" s="13">
        <v>1.0</v>
      </c>
      <c r="K2597" s="12" t="s">
        <v>21</v>
      </c>
      <c r="L2597" s="7">
        <v>41585.423125</v>
      </c>
      <c r="M2597" s="14" t="s">
        <v>4124</v>
      </c>
      <c r="N2597" s="14" t="s">
        <v>4125</v>
      </c>
      <c r="O2597" s="11" t="str">
        <f>HYPERLINK("https://pbs.twimg.com/profile_images/378800000707964752/33de6ec46327638e8877f89f9fe8ba33_normal.jpeg","View")</f>
        <v>View</v>
      </c>
      <c r="P2597" s="15"/>
    </row>
    <row r="2598">
      <c r="A2598" s="7">
        <v>42426.27637731482</v>
      </c>
      <c r="B2598" s="8" t="str">
        <f>HYPERLINK("https://twitter.com/RealPython","@RealPython")</f>
        <v>@RealPython</v>
      </c>
      <c r="C2598" s="9" t="s">
        <v>1021</v>
      </c>
      <c r="D2598" s="10" t="s">
        <v>4499</v>
      </c>
      <c r="E2598" s="11" t="str">
        <f>HYPERLINK("https://twitter.com/RealPython/status/703227514215223298","703227514215223298")</f>
        <v>703227514215223298</v>
      </c>
      <c r="F2598" s="12" t="s">
        <v>20</v>
      </c>
      <c r="G2598" s="13">
        <v>5088.0</v>
      </c>
      <c r="H2598" s="13">
        <v>39.0</v>
      </c>
      <c r="I2598" s="13">
        <v>4.0</v>
      </c>
      <c r="J2598" s="13">
        <v>0.0</v>
      </c>
      <c r="K2598" s="12" t="s">
        <v>21</v>
      </c>
      <c r="L2598" s="7">
        <v>41129.57270833333</v>
      </c>
      <c r="M2598" s="16"/>
      <c r="N2598" s="14" t="s">
        <v>1022</v>
      </c>
      <c r="O2598" s="11" t="str">
        <f>HYPERLINK("https://pbs.twimg.com/profile_images/3312468366/129323224633d71286101d517a2f9817_normal.png","View")</f>
        <v>View</v>
      </c>
      <c r="P2598" s="15"/>
    </row>
    <row r="2599">
      <c r="A2599" s="7">
        <v>42426.27642361111</v>
      </c>
      <c r="B2599" s="8" t="str">
        <f>HYPERLINK("https://twitter.com/helenflam","@helenflam")</f>
        <v>@helenflam</v>
      </c>
      <c r="C2599" s="10" t="s">
        <v>5398</v>
      </c>
      <c r="D2599" s="10" t="s">
        <v>5399</v>
      </c>
      <c r="E2599" s="11" t="str">
        <f>HYPERLINK("https://twitter.com/helenflam/status/703227530346627073","703227530346627073")</f>
        <v>703227530346627073</v>
      </c>
      <c r="F2599" s="12" t="s">
        <v>52</v>
      </c>
      <c r="G2599" s="13">
        <v>175.0</v>
      </c>
      <c r="H2599" s="13">
        <v>596.0</v>
      </c>
      <c r="I2599" s="13">
        <v>3.0</v>
      </c>
      <c r="J2599" s="13">
        <v>0.0</v>
      </c>
      <c r="K2599" s="12" t="s">
        <v>21</v>
      </c>
      <c r="L2599" s="7">
        <v>39995.050254629634</v>
      </c>
      <c r="M2599" s="14" t="s">
        <v>4558</v>
      </c>
      <c r="N2599" s="14" t="s">
        <v>5400</v>
      </c>
      <c r="O2599" s="11" t="str">
        <f>HYPERLINK("https://pbs.twimg.com/profile_images/651248332212338690/1C8cC7IW_normal.jpg","View")</f>
        <v>View</v>
      </c>
      <c r="P2599" s="15"/>
    </row>
    <row r="2600">
      <c r="A2600" s="7">
        <v>42426.27702546296</v>
      </c>
      <c r="B2600" s="8" t="str">
        <f t="shared" ref="B2600:B2601" si="269">HYPERLINK("https://twitter.com/freyduni","@freyduni")</f>
        <v>@freyduni</v>
      </c>
      <c r="C2600" s="10" t="s">
        <v>2218</v>
      </c>
      <c r="D2600" s="10" t="s">
        <v>5401</v>
      </c>
      <c r="E2600" s="11" t="str">
        <f>HYPERLINK("https://twitter.com/freyduni/status/703227750258073601","703227750258073601")</f>
        <v>703227750258073601</v>
      </c>
      <c r="F2600" s="17" t="s">
        <v>76</v>
      </c>
      <c r="G2600" s="13">
        <v>1596.0</v>
      </c>
      <c r="H2600" s="13">
        <v>2590.0</v>
      </c>
      <c r="I2600" s="13">
        <v>3.0</v>
      </c>
      <c r="J2600" s="13">
        <v>0.0</v>
      </c>
      <c r="K2600" s="12" t="s">
        <v>21</v>
      </c>
      <c r="L2600" s="7">
        <v>40905.24290509259</v>
      </c>
      <c r="M2600" s="14" t="s">
        <v>2220</v>
      </c>
      <c r="N2600" s="14" t="s">
        <v>2221</v>
      </c>
      <c r="O2600" s="11" t="str">
        <f t="shared" ref="O2600:O2601" si="270">HYPERLINK("https://pbs.twimg.com/profile_images/525376074633334784/f5Nx-tIC_normal.jpeg","View")</f>
        <v>View</v>
      </c>
      <c r="P2600" s="15"/>
    </row>
    <row r="2601">
      <c r="A2601" s="7">
        <v>42426.27703703704</v>
      </c>
      <c r="B2601" s="8" t="str">
        <f t="shared" si="269"/>
        <v>@freyduni</v>
      </c>
      <c r="C2601" s="10" t="s">
        <v>2218</v>
      </c>
      <c r="D2601" s="10" t="s">
        <v>5402</v>
      </c>
      <c r="E2601" s="11" t="str">
        <f>HYPERLINK("https://twitter.com/freyduni/status/703227752627834880","703227752627834880")</f>
        <v>703227752627834880</v>
      </c>
      <c r="F2601" s="17" t="s">
        <v>76</v>
      </c>
      <c r="G2601" s="13">
        <v>1596.0</v>
      </c>
      <c r="H2601" s="13">
        <v>2590.0</v>
      </c>
      <c r="I2601" s="13">
        <v>2.0</v>
      </c>
      <c r="J2601" s="13">
        <v>2.0</v>
      </c>
      <c r="K2601" s="12" t="s">
        <v>21</v>
      </c>
      <c r="L2601" s="7">
        <v>40905.24290509259</v>
      </c>
      <c r="M2601" s="14" t="s">
        <v>2220</v>
      </c>
      <c r="N2601" s="14" t="s">
        <v>2221</v>
      </c>
      <c r="O2601" s="11" t="str">
        <f t="shared" si="270"/>
        <v>View</v>
      </c>
      <c r="P2601" s="15"/>
    </row>
    <row r="2602">
      <c r="A2602" s="7">
        <v>42426.27737268519</v>
      </c>
      <c r="B2602" s="8" t="str">
        <f>HYPERLINK("https://twitter.com/NorDevCon","@NorDevCon")</f>
        <v>@NorDevCon</v>
      </c>
      <c r="C2602" s="10" t="s">
        <v>5403</v>
      </c>
      <c r="D2602" s="10" t="s">
        <v>5030</v>
      </c>
      <c r="E2602" s="11" t="str">
        <f>HYPERLINK("https://twitter.com/NorDevCon/status/703227876343160833","703227876343160833")</f>
        <v>703227876343160833</v>
      </c>
      <c r="F2602" s="12" t="s">
        <v>20</v>
      </c>
      <c r="G2602" s="13">
        <v>1109.0</v>
      </c>
      <c r="H2602" s="13">
        <v>1471.0</v>
      </c>
      <c r="I2602" s="13">
        <v>3.0</v>
      </c>
      <c r="J2602" s="13">
        <v>0.0</v>
      </c>
      <c r="K2602" s="12" t="s">
        <v>21</v>
      </c>
      <c r="L2602" s="7">
        <v>41434.377118055556</v>
      </c>
      <c r="M2602" s="14" t="s">
        <v>5404</v>
      </c>
      <c r="N2602" s="14" t="s">
        <v>5405</v>
      </c>
      <c r="O2602" s="11" t="str">
        <f>HYPERLINK("https://pbs.twimg.com/profile_images/557138110417358849/RICRodVB_normal.png","View")</f>
        <v>View</v>
      </c>
      <c r="P2602" s="15"/>
    </row>
    <row r="2603">
      <c r="A2603" s="7">
        <v>42426.2775</v>
      </c>
      <c r="B2603" s="8" t="str">
        <f>HYPERLINK("https://twitter.com/kojirozora","@kojirozora")</f>
        <v>@kojirozora</v>
      </c>
      <c r="C2603" s="10" t="s">
        <v>5406</v>
      </c>
      <c r="D2603" s="10" t="s">
        <v>5407</v>
      </c>
      <c r="E2603" s="11" t="str">
        <f>HYPERLINK("https://twitter.com/kojirozora/status/703227922803458049","703227922803458049")</f>
        <v>703227922803458049</v>
      </c>
      <c r="F2603" s="12" t="s">
        <v>446</v>
      </c>
      <c r="G2603" s="13">
        <v>146.0</v>
      </c>
      <c r="H2603" s="13">
        <v>251.0</v>
      </c>
      <c r="I2603" s="13">
        <v>1.0</v>
      </c>
      <c r="J2603" s="13">
        <v>0.0</v>
      </c>
      <c r="K2603" s="12" t="s">
        <v>21</v>
      </c>
      <c r="L2603" s="7">
        <v>39961.64283564815</v>
      </c>
      <c r="M2603" s="14" t="s">
        <v>416</v>
      </c>
      <c r="N2603" s="14" t="s">
        <v>5408</v>
      </c>
      <c r="O2603" s="11" t="str">
        <f>HYPERLINK("https://pbs.twimg.com/profile_images/563342076843008000/ExVGYDM7_normal.png","View")</f>
        <v>View</v>
      </c>
      <c r="P2603" s="15"/>
    </row>
    <row r="2604">
      <c r="A2604" s="7">
        <v>42426.27762731482</v>
      </c>
      <c r="B2604" s="8" t="str">
        <f>HYPERLINK("https://twitter.com/noemi_gutierrez","@noemi_gutierrez")</f>
        <v>@noemi_gutierrez</v>
      </c>
      <c r="C2604" s="10" t="s">
        <v>2353</v>
      </c>
      <c r="D2604" s="10" t="s">
        <v>5409</v>
      </c>
      <c r="E2604" s="11" t="str">
        <f>HYPERLINK("https://twitter.com/noemi_gutierrez/status/703227968651444224","703227968651444224")</f>
        <v>703227968651444224</v>
      </c>
      <c r="F2604" s="12" t="s">
        <v>152</v>
      </c>
      <c r="G2604" s="13">
        <v>458.0</v>
      </c>
      <c r="H2604" s="13">
        <v>1009.0</v>
      </c>
      <c r="I2604" s="13">
        <v>3.0</v>
      </c>
      <c r="J2604" s="13">
        <v>0.0</v>
      </c>
      <c r="K2604" s="12" t="s">
        <v>21</v>
      </c>
      <c r="L2604" s="7">
        <v>40784.514756944445</v>
      </c>
      <c r="M2604" s="14" t="s">
        <v>2355</v>
      </c>
      <c r="N2604" s="14" t="s">
        <v>2356</v>
      </c>
      <c r="O2604" s="11" t="str">
        <f>HYPERLINK("https://pbs.twimg.com/profile_images/1519454893/Face_3-edited_normal.jpg","View")</f>
        <v>View</v>
      </c>
      <c r="P2604" s="15"/>
    </row>
    <row r="2605">
      <c r="A2605" s="7">
        <v>42426.27819444444</v>
      </c>
      <c r="B2605" s="8" t="str">
        <f>HYPERLINK("https://twitter.com/justmarkham","@justmarkham")</f>
        <v>@justmarkham</v>
      </c>
      <c r="C2605" s="10" t="s">
        <v>5410</v>
      </c>
      <c r="D2605" s="10" t="s">
        <v>5411</v>
      </c>
      <c r="E2605" s="11" t="str">
        <f>HYPERLINK("https://twitter.com/justmarkham/status/703228174604374016","703228174604374016")</f>
        <v>703228174604374016</v>
      </c>
      <c r="F2605" s="12" t="s">
        <v>294</v>
      </c>
      <c r="G2605" s="13">
        <v>2069.0</v>
      </c>
      <c r="H2605" s="13">
        <v>363.0</v>
      </c>
      <c r="I2605" s="13">
        <v>20.0</v>
      </c>
      <c r="J2605" s="13">
        <v>0.0</v>
      </c>
      <c r="K2605" s="12" t="s">
        <v>21</v>
      </c>
      <c r="L2605" s="7">
        <v>40257.37741898148</v>
      </c>
      <c r="M2605" s="14" t="s">
        <v>784</v>
      </c>
      <c r="N2605" s="14" t="s">
        <v>5412</v>
      </c>
      <c r="O2605" s="11" t="str">
        <f>HYPERLINK("https://pbs.twimg.com/profile_images/443121981215350784/3D-2SL-R_normal.jpeg","View")</f>
        <v>View</v>
      </c>
      <c r="P2605" s="15"/>
    </row>
    <row r="2606">
      <c r="A2606" s="7">
        <v>42426.27847222222</v>
      </c>
      <c r="B2606" s="8" t="str">
        <f>HYPERLINK("https://twitter.com/cocoacoda","@cocoacoda")</f>
        <v>@cocoacoda</v>
      </c>
      <c r="C2606" s="10" t="s">
        <v>486</v>
      </c>
      <c r="D2606" s="10" t="s">
        <v>5413</v>
      </c>
      <c r="E2606" s="11" t="str">
        <f>HYPERLINK("https://twitter.com/cocoacoda/status/703228273313058816","703228273313058816")</f>
        <v>703228273313058816</v>
      </c>
      <c r="F2606" s="12" t="s">
        <v>488</v>
      </c>
      <c r="G2606" s="13">
        <v>124.0</v>
      </c>
      <c r="H2606" s="13">
        <v>142.0</v>
      </c>
      <c r="I2606" s="13">
        <v>0.0</v>
      </c>
      <c r="J2606" s="13">
        <v>0.0</v>
      </c>
      <c r="K2606" s="12" t="s">
        <v>21</v>
      </c>
      <c r="L2606" s="7">
        <v>40951.29611111111</v>
      </c>
      <c r="M2606" s="14" t="s">
        <v>489</v>
      </c>
      <c r="N2606" s="14" t="s">
        <v>490</v>
      </c>
      <c r="O2606" s="11" t="str">
        <f>HYPERLINK("https://pbs.twimg.com/profile_images/452064440687423488/nbwrKTwP_normal.jpeg","View")</f>
        <v>View</v>
      </c>
      <c r="P2606" s="15"/>
    </row>
    <row r="2607">
      <c r="A2607" s="7">
        <v>42426.27849537037</v>
      </c>
      <c r="B2607" s="8" t="str">
        <f t="shared" ref="B2607:B2608" si="271">HYPERLINK("https://twitter.com/7light7blue","@7light7blue")</f>
        <v>@7light7blue</v>
      </c>
      <c r="C2607" s="10" t="s">
        <v>2236</v>
      </c>
      <c r="D2607" s="10" t="s">
        <v>5414</v>
      </c>
      <c r="E2607" s="11" t="str">
        <f>HYPERLINK("https://twitter.com/7light7blue/status/703228282309836801","703228282309836801")</f>
        <v>703228282309836801</v>
      </c>
      <c r="F2607" s="12" t="s">
        <v>38</v>
      </c>
      <c r="G2607" s="13">
        <v>391.0</v>
      </c>
      <c r="H2607" s="13">
        <v>594.0</v>
      </c>
      <c r="I2607" s="13">
        <v>3.0</v>
      </c>
      <c r="J2607" s="13">
        <v>0.0</v>
      </c>
      <c r="K2607" s="12" t="s">
        <v>21</v>
      </c>
      <c r="L2607" s="7">
        <v>41128.29875</v>
      </c>
      <c r="M2607" s="14" t="s">
        <v>2238</v>
      </c>
      <c r="N2607" s="14" t="s">
        <v>2239</v>
      </c>
      <c r="O2607" s="11" t="str">
        <f t="shared" ref="O2607:O2608" si="272">HYPERLINK("https://pbs.twimg.com/profile_images/629304662051549184/UaWSbb_Y_normal.jpg","View")</f>
        <v>View</v>
      </c>
      <c r="P2607" s="15"/>
    </row>
    <row r="2608">
      <c r="A2608" s="7">
        <v>42426.27849537037</v>
      </c>
      <c r="B2608" s="8" t="str">
        <f t="shared" si="271"/>
        <v>@7light7blue</v>
      </c>
      <c r="C2608" s="10" t="s">
        <v>2236</v>
      </c>
      <c r="D2608" s="10" t="s">
        <v>5415</v>
      </c>
      <c r="E2608" s="11" t="str">
        <f>HYPERLINK("https://twitter.com/7light7blue/status/703228283274588160","703228283274588160")</f>
        <v>703228283274588160</v>
      </c>
      <c r="F2608" s="12" t="s">
        <v>38</v>
      </c>
      <c r="G2608" s="13">
        <v>391.0</v>
      </c>
      <c r="H2608" s="13">
        <v>594.0</v>
      </c>
      <c r="I2608" s="13">
        <v>2.0</v>
      </c>
      <c r="J2608" s="13">
        <v>0.0</v>
      </c>
      <c r="K2608" s="12" t="s">
        <v>21</v>
      </c>
      <c r="L2608" s="7">
        <v>41128.29875</v>
      </c>
      <c r="M2608" s="14" t="s">
        <v>2238</v>
      </c>
      <c r="N2608" s="14" t="s">
        <v>2239</v>
      </c>
      <c r="O2608" s="11" t="str">
        <f t="shared" si="272"/>
        <v>View</v>
      </c>
      <c r="P2608" s="15"/>
    </row>
    <row r="2609">
      <c r="A2609" s="7">
        <v>42426.27849537037</v>
      </c>
      <c r="B2609" s="8" t="str">
        <f>HYPERLINK("https://twitter.com/Gamificationir","@Gamificationir")</f>
        <v>@Gamificationir</v>
      </c>
      <c r="C2609" s="10" t="s">
        <v>3287</v>
      </c>
      <c r="D2609" s="10" t="s">
        <v>5414</v>
      </c>
      <c r="E2609" s="11" t="str">
        <f>HYPERLINK("https://twitter.com/Gamificationir/status/703228284205731841","703228284205731841")</f>
        <v>703228284205731841</v>
      </c>
      <c r="F2609" s="12" t="s">
        <v>38</v>
      </c>
      <c r="G2609" s="13">
        <v>148.0</v>
      </c>
      <c r="H2609" s="13">
        <v>279.0</v>
      </c>
      <c r="I2609" s="13">
        <v>3.0</v>
      </c>
      <c r="J2609" s="13">
        <v>0.0</v>
      </c>
      <c r="K2609" s="12" t="s">
        <v>21</v>
      </c>
      <c r="L2609" s="7">
        <v>41568.402812500004</v>
      </c>
      <c r="M2609" s="14" t="s">
        <v>1645</v>
      </c>
      <c r="N2609" s="21" t="s">
        <v>3288</v>
      </c>
      <c r="O2609" s="11" t="str">
        <f>HYPERLINK("https://pbs.twimg.com/profile_images/483888935991390208/Z-dZgLn-_normal.jpeg","View")</f>
        <v>View</v>
      </c>
      <c r="P2609" s="15"/>
    </row>
    <row r="2610">
      <c r="A2610" s="7">
        <v>42426.27850694444</v>
      </c>
      <c r="B2610" s="8" t="str">
        <f t="shared" ref="B2610:B2611" si="273">HYPERLINK("https://twitter.com/farashod","@farashod")</f>
        <v>@farashod</v>
      </c>
      <c r="C2610" s="20" t="s">
        <v>3289</v>
      </c>
      <c r="D2610" s="10" t="s">
        <v>5414</v>
      </c>
      <c r="E2610" s="11" t="str">
        <f>HYPERLINK("https://twitter.com/farashod/status/703228285694713856","703228285694713856")</f>
        <v>703228285694713856</v>
      </c>
      <c r="F2610" s="12" t="s">
        <v>38</v>
      </c>
      <c r="G2610" s="13">
        <v>190.0</v>
      </c>
      <c r="H2610" s="13">
        <v>521.0</v>
      </c>
      <c r="I2610" s="13">
        <v>3.0</v>
      </c>
      <c r="J2610" s="13">
        <v>0.0</v>
      </c>
      <c r="K2610" s="12" t="s">
        <v>21</v>
      </c>
      <c r="L2610" s="7">
        <v>41577.27756944444</v>
      </c>
      <c r="M2610" s="21" t="s">
        <v>3290</v>
      </c>
      <c r="N2610" s="21" t="s">
        <v>3291</v>
      </c>
      <c r="O2610" s="11" t="str">
        <f t="shared" ref="O2610:O2611" si="274">HYPERLINK("https://pbs.twimg.com/profile_images/378800000669383744/58af2acd445efe4c3c7eec73818e002c_normal.png","View")</f>
        <v>View</v>
      </c>
      <c r="P2610" s="15"/>
    </row>
    <row r="2611">
      <c r="A2611" s="7">
        <v>42426.27850694444</v>
      </c>
      <c r="B2611" s="8" t="str">
        <f t="shared" si="273"/>
        <v>@farashod</v>
      </c>
      <c r="C2611" s="20" t="s">
        <v>3289</v>
      </c>
      <c r="D2611" s="10" t="s">
        <v>5415</v>
      </c>
      <c r="E2611" s="11" t="str">
        <f>HYPERLINK("https://twitter.com/farashod/status/703228286520967168","703228286520967168")</f>
        <v>703228286520967168</v>
      </c>
      <c r="F2611" s="12" t="s">
        <v>38</v>
      </c>
      <c r="G2611" s="13">
        <v>190.0</v>
      </c>
      <c r="H2611" s="13">
        <v>521.0</v>
      </c>
      <c r="I2611" s="13">
        <v>2.0</v>
      </c>
      <c r="J2611" s="13">
        <v>0.0</v>
      </c>
      <c r="K2611" s="12" t="s">
        <v>21</v>
      </c>
      <c r="L2611" s="7">
        <v>41577.27756944444</v>
      </c>
      <c r="M2611" s="21" t="s">
        <v>3290</v>
      </c>
      <c r="N2611" s="21" t="s">
        <v>3291</v>
      </c>
      <c r="O2611" s="11" t="str">
        <f t="shared" si="274"/>
        <v>View</v>
      </c>
      <c r="P2611" s="15"/>
    </row>
    <row r="2612">
      <c r="A2612" s="7">
        <v>42426.27858796297</v>
      </c>
      <c r="B2612" s="8" t="str">
        <f>HYPERLINK("https://twitter.com/hvniekerk","@hvniekerk")</f>
        <v>@hvniekerk</v>
      </c>
      <c r="C2612" s="10" t="s">
        <v>5333</v>
      </c>
      <c r="D2612" s="10" t="s">
        <v>5416</v>
      </c>
      <c r="E2612" s="11" t="str">
        <f>HYPERLINK("https://twitter.com/hvniekerk/status/703228315885281280","703228315885281280")</f>
        <v>703228315885281280</v>
      </c>
      <c r="F2612" s="12" t="s">
        <v>20</v>
      </c>
      <c r="G2612" s="13">
        <v>20.0</v>
      </c>
      <c r="H2612" s="13">
        <v>31.0</v>
      </c>
      <c r="I2612" s="13">
        <v>0.0</v>
      </c>
      <c r="J2612" s="13">
        <v>1.0</v>
      </c>
      <c r="K2612" s="12" t="s">
        <v>21</v>
      </c>
      <c r="L2612" s="7">
        <v>40036.4146875</v>
      </c>
      <c r="M2612" s="16"/>
      <c r="N2612" s="14" t="s">
        <v>5335</v>
      </c>
      <c r="O2612" s="11" t="str">
        <f>HYPERLINK("https://pbs.twimg.com/profile_images/649862466675957760/gjyaoAD2_normal.jpg","View")</f>
        <v>View</v>
      </c>
      <c r="P2612" s="15"/>
    </row>
    <row r="2613">
      <c r="A2613" s="7">
        <v>42426.27931712963</v>
      </c>
      <c r="B2613" s="8" t="str">
        <f t="shared" ref="B2613:B2614" si="275">HYPERLINK("https://twitter.com/programmingncr","@programmingncr")</f>
        <v>@programmingncr</v>
      </c>
      <c r="C2613" s="10" t="s">
        <v>262</v>
      </c>
      <c r="D2613" s="10" t="s">
        <v>5417</v>
      </c>
      <c r="E2613" s="11" t="str">
        <f>HYPERLINK("https://twitter.com/programmingncr/status/703228578633277441","703228578633277441")</f>
        <v>703228578633277441</v>
      </c>
      <c r="F2613" s="12" t="s">
        <v>103</v>
      </c>
      <c r="G2613" s="13">
        <v>328.0</v>
      </c>
      <c r="H2613" s="13">
        <v>99.0</v>
      </c>
      <c r="I2613" s="13">
        <v>0.0</v>
      </c>
      <c r="J2613" s="13">
        <v>0.0</v>
      </c>
      <c r="K2613" s="12" t="s">
        <v>21</v>
      </c>
      <c r="L2613" s="7">
        <v>42220.86634259259</v>
      </c>
      <c r="M2613" s="14" t="s">
        <v>264</v>
      </c>
      <c r="N2613" s="14" t="s">
        <v>265</v>
      </c>
      <c r="O2613" s="11" t="str">
        <f t="shared" ref="O2613:O2614" si="276">HYPERLINK("https://pbs.twimg.com/profile_images/662602436222193664/qKuvsfnG_normal.jpg","View")</f>
        <v>View</v>
      </c>
      <c r="P2613" s="15"/>
    </row>
    <row r="2614">
      <c r="A2614" s="7">
        <v>42426.27931712963</v>
      </c>
      <c r="B2614" s="8" t="str">
        <f t="shared" si="275"/>
        <v>@programmingncr</v>
      </c>
      <c r="C2614" s="10" t="s">
        <v>262</v>
      </c>
      <c r="D2614" s="10" t="s">
        <v>5418</v>
      </c>
      <c r="E2614" s="11" t="str">
        <f>HYPERLINK("https://twitter.com/programmingncr/status/703228580625563648","703228580625563648")</f>
        <v>703228580625563648</v>
      </c>
      <c r="F2614" s="12" t="s">
        <v>103</v>
      </c>
      <c r="G2614" s="13">
        <v>328.0</v>
      </c>
      <c r="H2614" s="13">
        <v>99.0</v>
      </c>
      <c r="I2614" s="13">
        <v>0.0</v>
      </c>
      <c r="J2614" s="13">
        <v>0.0</v>
      </c>
      <c r="K2614" s="12" t="s">
        <v>21</v>
      </c>
      <c r="L2614" s="7">
        <v>42220.86634259259</v>
      </c>
      <c r="M2614" s="14" t="s">
        <v>264</v>
      </c>
      <c r="N2614" s="14" t="s">
        <v>265</v>
      </c>
      <c r="O2614" s="11" t="str">
        <f t="shared" si="276"/>
        <v>View</v>
      </c>
      <c r="P2614" s="15"/>
    </row>
    <row r="2615">
      <c r="A2615" s="7">
        <v>42426.2796412037</v>
      </c>
      <c r="B2615" s="8" t="str">
        <f>HYPERLINK("https://twitter.com/arnpry","@arnpry")</f>
        <v>@arnpry</v>
      </c>
      <c r="C2615" s="10" t="s">
        <v>5419</v>
      </c>
      <c r="D2615" s="10" t="s">
        <v>5420</v>
      </c>
      <c r="E2615" s="11" t="str">
        <f>HYPERLINK("https://twitter.com/arnpry/status/703228696375783424","703228696375783424")</f>
        <v>703228696375783424</v>
      </c>
      <c r="F2615" s="12" t="s">
        <v>446</v>
      </c>
      <c r="G2615" s="13">
        <v>753.0</v>
      </c>
      <c r="H2615" s="13">
        <v>1172.0</v>
      </c>
      <c r="I2615" s="13">
        <v>0.0</v>
      </c>
      <c r="J2615" s="13">
        <v>1.0</v>
      </c>
      <c r="K2615" s="12" t="s">
        <v>21</v>
      </c>
      <c r="L2615" s="7">
        <v>41243.59340277778</v>
      </c>
      <c r="M2615" s="14" t="s">
        <v>332</v>
      </c>
      <c r="N2615" s="14" t="s">
        <v>5421</v>
      </c>
      <c r="O2615" s="11" t="str">
        <f>HYPERLINK("https://pbs.twimg.com/profile_images/682002851925639171/R4K59lW4_normal.jpg","View")</f>
        <v>View</v>
      </c>
      <c r="P2615" s="15"/>
    </row>
    <row r="2616">
      <c r="A2616" s="7">
        <v>42426.280057870375</v>
      </c>
      <c r="B2616" s="8" t="str">
        <f>HYPERLINK("https://twitter.com/JoshuaLongUK","@JoshuaLongUK")</f>
        <v>@JoshuaLongUK</v>
      </c>
      <c r="C2616" s="10" t="s">
        <v>101</v>
      </c>
      <c r="D2616" s="10" t="s">
        <v>5422</v>
      </c>
      <c r="E2616" s="11" t="str">
        <f>HYPERLINK("https://twitter.com/JoshuaLongUK/status/703228849077800960","703228849077800960")</f>
        <v>703228849077800960</v>
      </c>
      <c r="F2616" s="12" t="s">
        <v>103</v>
      </c>
      <c r="G2616" s="13">
        <v>25832.0</v>
      </c>
      <c r="H2616" s="13">
        <v>93.0</v>
      </c>
      <c r="I2616" s="13">
        <v>0.0</v>
      </c>
      <c r="J2616" s="13">
        <v>0.0</v>
      </c>
      <c r="K2616" s="12" t="s">
        <v>21</v>
      </c>
      <c r="L2616" s="7">
        <v>41149.39659722222</v>
      </c>
      <c r="M2616" s="14" t="s">
        <v>104</v>
      </c>
      <c r="N2616" s="14" t="s">
        <v>105</v>
      </c>
      <c r="O2616" s="11" t="str">
        <f>HYPERLINK("https://pbs.twimg.com/profile_images/627996138403168256/DaASdgVr_normal.jpg","View")</f>
        <v>View</v>
      </c>
      <c r="P2616" s="15"/>
    </row>
    <row r="2617">
      <c r="A2617" s="7">
        <v>42426.28072916667</v>
      </c>
      <c r="B2617" s="8" t="str">
        <f>HYPERLINK("https://twitter.com/astrofra","@astrofra")</f>
        <v>@astrofra</v>
      </c>
      <c r="C2617" s="10" t="s">
        <v>3523</v>
      </c>
      <c r="D2617" s="10" t="s">
        <v>5423</v>
      </c>
      <c r="E2617" s="11" t="str">
        <f>HYPERLINK("https://twitter.com/astrofra/status/703229090866798593","703229090866798593")</f>
        <v>703229090866798593</v>
      </c>
      <c r="F2617" s="12" t="s">
        <v>450</v>
      </c>
      <c r="G2617" s="13">
        <v>171.0</v>
      </c>
      <c r="H2617" s="13">
        <v>212.0</v>
      </c>
      <c r="I2617" s="13">
        <v>1.0</v>
      </c>
      <c r="J2617" s="13">
        <v>1.0</v>
      </c>
      <c r="K2617" s="12" t="s">
        <v>21</v>
      </c>
      <c r="L2617" s="7">
        <v>41810.96375</v>
      </c>
      <c r="M2617" s="14" t="s">
        <v>416</v>
      </c>
      <c r="N2617" s="14" t="s">
        <v>3525</v>
      </c>
      <c r="O2617" s="11" t="str">
        <f>HYPERLINK("https://pbs.twimg.com/profile_images/480235311906455552/ekUeBDr3_normal.jpeg","View")</f>
        <v>View</v>
      </c>
      <c r="P2617" s="15"/>
    </row>
    <row r="2618">
      <c r="A2618" s="7">
        <v>42426.28109953704</v>
      </c>
      <c r="B2618" s="8" t="str">
        <f>HYPERLINK("https://twitter.com/javeo_eu","@javeo_eu")</f>
        <v>@javeo_eu</v>
      </c>
      <c r="C2618" s="10" t="s">
        <v>1352</v>
      </c>
      <c r="D2618" s="10" t="s">
        <v>5424</v>
      </c>
      <c r="E2618" s="11" t="str">
        <f>HYPERLINK("https://twitter.com/javeo_eu/status/703229225881440256","703229225881440256")</f>
        <v>703229225881440256</v>
      </c>
      <c r="F2618" s="12" t="s">
        <v>20</v>
      </c>
      <c r="G2618" s="13">
        <v>292.0</v>
      </c>
      <c r="H2618" s="13">
        <v>445.0</v>
      </c>
      <c r="I2618" s="13">
        <v>0.0</v>
      </c>
      <c r="J2618" s="13">
        <v>1.0</v>
      </c>
      <c r="K2618" s="12" t="s">
        <v>21</v>
      </c>
      <c r="L2618" s="7">
        <v>41618.29019675926</v>
      </c>
      <c r="M2618" s="14" t="s">
        <v>1354</v>
      </c>
      <c r="N2618" s="14" t="s">
        <v>1355</v>
      </c>
      <c r="O2618" s="11" t="str">
        <f>HYPERLINK("https://pbs.twimg.com/profile_images/544859440982151169/DsQDVGwn_normal.png","View")</f>
        <v>View</v>
      </c>
      <c r="P2618" s="15"/>
    </row>
    <row r="2619">
      <c r="A2619" s="7">
        <v>42426.281446759254</v>
      </c>
      <c r="B2619" s="8" t="str">
        <f>HYPERLINK("https://twitter.com/Googleulv","@Googleulv")</f>
        <v>@Googleulv</v>
      </c>
      <c r="C2619" s="10" t="s">
        <v>3913</v>
      </c>
      <c r="D2619" s="10" t="s">
        <v>5312</v>
      </c>
      <c r="E2619" s="11" t="str">
        <f>HYPERLINK("https://twitter.com/Googleulv/status/703229353761644545","703229353761644545")</f>
        <v>703229353761644545</v>
      </c>
      <c r="F2619" s="12" t="s">
        <v>1573</v>
      </c>
      <c r="G2619" s="13">
        <v>1039.0</v>
      </c>
      <c r="H2619" s="13">
        <v>754.0</v>
      </c>
      <c r="I2619" s="13">
        <v>6.0</v>
      </c>
      <c r="J2619" s="13">
        <v>0.0</v>
      </c>
      <c r="K2619" s="12" t="s">
        <v>21</v>
      </c>
      <c r="L2619" s="7">
        <v>39889.612164351856</v>
      </c>
      <c r="M2619" s="14" t="s">
        <v>3914</v>
      </c>
      <c r="N2619" s="14" t="s">
        <v>3915</v>
      </c>
      <c r="O2619" s="11" t="str">
        <f>HYPERLINK("https://pbs.twimg.com/profile_images/631872006645022720/C3D_WfIt_normal.jpg","View")</f>
        <v>View</v>
      </c>
      <c r="P2619" s="15"/>
    </row>
    <row r="2620">
      <c r="A2620" s="7">
        <v>42426.28148148148</v>
      </c>
      <c r="B2620" s="8" t="str">
        <f>HYPERLINK("https://twitter.com/RealPython","@RealPython")</f>
        <v>@RealPython</v>
      </c>
      <c r="C2620" s="9" t="s">
        <v>1021</v>
      </c>
      <c r="D2620" s="10" t="s">
        <v>4211</v>
      </c>
      <c r="E2620" s="11" t="str">
        <f>HYPERLINK("https://twitter.com/RealPython/status/703229366327611392","703229366327611392")</f>
        <v>703229366327611392</v>
      </c>
      <c r="F2620" s="12" t="s">
        <v>20</v>
      </c>
      <c r="G2620" s="13">
        <v>5088.0</v>
      </c>
      <c r="H2620" s="13">
        <v>39.0</v>
      </c>
      <c r="I2620" s="13">
        <v>55.0</v>
      </c>
      <c r="J2620" s="13">
        <v>0.0</v>
      </c>
      <c r="K2620" s="12" t="s">
        <v>21</v>
      </c>
      <c r="L2620" s="7">
        <v>41129.57270833333</v>
      </c>
      <c r="M2620" s="16"/>
      <c r="N2620" s="14" t="s">
        <v>1022</v>
      </c>
      <c r="O2620" s="11" t="str">
        <f>HYPERLINK("https://pbs.twimg.com/profile_images/3312468366/129323224633d71286101d517a2f9817_normal.png","View")</f>
        <v>View</v>
      </c>
      <c r="P2620" s="15"/>
    </row>
    <row r="2621">
      <c r="A2621" s="7">
        <v>42426.28159722222</v>
      </c>
      <c r="B2621" s="8" t="str">
        <f>HYPERLINK("https://twitter.com/Lameei","@Lameei")</f>
        <v>@Lameei</v>
      </c>
      <c r="C2621" s="10" t="s">
        <v>5425</v>
      </c>
      <c r="D2621" s="10" t="s">
        <v>5426</v>
      </c>
      <c r="E2621" s="11" t="str">
        <f>HYPERLINK("https://twitter.com/Lameei/status/703229404797865984","703229404797865984")</f>
        <v>703229404797865984</v>
      </c>
      <c r="F2621" s="12" t="s">
        <v>52</v>
      </c>
      <c r="G2621" s="13">
        <v>6981.0</v>
      </c>
      <c r="H2621" s="13">
        <v>1010.0</v>
      </c>
      <c r="I2621" s="13">
        <v>0.0</v>
      </c>
      <c r="J2621" s="13">
        <v>1.0</v>
      </c>
      <c r="K2621" s="12" t="s">
        <v>21</v>
      </c>
      <c r="L2621" s="7">
        <v>39436.98458333333</v>
      </c>
      <c r="M2621" s="14" t="s">
        <v>1645</v>
      </c>
      <c r="N2621" s="14" t="s">
        <v>5427</v>
      </c>
      <c r="O2621" s="11" t="str">
        <f>HYPERLINK("https://pbs.twimg.com/profile_images/594530197287776257/nIAmG4cc_normal.jpg","View")</f>
        <v>View</v>
      </c>
      <c r="P2621" s="15"/>
    </row>
    <row r="2622">
      <c r="A2622" s="7">
        <v>42426.28177083333</v>
      </c>
      <c r="B2622" s="8" t="str">
        <f>HYPERLINK("https://twitter.com/1871Chicago","@1871Chicago")</f>
        <v>@1871Chicago</v>
      </c>
      <c r="C2622" s="10" t="s">
        <v>2542</v>
      </c>
      <c r="D2622" s="10" t="s">
        <v>5428</v>
      </c>
      <c r="E2622" s="11" t="str">
        <f>HYPERLINK("https://twitter.com/1871Chicago/status/703229470640050176","703229470640050176")</f>
        <v>703229470640050176</v>
      </c>
      <c r="F2622" s="12" t="s">
        <v>659</v>
      </c>
      <c r="G2622" s="13">
        <v>41699.0</v>
      </c>
      <c r="H2622" s="13">
        <v>1386.0</v>
      </c>
      <c r="I2622" s="13">
        <v>0.0</v>
      </c>
      <c r="J2622" s="13">
        <v>0.0</v>
      </c>
      <c r="K2622" s="12" t="s">
        <v>21</v>
      </c>
      <c r="L2622" s="7">
        <v>40880.265451388885</v>
      </c>
      <c r="M2622" s="14" t="s">
        <v>2544</v>
      </c>
      <c r="N2622" s="14" t="s">
        <v>2545</v>
      </c>
      <c r="O2622" s="11" t="str">
        <f>HYPERLINK("https://pbs.twimg.com/profile_images/565990504408440832/onbh66fx_normal.png","View")</f>
        <v>View</v>
      </c>
      <c r="P2622" s="15"/>
    </row>
    <row r="2623">
      <c r="A2623" s="7">
        <v>42426.28210648148</v>
      </c>
      <c r="B2623" s="8" t="str">
        <f>HYPERLINK("https://twitter.com/googletricks19","@googletricks19")</f>
        <v>@googletricks19</v>
      </c>
      <c r="C2623" s="10" t="s">
        <v>802</v>
      </c>
      <c r="D2623" s="10" t="s">
        <v>1139</v>
      </c>
      <c r="E2623" s="11" t="str">
        <f>HYPERLINK("https://twitter.com/googletricks19/status/703229589972262912","703229589972262912")</f>
        <v>703229589972262912</v>
      </c>
      <c r="F2623" s="12" t="s">
        <v>103</v>
      </c>
      <c r="G2623" s="13">
        <v>819.0</v>
      </c>
      <c r="H2623" s="13">
        <v>218.0</v>
      </c>
      <c r="I2623" s="13">
        <v>1.0</v>
      </c>
      <c r="J2623" s="13">
        <v>1.0</v>
      </c>
      <c r="K2623" s="12" t="s">
        <v>21</v>
      </c>
      <c r="L2623" s="7">
        <v>41974.4943287037</v>
      </c>
      <c r="M2623" s="16"/>
      <c r="N2623" s="16"/>
      <c r="O2623" s="11" t="str">
        <f>HYPERLINK("https://pbs.twimg.com/profile_images/578098320159051776/fZw6-_AW_normal.png","View")</f>
        <v>View</v>
      </c>
      <c r="P2623" s="15"/>
    </row>
    <row r="2624">
      <c r="A2624" s="7">
        <v>42426.28236111111</v>
      </c>
      <c r="B2624" s="8" t="str">
        <f>HYPERLINK("https://twitter.com/GetUdemyDeals","@GetUdemyDeals")</f>
        <v>@GetUdemyDeals</v>
      </c>
      <c r="C2624" s="10" t="s">
        <v>492</v>
      </c>
      <c r="D2624" s="10" t="s">
        <v>5429</v>
      </c>
      <c r="E2624" s="11" t="str">
        <f>HYPERLINK("https://twitter.com/GetUdemyDeals/status/703229682959982592","703229682959982592")</f>
        <v>703229682959982592</v>
      </c>
      <c r="F2624" s="12" t="s">
        <v>494</v>
      </c>
      <c r="G2624" s="13">
        <v>187.0</v>
      </c>
      <c r="H2624" s="13">
        <v>87.0</v>
      </c>
      <c r="I2624" s="13">
        <v>0.0</v>
      </c>
      <c r="J2624" s="13">
        <v>0.0</v>
      </c>
      <c r="K2624" s="12" t="s">
        <v>21</v>
      </c>
      <c r="L2624" s="7">
        <v>41928.48434027778</v>
      </c>
      <c r="M2624" s="14" t="s">
        <v>495</v>
      </c>
      <c r="N2624" s="14" t="s">
        <v>496</v>
      </c>
      <c r="O2624" s="11" t="str">
        <f>HYPERLINK("https://pbs.twimg.com/profile_images/523203529620484096/fzN_Plp5_normal.jpeg","View")</f>
        <v>View</v>
      </c>
      <c r="P2624" s="15"/>
    </row>
    <row r="2625">
      <c r="A2625" s="7">
        <v>42426.282372685186</v>
      </c>
      <c r="B2625" s="8" t="str">
        <f>HYPERLINK("https://twitter.com/freefazee","@freefazee")</f>
        <v>@freefazee</v>
      </c>
      <c r="C2625" s="10" t="s">
        <v>5430</v>
      </c>
      <c r="D2625" s="10" t="s">
        <v>4211</v>
      </c>
      <c r="E2625" s="11" t="str">
        <f>HYPERLINK("https://twitter.com/freefazee/status/703229686529323008","703229686529323008")</f>
        <v>703229686529323008</v>
      </c>
      <c r="F2625" s="12" t="s">
        <v>52</v>
      </c>
      <c r="G2625" s="13">
        <v>435.0</v>
      </c>
      <c r="H2625" s="13">
        <v>731.0</v>
      </c>
      <c r="I2625" s="13">
        <v>55.0</v>
      </c>
      <c r="J2625" s="13">
        <v>0.0</v>
      </c>
      <c r="K2625" s="12" t="s">
        <v>21</v>
      </c>
      <c r="L2625" s="7">
        <v>40502.92425925926</v>
      </c>
      <c r="M2625" s="14" t="s">
        <v>1369</v>
      </c>
      <c r="N2625" s="14" t="s">
        <v>5431</v>
      </c>
      <c r="O2625" s="11" t="str">
        <f>HYPERLINK("https://pbs.twimg.com/profile_images/663057423511461888/auzEUYSv_normal.jpg","View")</f>
        <v>View</v>
      </c>
      <c r="P2625" s="15"/>
    </row>
    <row r="2626">
      <c r="A2626" s="7">
        <v>42426.28247685185</v>
      </c>
      <c r="B2626" s="8" t="str">
        <f>HYPERLINK("https://twitter.com/RealPython","@RealPython")</f>
        <v>@RealPython</v>
      </c>
      <c r="C2626" s="9" t="s">
        <v>1021</v>
      </c>
      <c r="D2626" s="10" t="s">
        <v>3699</v>
      </c>
      <c r="E2626" s="11" t="str">
        <f>HYPERLINK("https://twitter.com/RealPython/status/703229724705751041","703229724705751041")</f>
        <v>703229724705751041</v>
      </c>
      <c r="F2626" s="12" t="s">
        <v>20</v>
      </c>
      <c r="G2626" s="13">
        <v>5088.0</v>
      </c>
      <c r="H2626" s="13">
        <v>39.0</v>
      </c>
      <c r="I2626" s="13">
        <v>30.0</v>
      </c>
      <c r="J2626" s="13">
        <v>0.0</v>
      </c>
      <c r="K2626" s="12" t="s">
        <v>21</v>
      </c>
      <c r="L2626" s="7">
        <v>41129.57270833333</v>
      </c>
      <c r="M2626" s="16"/>
      <c r="N2626" s="14" t="s">
        <v>1022</v>
      </c>
      <c r="O2626" s="11" t="str">
        <f>HYPERLINK("https://pbs.twimg.com/profile_images/3312468366/129323224633d71286101d517a2f9817_normal.png","View")</f>
        <v>View</v>
      </c>
      <c r="P2626" s="15"/>
    </row>
    <row r="2627">
      <c r="A2627" s="7">
        <v>42426.28309027778</v>
      </c>
      <c r="B2627" s="8" t="str">
        <f>HYPERLINK("https://twitter.com/C_LCote","@C_LCote")</f>
        <v>@C_LCote</v>
      </c>
      <c r="C2627" s="10" t="s">
        <v>5432</v>
      </c>
      <c r="D2627" s="10" t="s">
        <v>5433</v>
      </c>
      <c r="E2627" s="11" t="str">
        <f>HYPERLINK("https://twitter.com/C_LCote/status/703229947146534912","703229947146534912")</f>
        <v>703229947146534912</v>
      </c>
      <c r="F2627" s="12" t="s">
        <v>20</v>
      </c>
      <c r="G2627" s="13">
        <v>95.0</v>
      </c>
      <c r="H2627" s="13">
        <v>502.0</v>
      </c>
      <c r="I2627" s="13">
        <v>0.0</v>
      </c>
      <c r="J2627" s="13">
        <v>1.0</v>
      </c>
      <c r="K2627" s="12" t="s">
        <v>21</v>
      </c>
      <c r="L2627" s="7">
        <v>41463.25247685185</v>
      </c>
      <c r="M2627" s="14" t="s">
        <v>769</v>
      </c>
      <c r="N2627" s="14" t="s">
        <v>5434</v>
      </c>
      <c r="O2627" s="11" t="str">
        <f>HYPERLINK("https://pbs.twimg.com/profile_images/639470548897153025/G5GgXOcJ_normal.jpg","View")</f>
        <v>View</v>
      </c>
      <c r="P2627" s="15"/>
    </row>
    <row r="2628">
      <c r="A2628" s="7">
        <v>42426.28409722222</v>
      </c>
      <c r="B2628" s="8" t="str">
        <f>HYPERLINK("https://twitter.com/ADM_JamesMendes","@ADM_JamesMendes")</f>
        <v>@ADM_JamesMendes</v>
      </c>
      <c r="C2628" s="10" t="s">
        <v>5435</v>
      </c>
      <c r="D2628" s="10" t="s">
        <v>5436</v>
      </c>
      <c r="E2628" s="11" t="str">
        <f>HYPERLINK("https://twitter.com/ADM_JamesMendes/status/703230310905851905","703230310905851905")</f>
        <v>703230310905851905</v>
      </c>
      <c r="F2628" s="12" t="s">
        <v>20</v>
      </c>
      <c r="G2628" s="13">
        <v>1321.0</v>
      </c>
      <c r="H2628" s="13">
        <v>1719.0</v>
      </c>
      <c r="I2628" s="13">
        <v>4.0</v>
      </c>
      <c r="J2628" s="13">
        <v>0.0</v>
      </c>
      <c r="K2628" s="12" t="s">
        <v>21</v>
      </c>
      <c r="L2628" s="7">
        <v>40533.108310185184</v>
      </c>
      <c r="M2628" s="14" t="s">
        <v>5437</v>
      </c>
      <c r="N2628" s="14" t="s">
        <v>5438</v>
      </c>
      <c r="O2628" s="11" t="str">
        <f>HYPERLINK("https://pbs.twimg.com/profile_images/635436523614138368/Ek9oVK4d_normal.png","View")</f>
        <v>View</v>
      </c>
      <c r="P2628" s="15"/>
    </row>
    <row r="2629">
      <c r="A2629" s="7">
        <v>42426.285046296296</v>
      </c>
      <c r="B2629" s="8" t="str">
        <f>HYPERLINK("https://twitter.com/RealPython","@RealPython")</f>
        <v>@RealPython</v>
      </c>
      <c r="C2629" s="9" t="s">
        <v>1021</v>
      </c>
      <c r="D2629" s="10" t="s">
        <v>2671</v>
      </c>
      <c r="E2629" s="11" t="str">
        <f>HYPERLINK("https://twitter.com/RealPython/status/703230657334419456","703230657334419456")</f>
        <v>703230657334419456</v>
      </c>
      <c r="F2629" s="12" t="s">
        <v>20</v>
      </c>
      <c r="G2629" s="13">
        <v>5088.0</v>
      </c>
      <c r="H2629" s="13">
        <v>39.0</v>
      </c>
      <c r="I2629" s="13">
        <v>3.0</v>
      </c>
      <c r="J2629" s="13">
        <v>0.0</v>
      </c>
      <c r="K2629" s="12" t="s">
        <v>21</v>
      </c>
      <c r="L2629" s="7">
        <v>41129.57270833333</v>
      </c>
      <c r="M2629" s="16"/>
      <c r="N2629" s="14" t="s">
        <v>1022</v>
      </c>
      <c r="O2629" s="11" t="str">
        <f>HYPERLINK("https://pbs.twimg.com/profile_images/3312468366/129323224633d71286101d517a2f9817_normal.png","View")</f>
        <v>View</v>
      </c>
      <c r="P2629" s="15"/>
    </row>
    <row r="2630">
      <c r="A2630" s="7">
        <v>42426.285057870366</v>
      </c>
      <c r="B2630" s="8" t="str">
        <f>HYPERLINK("https://twitter.com/NumFOCUS","@NumFOCUS")</f>
        <v>@NumFOCUS</v>
      </c>
      <c r="C2630" s="10" t="s">
        <v>3159</v>
      </c>
      <c r="D2630" s="10" t="s">
        <v>5439</v>
      </c>
      <c r="E2630" s="11" t="str">
        <f>HYPERLINK("https://twitter.com/NumFOCUS/status/703230661235113984","703230661235113984")</f>
        <v>703230661235113984</v>
      </c>
      <c r="F2630" s="12" t="s">
        <v>659</v>
      </c>
      <c r="G2630" s="13">
        <v>1376.0</v>
      </c>
      <c r="H2630" s="13">
        <v>203.0</v>
      </c>
      <c r="I2630" s="13">
        <v>0.0</v>
      </c>
      <c r="J2630" s="13">
        <v>1.0</v>
      </c>
      <c r="K2630" s="12" t="s">
        <v>21</v>
      </c>
      <c r="L2630" s="7">
        <v>41281.439409722225</v>
      </c>
      <c r="M2630" s="14" t="s">
        <v>2022</v>
      </c>
      <c r="N2630" s="14" t="s">
        <v>3160</v>
      </c>
      <c r="O2630" s="11" t="str">
        <f>HYPERLINK("https://pbs.twimg.com/profile_images/702558144958869504/AIKaOGn__normal.png","View")</f>
        <v>View</v>
      </c>
      <c r="P2630" s="15"/>
    </row>
    <row r="2631">
      <c r="A2631" s="7">
        <v>42426.285150462965</v>
      </c>
      <c r="B2631" s="8" t="str">
        <f>HYPERLINK("https://twitter.com/nadeauv","@nadeauv")</f>
        <v>@nadeauv</v>
      </c>
      <c r="C2631" s="10" t="s">
        <v>5111</v>
      </c>
      <c r="D2631" s="10" t="s">
        <v>5409</v>
      </c>
      <c r="E2631" s="11" t="str">
        <f>HYPERLINK("https://twitter.com/nadeauv/status/703230693757861888","703230693757861888")</f>
        <v>703230693757861888</v>
      </c>
      <c r="F2631" s="12" t="s">
        <v>52</v>
      </c>
      <c r="G2631" s="13">
        <v>143.0</v>
      </c>
      <c r="H2631" s="13">
        <v>257.0</v>
      </c>
      <c r="I2631" s="13">
        <v>3.0</v>
      </c>
      <c r="J2631" s="13">
        <v>0.0</v>
      </c>
      <c r="K2631" s="12" t="s">
        <v>21</v>
      </c>
      <c r="L2631" s="7">
        <v>40652.771944444445</v>
      </c>
      <c r="M2631" s="14" t="s">
        <v>5113</v>
      </c>
      <c r="N2631" s="14" t="s">
        <v>5114</v>
      </c>
      <c r="O2631" s="11" t="str">
        <f>HYPERLINK("https://pbs.twimg.com/profile_images/688661500521754624/qLQPH0T0_normal.jpg","View")</f>
        <v>View</v>
      </c>
      <c r="P2631" s="15"/>
    </row>
    <row r="2632">
      <c r="A2632" s="7">
        <v>42426.28530092593</v>
      </c>
      <c r="B2632" s="8" t="str">
        <f>HYPERLINK("https://twitter.com/erlimar","@erlimar")</f>
        <v>@erlimar</v>
      </c>
      <c r="C2632" s="10" t="s">
        <v>5440</v>
      </c>
      <c r="D2632" s="10" t="s">
        <v>5441</v>
      </c>
      <c r="E2632" s="11" t="str">
        <f>HYPERLINK("https://twitter.com/erlimar/status/703230746996170752","703230746996170752")</f>
        <v>703230746996170752</v>
      </c>
      <c r="F2632" s="12" t="s">
        <v>20</v>
      </c>
      <c r="G2632" s="13">
        <v>71.0</v>
      </c>
      <c r="H2632" s="13">
        <v>159.0</v>
      </c>
      <c r="I2632" s="13">
        <v>0.0</v>
      </c>
      <c r="J2632" s="13">
        <v>0.0</v>
      </c>
      <c r="K2632" s="12" t="s">
        <v>21</v>
      </c>
      <c r="L2632" s="7">
        <v>40199.556180555555</v>
      </c>
      <c r="M2632" s="14" t="s">
        <v>82</v>
      </c>
      <c r="N2632" s="14" t="s">
        <v>5442</v>
      </c>
      <c r="O2632" s="11" t="str">
        <f>HYPERLINK("https://pbs.twimg.com/profile_images/458743372178395136/Qxn4kWvz_normal.png","View")</f>
        <v>View</v>
      </c>
      <c r="P2632" s="15"/>
    </row>
    <row r="2633">
      <c r="A2633" s="7">
        <v>42426.286250000005</v>
      </c>
      <c r="B2633" s="8" t="str">
        <f>HYPERLINK("https://twitter.com/radhikaostny","@radhikaostny")</f>
        <v>@radhikaostny</v>
      </c>
      <c r="C2633" s="10" t="s">
        <v>1639</v>
      </c>
      <c r="D2633" s="10" t="s">
        <v>5443</v>
      </c>
      <c r="E2633" s="11" t="str">
        <f>HYPERLINK("https://twitter.com/radhikaostny/status/703231091956699137","703231091956699137")</f>
        <v>703231091956699137</v>
      </c>
      <c r="F2633" s="12" t="s">
        <v>1258</v>
      </c>
      <c r="G2633" s="13">
        <v>921.0</v>
      </c>
      <c r="H2633" s="13">
        <v>861.0</v>
      </c>
      <c r="I2633" s="13">
        <v>0.0</v>
      </c>
      <c r="J2633" s="13">
        <v>0.0</v>
      </c>
      <c r="K2633" s="12" t="s">
        <v>21</v>
      </c>
      <c r="L2633" s="7">
        <v>41442.46157407407</v>
      </c>
      <c r="M2633" s="14" t="s">
        <v>1018</v>
      </c>
      <c r="N2633" s="14" t="s">
        <v>1641</v>
      </c>
      <c r="O2633" s="11" t="str">
        <f>HYPERLINK("https://pbs.twimg.com/profile_images/463681258598309890/gAkNIqvj_normal.jpeg","View")</f>
        <v>View</v>
      </c>
      <c r="P2633" s="15"/>
    </row>
    <row r="2634">
      <c r="A2634" s="7">
        <v>42426.28680555556</v>
      </c>
      <c r="B2634" s="8" t="str">
        <f>HYPERLINK("https://twitter.com/MikeHerman","@MikeHerman")</f>
        <v>@MikeHerman</v>
      </c>
      <c r="C2634" s="10" t="s">
        <v>1323</v>
      </c>
      <c r="D2634" s="10" t="s">
        <v>3699</v>
      </c>
      <c r="E2634" s="11" t="str">
        <f>HYPERLINK("https://twitter.com/MikeHerman/status/703231294960857089","703231294960857089")</f>
        <v>703231294960857089</v>
      </c>
      <c r="F2634" s="12" t="s">
        <v>20</v>
      </c>
      <c r="G2634" s="13">
        <v>600.0</v>
      </c>
      <c r="H2634" s="13">
        <v>46.0</v>
      </c>
      <c r="I2634" s="13">
        <v>30.0</v>
      </c>
      <c r="J2634" s="13">
        <v>0.0</v>
      </c>
      <c r="K2634" s="12" t="s">
        <v>21</v>
      </c>
      <c r="L2634" s="7">
        <v>40955.65877314815</v>
      </c>
      <c r="M2634" s="14" t="s">
        <v>1325</v>
      </c>
      <c r="N2634" s="14" t="s">
        <v>1326</v>
      </c>
      <c r="O2634" s="11" t="str">
        <f>HYPERLINK("https://pbs.twimg.com/profile_images/1956395739/56358390A_normal.jpg","View")</f>
        <v>View</v>
      </c>
      <c r="P2634" s="15"/>
    </row>
    <row r="2635">
      <c r="A2635" s="7">
        <v>42426.28684027778</v>
      </c>
      <c r="B2635" s="8" t="str">
        <f>HYPERLINK("https://twitter.com/dublin_startups","@dublin_startups")</f>
        <v>@dublin_startups</v>
      </c>
      <c r="C2635" s="10" t="s">
        <v>677</v>
      </c>
      <c r="D2635" s="10" t="s">
        <v>5444</v>
      </c>
      <c r="E2635" s="11" t="str">
        <f>HYPERLINK("https://twitter.com/dublin_startups/status/703231308412166145","703231308412166145")</f>
        <v>703231308412166145</v>
      </c>
      <c r="F2635" s="12" t="s">
        <v>294</v>
      </c>
      <c r="G2635" s="13">
        <v>3948.0</v>
      </c>
      <c r="H2635" s="13">
        <v>3648.0</v>
      </c>
      <c r="I2635" s="13">
        <v>0.0</v>
      </c>
      <c r="J2635" s="13">
        <v>0.0</v>
      </c>
      <c r="K2635" s="12" t="s">
        <v>21</v>
      </c>
      <c r="L2635" s="7">
        <v>40751.64847222222</v>
      </c>
      <c r="M2635" s="14" t="s">
        <v>679</v>
      </c>
      <c r="N2635" s="14" t="s">
        <v>680</v>
      </c>
      <c r="O2635" s="11" t="str">
        <f>HYPERLINK("https://pbs.twimg.com/profile_images/1532715722/dsj-twitter_normal.png","View")</f>
        <v>View</v>
      </c>
      <c r="P2635" s="15"/>
    </row>
    <row r="2636">
      <c r="A2636" s="7">
        <v>42426.28693287037</v>
      </c>
      <c r="B2636" s="8" t="str">
        <f>HYPERLINK("https://twitter.com/horstwilmes","@horstwilmes")</f>
        <v>@horstwilmes</v>
      </c>
      <c r="C2636" s="10" t="s">
        <v>1194</v>
      </c>
      <c r="D2636" s="10" t="s">
        <v>5445</v>
      </c>
      <c r="E2636" s="11" t="str">
        <f>HYPERLINK("https://twitter.com/horstwilmes/status/703231340704100352","703231340704100352")</f>
        <v>703231340704100352</v>
      </c>
      <c r="F2636" s="17" t="s">
        <v>718</v>
      </c>
      <c r="G2636" s="13">
        <v>1312.0</v>
      </c>
      <c r="H2636" s="13">
        <v>2001.0</v>
      </c>
      <c r="I2636" s="13">
        <v>0.0</v>
      </c>
      <c r="J2636" s="13">
        <v>1.0</v>
      </c>
      <c r="K2636" s="12" t="s">
        <v>21</v>
      </c>
      <c r="L2636" s="7">
        <v>40814.45599537037</v>
      </c>
      <c r="M2636" s="14" t="s">
        <v>1196</v>
      </c>
      <c r="N2636" s="14" t="s">
        <v>1197</v>
      </c>
      <c r="O2636" s="11" t="str">
        <f>HYPERLINK("https://pbs.twimg.com/profile_images/1564146627/HorstWilmes_L2_normal.jpg","View")</f>
        <v>View</v>
      </c>
      <c r="P2636" s="15"/>
    </row>
    <row r="2637">
      <c r="A2637" s="7">
        <v>42426.28721064815</v>
      </c>
      <c r="B2637" s="8" t="str">
        <f>HYPERLINK("https://twitter.com/apcelent","@apcelent")</f>
        <v>@apcelent</v>
      </c>
      <c r="C2637" s="10" t="s">
        <v>453</v>
      </c>
      <c r="D2637" s="10" t="s">
        <v>5446</v>
      </c>
      <c r="E2637" s="11" t="str">
        <f>HYPERLINK("https://twitter.com/apcelent/status/703231439014219780","703231439014219780")</f>
        <v>703231439014219780</v>
      </c>
      <c r="F2637" s="12" t="s">
        <v>20</v>
      </c>
      <c r="G2637" s="13">
        <v>279.0</v>
      </c>
      <c r="H2637" s="13">
        <v>987.0</v>
      </c>
      <c r="I2637" s="13">
        <v>0.0</v>
      </c>
      <c r="J2637" s="13">
        <v>1.0</v>
      </c>
      <c r="K2637" s="12" t="s">
        <v>21</v>
      </c>
      <c r="L2637" s="7">
        <v>40799.4952662037</v>
      </c>
      <c r="M2637" s="16"/>
      <c r="N2637" s="14" t="s">
        <v>455</v>
      </c>
      <c r="O2637" s="11" t="str">
        <f>HYPERLINK("https://pbs.twimg.com/profile_images/684234090896179200/JwDkkha-_normal.jpg","View")</f>
        <v>View</v>
      </c>
      <c r="P2637" s="15"/>
    </row>
    <row r="2638">
      <c r="A2638" s="7">
        <v>42426.28775462963</v>
      </c>
      <c r="B2638" s="8" t="str">
        <f>HYPERLINK("https://twitter.com/miltonradarx","@miltonradarx")</f>
        <v>@miltonradarx</v>
      </c>
      <c r="C2638" s="10" t="s">
        <v>5447</v>
      </c>
      <c r="D2638" s="10" t="s">
        <v>5448</v>
      </c>
      <c r="E2638" s="11" t="str">
        <f>HYPERLINK("https://twitter.com/miltonradarx/status/703231637077803009","703231637077803009")</f>
        <v>703231637077803009</v>
      </c>
      <c r="F2638" s="12" t="s">
        <v>450</v>
      </c>
      <c r="G2638" s="13">
        <v>1070.0</v>
      </c>
      <c r="H2638" s="13">
        <v>1099.0</v>
      </c>
      <c r="I2638" s="13">
        <v>0.0</v>
      </c>
      <c r="J2638" s="13">
        <v>0.0</v>
      </c>
      <c r="K2638" s="12" t="s">
        <v>21</v>
      </c>
      <c r="L2638" s="7">
        <v>39919.36486111111</v>
      </c>
      <c r="M2638" s="14" t="s">
        <v>3319</v>
      </c>
      <c r="N2638" s="18" t="s">
        <v>5449</v>
      </c>
      <c r="O2638" s="11" t="str">
        <f>HYPERLINK("https://pbs.twimg.com/profile_images/2269341060/vt7568s1uew4hmvlqh2e_normal.jpeg","View")</f>
        <v>View</v>
      </c>
      <c r="P2638" s="15"/>
    </row>
    <row r="2639">
      <c r="A2639" s="7">
        <v>42426.288402777776</v>
      </c>
      <c r="B2639" s="8" t="str">
        <f>HYPERLINK("https://twitter.com/py3k","@py3k")</f>
        <v>@py3k</v>
      </c>
      <c r="C2639" s="10" t="s">
        <v>297</v>
      </c>
      <c r="D2639" s="10" t="s">
        <v>5450</v>
      </c>
      <c r="E2639" s="11" t="str">
        <f>HYPERLINK("https://twitter.com/py3k/status/703231872197857284","703231872197857284")</f>
        <v>703231872197857284</v>
      </c>
      <c r="F2639" s="12" t="s">
        <v>299</v>
      </c>
      <c r="G2639" s="13">
        <v>1623.0</v>
      </c>
      <c r="H2639" s="13">
        <v>676.0</v>
      </c>
      <c r="I2639" s="13">
        <v>1.0</v>
      </c>
      <c r="J2639" s="13">
        <v>0.0</v>
      </c>
      <c r="K2639" s="12" t="s">
        <v>21</v>
      </c>
      <c r="L2639" s="7">
        <v>41096.62268518518</v>
      </c>
      <c r="M2639" s="16"/>
      <c r="N2639" s="14" t="s">
        <v>300</v>
      </c>
      <c r="O2639" s="11" t="str">
        <f>HYPERLINK("https://pbs.twimg.com/profile_images/2474433856/p075cerxh0arpea6ceip_normal.png","View")</f>
        <v>View</v>
      </c>
      <c r="P2639" s="15"/>
    </row>
    <row r="2640">
      <c r="A2640" s="7">
        <v>42426.28927083334</v>
      </c>
      <c r="B2640" s="8" t="str">
        <f>HYPERLINK("https://twitter.com/techmix_","@techmix_")</f>
        <v>@techmix_</v>
      </c>
      <c r="C2640" s="10" t="s">
        <v>1190</v>
      </c>
      <c r="D2640" s="10" t="s">
        <v>5451</v>
      </c>
      <c r="E2640" s="11" t="str">
        <f>HYPERLINK("https://twitter.com/techmix_/status/703232188922384385","703232188922384385")</f>
        <v>703232188922384385</v>
      </c>
      <c r="F2640" s="12" t="s">
        <v>1192</v>
      </c>
      <c r="G2640" s="13">
        <v>547.0</v>
      </c>
      <c r="H2640" s="13">
        <v>1445.0</v>
      </c>
      <c r="I2640" s="13">
        <v>1.0</v>
      </c>
      <c r="J2640" s="13">
        <v>0.0</v>
      </c>
      <c r="K2640" s="12" t="s">
        <v>21</v>
      </c>
      <c r="L2640" s="7">
        <v>42400.79513888889</v>
      </c>
      <c r="M2640" s="16"/>
      <c r="N2640" s="14" t="s">
        <v>1193</v>
      </c>
      <c r="O2640" s="11" t="str">
        <f>HYPERLINK("https://pbs.twimg.com/profile_images/700674879540981761/fKiyB9Ye_normal.png","View")</f>
        <v>View</v>
      </c>
      <c r="P2640" s="15"/>
    </row>
    <row r="2641">
      <c r="A2641" s="7">
        <v>42426.289861111116</v>
      </c>
      <c r="B2641" s="8" t="str">
        <f>HYPERLINK("https://twitter.com/msardello","@msardello")</f>
        <v>@msardello</v>
      </c>
      <c r="C2641" s="10" t="s">
        <v>5452</v>
      </c>
      <c r="D2641" s="10" t="s">
        <v>1820</v>
      </c>
      <c r="E2641" s="11" t="str">
        <f>HYPERLINK("https://twitter.com/msardello/status/703232399929417729","703232399929417729")</f>
        <v>703232399929417729</v>
      </c>
      <c r="F2641" s="12" t="s">
        <v>52</v>
      </c>
      <c r="G2641" s="13">
        <v>115.0</v>
      </c>
      <c r="H2641" s="13">
        <v>606.0</v>
      </c>
      <c r="I2641" s="13">
        <v>20.0</v>
      </c>
      <c r="J2641" s="13">
        <v>0.0</v>
      </c>
      <c r="K2641" s="12" t="s">
        <v>21</v>
      </c>
      <c r="L2641" s="7">
        <v>40905.675312499996</v>
      </c>
      <c r="M2641" s="16"/>
      <c r="N2641" s="14" t="s">
        <v>5453</v>
      </c>
      <c r="O2641" s="11" t="str">
        <f>HYPERLINK("https://pbs.twimg.com/profile_images/628020648128987136/lP5iJQSE_normal.jpg","View")</f>
        <v>View</v>
      </c>
      <c r="P2641" s="15"/>
    </row>
    <row r="2642">
      <c r="A2642" s="7">
        <v>42426.289976851855</v>
      </c>
      <c r="B2642" s="8" t="str">
        <f>HYPERLINK("https://twitter.com/cool_python","@cool_python")</f>
        <v>@cool_python</v>
      </c>
      <c r="C2642" s="10" t="s">
        <v>249</v>
      </c>
      <c r="D2642" s="10" t="s">
        <v>5454</v>
      </c>
      <c r="E2642" s="11" t="str">
        <f>HYPERLINK("https://twitter.com/cool_python/status/703232445009817600","703232445009817600")</f>
        <v>703232445009817600</v>
      </c>
      <c r="F2642" s="12" t="s">
        <v>251</v>
      </c>
      <c r="G2642" s="13">
        <v>235.0</v>
      </c>
      <c r="H2642" s="13">
        <v>91.0</v>
      </c>
      <c r="I2642" s="13">
        <v>1.0</v>
      </c>
      <c r="J2642" s="13">
        <v>0.0</v>
      </c>
      <c r="K2642" s="12" t="s">
        <v>21</v>
      </c>
      <c r="L2642" s="7">
        <v>42064.325</v>
      </c>
      <c r="M2642" s="14" t="s">
        <v>252</v>
      </c>
      <c r="N2642" s="14" t="s">
        <v>253</v>
      </c>
      <c r="O2642" s="11" t="str">
        <f>HYPERLINK("https://pbs.twimg.com/profile_images/572091631055028224/Pkx__FSB_normal.png","View")</f>
        <v>View</v>
      </c>
      <c r="P2642" s="15"/>
    </row>
    <row r="2643">
      <c r="A2643" s="7">
        <v>42426.29020833333</v>
      </c>
      <c r="B2643" s="8" t="str">
        <f>HYPERLINK("https://twitter.com/art_control","@art_control")</f>
        <v>@art_control</v>
      </c>
      <c r="C2643" s="10" t="s">
        <v>309</v>
      </c>
      <c r="D2643" s="10" t="s">
        <v>5455</v>
      </c>
      <c r="E2643" s="11" t="str">
        <f>HYPERLINK("https://twitter.com/art_control/status/703232528279281664","703232528279281664")</f>
        <v>703232528279281664</v>
      </c>
      <c r="F2643" s="12" t="s">
        <v>311</v>
      </c>
      <c r="G2643" s="13">
        <v>989.0</v>
      </c>
      <c r="H2643" s="13">
        <v>850.0</v>
      </c>
      <c r="I2643" s="13">
        <v>0.0</v>
      </c>
      <c r="J2643" s="13">
        <v>0.0</v>
      </c>
      <c r="K2643" s="12" t="s">
        <v>21</v>
      </c>
      <c r="L2643" s="7">
        <v>39896.869675925926</v>
      </c>
      <c r="M2643" s="14" t="s">
        <v>312</v>
      </c>
      <c r="N2643" s="14" t="s">
        <v>313</v>
      </c>
      <c r="O2643" s="11" t="str">
        <f>HYPERLINK("https://pbs.twimg.com/profile_images/649004216690675712/UAcrP6ol_normal.png","View")</f>
        <v>View</v>
      </c>
      <c r="P2643" s="15"/>
    </row>
    <row r="2644">
      <c r="A2644" s="7">
        <v>42426.290810185186</v>
      </c>
      <c r="B2644" s="8" t="str">
        <f>HYPERLINK("https://twitter.com/JTIE_6EE7","@JTIE_6EE7")</f>
        <v>@JTIE_6EE7</v>
      </c>
      <c r="C2644" s="10" t="s">
        <v>5456</v>
      </c>
      <c r="D2644" s="10" t="s">
        <v>5457</v>
      </c>
      <c r="E2644" s="11" t="str">
        <f>HYPERLINK("https://twitter.com/JTIE_6EE7/status/703232746089488384","703232746089488384")</f>
        <v>703232746089488384</v>
      </c>
      <c r="F2644" s="12" t="s">
        <v>20</v>
      </c>
      <c r="G2644" s="13">
        <v>3355.0</v>
      </c>
      <c r="H2644" s="13">
        <v>3682.0</v>
      </c>
      <c r="I2644" s="13">
        <v>0.0</v>
      </c>
      <c r="J2644" s="13">
        <v>2.0</v>
      </c>
      <c r="K2644" s="12" t="s">
        <v>21</v>
      </c>
      <c r="L2644" s="7">
        <v>40131.7055787037</v>
      </c>
      <c r="M2644" s="14" t="s">
        <v>5458</v>
      </c>
      <c r="N2644" s="14" t="s">
        <v>5459</v>
      </c>
      <c r="O2644" s="11" t="str">
        <f>HYPERLINK("https://pbs.twimg.com/profile_images/1489929325/NERD_normal.jpg","View")</f>
        <v>View</v>
      </c>
      <c r="P2644" s="15"/>
    </row>
    <row r="2645">
      <c r="A2645" s="7">
        <v>42426.2909375</v>
      </c>
      <c r="B2645" s="8" t="str">
        <f>HYPERLINK("https://twitter.com/sabrapro","@sabrapro")</f>
        <v>@sabrapro</v>
      </c>
      <c r="C2645" s="10" t="s">
        <v>5460</v>
      </c>
      <c r="D2645" s="10" t="s">
        <v>5461</v>
      </c>
      <c r="E2645" s="11" t="str">
        <f>HYPERLINK("https://twitter.com/sabrapro/status/703232791576641536","703232791576641536")</f>
        <v>703232791576641536</v>
      </c>
      <c r="F2645" s="12" t="s">
        <v>20</v>
      </c>
      <c r="G2645" s="13">
        <v>1161.0</v>
      </c>
      <c r="H2645" s="13">
        <v>927.0</v>
      </c>
      <c r="I2645" s="13">
        <v>1.0</v>
      </c>
      <c r="J2645" s="13">
        <v>0.0</v>
      </c>
      <c r="K2645" s="12" t="s">
        <v>21</v>
      </c>
      <c r="L2645" s="7">
        <v>39980.53944444445</v>
      </c>
      <c r="M2645" s="14" t="s">
        <v>5462</v>
      </c>
      <c r="N2645" s="14" t="s">
        <v>5463</v>
      </c>
      <c r="O2645" s="11" t="str">
        <f>HYPERLINK("https://pbs.twimg.com/profile_images/599008785336643584/qFkUDiqu_normal.png","View")</f>
        <v>View</v>
      </c>
      <c r="P2645" s="15"/>
    </row>
    <row r="2646">
      <c r="A2646" s="7">
        <v>42426.291226851856</v>
      </c>
      <c r="B2646" s="8" t="str">
        <f>HYPERLINK("https://twitter.com/coos_sml","@coos_sml")</f>
        <v>@coos_sml</v>
      </c>
      <c r="C2646" s="10" t="s">
        <v>5464</v>
      </c>
      <c r="D2646" s="10" t="s">
        <v>5465</v>
      </c>
      <c r="E2646" s="11" t="str">
        <f>HYPERLINK("https://twitter.com/coos_sml/status/703232896157364224","703232896157364224")</f>
        <v>703232896157364224</v>
      </c>
      <c r="F2646" s="12" t="s">
        <v>52</v>
      </c>
      <c r="G2646" s="13">
        <v>487.0</v>
      </c>
      <c r="H2646" s="13">
        <v>1017.0</v>
      </c>
      <c r="I2646" s="13">
        <v>0.0</v>
      </c>
      <c r="J2646" s="13">
        <v>3.0</v>
      </c>
      <c r="K2646" s="12" t="s">
        <v>21</v>
      </c>
      <c r="L2646" s="7">
        <v>40829.6078125</v>
      </c>
      <c r="M2646" s="16"/>
      <c r="N2646" s="14" t="s">
        <v>5466</v>
      </c>
      <c r="O2646" s="11" t="str">
        <f>HYPERLINK("https://pbs.twimg.com/profile_images/654301589595779074/RQGPmT03_normal.jpg","View")</f>
        <v>View</v>
      </c>
      <c r="P2646" s="15"/>
    </row>
    <row r="2647">
      <c r="A2647" s="7">
        <v>42426.29265046296</v>
      </c>
      <c r="B2647" s="8" t="str">
        <f>HYPERLINK("https://twitter.com/PythonWeekly","@PythonWeekly")</f>
        <v>@PythonWeekly</v>
      </c>
      <c r="C2647" s="10" t="s">
        <v>948</v>
      </c>
      <c r="D2647" s="10" t="s">
        <v>5467</v>
      </c>
      <c r="E2647" s="11" t="str">
        <f>HYPERLINK("https://twitter.com/PythonWeekly/status/703233410983141376","703233410983141376")</f>
        <v>703233410983141376</v>
      </c>
      <c r="F2647" s="12" t="s">
        <v>294</v>
      </c>
      <c r="G2647" s="13">
        <v>15565.0</v>
      </c>
      <c r="H2647" s="13">
        <v>0.0</v>
      </c>
      <c r="I2647" s="13">
        <v>3.0</v>
      </c>
      <c r="J2647" s="13">
        <v>9.0</v>
      </c>
      <c r="K2647" s="12" t="s">
        <v>21</v>
      </c>
      <c r="L2647" s="7">
        <v>40800.65934027778</v>
      </c>
      <c r="M2647" s="16"/>
      <c r="N2647" s="14" t="s">
        <v>950</v>
      </c>
      <c r="O2647" s="11" t="str">
        <f>HYPERLINK("https://pbs.twimg.com/profile_images/1554238582/python_normal.jpg","View")</f>
        <v>View</v>
      </c>
      <c r="P2647" s="15"/>
    </row>
    <row r="2648">
      <c r="A2648" s="7">
        <v>42426.29319444444</v>
      </c>
      <c r="B2648" s="8" t="str">
        <f>HYPERLINK("https://twitter.com/susanz4C","@susanz4C")</f>
        <v>@susanz4C</v>
      </c>
      <c r="C2648" s="10" t="s">
        <v>5468</v>
      </c>
      <c r="D2648" s="10" t="s">
        <v>5469</v>
      </c>
      <c r="E2648" s="11" t="str">
        <f>HYPERLINK("https://twitter.com/susanz4C/status/703233610762031104","703233610762031104")</f>
        <v>703233610762031104</v>
      </c>
      <c r="F2648" s="12" t="s">
        <v>659</v>
      </c>
      <c r="G2648" s="13">
        <v>85.0</v>
      </c>
      <c r="H2648" s="13">
        <v>261.0</v>
      </c>
      <c r="I2648" s="13">
        <v>0.0</v>
      </c>
      <c r="J2648" s="13">
        <v>1.0</v>
      </c>
      <c r="K2648" s="12" t="s">
        <v>21</v>
      </c>
      <c r="L2648" s="7">
        <v>40380.52135416667</v>
      </c>
      <c r="M2648" s="16"/>
      <c r="N2648" s="14" t="s">
        <v>5470</v>
      </c>
      <c r="O2648" s="11" t="str">
        <f>HYPERLINK("https://pbs.twimg.com/profile_images/2706364368/ac345ae1178f5a963913bc598f0851b5_normal.jpeg","View")</f>
        <v>View</v>
      </c>
      <c r="P2648" s="15"/>
    </row>
    <row r="2649">
      <c r="A2649" s="7">
        <v>42426.29328703704</v>
      </c>
      <c r="B2649" s="8" t="str">
        <f>HYPERLINK("https://twitter.com/cesarnogCPS","@cesarnogCPS")</f>
        <v>@cesarnogCPS</v>
      </c>
      <c r="C2649" s="10" t="s">
        <v>1140</v>
      </c>
      <c r="D2649" s="10" t="s">
        <v>1141</v>
      </c>
      <c r="E2649" s="11" t="str">
        <f>HYPERLINK("https://twitter.com/cesarnogCPS/status/703233642919817216","703233642919817216")</f>
        <v>703233642919817216</v>
      </c>
      <c r="F2649" s="12" t="s">
        <v>38</v>
      </c>
      <c r="G2649" s="13">
        <v>1578.0</v>
      </c>
      <c r="H2649" s="13">
        <v>2406.0</v>
      </c>
      <c r="I2649" s="13">
        <v>1.0</v>
      </c>
      <c r="J2649" s="13">
        <v>0.0</v>
      </c>
      <c r="K2649" s="12" t="s">
        <v>21</v>
      </c>
      <c r="L2649" s="7">
        <v>40076.82166666667</v>
      </c>
      <c r="M2649" s="14" t="s">
        <v>1142</v>
      </c>
      <c r="N2649" s="14" t="s">
        <v>1143</v>
      </c>
      <c r="O2649" s="11" t="str">
        <f>HYPERLINK("https://pbs.twimg.com/profile_images/682455128805359617/r4Be4Yll_normal.jpg","View")</f>
        <v>View</v>
      </c>
      <c r="P2649" s="15"/>
    </row>
    <row r="2650">
      <c r="A2650" s="7">
        <v>42426.29329861111</v>
      </c>
      <c r="B2650" s="8" t="str">
        <f>HYPERLINK("https://twitter.com/chrbknudsen","@chrbknudsen")</f>
        <v>@chrbknudsen</v>
      </c>
      <c r="C2650" s="10" t="s">
        <v>5141</v>
      </c>
      <c r="D2650" s="10" t="s">
        <v>5471</v>
      </c>
      <c r="E2650" s="11" t="str">
        <f>HYPERLINK("https://twitter.com/chrbknudsen/status/703233645985792000","703233645985792000")</f>
        <v>703233645985792000</v>
      </c>
      <c r="F2650" s="12" t="s">
        <v>152</v>
      </c>
      <c r="G2650" s="13">
        <v>228.0</v>
      </c>
      <c r="H2650" s="13">
        <v>582.0</v>
      </c>
      <c r="I2650" s="13">
        <v>0.0</v>
      </c>
      <c r="J2650" s="13">
        <v>1.0</v>
      </c>
      <c r="K2650" s="12" t="s">
        <v>21</v>
      </c>
      <c r="L2650" s="7">
        <v>40286.54350694444</v>
      </c>
      <c r="M2650" s="14" t="s">
        <v>5143</v>
      </c>
      <c r="N2650" s="14" t="s">
        <v>5144</v>
      </c>
      <c r="O2650" s="11" t="str">
        <f>HYPERLINK("https://pbs.twimg.com/profile_images/658975932984659968/H5q23w7V_normal.jpg","View")</f>
        <v>View</v>
      </c>
      <c r="P2650" s="15"/>
    </row>
    <row r="2651">
      <c r="A2651" s="7">
        <v>42426.29357638889</v>
      </c>
      <c r="B2651" s="8" t="str">
        <f>HYPERLINK("https://twitter.com/sicarius","@sicarius")</f>
        <v>@sicarius</v>
      </c>
      <c r="C2651" s="10" t="s">
        <v>5472</v>
      </c>
      <c r="D2651" s="10" t="s">
        <v>5473</v>
      </c>
      <c r="E2651" s="11" t="str">
        <f>HYPERLINK("https://twitter.com/sicarius/status/703233746904997888","703233746904997888")</f>
        <v>703233746904997888</v>
      </c>
      <c r="F2651" s="12" t="s">
        <v>20</v>
      </c>
      <c r="G2651" s="13">
        <v>200.0</v>
      </c>
      <c r="H2651" s="13">
        <v>737.0</v>
      </c>
      <c r="I2651" s="13">
        <v>0.0</v>
      </c>
      <c r="J2651" s="13">
        <v>1.0</v>
      </c>
      <c r="K2651" s="12" t="s">
        <v>21</v>
      </c>
      <c r="L2651" s="7">
        <v>39687.30836805556</v>
      </c>
      <c r="M2651" s="14" t="s">
        <v>5474</v>
      </c>
      <c r="N2651" s="14" t="s">
        <v>5475</v>
      </c>
      <c r="O2651" s="11" t="str">
        <f>HYPERLINK("https://pbs.twimg.com/profile_images/475748805619355648/Q0kgU_bt_normal.png","View")</f>
        <v>View</v>
      </c>
      <c r="P2651" s="15"/>
    </row>
    <row r="2652">
      <c r="A2652" s="7">
        <v>42426.29364583333</v>
      </c>
      <c r="B2652" s="8" t="str">
        <f>HYPERLINK("https://twitter.com/randal_olson","@randal_olson")</f>
        <v>@randal_olson</v>
      </c>
      <c r="C2652" s="10" t="s">
        <v>1097</v>
      </c>
      <c r="D2652" s="10" t="s">
        <v>5476</v>
      </c>
      <c r="E2652" s="11" t="str">
        <f>HYPERLINK("https://twitter.com/randal_olson/status/703233770783027201","703233770783027201")</f>
        <v>703233770783027201</v>
      </c>
      <c r="F2652" s="12" t="s">
        <v>20</v>
      </c>
      <c r="G2652" s="13">
        <v>83114.0</v>
      </c>
      <c r="H2652" s="13">
        <v>91408.0</v>
      </c>
      <c r="I2652" s="13">
        <v>9.0</v>
      </c>
      <c r="J2652" s="13">
        <v>13.0</v>
      </c>
      <c r="K2652" s="12" t="s">
        <v>21</v>
      </c>
      <c r="L2652" s="7">
        <v>39985.55090277777</v>
      </c>
      <c r="M2652" s="14" t="s">
        <v>1099</v>
      </c>
      <c r="N2652" s="14" t="s">
        <v>1100</v>
      </c>
      <c r="O2652" s="11" t="str">
        <f>HYPERLINK("https://pbs.twimg.com/profile_images/618964235779862528/nLQhBWfq_normal.jpg","View")</f>
        <v>View</v>
      </c>
      <c r="P2652" s="15"/>
    </row>
    <row r="2653">
      <c r="A2653" s="7">
        <v>42426.293865740736</v>
      </c>
      <c r="B2653" s="8" t="str">
        <f t="shared" ref="B2653:B2662" si="277">HYPERLINK("https://twitter.com/artwisanggeni","@artwisanggeni")</f>
        <v>@artwisanggeni</v>
      </c>
      <c r="C2653" s="10" t="s">
        <v>74</v>
      </c>
      <c r="D2653" s="10" t="s">
        <v>5477</v>
      </c>
      <c r="E2653" s="11" t="str">
        <f>HYPERLINK("https://twitter.com/artwisanggeni/status/703233851233947648","703233851233947648")</f>
        <v>703233851233947648</v>
      </c>
      <c r="F2653" s="17" t="s">
        <v>76</v>
      </c>
      <c r="G2653" s="13">
        <v>236.0</v>
      </c>
      <c r="H2653" s="13">
        <v>61.0</v>
      </c>
      <c r="I2653" s="13">
        <v>0.0</v>
      </c>
      <c r="J2653" s="13">
        <v>0.0</v>
      </c>
      <c r="K2653" s="12" t="s">
        <v>21</v>
      </c>
      <c r="L2653" s="7">
        <v>41218.90608796296</v>
      </c>
      <c r="M2653" s="14" t="s">
        <v>77</v>
      </c>
      <c r="N2653" s="14" t="s">
        <v>78</v>
      </c>
      <c r="O2653" s="11" t="str">
        <f t="shared" ref="O2653:O2662" si="278">HYPERLINK("https://pbs.twimg.com/profile_images/2813636657/599521f69e2bc210a57323b64d8e39e6_normal.jpeg","View")</f>
        <v>View</v>
      </c>
      <c r="P2653" s="15"/>
    </row>
    <row r="2654">
      <c r="A2654" s="7">
        <v>42426.29387731482</v>
      </c>
      <c r="B2654" s="8" t="str">
        <f t="shared" si="277"/>
        <v>@artwisanggeni</v>
      </c>
      <c r="C2654" s="10" t="s">
        <v>74</v>
      </c>
      <c r="D2654" s="10" t="s">
        <v>5478</v>
      </c>
      <c r="E2654" s="11" t="str">
        <f>HYPERLINK("https://twitter.com/artwisanggeni/status/703233855034003456","703233855034003456")</f>
        <v>703233855034003456</v>
      </c>
      <c r="F2654" s="17" t="s">
        <v>76</v>
      </c>
      <c r="G2654" s="13">
        <v>236.0</v>
      </c>
      <c r="H2654" s="13">
        <v>61.0</v>
      </c>
      <c r="I2654" s="13">
        <v>0.0</v>
      </c>
      <c r="J2654" s="13">
        <v>0.0</v>
      </c>
      <c r="K2654" s="12" t="s">
        <v>21</v>
      </c>
      <c r="L2654" s="7">
        <v>41218.90608796296</v>
      </c>
      <c r="M2654" s="14" t="s">
        <v>77</v>
      </c>
      <c r="N2654" s="14" t="s">
        <v>78</v>
      </c>
      <c r="O2654" s="11" t="str">
        <f t="shared" si="278"/>
        <v>View</v>
      </c>
      <c r="P2654" s="15"/>
    </row>
    <row r="2655">
      <c r="A2655" s="7">
        <v>42426.29388888889</v>
      </c>
      <c r="B2655" s="8" t="str">
        <f t="shared" si="277"/>
        <v>@artwisanggeni</v>
      </c>
      <c r="C2655" s="10" t="s">
        <v>74</v>
      </c>
      <c r="D2655" s="10" t="s">
        <v>5479</v>
      </c>
      <c r="E2655" s="11" t="str">
        <f>HYPERLINK("https://twitter.com/artwisanggeni/status/703233858980810755","703233858980810755")</f>
        <v>703233858980810755</v>
      </c>
      <c r="F2655" s="17" t="s">
        <v>76</v>
      </c>
      <c r="G2655" s="13">
        <v>236.0</v>
      </c>
      <c r="H2655" s="13">
        <v>61.0</v>
      </c>
      <c r="I2655" s="13">
        <v>0.0</v>
      </c>
      <c r="J2655" s="13">
        <v>1.0</v>
      </c>
      <c r="K2655" s="12" t="s">
        <v>21</v>
      </c>
      <c r="L2655" s="7">
        <v>41218.90608796296</v>
      </c>
      <c r="M2655" s="14" t="s">
        <v>77</v>
      </c>
      <c r="N2655" s="14" t="s">
        <v>78</v>
      </c>
      <c r="O2655" s="11" t="str">
        <f t="shared" si="278"/>
        <v>View</v>
      </c>
      <c r="P2655" s="15"/>
    </row>
    <row r="2656">
      <c r="A2656" s="7">
        <v>42426.29388888889</v>
      </c>
      <c r="B2656" s="8" t="str">
        <f t="shared" si="277"/>
        <v>@artwisanggeni</v>
      </c>
      <c r="C2656" s="10" t="s">
        <v>74</v>
      </c>
      <c r="D2656" s="10" t="s">
        <v>5480</v>
      </c>
      <c r="E2656" s="11" t="str">
        <f>HYPERLINK("https://twitter.com/artwisanggeni/status/703233862243979264","703233862243979264")</f>
        <v>703233862243979264</v>
      </c>
      <c r="F2656" s="17" t="s">
        <v>76</v>
      </c>
      <c r="G2656" s="13">
        <v>236.0</v>
      </c>
      <c r="H2656" s="13">
        <v>61.0</v>
      </c>
      <c r="I2656" s="13">
        <v>0.0</v>
      </c>
      <c r="J2656" s="13">
        <v>0.0</v>
      </c>
      <c r="K2656" s="12" t="s">
        <v>21</v>
      </c>
      <c r="L2656" s="7">
        <v>41218.90608796296</v>
      </c>
      <c r="M2656" s="14" t="s">
        <v>77</v>
      </c>
      <c r="N2656" s="14" t="s">
        <v>78</v>
      </c>
      <c r="O2656" s="11" t="str">
        <f t="shared" si="278"/>
        <v>View</v>
      </c>
      <c r="P2656" s="15"/>
    </row>
    <row r="2657">
      <c r="A2657" s="7">
        <v>42426.29390046296</v>
      </c>
      <c r="B2657" s="8" t="str">
        <f t="shared" si="277"/>
        <v>@artwisanggeni</v>
      </c>
      <c r="C2657" s="10" t="s">
        <v>74</v>
      </c>
      <c r="D2657" s="10" t="s">
        <v>5481</v>
      </c>
      <c r="E2657" s="11" t="str">
        <f>HYPERLINK("https://twitter.com/artwisanggeni/status/703233864924164096","703233864924164096")</f>
        <v>703233864924164096</v>
      </c>
      <c r="F2657" s="17" t="s">
        <v>76</v>
      </c>
      <c r="G2657" s="13">
        <v>236.0</v>
      </c>
      <c r="H2657" s="13">
        <v>61.0</v>
      </c>
      <c r="I2657" s="13">
        <v>0.0</v>
      </c>
      <c r="J2657" s="13">
        <v>0.0</v>
      </c>
      <c r="K2657" s="12" t="s">
        <v>21</v>
      </c>
      <c r="L2657" s="7">
        <v>41218.90608796296</v>
      </c>
      <c r="M2657" s="14" t="s">
        <v>77</v>
      </c>
      <c r="N2657" s="14" t="s">
        <v>78</v>
      </c>
      <c r="O2657" s="11" t="str">
        <f t="shared" si="278"/>
        <v>View</v>
      </c>
      <c r="P2657" s="15"/>
    </row>
    <row r="2658">
      <c r="A2658" s="7">
        <v>42426.293912037036</v>
      </c>
      <c r="B2658" s="8" t="str">
        <f t="shared" si="277"/>
        <v>@artwisanggeni</v>
      </c>
      <c r="C2658" s="10" t="s">
        <v>74</v>
      </c>
      <c r="D2658" s="10" t="s">
        <v>5482</v>
      </c>
      <c r="E2658" s="11" t="str">
        <f>HYPERLINK("https://twitter.com/artwisanggeni/status/703233867860148226","703233867860148226")</f>
        <v>703233867860148226</v>
      </c>
      <c r="F2658" s="17" t="s">
        <v>76</v>
      </c>
      <c r="G2658" s="13">
        <v>236.0</v>
      </c>
      <c r="H2658" s="13">
        <v>61.0</v>
      </c>
      <c r="I2658" s="13">
        <v>0.0</v>
      </c>
      <c r="J2658" s="13">
        <v>0.0</v>
      </c>
      <c r="K2658" s="12" t="s">
        <v>21</v>
      </c>
      <c r="L2658" s="7">
        <v>41218.90608796296</v>
      </c>
      <c r="M2658" s="14" t="s">
        <v>77</v>
      </c>
      <c r="N2658" s="14" t="s">
        <v>78</v>
      </c>
      <c r="O2658" s="11" t="str">
        <f t="shared" si="278"/>
        <v>View</v>
      </c>
      <c r="P2658" s="15"/>
    </row>
    <row r="2659">
      <c r="A2659" s="7">
        <v>42426.293912037036</v>
      </c>
      <c r="B2659" s="8" t="str">
        <f t="shared" si="277"/>
        <v>@artwisanggeni</v>
      </c>
      <c r="C2659" s="10" t="s">
        <v>74</v>
      </c>
      <c r="D2659" s="10" t="s">
        <v>5483</v>
      </c>
      <c r="E2659" s="11" t="str">
        <f>HYPERLINK("https://twitter.com/artwisanggeni/status/703233870246752256","703233870246752256")</f>
        <v>703233870246752256</v>
      </c>
      <c r="F2659" s="17" t="s">
        <v>76</v>
      </c>
      <c r="G2659" s="13">
        <v>236.0</v>
      </c>
      <c r="H2659" s="13">
        <v>61.0</v>
      </c>
      <c r="I2659" s="13">
        <v>0.0</v>
      </c>
      <c r="J2659" s="13">
        <v>0.0</v>
      </c>
      <c r="K2659" s="12" t="s">
        <v>21</v>
      </c>
      <c r="L2659" s="7">
        <v>41218.90608796296</v>
      </c>
      <c r="M2659" s="14" t="s">
        <v>77</v>
      </c>
      <c r="N2659" s="14" t="s">
        <v>78</v>
      </c>
      <c r="O2659" s="11" t="str">
        <f t="shared" si="278"/>
        <v>View</v>
      </c>
      <c r="P2659" s="15"/>
    </row>
    <row r="2660">
      <c r="A2660" s="7">
        <v>42426.29392361111</v>
      </c>
      <c r="B2660" s="8" t="str">
        <f t="shared" si="277"/>
        <v>@artwisanggeni</v>
      </c>
      <c r="C2660" s="10" t="s">
        <v>74</v>
      </c>
      <c r="D2660" s="10" t="s">
        <v>5484</v>
      </c>
      <c r="E2660" s="11" t="str">
        <f>HYPERLINK("https://twitter.com/artwisanggeni/status/703233873220542464","703233873220542464")</f>
        <v>703233873220542464</v>
      </c>
      <c r="F2660" s="17" t="s">
        <v>76</v>
      </c>
      <c r="G2660" s="13">
        <v>236.0</v>
      </c>
      <c r="H2660" s="13">
        <v>61.0</v>
      </c>
      <c r="I2660" s="13">
        <v>0.0</v>
      </c>
      <c r="J2660" s="13">
        <v>0.0</v>
      </c>
      <c r="K2660" s="12" t="s">
        <v>21</v>
      </c>
      <c r="L2660" s="7">
        <v>41218.90608796296</v>
      </c>
      <c r="M2660" s="14" t="s">
        <v>77</v>
      </c>
      <c r="N2660" s="14" t="s">
        <v>78</v>
      </c>
      <c r="O2660" s="11" t="str">
        <f t="shared" si="278"/>
        <v>View</v>
      </c>
      <c r="P2660" s="15"/>
    </row>
    <row r="2661">
      <c r="A2661" s="7">
        <v>42426.29393518518</v>
      </c>
      <c r="B2661" s="8" t="str">
        <f t="shared" si="277"/>
        <v>@artwisanggeni</v>
      </c>
      <c r="C2661" s="10" t="s">
        <v>74</v>
      </c>
      <c r="D2661" s="10" t="s">
        <v>5485</v>
      </c>
      <c r="E2661" s="11" t="str">
        <f>HYPERLINK("https://twitter.com/artwisanggeni/status/703233875930017792","703233875930017792")</f>
        <v>703233875930017792</v>
      </c>
      <c r="F2661" s="17" t="s">
        <v>76</v>
      </c>
      <c r="G2661" s="13">
        <v>236.0</v>
      </c>
      <c r="H2661" s="13">
        <v>61.0</v>
      </c>
      <c r="I2661" s="13">
        <v>0.0</v>
      </c>
      <c r="J2661" s="13">
        <v>0.0</v>
      </c>
      <c r="K2661" s="12" t="s">
        <v>21</v>
      </c>
      <c r="L2661" s="7">
        <v>41218.90608796296</v>
      </c>
      <c r="M2661" s="14" t="s">
        <v>77</v>
      </c>
      <c r="N2661" s="14" t="s">
        <v>78</v>
      </c>
      <c r="O2661" s="11" t="str">
        <f t="shared" si="278"/>
        <v>View</v>
      </c>
      <c r="P2661" s="15"/>
    </row>
    <row r="2662">
      <c r="A2662" s="7">
        <v>42426.29393518518</v>
      </c>
      <c r="B2662" s="8" t="str">
        <f t="shared" si="277"/>
        <v>@artwisanggeni</v>
      </c>
      <c r="C2662" s="10" t="s">
        <v>74</v>
      </c>
      <c r="D2662" s="10" t="s">
        <v>5486</v>
      </c>
      <c r="E2662" s="11" t="str">
        <f>HYPERLINK("https://twitter.com/artwisanggeni/status/703233878316621828","703233878316621828")</f>
        <v>703233878316621828</v>
      </c>
      <c r="F2662" s="17" t="s">
        <v>76</v>
      </c>
      <c r="G2662" s="13">
        <v>236.0</v>
      </c>
      <c r="H2662" s="13">
        <v>61.0</v>
      </c>
      <c r="I2662" s="13">
        <v>0.0</v>
      </c>
      <c r="J2662" s="13">
        <v>0.0</v>
      </c>
      <c r="K2662" s="12" t="s">
        <v>21</v>
      </c>
      <c r="L2662" s="7">
        <v>41218.90608796296</v>
      </c>
      <c r="M2662" s="14" t="s">
        <v>77</v>
      </c>
      <c r="N2662" s="14" t="s">
        <v>78</v>
      </c>
      <c r="O2662" s="11" t="str">
        <f t="shared" si="278"/>
        <v>View</v>
      </c>
      <c r="P2662" s="15"/>
    </row>
    <row r="2663">
      <c r="A2663" s="7">
        <v>42426.29440972222</v>
      </c>
      <c r="B2663" s="8" t="str">
        <f>HYPERLINK("https://twitter.com/FredRoseFilms","@FredRoseFilms")</f>
        <v>@FredRoseFilms</v>
      </c>
      <c r="C2663" s="10" t="s">
        <v>1262</v>
      </c>
      <c r="D2663" s="10" t="s">
        <v>1263</v>
      </c>
      <c r="E2663" s="11" t="str">
        <f>HYPERLINK("https://twitter.com/FredRoseFilms/status/703234050241208320","703234050241208320")</f>
        <v>703234050241208320</v>
      </c>
      <c r="F2663" s="12" t="s">
        <v>103</v>
      </c>
      <c r="G2663" s="13">
        <v>205.0</v>
      </c>
      <c r="H2663" s="13">
        <v>150.0</v>
      </c>
      <c r="I2663" s="13">
        <v>0.0</v>
      </c>
      <c r="J2663" s="13">
        <v>0.0</v>
      </c>
      <c r="K2663" s="12" t="s">
        <v>21</v>
      </c>
      <c r="L2663" s="7">
        <v>41129.403287037036</v>
      </c>
      <c r="M2663" s="14" t="s">
        <v>1264</v>
      </c>
      <c r="N2663" s="14" t="s">
        <v>1265</v>
      </c>
      <c r="O2663" s="11" t="str">
        <f>HYPERLINK("https://pbs.twimg.com/profile_images/443979688935833600/DDpVbCo2_normal.jpeg","View")</f>
        <v>View</v>
      </c>
      <c r="P2663" s="15"/>
    </row>
    <row r="2664">
      <c r="A2664" s="7">
        <v>42426.294432870374</v>
      </c>
      <c r="B2664" s="8" t="str">
        <f>HYPERLINK("https://twitter.com/anioko1","@anioko1")</f>
        <v>@anioko1</v>
      </c>
      <c r="C2664" s="10" t="s">
        <v>178</v>
      </c>
      <c r="D2664" s="10" t="s">
        <v>1261</v>
      </c>
      <c r="E2664" s="11" t="str">
        <f>HYPERLINK("https://twitter.com/anioko1/status/703234057086377986","703234057086377986")</f>
        <v>703234057086377986</v>
      </c>
      <c r="F2664" s="12" t="s">
        <v>103</v>
      </c>
      <c r="G2664" s="13">
        <v>527.0</v>
      </c>
      <c r="H2664" s="13">
        <v>1936.0</v>
      </c>
      <c r="I2664" s="13">
        <v>0.0</v>
      </c>
      <c r="J2664" s="13">
        <v>0.0</v>
      </c>
      <c r="K2664" s="12" t="s">
        <v>21</v>
      </c>
      <c r="L2664" s="7">
        <v>40367.98541666666</v>
      </c>
      <c r="M2664" s="14" t="s">
        <v>180</v>
      </c>
      <c r="N2664" s="14" t="s">
        <v>181</v>
      </c>
      <c r="O2664" s="11" t="str">
        <f>HYPERLINK("https://pbs.twimg.com/profile_images/695642719948009474/s9J4OUA9_normal.jpg","View")</f>
        <v>View</v>
      </c>
      <c r="P2664" s="15"/>
    </row>
    <row r="2665">
      <c r="A2665" s="7">
        <v>42426.294432870374</v>
      </c>
      <c r="B2665" s="8" t="str">
        <f>HYPERLINK("https://twitter.com/GeneralBrae","@GeneralBrae")</f>
        <v>@GeneralBrae</v>
      </c>
      <c r="C2665" s="10" t="s">
        <v>5487</v>
      </c>
      <c r="D2665" s="10" t="s">
        <v>5260</v>
      </c>
      <c r="E2665" s="11" t="str">
        <f>HYPERLINK("https://twitter.com/GeneralBrae/status/703234059384823808","703234059384823808")</f>
        <v>703234059384823808</v>
      </c>
      <c r="F2665" s="12" t="s">
        <v>152</v>
      </c>
      <c r="G2665" s="13">
        <v>156.0</v>
      </c>
      <c r="H2665" s="13">
        <v>335.0</v>
      </c>
      <c r="I2665" s="13">
        <v>2.0</v>
      </c>
      <c r="J2665" s="13">
        <v>0.0</v>
      </c>
      <c r="K2665" s="12" t="s">
        <v>21</v>
      </c>
      <c r="L2665" s="7">
        <v>40558.65224537037</v>
      </c>
      <c r="M2665" s="14" t="s">
        <v>2986</v>
      </c>
      <c r="N2665" s="14" t="s">
        <v>5488</v>
      </c>
      <c r="O2665" s="11" t="str">
        <f>HYPERLINK("https://pbs.twimg.com/profile_images/629967244714463232/XYtJtY9S_normal.png","View")</f>
        <v>View</v>
      </c>
      <c r="P2665" s="15"/>
    </row>
    <row r="2666">
      <c r="A2666" s="7">
        <v>42426.29445601851</v>
      </c>
      <c r="B2666" s="8" t="str">
        <f>HYPERLINK("https://twitter.com/kdnuggets","@kdnuggets")</f>
        <v>@kdnuggets</v>
      </c>
      <c r="C2666" s="10" t="s">
        <v>5489</v>
      </c>
      <c r="D2666" s="10" t="s">
        <v>5490</v>
      </c>
      <c r="E2666" s="11" t="str">
        <f>HYPERLINK("https://twitter.com/kdnuggets/status/703234066888396801","703234066888396801")</f>
        <v>703234066888396801</v>
      </c>
      <c r="F2666" s="12" t="s">
        <v>659</v>
      </c>
      <c r="G2666" s="13">
        <v>51403.0</v>
      </c>
      <c r="H2666" s="13">
        <v>404.0</v>
      </c>
      <c r="I2666" s="13">
        <v>12.0</v>
      </c>
      <c r="J2666" s="13">
        <v>10.0</v>
      </c>
      <c r="K2666" s="12" t="s">
        <v>21</v>
      </c>
      <c r="L2666" s="7">
        <v>39849.40099537037</v>
      </c>
      <c r="M2666" s="14" t="s">
        <v>5491</v>
      </c>
      <c r="N2666" s="14" t="s">
        <v>5492</v>
      </c>
      <c r="O2666" s="11" t="str">
        <f>HYPERLINK("https://pbs.twimg.com/profile_images/1174228552/gpsc2_normal.jpg","View")</f>
        <v>View</v>
      </c>
      <c r="P2666" s="15"/>
    </row>
    <row r="2667">
      <c r="A2667" s="7">
        <v>42426.294953703706</v>
      </c>
      <c r="B2667" s="8" t="str">
        <f>HYPERLINK("https://twitter.com/dutchlight360","@dutchlight360")</f>
        <v>@dutchlight360</v>
      </c>
      <c r="C2667" s="10" t="s">
        <v>5493</v>
      </c>
      <c r="D2667" s="10" t="s">
        <v>5494</v>
      </c>
      <c r="E2667" s="11" t="str">
        <f>HYPERLINK("https://twitter.com/dutchlight360/status/703234245406363649","703234245406363649")</f>
        <v>703234245406363649</v>
      </c>
      <c r="F2667" s="12" t="s">
        <v>38</v>
      </c>
      <c r="G2667" s="13">
        <v>919.0</v>
      </c>
      <c r="H2667" s="13">
        <v>376.0</v>
      </c>
      <c r="I2667" s="13">
        <v>9.0</v>
      </c>
      <c r="J2667" s="13">
        <v>0.0</v>
      </c>
      <c r="K2667" s="12" t="s">
        <v>21</v>
      </c>
      <c r="L2667" s="7">
        <v>40578.56229166667</v>
      </c>
      <c r="M2667" s="14" t="s">
        <v>5495</v>
      </c>
      <c r="N2667" s="14" t="s">
        <v>5496</v>
      </c>
      <c r="O2667" s="11" t="str">
        <f>HYPERLINK("https://pbs.twimg.com/profile_images/509352548549935105/vUQcEAtE_normal.jpeg","View")</f>
        <v>View</v>
      </c>
      <c r="P2667" s="15"/>
    </row>
    <row r="2668">
      <c r="A2668" s="7">
        <v>42426.295127314814</v>
      </c>
      <c r="B2668" s="8" t="str">
        <f>HYPERLINK("https://twitter.com/ignorantcowboy","@ignorantcowboy")</f>
        <v>@ignorantcowboy</v>
      </c>
      <c r="C2668" s="10" t="s">
        <v>5497</v>
      </c>
      <c r="D2668" s="10" t="s">
        <v>5494</v>
      </c>
      <c r="E2668" s="11" t="str">
        <f>HYPERLINK("https://twitter.com/ignorantcowboy/status/703234309256306688","703234309256306688")</f>
        <v>703234309256306688</v>
      </c>
      <c r="F2668" s="12" t="s">
        <v>20</v>
      </c>
      <c r="G2668" s="13">
        <v>536.0</v>
      </c>
      <c r="H2668" s="13">
        <v>473.0</v>
      </c>
      <c r="I2668" s="13">
        <v>9.0</v>
      </c>
      <c r="J2668" s="13">
        <v>0.0</v>
      </c>
      <c r="K2668" s="12" t="s">
        <v>21</v>
      </c>
      <c r="L2668" s="7">
        <v>40576.087743055556</v>
      </c>
      <c r="M2668" s="14" t="s">
        <v>5498</v>
      </c>
      <c r="N2668" s="14" t="s">
        <v>5499</v>
      </c>
      <c r="O2668" s="11" t="str">
        <f>HYPERLINK("https://pbs.twimg.com/profile_images/670196169369395200/BD7Xttld_normal.jpg","View")</f>
        <v>View</v>
      </c>
      <c r="P2668" s="15"/>
    </row>
    <row r="2669">
      <c r="A2669" s="7">
        <v>42426.295219907406</v>
      </c>
      <c r="B2669" s="8" t="str">
        <f>HYPERLINK("https://twitter.com/MikeHerman","@MikeHerman")</f>
        <v>@MikeHerman</v>
      </c>
      <c r="C2669" s="10" t="s">
        <v>1323</v>
      </c>
      <c r="D2669" s="10" t="s">
        <v>4211</v>
      </c>
      <c r="E2669" s="11" t="str">
        <f>HYPERLINK("https://twitter.com/MikeHerman/status/703234343150325761","703234343150325761")</f>
        <v>703234343150325761</v>
      </c>
      <c r="F2669" s="12" t="s">
        <v>20</v>
      </c>
      <c r="G2669" s="13">
        <v>600.0</v>
      </c>
      <c r="H2669" s="13">
        <v>46.0</v>
      </c>
      <c r="I2669" s="13">
        <v>55.0</v>
      </c>
      <c r="J2669" s="13">
        <v>0.0</v>
      </c>
      <c r="K2669" s="12" t="s">
        <v>21</v>
      </c>
      <c r="L2669" s="7">
        <v>40955.65877314815</v>
      </c>
      <c r="M2669" s="14" t="s">
        <v>1325</v>
      </c>
      <c r="N2669" s="14" t="s">
        <v>1326</v>
      </c>
      <c r="O2669" s="11" t="str">
        <f>HYPERLINK("https://pbs.twimg.com/profile_images/1956395739/56358390A_normal.jpg","View")</f>
        <v>View</v>
      </c>
      <c r="P2669" s="15"/>
    </row>
    <row r="2670">
      <c r="A2670" s="7">
        <v>42426.29583333334</v>
      </c>
      <c r="B2670" s="8" t="str">
        <f>HYPERLINK("https://twitter.com/cool_python","@cool_python")</f>
        <v>@cool_python</v>
      </c>
      <c r="C2670" s="10" t="s">
        <v>249</v>
      </c>
      <c r="D2670" s="10" t="s">
        <v>5500</v>
      </c>
      <c r="E2670" s="11" t="str">
        <f>HYPERLINK("https://twitter.com/cool_python/status/703234566824271873","703234566824271873")</f>
        <v>703234566824271873</v>
      </c>
      <c r="F2670" s="12" t="s">
        <v>251</v>
      </c>
      <c r="G2670" s="13">
        <v>235.0</v>
      </c>
      <c r="H2670" s="13">
        <v>91.0</v>
      </c>
      <c r="I2670" s="13">
        <v>3.0</v>
      </c>
      <c r="J2670" s="13">
        <v>0.0</v>
      </c>
      <c r="K2670" s="12" t="s">
        <v>21</v>
      </c>
      <c r="L2670" s="7">
        <v>42064.325</v>
      </c>
      <c r="M2670" s="14" t="s">
        <v>252</v>
      </c>
      <c r="N2670" s="14" t="s">
        <v>253</v>
      </c>
      <c r="O2670" s="11" t="str">
        <f>HYPERLINK("https://pbs.twimg.com/profile_images/572091631055028224/Pkx__FSB_normal.png","View")</f>
        <v>View</v>
      </c>
      <c r="P2670" s="15"/>
    </row>
    <row r="2671">
      <c r="A2671" s="7">
        <v>42426.29626157407</v>
      </c>
      <c r="B2671" s="8" t="str">
        <f>HYPERLINK("https://twitter.com/mbodock","@mbodock")</f>
        <v>@mbodock</v>
      </c>
      <c r="C2671" s="10" t="s">
        <v>5501</v>
      </c>
      <c r="D2671" s="10" t="s">
        <v>5502</v>
      </c>
      <c r="E2671" s="11" t="str">
        <f>HYPERLINK("https://twitter.com/mbodock/status/703234720302305280","703234720302305280")</f>
        <v>703234720302305280</v>
      </c>
      <c r="F2671" s="12" t="s">
        <v>5503</v>
      </c>
      <c r="G2671" s="13">
        <v>268.0</v>
      </c>
      <c r="H2671" s="13">
        <v>111.0</v>
      </c>
      <c r="I2671" s="13">
        <v>0.0</v>
      </c>
      <c r="J2671" s="13">
        <v>0.0</v>
      </c>
      <c r="K2671" s="12" t="s">
        <v>21</v>
      </c>
      <c r="L2671" s="7">
        <v>39966.756377314814</v>
      </c>
      <c r="M2671" s="14" t="s">
        <v>5504</v>
      </c>
      <c r="N2671" s="14" t="s">
        <v>5505</v>
      </c>
      <c r="O2671" s="11" t="str">
        <f>HYPERLINK("https://pbs.twimg.com/profile_images/1664565925/owl_coff_normal.jpg","View")</f>
        <v>View</v>
      </c>
      <c r="P2671" s="15"/>
    </row>
    <row r="2672">
      <c r="A2672" s="7">
        <v>42426.29690972222</v>
      </c>
      <c r="B2672" s="8" t="str">
        <f>HYPERLINK("https://twitter.com/SciencePablo","@SciencePablo")</f>
        <v>@SciencePablo</v>
      </c>
      <c r="C2672" s="10" t="s">
        <v>5506</v>
      </c>
      <c r="D2672" s="10" t="s">
        <v>3686</v>
      </c>
      <c r="E2672" s="11" t="str">
        <f>HYPERLINK("https://twitter.com/SciencePablo/status/703234955028119552","703234955028119552")</f>
        <v>703234955028119552</v>
      </c>
      <c r="F2672" s="12" t="s">
        <v>152</v>
      </c>
      <c r="G2672" s="13">
        <v>96.0</v>
      </c>
      <c r="H2672" s="13">
        <v>142.0</v>
      </c>
      <c r="I2672" s="13">
        <v>19.0</v>
      </c>
      <c r="J2672" s="13">
        <v>0.0</v>
      </c>
      <c r="K2672" s="12" t="s">
        <v>21</v>
      </c>
      <c r="L2672" s="7">
        <v>42408.983506944445</v>
      </c>
      <c r="M2672" s="14" t="s">
        <v>5507</v>
      </c>
      <c r="N2672" s="14" t="s">
        <v>5508</v>
      </c>
      <c r="O2672" s="11" t="str">
        <f>HYPERLINK("https://pbs.twimg.com/profile_images/696961350447296512/HBs6zY5V_normal.jpg","View")</f>
        <v>View</v>
      </c>
      <c r="P2672" s="15"/>
    </row>
    <row r="2673">
      <c r="A2673" s="7">
        <v>42426.297071759254</v>
      </c>
      <c r="B2673" s="8" t="str">
        <f>HYPERLINK("https://twitter.com/BrownJosephW","@BrownJosephW")</f>
        <v>@BrownJosephW</v>
      </c>
      <c r="C2673" s="10" t="s">
        <v>5509</v>
      </c>
      <c r="D2673" s="10" t="s">
        <v>5494</v>
      </c>
      <c r="E2673" s="11" t="str">
        <f>HYPERLINK("https://twitter.com/BrownJosephW/status/703235012695556096","703235012695556096")</f>
        <v>703235012695556096</v>
      </c>
      <c r="F2673" s="12" t="s">
        <v>98</v>
      </c>
      <c r="G2673" s="13">
        <v>736.0</v>
      </c>
      <c r="H2673" s="13">
        <v>340.0</v>
      </c>
      <c r="I2673" s="13">
        <v>9.0</v>
      </c>
      <c r="J2673" s="13">
        <v>0.0</v>
      </c>
      <c r="K2673" s="12" t="s">
        <v>21</v>
      </c>
      <c r="L2673" s="7">
        <v>40146.48645833333</v>
      </c>
      <c r="M2673" s="14" t="s">
        <v>5510</v>
      </c>
      <c r="N2673" s="14" t="s">
        <v>5511</v>
      </c>
      <c r="O2673" s="11" t="str">
        <f>HYPERLINK("https://pbs.twimg.com/profile_images/1387650844/beard1_normal.jpg","View")</f>
        <v>View</v>
      </c>
      <c r="P2673" s="15"/>
    </row>
    <row r="2674">
      <c r="A2674" s="7">
        <v>42426.29859953704</v>
      </c>
      <c r="B2674" s="8" t="str">
        <f>HYPERLINK("https://twitter.com/MikeHerman","@MikeHerman")</f>
        <v>@MikeHerman</v>
      </c>
      <c r="C2674" s="10" t="s">
        <v>1323</v>
      </c>
      <c r="D2674" s="10" t="s">
        <v>4499</v>
      </c>
      <c r="E2674" s="11" t="str">
        <f>HYPERLINK("https://twitter.com/MikeHerman/status/703235569455747072","703235569455747072")</f>
        <v>703235569455747072</v>
      </c>
      <c r="F2674" s="12" t="s">
        <v>20</v>
      </c>
      <c r="G2674" s="13">
        <v>600.0</v>
      </c>
      <c r="H2674" s="13">
        <v>46.0</v>
      </c>
      <c r="I2674" s="13">
        <v>4.0</v>
      </c>
      <c r="J2674" s="13">
        <v>0.0</v>
      </c>
      <c r="K2674" s="12" t="s">
        <v>21</v>
      </c>
      <c r="L2674" s="7">
        <v>40955.65877314815</v>
      </c>
      <c r="M2674" s="14" t="s">
        <v>1325</v>
      </c>
      <c r="N2674" s="14" t="s">
        <v>1326</v>
      </c>
      <c r="O2674" s="11" t="str">
        <f>HYPERLINK("https://pbs.twimg.com/profile_images/1956395739/56358390A_normal.jpg","View")</f>
        <v>View</v>
      </c>
      <c r="P2674" s="15"/>
    </row>
    <row r="2675">
      <c r="A2675" s="7">
        <v>42426.29864583333</v>
      </c>
      <c r="B2675" s="8" t="str">
        <f>HYPERLINK("https://twitter.com/weberc2","@weberc2")</f>
        <v>@weberc2</v>
      </c>
      <c r="C2675" s="10" t="s">
        <v>5512</v>
      </c>
      <c r="D2675" s="10" t="s">
        <v>5513</v>
      </c>
      <c r="E2675" s="11" t="str">
        <f>HYPERLINK("https://twitter.com/weberc2/status/703235584878206978","703235584878206978")</f>
        <v>703235584878206978</v>
      </c>
      <c r="F2675" s="12" t="s">
        <v>20</v>
      </c>
      <c r="G2675" s="13">
        <v>133.0</v>
      </c>
      <c r="H2675" s="13">
        <v>218.0</v>
      </c>
      <c r="I2675" s="13">
        <v>0.0</v>
      </c>
      <c r="J2675" s="13">
        <v>0.0</v>
      </c>
      <c r="K2675" s="12" t="s">
        <v>21</v>
      </c>
      <c r="L2675" s="7">
        <v>39909.62349537037</v>
      </c>
      <c r="M2675" s="14" t="s">
        <v>5514</v>
      </c>
      <c r="N2675" s="14" t="s">
        <v>5515</v>
      </c>
      <c r="O2675" s="11" t="str">
        <f>HYPERLINK("https://pbs.twimg.com/profile_images/1922469282/20120215-17.resized.resized_normal.jpg","View")</f>
        <v>View</v>
      </c>
      <c r="P2675" s="15"/>
    </row>
    <row r="2676">
      <c r="A2676" s="7">
        <v>42426.29886574074</v>
      </c>
      <c r="B2676" s="8" t="str">
        <f>HYPERLINK("https://twitter.com/py3k","@py3k")</f>
        <v>@py3k</v>
      </c>
      <c r="C2676" s="10" t="s">
        <v>297</v>
      </c>
      <c r="D2676" s="10" t="s">
        <v>5516</v>
      </c>
      <c r="E2676" s="11" t="str">
        <f>HYPERLINK("https://twitter.com/py3k/status/703235666176565249","703235666176565249")</f>
        <v>703235666176565249</v>
      </c>
      <c r="F2676" s="12" t="s">
        <v>299</v>
      </c>
      <c r="G2676" s="13">
        <v>1623.0</v>
      </c>
      <c r="H2676" s="13">
        <v>676.0</v>
      </c>
      <c r="I2676" s="13">
        <v>1.0</v>
      </c>
      <c r="J2676" s="13">
        <v>1.0</v>
      </c>
      <c r="K2676" s="12" t="s">
        <v>21</v>
      </c>
      <c r="L2676" s="7">
        <v>41096.62268518518</v>
      </c>
      <c r="M2676" s="16"/>
      <c r="N2676" s="14" t="s">
        <v>300</v>
      </c>
      <c r="O2676" s="11" t="str">
        <f>HYPERLINK("https://pbs.twimg.com/profile_images/2474433856/p075cerxh0arpea6ceip_normal.png","View")</f>
        <v>View</v>
      </c>
      <c r="P2676" s="15"/>
    </row>
    <row r="2677">
      <c r="A2677" s="7">
        <v>42426.29917824074</v>
      </c>
      <c r="B2677" s="8" t="str">
        <f>HYPERLINK("https://twitter.com/renato_umeton","@renato_umeton")</f>
        <v>@renato_umeton</v>
      </c>
      <c r="C2677" s="10" t="s">
        <v>1659</v>
      </c>
      <c r="D2677" s="10" t="s">
        <v>5517</v>
      </c>
      <c r="E2677" s="11" t="str">
        <f>HYPERLINK("https://twitter.com/renato_umeton/status/703235777715703808","703235777715703808")</f>
        <v>703235777715703808</v>
      </c>
      <c r="F2677" s="12" t="s">
        <v>38</v>
      </c>
      <c r="G2677" s="13">
        <v>70.0</v>
      </c>
      <c r="H2677" s="13">
        <v>79.0</v>
      </c>
      <c r="I2677" s="13">
        <v>12.0</v>
      </c>
      <c r="J2677" s="13">
        <v>0.0</v>
      </c>
      <c r="K2677" s="12" t="s">
        <v>21</v>
      </c>
      <c r="L2677" s="7">
        <v>39918.052083333336</v>
      </c>
      <c r="M2677" s="14" t="s">
        <v>1660</v>
      </c>
      <c r="N2677" s="14" t="s">
        <v>1661</v>
      </c>
      <c r="O2677" s="11" t="str">
        <f>HYPERLINK("https://pbs.twimg.com/profile_images/701553083537604608/nr8b38eG_normal.jpg","View")</f>
        <v>View</v>
      </c>
      <c r="P2677" s="15"/>
    </row>
    <row r="2678">
      <c r="A2678" s="7">
        <v>42426.299212962964</v>
      </c>
      <c r="B2678" s="8" t="str">
        <f>HYPERLINK("https://twitter.com/ContinuumIO","@ContinuumIO")</f>
        <v>@ContinuumIO</v>
      </c>
      <c r="C2678" s="10" t="s">
        <v>2020</v>
      </c>
      <c r="D2678" s="10" t="s">
        <v>3699</v>
      </c>
      <c r="E2678" s="11" t="str">
        <f>HYPERLINK("https://twitter.com/ContinuumIO/status/703235789652492288","703235789652492288")</f>
        <v>703235789652492288</v>
      </c>
      <c r="F2678" s="12" t="s">
        <v>20</v>
      </c>
      <c r="G2678" s="13">
        <v>9548.0</v>
      </c>
      <c r="H2678" s="13">
        <v>1427.0</v>
      </c>
      <c r="I2678" s="13">
        <v>30.0</v>
      </c>
      <c r="J2678" s="13">
        <v>0.0</v>
      </c>
      <c r="K2678" s="12" t="s">
        <v>21</v>
      </c>
      <c r="L2678" s="7">
        <v>40841.34633101852</v>
      </c>
      <c r="M2678" s="14" t="s">
        <v>2022</v>
      </c>
      <c r="N2678" s="14" t="s">
        <v>2023</v>
      </c>
      <c r="O2678" s="11" t="str">
        <f>HYPERLINK("https://pbs.twimg.com/profile_images/624030560457850880/17LrFnZt_normal.png","View")</f>
        <v>View</v>
      </c>
      <c r="P2678" s="15"/>
    </row>
    <row r="2679">
      <c r="A2679" s="7">
        <v>42426.29946759259</v>
      </c>
      <c r="B2679" s="8" t="str">
        <f>HYPERLINK("https://twitter.com/NishitP0101","@NishitP0101")</f>
        <v>@NishitP0101</v>
      </c>
      <c r="C2679" s="10" t="s">
        <v>5518</v>
      </c>
      <c r="D2679" s="10" t="s">
        <v>5517</v>
      </c>
      <c r="E2679" s="11" t="str">
        <f>HYPERLINK("https://twitter.com/NishitP0101/status/703235883915411457","703235883915411457")</f>
        <v>703235883915411457</v>
      </c>
      <c r="F2679" s="12" t="s">
        <v>52</v>
      </c>
      <c r="G2679" s="13">
        <v>125.0</v>
      </c>
      <c r="H2679" s="13">
        <v>490.0</v>
      </c>
      <c r="I2679" s="13">
        <v>12.0</v>
      </c>
      <c r="J2679" s="13">
        <v>0.0</v>
      </c>
      <c r="K2679" s="12" t="s">
        <v>21</v>
      </c>
      <c r="L2679" s="7">
        <v>41850.303240740745</v>
      </c>
      <c r="M2679" s="14" t="s">
        <v>5519</v>
      </c>
      <c r="N2679" s="14" t="s">
        <v>5520</v>
      </c>
      <c r="O2679" s="11" t="str">
        <f>HYPERLINK("https://pbs.twimg.com/profile_images/696529947435921409/ARjylYdm_normal.jpg","View")</f>
        <v>View</v>
      </c>
      <c r="P2679" s="15"/>
    </row>
    <row r="2680">
      <c r="A2680" s="7">
        <v>42426.299687499995</v>
      </c>
      <c r="B2680" s="8" t="str">
        <f>HYPERLINK("https://twitter.com/bonitamh1","@bonitamh1")</f>
        <v>@bonitamh1</v>
      </c>
      <c r="C2680" s="10" t="s">
        <v>5521</v>
      </c>
      <c r="D2680" s="10" t="s">
        <v>5494</v>
      </c>
      <c r="E2680" s="11" t="str">
        <f>HYPERLINK("https://twitter.com/bonitamh1/status/703235962214748160","703235962214748160")</f>
        <v>703235962214748160</v>
      </c>
      <c r="F2680" s="12" t="s">
        <v>20</v>
      </c>
      <c r="G2680" s="13">
        <v>136.0</v>
      </c>
      <c r="H2680" s="13">
        <v>468.0</v>
      </c>
      <c r="I2680" s="13">
        <v>9.0</v>
      </c>
      <c r="J2680" s="13">
        <v>0.0</v>
      </c>
      <c r="K2680" s="12" t="s">
        <v>21</v>
      </c>
      <c r="L2680" s="7">
        <v>42069.420694444445</v>
      </c>
      <c r="M2680" s="16"/>
      <c r="N2680" s="16"/>
      <c r="O2680" s="11" t="str">
        <f>HYPERLINK("https://abs.twimg.com/sticky/default_profile_images/default_profile_2_normal.png","View")</f>
        <v>View</v>
      </c>
      <c r="P2680" s="15"/>
    </row>
    <row r="2681">
      <c r="A2681" s="7">
        <v>42426.300254629634</v>
      </c>
      <c r="B2681" s="8" t="str">
        <f>HYPERLINK("https://twitter.com/DataToValue","@DataToValue")</f>
        <v>@DataToValue</v>
      </c>
      <c r="C2681" s="10" t="s">
        <v>5522</v>
      </c>
      <c r="D2681" s="10" t="s">
        <v>5517</v>
      </c>
      <c r="E2681" s="11" t="str">
        <f>HYPERLINK("https://twitter.com/DataToValue/status/703236166527688704","703236166527688704")</f>
        <v>703236166527688704</v>
      </c>
      <c r="F2681" s="12" t="s">
        <v>38</v>
      </c>
      <c r="G2681" s="13">
        <v>439.0</v>
      </c>
      <c r="H2681" s="13">
        <v>364.0</v>
      </c>
      <c r="I2681" s="13">
        <v>12.0</v>
      </c>
      <c r="J2681" s="13">
        <v>0.0</v>
      </c>
      <c r="K2681" s="12" t="s">
        <v>21</v>
      </c>
      <c r="L2681" s="7">
        <v>41388.221979166665</v>
      </c>
      <c r="M2681" s="14" t="s">
        <v>1093</v>
      </c>
      <c r="N2681" s="14" t="s">
        <v>5523</v>
      </c>
      <c r="O2681" s="11" t="str">
        <f>HYPERLINK("https://pbs.twimg.com/profile_images/562555701734547456/mIBOZbQA_normal.jpeg","View")</f>
        <v>View</v>
      </c>
      <c r="P2681" s="15"/>
    </row>
    <row r="2682">
      <c r="A2682" s="7">
        <v>42426.30048611111</v>
      </c>
      <c r="B2682" s="8" t="str">
        <f>HYPERLINK("https://twitter.com/programmingncr","@programmingncr")</f>
        <v>@programmingncr</v>
      </c>
      <c r="C2682" s="10" t="s">
        <v>262</v>
      </c>
      <c r="D2682" s="10" t="s">
        <v>5524</v>
      </c>
      <c r="E2682" s="11" t="str">
        <f>HYPERLINK("https://twitter.com/programmingncr/status/703236251089027079","703236251089027079")</f>
        <v>703236251089027079</v>
      </c>
      <c r="F2682" s="12" t="s">
        <v>103</v>
      </c>
      <c r="G2682" s="13">
        <v>328.0</v>
      </c>
      <c r="H2682" s="13">
        <v>99.0</v>
      </c>
      <c r="I2682" s="13">
        <v>0.0</v>
      </c>
      <c r="J2682" s="13">
        <v>0.0</v>
      </c>
      <c r="K2682" s="12" t="s">
        <v>21</v>
      </c>
      <c r="L2682" s="7">
        <v>42220.86634259259</v>
      </c>
      <c r="M2682" s="14" t="s">
        <v>264</v>
      </c>
      <c r="N2682" s="14" t="s">
        <v>265</v>
      </c>
      <c r="O2682" s="11" t="str">
        <f>HYPERLINK("https://pbs.twimg.com/profile_images/662602436222193664/qKuvsfnG_normal.jpg","View")</f>
        <v>View</v>
      </c>
      <c r="P2682" s="15"/>
    </row>
    <row r="2683">
      <c r="A2683" s="7">
        <v>42426.30056712963</v>
      </c>
      <c r="B2683" s="8" t="str">
        <f>HYPERLINK("https://twitter.com/PythonDaily","@PythonDaily")</f>
        <v>@PythonDaily</v>
      </c>
      <c r="C2683" s="10" t="s">
        <v>521</v>
      </c>
      <c r="D2683" s="10" t="s">
        <v>5525</v>
      </c>
      <c r="E2683" s="11" t="str">
        <f>HYPERLINK("https://twitter.com/PythonDaily/status/703236281216561152","703236281216561152")</f>
        <v>703236281216561152</v>
      </c>
      <c r="F2683" s="12" t="s">
        <v>521</v>
      </c>
      <c r="G2683" s="13">
        <v>3329.0</v>
      </c>
      <c r="H2683" s="13">
        <v>57.0</v>
      </c>
      <c r="I2683" s="13">
        <v>0.0</v>
      </c>
      <c r="J2683" s="13">
        <v>0.0</v>
      </c>
      <c r="K2683" s="12" t="s">
        <v>21</v>
      </c>
      <c r="L2683" s="7">
        <v>41447.56123842593</v>
      </c>
      <c r="M2683" s="16"/>
      <c r="N2683" s="14" t="s">
        <v>523</v>
      </c>
      <c r="O2683" s="11" t="str">
        <f>HYPERLINK("https://pbs.twimg.com/profile_images/378800000030851202/b6bb871a13825bae9004a9aab3a1d726_normal.jpeg","View")</f>
        <v>View</v>
      </c>
      <c r="P2683" s="15"/>
    </row>
    <row r="2684">
      <c r="A2684" s="7">
        <v>42426.300578703704</v>
      </c>
      <c r="B2684" s="8" t="str">
        <f>HYPERLINK("https://twitter.com/kenwilliams9000","@kenwilliams9000")</f>
        <v>@kenwilliams9000</v>
      </c>
      <c r="C2684" s="10" t="s">
        <v>5526</v>
      </c>
      <c r="D2684" s="10" t="s">
        <v>5527</v>
      </c>
      <c r="E2684" s="11" t="str">
        <f>HYPERLINK("https://twitter.com/kenwilliams9000/status/703236283661991938","703236283661991938")</f>
        <v>703236283661991938</v>
      </c>
      <c r="F2684" s="12" t="s">
        <v>20</v>
      </c>
      <c r="G2684" s="13">
        <v>362.0</v>
      </c>
      <c r="H2684" s="13">
        <v>356.0</v>
      </c>
      <c r="I2684" s="13">
        <v>1.0</v>
      </c>
      <c r="J2684" s="13">
        <v>0.0</v>
      </c>
      <c r="K2684" s="12" t="s">
        <v>21</v>
      </c>
      <c r="L2684" s="7">
        <v>42132.13450231482</v>
      </c>
      <c r="M2684" s="14" t="s">
        <v>2034</v>
      </c>
      <c r="N2684" s="14" t="s">
        <v>5528</v>
      </c>
      <c r="O2684" s="11" t="str">
        <f>HYPERLINK("https://pbs.twimg.com/profile_images/596633642115399680/2C0N2yl1_normal.jpg","View")</f>
        <v>View</v>
      </c>
      <c r="P2684" s="15"/>
    </row>
    <row r="2685">
      <c r="A2685" s="7">
        <v>42426.30084490741</v>
      </c>
      <c r="B2685" s="8" t="str">
        <f>HYPERLINK("https://twitter.com/EPlassard","@EPlassard")</f>
        <v>@EPlassard</v>
      </c>
      <c r="C2685" s="10" t="s">
        <v>5529</v>
      </c>
      <c r="D2685" s="10" t="s">
        <v>5530</v>
      </c>
      <c r="E2685" s="11" t="str">
        <f>HYPERLINK("https://twitter.com/EPlassard/status/703236380147712000","703236380147712000")</f>
        <v>703236380147712000</v>
      </c>
      <c r="F2685" s="12" t="s">
        <v>52</v>
      </c>
      <c r="G2685" s="13">
        <v>75.0</v>
      </c>
      <c r="H2685" s="13">
        <v>94.0</v>
      </c>
      <c r="I2685" s="13">
        <v>1.0</v>
      </c>
      <c r="J2685" s="13">
        <v>0.0</v>
      </c>
      <c r="K2685" s="12" t="s">
        <v>21</v>
      </c>
      <c r="L2685" s="7">
        <v>42186.378645833334</v>
      </c>
      <c r="M2685" s="14" t="s">
        <v>5531</v>
      </c>
      <c r="N2685" s="14" t="s">
        <v>5532</v>
      </c>
      <c r="O2685" s="11" t="str">
        <f>HYPERLINK("https://pbs.twimg.com/profile_images/623489015342350336/SYqr6xXF_normal.jpg","View")</f>
        <v>View</v>
      </c>
      <c r="P2685" s="15"/>
    </row>
    <row r="2686">
      <c r="A2686" s="7">
        <v>42426.30179398148</v>
      </c>
      <c r="B2686" s="8" t="str">
        <f>HYPERLINK("https://twitter.com/MikeHerman","@MikeHerman")</f>
        <v>@MikeHerman</v>
      </c>
      <c r="C2686" s="10" t="s">
        <v>1323</v>
      </c>
      <c r="D2686" s="10" t="s">
        <v>3867</v>
      </c>
      <c r="E2686" s="11" t="str">
        <f>HYPERLINK("https://twitter.com/MikeHerman/status/703236724512587776","703236724512587776")</f>
        <v>703236724512587776</v>
      </c>
      <c r="F2686" s="12" t="s">
        <v>20</v>
      </c>
      <c r="G2686" s="13">
        <v>600.0</v>
      </c>
      <c r="H2686" s="13">
        <v>46.0</v>
      </c>
      <c r="I2686" s="13">
        <v>11.0</v>
      </c>
      <c r="J2686" s="13">
        <v>0.0</v>
      </c>
      <c r="K2686" s="12" t="s">
        <v>21</v>
      </c>
      <c r="L2686" s="7">
        <v>40955.65877314815</v>
      </c>
      <c r="M2686" s="14" t="s">
        <v>1325</v>
      </c>
      <c r="N2686" s="14" t="s">
        <v>1326</v>
      </c>
      <c r="O2686" s="11" t="str">
        <f>HYPERLINK("https://pbs.twimg.com/profile_images/1956395739/56358390A_normal.jpg","View")</f>
        <v>View</v>
      </c>
      <c r="P2686" s="15"/>
    </row>
    <row r="2687">
      <c r="A2687" s="7">
        <v>42426.302500000005</v>
      </c>
      <c r="B2687" s="8" t="str">
        <f>HYPERLINK("https://twitter.com/cool_python","@cool_python")</f>
        <v>@cool_python</v>
      </c>
      <c r="C2687" s="10" t="s">
        <v>249</v>
      </c>
      <c r="D2687" s="10" t="s">
        <v>5533</v>
      </c>
      <c r="E2687" s="11" t="str">
        <f>HYPERLINK("https://twitter.com/cool_python/status/703236980692361217","703236980692361217")</f>
        <v>703236980692361217</v>
      </c>
      <c r="F2687" s="12" t="s">
        <v>251</v>
      </c>
      <c r="G2687" s="13">
        <v>235.0</v>
      </c>
      <c r="H2687" s="13">
        <v>91.0</v>
      </c>
      <c r="I2687" s="13">
        <v>1.0</v>
      </c>
      <c r="J2687" s="13">
        <v>0.0</v>
      </c>
      <c r="K2687" s="12" t="s">
        <v>21</v>
      </c>
      <c r="L2687" s="7">
        <v>42064.325</v>
      </c>
      <c r="M2687" s="14" t="s">
        <v>252</v>
      </c>
      <c r="N2687" s="14" t="s">
        <v>253</v>
      </c>
      <c r="O2687" s="11" t="str">
        <f>HYPERLINK("https://pbs.twimg.com/profile_images/572091631055028224/Pkx__FSB_normal.png","View")</f>
        <v>View</v>
      </c>
      <c r="P2687" s="15"/>
    </row>
    <row r="2688">
      <c r="A2688" s="7">
        <v>42426.30259259259</v>
      </c>
      <c r="B2688" s="8" t="str">
        <f>HYPERLINK("https://twitter.com/Silverman1993","@Silverman1993")</f>
        <v>@Silverman1993</v>
      </c>
      <c r="C2688" s="10" t="s">
        <v>5534</v>
      </c>
      <c r="D2688" s="10" t="s">
        <v>5535</v>
      </c>
      <c r="E2688" s="11" t="str">
        <f>HYPERLINK("https://twitter.com/Silverman1993/status/703237013860966400","703237013860966400")</f>
        <v>703237013860966400</v>
      </c>
      <c r="F2688" s="12" t="s">
        <v>152</v>
      </c>
      <c r="G2688" s="13">
        <v>1140.0</v>
      </c>
      <c r="H2688" s="13">
        <v>1313.0</v>
      </c>
      <c r="I2688" s="13">
        <v>0.0</v>
      </c>
      <c r="J2688" s="13">
        <v>1.0</v>
      </c>
      <c r="K2688" s="12" t="s">
        <v>21</v>
      </c>
      <c r="L2688" s="7">
        <v>41247.46642361111</v>
      </c>
      <c r="M2688" s="14" t="s">
        <v>5536</v>
      </c>
      <c r="N2688" s="14" t="s">
        <v>5537</v>
      </c>
      <c r="O2688" s="11" t="str">
        <f>HYPERLINK("https://pbs.twimg.com/profile_images/702805357765206016/Czi8l5h3_normal.jpg","View")</f>
        <v>View</v>
      </c>
      <c r="P2688" s="15"/>
    </row>
    <row r="2689">
      <c r="A2689" s="7">
        <v>42426.302719907406</v>
      </c>
      <c r="B2689" s="8" t="str">
        <f>HYPERLINK("https://twitter.com/pr0gramming","@pr0gramming")</f>
        <v>@pr0gramming</v>
      </c>
      <c r="C2689" s="10" t="s">
        <v>5538</v>
      </c>
      <c r="D2689" s="10" t="s">
        <v>5539</v>
      </c>
      <c r="E2689" s="11" t="str">
        <f>HYPERLINK("https://twitter.com/pr0gramming/status/703237062221275137","703237062221275137")</f>
        <v>703237062221275137</v>
      </c>
      <c r="F2689" s="12" t="s">
        <v>659</v>
      </c>
      <c r="G2689" s="13">
        <v>3890.0</v>
      </c>
      <c r="H2689" s="13">
        <v>5000.0</v>
      </c>
      <c r="I2689" s="13">
        <v>0.0</v>
      </c>
      <c r="J2689" s="13">
        <v>1.0</v>
      </c>
      <c r="K2689" s="12" t="s">
        <v>21</v>
      </c>
      <c r="L2689" s="7">
        <v>42221.87216435185</v>
      </c>
      <c r="M2689" s="16"/>
      <c r="N2689" s="16"/>
      <c r="O2689" s="11" t="str">
        <f>HYPERLINK("https://pbs.twimg.com/profile_images/633975850325544960/jDvgnbeQ_normal.jpg","View")</f>
        <v>View</v>
      </c>
      <c r="P2689" s="15"/>
    </row>
    <row r="2690">
      <c r="A2690" s="7">
        <v>42426.303668981476</v>
      </c>
      <c r="B2690" s="8" t="str">
        <f>HYPERLINK("https://twitter.com/guidodeckstein","@guidodeckstein")</f>
        <v>@guidodeckstein</v>
      </c>
      <c r="C2690" s="10" t="s">
        <v>5540</v>
      </c>
      <c r="D2690" s="10" t="s">
        <v>5541</v>
      </c>
      <c r="E2690" s="11" t="str">
        <f>HYPERLINK("https://twitter.com/guidodeckstein/status/703237406108033025","703237406108033025")</f>
        <v>703237406108033025</v>
      </c>
      <c r="F2690" s="12" t="s">
        <v>659</v>
      </c>
      <c r="G2690" s="13">
        <v>4706.0</v>
      </c>
      <c r="H2690" s="13">
        <v>5036.0</v>
      </c>
      <c r="I2690" s="13">
        <v>1.0</v>
      </c>
      <c r="J2690" s="13">
        <v>2.0</v>
      </c>
      <c r="K2690" s="12" t="s">
        <v>21</v>
      </c>
      <c r="L2690" s="7">
        <v>41257.08122685185</v>
      </c>
      <c r="M2690" s="14" t="s">
        <v>5542</v>
      </c>
      <c r="N2690" s="14" t="s">
        <v>5543</v>
      </c>
      <c r="O2690" s="11" t="str">
        <f>HYPERLINK("https://pbs.twimg.com/profile_images/673873682167635968/8FdwYum0_normal.jpg","View")</f>
        <v>View</v>
      </c>
      <c r="P2690" s="15"/>
    </row>
    <row r="2691">
      <c r="A2691" s="7">
        <v>42426.304247685184</v>
      </c>
      <c r="B2691" s="8" t="str">
        <f>HYPERLINK("https://twitter.com/Gayathri_raj","@Gayathri_raj")</f>
        <v>@Gayathri_raj</v>
      </c>
      <c r="C2691" s="10" t="s">
        <v>5544</v>
      </c>
      <c r="D2691" s="10" t="s">
        <v>5517</v>
      </c>
      <c r="E2691" s="11" t="str">
        <f>HYPERLINK("https://twitter.com/Gayathri_raj/status/703237612702576640","703237612702576640")</f>
        <v>703237612702576640</v>
      </c>
      <c r="F2691" s="12" t="s">
        <v>52</v>
      </c>
      <c r="G2691" s="13">
        <v>63.0</v>
      </c>
      <c r="H2691" s="13">
        <v>343.0</v>
      </c>
      <c r="I2691" s="13">
        <v>12.0</v>
      </c>
      <c r="J2691" s="13">
        <v>0.0</v>
      </c>
      <c r="K2691" s="12" t="s">
        <v>21</v>
      </c>
      <c r="L2691" s="7">
        <v>40162.50679398148</v>
      </c>
      <c r="M2691" s="16"/>
      <c r="N2691" s="16"/>
      <c r="O2691" s="11" t="str">
        <f>HYPERLINK("https://pbs.twimg.com/profile_images/573703400522706945/iP-c63Fr_normal.jpeg","View")</f>
        <v>View</v>
      </c>
      <c r="P2691" s="15"/>
    </row>
    <row r="2692">
      <c r="A2692" s="7">
        <v>42426.304814814815</v>
      </c>
      <c r="B2692" s="8" t="str">
        <f>HYPERLINK("https://twitter.com/brantfaircloth","@brantfaircloth")</f>
        <v>@brantfaircloth</v>
      </c>
      <c r="C2692" s="10" t="s">
        <v>5545</v>
      </c>
      <c r="D2692" s="10" t="s">
        <v>5494</v>
      </c>
      <c r="E2692" s="11" t="str">
        <f>HYPERLINK("https://twitter.com/brantfaircloth/status/703237821398646784","703237821398646784")</f>
        <v>703237821398646784</v>
      </c>
      <c r="F2692" s="12" t="s">
        <v>240</v>
      </c>
      <c r="G2692" s="13">
        <v>505.0</v>
      </c>
      <c r="H2692" s="13">
        <v>169.0</v>
      </c>
      <c r="I2692" s="13">
        <v>9.0</v>
      </c>
      <c r="J2692" s="13">
        <v>0.0</v>
      </c>
      <c r="K2692" s="12" t="s">
        <v>21</v>
      </c>
      <c r="L2692" s="7">
        <v>40457.34296296296</v>
      </c>
      <c r="M2692" s="14" t="s">
        <v>5546</v>
      </c>
      <c r="N2692" s="14" t="s">
        <v>5547</v>
      </c>
      <c r="O2692" s="11" t="str">
        <f>HYPERLINK("https://pbs.twimg.com/profile_images/378800000851637724/f63e3df9e7e805435143a43ebcf94e56_normal.jpeg","View")</f>
        <v>View</v>
      </c>
      <c r="P2692" s="15"/>
    </row>
    <row r="2693">
      <c r="A2693" s="7">
        <v>42426.30482638889</v>
      </c>
      <c r="B2693" s="8" t="str">
        <f>HYPERLINK("https://twitter.com/NeuvooSeattle","@NeuvooSeattle")</f>
        <v>@NeuvooSeattle</v>
      </c>
      <c r="C2693" s="10" t="s">
        <v>5548</v>
      </c>
      <c r="D2693" s="10" t="s">
        <v>5549</v>
      </c>
      <c r="E2693" s="11" t="str">
        <f>HYPERLINK("https://twitter.com/NeuvooSeattle/status/703237823185461250","703237823185461250")</f>
        <v>703237823185461250</v>
      </c>
      <c r="F2693" s="12" t="s">
        <v>316</v>
      </c>
      <c r="G2693" s="13">
        <v>1482.0</v>
      </c>
      <c r="H2693" s="13">
        <v>1607.0</v>
      </c>
      <c r="I2693" s="13">
        <v>0.0</v>
      </c>
      <c r="J2693" s="13">
        <v>1.0</v>
      </c>
      <c r="K2693" s="12" t="s">
        <v>21</v>
      </c>
      <c r="L2693" s="7">
        <v>42044.5109375</v>
      </c>
      <c r="M2693" s="14" t="s">
        <v>5550</v>
      </c>
      <c r="N2693" s="14" t="s">
        <v>5551</v>
      </c>
      <c r="O2693" s="11" t="str">
        <f>HYPERLINK("https://pbs.twimg.com/profile_images/699346596568424448/xLnJn2nY_normal.png","View")</f>
        <v>View</v>
      </c>
      <c r="P2693" s="15"/>
    </row>
    <row r="2694">
      <c r="A2694" s="7">
        <v>42426.3050462963</v>
      </c>
      <c r="B2694" s="8" t="str">
        <f>HYPERLINK("https://twitter.com/randal_olson","@randal_olson")</f>
        <v>@randal_olson</v>
      </c>
      <c r="C2694" s="10" t="s">
        <v>1097</v>
      </c>
      <c r="D2694" s="10" t="s">
        <v>3699</v>
      </c>
      <c r="E2694" s="11" t="str">
        <f>HYPERLINK("https://twitter.com/randal_olson/status/703237904407998465","703237904407998465")</f>
        <v>703237904407998465</v>
      </c>
      <c r="F2694" s="12" t="s">
        <v>20</v>
      </c>
      <c r="G2694" s="13">
        <v>83114.0</v>
      </c>
      <c r="H2694" s="13">
        <v>91408.0</v>
      </c>
      <c r="I2694" s="13">
        <v>30.0</v>
      </c>
      <c r="J2694" s="13">
        <v>0.0</v>
      </c>
      <c r="K2694" s="12" t="s">
        <v>21</v>
      </c>
      <c r="L2694" s="7">
        <v>39985.55090277777</v>
      </c>
      <c r="M2694" s="14" t="s">
        <v>1099</v>
      </c>
      <c r="N2694" s="14" t="s">
        <v>1100</v>
      </c>
      <c r="O2694" s="11" t="str">
        <f>HYPERLINK("https://pbs.twimg.com/profile_images/618964235779862528/nLQhBWfq_normal.jpg","View")</f>
        <v>View</v>
      </c>
      <c r="P2694" s="15"/>
    </row>
    <row r="2695">
      <c r="A2695" s="7">
        <v>42426.30525462963</v>
      </c>
      <c r="B2695" s="8" t="str">
        <f>HYPERLINK("https://twitter.com/MikeHerman","@MikeHerman")</f>
        <v>@MikeHerman</v>
      </c>
      <c r="C2695" s="10" t="s">
        <v>1323</v>
      </c>
      <c r="D2695" s="10" t="s">
        <v>3604</v>
      </c>
      <c r="E2695" s="11" t="str">
        <f>HYPERLINK("https://twitter.com/MikeHerman/status/703237978059968512","703237978059968512")</f>
        <v>703237978059968512</v>
      </c>
      <c r="F2695" s="12" t="s">
        <v>20</v>
      </c>
      <c r="G2695" s="13">
        <v>600.0</v>
      </c>
      <c r="H2695" s="13">
        <v>46.0</v>
      </c>
      <c r="I2695" s="13">
        <v>3.0</v>
      </c>
      <c r="J2695" s="13">
        <v>0.0</v>
      </c>
      <c r="K2695" s="12" t="s">
        <v>21</v>
      </c>
      <c r="L2695" s="7">
        <v>40955.65877314815</v>
      </c>
      <c r="M2695" s="14" t="s">
        <v>1325</v>
      </c>
      <c r="N2695" s="14" t="s">
        <v>1326</v>
      </c>
      <c r="O2695" s="11" t="str">
        <f>HYPERLINK("https://pbs.twimg.com/profile_images/1956395739/56358390A_normal.jpg","View")</f>
        <v>View</v>
      </c>
      <c r="P2695" s="15"/>
    </row>
    <row r="2696">
      <c r="A2696" s="7">
        <v>42426.30537037037</v>
      </c>
      <c r="B2696" s="8" t="str">
        <f>HYPERLINK("https://twitter.com/LfrancoPC","@LfrancoPC")</f>
        <v>@LfrancoPC</v>
      </c>
      <c r="C2696" s="10" t="s">
        <v>5552</v>
      </c>
      <c r="D2696" s="10" t="s">
        <v>3699</v>
      </c>
      <c r="E2696" s="11" t="str">
        <f>HYPERLINK("https://twitter.com/LfrancoPC/status/703238023417372676","703238023417372676")</f>
        <v>703238023417372676</v>
      </c>
      <c r="F2696" s="12" t="s">
        <v>446</v>
      </c>
      <c r="G2696" s="13">
        <v>151.0</v>
      </c>
      <c r="H2696" s="13">
        <v>209.0</v>
      </c>
      <c r="I2696" s="13">
        <v>30.0</v>
      </c>
      <c r="J2696" s="13">
        <v>0.0</v>
      </c>
      <c r="K2696" s="12" t="s">
        <v>21</v>
      </c>
      <c r="L2696" s="7">
        <v>40562.32393518518</v>
      </c>
      <c r="M2696" s="16"/>
      <c r="N2696" s="14" t="s">
        <v>5553</v>
      </c>
      <c r="O2696" s="11" t="str">
        <f>HYPERLINK("https://pbs.twimg.com/profile_images/432969349163266048/IKJ7WuYR_normal.jpeg","View")</f>
        <v>View</v>
      </c>
      <c r="P2696" s="15"/>
    </row>
    <row r="2697">
      <c r="A2697" s="7">
        <v>42426.305555555555</v>
      </c>
      <c r="B2697" s="8" t="str">
        <f>HYPERLINK("https://twitter.com/creative_punch","@creative_punch")</f>
        <v>@creative_punch</v>
      </c>
      <c r="C2697" s="10" t="s">
        <v>1199</v>
      </c>
      <c r="D2697" s="10" t="s">
        <v>5554</v>
      </c>
      <c r="E2697" s="11" t="str">
        <f>HYPERLINK("https://twitter.com/creative_punch/status/703238089070747648","703238089070747648")</f>
        <v>703238089070747648</v>
      </c>
      <c r="F2697" s="12" t="s">
        <v>1199</v>
      </c>
      <c r="G2697" s="13">
        <v>1650.0</v>
      </c>
      <c r="H2697" s="13">
        <v>800.0</v>
      </c>
      <c r="I2697" s="13">
        <v>0.0</v>
      </c>
      <c r="J2697" s="13">
        <v>0.0</v>
      </c>
      <c r="K2697" s="12" t="s">
        <v>21</v>
      </c>
      <c r="L2697" s="7">
        <v>41618.38722222222</v>
      </c>
      <c r="M2697" s="16"/>
      <c r="N2697" s="14" t="s">
        <v>1201</v>
      </c>
      <c r="O2697" s="11" t="str">
        <f>HYPERLINK("https://pbs.twimg.com/profile_images/420579444982431745/j7uTAxtF_normal.png","View")</f>
        <v>View</v>
      </c>
      <c r="P2697" s="15"/>
    </row>
    <row r="2698">
      <c r="A2698" s="7">
        <v>42426.305601851855</v>
      </c>
      <c r="B2698" s="8" t="str">
        <f>HYPERLINK("https://twitter.com/colocarto","@colocarto")</f>
        <v>@colocarto</v>
      </c>
      <c r="C2698" s="10" t="s">
        <v>5555</v>
      </c>
      <c r="D2698" s="10" t="s">
        <v>5556</v>
      </c>
      <c r="E2698" s="11" t="str">
        <f>HYPERLINK("https://twitter.com/colocarto/status/703238104589561856","703238104589561856")</f>
        <v>703238104589561856</v>
      </c>
      <c r="F2698" s="12" t="s">
        <v>152</v>
      </c>
      <c r="G2698" s="13">
        <v>1094.0</v>
      </c>
      <c r="H2698" s="13">
        <v>165.0</v>
      </c>
      <c r="I2698" s="13">
        <v>0.0</v>
      </c>
      <c r="J2698" s="13">
        <v>0.0</v>
      </c>
      <c r="K2698" s="12" t="s">
        <v>21</v>
      </c>
      <c r="L2698" s="7">
        <v>40633.49078703704</v>
      </c>
      <c r="M2698" s="14" t="s">
        <v>3594</v>
      </c>
      <c r="N2698" s="14" t="s">
        <v>5557</v>
      </c>
      <c r="O2698" s="11" t="str">
        <f>HYPERLINK("https://pbs.twimg.com/profile_images/661966834518757376/ZpgI94Jf_normal.jpg","View")</f>
        <v>View</v>
      </c>
      <c r="P2698" s="15"/>
    </row>
    <row r="2699">
      <c r="A2699" s="7">
        <v>42426.30563657408</v>
      </c>
      <c r="B2699" s="8" t="str">
        <f>HYPERLINK("https://twitter.com/massy0510","@massy0510")</f>
        <v>@massy0510</v>
      </c>
      <c r="C2699" s="10" t="s">
        <v>5558</v>
      </c>
      <c r="D2699" s="10" t="s">
        <v>5269</v>
      </c>
      <c r="E2699" s="11" t="str">
        <f>HYPERLINK("https://twitter.com/massy0510/status/703238117201879040","703238117201879040")</f>
        <v>703238117201879040</v>
      </c>
      <c r="F2699" s="12" t="s">
        <v>52</v>
      </c>
      <c r="G2699" s="13">
        <v>358.0</v>
      </c>
      <c r="H2699" s="13">
        <v>231.0</v>
      </c>
      <c r="I2699" s="13">
        <v>2.0</v>
      </c>
      <c r="J2699" s="13">
        <v>0.0</v>
      </c>
      <c r="K2699" s="12" t="s">
        <v>21</v>
      </c>
      <c r="L2699" s="7">
        <v>40783.074016203704</v>
      </c>
      <c r="M2699" s="16"/>
      <c r="N2699" s="14" t="s">
        <v>5559</v>
      </c>
      <c r="O2699" s="11" t="str">
        <f>HYPERLINK("https://pbs.twimg.com/profile_images/475406503717769216/94TwYr8K_normal.jpeg","View")</f>
        <v>View</v>
      </c>
      <c r="P2699" s="15"/>
    </row>
    <row r="2700">
      <c r="A2700" s="7">
        <v>42426.30589120371</v>
      </c>
      <c r="B2700" s="8" t="str">
        <f>HYPERLINK("https://twitter.com/wx_chip","@wx_chip")</f>
        <v>@wx_chip</v>
      </c>
      <c r="C2700" s="10" t="s">
        <v>5560</v>
      </c>
      <c r="D2700" s="10" t="s">
        <v>5561</v>
      </c>
      <c r="E2700" s="11" t="str">
        <f>HYPERLINK("https://twitter.com/wx_chip/status/703238210390986752","703238210390986752")</f>
        <v>703238210390986752</v>
      </c>
      <c r="F2700" s="12" t="s">
        <v>152</v>
      </c>
      <c r="G2700" s="13">
        <v>1779.0</v>
      </c>
      <c r="H2700" s="13">
        <v>940.0</v>
      </c>
      <c r="I2700" s="13">
        <v>5.0</v>
      </c>
      <c r="J2700" s="13">
        <v>0.0</v>
      </c>
      <c r="K2700" s="12" t="s">
        <v>21</v>
      </c>
      <c r="L2700" s="7">
        <v>40921.397314814814</v>
      </c>
      <c r="M2700" s="14" t="s">
        <v>5562</v>
      </c>
      <c r="N2700" s="14" t="s">
        <v>5563</v>
      </c>
      <c r="O2700" s="11" t="str">
        <f>HYPERLINK("https://pbs.twimg.com/profile_images/583670666131443713/lAgZXpMb_normal.jpg","View")</f>
        <v>View</v>
      </c>
      <c r="P2700" s="15"/>
    </row>
    <row r="2701">
      <c r="A2701" s="7">
        <v>42426.30604166667</v>
      </c>
      <c r="B2701" s="8" t="str">
        <f>HYPERLINK("https://twitter.com/I_am_programer","@I_am_programer")</f>
        <v>@I_am_programer</v>
      </c>
      <c r="C2701" s="10" t="s">
        <v>5564</v>
      </c>
      <c r="D2701" s="10" t="s">
        <v>5565</v>
      </c>
      <c r="E2701" s="11" t="str">
        <f>HYPERLINK("https://twitter.com/I_am_programer/status/703238265554522112","703238265554522112")</f>
        <v>703238265554522112</v>
      </c>
      <c r="F2701" s="12" t="s">
        <v>659</v>
      </c>
      <c r="G2701" s="13">
        <v>2303.0</v>
      </c>
      <c r="H2701" s="13">
        <v>4999.0</v>
      </c>
      <c r="I2701" s="13">
        <v>1.0</v>
      </c>
      <c r="J2701" s="13">
        <v>0.0</v>
      </c>
      <c r="K2701" s="12" t="s">
        <v>21</v>
      </c>
      <c r="L2701" s="7">
        <v>42256.11818287037</v>
      </c>
      <c r="M2701" s="16"/>
      <c r="N2701" s="16"/>
      <c r="O2701" s="11" t="str">
        <f>HYPERLINK("https://pbs.twimg.com/profile_images/641549745039650816/L2NuMBtx_normal.jpg","View")</f>
        <v>View</v>
      </c>
      <c r="P2701" s="15"/>
    </row>
    <row r="2702">
      <c r="A2702" s="7">
        <v>42426.30604166667</v>
      </c>
      <c r="B2702" s="8" t="str">
        <f>HYPERLINK("https://twitter.com/im_a_developer","@im_a_developer")</f>
        <v>@im_a_developer</v>
      </c>
      <c r="C2702" s="10" t="s">
        <v>5566</v>
      </c>
      <c r="D2702" s="10" t="s">
        <v>5567</v>
      </c>
      <c r="E2702" s="11" t="str">
        <f>HYPERLINK("https://twitter.com/im_a_developer/status/703238265692889088","703238265692889088")</f>
        <v>703238265692889088</v>
      </c>
      <c r="F2702" s="12" t="s">
        <v>659</v>
      </c>
      <c r="G2702" s="13">
        <v>22404.0</v>
      </c>
      <c r="H2702" s="13">
        <v>24514.0</v>
      </c>
      <c r="I2702" s="13">
        <v>6.0</v>
      </c>
      <c r="J2702" s="13">
        <v>2.0</v>
      </c>
      <c r="K2702" s="12" t="s">
        <v>21</v>
      </c>
      <c r="L2702" s="7">
        <v>40899.370358796295</v>
      </c>
      <c r="M2702" s="16"/>
      <c r="N2702" s="14" t="s">
        <v>5568</v>
      </c>
      <c r="O2702" s="11" t="str">
        <f>HYPERLINK("https://pbs.twimg.com/profile_images/518809184800755714/nqzuGebB_normal.png","View")</f>
        <v>View</v>
      </c>
      <c r="P2702" s="15"/>
    </row>
    <row r="2703">
      <c r="A2703" s="7">
        <v>42426.30636574074</v>
      </c>
      <c r="B2703" s="8" t="str">
        <f>HYPERLINK("https://twitter.com/benjamingb","@benjamingb")</f>
        <v>@benjamingb</v>
      </c>
      <c r="C2703" s="10" t="s">
        <v>5569</v>
      </c>
      <c r="D2703" s="10" t="s">
        <v>5570</v>
      </c>
      <c r="E2703" s="11" t="str">
        <f>HYPERLINK("https://twitter.com/benjamingb/status/703238383380930560","703238383380930560")</f>
        <v>703238383380930560</v>
      </c>
      <c r="F2703" s="12" t="s">
        <v>20</v>
      </c>
      <c r="G2703" s="13">
        <v>182.0</v>
      </c>
      <c r="H2703" s="13">
        <v>204.0</v>
      </c>
      <c r="I2703" s="13">
        <v>0.0</v>
      </c>
      <c r="J2703" s="13">
        <v>1.0</v>
      </c>
      <c r="K2703" s="12" t="s">
        <v>21</v>
      </c>
      <c r="L2703" s="7">
        <v>39961.476064814815</v>
      </c>
      <c r="M2703" s="14" t="s">
        <v>5571</v>
      </c>
      <c r="N2703" s="14" t="s">
        <v>5572</v>
      </c>
      <c r="O2703" s="11" t="str">
        <f>HYPERLINK("https://pbs.twimg.com/profile_images/378800000034240502/6383850be6fbee3810a468ab71d95c44_normal.jpeg","View")</f>
        <v>View</v>
      </c>
      <c r="P2703" s="15"/>
    </row>
    <row r="2704">
      <c r="A2704" s="7">
        <v>42426.30637731482</v>
      </c>
      <c r="B2704" s="8" t="str">
        <f>HYPERLINK("https://twitter.com/arti_prem","@arti_prem")</f>
        <v>@arti_prem</v>
      </c>
      <c r="C2704" s="10" t="s">
        <v>5573</v>
      </c>
      <c r="D2704" s="10" t="s">
        <v>5574</v>
      </c>
      <c r="E2704" s="11" t="str">
        <f>HYPERLINK("https://twitter.com/arti_prem/status/703238384576241664","703238384576241664")</f>
        <v>703238384576241664</v>
      </c>
      <c r="F2704" s="12" t="s">
        <v>20</v>
      </c>
      <c r="G2704" s="13">
        <v>55.0</v>
      </c>
      <c r="H2704" s="13">
        <v>262.0</v>
      </c>
      <c r="I2704" s="13">
        <v>6.0</v>
      </c>
      <c r="J2704" s="13">
        <v>0.0</v>
      </c>
      <c r="K2704" s="12" t="s">
        <v>21</v>
      </c>
      <c r="L2704" s="7">
        <v>42275.011817129634</v>
      </c>
      <c r="M2704" s="14" t="s">
        <v>5575</v>
      </c>
      <c r="N2704" s="14" t="s">
        <v>5576</v>
      </c>
      <c r="O2704" s="11" t="str">
        <f>HYPERLINK("https://pbs.twimg.com/profile_images/703245011224272898/PkP6MMGh_normal.jpg","View")</f>
        <v>View</v>
      </c>
      <c r="P2704" s="15"/>
    </row>
    <row r="2705">
      <c r="A2705" s="7">
        <v>42426.30652777778</v>
      </c>
      <c r="B2705" s="8" t="str">
        <f>HYPERLINK("https://twitter.com/L3v3L","@L3v3L")</f>
        <v>@L3v3L</v>
      </c>
      <c r="C2705" s="10" t="s">
        <v>5577</v>
      </c>
      <c r="D2705" s="10" t="s">
        <v>5578</v>
      </c>
      <c r="E2705" s="11" t="str">
        <f>HYPERLINK("https://twitter.com/L3v3L/status/703238442864537600","703238442864537600")</f>
        <v>703238442864537600</v>
      </c>
      <c r="F2705" s="12" t="s">
        <v>20</v>
      </c>
      <c r="G2705" s="13">
        <v>59.0</v>
      </c>
      <c r="H2705" s="13">
        <v>54.0</v>
      </c>
      <c r="I2705" s="13">
        <v>0.0</v>
      </c>
      <c r="J2705" s="13">
        <v>0.0</v>
      </c>
      <c r="K2705" s="12" t="s">
        <v>21</v>
      </c>
      <c r="L2705" s="7">
        <v>39213.31172453704</v>
      </c>
      <c r="M2705" s="14" t="s">
        <v>5579</v>
      </c>
      <c r="N2705" s="16"/>
      <c r="O2705" s="11" t="str">
        <f>HYPERLINK("https://pbs.twimg.com/profile_images/662327963333955584/lIPiLqPo_normal.jpg","View")</f>
        <v>View</v>
      </c>
      <c r="P2705" s="15"/>
    </row>
    <row r="2706">
      <c r="A2706" s="7">
        <v>42426.30708333333</v>
      </c>
      <c r="B2706" s="8" t="str">
        <f>HYPERLINK("https://twitter.com/svenkreiss","@svenkreiss")</f>
        <v>@svenkreiss</v>
      </c>
      <c r="C2706" s="10" t="s">
        <v>5580</v>
      </c>
      <c r="D2706" s="10" t="s">
        <v>3699</v>
      </c>
      <c r="E2706" s="11" t="str">
        <f>HYPERLINK("https://twitter.com/svenkreiss/status/703238640470724608","703238640470724608")</f>
        <v>703238640470724608</v>
      </c>
      <c r="F2706" s="12" t="s">
        <v>52</v>
      </c>
      <c r="G2706" s="13">
        <v>670.0</v>
      </c>
      <c r="H2706" s="13">
        <v>1482.0</v>
      </c>
      <c r="I2706" s="13">
        <v>30.0</v>
      </c>
      <c r="J2706" s="13">
        <v>0.0</v>
      </c>
      <c r="K2706" s="12" t="s">
        <v>21</v>
      </c>
      <c r="L2706" s="7">
        <v>39592.39912037037</v>
      </c>
      <c r="M2706" s="14" t="s">
        <v>1693</v>
      </c>
      <c r="N2706" s="14" t="s">
        <v>5581</v>
      </c>
      <c r="O2706" s="11" t="str">
        <f>HYPERLINK("https://pbs.twimg.com/profile_images/446418425884061696/PQqLDH-Z_normal.jpeg","View")</f>
        <v>View</v>
      </c>
      <c r="P2706" s="15"/>
    </row>
    <row r="2707">
      <c r="A2707" s="7">
        <v>42426.3071875</v>
      </c>
      <c r="B2707" s="8" t="str">
        <f>HYPERLINK("https://twitter.com/ShirleyYYoung","@ShirleyYYoung")</f>
        <v>@ShirleyYYoung</v>
      </c>
      <c r="C2707" s="10" t="s">
        <v>5582</v>
      </c>
      <c r="D2707" s="10" t="s">
        <v>5574</v>
      </c>
      <c r="E2707" s="11" t="str">
        <f>HYPERLINK("https://twitter.com/ShirleyYYoung/status/703238680320860160","703238680320860160")</f>
        <v>703238680320860160</v>
      </c>
      <c r="F2707" s="12" t="s">
        <v>38</v>
      </c>
      <c r="G2707" s="13">
        <v>353.0</v>
      </c>
      <c r="H2707" s="13">
        <v>355.0</v>
      </c>
      <c r="I2707" s="13">
        <v>6.0</v>
      </c>
      <c r="J2707" s="13">
        <v>0.0</v>
      </c>
      <c r="K2707" s="12" t="s">
        <v>21</v>
      </c>
      <c r="L2707" s="7">
        <v>40363.1670949074</v>
      </c>
      <c r="M2707" s="14" t="s">
        <v>1365</v>
      </c>
      <c r="N2707" s="14" t="s">
        <v>5583</v>
      </c>
      <c r="O2707" s="11" t="str">
        <f>HYPERLINK("https://pbs.twimg.com/profile_images/615560727898648577/t94u5F5t_normal.jpg","View")</f>
        <v>View</v>
      </c>
      <c r="P2707" s="15"/>
    </row>
    <row r="2708">
      <c r="A2708" s="7">
        <v>42426.30753472222</v>
      </c>
      <c r="B2708" s="8" t="str">
        <f>HYPERLINK("https://twitter.com/WebScraperDB","@WebScraperDB")</f>
        <v>@WebScraperDB</v>
      </c>
      <c r="C2708" s="10" t="s">
        <v>2743</v>
      </c>
      <c r="D2708" s="10" t="s">
        <v>5584</v>
      </c>
      <c r="E2708" s="11" t="str">
        <f>HYPERLINK("https://twitter.com/WebScraperDB/status/703238805759905792","703238805759905792")</f>
        <v>703238805759905792</v>
      </c>
      <c r="F2708" s="12" t="s">
        <v>2743</v>
      </c>
      <c r="G2708" s="13">
        <v>298.0</v>
      </c>
      <c r="H2708" s="13">
        <v>927.0</v>
      </c>
      <c r="I2708" s="13">
        <v>0.0</v>
      </c>
      <c r="J2708" s="13">
        <v>1.0</v>
      </c>
      <c r="K2708" s="12" t="s">
        <v>21</v>
      </c>
      <c r="L2708" s="7">
        <v>42410.33493055556</v>
      </c>
      <c r="M2708" s="14" t="s">
        <v>2745</v>
      </c>
      <c r="N2708" s="14" t="s">
        <v>2746</v>
      </c>
      <c r="O2708" s="11" t="str">
        <f>HYPERLINK("https://pbs.twimg.com/profile_images/699545598450606080/s8CU8cVg_normal.png","View")</f>
        <v>View</v>
      </c>
      <c r="P2708" s="15"/>
    </row>
    <row r="2709">
      <c r="A2709" s="7">
        <v>42426.30774305556</v>
      </c>
      <c r="B2709" s="8" t="str">
        <f>HYPERLINK("https://twitter.com/n_vogel","@n_vogel")</f>
        <v>@n_vogel</v>
      </c>
      <c r="C2709" s="10" t="s">
        <v>4391</v>
      </c>
      <c r="D2709" s="10" t="s">
        <v>5585</v>
      </c>
      <c r="E2709" s="11" t="str">
        <f>HYPERLINK("https://twitter.com/n_vogel/status/703238880443498496","703238880443498496")</f>
        <v>703238880443498496</v>
      </c>
      <c r="F2709" s="12" t="s">
        <v>20</v>
      </c>
      <c r="G2709" s="13">
        <v>179.0</v>
      </c>
      <c r="H2709" s="13">
        <v>127.0</v>
      </c>
      <c r="I2709" s="13">
        <v>0.0</v>
      </c>
      <c r="J2709" s="13">
        <v>0.0</v>
      </c>
      <c r="K2709" s="12" t="s">
        <v>21</v>
      </c>
      <c r="L2709" s="7">
        <v>39934.30074074074</v>
      </c>
      <c r="M2709" s="14" t="s">
        <v>4393</v>
      </c>
      <c r="N2709" s="14" t="s">
        <v>4394</v>
      </c>
      <c r="O2709" s="11" t="str">
        <f>HYPERLINK("https://pbs.twimg.com/profile_images/460456101872275456/CkMq_Dc0_normal.jpeg","View")</f>
        <v>View</v>
      </c>
      <c r="P2709" s="15"/>
    </row>
    <row r="2710">
      <c r="A2710" s="7">
        <v>42426.307847222226</v>
      </c>
      <c r="B2710" s="8" t="str">
        <f>HYPERLINK("https://twitter.com/yashaka","@yashaka")</f>
        <v>@yashaka</v>
      </c>
      <c r="C2710" s="10" t="s">
        <v>2204</v>
      </c>
      <c r="D2710" s="10" t="s">
        <v>5586</v>
      </c>
      <c r="E2710" s="11" t="str">
        <f>HYPERLINK("https://twitter.com/yashaka/status/703238917760356352","703238917760356352")</f>
        <v>703238917760356352</v>
      </c>
      <c r="F2710" s="12" t="s">
        <v>20</v>
      </c>
      <c r="G2710" s="13">
        <v>55.0</v>
      </c>
      <c r="H2710" s="13">
        <v>25.0</v>
      </c>
      <c r="I2710" s="13">
        <v>3.0</v>
      </c>
      <c r="J2710" s="13">
        <v>0.0</v>
      </c>
      <c r="K2710" s="12" t="s">
        <v>21</v>
      </c>
      <c r="L2710" s="7">
        <v>39870.01902777778</v>
      </c>
      <c r="M2710" s="14" t="s">
        <v>2206</v>
      </c>
      <c r="N2710" s="14" t="s">
        <v>2207</v>
      </c>
      <c r="O2710" s="11" t="str">
        <f>HYPERLINK("https://pbs.twimg.com/profile_images/1876623382/000042-1_normal.JPG","View")</f>
        <v>View</v>
      </c>
      <c r="P2710" s="15"/>
    </row>
    <row r="2711">
      <c r="A2711" s="7">
        <v>42426.30856481481</v>
      </c>
      <c r="B2711" s="8" t="str">
        <f>HYPERLINK("https://twitter.com/jamsovaluesmart","@jamsovaluesmart")</f>
        <v>@jamsovaluesmart</v>
      </c>
      <c r="C2711" s="10" t="s">
        <v>5587</v>
      </c>
      <c r="D2711" s="10" t="s">
        <v>5588</v>
      </c>
      <c r="E2711" s="11" t="str">
        <f>HYPERLINK("https://twitter.com/jamsovaluesmart/status/703239180688695296","703239180688695296")</f>
        <v>703239180688695296</v>
      </c>
      <c r="F2711" s="12" t="s">
        <v>294</v>
      </c>
      <c r="G2711" s="13">
        <v>7054.0</v>
      </c>
      <c r="H2711" s="13">
        <v>5167.0</v>
      </c>
      <c r="I2711" s="13">
        <v>1.0</v>
      </c>
      <c r="J2711" s="13">
        <v>3.0</v>
      </c>
      <c r="K2711" s="12" t="s">
        <v>21</v>
      </c>
      <c r="L2711" s="7">
        <v>41947.105462962965</v>
      </c>
      <c r="M2711" s="14" t="s">
        <v>1287</v>
      </c>
      <c r="N2711" s="14" t="s">
        <v>5589</v>
      </c>
      <c r="O2711" s="11" t="str">
        <f>HYPERLINK("https://pbs.twimg.com/profile_images/553556093658337281/w056iImi_normal.jpeg","View")</f>
        <v>View</v>
      </c>
      <c r="P2711" s="15"/>
    </row>
    <row r="2712">
      <c r="A2712" s="7">
        <v>42426.30866898148</v>
      </c>
      <c r="B2712" s="8" t="str">
        <f>HYPERLINK("https://twitter.com/IBMCanada","@IBMCanada")</f>
        <v>@IBMCanada</v>
      </c>
      <c r="C2712" s="10" t="s">
        <v>5590</v>
      </c>
      <c r="D2712" s="10" t="s">
        <v>5591</v>
      </c>
      <c r="E2712" s="11" t="str">
        <f>HYPERLINK("https://twitter.com/IBMCanada/status/703239216625541121","703239216625541121")</f>
        <v>703239216625541121</v>
      </c>
      <c r="F2712" s="12" t="s">
        <v>294</v>
      </c>
      <c r="G2712" s="13">
        <v>3865.0</v>
      </c>
      <c r="H2712" s="13">
        <v>4442.0</v>
      </c>
      <c r="I2712" s="13">
        <v>1.0</v>
      </c>
      <c r="J2712" s="13">
        <v>1.0</v>
      </c>
      <c r="K2712" s="12" t="s">
        <v>21</v>
      </c>
      <c r="L2712" s="7">
        <v>41108.445439814815</v>
      </c>
      <c r="M2712" s="14" t="s">
        <v>1134</v>
      </c>
      <c r="N2712" s="14" t="s">
        <v>5592</v>
      </c>
      <c r="O2712" s="11" t="str">
        <f>HYPERLINK("https://pbs.twimg.com/profile_images/651212811809329153/cLuW9YQO_normal.jpg","View")</f>
        <v>View</v>
      </c>
      <c r="P2712" s="15"/>
    </row>
    <row r="2713">
      <c r="A2713" s="7">
        <v>42426.30907407407</v>
      </c>
      <c r="B2713" s="8" t="str">
        <f>HYPERLINK("https://twitter.com/tonyojeda3","@tonyojeda3")</f>
        <v>@tonyojeda3</v>
      </c>
      <c r="C2713" s="10" t="s">
        <v>2407</v>
      </c>
      <c r="D2713" s="10" t="s">
        <v>5593</v>
      </c>
      <c r="E2713" s="11" t="str">
        <f>HYPERLINK("https://twitter.com/tonyojeda3/status/703239361597476864","703239361597476864")</f>
        <v>703239361597476864</v>
      </c>
      <c r="F2713" s="12" t="s">
        <v>294</v>
      </c>
      <c r="G2713" s="13">
        <v>3519.0</v>
      </c>
      <c r="H2713" s="13">
        <v>538.0</v>
      </c>
      <c r="I2713" s="13">
        <v>1.0</v>
      </c>
      <c r="J2713" s="13">
        <v>3.0</v>
      </c>
      <c r="K2713" s="12" t="s">
        <v>21</v>
      </c>
      <c r="L2713" s="7">
        <v>39969.75782407408</v>
      </c>
      <c r="M2713" s="14" t="s">
        <v>784</v>
      </c>
      <c r="N2713" s="14" t="s">
        <v>2409</v>
      </c>
      <c r="O2713" s="11" t="str">
        <f>HYPERLINK("https://pbs.twimg.com/profile_images/1211123351/Tony-Ojeda2_normal.JPG","View")</f>
        <v>View</v>
      </c>
      <c r="P2713" s="15"/>
    </row>
    <row r="2714">
      <c r="A2714" s="7">
        <v>42426.30962962963</v>
      </c>
      <c r="B2714" s="8" t="str">
        <f>HYPERLINK("https://twitter.com/thefactmachine1","@thefactmachine1")</f>
        <v>@thefactmachine1</v>
      </c>
      <c r="C2714" s="10" t="s">
        <v>5594</v>
      </c>
      <c r="D2714" s="10" t="s">
        <v>3699</v>
      </c>
      <c r="E2714" s="11" t="str">
        <f>HYPERLINK("https://twitter.com/thefactmachine1/status/703239564136034304","703239564136034304")</f>
        <v>703239564136034304</v>
      </c>
      <c r="F2714" s="12" t="s">
        <v>5595</v>
      </c>
      <c r="G2714" s="13">
        <v>58.0</v>
      </c>
      <c r="H2714" s="13">
        <v>97.0</v>
      </c>
      <c r="I2714" s="13">
        <v>30.0</v>
      </c>
      <c r="J2714" s="13">
        <v>0.0</v>
      </c>
      <c r="K2714" s="12" t="s">
        <v>21</v>
      </c>
      <c r="L2714" s="7">
        <v>39992.912997685184</v>
      </c>
      <c r="M2714" s="14" t="s">
        <v>5596</v>
      </c>
      <c r="N2714" s="14" t="s">
        <v>5597</v>
      </c>
      <c r="O2714" s="11" t="str">
        <f>HYPERLINK("https://pbs.twimg.com/profile_images/2280522937/78dqr3lthevalzio6sjt_normal.jpeg","View")</f>
        <v>View</v>
      </c>
      <c r="P2714" s="15"/>
    </row>
    <row r="2715">
      <c r="A2715" s="7">
        <v>42426.310312500005</v>
      </c>
      <c r="B2715" s="8" t="str">
        <f>HYPERLINK("https://twitter.com/anaseeen","@anaseeen")</f>
        <v>@anaseeen</v>
      </c>
      <c r="C2715" s="10" t="s">
        <v>5598</v>
      </c>
      <c r="D2715" s="10" t="s">
        <v>5574</v>
      </c>
      <c r="E2715" s="11" t="str">
        <f>HYPERLINK("https://twitter.com/anaseeen/status/703239810874544128","703239810874544128")</f>
        <v>703239810874544128</v>
      </c>
      <c r="F2715" s="12" t="s">
        <v>3154</v>
      </c>
      <c r="G2715" s="13">
        <v>169.0</v>
      </c>
      <c r="H2715" s="13">
        <v>454.0</v>
      </c>
      <c r="I2715" s="13">
        <v>6.0</v>
      </c>
      <c r="J2715" s="13">
        <v>0.0</v>
      </c>
      <c r="K2715" s="12" t="s">
        <v>21</v>
      </c>
      <c r="L2715" s="7">
        <v>40277.58597222222</v>
      </c>
      <c r="M2715" s="14" t="s">
        <v>5599</v>
      </c>
      <c r="N2715" s="14" t="s">
        <v>5600</v>
      </c>
      <c r="O2715" s="11" t="str">
        <f>HYPERLINK("https://pbs.twimg.com/profile_images/693031307971072004/7BwZxchR_normal.jpg","View")</f>
        <v>View</v>
      </c>
      <c r="P2715" s="15"/>
    </row>
    <row r="2716">
      <c r="A2716" s="7">
        <v>42426.31054398148</v>
      </c>
      <c r="B2716" s="8" t="str">
        <f>HYPERLINK("https://twitter.com/techmix_","@techmix_")</f>
        <v>@techmix_</v>
      </c>
      <c r="C2716" s="10" t="s">
        <v>1190</v>
      </c>
      <c r="D2716" s="10" t="s">
        <v>5601</v>
      </c>
      <c r="E2716" s="11" t="str">
        <f>HYPERLINK("https://twitter.com/techmix_/status/703239895419133952","703239895419133952")</f>
        <v>703239895419133952</v>
      </c>
      <c r="F2716" s="12" t="s">
        <v>1192</v>
      </c>
      <c r="G2716" s="13">
        <v>547.0</v>
      </c>
      <c r="H2716" s="13">
        <v>1445.0</v>
      </c>
      <c r="I2716" s="13">
        <v>1.0</v>
      </c>
      <c r="J2716" s="13">
        <v>0.0</v>
      </c>
      <c r="K2716" s="12" t="s">
        <v>21</v>
      </c>
      <c r="L2716" s="7">
        <v>42400.79513888889</v>
      </c>
      <c r="M2716" s="16"/>
      <c r="N2716" s="14" t="s">
        <v>1193</v>
      </c>
      <c r="O2716" s="11" t="str">
        <f>HYPERLINK("https://pbs.twimg.com/profile_images/700674879540981761/fKiyB9Ye_normal.png","View")</f>
        <v>View</v>
      </c>
      <c r="P2716" s="15"/>
    </row>
    <row r="2717">
      <c r="A2717" s="7">
        <v>42426.310960648145</v>
      </c>
      <c r="B2717" s="8" t="str">
        <f>HYPERLINK("https://twitter.com/pydigest","@pydigest")</f>
        <v>@pydigest</v>
      </c>
      <c r="C2717" s="10" t="s">
        <v>385</v>
      </c>
      <c r="D2717" s="10" t="s">
        <v>5602</v>
      </c>
      <c r="E2717" s="11" t="str">
        <f>HYPERLINK("https://twitter.com/pydigest/status/703240045671616513","703240045671616513")</f>
        <v>703240045671616513</v>
      </c>
      <c r="F2717" s="12" t="s">
        <v>103</v>
      </c>
      <c r="G2717" s="13">
        <v>634.0</v>
      </c>
      <c r="H2717" s="13">
        <v>22.0</v>
      </c>
      <c r="I2717" s="13">
        <v>0.0</v>
      </c>
      <c r="J2717" s="13">
        <v>1.0</v>
      </c>
      <c r="K2717" s="12" t="s">
        <v>21</v>
      </c>
      <c r="L2717" s="7">
        <v>41797.15729166666</v>
      </c>
      <c r="M2717" s="16"/>
      <c r="N2717" s="14" t="s">
        <v>387</v>
      </c>
      <c r="O2717" s="11" t="str">
        <f>HYPERLINK("https://pbs.twimg.com/profile_images/475228702922387457/6gYeuqxD_normal.jpeg","View")</f>
        <v>View</v>
      </c>
      <c r="P2717" s="15"/>
    </row>
    <row r="2718">
      <c r="A2718" s="7">
        <v>42426.3116087963</v>
      </c>
      <c r="B2718" s="8" t="str">
        <f>HYPERLINK("https://twitter.com/ping_suh","@ping_suh")</f>
        <v>@ping_suh</v>
      </c>
      <c r="C2718" s="10" t="s">
        <v>5603</v>
      </c>
      <c r="D2718" s="10" t="s">
        <v>3867</v>
      </c>
      <c r="E2718" s="11" t="str">
        <f>HYPERLINK("https://twitter.com/ping_suh/status/703240283580997632","703240283580997632")</f>
        <v>703240283580997632</v>
      </c>
      <c r="F2718" s="12" t="s">
        <v>5604</v>
      </c>
      <c r="G2718" s="13">
        <v>2756.0</v>
      </c>
      <c r="H2718" s="13">
        <v>4895.0</v>
      </c>
      <c r="I2718" s="13">
        <v>11.0</v>
      </c>
      <c r="J2718" s="13">
        <v>0.0</v>
      </c>
      <c r="K2718" s="12" t="s">
        <v>21</v>
      </c>
      <c r="L2718" s="7">
        <v>42215.327152777776</v>
      </c>
      <c r="M2718" s="14" t="s">
        <v>5605</v>
      </c>
      <c r="N2718" s="14" t="s">
        <v>5606</v>
      </c>
      <c r="O2718" s="11" t="str">
        <f>HYPERLINK("https://pbs.twimg.com/profile_images/626767282690224128/C0A-IuoN_normal.png","View")</f>
        <v>View</v>
      </c>
      <c r="P2718" s="15"/>
    </row>
    <row r="2719">
      <c r="A2719" s="7">
        <v>42426.31216435185</v>
      </c>
      <c r="B2719" s="8" t="str">
        <f>HYPERLINK("https://twitter.com/ayirpelle","@ayirpelle")</f>
        <v>@ayirpelle</v>
      </c>
      <c r="C2719" s="10" t="s">
        <v>5607</v>
      </c>
      <c r="D2719" s="10" t="s">
        <v>3699</v>
      </c>
      <c r="E2719" s="11" t="str">
        <f>HYPERLINK("https://twitter.com/ayirpelle/status/703240483934334976","703240483934334976")</f>
        <v>703240483934334976</v>
      </c>
      <c r="F2719" s="12" t="s">
        <v>52</v>
      </c>
      <c r="G2719" s="13">
        <v>1327.0</v>
      </c>
      <c r="H2719" s="13">
        <v>2069.0</v>
      </c>
      <c r="I2719" s="13">
        <v>30.0</v>
      </c>
      <c r="J2719" s="13">
        <v>0.0</v>
      </c>
      <c r="K2719" s="12" t="s">
        <v>21</v>
      </c>
      <c r="L2719" s="7">
        <v>40959.997881944444</v>
      </c>
      <c r="M2719" s="14" t="s">
        <v>3391</v>
      </c>
      <c r="N2719" s="14" t="s">
        <v>5608</v>
      </c>
      <c r="O2719" s="11" t="str">
        <f>HYPERLINK("https://pbs.twimg.com/profile_images/412126192150401024/BGjaQNXk_normal.jpeg","View")</f>
        <v>View</v>
      </c>
      <c r="P2719" s="15"/>
    </row>
    <row r="2720">
      <c r="A2720" s="7">
        <v>42426.312372685185</v>
      </c>
      <c r="B2720" s="8" t="str">
        <f>HYPERLINK("https://twitter.com/pvergain","@pvergain")</f>
        <v>@pvergain</v>
      </c>
      <c r="C2720" s="10" t="s">
        <v>878</v>
      </c>
      <c r="D2720" s="10" t="s">
        <v>5609</v>
      </c>
      <c r="E2720" s="11" t="str">
        <f>HYPERLINK("https://twitter.com/pvergain/status/703240559331250176","703240559331250176")</f>
        <v>703240559331250176</v>
      </c>
      <c r="F2720" s="12" t="s">
        <v>20</v>
      </c>
      <c r="G2720" s="13">
        <v>909.0</v>
      </c>
      <c r="H2720" s="13">
        <v>1654.0</v>
      </c>
      <c r="I2720" s="13">
        <v>1.0</v>
      </c>
      <c r="J2720" s="13">
        <v>0.0</v>
      </c>
      <c r="K2720" s="12" t="s">
        <v>21</v>
      </c>
      <c r="L2720" s="7">
        <v>40003.974375</v>
      </c>
      <c r="M2720" s="14" t="s">
        <v>879</v>
      </c>
      <c r="N2720" s="14" t="s">
        <v>880</v>
      </c>
      <c r="O2720" s="11" t="str">
        <f>HYPERLINK("https://pbs.twimg.com/profile_images/528272392766779392/5AeOFtlc_normal.jpeg","View")</f>
        <v>View</v>
      </c>
      <c r="P2720" s="15"/>
    </row>
    <row r="2721">
      <c r="A2721" s="7">
        <v>42426.31261574074</v>
      </c>
      <c r="B2721" s="8" t="str">
        <f>HYPERLINK("https://twitter.com/acuadra","@acuadra")</f>
        <v>@acuadra</v>
      </c>
      <c r="C2721" s="10" t="s">
        <v>5610</v>
      </c>
      <c r="D2721" s="10" t="s">
        <v>3699</v>
      </c>
      <c r="E2721" s="11" t="str">
        <f>HYPERLINK("https://twitter.com/acuadra/status/703240646803525632","703240646803525632")</f>
        <v>703240646803525632</v>
      </c>
      <c r="F2721" s="12" t="s">
        <v>1573</v>
      </c>
      <c r="G2721" s="13">
        <v>1666.0</v>
      </c>
      <c r="H2721" s="13">
        <v>1405.0</v>
      </c>
      <c r="I2721" s="13">
        <v>30.0</v>
      </c>
      <c r="J2721" s="13">
        <v>0.0</v>
      </c>
      <c r="K2721" s="12" t="s">
        <v>21</v>
      </c>
      <c r="L2721" s="7">
        <v>39325.66474537037</v>
      </c>
      <c r="M2721" s="14" t="s">
        <v>1357</v>
      </c>
      <c r="N2721" s="14" t="s">
        <v>5611</v>
      </c>
      <c r="O2721" s="11" t="str">
        <f>HYPERLINK("https://pbs.twimg.com/profile_images/925688701/profile_normal.jpg","View")</f>
        <v>View</v>
      </c>
      <c r="P2721" s="15"/>
    </row>
    <row r="2722">
      <c r="A2722" s="7">
        <v>42426.31270833334</v>
      </c>
      <c r="B2722" s="8" t="str">
        <f>HYPERLINK("https://twitter.com/Afripowered","@Afripowered")</f>
        <v>@Afripowered</v>
      </c>
      <c r="C2722" s="10" t="s">
        <v>5612</v>
      </c>
      <c r="D2722" s="10" t="s">
        <v>5613</v>
      </c>
      <c r="E2722" s="11" t="str">
        <f>HYPERLINK("https://twitter.com/Afripowered/status/703240682190868481","703240682190868481")</f>
        <v>703240682190868481</v>
      </c>
      <c r="F2722" s="12" t="s">
        <v>20</v>
      </c>
      <c r="G2722" s="13">
        <v>56.0</v>
      </c>
      <c r="H2722" s="13">
        <v>107.0</v>
      </c>
      <c r="I2722" s="13">
        <v>0.0</v>
      </c>
      <c r="J2722" s="13">
        <v>0.0</v>
      </c>
      <c r="K2722" s="12" t="s">
        <v>21</v>
      </c>
      <c r="L2722" s="7">
        <v>41047.250069444446</v>
      </c>
      <c r="M2722" s="16"/>
      <c r="N2722" s="14" t="s">
        <v>5614</v>
      </c>
      <c r="O2722" s="11" t="str">
        <f>HYPERLINK("https://pbs.twimg.com/profile_images/378800000421038262/2e3015826bd8dd574cc15125138c181b_normal.png","View")</f>
        <v>View</v>
      </c>
      <c r="P2722" s="15"/>
    </row>
    <row r="2723">
      <c r="A2723" s="7">
        <v>42426.313993055555</v>
      </c>
      <c r="B2723" s="8" t="str">
        <f>HYPERLINK("https://twitter.com/sweetsnipergun","@sweetsnipergun")</f>
        <v>@sweetsnipergun</v>
      </c>
      <c r="C2723" s="10" t="s">
        <v>2930</v>
      </c>
      <c r="D2723" s="10" t="s">
        <v>5615</v>
      </c>
      <c r="E2723" s="11" t="str">
        <f>HYPERLINK("https://twitter.com/sweetsnipergun/status/703241147817316352","703241147817316352")</f>
        <v>703241147817316352</v>
      </c>
      <c r="F2723" s="12" t="s">
        <v>152</v>
      </c>
      <c r="G2723" s="13">
        <v>264.0</v>
      </c>
      <c r="H2723" s="13">
        <v>270.0</v>
      </c>
      <c r="I2723" s="13">
        <v>0.0</v>
      </c>
      <c r="J2723" s="13">
        <v>1.0</v>
      </c>
      <c r="K2723" s="12" t="s">
        <v>21</v>
      </c>
      <c r="L2723" s="7">
        <v>40346.725127314814</v>
      </c>
      <c r="M2723" s="14" t="s">
        <v>2932</v>
      </c>
      <c r="N2723" s="14" t="s">
        <v>2933</v>
      </c>
      <c r="O2723" s="11" t="str">
        <f>HYPERLINK("https://pbs.twimg.com/profile_images/702683386243104768/wWaQWSJL_normal.jpg","View")</f>
        <v>View</v>
      </c>
      <c r="P2723" s="15"/>
    </row>
    <row r="2724">
      <c r="A2724" s="7">
        <v>42426.31570601852</v>
      </c>
      <c r="B2724" s="8" t="str">
        <f>HYPERLINK("https://twitter.com/DataAnalyticss","@DataAnalyticss")</f>
        <v>@DataAnalyticss</v>
      </c>
      <c r="C2724" s="10" t="s">
        <v>2467</v>
      </c>
      <c r="D2724" s="10" t="s">
        <v>5517</v>
      </c>
      <c r="E2724" s="11" t="str">
        <f>HYPERLINK("https://twitter.com/DataAnalyticss/status/703241767127281664","703241767127281664")</f>
        <v>703241767127281664</v>
      </c>
      <c r="F2724" s="12" t="s">
        <v>38</v>
      </c>
      <c r="G2724" s="13">
        <v>718.0</v>
      </c>
      <c r="H2724" s="13">
        <v>456.0</v>
      </c>
      <c r="I2724" s="13">
        <v>12.0</v>
      </c>
      <c r="J2724" s="13">
        <v>0.0</v>
      </c>
      <c r="K2724" s="12" t="s">
        <v>21</v>
      </c>
      <c r="L2724" s="7">
        <v>41953.30762731482</v>
      </c>
      <c r="M2724" s="16"/>
      <c r="N2724" s="16"/>
      <c r="O2724" s="11" t="str">
        <f>HYPERLINK("https://pbs.twimg.com/profile_images/532798437897412608/flHdPUCx_normal.png","View")</f>
        <v>View</v>
      </c>
      <c r="P2724" s="15"/>
    </row>
    <row r="2725">
      <c r="A2725" s="7">
        <v>42426.31699074074</v>
      </c>
      <c r="B2725" s="8" t="str">
        <f>HYPERLINK("https://twitter.com/AdamSmitht1","@AdamSmitht1")</f>
        <v>@AdamSmitht1</v>
      </c>
      <c r="C2725" s="10" t="s">
        <v>468</v>
      </c>
      <c r="D2725" s="10" t="s">
        <v>5616</v>
      </c>
      <c r="E2725" s="11" t="str">
        <f>HYPERLINK("https://twitter.com/AdamSmitht1/status/703242232598503424","703242232598503424")</f>
        <v>703242232598503424</v>
      </c>
      <c r="F2725" s="12" t="s">
        <v>103</v>
      </c>
      <c r="G2725" s="13">
        <v>849.0</v>
      </c>
      <c r="H2725" s="13">
        <v>793.0</v>
      </c>
      <c r="I2725" s="13">
        <v>0.0</v>
      </c>
      <c r="J2725" s="13">
        <v>1.0</v>
      </c>
      <c r="K2725" s="12" t="s">
        <v>21</v>
      </c>
      <c r="L2725" s="7">
        <v>42336.12709490741</v>
      </c>
      <c r="M2725" s="14" t="s">
        <v>470</v>
      </c>
      <c r="N2725" s="14" t="s">
        <v>471</v>
      </c>
      <c r="O2725" s="11" t="str">
        <f>HYPERLINK("https://pbs.twimg.com/profile_images/671623862916812800/yGsDKiP4_normal.jpg","View")</f>
        <v>View</v>
      </c>
      <c r="P2725" s="15"/>
    </row>
    <row r="2726">
      <c r="A2726" s="7">
        <v>42426.31733796296</v>
      </c>
      <c r="B2726" s="8" t="str">
        <f>HYPERLINK("https://twitter.com/tunguz","@tunguz")</f>
        <v>@tunguz</v>
      </c>
      <c r="C2726" s="10" t="s">
        <v>1420</v>
      </c>
      <c r="D2726" s="10" t="s">
        <v>1421</v>
      </c>
      <c r="E2726" s="11" t="str">
        <f>HYPERLINK("https://twitter.com/tunguz/status/703242358045937665","703242358045937665")</f>
        <v>703242358045937665</v>
      </c>
      <c r="F2726" s="12" t="s">
        <v>1422</v>
      </c>
      <c r="G2726" s="13">
        <v>2931.0</v>
      </c>
      <c r="H2726" s="13">
        <v>2367.0</v>
      </c>
      <c r="I2726" s="13">
        <v>0.0</v>
      </c>
      <c r="J2726" s="13">
        <v>0.0</v>
      </c>
      <c r="K2726" s="12" t="s">
        <v>21</v>
      </c>
      <c r="L2726" s="7">
        <v>39881.63072916667</v>
      </c>
      <c r="M2726" s="16"/>
      <c r="N2726" s="14" t="s">
        <v>1423</v>
      </c>
      <c r="O2726" s="11" t="str">
        <f>HYPERLINK("https://pbs.twimg.com/profile_images/378800000280104893/69d9138650448f98f88e5f4108593559_normal.jpeg","View")</f>
        <v>View</v>
      </c>
      <c r="P2726" s="15"/>
    </row>
    <row r="2727">
      <c r="A2727" s="7">
        <v>42426.317395833335</v>
      </c>
      <c r="B2727" s="8" t="str">
        <f>HYPERLINK("https://twitter.com/GISPyQuestions","@GISPyQuestions")</f>
        <v>@GISPyQuestions</v>
      </c>
      <c r="C2727" s="10" t="s">
        <v>1959</v>
      </c>
      <c r="D2727" s="10" t="s">
        <v>5617</v>
      </c>
      <c r="E2727" s="11" t="str">
        <f>HYPERLINK("https://twitter.com/GISPyQuestions/status/703242380606963712","703242380606963712")</f>
        <v>703242380606963712</v>
      </c>
      <c r="F2727" s="12" t="s">
        <v>1961</v>
      </c>
      <c r="G2727" s="13">
        <v>372.0</v>
      </c>
      <c r="H2727" s="13">
        <v>0.0</v>
      </c>
      <c r="I2727" s="13">
        <v>0.0</v>
      </c>
      <c r="J2727" s="13">
        <v>0.0</v>
      </c>
      <c r="K2727" s="12" t="s">
        <v>21</v>
      </c>
      <c r="L2727" s="7">
        <v>40997.581712962965</v>
      </c>
      <c r="M2727" s="16"/>
      <c r="N2727" s="16"/>
      <c r="O2727" s="11" t="str">
        <f>HYPERLINK("https://pbs.twimg.com/profile_images/1987767273/python-logo-glassy_normal.png","View")</f>
        <v>View</v>
      </c>
      <c r="P2727" s="15"/>
    </row>
    <row r="2728">
      <c r="A2728" s="7">
        <v>42426.31746527778</v>
      </c>
      <c r="B2728" s="8" t="str">
        <f t="shared" ref="B2728:B2733" si="279">HYPERLINK("https://twitter.com/artwisanggeni","@artwisanggeni")</f>
        <v>@artwisanggeni</v>
      </c>
      <c r="C2728" s="10" t="s">
        <v>74</v>
      </c>
      <c r="D2728" s="10" t="s">
        <v>5618</v>
      </c>
      <c r="E2728" s="11" t="str">
        <f>HYPERLINK("https://twitter.com/artwisanggeni/status/703242405990891520","703242405990891520")</f>
        <v>703242405990891520</v>
      </c>
      <c r="F2728" s="17" t="s">
        <v>76</v>
      </c>
      <c r="G2728" s="13">
        <v>236.0</v>
      </c>
      <c r="H2728" s="13">
        <v>61.0</v>
      </c>
      <c r="I2728" s="13">
        <v>0.0</v>
      </c>
      <c r="J2728" s="13">
        <v>0.0</v>
      </c>
      <c r="K2728" s="12" t="s">
        <v>21</v>
      </c>
      <c r="L2728" s="7">
        <v>41218.90608796296</v>
      </c>
      <c r="M2728" s="14" t="s">
        <v>77</v>
      </c>
      <c r="N2728" s="14" t="s">
        <v>78</v>
      </c>
      <c r="O2728" s="11" t="str">
        <f t="shared" ref="O2728:O2733" si="280">HYPERLINK("https://pbs.twimg.com/profile_images/2813636657/599521f69e2bc210a57323b64d8e39e6_normal.jpeg","View")</f>
        <v>View</v>
      </c>
      <c r="P2728" s="15"/>
    </row>
    <row r="2729">
      <c r="A2729" s="7">
        <v>42426.31747685185</v>
      </c>
      <c r="B2729" s="8" t="str">
        <f t="shared" si="279"/>
        <v>@artwisanggeni</v>
      </c>
      <c r="C2729" s="10" t="s">
        <v>74</v>
      </c>
      <c r="D2729" s="10" t="s">
        <v>5619</v>
      </c>
      <c r="E2729" s="11" t="str">
        <f>HYPERLINK("https://twitter.com/artwisanggeni/status/703242410311049217","703242410311049217")</f>
        <v>703242410311049217</v>
      </c>
      <c r="F2729" s="17" t="s">
        <v>76</v>
      </c>
      <c r="G2729" s="13">
        <v>236.0</v>
      </c>
      <c r="H2729" s="13">
        <v>61.0</v>
      </c>
      <c r="I2729" s="13">
        <v>0.0</v>
      </c>
      <c r="J2729" s="13">
        <v>0.0</v>
      </c>
      <c r="K2729" s="12" t="s">
        <v>21</v>
      </c>
      <c r="L2729" s="7">
        <v>41218.90608796296</v>
      </c>
      <c r="M2729" s="14" t="s">
        <v>77</v>
      </c>
      <c r="N2729" s="14" t="s">
        <v>78</v>
      </c>
      <c r="O2729" s="11" t="str">
        <f t="shared" si="280"/>
        <v>View</v>
      </c>
      <c r="P2729" s="15"/>
    </row>
    <row r="2730">
      <c r="A2730" s="7">
        <v>42426.317500000005</v>
      </c>
      <c r="B2730" s="8" t="str">
        <f t="shared" si="279"/>
        <v>@artwisanggeni</v>
      </c>
      <c r="C2730" s="10" t="s">
        <v>74</v>
      </c>
      <c r="D2730" s="10" t="s">
        <v>5620</v>
      </c>
      <c r="E2730" s="11" t="str">
        <f>HYPERLINK("https://twitter.com/artwisanggeni/status/703242415306452992","703242415306452992")</f>
        <v>703242415306452992</v>
      </c>
      <c r="F2730" s="17" t="s">
        <v>76</v>
      </c>
      <c r="G2730" s="13">
        <v>236.0</v>
      </c>
      <c r="H2730" s="13">
        <v>61.0</v>
      </c>
      <c r="I2730" s="13">
        <v>0.0</v>
      </c>
      <c r="J2730" s="13">
        <v>0.0</v>
      </c>
      <c r="K2730" s="12" t="s">
        <v>21</v>
      </c>
      <c r="L2730" s="7">
        <v>41218.90608796296</v>
      </c>
      <c r="M2730" s="14" t="s">
        <v>77</v>
      </c>
      <c r="N2730" s="14" t="s">
        <v>78</v>
      </c>
      <c r="O2730" s="11" t="str">
        <f t="shared" si="280"/>
        <v>View</v>
      </c>
      <c r="P2730" s="15"/>
    </row>
    <row r="2731">
      <c r="A2731" s="7">
        <v>42426.317511574074</v>
      </c>
      <c r="B2731" s="8" t="str">
        <f t="shared" si="279"/>
        <v>@artwisanggeni</v>
      </c>
      <c r="C2731" s="10" t="s">
        <v>74</v>
      </c>
      <c r="D2731" s="10" t="s">
        <v>5621</v>
      </c>
      <c r="E2731" s="11" t="str">
        <f>HYPERLINK("https://twitter.com/artwisanggeni/status/703242419563704320","703242419563704320")</f>
        <v>703242419563704320</v>
      </c>
      <c r="F2731" s="17" t="s">
        <v>76</v>
      </c>
      <c r="G2731" s="13">
        <v>236.0</v>
      </c>
      <c r="H2731" s="13">
        <v>61.0</v>
      </c>
      <c r="I2731" s="13">
        <v>0.0</v>
      </c>
      <c r="J2731" s="13">
        <v>0.0</v>
      </c>
      <c r="K2731" s="12" t="s">
        <v>21</v>
      </c>
      <c r="L2731" s="7">
        <v>41218.90608796296</v>
      </c>
      <c r="M2731" s="14" t="s">
        <v>77</v>
      </c>
      <c r="N2731" s="14" t="s">
        <v>78</v>
      </c>
      <c r="O2731" s="11" t="str">
        <f t="shared" si="280"/>
        <v>View</v>
      </c>
      <c r="P2731" s="15"/>
    </row>
    <row r="2732">
      <c r="A2732" s="7">
        <v>42426.317511574074</v>
      </c>
      <c r="B2732" s="8" t="str">
        <f t="shared" si="279"/>
        <v>@artwisanggeni</v>
      </c>
      <c r="C2732" s="10" t="s">
        <v>74</v>
      </c>
      <c r="D2732" s="10" t="s">
        <v>5622</v>
      </c>
      <c r="E2732" s="11" t="str">
        <f>HYPERLINK("https://twitter.com/artwisanggeni/status/703242423145607168","703242423145607168")</f>
        <v>703242423145607168</v>
      </c>
      <c r="F2732" s="17" t="s">
        <v>76</v>
      </c>
      <c r="G2732" s="13">
        <v>236.0</v>
      </c>
      <c r="H2732" s="13">
        <v>61.0</v>
      </c>
      <c r="I2732" s="13">
        <v>0.0</v>
      </c>
      <c r="J2732" s="13">
        <v>0.0</v>
      </c>
      <c r="K2732" s="12" t="s">
        <v>21</v>
      </c>
      <c r="L2732" s="7">
        <v>41218.90608796296</v>
      </c>
      <c r="M2732" s="14" t="s">
        <v>77</v>
      </c>
      <c r="N2732" s="14" t="s">
        <v>78</v>
      </c>
      <c r="O2732" s="11" t="str">
        <f t="shared" si="280"/>
        <v>View</v>
      </c>
      <c r="P2732" s="15"/>
    </row>
    <row r="2733">
      <c r="A2733" s="7">
        <v>42426.317523148144</v>
      </c>
      <c r="B2733" s="8" t="str">
        <f t="shared" si="279"/>
        <v>@artwisanggeni</v>
      </c>
      <c r="C2733" s="10" t="s">
        <v>74</v>
      </c>
      <c r="D2733" s="10" t="s">
        <v>5623</v>
      </c>
      <c r="E2733" s="11" t="str">
        <f>HYPERLINK("https://twitter.com/artwisanggeni/status/703242426404589569","703242426404589569")</f>
        <v>703242426404589569</v>
      </c>
      <c r="F2733" s="17" t="s">
        <v>76</v>
      </c>
      <c r="G2733" s="13">
        <v>236.0</v>
      </c>
      <c r="H2733" s="13">
        <v>61.0</v>
      </c>
      <c r="I2733" s="13">
        <v>0.0</v>
      </c>
      <c r="J2733" s="13">
        <v>0.0</v>
      </c>
      <c r="K2733" s="12" t="s">
        <v>21</v>
      </c>
      <c r="L2733" s="7">
        <v>41218.90608796296</v>
      </c>
      <c r="M2733" s="14" t="s">
        <v>77</v>
      </c>
      <c r="N2733" s="14" t="s">
        <v>78</v>
      </c>
      <c r="O2733" s="11" t="str">
        <f t="shared" si="280"/>
        <v>View</v>
      </c>
      <c r="P2733" s="15"/>
    </row>
    <row r="2734">
      <c r="A2734" s="7">
        <v>42426.3178587963</v>
      </c>
      <c r="B2734" s="8" t="str">
        <f>HYPERLINK("https://twitter.com/startechwall","@startechwall")</f>
        <v>@startechwall</v>
      </c>
      <c r="C2734" s="10" t="s">
        <v>1478</v>
      </c>
      <c r="D2734" s="10" t="s">
        <v>5624</v>
      </c>
      <c r="E2734" s="11" t="str">
        <f>HYPERLINK("https://twitter.com/startechwall/status/703242545359360006","703242545359360006")</f>
        <v>703242545359360006</v>
      </c>
      <c r="F2734" s="12" t="s">
        <v>103</v>
      </c>
      <c r="G2734" s="13">
        <v>557.0</v>
      </c>
      <c r="H2734" s="13">
        <v>859.0</v>
      </c>
      <c r="I2734" s="13">
        <v>0.0</v>
      </c>
      <c r="J2734" s="13">
        <v>0.0</v>
      </c>
      <c r="K2734" s="12" t="s">
        <v>21</v>
      </c>
      <c r="L2734" s="7">
        <v>42360.959502314814</v>
      </c>
      <c r="M2734" s="14" t="s">
        <v>1480</v>
      </c>
      <c r="N2734" s="14" t="s">
        <v>1481</v>
      </c>
      <c r="O2734" s="11" t="str">
        <f>HYPERLINK("https://pbs.twimg.com/profile_images/679566117187145728/UUo30Zpm_normal.jpg","View")</f>
        <v>View</v>
      </c>
      <c r="P2734" s="15"/>
    </row>
    <row r="2735">
      <c r="A2735" s="7">
        <v>42426.318194444444</v>
      </c>
      <c r="B2735" s="8" t="str">
        <f>HYPERLINK("https://twitter.com/noemi_gutierrez","@noemi_gutierrez")</f>
        <v>@noemi_gutierrez</v>
      </c>
      <c r="C2735" s="10" t="s">
        <v>2353</v>
      </c>
      <c r="D2735" s="10" t="s">
        <v>5625</v>
      </c>
      <c r="E2735" s="11" t="str">
        <f>HYPERLINK("https://twitter.com/noemi_gutierrez/status/703242669728911360","703242669728911360")</f>
        <v>703242669728911360</v>
      </c>
      <c r="F2735" s="12" t="s">
        <v>152</v>
      </c>
      <c r="G2735" s="13">
        <v>458.0</v>
      </c>
      <c r="H2735" s="13">
        <v>1009.0</v>
      </c>
      <c r="I2735" s="13">
        <v>1.0</v>
      </c>
      <c r="J2735" s="13">
        <v>0.0</v>
      </c>
      <c r="K2735" s="12" t="s">
        <v>21</v>
      </c>
      <c r="L2735" s="7">
        <v>40784.514756944445</v>
      </c>
      <c r="M2735" s="14" t="s">
        <v>2355</v>
      </c>
      <c r="N2735" s="14" t="s">
        <v>2356</v>
      </c>
      <c r="O2735" s="11" t="str">
        <f>HYPERLINK("https://pbs.twimg.com/profile_images/1519454893/Face_3-edited_normal.jpg","View")</f>
        <v>View</v>
      </c>
      <c r="P2735" s="15"/>
    </row>
    <row r="2736">
      <c r="A2736" s="7">
        <v>42426.319502314815</v>
      </c>
      <c r="B2736" s="8" t="str">
        <f>HYPERLINK("https://twitter.com/jobely","@jobely")</f>
        <v>@jobely</v>
      </c>
      <c r="C2736" s="9" t="s">
        <v>4156</v>
      </c>
      <c r="D2736" s="10" t="s">
        <v>5626</v>
      </c>
      <c r="E2736" s="11" t="str">
        <f>HYPERLINK("https://twitter.com/jobely/status/703243142024323072","703243142024323072")</f>
        <v>703243142024323072</v>
      </c>
      <c r="F2736" s="12" t="s">
        <v>4158</v>
      </c>
      <c r="G2736" s="13">
        <v>1402.0</v>
      </c>
      <c r="H2736" s="13">
        <v>279.0</v>
      </c>
      <c r="I2736" s="13">
        <v>0.0</v>
      </c>
      <c r="J2736" s="13">
        <v>0.0</v>
      </c>
      <c r="K2736" s="12" t="s">
        <v>21</v>
      </c>
      <c r="L2736" s="7">
        <v>40133.93101851852</v>
      </c>
      <c r="M2736" s="14" t="s">
        <v>850</v>
      </c>
      <c r="N2736" s="14" t="s">
        <v>4159</v>
      </c>
      <c r="O2736" s="11" t="str">
        <f>HYPERLINK("https://pbs.twimg.com/profile_images/543819077/Schermata_2009-11-25_a_21.06.35_normal.png","View")</f>
        <v>View</v>
      </c>
      <c r="P2736" s="15"/>
    </row>
    <row r="2737">
      <c r="A2737" s="7">
        <v>42426.31954861111</v>
      </c>
      <c r="B2737" s="8" t="str">
        <f>HYPERLINK("https://twitter.com/cgcookie","@cgcookie")</f>
        <v>@cgcookie</v>
      </c>
      <c r="C2737" s="10" t="s">
        <v>5627</v>
      </c>
      <c r="D2737" s="10" t="s">
        <v>5628</v>
      </c>
      <c r="E2737" s="11" t="str">
        <f>HYPERLINK("https://twitter.com/cgcookie/status/703243158398722049","703243158398722049")</f>
        <v>703243158398722049</v>
      </c>
      <c r="F2737" s="12" t="s">
        <v>446</v>
      </c>
      <c r="G2737" s="13">
        <v>7556.0</v>
      </c>
      <c r="H2737" s="13">
        <v>193.0</v>
      </c>
      <c r="I2737" s="13">
        <v>3.0</v>
      </c>
      <c r="J2737" s="13">
        <v>8.0</v>
      </c>
      <c r="K2737" s="12" t="s">
        <v>21</v>
      </c>
      <c r="L2737" s="7">
        <v>39932.43953703703</v>
      </c>
      <c r="M2737" s="14" t="s">
        <v>1158</v>
      </c>
      <c r="N2737" s="14" t="s">
        <v>5629</v>
      </c>
      <c r="O2737" s="11" t="str">
        <f>HYPERLINK("https://pbs.twimg.com/profile_images/575308450562899968/-Dn429I0_normal.png","View")</f>
        <v>View</v>
      </c>
      <c r="P2737" s="15"/>
    </row>
    <row r="2738">
      <c r="A2738" s="7">
        <v>42426.32034722222</v>
      </c>
      <c r="B2738" s="8" t="str">
        <f>HYPERLINK("https://twitter.com/PyBloggers","@PyBloggers")</f>
        <v>@PyBloggers</v>
      </c>
      <c r="C2738" s="10" t="s">
        <v>1436</v>
      </c>
      <c r="D2738" s="10" t="s">
        <v>5630</v>
      </c>
      <c r="E2738" s="11" t="str">
        <f>HYPERLINK("https://twitter.com/PyBloggers/status/703243450511179780","703243450511179780")</f>
        <v>703243450511179780</v>
      </c>
      <c r="F2738" s="12" t="s">
        <v>103</v>
      </c>
      <c r="G2738" s="13">
        <v>140.0</v>
      </c>
      <c r="H2738" s="13">
        <v>160.0</v>
      </c>
      <c r="I2738" s="13">
        <v>0.0</v>
      </c>
      <c r="J2738" s="13">
        <v>0.0</v>
      </c>
      <c r="K2738" s="12" t="s">
        <v>21</v>
      </c>
      <c r="L2738" s="7">
        <v>42353.56018518518</v>
      </c>
      <c r="M2738" s="16"/>
      <c r="N2738" s="14" t="s">
        <v>1438</v>
      </c>
      <c r="O2738" s="11" t="str">
        <f>HYPERLINK("https://pbs.twimg.com/profile_images/682279186690621441/VjBmfdfj_normal.png","View")</f>
        <v>View</v>
      </c>
      <c r="P2738" s="15"/>
    </row>
    <row r="2739">
      <c r="A2739" s="7">
        <v>42426.32098379629</v>
      </c>
      <c r="B2739" s="8" t="str">
        <f t="shared" ref="B2739:B2740" si="281">HYPERLINK("https://twitter.com/kusadasideri","@kusadasideri")</f>
        <v>@kusadasideri</v>
      </c>
      <c r="C2739" s="10" t="s">
        <v>481</v>
      </c>
      <c r="D2739" s="10" t="s">
        <v>5631</v>
      </c>
      <c r="E2739" s="11" t="str">
        <f>HYPERLINK("https://twitter.com/kusadasideri/status/703243679453081600","703243679453081600")</f>
        <v>703243679453081600</v>
      </c>
      <c r="F2739" s="12" t="s">
        <v>450</v>
      </c>
      <c r="G2739" s="13">
        <v>487.0</v>
      </c>
      <c r="H2739" s="13">
        <v>741.0</v>
      </c>
      <c r="I2739" s="13">
        <v>0.0</v>
      </c>
      <c r="J2739" s="13">
        <v>0.0</v>
      </c>
      <c r="K2739" s="12" t="s">
        <v>21</v>
      </c>
      <c r="L2739" s="7">
        <v>40210.55814814815</v>
      </c>
      <c r="M2739" s="14" t="s">
        <v>483</v>
      </c>
      <c r="N2739" s="14" t="s">
        <v>484</v>
      </c>
      <c r="O2739" s="11" t="str">
        <f t="shared" ref="O2739:O2740" si="282">HYPERLINK("https://pbs.twimg.com/profile_images/499122504951427073/UISN-0p1_normal.jpeg","View")</f>
        <v>View</v>
      </c>
      <c r="P2739" s="11" t="str">
        <f>HYPERLINK("http://ctrlq.org/maps/address/#37.8604672,27.25711472","Map")</f>
        <v>Map</v>
      </c>
    </row>
    <row r="2740">
      <c r="A2740" s="7">
        <v>42426.321018518516</v>
      </c>
      <c r="B2740" s="8" t="str">
        <f t="shared" si="281"/>
        <v>@kusadasideri</v>
      </c>
      <c r="C2740" s="10" t="s">
        <v>481</v>
      </c>
      <c r="D2740" s="10" t="s">
        <v>5632</v>
      </c>
      <c r="E2740" s="11" t="str">
        <f>HYPERLINK("https://twitter.com/kusadasideri/status/703243692035985408","703243692035985408")</f>
        <v>703243692035985408</v>
      </c>
      <c r="F2740" s="12" t="s">
        <v>236</v>
      </c>
      <c r="G2740" s="13">
        <v>487.0</v>
      </c>
      <c r="H2740" s="13">
        <v>741.0</v>
      </c>
      <c r="I2740" s="13">
        <v>0.0</v>
      </c>
      <c r="J2740" s="13">
        <v>0.0</v>
      </c>
      <c r="K2740" s="12" t="s">
        <v>21</v>
      </c>
      <c r="L2740" s="7">
        <v>40210.55814814815</v>
      </c>
      <c r="M2740" s="14" t="s">
        <v>483</v>
      </c>
      <c r="N2740" s="14" t="s">
        <v>484</v>
      </c>
      <c r="O2740" s="11" t="str">
        <f t="shared" si="282"/>
        <v>View</v>
      </c>
      <c r="P2740" s="15"/>
    </row>
    <row r="2741">
      <c r="A2741" s="7">
        <v>42426.321122685185</v>
      </c>
      <c r="B2741" s="8" t="str">
        <f>HYPERLINK("https://twitter.com/korezian","@korezian")</f>
        <v>@korezian</v>
      </c>
      <c r="C2741" s="10" t="s">
        <v>2584</v>
      </c>
      <c r="D2741" s="10" t="s">
        <v>4211</v>
      </c>
      <c r="E2741" s="11" t="str">
        <f>HYPERLINK("https://twitter.com/korezian/status/703243729700855809","703243729700855809")</f>
        <v>703243729700855809</v>
      </c>
      <c r="F2741" s="12" t="s">
        <v>152</v>
      </c>
      <c r="G2741" s="13">
        <v>336.0</v>
      </c>
      <c r="H2741" s="13">
        <v>662.0</v>
      </c>
      <c r="I2741" s="13">
        <v>55.0</v>
      </c>
      <c r="J2741" s="13">
        <v>0.0</v>
      </c>
      <c r="K2741" s="12" t="s">
        <v>21</v>
      </c>
      <c r="L2741" s="7">
        <v>41318.54667824074</v>
      </c>
      <c r="M2741" s="16"/>
      <c r="N2741" s="14" t="s">
        <v>2585</v>
      </c>
      <c r="O2741" s="11" t="str">
        <f>HYPERLINK("https://pbs.twimg.com/profile_images/460099412526518272/aNXvaTyn_normal.jpeg","View")</f>
        <v>View</v>
      </c>
      <c r="P2741" s="15"/>
    </row>
    <row r="2742">
      <c r="A2742" s="7">
        <v>42426.321331018524</v>
      </c>
      <c r="B2742" s="8" t="str">
        <f>HYPERLINK("https://twitter.com/steveaschwarz","@steveaschwarz")</f>
        <v>@steveaschwarz</v>
      </c>
      <c r="C2742" s="10" t="s">
        <v>5633</v>
      </c>
      <c r="D2742" s="10" t="s">
        <v>5634</v>
      </c>
      <c r="E2742" s="11" t="str">
        <f>HYPERLINK("https://twitter.com/steveaschwarz/status/703243805969879041","703243805969879041")</f>
        <v>703243805969879041</v>
      </c>
      <c r="F2742" s="12" t="s">
        <v>20</v>
      </c>
      <c r="G2742" s="13">
        <v>34.0</v>
      </c>
      <c r="H2742" s="13">
        <v>84.0</v>
      </c>
      <c r="I2742" s="13">
        <v>0.0</v>
      </c>
      <c r="J2742" s="13">
        <v>0.0</v>
      </c>
      <c r="K2742" s="12" t="s">
        <v>21</v>
      </c>
      <c r="L2742" s="7">
        <v>42207.31417824074</v>
      </c>
      <c r="M2742" s="14" t="s">
        <v>1158</v>
      </c>
      <c r="N2742" s="14" t="s">
        <v>5635</v>
      </c>
      <c r="O2742" s="11" t="str">
        <f>HYPERLINK("https://pbs.twimg.com/profile_images/623863979337773056/m7htjP_b_normal.jpg","View")</f>
        <v>View</v>
      </c>
      <c r="P2742" s="15"/>
    </row>
    <row r="2743">
      <c r="A2743" s="7">
        <v>42426.321759259255</v>
      </c>
      <c r="B2743" s="8" t="str">
        <f>HYPERLINK("https://twitter.com/korezian","@korezian")</f>
        <v>@korezian</v>
      </c>
      <c r="C2743" s="10" t="s">
        <v>2584</v>
      </c>
      <c r="D2743" s="10" t="s">
        <v>3699</v>
      </c>
      <c r="E2743" s="11" t="str">
        <f>HYPERLINK("https://twitter.com/korezian/status/703243959561273344","703243959561273344")</f>
        <v>703243959561273344</v>
      </c>
      <c r="F2743" s="12" t="s">
        <v>152</v>
      </c>
      <c r="G2743" s="13">
        <v>336.0</v>
      </c>
      <c r="H2743" s="13">
        <v>662.0</v>
      </c>
      <c r="I2743" s="13">
        <v>30.0</v>
      </c>
      <c r="J2743" s="13">
        <v>0.0</v>
      </c>
      <c r="K2743" s="12" t="s">
        <v>21</v>
      </c>
      <c r="L2743" s="7">
        <v>41318.54667824074</v>
      </c>
      <c r="M2743" s="16"/>
      <c r="N2743" s="14" t="s">
        <v>2585</v>
      </c>
      <c r="O2743" s="11" t="str">
        <f>HYPERLINK("https://pbs.twimg.com/profile_images/460099412526518272/aNXvaTyn_normal.jpeg","View")</f>
        <v>View</v>
      </c>
      <c r="P2743" s="15"/>
    </row>
    <row r="2744">
      <c r="A2744" s="7">
        <v>42426.32304398148</v>
      </c>
      <c r="B2744" s="8" t="str">
        <f>HYPERLINK("https://twitter.com/IBMCanada","@IBMCanada")</f>
        <v>@IBMCanada</v>
      </c>
      <c r="C2744" s="10" t="s">
        <v>5590</v>
      </c>
      <c r="D2744" s="10" t="s">
        <v>5636</v>
      </c>
      <c r="E2744" s="11" t="str">
        <f>HYPERLINK("https://twitter.com/IBMCanada/status/703244426836049924","703244426836049924")</f>
        <v>703244426836049924</v>
      </c>
      <c r="F2744" s="12" t="s">
        <v>294</v>
      </c>
      <c r="G2744" s="13">
        <v>3865.0</v>
      </c>
      <c r="H2744" s="13">
        <v>4442.0</v>
      </c>
      <c r="I2744" s="13">
        <v>1.0</v>
      </c>
      <c r="J2744" s="13">
        <v>1.0</v>
      </c>
      <c r="K2744" s="12" t="s">
        <v>21</v>
      </c>
      <c r="L2744" s="7">
        <v>41108.445439814815</v>
      </c>
      <c r="M2744" s="14" t="s">
        <v>1134</v>
      </c>
      <c r="N2744" s="14" t="s">
        <v>5592</v>
      </c>
      <c r="O2744" s="11" t="str">
        <f>HYPERLINK("https://pbs.twimg.com/profile_images/651212811809329153/cLuW9YQO_normal.jpg","View")</f>
        <v>View</v>
      </c>
      <c r="P2744" s="15"/>
    </row>
    <row r="2745">
      <c r="A2745" s="7">
        <v>42426.32346064815</v>
      </c>
      <c r="B2745" s="8" t="str">
        <f>HYPERLINK("https://twitter.com/codek_tv","@codek_tv")</f>
        <v>@codek_tv</v>
      </c>
      <c r="C2745" s="10" t="s">
        <v>5637</v>
      </c>
      <c r="D2745" s="10" t="s">
        <v>5638</v>
      </c>
      <c r="E2745" s="11" t="str">
        <f>HYPERLINK("https://twitter.com/codek_tv/status/703244577218674688","703244577218674688")</f>
        <v>703244577218674688</v>
      </c>
      <c r="F2745" s="12" t="s">
        <v>659</v>
      </c>
      <c r="G2745" s="13">
        <v>16004.0</v>
      </c>
      <c r="H2745" s="13">
        <v>17533.0</v>
      </c>
      <c r="I2745" s="13">
        <v>1.0</v>
      </c>
      <c r="J2745" s="13">
        <v>7.0</v>
      </c>
      <c r="K2745" s="12" t="s">
        <v>21</v>
      </c>
      <c r="L2745" s="7">
        <v>42161.0396875</v>
      </c>
      <c r="M2745" s="16"/>
      <c r="N2745" s="14" t="s">
        <v>5639</v>
      </c>
      <c r="O2745" s="11" t="str">
        <f>HYPERLINK("https://pbs.twimg.com/profile_images/607094382596980736/U8FwdC0e_normal.png","View")</f>
        <v>View</v>
      </c>
      <c r="P2745" s="15"/>
    </row>
    <row r="2746">
      <c r="A2746" s="7">
        <v>42426.323587962965</v>
      </c>
      <c r="B2746" s="8" t="str">
        <f>HYPERLINK("https://twitter.com/GuardianEduCent","@GuardianEduCent")</f>
        <v>@GuardianEduCent</v>
      </c>
      <c r="C2746" s="10" t="s">
        <v>5640</v>
      </c>
      <c r="D2746" s="10" t="s">
        <v>5641</v>
      </c>
      <c r="E2746" s="11" t="str">
        <f>HYPERLINK("https://twitter.com/GuardianEduCent/status/703244622017990656","703244622017990656")</f>
        <v>703244622017990656</v>
      </c>
      <c r="F2746" s="12" t="s">
        <v>446</v>
      </c>
      <c r="G2746" s="13">
        <v>2568.0</v>
      </c>
      <c r="H2746" s="13">
        <v>582.0</v>
      </c>
      <c r="I2746" s="13">
        <v>7.0</v>
      </c>
      <c r="J2746" s="13">
        <v>15.0</v>
      </c>
      <c r="K2746" s="12" t="s">
        <v>21</v>
      </c>
      <c r="L2746" s="7">
        <v>40764.27415509259</v>
      </c>
      <c r="M2746" s="14" t="s">
        <v>489</v>
      </c>
      <c r="N2746" s="14" t="s">
        <v>5642</v>
      </c>
      <c r="O2746" s="11" t="str">
        <f>HYPERLINK("https://pbs.twimg.com/profile_images/1486253270/GEducCentre_normal.jpg","View")</f>
        <v>View</v>
      </c>
      <c r="P2746" s="15"/>
    </row>
    <row r="2747">
      <c r="A2747" s="7">
        <v>42426.32418981481</v>
      </c>
      <c r="B2747" s="8" t="str">
        <f>HYPERLINK("https://twitter.com/pacoramon","@pacoramon")</f>
        <v>@pacoramon</v>
      </c>
      <c r="C2747" s="10" t="s">
        <v>5643</v>
      </c>
      <c r="D2747" s="10" t="s">
        <v>5517</v>
      </c>
      <c r="E2747" s="11" t="str">
        <f>HYPERLINK("https://twitter.com/pacoramon/status/703244840046297088","703244840046297088")</f>
        <v>703244840046297088</v>
      </c>
      <c r="F2747" s="12" t="s">
        <v>52</v>
      </c>
      <c r="G2747" s="13">
        <v>808.0</v>
      </c>
      <c r="H2747" s="13">
        <v>2044.0</v>
      </c>
      <c r="I2747" s="13">
        <v>12.0</v>
      </c>
      <c r="J2747" s="13">
        <v>0.0</v>
      </c>
      <c r="K2747" s="12" t="s">
        <v>21</v>
      </c>
      <c r="L2747" s="7">
        <v>40023.25795138889</v>
      </c>
      <c r="M2747" s="14" t="s">
        <v>232</v>
      </c>
      <c r="N2747" s="14" t="s">
        <v>5644</v>
      </c>
      <c r="O2747" s="11" t="str">
        <f>HYPERLINK("https://pbs.twimg.com/profile_images/378800000859434127/2hj0SxQo_normal.jpeg","View")</f>
        <v>View</v>
      </c>
      <c r="P2747" s="15"/>
    </row>
    <row r="2748">
      <c r="A2748" s="7">
        <v>42426.324594907404</v>
      </c>
      <c r="B2748" s="8" t="str">
        <f>HYPERLINK("https://twitter.com/2mo_hamisme","@2mo_hamisme")</f>
        <v>@2mo_hamisme</v>
      </c>
      <c r="C2748" s="10" t="s">
        <v>5645</v>
      </c>
      <c r="D2748" s="10" t="s">
        <v>4211</v>
      </c>
      <c r="E2748" s="11" t="str">
        <f>HYPERLINK("https://twitter.com/2mo_hamisme/status/703244988776251393","703244988776251393")</f>
        <v>703244988776251393</v>
      </c>
      <c r="F2748" s="12" t="s">
        <v>20</v>
      </c>
      <c r="G2748" s="13">
        <v>43.0</v>
      </c>
      <c r="H2748" s="13">
        <v>121.0</v>
      </c>
      <c r="I2748" s="13">
        <v>55.0</v>
      </c>
      <c r="J2748" s="13">
        <v>0.0</v>
      </c>
      <c r="K2748" s="12" t="s">
        <v>21</v>
      </c>
      <c r="L2748" s="7">
        <v>40519.169085648144</v>
      </c>
      <c r="M2748" s="14" t="s">
        <v>5646</v>
      </c>
      <c r="N2748" s="16"/>
      <c r="O2748" s="11" t="str">
        <f>HYPERLINK("https://pbs.twimg.com/profile_images/586477016339218433/PmK0RP5e_normal.jpg","View")</f>
        <v>View</v>
      </c>
      <c r="P2748" s="15"/>
    </row>
    <row r="2749">
      <c r="A2749" s="7">
        <v>42426.32486111111</v>
      </c>
      <c r="B2749" s="8" t="str">
        <f>HYPERLINK("https://twitter.com/kunkelast","@kunkelast")</f>
        <v>@kunkelast</v>
      </c>
      <c r="C2749" s="10" t="s">
        <v>5647</v>
      </c>
      <c r="D2749" s="10" t="s">
        <v>5648</v>
      </c>
      <c r="E2749" s="11" t="str">
        <f>HYPERLINK("https://twitter.com/kunkelast/status/703245083978502144","703245083978502144")</f>
        <v>703245083978502144</v>
      </c>
      <c r="F2749" s="12" t="s">
        <v>38</v>
      </c>
      <c r="G2749" s="13">
        <v>575.0</v>
      </c>
      <c r="H2749" s="13">
        <v>637.0</v>
      </c>
      <c r="I2749" s="13">
        <v>1.0</v>
      </c>
      <c r="J2749" s="13">
        <v>0.0</v>
      </c>
      <c r="K2749" s="12" t="s">
        <v>21</v>
      </c>
      <c r="L2749" s="7">
        <v>41924.01782407407</v>
      </c>
      <c r="M2749" s="14" t="s">
        <v>5649</v>
      </c>
      <c r="N2749" s="14" t="s">
        <v>5650</v>
      </c>
      <c r="O2749" s="11" t="str">
        <f>HYPERLINK("https://pbs.twimg.com/profile_images/521204187107831812/V17O0dMn_normal.jpeg","View")</f>
        <v>View</v>
      </c>
      <c r="P2749" s="15"/>
    </row>
    <row r="2750">
      <c r="A2750" s="7">
        <v>42426.32553240741</v>
      </c>
      <c r="B2750" s="8" t="str">
        <f>HYPERLINK("https://twitter.com/bigboardsio","@bigboardsio")</f>
        <v>@bigboardsio</v>
      </c>
      <c r="C2750" s="10" t="s">
        <v>5651</v>
      </c>
      <c r="D2750" s="10" t="s">
        <v>5517</v>
      </c>
      <c r="E2750" s="11" t="str">
        <f>HYPERLINK("https://twitter.com/bigboardsio/status/703245327541866496","703245327541866496")</f>
        <v>703245327541866496</v>
      </c>
      <c r="F2750" s="12" t="s">
        <v>38</v>
      </c>
      <c r="G2750" s="13">
        <v>3089.0</v>
      </c>
      <c r="H2750" s="13">
        <v>2635.0</v>
      </c>
      <c r="I2750" s="13">
        <v>12.0</v>
      </c>
      <c r="J2750" s="13">
        <v>0.0</v>
      </c>
      <c r="K2750" s="12" t="s">
        <v>21</v>
      </c>
      <c r="L2750" s="7">
        <v>41449.67438657407</v>
      </c>
      <c r="M2750" s="14" t="s">
        <v>5652</v>
      </c>
      <c r="N2750" s="14" t="s">
        <v>5653</v>
      </c>
      <c r="O2750" s="11" t="str">
        <f>HYPERLINK("https://pbs.twimg.com/profile_images/489375332743409664/P4sYDY1__normal.png","View")</f>
        <v>View</v>
      </c>
      <c r="P2750" s="15"/>
    </row>
    <row r="2751">
      <c r="A2751" s="7">
        <v>42426.3263425926</v>
      </c>
      <c r="B2751" s="8" t="str">
        <f>HYPERLINK("https://twitter.com/ElliNarewska","@ElliNarewska")</f>
        <v>@ElliNarewska</v>
      </c>
      <c r="C2751" s="10" t="s">
        <v>5654</v>
      </c>
      <c r="D2751" s="10" t="s">
        <v>5655</v>
      </c>
      <c r="E2751" s="11" t="str">
        <f>HYPERLINK("https://twitter.com/ElliNarewska/status/703245620350418945","703245620350418945")</f>
        <v>703245620350418945</v>
      </c>
      <c r="F2751" s="12" t="s">
        <v>446</v>
      </c>
      <c r="G2751" s="13">
        <v>340.0</v>
      </c>
      <c r="H2751" s="13">
        <v>884.0</v>
      </c>
      <c r="I2751" s="13">
        <v>7.0</v>
      </c>
      <c r="J2751" s="13">
        <v>0.0</v>
      </c>
      <c r="K2751" s="12" t="s">
        <v>21</v>
      </c>
      <c r="L2751" s="7">
        <v>41442.49569444444</v>
      </c>
      <c r="M2751" s="14" t="s">
        <v>489</v>
      </c>
      <c r="N2751" s="14" t="s">
        <v>5656</v>
      </c>
      <c r="O2751" s="11" t="str">
        <f>HYPERLINK("https://pbs.twimg.com/profile_images/450646561647644672/UwClAbvp_normal.jpeg","View")</f>
        <v>View</v>
      </c>
      <c r="P2751" s="15"/>
    </row>
    <row r="2752">
      <c r="A2752" s="7">
        <v>42426.32754629629</v>
      </c>
      <c r="B2752" s="8" t="str">
        <f>HYPERLINK("https://twitter.com/ABERDYN_Recrute","@ABERDYN_Recrute")</f>
        <v>@ABERDYN_Recrute</v>
      </c>
      <c r="C2752" s="10" t="s">
        <v>5657</v>
      </c>
      <c r="D2752" s="10" t="s">
        <v>5658</v>
      </c>
      <c r="E2752" s="11" t="str">
        <f>HYPERLINK("https://twitter.com/ABERDYN_Recrute/status/703246056075689984","703246056075689984")</f>
        <v>703246056075689984</v>
      </c>
      <c r="F2752" s="12" t="s">
        <v>20</v>
      </c>
      <c r="G2752" s="13">
        <v>142.0</v>
      </c>
      <c r="H2752" s="13">
        <v>718.0</v>
      </c>
      <c r="I2752" s="13">
        <v>1.0</v>
      </c>
      <c r="J2752" s="13">
        <v>0.0</v>
      </c>
      <c r="K2752" s="12" t="s">
        <v>21</v>
      </c>
      <c r="L2752" s="7">
        <v>42417.104479166665</v>
      </c>
      <c r="M2752" s="14" t="s">
        <v>5659</v>
      </c>
      <c r="N2752" s="14" t="s">
        <v>5660</v>
      </c>
      <c r="O2752" s="11" t="str">
        <f>HYPERLINK("https://pbs.twimg.com/profile_images/699905898316103680/UEJP7sZv_normal.png","View")</f>
        <v>View</v>
      </c>
      <c r="P2752" s="15"/>
    </row>
    <row r="2753">
      <c r="A2753" s="7">
        <v>42426.328935185185</v>
      </c>
      <c r="B2753" s="8" t="str">
        <f>HYPERLINK("https://twitter.com/giocante","@giocante")</f>
        <v>@giocante</v>
      </c>
      <c r="C2753" s="10" t="s">
        <v>4300</v>
      </c>
      <c r="D2753" s="10" t="s">
        <v>5517</v>
      </c>
      <c r="E2753" s="11" t="str">
        <f>HYPERLINK("https://twitter.com/giocante/status/703246560126234625","703246560126234625")</f>
        <v>703246560126234625</v>
      </c>
      <c r="F2753" s="12" t="s">
        <v>38</v>
      </c>
      <c r="G2753" s="13">
        <v>513.0</v>
      </c>
      <c r="H2753" s="13">
        <v>68.0</v>
      </c>
      <c r="I2753" s="13">
        <v>12.0</v>
      </c>
      <c r="J2753" s="13">
        <v>0.0</v>
      </c>
      <c r="K2753" s="12" t="s">
        <v>21</v>
      </c>
      <c r="L2753" s="7">
        <v>41996.103472222225</v>
      </c>
      <c r="M2753" s="14" t="s">
        <v>4302</v>
      </c>
      <c r="N2753" s="14" t="s">
        <v>4303</v>
      </c>
      <c r="O2753" s="11" t="str">
        <f>HYPERLINK("https://pbs.twimg.com/profile_images/547338209684758528/Kb9MNrJR_normal.png","View")</f>
        <v>View</v>
      </c>
      <c r="P2753" s="15"/>
    </row>
    <row r="2754">
      <c r="A2754" s="7">
        <v>42426.32908564815</v>
      </c>
      <c r="B2754" s="8" t="str">
        <f>HYPERLINK("https://twitter.com/ruby2elixir","@ruby2elixir")</f>
        <v>@ruby2elixir</v>
      </c>
      <c r="C2754" s="10" t="s">
        <v>5661</v>
      </c>
      <c r="D2754" s="10" t="s">
        <v>5662</v>
      </c>
      <c r="E2754" s="11" t="str">
        <f>HYPERLINK("https://twitter.com/ruby2elixir/status/703246617021915136","703246617021915136")</f>
        <v>703246617021915136</v>
      </c>
      <c r="F2754" s="12" t="s">
        <v>20</v>
      </c>
      <c r="G2754" s="13">
        <v>219.0</v>
      </c>
      <c r="H2754" s="13">
        <v>297.0</v>
      </c>
      <c r="I2754" s="13">
        <v>1.0</v>
      </c>
      <c r="J2754" s="13">
        <v>0.0</v>
      </c>
      <c r="K2754" s="12" t="s">
        <v>21</v>
      </c>
      <c r="L2754" s="7">
        <v>42332.34574074074</v>
      </c>
      <c r="M2754" s="16"/>
      <c r="N2754" s="14" t="s">
        <v>5663</v>
      </c>
      <c r="O2754" s="11" t="str">
        <f>HYPERLINK("https://pbs.twimg.com/profile_images/669199299251605504/LuAN40lz_normal.jpg","View")</f>
        <v>View</v>
      </c>
      <c r="P2754" s="15"/>
    </row>
    <row r="2755">
      <c r="A2755" s="7">
        <v>42426.32988425926</v>
      </c>
      <c r="B2755" s="8" t="str">
        <f>HYPERLINK("https://twitter.com/technogsalad","@technogsalad")</f>
        <v>@technogsalad</v>
      </c>
      <c r="C2755" s="10" t="s">
        <v>5664</v>
      </c>
      <c r="D2755" s="10" t="s">
        <v>5665</v>
      </c>
      <c r="E2755" s="11" t="str">
        <f>HYPERLINK("https://twitter.com/technogsalad/status/703246904684052481","703246904684052481")</f>
        <v>703246904684052481</v>
      </c>
      <c r="F2755" s="12" t="s">
        <v>52</v>
      </c>
      <c r="G2755" s="13">
        <v>838.0</v>
      </c>
      <c r="H2755" s="13">
        <v>712.0</v>
      </c>
      <c r="I2755" s="13">
        <v>0.0</v>
      </c>
      <c r="J2755" s="13">
        <v>4.0</v>
      </c>
      <c r="K2755" s="12" t="s">
        <v>21</v>
      </c>
      <c r="L2755" s="7">
        <v>39996.4775462963</v>
      </c>
      <c r="M2755" s="14" t="s">
        <v>1806</v>
      </c>
      <c r="N2755" s="14" t="s">
        <v>5666</v>
      </c>
      <c r="O2755" s="11" t="str">
        <f>HYPERLINK("https://pbs.twimg.com/profile_images/702765321468436480/0hNIOmX1_normal.jpg","View")</f>
        <v>View</v>
      </c>
      <c r="P2755" s="15"/>
    </row>
    <row r="2756">
      <c r="A2756" s="7">
        <v>42426.33059027778</v>
      </c>
      <c r="B2756" s="8" t="str">
        <f>HYPERLINK("https://twitter.com/pdellaert","@pdellaert")</f>
        <v>@pdellaert</v>
      </c>
      <c r="C2756" s="10" t="s">
        <v>5667</v>
      </c>
      <c r="D2756" s="10" t="s">
        <v>5668</v>
      </c>
      <c r="E2756" s="11" t="str">
        <f>HYPERLINK("https://twitter.com/pdellaert/status/703247160901505024","703247160901505024")</f>
        <v>703247160901505024</v>
      </c>
      <c r="F2756" s="12" t="s">
        <v>5669</v>
      </c>
      <c r="G2756" s="13">
        <v>250.0</v>
      </c>
      <c r="H2756" s="13">
        <v>278.0</v>
      </c>
      <c r="I2756" s="13">
        <v>0.0</v>
      </c>
      <c r="J2756" s="13">
        <v>0.0</v>
      </c>
      <c r="K2756" s="12" t="s">
        <v>21</v>
      </c>
      <c r="L2756" s="7">
        <v>40040.71728009259</v>
      </c>
      <c r="M2756" s="14" t="s">
        <v>5670</v>
      </c>
      <c r="N2756" s="16"/>
      <c r="O2756" s="11" t="str">
        <f>HYPERLINK("https://pbs.twimg.com/profile_images/461622478435938304/j-LydgBb_normal.png","View")</f>
        <v>View</v>
      </c>
      <c r="P2756" s="15"/>
    </row>
    <row r="2757">
      <c r="A2757" s="7">
        <v>42426.33087962963</v>
      </c>
      <c r="B2757" s="8" t="str">
        <f>HYPERLINK("https://twitter.com/viniciusban","@viniciusban")</f>
        <v>@viniciusban</v>
      </c>
      <c r="C2757" s="10" t="s">
        <v>2491</v>
      </c>
      <c r="D2757" s="10" t="s">
        <v>5671</v>
      </c>
      <c r="E2757" s="11" t="str">
        <f>HYPERLINK("https://twitter.com/viniciusban/status/703247267084558336","703247267084558336")</f>
        <v>703247267084558336</v>
      </c>
      <c r="F2757" s="12" t="s">
        <v>20</v>
      </c>
      <c r="G2757" s="13">
        <v>431.0</v>
      </c>
      <c r="H2757" s="13">
        <v>42.0</v>
      </c>
      <c r="I2757" s="13">
        <v>0.0</v>
      </c>
      <c r="J2757" s="13">
        <v>0.0</v>
      </c>
      <c r="K2757" s="12" t="s">
        <v>21</v>
      </c>
      <c r="L2757" s="7">
        <v>40099.363020833334</v>
      </c>
      <c r="M2757" s="14" t="s">
        <v>1386</v>
      </c>
      <c r="N2757" s="14" t="s">
        <v>2493</v>
      </c>
      <c r="O2757" s="11" t="str">
        <f>HYPERLINK("https://pbs.twimg.com/profile_images/607019239661301760/dwP4tw91_normal.jpg","View")</f>
        <v>View</v>
      </c>
      <c r="P2757" s="15"/>
    </row>
    <row r="2758">
      <c r="A2758" s="7">
        <v>42426.33099537037</v>
      </c>
      <c r="B2758" s="8" t="str">
        <f>HYPERLINK("https://twitter.com/pyletter","@pyletter")</f>
        <v>@pyletter</v>
      </c>
      <c r="C2758" s="10" t="s">
        <v>728</v>
      </c>
      <c r="D2758" s="10" t="s">
        <v>5672</v>
      </c>
      <c r="E2758" s="11" t="str">
        <f>HYPERLINK("https://twitter.com/pyletter/status/703247308008378368","703247308008378368")</f>
        <v>703247308008378368</v>
      </c>
      <c r="F2758" s="12" t="s">
        <v>20</v>
      </c>
      <c r="G2758" s="13">
        <v>1912.0</v>
      </c>
      <c r="H2758" s="13">
        <v>4336.0</v>
      </c>
      <c r="I2758" s="13">
        <v>1.0</v>
      </c>
      <c r="J2758" s="13">
        <v>3.0</v>
      </c>
      <c r="K2758" s="12" t="s">
        <v>21</v>
      </c>
      <c r="L2758" s="7">
        <v>42241.41929398148</v>
      </c>
      <c r="M2758" s="16"/>
      <c r="N2758" s="14" t="s">
        <v>730</v>
      </c>
      <c r="O2758" s="11" t="str">
        <f>HYPERLINK("https://pbs.twimg.com/profile_images/636818185363308544/jPSDHL0m_normal.jpg","View")</f>
        <v>View</v>
      </c>
      <c r="P2758" s="15"/>
    </row>
    <row r="2759">
      <c r="A2759" s="7">
        <v>42426.33118055556</v>
      </c>
      <c r="B2759" s="8" t="str">
        <f>HYPERLINK("https://twitter.com/vmirly","@vmirly")</f>
        <v>@vmirly</v>
      </c>
      <c r="C2759" s="10" t="s">
        <v>5673</v>
      </c>
      <c r="D2759" s="10" t="s">
        <v>5674</v>
      </c>
      <c r="E2759" s="11" t="str">
        <f>HYPERLINK("https://twitter.com/vmirly/status/703247374601363457","703247374601363457")</f>
        <v>703247374601363457</v>
      </c>
      <c r="F2759" s="12" t="s">
        <v>20</v>
      </c>
      <c r="G2759" s="13">
        <v>612.0</v>
      </c>
      <c r="H2759" s="13">
        <v>706.0</v>
      </c>
      <c r="I2759" s="13">
        <v>0.0</v>
      </c>
      <c r="J2759" s="13">
        <v>1.0</v>
      </c>
      <c r="K2759" s="12" t="s">
        <v>21</v>
      </c>
      <c r="L2759" s="7">
        <v>41401.790879629625</v>
      </c>
      <c r="M2759" s="14" t="s">
        <v>5675</v>
      </c>
      <c r="N2759" s="14" t="s">
        <v>5676</v>
      </c>
      <c r="O2759" s="11" t="str">
        <f>HYPERLINK("https://pbs.twimg.com/profile_images/491430341974839298/zaSVXQrF_normal.jpeg","View")</f>
        <v>View</v>
      </c>
      <c r="P2759" s="15"/>
    </row>
    <row r="2760">
      <c r="A2760" s="7">
        <v>42426.33232638889</v>
      </c>
      <c r="B2760" s="8" t="str">
        <f>HYPERLINK("https://twitter.com/d3f0","@d3f0")</f>
        <v>@d3f0</v>
      </c>
      <c r="C2760" s="10" t="s">
        <v>5677</v>
      </c>
      <c r="D2760" s="10" t="s">
        <v>5678</v>
      </c>
      <c r="E2760" s="11" t="str">
        <f>HYPERLINK("https://twitter.com/d3f0/status/703247791104122883","703247791104122883")</f>
        <v>703247791104122883</v>
      </c>
      <c r="F2760" s="12" t="s">
        <v>20</v>
      </c>
      <c r="G2760" s="13">
        <v>274.0</v>
      </c>
      <c r="H2760" s="13">
        <v>452.0</v>
      </c>
      <c r="I2760" s="13">
        <v>3.0</v>
      </c>
      <c r="J2760" s="13">
        <v>2.0</v>
      </c>
      <c r="K2760" s="12" t="s">
        <v>21</v>
      </c>
      <c r="L2760" s="7">
        <v>39621.68388888889</v>
      </c>
      <c r="M2760" s="14" t="s">
        <v>5679</v>
      </c>
      <c r="N2760" s="14" t="s">
        <v>5680</v>
      </c>
      <c r="O2760" s="11" t="str">
        <f>HYPERLINK("https://pbs.twimg.com/profile_images/511251863694356480/qQJgcOer_normal.jpeg","View")</f>
        <v>View</v>
      </c>
      <c r="P2760" s="15"/>
    </row>
    <row r="2761">
      <c r="A2761" s="7">
        <v>42426.33236111111</v>
      </c>
      <c r="B2761" s="8" t="str">
        <f>HYPERLINK("https://twitter.com/AskUbuntu","@AskUbuntu")</f>
        <v>@AskUbuntu</v>
      </c>
      <c r="C2761" s="10" t="s">
        <v>5681</v>
      </c>
      <c r="D2761" s="10" t="s">
        <v>5682</v>
      </c>
      <c r="E2761" s="11" t="str">
        <f>HYPERLINK("https://twitter.com/AskUbuntu/status/703247804102287360","703247804102287360")</f>
        <v>703247804102287360</v>
      </c>
      <c r="F2761" s="12" t="s">
        <v>85</v>
      </c>
      <c r="G2761" s="13">
        <v>927.0</v>
      </c>
      <c r="H2761" s="13">
        <v>0.0</v>
      </c>
      <c r="I2761" s="13">
        <v>0.0</v>
      </c>
      <c r="J2761" s="13">
        <v>0.0</v>
      </c>
      <c r="K2761" s="12" t="s">
        <v>21</v>
      </c>
      <c r="L2761" s="7">
        <v>40550.50814814815</v>
      </c>
      <c r="M2761" s="14" t="s">
        <v>86</v>
      </c>
      <c r="N2761" s="14" t="s">
        <v>5683</v>
      </c>
      <c r="O2761" s="11" t="str">
        <f>HYPERLINK("https://pbs.twimg.com/profile_images/1209490090/apple-touch-icon_normal.png","View")</f>
        <v>View</v>
      </c>
      <c r="P2761" s="15"/>
    </row>
    <row r="2762">
      <c r="A2762" s="7">
        <v>42426.332407407404</v>
      </c>
      <c r="B2762" s="8" t="str">
        <f>HYPERLINK("https://twitter.com/johnhubner","@johnhubner")</f>
        <v>@johnhubner</v>
      </c>
      <c r="C2762" s="10" t="s">
        <v>1524</v>
      </c>
      <c r="D2762" s="10" t="s">
        <v>5684</v>
      </c>
      <c r="E2762" s="11" t="str">
        <f>HYPERLINK("https://twitter.com/johnhubner/status/703247817473658880","703247817473658880")</f>
        <v>703247817473658880</v>
      </c>
      <c r="F2762" s="17" t="s">
        <v>718</v>
      </c>
      <c r="G2762" s="13">
        <v>897.0</v>
      </c>
      <c r="H2762" s="13">
        <v>1766.0</v>
      </c>
      <c r="I2762" s="13">
        <v>1.0</v>
      </c>
      <c r="J2762" s="13">
        <v>1.0</v>
      </c>
      <c r="K2762" s="12" t="s">
        <v>21</v>
      </c>
      <c r="L2762" s="7">
        <v>40133.72251157407</v>
      </c>
      <c r="M2762" s="14" t="s">
        <v>1526</v>
      </c>
      <c r="N2762" s="14" t="s">
        <v>1527</v>
      </c>
      <c r="O2762" s="11" t="str">
        <f>HYPERLINK("https://pbs.twimg.com/profile_images/551118940626485248/HvInXw1o_normal.jpeg","View")</f>
        <v>View</v>
      </c>
      <c r="P2762" s="15"/>
    </row>
    <row r="2763">
      <c r="A2763" s="7">
        <v>42426.332453703704</v>
      </c>
      <c r="B2763" s="8" t="str">
        <f>HYPERLINK("https://twitter.com/altraud","@altraud")</f>
        <v>@altraud</v>
      </c>
      <c r="C2763" s="10" t="s">
        <v>5685</v>
      </c>
      <c r="D2763" s="10" t="s">
        <v>5686</v>
      </c>
      <c r="E2763" s="11" t="str">
        <f>HYPERLINK("https://twitter.com/altraud/status/703247834297077760","703247834297077760")</f>
        <v>703247834297077760</v>
      </c>
      <c r="F2763" s="12" t="s">
        <v>152</v>
      </c>
      <c r="G2763" s="13">
        <v>245.0</v>
      </c>
      <c r="H2763" s="13">
        <v>103.0</v>
      </c>
      <c r="I2763" s="13">
        <v>1.0</v>
      </c>
      <c r="J2763" s="13">
        <v>0.0</v>
      </c>
      <c r="K2763" s="12" t="s">
        <v>21</v>
      </c>
      <c r="L2763" s="7">
        <v>39885.86460648148</v>
      </c>
      <c r="M2763" s="14" t="s">
        <v>5687</v>
      </c>
      <c r="N2763" s="14" t="s">
        <v>5688</v>
      </c>
      <c r="O2763" s="11" t="str">
        <f>HYPERLINK("https://pbs.twimg.com/profile_images/694326070049271808/O-tHQoHk_normal.jpg","View")</f>
        <v>View</v>
      </c>
      <c r="P2763" s="15"/>
    </row>
    <row r="2764">
      <c r="A2764" s="7">
        <v>42426.33300925926</v>
      </c>
      <c r="B2764" s="8" t="str">
        <f>HYPERLINK("https://twitter.com/L030DEH1EL0","@L030DEH1EL0")</f>
        <v>@L030DEH1EL0</v>
      </c>
      <c r="C2764" s="10" t="s">
        <v>5689</v>
      </c>
      <c r="D2764" s="10" t="s">
        <v>5494</v>
      </c>
      <c r="E2764" s="11" t="str">
        <f>HYPERLINK("https://twitter.com/L030DEH1EL0/status/703248036110192640","703248036110192640")</f>
        <v>703248036110192640</v>
      </c>
      <c r="F2764" s="12" t="s">
        <v>152</v>
      </c>
      <c r="G2764" s="13">
        <v>43.0</v>
      </c>
      <c r="H2764" s="13">
        <v>116.0</v>
      </c>
      <c r="I2764" s="13">
        <v>9.0</v>
      </c>
      <c r="J2764" s="13">
        <v>0.0</v>
      </c>
      <c r="K2764" s="12" t="s">
        <v>21</v>
      </c>
      <c r="L2764" s="7">
        <v>41416.45711805556</v>
      </c>
      <c r="M2764" s="14" t="s">
        <v>5690</v>
      </c>
      <c r="N2764" s="16"/>
      <c r="O2764" s="11" t="str">
        <f>HYPERLINK("https://pbs.twimg.com/profile_images/3695383590/6d3b28b406126552fb356c649a7081e8_normal.jpeg","View")</f>
        <v>View</v>
      </c>
      <c r="P2764" s="15"/>
    </row>
    <row r="2765">
      <c r="A2765" s="7">
        <v>42426.33363425926</v>
      </c>
      <c r="B2765" s="8" t="str">
        <f>HYPERLINK("https://twitter.com/cool_python","@cool_python")</f>
        <v>@cool_python</v>
      </c>
      <c r="C2765" s="10" t="s">
        <v>249</v>
      </c>
      <c r="D2765" s="10" t="s">
        <v>5691</v>
      </c>
      <c r="E2765" s="11" t="str">
        <f>HYPERLINK("https://twitter.com/cool_python/status/703248262774575104","703248262774575104")</f>
        <v>703248262774575104</v>
      </c>
      <c r="F2765" s="12" t="s">
        <v>251</v>
      </c>
      <c r="G2765" s="13">
        <v>235.0</v>
      </c>
      <c r="H2765" s="13">
        <v>91.0</v>
      </c>
      <c r="I2765" s="13">
        <v>1.0</v>
      </c>
      <c r="J2765" s="13">
        <v>0.0</v>
      </c>
      <c r="K2765" s="12" t="s">
        <v>21</v>
      </c>
      <c r="L2765" s="7">
        <v>42064.325</v>
      </c>
      <c r="M2765" s="14" t="s">
        <v>252</v>
      </c>
      <c r="N2765" s="14" t="s">
        <v>253</v>
      </c>
      <c r="O2765" s="11" t="str">
        <f>HYPERLINK("https://pbs.twimg.com/profile_images/572091631055028224/Pkx__FSB_normal.png","View")</f>
        <v>View</v>
      </c>
      <c r="P2765" s="15"/>
    </row>
    <row r="2766">
      <c r="A2766" s="7">
        <v>42426.33368055556</v>
      </c>
      <c r="B2766" s="8" t="str">
        <f>HYPERLINK("https://twitter.com/nixconnection","@nixconnection")</f>
        <v>@nixconnection</v>
      </c>
      <c r="C2766" s="10" t="s">
        <v>5692</v>
      </c>
      <c r="D2766" s="10" t="s">
        <v>5693</v>
      </c>
      <c r="E2766" s="11" t="str">
        <f>HYPERLINK("https://twitter.com/nixconnection/status/703248279698591744","703248279698591744")</f>
        <v>703248279698591744</v>
      </c>
      <c r="F2766" s="12" t="s">
        <v>20</v>
      </c>
      <c r="G2766" s="13">
        <v>1086.0</v>
      </c>
      <c r="H2766" s="13">
        <v>2411.0</v>
      </c>
      <c r="I2766" s="13">
        <v>3.0</v>
      </c>
      <c r="J2766" s="13">
        <v>0.0</v>
      </c>
      <c r="K2766" s="12" t="s">
        <v>21</v>
      </c>
      <c r="L2766" s="7">
        <v>42390.59517361112</v>
      </c>
      <c r="M2766" s="14" t="s">
        <v>5694</v>
      </c>
      <c r="N2766" s="14" t="s">
        <v>5695</v>
      </c>
      <c r="O2766" s="11" t="str">
        <f>HYPERLINK("https://pbs.twimg.com/profile_images/697825780034887680/X1Dl7QnM_normal.png","View")</f>
        <v>View</v>
      </c>
      <c r="P2766" s="15"/>
    </row>
    <row r="2767">
      <c r="A2767" s="7">
        <v>42426.33387731481</v>
      </c>
      <c r="B2767" s="8" t="str">
        <f>HYPERLINK("https://twitter.com/jrobinson_uk","@jrobinson_uk")</f>
        <v>@jrobinson_uk</v>
      </c>
      <c r="C2767" s="10" t="s">
        <v>5696</v>
      </c>
      <c r="D2767" s="10" t="s">
        <v>5655</v>
      </c>
      <c r="E2767" s="11" t="str">
        <f>HYPERLINK("https://twitter.com/jrobinson_uk/status/703248350322110464","703248350322110464")</f>
        <v>703248350322110464</v>
      </c>
      <c r="F2767" s="12" t="s">
        <v>152</v>
      </c>
      <c r="G2767" s="13">
        <v>776.0</v>
      </c>
      <c r="H2767" s="13">
        <v>502.0</v>
      </c>
      <c r="I2767" s="13">
        <v>7.0</v>
      </c>
      <c r="J2767" s="13">
        <v>0.0</v>
      </c>
      <c r="K2767" s="12" t="s">
        <v>21</v>
      </c>
      <c r="L2767" s="7">
        <v>40486.62546296296</v>
      </c>
      <c r="M2767" s="14" t="s">
        <v>5697</v>
      </c>
      <c r="N2767" s="14" t="s">
        <v>5698</v>
      </c>
      <c r="O2767" s="11" t="str">
        <f>HYPERLINK("https://pbs.twimg.com/profile_images/441353884540215296/LJvsDaTh_normal.jpeg","View")</f>
        <v>View</v>
      </c>
      <c r="P2767" s="15"/>
    </row>
    <row r="2768">
      <c r="A2768" s="7">
        <v>42426.3344212963</v>
      </c>
      <c r="B2768" s="8" t="str">
        <f>HYPERLINK("https://twitter.com/ChrisDiehl","@ChrisDiehl")</f>
        <v>@ChrisDiehl</v>
      </c>
      <c r="C2768" s="10" t="s">
        <v>5699</v>
      </c>
      <c r="D2768" s="10" t="s">
        <v>2088</v>
      </c>
      <c r="E2768" s="11" t="str">
        <f>HYPERLINK("https://twitter.com/ChrisDiehl/status/703248547429224448","703248547429224448")</f>
        <v>703248547429224448</v>
      </c>
      <c r="F2768" s="12" t="s">
        <v>1082</v>
      </c>
      <c r="G2768" s="13">
        <v>4092.0</v>
      </c>
      <c r="H2768" s="13">
        <v>814.0</v>
      </c>
      <c r="I2768" s="13">
        <v>12.0</v>
      </c>
      <c r="J2768" s="13">
        <v>0.0</v>
      </c>
      <c r="K2768" s="12" t="s">
        <v>21</v>
      </c>
      <c r="L2768" s="7">
        <v>39567.82934027778</v>
      </c>
      <c r="M2768" s="14" t="s">
        <v>5700</v>
      </c>
      <c r="N2768" s="14" t="s">
        <v>5701</v>
      </c>
      <c r="O2768" s="11" t="str">
        <f>HYPERLINK("https://pbs.twimg.com/profile_images/690583740196585473/hzYwhRFc_normal.jpg","View")</f>
        <v>View</v>
      </c>
      <c r="P2768" s="15"/>
    </row>
    <row r="2769">
      <c r="A2769" s="7">
        <v>42426.33510416667</v>
      </c>
      <c r="B2769" s="8" t="str">
        <f>HYPERLINK("https://twitter.com/shivamphunt","@shivamphunt")</f>
        <v>@shivamphunt</v>
      </c>
      <c r="C2769" s="10" t="s">
        <v>5702</v>
      </c>
      <c r="D2769" s="10" t="s">
        <v>5574</v>
      </c>
      <c r="E2769" s="11" t="str">
        <f>HYPERLINK("https://twitter.com/shivamphunt/status/703248797942480896","703248797942480896")</f>
        <v>703248797942480896</v>
      </c>
      <c r="F2769" s="12" t="s">
        <v>152</v>
      </c>
      <c r="G2769" s="13">
        <v>841.0</v>
      </c>
      <c r="H2769" s="13">
        <v>1260.0</v>
      </c>
      <c r="I2769" s="13">
        <v>6.0</v>
      </c>
      <c r="J2769" s="13">
        <v>0.0</v>
      </c>
      <c r="K2769" s="12" t="s">
        <v>21</v>
      </c>
      <c r="L2769" s="7">
        <v>42126.223657407405</v>
      </c>
      <c r="M2769" s="14" t="s">
        <v>34</v>
      </c>
      <c r="N2769" s="14" t="s">
        <v>5703</v>
      </c>
      <c r="O2769" s="11" t="str">
        <f>HYPERLINK("https://pbs.twimg.com/profile_images/698893390339899392/jeWzRZyv_normal.jpg","View")</f>
        <v>View</v>
      </c>
      <c r="P2769" s="15"/>
    </row>
    <row r="2770">
      <c r="A2770" s="7">
        <v>42426.3356712963</v>
      </c>
      <c r="B2770" s="8" t="str">
        <f>HYPERLINK("https://twitter.com/yann_forget","@yann_forget")</f>
        <v>@yann_forget</v>
      </c>
      <c r="C2770" s="10" t="s">
        <v>5704</v>
      </c>
      <c r="D2770" s="10" t="s">
        <v>5705</v>
      </c>
      <c r="E2770" s="11" t="str">
        <f>HYPERLINK("https://twitter.com/yann_forget/status/703249004184915968","703249004184915968")</f>
        <v>703249004184915968</v>
      </c>
      <c r="F2770" s="12" t="s">
        <v>20</v>
      </c>
      <c r="G2770" s="13">
        <v>84.0</v>
      </c>
      <c r="H2770" s="13">
        <v>417.0</v>
      </c>
      <c r="I2770" s="13">
        <v>0.0</v>
      </c>
      <c r="J2770" s="13">
        <v>0.0</v>
      </c>
      <c r="K2770" s="12" t="s">
        <v>21</v>
      </c>
      <c r="L2770" s="7">
        <v>41970.399629629625</v>
      </c>
      <c r="M2770" s="14" t="s">
        <v>655</v>
      </c>
      <c r="N2770" s="14" t="s">
        <v>5706</v>
      </c>
      <c r="O2770" s="11" t="str">
        <f>HYPERLINK("https://pbs.twimg.com/profile_images/621025704801648641/MJ9pUTHg_normal.jpg","View")</f>
        <v>View</v>
      </c>
      <c r="P2770" s="15"/>
    </row>
    <row r="2771">
      <c r="A2771" s="7">
        <v>42426.33670138889</v>
      </c>
      <c r="B2771" s="8" t="str">
        <f>HYPERLINK("https://twitter.com/davidroig1","@davidroig1")</f>
        <v>@davidroig1</v>
      </c>
      <c r="C2771" s="10" t="s">
        <v>5707</v>
      </c>
      <c r="D2771" s="10" t="s">
        <v>5708</v>
      </c>
      <c r="E2771" s="11" t="str">
        <f>HYPERLINK("https://twitter.com/davidroig1/status/703249376475549700","703249376475549700")</f>
        <v>703249376475549700</v>
      </c>
      <c r="F2771" s="12" t="s">
        <v>5709</v>
      </c>
      <c r="G2771" s="13">
        <v>14993.0</v>
      </c>
      <c r="H2771" s="13">
        <v>1343.0</v>
      </c>
      <c r="I2771" s="13">
        <v>0.0</v>
      </c>
      <c r="J2771" s="13">
        <v>0.0</v>
      </c>
      <c r="K2771" s="12" t="s">
        <v>21</v>
      </c>
      <c r="L2771" s="7">
        <v>40611.41185185185</v>
      </c>
      <c r="M2771" s="14" t="s">
        <v>5710</v>
      </c>
      <c r="N2771" s="14" t="s">
        <v>5711</v>
      </c>
      <c r="O2771" s="11" t="str">
        <f>HYPERLINK("https://pbs.twimg.com/profile_images/657287084550529024/S2JzjWWA_normal.jpg","View")</f>
        <v>View</v>
      </c>
      <c r="P2771" s="15"/>
    </row>
    <row r="2772">
      <c r="A2772" s="7">
        <v>42426.33689814815</v>
      </c>
      <c r="B2772" s="8" t="str">
        <f>HYPERLINK("https://twitter.com/MariaMgm23","@MariaMgm23")</f>
        <v>@MariaMgm23</v>
      </c>
      <c r="C2772" s="10" t="s">
        <v>5712</v>
      </c>
      <c r="D2772" s="10" t="s">
        <v>5713</v>
      </c>
      <c r="E2772" s="11" t="str">
        <f>HYPERLINK("https://twitter.com/MariaMgm23/status/703249445878628353","703249445878628353")</f>
        <v>703249445878628353</v>
      </c>
      <c r="F2772" s="12" t="s">
        <v>20</v>
      </c>
      <c r="G2772" s="13">
        <v>2.0</v>
      </c>
      <c r="H2772" s="13">
        <v>18.0</v>
      </c>
      <c r="I2772" s="13">
        <v>0.0</v>
      </c>
      <c r="J2772" s="13">
        <v>0.0</v>
      </c>
      <c r="K2772" s="12" t="s">
        <v>21</v>
      </c>
      <c r="L2772" s="7">
        <v>42244.41429398148</v>
      </c>
      <c r="M2772" s="16"/>
      <c r="N2772" s="16"/>
      <c r="O2772" s="11" t="str">
        <f>HYPERLINK("https://pbs.twimg.com/profile_images/651144292828758018/clJZSXsx_normal.jpg","View")</f>
        <v>View</v>
      </c>
      <c r="P2772" s="15"/>
    </row>
    <row r="2773">
      <c r="A2773" s="7">
        <v>42426.336956018524</v>
      </c>
      <c r="B2773" s="8" t="str">
        <f>HYPERLINK("https://twitter.com/BuddyGit","@BuddyGit")</f>
        <v>@BuddyGit</v>
      </c>
      <c r="C2773" s="10" t="s">
        <v>5714</v>
      </c>
      <c r="D2773" s="10" t="s">
        <v>5715</v>
      </c>
      <c r="E2773" s="11" t="str">
        <f>HYPERLINK("https://twitter.com/BuddyGit/status/703249466091020292","703249466091020292")</f>
        <v>703249466091020292</v>
      </c>
      <c r="F2773" s="12" t="s">
        <v>446</v>
      </c>
      <c r="G2773" s="13">
        <v>1219.0</v>
      </c>
      <c r="H2773" s="13">
        <v>619.0</v>
      </c>
      <c r="I2773" s="13">
        <v>0.0</v>
      </c>
      <c r="J2773" s="13">
        <v>2.0</v>
      </c>
      <c r="K2773" s="12" t="s">
        <v>21</v>
      </c>
      <c r="L2773" s="7">
        <v>42058.24833333334</v>
      </c>
      <c r="M2773" s="14" t="s">
        <v>5716</v>
      </c>
      <c r="N2773" s="14" t="s">
        <v>5717</v>
      </c>
      <c r="O2773" s="11" t="str">
        <f>HYPERLINK("https://pbs.twimg.com/profile_images/661824886633926656/432xL1cX_normal.png","View")</f>
        <v>View</v>
      </c>
      <c r="P2773" s="15"/>
    </row>
    <row r="2774">
      <c r="A2774" s="7">
        <v>42426.337060185186</v>
      </c>
      <c r="B2774" s="8" t="str">
        <f t="shared" ref="B2774:B2780" si="283">HYPERLINK("https://twitter.com/NowLivecodingtv","@NowLivecodingtv")</f>
        <v>@NowLivecodingtv</v>
      </c>
      <c r="C2774" s="10" t="s">
        <v>2320</v>
      </c>
      <c r="D2774" s="10" t="s">
        <v>2088</v>
      </c>
      <c r="E2774" s="11" t="str">
        <f>HYPERLINK("https://twitter.com/NowLivecodingtv/status/703249507081965568","703249507081965568")</f>
        <v>703249507081965568</v>
      </c>
      <c r="F2774" s="12" t="s">
        <v>2321</v>
      </c>
      <c r="G2774" s="13">
        <v>131.0</v>
      </c>
      <c r="H2774" s="13">
        <v>16.0</v>
      </c>
      <c r="I2774" s="13">
        <v>12.0</v>
      </c>
      <c r="J2774" s="13">
        <v>0.0</v>
      </c>
      <c r="K2774" s="12" t="s">
        <v>21</v>
      </c>
      <c r="L2774" s="7">
        <v>42346.15972222222</v>
      </c>
      <c r="M2774" s="14" t="s">
        <v>69</v>
      </c>
      <c r="N2774" s="14" t="s">
        <v>633</v>
      </c>
      <c r="O2774" s="11" t="str">
        <f t="shared" ref="O2774:O2780" si="284">HYPERLINK("https://pbs.twimg.com/profile_images/699984077877874688/aR2ovqId_normal.png","View")</f>
        <v>View</v>
      </c>
      <c r="P2774" s="15"/>
    </row>
    <row r="2775">
      <c r="A2775" s="7">
        <v>42426.33707175926</v>
      </c>
      <c r="B2775" s="8" t="str">
        <f t="shared" si="283"/>
        <v>@NowLivecodingtv</v>
      </c>
      <c r="C2775" s="10" t="s">
        <v>2320</v>
      </c>
      <c r="D2775" s="10" t="s">
        <v>3699</v>
      </c>
      <c r="E2775" s="11" t="str">
        <f>HYPERLINK("https://twitter.com/NowLivecodingtv/status/703249508193411072","703249508193411072")</f>
        <v>703249508193411072</v>
      </c>
      <c r="F2775" s="12" t="s">
        <v>2321</v>
      </c>
      <c r="G2775" s="13">
        <v>131.0</v>
      </c>
      <c r="H2775" s="13">
        <v>16.0</v>
      </c>
      <c r="I2775" s="13">
        <v>30.0</v>
      </c>
      <c r="J2775" s="13">
        <v>0.0</v>
      </c>
      <c r="K2775" s="12" t="s">
        <v>21</v>
      </c>
      <c r="L2775" s="7">
        <v>42346.15972222222</v>
      </c>
      <c r="M2775" s="14" t="s">
        <v>69</v>
      </c>
      <c r="N2775" s="14" t="s">
        <v>633</v>
      </c>
      <c r="O2775" s="11" t="str">
        <f t="shared" si="284"/>
        <v>View</v>
      </c>
      <c r="P2775" s="15"/>
    </row>
    <row r="2776">
      <c r="A2776" s="7">
        <v>42426.33707175926</v>
      </c>
      <c r="B2776" s="8" t="str">
        <f t="shared" si="283"/>
        <v>@NowLivecodingtv</v>
      </c>
      <c r="C2776" s="10" t="s">
        <v>2320</v>
      </c>
      <c r="D2776" s="10" t="s">
        <v>5494</v>
      </c>
      <c r="E2776" s="11" t="str">
        <f>HYPERLINK("https://twitter.com/NowLivecodingtv/status/703249510047338497","703249510047338497")</f>
        <v>703249510047338497</v>
      </c>
      <c r="F2776" s="12" t="s">
        <v>2321</v>
      </c>
      <c r="G2776" s="13">
        <v>131.0</v>
      </c>
      <c r="H2776" s="13">
        <v>16.0</v>
      </c>
      <c r="I2776" s="13">
        <v>9.0</v>
      </c>
      <c r="J2776" s="13">
        <v>0.0</v>
      </c>
      <c r="K2776" s="12" t="s">
        <v>21</v>
      </c>
      <c r="L2776" s="7">
        <v>42346.15972222222</v>
      </c>
      <c r="M2776" s="14" t="s">
        <v>69</v>
      </c>
      <c r="N2776" s="14" t="s">
        <v>633</v>
      </c>
      <c r="O2776" s="11" t="str">
        <f t="shared" si="284"/>
        <v>View</v>
      </c>
      <c r="P2776" s="15"/>
    </row>
    <row r="2777">
      <c r="A2777" s="7">
        <v>42426.33709490741</v>
      </c>
      <c r="B2777" s="8" t="str">
        <f t="shared" si="283"/>
        <v>@NowLivecodingtv</v>
      </c>
      <c r="C2777" s="10" t="s">
        <v>2320</v>
      </c>
      <c r="D2777" s="10" t="s">
        <v>3867</v>
      </c>
      <c r="E2777" s="11" t="str">
        <f>HYPERLINK("https://twitter.com/NowLivecodingtv/status/703249517852893184","703249517852893184")</f>
        <v>703249517852893184</v>
      </c>
      <c r="F2777" s="12" t="s">
        <v>2321</v>
      </c>
      <c r="G2777" s="13">
        <v>131.0</v>
      </c>
      <c r="H2777" s="13">
        <v>16.0</v>
      </c>
      <c r="I2777" s="13">
        <v>11.0</v>
      </c>
      <c r="J2777" s="13">
        <v>0.0</v>
      </c>
      <c r="K2777" s="12" t="s">
        <v>21</v>
      </c>
      <c r="L2777" s="7">
        <v>42346.15972222222</v>
      </c>
      <c r="M2777" s="14" t="s">
        <v>69</v>
      </c>
      <c r="N2777" s="14" t="s">
        <v>633</v>
      </c>
      <c r="O2777" s="11" t="str">
        <f t="shared" si="284"/>
        <v>View</v>
      </c>
      <c r="P2777" s="15"/>
    </row>
    <row r="2778">
      <c r="A2778" s="7">
        <v>42426.337118055555</v>
      </c>
      <c r="B2778" s="8" t="str">
        <f t="shared" si="283"/>
        <v>@NowLivecodingtv</v>
      </c>
      <c r="C2778" s="10" t="s">
        <v>2320</v>
      </c>
      <c r="D2778" s="10" t="s">
        <v>4211</v>
      </c>
      <c r="E2778" s="11" t="str">
        <f>HYPERLINK("https://twitter.com/NowLivecodingtv/status/703249525641711617","703249525641711617")</f>
        <v>703249525641711617</v>
      </c>
      <c r="F2778" s="12" t="s">
        <v>2321</v>
      </c>
      <c r="G2778" s="13">
        <v>131.0</v>
      </c>
      <c r="H2778" s="13">
        <v>16.0</v>
      </c>
      <c r="I2778" s="13">
        <v>55.0</v>
      </c>
      <c r="J2778" s="13">
        <v>0.0</v>
      </c>
      <c r="K2778" s="12" t="s">
        <v>21</v>
      </c>
      <c r="L2778" s="7">
        <v>42346.15972222222</v>
      </c>
      <c r="M2778" s="14" t="s">
        <v>69</v>
      </c>
      <c r="N2778" s="14" t="s">
        <v>633</v>
      </c>
      <c r="O2778" s="11" t="str">
        <f t="shared" si="284"/>
        <v>View</v>
      </c>
      <c r="P2778" s="15"/>
    </row>
    <row r="2779">
      <c r="A2779" s="7">
        <v>42426.337129629625</v>
      </c>
      <c r="B2779" s="8" t="str">
        <f t="shared" si="283"/>
        <v>@NowLivecodingtv</v>
      </c>
      <c r="C2779" s="10" t="s">
        <v>2320</v>
      </c>
      <c r="D2779" s="10" t="s">
        <v>4838</v>
      </c>
      <c r="E2779" s="11" t="str">
        <f>HYPERLINK("https://twitter.com/NowLivecodingtv/status/703249529332768768","703249529332768768")</f>
        <v>703249529332768768</v>
      </c>
      <c r="F2779" s="12" t="s">
        <v>2321</v>
      </c>
      <c r="G2779" s="13">
        <v>131.0</v>
      </c>
      <c r="H2779" s="13">
        <v>16.0</v>
      </c>
      <c r="I2779" s="13">
        <v>9.0</v>
      </c>
      <c r="J2779" s="13">
        <v>0.0</v>
      </c>
      <c r="K2779" s="12" t="s">
        <v>21</v>
      </c>
      <c r="L2779" s="7">
        <v>42346.15972222222</v>
      </c>
      <c r="M2779" s="14" t="s">
        <v>69</v>
      </c>
      <c r="N2779" s="14" t="s">
        <v>633</v>
      </c>
      <c r="O2779" s="11" t="str">
        <f t="shared" si="284"/>
        <v>View</v>
      </c>
      <c r="P2779" s="15"/>
    </row>
    <row r="2780">
      <c r="A2780" s="7">
        <v>42426.33715277778</v>
      </c>
      <c r="B2780" s="8" t="str">
        <f t="shared" si="283"/>
        <v>@NowLivecodingtv</v>
      </c>
      <c r="C2780" s="10" t="s">
        <v>2320</v>
      </c>
      <c r="D2780" s="10" t="s">
        <v>1820</v>
      </c>
      <c r="E2780" s="11" t="str">
        <f>HYPERLINK("https://twitter.com/NowLivecodingtv/status/703249540556660736","703249540556660736")</f>
        <v>703249540556660736</v>
      </c>
      <c r="F2780" s="12" t="s">
        <v>2321</v>
      </c>
      <c r="G2780" s="13">
        <v>131.0</v>
      </c>
      <c r="H2780" s="13">
        <v>16.0</v>
      </c>
      <c r="I2780" s="13">
        <v>20.0</v>
      </c>
      <c r="J2780" s="13">
        <v>0.0</v>
      </c>
      <c r="K2780" s="12" t="s">
        <v>21</v>
      </c>
      <c r="L2780" s="7">
        <v>42346.15972222222</v>
      </c>
      <c r="M2780" s="14" t="s">
        <v>69</v>
      </c>
      <c r="N2780" s="14" t="s">
        <v>633</v>
      </c>
      <c r="O2780" s="11" t="str">
        <f t="shared" si="284"/>
        <v>View</v>
      </c>
      <c r="P2780" s="15"/>
    </row>
    <row r="2781">
      <c r="A2781" s="7">
        <v>42426.338368055556</v>
      </c>
      <c r="B2781" s="8" t="str">
        <f>HYPERLINK("https://twitter.com/taniapaz","@taniapaz")</f>
        <v>@taniapaz</v>
      </c>
      <c r="C2781" s="10" t="s">
        <v>899</v>
      </c>
      <c r="D2781" s="10" t="s">
        <v>5718</v>
      </c>
      <c r="E2781" s="11" t="str">
        <f>HYPERLINK("https://twitter.com/taniapaz/status/703249978613960704","703249978613960704")</f>
        <v>703249978613960704</v>
      </c>
      <c r="F2781" s="12" t="s">
        <v>52</v>
      </c>
      <c r="G2781" s="13">
        <v>587.0</v>
      </c>
      <c r="H2781" s="13">
        <v>762.0</v>
      </c>
      <c r="I2781" s="13">
        <v>0.0</v>
      </c>
      <c r="J2781" s="13">
        <v>0.0</v>
      </c>
      <c r="K2781" s="12" t="s">
        <v>21</v>
      </c>
      <c r="L2781" s="7">
        <v>39762.617210648146</v>
      </c>
      <c r="M2781" s="14" t="s">
        <v>901</v>
      </c>
      <c r="N2781" s="14" t="s">
        <v>902</v>
      </c>
      <c r="O2781" s="11" t="str">
        <f>HYPERLINK("https://pbs.twimg.com/profile_images/2289120803/klh434t6fs1svswctb5u_normal.jpeg","View")</f>
        <v>View</v>
      </c>
      <c r="P2781" s="15"/>
    </row>
    <row r="2782">
      <c r="A2782" s="7">
        <v>42426.338425925926</v>
      </c>
      <c r="B2782" s="8" t="str">
        <f>HYPERLINK("https://twitter.com/nwkautomaniac","@nwkautomaniac")</f>
        <v>@nwkautomaniac</v>
      </c>
      <c r="C2782" s="10" t="s">
        <v>5719</v>
      </c>
      <c r="D2782" s="10" t="s">
        <v>5720</v>
      </c>
      <c r="E2782" s="11" t="str">
        <f>HYPERLINK("https://twitter.com/nwkautomaniac/status/703250002144055296","703250002144055296")</f>
        <v>703250002144055296</v>
      </c>
      <c r="F2782" s="12" t="s">
        <v>20</v>
      </c>
      <c r="G2782" s="13">
        <v>1837.0</v>
      </c>
      <c r="H2782" s="13">
        <v>322.0</v>
      </c>
      <c r="I2782" s="13">
        <v>0.0</v>
      </c>
      <c r="J2782" s="13">
        <v>1.0</v>
      </c>
      <c r="K2782" s="12" t="s">
        <v>21</v>
      </c>
      <c r="L2782" s="7">
        <v>41085.335625</v>
      </c>
      <c r="M2782" s="14" t="s">
        <v>942</v>
      </c>
      <c r="N2782" s="14" t="s">
        <v>5721</v>
      </c>
      <c r="O2782" s="11" t="str">
        <f>HYPERLINK("https://pbs.twimg.com/profile_images/378800000781106502/aefe7f5227bc828475ed4258dd30f52b_normal.jpeg","View")</f>
        <v>View</v>
      </c>
      <c r="P2782" s="15"/>
    </row>
    <row r="2783">
      <c r="A2783" s="7">
        <v>42426.3390162037</v>
      </c>
      <c r="B2783" s="8" t="str">
        <f t="shared" ref="B2783:B2793" si="285">HYPERLINK("https://twitter.com/NowLivecodingtv","@NowLivecodingtv")</f>
        <v>@NowLivecodingtv</v>
      </c>
      <c r="C2783" s="10" t="s">
        <v>2320</v>
      </c>
      <c r="D2783" s="10" t="s">
        <v>5517</v>
      </c>
      <c r="E2783" s="11" t="str">
        <f>HYPERLINK("https://twitter.com/NowLivecodingtv/status/703250214744940544","703250214744940544")</f>
        <v>703250214744940544</v>
      </c>
      <c r="F2783" s="12" t="s">
        <v>2321</v>
      </c>
      <c r="G2783" s="13">
        <v>131.0</v>
      </c>
      <c r="H2783" s="13">
        <v>16.0</v>
      </c>
      <c r="I2783" s="13">
        <v>12.0</v>
      </c>
      <c r="J2783" s="13">
        <v>0.0</v>
      </c>
      <c r="K2783" s="12" t="s">
        <v>21</v>
      </c>
      <c r="L2783" s="7">
        <v>42346.15972222222</v>
      </c>
      <c r="M2783" s="14" t="s">
        <v>69</v>
      </c>
      <c r="N2783" s="14" t="s">
        <v>633</v>
      </c>
      <c r="O2783" s="11" t="str">
        <f t="shared" ref="O2783:O2793" si="286">HYPERLINK("https://pbs.twimg.com/profile_images/699984077877874688/aR2ovqId_normal.png","View")</f>
        <v>View</v>
      </c>
      <c r="P2783" s="15"/>
    </row>
    <row r="2784">
      <c r="A2784" s="7">
        <v>42426.33903935185</v>
      </c>
      <c r="B2784" s="8" t="str">
        <f t="shared" si="285"/>
        <v>@NowLivecodingtv</v>
      </c>
      <c r="C2784" s="10" t="s">
        <v>2320</v>
      </c>
      <c r="D2784" s="10" t="s">
        <v>5312</v>
      </c>
      <c r="E2784" s="11" t="str">
        <f>HYPERLINK("https://twitter.com/NowLivecodingtv/status/703250222940610560","703250222940610560")</f>
        <v>703250222940610560</v>
      </c>
      <c r="F2784" s="12" t="s">
        <v>2321</v>
      </c>
      <c r="G2784" s="13">
        <v>131.0</v>
      </c>
      <c r="H2784" s="13">
        <v>16.0</v>
      </c>
      <c r="I2784" s="13">
        <v>6.0</v>
      </c>
      <c r="J2784" s="13">
        <v>0.0</v>
      </c>
      <c r="K2784" s="12" t="s">
        <v>21</v>
      </c>
      <c r="L2784" s="7">
        <v>42346.15972222222</v>
      </c>
      <c r="M2784" s="14" t="s">
        <v>69</v>
      </c>
      <c r="N2784" s="14" t="s">
        <v>633</v>
      </c>
      <c r="O2784" s="11" t="str">
        <f t="shared" si="286"/>
        <v>View</v>
      </c>
      <c r="P2784" s="15"/>
    </row>
    <row r="2785">
      <c r="A2785" s="7">
        <v>42426.339050925926</v>
      </c>
      <c r="B2785" s="8" t="str">
        <f t="shared" si="285"/>
        <v>@NowLivecodingtv</v>
      </c>
      <c r="C2785" s="10" t="s">
        <v>2320</v>
      </c>
      <c r="D2785" s="10" t="s">
        <v>1653</v>
      </c>
      <c r="E2785" s="11" t="str">
        <f>HYPERLINK("https://twitter.com/NowLivecodingtv/status/703250227206221824","703250227206221824")</f>
        <v>703250227206221824</v>
      </c>
      <c r="F2785" s="12" t="s">
        <v>2321</v>
      </c>
      <c r="G2785" s="13">
        <v>131.0</v>
      </c>
      <c r="H2785" s="13">
        <v>16.0</v>
      </c>
      <c r="I2785" s="13">
        <v>8.0</v>
      </c>
      <c r="J2785" s="13">
        <v>0.0</v>
      </c>
      <c r="K2785" s="12" t="s">
        <v>21</v>
      </c>
      <c r="L2785" s="7">
        <v>42346.15972222222</v>
      </c>
      <c r="M2785" s="14" t="s">
        <v>69</v>
      </c>
      <c r="N2785" s="14" t="s">
        <v>633</v>
      </c>
      <c r="O2785" s="11" t="str">
        <f t="shared" si="286"/>
        <v>View</v>
      </c>
      <c r="P2785" s="15"/>
    </row>
    <row r="2786">
      <c r="A2786" s="7">
        <v>42426.33908564815</v>
      </c>
      <c r="B2786" s="8" t="str">
        <f t="shared" si="285"/>
        <v>@NowLivecodingtv</v>
      </c>
      <c r="C2786" s="10" t="s">
        <v>2320</v>
      </c>
      <c r="D2786" s="10" t="s">
        <v>4403</v>
      </c>
      <c r="E2786" s="11" t="str">
        <f>HYPERLINK("https://twitter.com/NowLivecodingtv/status/703250239839477760","703250239839477760")</f>
        <v>703250239839477760</v>
      </c>
      <c r="F2786" s="12" t="s">
        <v>2321</v>
      </c>
      <c r="G2786" s="13">
        <v>131.0</v>
      </c>
      <c r="H2786" s="13">
        <v>16.0</v>
      </c>
      <c r="I2786" s="13">
        <v>211.0</v>
      </c>
      <c r="J2786" s="13">
        <v>0.0</v>
      </c>
      <c r="K2786" s="12" t="s">
        <v>21</v>
      </c>
      <c r="L2786" s="7">
        <v>42346.15972222222</v>
      </c>
      <c r="M2786" s="14" t="s">
        <v>69</v>
      </c>
      <c r="N2786" s="14" t="s">
        <v>633</v>
      </c>
      <c r="O2786" s="11" t="str">
        <f t="shared" si="286"/>
        <v>View</v>
      </c>
      <c r="P2786" s="15"/>
    </row>
    <row r="2787">
      <c r="A2787" s="7">
        <v>42426.339108796295</v>
      </c>
      <c r="B2787" s="8" t="str">
        <f t="shared" si="285"/>
        <v>@NowLivecodingtv</v>
      </c>
      <c r="C2787" s="10" t="s">
        <v>2320</v>
      </c>
      <c r="D2787" s="10" t="s">
        <v>4104</v>
      </c>
      <c r="E2787" s="11" t="str">
        <f>HYPERLINK("https://twitter.com/NowLivecodingtv/status/703250246093164544","703250246093164544")</f>
        <v>703250246093164544</v>
      </c>
      <c r="F2787" s="12" t="s">
        <v>2321</v>
      </c>
      <c r="G2787" s="13">
        <v>131.0</v>
      </c>
      <c r="H2787" s="13">
        <v>16.0</v>
      </c>
      <c r="I2787" s="13">
        <v>8.0</v>
      </c>
      <c r="J2787" s="13">
        <v>0.0</v>
      </c>
      <c r="K2787" s="12" t="s">
        <v>21</v>
      </c>
      <c r="L2787" s="7">
        <v>42346.15972222222</v>
      </c>
      <c r="M2787" s="14" t="s">
        <v>69</v>
      </c>
      <c r="N2787" s="14" t="s">
        <v>633</v>
      </c>
      <c r="O2787" s="11" t="str">
        <f t="shared" si="286"/>
        <v>View</v>
      </c>
      <c r="P2787" s="15"/>
    </row>
    <row r="2788">
      <c r="A2788" s="7">
        <v>42426.33914351852</v>
      </c>
      <c r="B2788" s="8" t="str">
        <f t="shared" si="285"/>
        <v>@NowLivecodingtv</v>
      </c>
      <c r="C2788" s="10" t="s">
        <v>2320</v>
      </c>
      <c r="D2788" s="10" t="s">
        <v>1324</v>
      </c>
      <c r="E2788" s="11" t="str">
        <f>HYPERLINK("https://twitter.com/NowLivecodingtv/status/703250259472941056","703250259472941056")</f>
        <v>703250259472941056</v>
      </c>
      <c r="F2788" s="12" t="s">
        <v>2321</v>
      </c>
      <c r="G2788" s="13">
        <v>131.0</v>
      </c>
      <c r="H2788" s="13">
        <v>16.0</v>
      </c>
      <c r="I2788" s="13">
        <v>6.0</v>
      </c>
      <c r="J2788" s="13">
        <v>0.0</v>
      </c>
      <c r="K2788" s="12" t="s">
        <v>21</v>
      </c>
      <c r="L2788" s="7">
        <v>42346.15972222222</v>
      </c>
      <c r="M2788" s="14" t="s">
        <v>69</v>
      </c>
      <c r="N2788" s="14" t="s">
        <v>633</v>
      </c>
      <c r="O2788" s="11" t="str">
        <f t="shared" si="286"/>
        <v>View</v>
      </c>
      <c r="P2788" s="15"/>
    </row>
    <row r="2789">
      <c r="A2789" s="7">
        <v>42426.33915509259</v>
      </c>
      <c r="B2789" s="8" t="str">
        <f t="shared" si="285"/>
        <v>@NowLivecodingtv</v>
      </c>
      <c r="C2789" s="10" t="s">
        <v>2320</v>
      </c>
      <c r="D2789" s="10" t="s">
        <v>3455</v>
      </c>
      <c r="E2789" s="11" t="str">
        <f>HYPERLINK("https://twitter.com/NowLivecodingtv/status/703250263721775104","703250263721775104")</f>
        <v>703250263721775104</v>
      </c>
      <c r="F2789" s="12" t="s">
        <v>2321</v>
      </c>
      <c r="G2789" s="13">
        <v>131.0</v>
      </c>
      <c r="H2789" s="13">
        <v>16.0</v>
      </c>
      <c r="I2789" s="13">
        <v>11.0</v>
      </c>
      <c r="J2789" s="13">
        <v>0.0</v>
      </c>
      <c r="K2789" s="12" t="s">
        <v>21</v>
      </c>
      <c r="L2789" s="7">
        <v>42346.15972222222</v>
      </c>
      <c r="M2789" s="14" t="s">
        <v>69</v>
      </c>
      <c r="N2789" s="14" t="s">
        <v>633</v>
      </c>
      <c r="O2789" s="11" t="str">
        <f t="shared" si="286"/>
        <v>View</v>
      </c>
      <c r="P2789" s="15"/>
    </row>
    <row r="2790">
      <c r="A2790" s="7">
        <v>42426.33918981481</v>
      </c>
      <c r="B2790" s="8" t="str">
        <f t="shared" si="285"/>
        <v>@NowLivecodingtv</v>
      </c>
      <c r="C2790" s="10" t="s">
        <v>2320</v>
      </c>
      <c r="D2790" s="10" t="s">
        <v>2931</v>
      </c>
      <c r="E2790" s="11" t="str">
        <f>HYPERLINK("https://twitter.com/NowLivecodingtv/status/703250277122580482","703250277122580482")</f>
        <v>703250277122580482</v>
      </c>
      <c r="F2790" s="12" t="s">
        <v>2321</v>
      </c>
      <c r="G2790" s="13">
        <v>131.0</v>
      </c>
      <c r="H2790" s="13">
        <v>16.0</v>
      </c>
      <c r="I2790" s="13">
        <v>6.0</v>
      </c>
      <c r="J2790" s="13">
        <v>0.0</v>
      </c>
      <c r="K2790" s="12" t="s">
        <v>21</v>
      </c>
      <c r="L2790" s="7">
        <v>42346.15972222222</v>
      </c>
      <c r="M2790" s="14" t="s">
        <v>69</v>
      </c>
      <c r="N2790" s="14" t="s">
        <v>633</v>
      </c>
      <c r="O2790" s="11" t="str">
        <f t="shared" si="286"/>
        <v>View</v>
      </c>
      <c r="P2790" s="15"/>
    </row>
    <row r="2791">
      <c r="A2791" s="7">
        <v>42426.33920138889</v>
      </c>
      <c r="B2791" s="8" t="str">
        <f t="shared" si="285"/>
        <v>@NowLivecodingtv</v>
      </c>
      <c r="C2791" s="10" t="s">
        <v>2320</v>
      </c>
      <c r="D2791" s="10" t="s">
        <v>2477</v>
      </c>
      <c r="E2791" s="11" t="str">
        <f>HYPERLINK("https://twitter.com/NowLivecodingtv/status/703250281795026948","703250281795026948")</f>
        <v>703250281795026948</v>
      </c>
      <c r="F2791" s="12" t="s">
        <v>2321</v>
      </c>
      <c r="G2791" s="13">
        <v>131.0</v>
      </c>
      <c r="H2791" s="13">
        <v>16.0</v>
      </c>
      <c r="I2791" s="13">
        <v>11.0</v>
      </c>
      <c r="J2791" s="13">
        <v>0.0</v>
      </c>
      <c r="K2791" s="12" t="s">
        <v>21</v>
      </c>
      <c r="L2791" s="7">
        <v>42346.15972222222</v>
      </c>
      <c r="M2791" s="14" t="s">
        <v>69</v>
      </c>
      <c r="N2791" s="14" t="s">
        <v>633</v>
      </c>
      <c r="O2791" s="11" t="str">
        <f t="shared" si="286"/>
        <v>View</v>
      </c>
      <c r="P2791" s="15"/>
    </row>
    <row r="2792">
      <c r="A2792" s="7">
        <v>42426.33920138889</v>
      </c>
      <c r="B2792" s="8" t="str">
        <f t="shared" si="285"/>
        <v>@NowLivecodingtv</v>
      </c>
      <c r="C2792" s="10" t="s">
        <v>2320</v>
      </c>
      <c r="D2792" s="10" t="s">
        <v>2159</v>
      </c>
      <c r="E2792" s="11" t="str">
        <f>HYPERLINK("https://twitter.com/NowLivecodingtv/status/703250283263086592","703250283263086592")</f>
        <v>703250283263086592</v>
      </c>
      <c r="F2792" s="12" t="s">
        <v>2321</v>
      </c>
      <c r="G2792" s="13">
        <v>131.0</v>
      </c>
      <c r="H2792" s="13">
        <v>16.0</v>
      </c>
      <c r="I2792" s="13">
        <v>6.0</v>
      </c>
      <c r="J2792" s="13">
        <v>0.0</v>
      </c>
      <c r="K2792" s="12" t="s">
        <v>21</v>
      </c>
      <c r="L2792" s="7">
        <v>42346.15972222222</v>
      </c>
      <c r="M2792" s="14" t="s">
        <v>69</v>
      </c>
      <c r="N2792" s="14" t="s">
        <v>633</v>
      </c>
      <c r="O2792" s="11" t="str">
        <f t="shared" si="286"/>
        <v>View</v>
      </c>
      <c r="P2792" s="15"/>
    </row>
    <row r="2793">
      <c r="A2793" s="7">
        <v>42426.339224537034</v>
      </c>
      <c r="B2793" s="8" t="str">
        <f t="shared" si="285"/>
        <v>@NowLivecodingtv</v>
      </c>
      <c r="C2793" s="10" t="s">
        <v>2320</v>
      </c>
      <c r="D2793" s="10" t="s">
        <v>2266</v>
      </c>
      <c r="E2793" s="11" t="str">
        <f>HYPERLINK("https://twitter.com/NowLivecodingtv/status/703250288266907648","703250288266907648")</f>
        <v>703250288266907648</v>
      </c>
      <c r="F2793" s="12" t="s">
        <v>2321</v>
      </c>
      <c r="G2793" s="13">
        <v>131.0</v>
      </c>
      <c r="H2793" s="13">
        <v>16.0</v>
      </c>
      <c r="I2793" s="13">
        <v>9.0</v>
      </c>
      <c r="J2793" s="13">
        <v>0.0</v>
      </c>
      <c r="K2793" s="12" t="s">
        <v>21</v>
      </c>
      <c r="L2793" s="7">
        <v>42346.15972222222</v>
      </c>
      <c r="M2793" s="14" t="s">
        <v>69</v>
      </c>
      <c r="N2793" s="14" t="s">
        <v>633</v>
      </c>
      <c r="O2793" s="11" t="str">
        <f t="shared" si="286"/>
        <v>View</v>
      </c>
      <c r="P2793" s="15"/>
    </row>
    <row r="2794">
      <c r="A2794" s="7">
        <v>42426.339421296296</v>
      </c>
      <c r="B2794" s="8" t="str">
        <f>HYPERLINK("https://twitter.com/eoinbrazil","@eoinbrazil")</f>
        <v>@eoinbrazil</v>
      </c>
      <c r="C2794" s="10" t="s">
        <v>5722</v>
      </c>
      <c r="D2794" s="10" t="s">
        <v>5196</v>
      </c>
      <c r="E2794" s="11" t="str">
        <f>HYPERLINK("https://twitter.com/eoinbrazil/status/703250360488607744","703250360488607744")</f>
        <v>703250360488607744</v>
      </c>
      <c r="F2794" s="12" t="s">
        <v>52</v>
      </c>
      <c r="G2794" s="13">
        <v>1397.0</v>
      </c>
      <c r="H2794" s="13">
        <v>2087.0</v>
      </c>
      <c r="I2794" s="13">
        <v>5.0</v>
      </c>
      <c r="J2794" s="13">
        <v>0.0</v>
      </c>
      <c r="K2794" s="12" t="s">
        <v>21</v>
      </c>
      <c r="L2794" s="7">
        <v>40137.20575231481</v>
      </c>
      <c r="M2794" s="14" t="s">
        <v>5723</v>
      </c>
      <c r="N2794" s="14" t="s">
        <v>5724</v>
      </c>
      <c r="O2794" s="11" t="str">
        <f>HYPERLINK("https://pbs.twimg.com/profile_images/3056044654/58c333df91e8ff04a4d4ca5f773eeb43_normal.jpeg","View")</f>
        <v>View</v>
      </c>
      <c r="P2794" s="15"/>
    </row>
    <row r="2795">
      <c r="A2795" s="7">
        <v>42426.33967592593</v>
      </c>
      <c r="B2795" s="8" t="str">
        <f t="shared" ref="B2795:B2803" si="287">HYPERLINK("https://twitter.com/artwisanggeni","@artwisanggeni")</f>
        <v>@artwisanggeni</v>
      </c>
      <c r="C2795" s="10" t="s">
        <v>74</v>
      </c>
      <c r="D2795" s="10" t="s">
        <v>5725</v>
      </c>
      <c r="E2795" s="11" t="str">
        <f>HYPERLINK("https://twitter.com/artwisanggeni/status/703250454684110848","703250454684110848")</f>
        <v>703250454684110848</v>
      </c>
      <c r="F2795" s="17" t="s">
        <v>76</v>
      </c>
      <c r="G2795" s="13">
        <v>236.0</v>
      </c>
      <c r="H2795" s="13">
        <v>61.0</v>
      </c>
      <c r="I2795" s="13">
        <v>0.0</v>
      </c>
      <c r="J2795" s="13">
        <v>0.0</v>
      </c>
      <c r="K2795" s="12" t="s">
        <v>21</v>
      </c>
      <c r="L2795" s="7">
        <v>41218.90608796296</v>
      </c>
      <c r="M2795" s="14" t="s">
        <v>77</v>
      </c>
      <c r="N2795" s="14" t="s">
        <v>78</v>
      </c>
      <c r="O2795" s="11" t="str">
        <f t="shared" ref="O2795:O2803" si="288">HYPERLINK("https://pbs.twimg.com/profile_images/2813636657/599521f69e2bc210a57323b64d8e39e6_normal.jpeg","View")</f>
        <v>View</v>
      </c>
      <c r="P2795" s="15"/>
    </row>
    <row r="2796">
      <c r="A2796" s="7">
        <v>42426.3396875</v>
      </c>
      <c r="B2796" s="8" t="str">
        <f t="shared" si="287"/>
        <v>@artwisanggeni</v>
      </c>
      <c r="C2796" s="10" t="s">
        <v>74</v>
      </c>
      <c r="D2796" s="10" t="s">
        <v>5726</v>
      </c>
      <c r="E2796" s="11" t="str">
        <f>HYPERLINK("https://twitter.com/artwisanggeni/status/703250457443971073","703250457443971073")</f>
        <v>703250457443971073</v>
      </c>
      <c r="F2796" s="17" t="s">
        <v>76</v>
      </c>
      <c r="G2796" s="13">
        <v>236.0</v>
      </c>
      <c r="H2796" s="13">
        <v>61.0</v>
      </c>
      <c r="I2796" s="13">
        <v>0.0</v>
      </c>
      <c r="J2796" s="13">
        <v>0.0</v>
      </c>
      <c r="K2796" s="12" t="s">
        <v>21</v>
      </c>
      <c r="L2796" s="7">
        <v>41218.90608796296</v>
      </c>
      <c r="M2796" s="14" t="s">
        <v>77</v>
      </c>
      <c r="N2796" s="14" t="s">
        <v>78</v>
      </c>
      <c r="O2796" s="11" t="str">
        <f t="shared" si="288"/>
        <v>View</v>
      </c>
      <c r="P2796" s="15"/>
    </row>
    <row r="2797">
      <c r="A2797" s="7">
        <v>42426.33969907407</v>
      </c>
      <c r="B2797" s="8" t="str">
        <f t="shared" si="287"/>
        <v>@artwisanggeni</v>
      </c>
      <c r="C2797" s="10" t="s">
        <v>74</v>
      </c>
      <c r="D2797" s="10" t="s">
        <v>5727</v>
      </c>
      <c r="E2797" s="11" t="str">
        <f>HYPERLINK("https://twitter.com/artwisanggeni/status/703250459671199744","703250459671199744")</f>
        <v>703250459671199744</v>
      </c>
      <c r="F2797" s="17" t="s">
        <v>76</v>
      </c>
      <c r="G2797" s="13">
        <v>236.0</v>
      </c>
      <c r="H2797" s="13">
        <v>61.0</v>
      </c>
      <c r="I2797" s="13">
        <v>0.0</v>
      </c>
      <c r="J2797" s="13">
        <v>0.0</v>
      </c>
      <c r="K2797" s="12" t="s">
        <v>21</v>
      </c>
      <c r="L2797" s="7">
        <v>41218.90608796296</v>
      </c>
      <c r="M2797" s="14" t="s">
        <v>77</v>
      </c>
      <c r="N2797" s="14" t="s">
        <v>78</v>
      </c>
      <c r="O2797" s="11" t="str">
        <f t="shared" si="288"/>
        <v>View</v>
      </c>
      <c r="P2797" s="15"/>
    </row>
    <row r="2798">
      <c r="A2798" s="7">
        <v>42426.33969907407</v>
      </c>
      <c r="B2798" s="8" t="str">
        <f t="shared" si="287"/>
        <v>@artwisanggeni</v>
      </c>
      <c r="C2798" s="10" t="s">
        <v>74</v>
      </c>
      <c r="D2798" s="10" t="s">
        <v>5728</v>
      </c>
      <c r="E2798" s="11" t="str">
        <f>HYPERLINK("https://twitter.com/artwisanggeni/status/703250462594564096","703250462594564096")</f>
        <v>703250462594564096</v>
      </c>
      <c r="F2798" s="17" t="s">
        <v>76</v>
      </c>
      <c r="G2798" s="13">
        <v>236.0</v>
      </c>
      <c r="H2798" s="13">
        <v>61.0</v>
      </c>
      <c r="I2798" s="13">
        <v>0.0</v>
      </c>
      <c r="J2798" s="13">
        <v>0.0</v>
      </c>
      <c r="K2798" s="12" t="s">
        <v>21</v>
      </c>
      <c r="L2798" s="7">
        <v>41218.90608796296</v>
      </c>
      <c r="M2798" s="14" t="s">
        <v>77</v>
      </c>
      <c r="N2798" s="14" t="s">
        <v>78</v>
      </c>
      <c r="O2798" s="11" t="str">
        <f t="shared" si="288"/>
        <v>View</v>
      </c>
      <c r="P2798" s="15"/>
    </row>
    <row r="2799">
      <c r="A2799" s="7">
        <v>42426.33971064815</v>
      </c>
      <c r="B2799" s="8" t="str">
        <f t="shared" si="287"/>
        <v>@artwisanggeni</v>
      </c>
      <c r="C2799" s="10" t="s">
        <v>74</v>
      </c>
      <c r="D2799" s="10" t="s">
        <v>5729</v>
      </c>
      <c r="E2799" s="11" t="str">
        <f>HYPERLINK("https://twitter.com/artwisanggeni/status/703250464863682560","703250464863682560")</f>
        <v>703250464863682560</v>
      </c>
      <c r="F2799" s="17" t="s">
        <v>76</v>
      </c>
      <c r="G2799" s="13">
        <v>236.0</v>
      </c>
      <c r="H2799" s="13">
        <v>61.0</v>
      </c>
      <c r="I2799" s="13">
        <v>0.0</v>
      </c>
      <c r="J2799" s="13">
        <v>0.0</v>
      </c>
      <c r="K2799" s="12" t="s">
        <v>21</v>
      </c>
      <c r="L2799" s="7">
        <v>41218.90608796296</v>
      </c>
      <c r="M2799" s="14" t="s">
        <v>77</v>
      </c>
      <c r="N2799" s="14" t="s">
        <v>78</v>
      </c>
      <c r="O2799" s="11" t="str">
        <f t="shared" si="288"/>
        <v>View</v>
      </c>
      <c r="P2799" s="15"/>
    </row>
    <row r="2800">
      <c r="A2800" s="7">
        <v>42426.33971064815</v>
      </c>
      <c r="B2800" s="8" t="str">
        <f t="shared" si="287"/>
        <v>@artwisanggeni</v>
      </c>
      <c r="C2800" s="10" t="s">
        <v>74</v>
      </c>
      <c r="D2800" s="10" t="s">
        <v>5730</v>
      </c>
      <c r="E2800" s="11" t="str">
        <f>HYPERLINK("https://twitter.com/artwisanggeni/status/703250467413884928","703250467413884928")</f>
        <v>703250467413884928</v>
      </c>
      <c r="F2800" s="17" t="s">
        <v>76</v>
      </c>
      <c r="G2800" s="13">
        <v>236.0</v>
      </c>
      <c r="H2800" s="13">
        <v>61.0</v>
      </c>
      <c r="I2800" s="13">
        <v>0.0</v>
      </c>
      <c r="J2800" s="13">
        <v>0.0</v>
      </c>
      <c r="K2800" s="12" t="s">
        <v>21</v>
      </c>
      <c r="L2800" s="7">
        <v>41218.90608796296</v>
      </c>
      <c r="M2800" s="14" t="s">
        <v>77</v>
      </c>
      <c r="N2800" s="14" t="s">
        <v>78</v>
      </c>
      <c r="O2800" s="11" t="str">
        <f t="shared" si="288"/>
        <v>View</v>
      </c>
      <c r="P2800" s="15"/>
    </row>
    <row r="2801">
      <c r="A2801" s="7">
        <v>42426.33972222223</v>
      </c>
      <c r="B2801" s="8" t="str">
        <f t="shared" si="287"/>
        <v>@artwisanggeni</v>
      </c>
      <c r="C2801" s="10" t="s">
        <v>74</v>
      </c>
      <c r="D2801" s="10" t="s">
        <v>5731</v>
      </c>
      <c r="E2801" s="11" t="str">
        <f>HYPERLINK("https://twitter.com/artwisanggeni/status/703250469540397056","703250469540397056")</f>
        <v>703250469540397056</v>
      </c>
      <c r="F2801" s="17" t="s">
        <v>76</v>
      </c>
      <c r="G2801" s="13">
        <v>236.0</v>
      </c>
      <c r="H2801" s="13">
        <v>61.0</v>
      </c>
      <c r="I2801" s="13">
        <v>0.0</v>
      </c>
      <c r="J2801" s="13">
        <v>0.0</v>
      </c>
      <c r="K2801" s="12" t="s">
        <v>21</v>
      </c>
      <c r="L2801" s="7">
        <v>41218.90608796296</v>
      </c>
      <c r="M2801" s="14" t="s">
        <v>77</v>
      </c>
      <c r="N2801" s="14" t="s">
        <v>78</v>
      </c>
      <c r="O2801" s="11" t="str">
        <f t="shared" si="288"/>
        <v>View</v>
      </c>
      <c r="P2801" s="15"/>
    </row>
    <row r="2802">
      <c r="A2802" s="7">
        <v>42426.33972222223</v>
      </c>
      <c r="B2802" s="8" t="str">
        <f t="shared" si="287"/>
        <v>@artwisanggeni</v>
      </c>
      <c r="C2802" s="10" t="s">
        <v>74</v>
      </c>
      <c r="D2802" s="10" t="s">
        <v>5732</v>
      </c>
      <c r="E2802" s="11" t="str">
        <f>HYPERLINK("https://twitter.com/artwisanggeni/status/703250471725600769","703250471725600769")</f>
        <v>703250471725600769</v>
      </c>
      <c r="F2802" s="17" t="s">
        <v>76</v>
      </c>
      <c r="G2802" s="13">
        <v>236.0</v>
      </c>
      <c r="H2802" s="13">
        <v>61.0</v>
      </c>
      <c r="I2802" s="13">
        <v>0.0</v>
      </c>
      <c r="J2802" s="13">
        <v>0.0</v>
      </c>
      <c r="K2802" s="12" t="s">
        <v>21</v>
      </c>
      <c r="L2802" s="7">
        <v>41218.90608796296</v>
      </c>
      <c r="M2802" s="14" t="s">
        <v>77</v>
      </c>
      <c r="N2802" s="14" t="s">
        <v>78</v>
      </c>
      <c r="O2802" s="11" t="str">
        <f t="shared" si="288"/>
        <v>View</v>
      </c>
      <c r="P2802" s="15"/>
    </row>
    <row r="2803">
      <c r="A2803" s="7">
        <v>42426.339733796296</v>
      </c>
      <c r="B2803" s="8" t="str">
        <f t="shared" si="287"/>
        <v>@artwisanggeni</v>
      </c>
      <c r="C2803" s="10" t="s">
        <v>74</v>
      </c>
      <c r="D2803" s="10" t="s">
        <v>5733</v>
      </c>
      <c r="E2803" s="11" t="str">
        <f>HYPERLINK("https://twitter.com/artwisanggeni/status/703250474384764928","703250474384764928")</f>
        <v>703250474384764928</v>
      </c>
      <c r="F2803" s="17" t="s">
        <v>76</v>
      </c>
      <c r="G2803" s="13">
        <v>236.0</v>
      </c>
      <c r="H2803" s="13">
        <v>61.0</v>
      </c>
      <c r="I2803" s="13">
        <v>0.0</v>
      </c>
      <c r="J2803" s="13">
        <v>0.0</v>
      </c>
      <c r="K2803" s="12" t="s">
        <v>21</v>
      </c>
      <c r="L2803" s="7">
        <v>41218.90608796296</v>
      </c>
      <c r="M2803" s="14" t="s">
        <v>77</v>
      </c>
      <c r="N2803" s="14" t="s">
        <v>78</v>
      </c>
      <c r="O2803" s="11" t="str">
        <f t="shared" si="288"/>
        <v>View</v>
      </c>
      <c r="P2803" s="15"/>
    </row>
    <row r="2804">
      <c r="A2804" s="7">
        <v>42426.339849537035</v>
      </c>
      <c r="B2804" s="8" t="str">
        <f>HYPERLINK("https://twitter.com/Aspekt_32","@Aspekt_32")</f>
        <v>@Aspekt_32</v>
      </c>
      <c r="C2804" s="10" t="s">
        <v>5734</v>
      </c>
      <c r="D2804" s="10" t="s">
        <v>5735</v>
      </c>
      <c r="E2804" s="11" t="str">
        <f>HYPERLINK("https://twitter.com/Aspekt_32/status/703250516873236480","703250516873236480")</f>
        <v>703250516873236480</v>
      </c>
      <c r="F2804" s="12" t="s">
        <v>20</v>
      </c>
      <c r="G2804" s="13">
        <v>40.0</v>
      </c>
      <c r="H2804" s="13">
        <v>1605.0</v>
      </c>
      <c r="I2804" s="13">
        <v>1.0</v>
      </c>
      <c r="J2804" s="13">
        <v>2.0</v>
      </c>
      <c r="K2804" s="12" t="s">
        <v>21</v>
      </c>
      <c r="L2804" s="7">
        <v>42422.27170138889</v>
      </c>
      <c r="M2804" s="14" t="s">
        <v>5736</v>
      </c>
      <c r="N2804" s="14" t="s">
        <v>5737</v>
      </c>
      <c r="O2804" s="11" t="str">
        <f>HYPERLINK("https://pbs.twimg.com/profile_images/702457719542906880/uUHUo7rC_normal.jpg","View")</f>
        <v>View</v>
      </c>
      <c r="P2804" s="15"/>
    </row>
    <row r="2805">
      <c r="A2805" s="7">
        <v>42426.340312500004</v>
      </c>
      <c r="B2805" s="8" t="str">
        <f>HYPERLINK("https://twitter.com/taxamo","@taxamo")</f>
        <v>@taxamo</v>
      </c>
      <c r="C2805" s="10" t="s">
        <v>5738</v>
      </c>
      <c r="D2805" s="10" t="s">
        <v>5739</v>
      </c>
      <c r="E2805" s="11" t="str">
        <f>HYPERLINK("https://twitter.com/taxamo/status/703250682099298304","703250682099298304")</f>
        <v>703250682099298304</v>
      </c>
      <c r="F2805" s="12" t="s">
        <v>446</v>
      </c>
      <c r="G2805" s="13">
        <v>1064.0</v>
      </c>
      <c r="H2805" s="13">
        <v>296.0</v>
      </c>
      <c r="I2805" s="13">
        <v>0.0</v>
      </c>
      <c r="J2805" s="13">
        <v>1.0</v>
      </c>
      <c r="K2805" s="12" t="s">
        <v>21</v>
      </c>
      <c r="L2805" s="7">
        <v>41519.16202546297</v>
      </c>
      <c r="M2805" s="14" t="s">
        <v>765</v>
      </c>
      <c r="N2805" s="14" t="s">
        <v>5740</v>
      </c>
      <c r="O2805" s="11" t="str">
        <f>HYPERLINK("https://pbs.twimg.com/profile_images/524425086883737600/YOAi4F6Y_normal.png","View")</f>
        <v>View</v>
      </c>
      <c r="P2805" s="15"/>
    </row>
    <row r="2806">
      <c r="A2806" s="7">
        <v>42426.34045138889</v>
      </c>
      <c r="B2806" s="8" t="str">
        <f>HYPERLINK("https://twitter.com/WorthingWeb","@WorthingWeb")</f>
        <v>@WorthingWeb</v>
      </c>
      <c r="C2806" s="10" t="s">
        <v>5741</v>
      </c>
      <c r="D2806" s="10" t="s">
        <v>5742</v>
      </c>
      <c r="E2806" s="11" t="str">
        <f>HYPERLINK("https://twitter.com/WorthingWeb/status/703250732313612288","703250732313612288")</f>
        <v>703250732313612288</v>
      </c>
      <c r="F2806" s="12" t="s">
        <v>450</v>
      </c>
      <c r="G2806" s="13">
        <v>187.0</v>
      </c>
      <c r="H2806" s="13">
        <v>217.0</v>
      </c>
      <c r="I2806" s="13">
        <v>1.0</v>
      </c>
      <c r="J2806" s="13">
        <v>1.0</v>
      </c>
      <c r="K2806" s="12" t="s">
        <v>21</v>
      </c>
      <c r="L2806" s="7">
        <v>40101.23143518518</v>
      </c>
      <c r="M2806" s="16"/>
      <c r="N2806" s="14" t="s">
        <v>5743</v>
      </c>
      <c r="O2806" s="11" t="str">
        <f>HYPERLINK("https://pbs.twimg.com/profile_images/2774725861/a1a02b0916a6e6022befe876229dd0e2_normal.jpeg","View")</f>
        <v>View</v>
      </c>
      <c r="P2806" s="15"/>
    </row>
    <row r="2807">
      <c r="A2807" s="7">
        <v>42426.341932870375</v>
      </c>
      <c r="B2807" s="8" t="str">
        <f>HYPERLINK("https://twitter.com/pythontrending","@pythontrending")</f>
        <v>@pythontrending</v>
      </c>
      <c r="C2807" s="10" t="s">
        <v>2074</v>
      </c>
      <c r="D2807" s="10" t="s">
        <v>5744</v>
      </c>
      <c r="E2807" s="11" t="str">
        <f>HYPERLINK("https://twitter.com/pythontrending/status/703251269318778881","703251269318778881")</f>
        <v>703251269318778881</v>
      </c>
      <c r="F2807" s="12" t="s">
        <v>2076</v>
      </c>
      <c r="G2807" s="13">
        <v>3966.0</v>
      </c>
      <c r="H2807" s="13">
        <v>4420.0</v>
      </c>
      <c r="I2807" s="13">
        <v>2.0</v>
      </c>
      <c r="J2807" s="13">
        <v>0.0</v>
      </c>
      <c r="K2807" s="12" t="s">
        <v>21</v>
      </c>
      <c r="L2807" s="7">
        <v>41744.47299768518</v>
      </c>
      <c r="M2807" s="14" t="s">
        <v>2077</v>
      </c>
      <c r="N2807" s="14" t="s">
        <v>2078</v>
      </c>
      <c r="O2807" s="11" t="str">
        <f>HYPERLINK("https://pbs.twimg.com/profile_images/456490947287605248/4oklmBWe_normal.png","View")</f>
        <v>View</v>
      </c>
      <c r="P2807" s="15"/>
    </row>
    <row r="2808">
      <c r="A2808" s="7">
        <v>42426.34236111111</v>
      </c>
      <c r="B2808" s="8" t="str">
        <f>HYPERLINK("https://twitter.com/inboundli_tech","@inboundli_tech")</f>
        <v>@inboundli_tech</v>
      </c>
      <c r="C2808" s="10" t="s">
        <v>2118</v>
      </c>
      <c r="D2808" s="10" t="s">
        <v>5745</v>
      </c>
      <c r="E2808" s="11" t="str">
        <f>HYPERLINK("https://twitter.com/inboundli_tech/status/703251428060614656","703251428060614656")</f>
        <v>703251428060614656</v>
      </c>
      <c r="F2808" s="12" t="s">
        <v>2048</v>
      </c>
      <c r="G2808" s="13">
        <v>97.0</v>
      </c>
      <c r="H2808" s="13">
        <v>84.0</v>
      </c>
      <c r="I2808" s="13">
        <v>3.0</v>
      </c>
      <c r="J2808" s="13">
        <v>1.0</v>
      </c>
      <c r="K2808" s="12" t="s">
        <v>21</v>
      </c>
      <c r="L2808" s="7">
        <v>42244.20113425926</v>
      </c>
      <c r="M2808" s="14" t="s">
        <v>1963</v>
      </c>
      <c r="N2808" s="14" t="s">
        <v>2120</v>
      </c>
      <c r="O2808" s="11" t="str">
        <f>HYPERLINK("https://pbs.twimg.com/profile_images/681686406637469696/oVWxgoQ9_normal.png","View")</f>
        <v>View</v>
      </c>
      <c r="P2808" s="15"/>
    </row>
    <row r="2809">
      <c r="A2809" s="7">
        <v>42426.34244212963</v>
      </c>
      <c r="B2809" s="8" t="str">
        <f>HYPERLINK("https://twitter.com/pydigest","@pydigest")</f>
        <v>@pydigest</v>
      </c>
      <c r="C2809" s="10" t="s">
        <v>385</v>
      </c>
      <c r="D2809" s="10" t="s">
        <v>5746</v>
      </c>
      <c r="E2809" s="11" t="str">
        <f>HYPERLINK("https://twitter.com/pydigest/status/703251456045010944","703251456045010944")</f>
        <v>703251456045010944</v>
      </c>
      <c r="F2809" s="12" t="s">
        <v>103</v>
      </c>
      <c r="G2809" s="13">
        <v>634.0</v>
      </c>
      <c r="H2809" s="13">
        <v>22.0</v>
      </c>
      <c r="I2809" s="13">
        <v>0.0</v>
      </c>
      <c r="J2809" s="13">
        <v>0.0</v>
      </c>
      <c r="K2809" s="12" t="s">
        <v>21</v>
      </c>
      <c r="L2809" s="7">
        <v>41797.15729166666</v>
      </c>
      <c r="M2809" s="16"/>
      <c r="N2809" s="14" t="s">
        <v>387</v>
      </c>
      <c r="O2809" s="11" t="str">
        <f>HYPERLINK("https://pbs.twimg.com/profile_images/475228702922387457/6gYeuqxD_normal.jpeg","View")</f>
        <v>View</v>
      </c>
      <c r="P2809" s="15"/>
    </row>
    <row r="2810">
      <c r="A2810" s="7">
        <v>42426.342673611114</v>
      </c>
      <c r="B2810" s="8" t="str">
        <f>HYPERLINK("https://twitter.com/cathy_litch","@cathy_litch")</f>
        <v>@cathy_litch</v>
      </c>
      <c r="C2810" s="10" t="s">
        <v>5747</v>
      </c>
      <c r="D2810" s="10" t="s">
        <v>5748</v>
      </c>
      <c r="E2810" s="11" t="str">
        <f>HYPERLINK("https://twitter.com/cathy_litch/status/703251541138886657","703251541138886657")</f>
        <v>703251541138886657</v>
      </c>
      <c r="F2810" s="12" t="s">
        <v>52</v>
      </c>
      <c r="G2810" s="13">
        <v>121.0</v>
      </c>
      <c r="H2810" s="13">
        <v>115.0</v>
      </c>
      <c r="I2810" s="13">
        <v>1.0</v>
      </c>
      <c r="J2810" s="13">
        <v>0.0</v>
      </c>
      <c r="K2810" s="12" t="s">
        <v>21</v>
      </c>
      <c r="L2810" s="7">
        <v>40875.31721064815</v>
      </c>
      <c r="M2810" s="16"/>
      <c r="N2810" s="14" t="s">
        <v>5749</v>
      </c>
      <c r="O2810" s="11" t="str">
        <f>HYPERLINK("https://pbs.twimg.com/profile_images/3220656585/25a92a9cca48be99aa4eca26beb4d756_normal.jpeg","View")</f>
        <v>View</v>
      </c>
      <c r="P2810" s="15"/>
    </row>
    <row r="2811">
      <c r="A2811" s="7">
        <v>42426.342685185184</v>
      </c>
      <c r="B2811" s="8" t="str">
        <f>HYPERLINK("https://twitter.com/programmingncr","@programmingncr")</f>
        <v>@programmingncr</v>
      </c>
      <c r="C2811" s="10" t="s">
        <v>262</v>
      </c>
      <c r="D2811" s="10" t="s">
        <v>5750</v>
      </c>
      <c r="E2811" s="11" t="str">
        <f>HYPERLINK("https://twitter.com/programmingncr/status/703251544741912576","703251544741912576")</f>
        <v>703251544741912576</v>
      </c>
      <c r="F2811" s="12" t="s">
        <v>103</v>
      </c>
      <c r="G2811" s="13">
        <v>328.0</v>
      </c>
      <c r="H2811" s="13">
        <v>99.0</v>
      </c>
      <c r="I2811" s="13">
        <v>0.0</v>
      </c>
      <c r="J2811" s="13">
        <v>0.0</v>
      </c>
      <c r="K2811" s="12" t="s">
        <v>21</v>
      </c>
      <c r="L2811" s="7">
        <v>42220.86634259259</v>
      </c>
      <c r="M2811" s="14" t="s">
        <v>264</v>
      </c>
      <c r="N2811" s="14" t="s">
        <v>265</v>
      </c>
      <c r="O2811" s="11" t="str">
        <f>HYPERLINK("https://pbs.twimg.com/profile_images/662602436222193664/qKuvsfnG_normal.jpg","View")</f>
        <v>View</v>
      </c>
      <c r="P2811" s="15"/>
    </row>
    <row r="2812">
      <c r="A2812" s="7">
        <v>42426.342777777776</v>
      </c>
      <c r="B2812" s="8" t="str">
        <f>HYPERLINK("https://twitter.com/api_bigdata","@api_bigdata")</f>
        <v>@api_bigdata</v>
      </c>
      <c r="C2812" s="10" t="s">
        <v>2243</v>
      </c>
      <c r="D2812" s="10" t="s">
        <v>5751</v>
      </c>
      <c r="E2812" s="11" t="str">
        <f>HYPERLINK("https://twitter.com/api_bigdata/status/703251576358608896","703251576358608896")</f>
        <v>703251576358608896</v>
      </c>
      <c r="F2812" s="12" t="s">
        <v>2245</v>
      </c>
      <c r="G2812" s="13">
        <v>608.0</v>
      </c>
      <c r="H2812" s="13">
        <v>127.0</v>
      </c>
      <c r="I2812" s="13">
        <v>3.0</v>
      </c>
      <c r="J2812" s="13">
        <v>0.0</v>
      </c>
      <c r="K2812" s="12" t="s">
        <v>21</v>
      </c>
      <c r="L2812" s="7">
        <v>42201.32399305556</v>
      </c>
      <c r="M2812" s="16"/>
      <c r="N2812" s="16"/>
      <c r="O2812" s="11" t="str">
        <f>HYPERLINK("https://pbs.twimg.com/profile_images/621693027304779776/OKPaVvyo_normal.jpg","View")</f>
        <v>View</v>
      </c>
      <c r="P2812" s="15"/>
    </row>
    <row r="2813">
      <c r="A2813" s="7">
        <v>42426.34303240741</v>
      </c>
      <c r="B2813" s="8" t="str">
        <f>HYPERLINK("https://twitter.com/HartwigMicheal","@HartwigMicheal")</f>
        <v>@HartwigMicheal</v>
      </c>
      <c r="C2813" s="10" t="s">
        <v>842</v>
      </c>
      <c r="D2813" s="10" t="s">
        <v>5752</v>
      </c>
      <c r="E2813" s="11" t="str">
        <f>HYPERLINK("https://twitter.com/HartwigMicheal/status/703251669212139520","703251669212139520")</f>
        <v>703251669212139520</v>
      </c>
      <c r="F2813" s="12" t="s">
        <v>103</v>
      </c>
      <c r="G2813" s="13">
        <v>541.0</v>
      </c>
      <c r="H2813" s="13">
        <v>830.0</v>
      </c>
      <c r="I2813" s="13">
        <v>0.0</v>
      </c>
      <c r="J2813" s="13">
        <v>0.0</v>
      </c>
      <c r="K2813" s="12" t="s">
        <v>21</v>
      </c>
      <c r="L2813" s="7">
        <v>42362.00148148148</v>
      </c>
      <c r="M2813" s="14" t="s">
        <v>844</v>
      </c>
      <c r="N2813" s="14" t="s">
        <v>845</v>
      </c>
      <c r="O2813" s="11" t="str">
        <f>HYPERLINK("https://pbs.twimg.com/profile_images/679948461953781761/pDo9356K_normal.jpg","View")</f>
        <v>View</v>
      </c>
      <c r="P2813" s="15"/>
    </row>
    <row r="2814">
      <c r="A2814" s="7">
        <v>42426.343043981484</v>
      </c>
      <c r="B2814" s="8" t="str">
        <f>HYPERLINK("https://twitter.com/mtekasetya","@mtekasetya")</f>
        <v>@mtekasetya</v>
      </c>
      <c r="C2814" s="10" t="s">
        <v>5753</v>
      </c>
      <c r="D2814" s="10" t="s">
        <v>1820</v>
      </c>
      <c r="E2814" s="11" t="str">
        <f>HYPERLINK("https://twitter.com/mtekasetya/status/703251674551488512","703251674551488512")</f>
        <v>703251674551488512</v>
      </c>
      <c r="F2814" s="12" t="s">
        <v>52</v>
      </c>
      <c r="G2814" s="13">
        <v>167.0</v>
      </c>
      <c r="H2814" s="13">
        <v>715.0</v>
      </c>
      <c r="I2814" s="13">
        <v>20.0</v>
      </c>
      <c r="J2814" s="13">
        <v>0.0</v>
      </c>
      <c r="K2814" s="12" t="s">
        <v>21</v>
      </c>
      <c r="L2814" s="7">
        <v>39805.7003587963</v>
      </c>
      <c r="M2814" s="14" t="s">
        <v>1158</v>
      </c>
      <c r="N2814" s="14" t="s">
        <v>5754</v>
      </c>
      <c r="O2814" s="11" t="str">
        <f>HYPERLINK("https://pbs.twimg.com/profile_images/3552121546/31f5f06932b57512445a2b320d84c891_normal.jpeg","View")</f>
        <v>View</v>
      </c>
      <c r="P2814" s="15"/>
    </row>
    <row r="2815">
      <c r="A2815" s="7">
        <v>42426.34307870371</v>
      </c>
      <c r="B2815" s="8" t="str">
        <f>HYPERLINK("https://twitter.com/HartwigMicheal","@HartwigMicheal")</f>
        <v>@HartwigMicheal</v>
      </c>
      <c r="C2815" s="10" t="s">
        <v>842</v>
      </c>
      <c r="D2815" s="10" t="s">
        <v>5755</v>
      </c>
      <c r="E2815" s="11" t="str">
        <f>HYPERLINK("https://twitter.com/HartwigMicheal/status/703251687566344192","703251687566344192")</f>
        <v>703251687566344192</v>
      </c>
      <c r="F2815" s="12" t="s">
        <v>103</v>
      </c>
      <c r="G2815" s="13">
        <v>541.0</v>
      </c>
      <c r="H2815" s="13">
        <v>830.0</v>
      </c>
      <c r="I2815" s="13">
        <v>0.0</v>
      </c>
      <c r="J2815" s="13">
        <v>0.0</v>
      </c>
      <c r="K2815" s="12" t="s">
        <v>21</v>
      </c>
      <c r="L2815" s="7">
        <v>42362.00148148148</v>
      </c>
      <c r="M2815" s="14" t="s">
        <v>844</v>
      </c>
      <c r="N2815" s="14" t="s">
        <v>845</v>
      </c>
      <c r="O2815" s="11" t="str">
        <f>HYPERLINK("https://pbs.twimg.com/profile_images/679948461953781761/pDo9356K_normal.jpg","View")</f>
        <v>View</v>
      </c>
      <c r="P2815" s="15"/>
    </row>
    <row r="2816">
      <c r="A2816" s="7">
        <v>42426.343576388885</v>
      </c>
      <c r="B2816" s="8" t="str">
        <f t="shared" ref="B2816:B2817" si="289">HYPERLINK("https://twitter.com/MTotolrahaman","@MTotolrahaman")</f>
        <v>@MTotolrahaman</v>
      </c>
      <c r="C2816" s="10" t="s">
        <v>848</v>
      </c>
      <c r="D2816" s="10" t="s">
        <v>5756</v>
      </c>
      <c r="E2816" s="11" t="str">
        <f>HYPERLINK("https://twitter.com/MTotolrahaman/status/703251867187412992","703251867187412992")</f>
        <v>703251867187412992</v>
      </c>
      <c r="F2816" s="12" t="s">
        <v>103</v>
      </c>
      <c r="G2816" s="13">
        <v>766.0</v>
      </c>
      <c r="H2816" s="13">
        <v>846.0</v>
      </c>
      <c r="I2816" s="13">
        <v>0.0</v>
      </c>
      <c r="J2816" s="13">
        <v>0.0</v>
      </c>
      <c r="K2816" s="12" t="s">
        <v>21</v>
      </c>
      <c r="L2816" s="7">
        <v>42355.250798611116</v>
      </c>
      <c r="M2816" s="14" t="s">
        <v>850</v>
      </c>
      <c r="N2816" s="14" t="s">
        <v>851</v>
      </c>
      <c r="O2816" s="11" t="str">
        <f t="shared" ref="O2816:O2817" si="290">HYPERLINK("https://pbs.twimg.com/profile_images/677493910256484352/-EdVaVPl_normal.jpg","View")</f>
        <v>View</v>
      </c>
      <c r="P2816" s="15"/>
    </row>
    <row r="2817">
      <c r="A2817" s="7">
        <v>42426.343622685185</v>
      </c>
      <c r="B2817" s="8" t="str">
        <f t="shared" si="289"/>
        <v>@MTotolrahaman</v>
      </c>
      <c r="C2817" s="10" t="s">
        <v>848</v>
      </c>
      <c r="D2817" s="10" t="s">
        <v>5757</v>
      </c>
      <c r="E2817" s="11" t="str">
        <f>HYPERLINK("https://twitter.com/MTotolrahaman/status/703251882404356096","703251882404356096")</f>
        <v>703251882404356096</v>
      </c>
      <c r="F2817" s="12" t="s">
        <v>103</v>
      </c>
      <c r="G2817" s="13">
        <v>766.0</v>
      </c>
      <c r="H2817" s="13">
        <v>846.0</v>
      </c>
      <c r="I2817" s="13">
        <v>0.0</v>
      </c>
      <c r="J2817" s="13">
        <v>1.0</v>
      </c>
      <c r="K2817" s="12" t="s">
        <v>21</v>
      </c>
      <c r="L2817" s="7">
        <v>42355.250798611116</v>
      </c>
      <c r="M2817" s="14" t="s">
        <v>850</v>
      </c>
      <c r="N2817" s="14" t="s">
        <v>851</v>
      </c>
      <c r="O2817" s="11" t="str">
        <f t="shared" si="290"/>
        <v>View</v>
      </c>
      <c r="P2817" s="15"/>
    </row>
    <row r="2818">
      <c r="A2818" s="7">
        <v>42426.34371527778</v>
      </c>
      <c r="B2818" s="8" t="str">
        <f>HYPERLINK("https://twitter.com/pranjalworm","@pranjalworm")</f>
        <v>@pranjalworm</v>
      </c>
      <c r="C2818" s="10" t="s">
        <v>5758</v>
      </c>
      <c r="D2818" s="10" t="s">
        <v>5574</v>
      </c>
      <c r="E2818" s="11" t="str">
        <f>HYPERLINK("https://twitter.com/pranjalworm/status/703251915858022400","703251915858022400")</f>
        <v>703251915858022400</v>
      </c>
      <c r="F2818" s="12" t="s">
        <v>152</v>
      </c>
      <c r="G2818" s="13">
        <v>70.0</v>
      </c>
      <c r="H2818" s="13">
        <v>126.0</v>
      </c>
      <c r="I2818" s="13">
        <v>6.0</v>
      </c>
      <c r="J2818" s="13">
        <v>0.0</v>
      </c>
      <c r="K2818" s="12" t="s">
        <v>21</v>
      </c>
      <c r="L2818" s="7">
        <v>40287.961550925924</v>
      </c>
      <c r="M2818" s="14" t="s">
        <v>5759</v>
      </c>
      <c r="N2818" s="14" t="s">
        <v>5760</v>
      </c>
      <c r="O2818" s="11" t="str">
        <f>HYPERLINK("https://pbs.twimg.com/profile_images/558912432739844096/_bGu5lOZ_normal.jpeg","View")</f>
        <v>View</v>
      </c>
      <c r="P2818" s="15"/>
    </row>
    <row r="2819">
      <c r="A2819" s="7">
        <v>42426.34412037037</v>
      </c>
      <c r="B2819" s="8" t="str">
        <f>HYPERLINK("https://twitter.com/Gradjobpodcast","@Gradjobpodcast")</f>
        <v>@Gradjobpodcast</v>
      </c>
      <c r="C2819" s="10" t="s">
        <v>5761</v>
      </c>
      <c r="D2819" s="10" t="s">
        <v>5762</v>
      </c>
      <c r="E2819" s="11" t="str">
        <f>HYPERLINK("https://twitter.com/Gradjobpodcast/status/703252062356807681","703252062356807681")</f>
        <v>703252062356807681</v>
      </c>
      <c r="F2819" s="12" t="s">
        <v>659</v>
      </c>
      <c r="G2819" s="13">
        <v>249.0</v>
      </c>
      <c r="H2819" s="13">
        <v>358.0</v>
      </c>
      <c r="I2819" s="13">
        <v>0.0</v>
      </c>
      <c r="J2819" s="13">
        <v>1.0</v>
      </c>
      <c r="K2819" s="12" t="s">
        <v>21</v>
      </c>
      <c r="L2819" s="7">
        <v>41868.293969907405</v>
      </c>
      <c r="M2819" s="14" t="s">
        <v>1093</v>
      </c>
      <c r="N2819" s="14" t="s">
        <v>5763</v>
      </c>
      <c r="O2819" s="11" t="str">
        <f>HYPERLINK("https://pbs.twimg.com/profile_images/504639508634009601/vGq1UpfW_normal.jpeg","View")</f>
        <v>View</v>
      </c>
      <c r="P2819" s="15"/>
    </row>
    <row r="2820">
      <c r="A2820" s="7">
        <v>42426.34432870371</v>
      </c>
      <c r="B2820" s="8" t="str">
        <f>HYPERLINK("https://twitter.com/MaMingya","@MaMingya")</f>
        <v>@MaMingya</v>
      </c>
      <c r="C2820" s="10" t="s">
        <v>5764</v>
      </c>
      <c r="D2820" s="10" t="s">
        <v>5765</v>
      </c>
      <c r="E2820" s="11" t="str">
        <f>HYPERLINK("https://twitter.com/MaMingya/status/703252137862496256","703252137862496256")</f>
        <v>703252137862496256</v>
      </c>
      <c r="F2820" s="12" t="s">
        <v>20</v>
      </c>
      <c r="G2820" s="13">
        <v>7.0</v>
      </c>
      <c r="H2820" s="13">
        <v>19.0</v>
      </c>
      <c r="I2820" s="13">
        <v>0.0</v>
      </c>
      <c r="J2820" s="13">
        <v>0.0</v>
      </c>
      <c r="K2820" s="12" t="s">
        <v>21</v>
      </c>
      <c r="L2820" s="7">
        <v>41542.326053240744</v>
      </c>
      <c r="M2820" s="16"/>
      <c r="N2820" s="16"/>
      <c r="O2820" s="11" t="str">
        <f>HYPERLINK("https://pbs.twimg.com/profile_images/625868636486561792/zk_Qv_Dp_normal.jpg","View")</f>
        <v>View</v>
      </c>
      <c r="P2820" s="15"/>
    </row>
    <row r="2821">
      <c r="A2821" s="7">
        <v>42426.344918981486</v>
      </c>
      <c r="B2821" s="8" t="str">
        <f>HYPERLINK("https://twitter.com/adnan_hashmi","@adnan_hashmi")</f>
        <v>@adnan_hashmi</v>
      </c>
      <c r="C2821" s="10" t="s">
        <v>5766</v>
      </c>
      <c r="D2821" s="10" t="s">
        <v>5767</v>
      </c>
      <c r="E2821" s="11" t="str">
        <f>HYPERLINK("https://twitter.com/adnan_hashmi/status/703252352866844672","703252352866844672")</f>
        <v>703252352866844672</v>
      </c>
      <c r="F2821" s="12" t="s">
        <v>20</v>
      </c>
      <c r="G2821" s="13">
        <v>610.0</v>
      </c>
      <c r="H2821" s="13">
        <v>1695.0</v>
      </c>
      <c r="I2821" s="13">
        <v>0.0</v>
      </c>
      <c r="J2821" s="13">
        <v>3.0</v>
      </c>
      <c r="K2821" s="12" t="s">
        <v>21</v>
      </c>
      <c r="L2821" s="7">
        <v>39833.9734837963</v>
      </c>
      <c r="M2821" s="14" t="s">
        <v>5768</v>
      </c>
      <c r="N2821" s="14" t="s">
        <v>5769</v>
      </c>
      <c r="O2821" s="11" t="str">
        <f>HYPERLINK("https://pbs.twimg.com/profile_images/440160881997926402/7tdqJ5YQ_normal.jpeg","View")</f>
        <v>View</v>
      </c>
      <c r="P2821" s="15"/>
    </row>
    <row r="2822">
      <c r="A2822" s="7">
        <v>42426.34581018519</v>
      </c>
      <c r="B2822" s="8" t="str">
        <f>HYPERLINK("https://twitter.com/nsz_no","@nsz_no")</f>
        <v>@nsz_no</v>
      </c>
      <c r="C2822" s="10" t="s">
        <v>5770</v>
      </c>
      <c r="D2822" s="10" t="s">
        <v>5771</v>
      </c>
      <c r="E2822" s="11" t="str">
        <f>HYPERLINK("https://twitter.com/nsz_no/status/703252677086584832","703252677086584832")</f>
        <v>703252677086584832</v>
      </c>
      <c r="F2822" s="12" t="s">
        <v>20</v>
      </c>
      <c r="G2822" s="13">
        <v>71.0</v>
      </c>
      <c r="H2822" s="13">
        <v>429.0</v>
      </c>
      <c r="I2822" s="13">
        <v>0.0</v>
      </c>
      <c r="J2822" s="13">
        <v>1.0</v>
      </c>
      <c r="K2822" s="12" t="s">
        <v>21</v>
      </c>
      <c r="L2822" s="7">
        <v>41726.23060185185</v>
      </c>
      <c r="M2822" s="16"/>
      <c r="N2822" s="14" t="s">
        <v>5772</v>
      </c>
      <c r="O2822" s="11" t="str">
        <f>HYPERLINK("https://pbs.twimg.com/profile_images/449852709609295872/l-1LHUk8_normal.jpeg","View")</f>
        <v>View</v>
      </c>
      <c r="P2822" s="15"/>
    </row>
    <row r="2823">
      <c r="A2823" s="7">
        <v>42426.34594907408</v>
      </c>
      <c r="B2823" s="8" t="str">
        <f>HYPERLINK("https://twitter.com/cool_python","@cool_python")</f>
        <v>@cool_python</v>
      </c>
      <c r="C2823" s="10" t="s">
        <v>249</v>
      </c>
      <c r="D2823" s="10" t="s">
        <v>5773</v>
      </c>
      <c r="E2823" s="11" t="str">
        <f>HYPERLINK("https://twitter.com/cool_python/status/703252726998761472","703252726998761472")</f>
        <v>703252726998761472</v>
      </c>
      <c r="F2823" s="12" t="s">
        <v>251</v>
      </c>
      <c r="G2823" s="13">
        <v>235.0</v>
      </c>
      <c r="H2823" s="13">
        <v>91.0</v>
      </c>
      <c r="I2823" s="13">
        <v>2.0</v>
      </c>
      <c r="J2823" s="13">
        <v>0.0</v>
      </c>
      <c r="K2823" s="12" t="s">
        <v>21</v>
      </c>
      <c r="L2823" s="7">
        <v>42064.325</v>
      </c>
      <c r="M2823" s="14" t="s">
        <v>252</v>
      </c>
      <c r="N2823" s="14" t="s">
        <v>253</v>
      </c>
      <c r="O2823" s="11" t="str">
        <f>HYPERLINK("https://pbs.twimg.com/profile_images/572091631055028224/Pkx__FSB_normal.png","View")</f>
        <v>View</v>
      </c>
      <c r="P2823" s="15"/>
    </row>
    <row r="2824">
      <c r="A2824" s="7">
        <v>42426.34594907408</v>
      </c>
      <c r="B2824" s="8" t="str">
        <f>HYPERLINK("https://twitter.com/_joac","@_joac")</f>
        <v>@_joac</v>
      </c>
      <c r="C2824" s="10" t="s">
        <v>5774</v>
      </c>
      <c r="D2824" s="10" t="s">
        <v>5775</v>
      </c>
      <c r="E2824" s="11" t="str">
        <f>HYPERLINK("https://twitter.com/_joac/status/703252728013832193","703252728013832193")</f>
        <v>703252728013832193</v>
      </c>
      <c r="F2824" s="12" t="s">
        <v>152</v>
      </c>
      <c r="G2824" s="13">
        <v>3853.0</v>
      </c>
      <c r="H2824" s="13">
        <v>760.0</v>
      </c>
      <c r="I2824" s="13">
        <v>3.0</v>
      </c>
      <c r="J2824" s="13">
        <v>0.0</v>
      </c>
      <c r="K2824" s="12" t="s">
        <v>21</v>
      </c>
      <c r="L2824" s="7">
        <v>40427.45092592593</v>
      </c>
      <c r="M2824" s="14" t="s">
        <v>5776</v>
      </c>
      <c r="N2824" s="14" t="s">
        <v>5777</v>
      </c>
      <c r="O2824" s="11" t="str">
        <f>HYPERLINK("https://pbs.twimg.com/profile_images/647102811923173376/R51JaRlp_normal.png","View")</f>
        <v>View</v>
      </c>
      <c r="P2824" s="15"/>
    </row>
    <row r="2825">
      <c r="A2825" s="7">
        <v>42426.34635416667</v>
      </c>
      <c r="B2825" s="8" t="str">
        <f>HYPERLINK("https://twitter.com/blug_jp","@blug_jp")</f>
        <v>@blug_jp</v>
      </c>
      <c r="C2825" s="10" t="s">
        <v>5778</v>
      </c>
      <c r="D2825" s="10" t="s">
        <v>5779</v>
      </c>
      <c r="E2825" s="11" t="str">
        <f>HYPERLINK("https://twitter.com/blug_jp/status/703252871844724736","703252871844724736")</f>
        <v>703252871844724736</v>
      </c>
      <c r="F2825" s="12" t="s">
        <v>446</v>
      </c>
      <c r="G2825" s="13">
        <v>1779.0</v>
      </c>
      <c r="H2825" s="13">
        <v>1431.0</v>
      </c>
      <c r="I2825" s="13">
        <v>3.0</v>
      </c>
      <c r="J2825" s="13">
        <v>0.0</v>
      </c>
      <c r="K2825" s="12" t="s">
        <v>21</v>
      </c>
      <c r="L2825" s="7">
        <v>40274.32927083333</v>
      </c>
      <c r="M2825" s="14" t="s">
        <v>3456</v>
      </c>
      <c r="N2825" s="14" t="s">
        <v>5780</v>
      </c>
      <c r="O2825" s="11" t="str">
        <f>HYPERLINK("https://pbs.twimg.com/profile_images/417652270700830721/ZC3MBsa-_normal.jpeg","View")</f>
        <v>View</v>
      </c>
      <c r="P2825" s="15"/>
    </row>
    <row r="2826">
      <c r="A2826" s="7">
        <v>42426.34719907407</v>
      </c>
      <c r="B2826" s="8" t="str">
        <f>HYPERLINK("https://twitter.com/anuncio_rocks","@anuncio_rocks")</f>
        <v>@anuncio_rocks</v>
      </c>
      <c r="C2826" s="10" t="s">
        <v>5781</v>
      </c>
      <c r="D2826" s="10" t="s">
        <v>5782</v>
      </c>
      <c r="E2826" s="11" t="str">
        <f>HYPERLINK("https://twitter.com/anuncio_rocks/status/703253181644546048","703253181644546048")</f>
        <v>703253181644546048</v>
      </c>
      <c r="F2826" s="12" t="s">
        <v>52</v>
      </c>
      <c r="G2826" s="13">
        <v>960.0</v>
      </c>
      <c r="H2826" s="13">
        <v>2801.0</v>
      </c>
      <c r="I2826" s="13">
        <v>1.0</v>
      </c>
      <c r="J2826" s="13">
        <v>0.0</v>
      </c>
      <c r="K2826" s="12" t="s">
        <v>21</v>
      </c>
      <c r="L2826" s="7">
        <v>41868.56590277778</v>
      </c>
      <c r="M2826" s="14" t="s">
        <v>1287</v>
      </c>
      <c r="N2826" s="14" t="s">
        <v>5783</v>
      </c>
      <c r="O2826" s="11" t="str">
        <f>HYPERLINK("https://pbs.twimg.com/profile_images/601426441562120192/V1xJJe7c_normal.png","View")</f>
        <v>View</v>
      </c>
      <c r="P2826" s="15"/>
    </row>
    <row r="2827">
      <c r="A2827" s="7">
        <v>42426.34763888889</v>
      </c>
      <c r="B2827" s="8" t="str">
        <f>HYPERLINK("https://twitter.com/SamGouldson","@SamGouldson")</f>
        <v>@SamGouldson</v>
      </c>
      <c r="C2827" s="10" t="s">
        <v>5784</v>
      </c>
      <c r="D2827" s="10" t="s">
        <v>5785</v>
      </c>
      <c r="E2827" s="11" t="str">
        <f>HYPERLINK("https://twitter.com/SamGouldson/status/703253338008231943","703253338008231943")</f>
        <v>703253338008231943</v>
      </c>
      <c r="F2827" s="12" t="s">
        <v>2823</v>
      </c>
      <c r="G2827" s="13">
        <v>809.0</v>
      </c>
      <c r="H2827" s="13">
        <v>382.0</v>
      </c>
      <c r="I2827" s="13">
        <v>1.0</v>
      </c>
      <c r="J2827" s="13">
        <v>0.0</v>
      </c>
      <c r="K2827" s="12" t="s">
        <v>21</v>
      </c>
      <c r="L2827" s="7">
        <v>41970.23106481481</v>
      </c>
      <c r="M2827" s="14" t="s">
        <v>5786</v>
      </c>
      <c r="N2827" s="14" t="s">
        <v>5787</v>
      </c>
      <c r="O2827" s="11" t="str">
        <f>HYPERLINK("https://pbs.twimg.com/profile_images/703192916555014148/96EeUh0n_normal.jpg","View")</f>
        <v>View</v>
      </c>
      <c r="P2827" s="15"/>
    </row>
    <row r="2828">
      <c r="A2828" s="7">
        <v>42426.34780092593</v>
      </c>
      <c r="B2828" s="8" t="str">
        <f>HYPERLINK("https://twitter.com/paleecha29","@paleecha29")</f>
        <v>@paleecha29</v>
      </c>
      <c r="C2828" s="10" t="s">
        <v>5788</v>
      </c>
      <c r="D2828" s="10" t="s">
        <v>5409</v>
      </c>
      <c r="E2828" s="11" t="str">
        <f>HYPERLINK("https://twitter.com/paleecha29/status/703253399446253568","703253399446253568")</f>
        <v>703253399446253568</v>
      </c>
      <c r="F2828" s="12" t="s">
        <v>20</v>
      </c>
      <c r="G2828" s="13">
        <v>300.0</v>
      </c>
      <c r="H2828" s="13">
        <v>254.0</v>
      </c>
      <c r="I2828" s="13">
        <v>3.0</v>
      </c>
      <c r="J2828" s="13">
        <v>0.0</v>
      </c>
      <c r="K2828" s="12" t="s">
        <v>21</v>
      </c>
      <c r="L2828" s="7">
        <v>41165.62048611111</v>
      </c>
      <c r="M2828" s="14" t="s">
        <v>2022</v>
      </c>
      <c r="N2828" s="14" t="s">
        <v>5789</v>
      </c>
      <c r="O2828" s="11" t="str">
        <f>HYPERLINK("https://pbs.twimg.com/profile_images/675076410801827840/TjA05IGj_normal.jpg","View")</f>
        <v>View</v>
      </c>
      <c r="P2828" s="15"/>
    </row>
    <row r="2829">
      <c r="A2829" s="7">
        <v>42426.348078703704</v>
      </c>
      <c r="B2829" s="8" t="str">
        <f>HYPERLINK("https://twitter.com/robert_kalman","@robert_kalman")</f>
        <v>@robert_kalman</v>
      </c>
      <c r="C2829" s="10" t="s">
        <v>5790</v>
      </c>
      <c r="D2829" s="10" t="s">
        <v>5791</v>
      </c>
      <c r="E2829" s="11" t="str">
        <f>HYPERLINK("https://twitter.com/robert_kalman/status/703253498364862466","703253498364862466")</f>
        <v>703253498364862466</v>
      </c>
      <c r="F2829" s="12" t="s">
        <v>1573</v>
      </c>
      <c r="G2829" s="13">
        <v>2606.0</v>
      </c>
      <c r="H2829" s="13">
        <v>2361.0</v>
      </c>
      <c r="I2829" s="13">
        <v>2.0</v>
      </c>
      <c r="J2829" s="13">
        <v>1.0</v>
      </c>
      <c r="K2829" s="12" t="s">
        <v>21</v>
      </c>
      <c r="L2829" s="7">
        <v>40022.47734953704</v>
      </c>
      <c r="M2829" s="14" t="s">
        <v>5649</v>
      </c>
      <c r="N2829" s="14" t="s">
        <v>5792</v>
      </c>
      <c r="O2829" s="11" t="str">
        <f>HYPERLINK("https://pbs.twimg.com/profile_images/687793404810543104/F9YS6uCI_normal.jpg","View")</f>
        <v>View</v>
      </c>
      <c r="P2829" s="15"/>
    </row>
    <row r="2830">
      <c r="A2830" s="7">
        <v>42426.34809027778</v>
      </c>
      <c r="B2830" s="8" t="str">
        <f>HYPERLINK("https://twitter.com/itknowingness","@itknowingness")</f>
        <v>@itknowingness</v>
      </c>
      <c r="C2830" s="10" t="s">
        <v>3465</v>
      </c>
      <c r="D2830" s="10" t="s">
        <v>5793</v>
      </c>
      <c r="E2830" s="11" t="str">
        <f>HYPERLINK("https://twitter.com/itknowingness/status/703253503930736640","703253503930736640")</f>
        <v>703253503930736640</v>
      </c>
      <c r="F2830" s="12" t="s">
        <v>3467</v>
      </c>
      <c r="G2830" s="13">
        <v>6904.0</v>
      </c>
      <c r="H2830" s="13">
        <v>3191.0</v>
      </c>
      <c r="I2830" s="13">
        <v>2.0</v>
      </c>
      <c r="J2830" s="13">
        <v>0.0</v>
      </c>
      <c r="K2830" s="12" t="s">
        <v>21</v>
      </c>
      <c r="L2830" s="7">
        <v>40490.39297453704</v>
      </c>
      <c r="M2830" s="14" t="s">
        <v>269</v>
      </c>
      <c r="N2830" s="14" t="s">
        <v>3468</v>
      </c>
      <c r="O2830" s="11" t="str">
        <f>HYPERLINK("https://pbs.twimg.com/profile_images/1164716874/favicon-triada-azul_normal.png","View")</f>
        <v>View</v>
      </c>
      <c r="P2830" s="15"/>
    </row>
    <row r="2831">
      <c r="A2831" s="7">
        <v>42426.348402777774</v>
      </c>
      <c r="B2831" s="8" t="str">
        <f>HYPERLINK("https://twitter.com/Mikael_Furesjo","@Mikael_Furesjo")</f>
        <v>@Mikael_Furesjo</v>
      </c>
      <c r="C2831" s="10" t="s">
        <v>106</v>
      </c>
      <c r="D2831" s="10" t="s">
        <v>5794</v>
      </c>
      <c r="E2831" s="11" t="str">
        <f>HYPERLINK("https://twitter.com/Mikael_Furesjo/status/703253614266073088","703253614266073088")</f>
        <v>703253614266073088</v>
      </c>
      <c r="F2831" s="12" t="s">
        <v>108</v>
      </c>
      <c r="G2831" s="13">
        <v>3096.0</v>
      </c>
      <c r="H2831" s="13">
        <v>3192.0</v>
      </c>
      <c r="I2831" s="13">
        <v>0.0</v>
      </c>
      <c r="J2831" s="13">
        <v>0.0</v>
      </c>
      <c r="K2831" s="12" t="s">
        <v>21</v>
      </c>
      <c r="L2831" s="7">
        <v>41981.281909722224</v>
      </c>
      <c r="M2831" s="14" t="s">
        <v>109</v>
      </c>
      <c r="N2831" s="14" t="s">
        <v>110</v>
      </c>
      <c r="O2831" s="11" t="str">
        <f>HYPERLINK("https://pbs.twimg.com/profile_images/541967225691713536/sEjIUqRQ_normal.jpeg","View")</f>
        <v>View</v>
      </c>
      <c r="P2831" s="15"/>
    </row>
    <row r="2832">
      <c r="A2832" s="7">
        <v>42426.3484375</v>
      </c>
      <c r="B2832" s="8" t="str">
        <f>HYPERLINK("https://twitter.com/ahmed_ali","@ahmed_ali")</f>
        <v>@ahmed_ali</v>
      </c>
      <c r="C2832" s="10" t="s">
        <v>5795</v>
      </c>
      <c r="D2832" s="10" t="s">
        <v>5779</v>
      </c>
      <c r="E2832" s="11" t="str">
        <f>HYPERLINK("https://twitter.com/ahmed_ali/status/703253627708809216","703253627708809216")</f>
        <v>703253627708809216</v>
      </c>
      <c r="F2832" s="12" t="s">
        <v>152</v>
      </c>
      <c r="G2832" s="13">
        <v>451.0</v>
      </c>
      <c r="H2832" s="13">
        <v>190.0</v>
      </c>
      <c r="I2832" s="13">
        <v>3.0</v>
      </c>
      <c r="J2832" s="13">
        <v>0.0</v>
      </c>
      <c r="K2832" s="12" t="s">
        <v>21</v>
      </c>
      <c r="L2832" s="7">
        <v>39793.078993055555</v>
      </c>
      <c r="M2832" s="14" t="s">
        <v>5796</v>
      </c>
      <c r="N2832" s="18" t="s">
        <v>5797</v>
      </c>
      <c r="O2832" s="11" t="str">
        <f>HYPERLINK("https://pbs.twimg.com/profile_images/665496478022938624/5oRjES-8_normal.png","View")</f>
        <v>View</v>
      </c>
      <c r="P2832" s="15"/>
    </row>
    <row r="2833">
      <c r="A2833" s="7">
        <v>42426.348645833335</v>
      </c>
      <c r="B2833" s="8" t="str">
        <f>HYPERLINK("https://twitter.com/AdamSmitht1","@AdamSmitht1")</f>
        <v>@AdamSmitht1</v>
      </c>
      <c r="C2833" s="10" t="s">
        <v>468</v>
      </c>
      <c r="D2833" s="10" t="s">
        <v>5798</v>
      </c>
      <c r="E2833" s="11" t="str">
        <f>HYPERLINK("https://twitter.com/AdamSmitht1/status/703253705915834368","703253705915834368")</f>
        <v>703253705915834368</v>
      </c>
      <c r="F2833" s="12" t="s">
        <v>103</v>
      </c>
      <c r="G2833" s="13">
        <v>849.0</v>
      </c>
      <c r="H2833" s="13">
        <v>793.0</v>
      </c>
      <c r="I2833" s="13">
        <v>0.0</v>
      </c>
      <c r="J2833" s="13">
        <v>0.0</v>
      </c>
      <c r="K2833" s="12" t="s">
        <v>21</v>
      </c>
      <c r="L2833" s="7">
        <v>42336.12709490741</v>
      </c>
      <c r="M2833" s="14" t="s">
        <v>470</v>
      </c>
      <c r="N2833" s="14" t="s">
        <v>471</v>
      </c>
      <c r="O2833" s="11" t="str">
        <f>HYPERLINK("https://pbs.twimg.com/profile_images/671623862916812800/yGsDKiP4_normal.jpg","View")</f>
        <v>View</v>
      </c>
      <c r="P2833" s="15"/>
    </row>
    <row r="2834">
      <c r="A2834" s="7">
        <v>42426.3491550926</v>
      </c>
      <c r="B2834" s="8" t="str">
        <f>HYPERLINK("https://twitter.com/okipow","@okipow")</f>
        <v>@okipow</v>
      </c>
      <c r="C2834" s="10" t="s">
        <v>5799</v>
      </c>
      <c r="D2834" s="10" t="s">
        <v>5800</v>
      </c>
      <c r="E2834" s="11" t="str">
        <f>HYPERLINK("https://twitter.com/okipow/status/703253889257082881","703253889257082881")</f>
        <v>703253889257082881</v>
      </c>
      <c r="F2834" s="12" t="s">
        <v>20</v>
      </c>
      <c r="G2834" s="13">
        <v>634.0</v>
      </c>
      <c r="H2834" s="13">
        <v>245.0</v>
      </c>
      <c r="I2834" s="13">
        <v>0.0</v>
      </c>
      <c r="J2834" s="13">
        <v>0.0</v>
      </c>
      <c r="K2834" s="12" t="s">
        <v>21</v>
      </c>
      <c r="L2834" s="7">
        <v>40706.92354166666</v>
      </c>
      <c r="M2834" s="14" t="s">
        <v>1170</v>
      </c>
      <c r="N2834" s="14" t="s">
        <v>5801</v>
      </c>
      <c r="O2834" s="11" t="str">
        <f>HYPERLINK("https://pbs.twimg.com/profile_images/513766914267422723/Z4umM6Ws_normal.jpeg","View")</f>
        <v>View</v>
      </c>
      <c r="P2834" s="15"/>
    </row>
    <row r="2835">
      <c r="A2835" s="7">
        <v>42426.34918981481</v>
      </c>
      <c r="B2835" s="8" t="str">
        <f>HYPERLINK("https://twitter.com/startechwall","@startechwall")</f>
        <v>@startechwall</v>
      </c>
      <c r="C2835" s="10" t="s">
        <v>1478</v>
      </c>
      <c r="D2835" s="10" t="s">
        <v>5802</v>
      </c>
      <c r="E2835" s="11" t="str">
        <f>HYPERLINK("https://twitter.com/startechwall/status/703253901223567360","703253901223567360")</f>
        <v>703253901223567360</v>
      </c>
      <c r="F2835" s="12" t="s">
        <v>103</v>
      </c>
      <c r="G2835" s="13">
        <v>557.0</v>
      </c>
      <c r="H2835" s="13">
        <v>859.0</v>
      </c>
      <c r="I2835" s="13">
        <v>0.0</v>
      </c>
      <c r="J2835" s="13">
        <v>0.0</v>
      </c>
      <c r="K2835" s="12" t="s">
        <v>21</v>
      </c>
      <c r="L2835" s="7">
        <v>42360.959502314814</v>
      </c>
      <c r="M2835" s="14" t="s">
        <v>1480</v>
      </c>
      <c r="N2835" s="14" t="s">
        <v>1481</v>
      </c>
      <c r="O2835" s="11" t="str">
        <f>HYPERLINK("https://pbs.twimg.com/profile_images/679566117187145728/UUo30Zpm_normal.jpg","View")</f>
        <v>View</v>
      </c>
      <c r="P2835" s="15"/>
    </row>
    <row r="2836">
      <c r="A2836" s="7">
        <v>42426.34966435185</v>
      </c>
      <c r="B2836" s="8" t="str">
        <f>HYPERLINK("https://twitter.com/natosha_bard","@natosha_bard")</f>
        <v>@natosha_bard</v>
      </c>
      <c r="C2836" s="10" t="s">
        <v>5803</v>
      </c>
      <c r="D2836" s="10" t="s">
        <v>5804</v>
      </c>
      <c r="E2836" s="11" t="str">
        <f>HYPERLINK("https://twitter.com/natosha_bard/status/703254073525542912","703254073525542912")</f>
        <v>703254073525542912</v>
      </c>
      <c r="F2836" s="12" t="s">
        <v>20</v>
      </c>
      <c r="G2836" s="13">
        <v>1155.0</v>
      </c>
      <c r="H2836" s="13">
        <v>198.0</v>
      </c>
      <c r="I2836" s="13">
        <v>0.0</v>
      </c>
      <c r="J2836" s="13">
        <v>2.0</v>
      </c>
      <c r="K2836" s="12" t="s">
        <v>21</v>
      </c>
      <c r="L2836" s="7">
        <v>41408.505474537036</v>
      </c>
      <c r="M2836" s="14" t="s">
        <v>371</v>
      </c>
      <c r="N2836" s="14" t="s">
        <v>5805</v>
      </c>
      <c r="O2836" s="11" t="str">
        <f>HYPERLINK("https://pbs.twimg.com/profile_images/628474484920455168/LBX19gtV_normal.jpg","View")</f>
        <v>View</v>
      </c>
      <c r="P2836" s="15"/>
    </row>
    <row r="2837">
      <c r="A2837" s="7">
        <v>42426.350069444445</v>
      </c>
      <c r="B2837" s="8" t="str">
        <f>HYPERLINK("https://twitter.com/mipesom","@mipesom")</f>
        <v>@mipesom</v>
      </c>
      <c r="C2837" s="10" t="s">
        <v>5806</v>
      </c>
      <c r="D2837" s="10" t="s">
        <v>5807</v>
      </c>
      <c r="E2837" s="11" t="str">
        <f>HYPERLINK("https://twitter.com/mipesom/status/703254218069696512","703254218069696512")</f>
        <v>703254218069696512</v>
      </c>
      <c r="F2837" s="12" t="s">
        <v>446</v>
      </c>
      <c r="G2837" s="13">
        <v>502.0</v>
      </c>
      <c r="H2837" s="13">
        <v>61.0</v>
      </c>
      <c r="I2837" s="13">
        <v>0.0</v>
      </c>
      <c r="J2837" s="13">
        <v>0.0</v>
      </c>
      <c r="K2837" s="12" t="s">
        <v>21</v>
      </c>
      <c r="L2837" s="7">
        <v>39920.20173611111</v>
      </c>
      <c r="M2837" s="14" t="s">
        <v>5808</v>
      </c>
      <c r="N2837" s="14" t="s">
        <v>5809</v>
      </c>
      <c r="O2837" s="11" t="str">
        <f>HYPERLINK("https://pbs.twimg.com/profile_images/605942062844768256/s2kwVRdv_normal.jpg","View")</f>
        <v>View</v>
      </c>
      <c r="P2837" s="15"/>
    </row>
    <row r="2838">
      <c r="A2838" s="7">
        <v>42426.35015046297</v>
      </c>
      <c r="B2838" s="8" t="str">
        <f>HYPERLINK("https://twitter.com/facundobatista","@facundobatista")</f>
        <v>@facundobatista</v>
      </c>
      <c r="C2838" s="10" t="s">
        <v>5810</v>
      </c>
      <c r="D2838" s="10" t="s">
        <v>5775</v>
      </c>
      <c r="E2838" s="11" t="str">
        <f>HYPERLINK("https://twitter.com/facundobatista/status/703254248142802944","703254248142802944")</f>
        <v>703254248142802944</v>
      </c>
      <c r="F2838" s="12" t="s">
        <v>5811</v>
      </c>
      <c r="G2838" s="13">
        <v>1581.0</v>
      </c>
      <c r="H2838" s="13">
        <v>321.0</v>
      </c>
      <c r="I2838" s="13">
        <v>3.0</v>
      </c>
      <c r="J2838" s="13">
        <v>0.0</v>
      </c>
      <c r="K2838" s="12" t="s">
        <v>21</v>
      </c>
      <c r="L2838" s="7">
        <v>39950.57443287037</v>
      </c>
      <c r="M2838" s="14" t="s">
        <v>5812</v>
      </c>
      <c r="N2838" s="14" t="s">
        <v>5813</v>
      </c>
      <c r="O2838" s="11" t="str">
        <f>HYPERLINK("https://pbs.twimg.com/profile_images/590952610590523392/iKicS-70_normal.jpg","View")</f>
        <v>View</v>
      </c>
      <c r="P2838" s="15"/>
    </row>
    <row r="2839">
      <c r="A2839" s="7">
        <v>42426.35050925926</v>
      </c>
      <c r="B2839" s="8" t="str">
        <f>HYPERLINK("https://twitter.com/wcmckeedotcom","@wcmckeedotcom")</f>
        <v>@wcmckeedotcom</v>
      </c>
      <c r="C2839" s="10" t="s">
        <v>476</v>
      </c>
      <c r="D2839" s="10" t="s">
        <v>5814</v>
      </c>
      <c r="E2839" s="11" t="str">
        <f>HYPERLINK("https://twitter.com/wcmckeedotcom/status/703254378011103232","703254378011103232")</f>
        <v>703254378011103232</v>
      </c>
      <c r="F2839" s="12" t="s">
        <v>478</v>
      </c>
      <c r="G2839" s="13">
        <v>1011.0</v>
      </c>
      <c r="H2839" s="13">
        <v>875.0</v>
      </c>
      <c r="I2839" s="13">
        <v>0.0</v>
      </c>
      <c r="J2839" s="13">
        <v>0.0</v>
      </c>
      <c r="K2839" s="12" t="s">
        <v>21</v>
      </c>
      <c r="L2839" s="7">
        <v>41902.048368055555</v>
      </c>
      <c r="M2839" s="14" t="s">
        <v>479</v>
      </c>
      <c r="N2839" s="14" t="s">
        <v>480</v>
      </c>
      <c r="O2839" s="11" t="str">
        <f>HYPERLINK("https://pbs.twimg.com/profile_images/621211385746161664/tGchJstD_normal.jpg","View")</f>
        <v>View</v>
      </c>
      <c r="P2839" s="15"/>
    </row>
    <row r="2840">
      <c r="A2840" s="7">
        <v>42426.3506712963</v>
      </c>
      <c r="B2840" s="8" t="str">
        <f>HYPERLINK("https://twitter.com/molsson","@molsson")</f>
        <v>@molsson</v>
      </c>
      <c r="C2840" s="10" t="s">
        <v>5815</v>
      </c>
      <c r="D2840" s="10" t="s">
        <v>5816</v>
      </c>
      <c r="E2840" s="11" t="str">
        <f>HYPERLINK("https://twitter.com/molsson/status/703254437108838405","703254437108838405")</f>
        <v>703254437108838405</v>
      </c>
      <c r="F2840" s="12" t="s">
        <v>152</v>
      </c>
      <c r="G2840" s="13">
        <v>384.0</v>
      </c>
      <c r="H2840" s="13">
        <v>383.0</v>
      </c>
      <c r="I2840" s="13">
        <v>2.0</v>
      </c>
      <c r="J2840" s="13">
        <v>0.0</v>
      </c>
      <c r="K2840" s="12" t="s">
        <v>21</v>
      </c>
      <c r="L2840" s="7">
        <v>39773.178877314815</v>
      </c>
      <c r="M2840" s="14" t="s">
        <v>5817</v>
      </c>
      <c r="N2840" s="14" t="s">
        <v>5818</v>
      </c>
      <c r="O2840" s="11" t="str">
        <f>HYPERLINK("https://pbs.twimg.com/profile_images/65078119/Mimmis_Sep2008_normal.JPG","View")</f>
        <v>View</v>
      </c>
      <c r="P2840" s="15"/>
    </row>
    <row r="2841">
      <c r="A2841" s="7">
        <v>42426.350694444445</v>
      </c>
      <c r="B2841" s="8" t="str">
        <f>HYPERLINK("https://twitter.com/creative_punch","@creative_punch")</f>
        <v>@creative_punch</v>
      </c>
      <c r="C2841" s="10" t="s">
        <v>1199</v>
      </c>
      <c r="D2841" s="10" t="s">
        <v>3667</v>
      </c>
      <c r="E2841" s="11" t="str">
        <f>HYPERLINK("https://twitter.com/creative_punch/status/703254444822163456","703254444822163456")</f>
        <v>703254444822163456</v>
      </c>
      <c r="F2841" s="12" t="s">
        <v>1199</v>
      </c>
      <c r="G2841" s="13">
        <v>1650.0</v>
      </c>
      <c r="H2841" s="13">
        <v>800.0</v>
      </c>
      <c r="I2841" s="13">
        <v>0.0</v>
      </c>
      <c r="J2841" s="13">
        <v>1.0</v>
      </c>
      <c r="K2841" s="12" t="s">
        <v>21</v>
      </c>
      <c r="L2841" s="7">
        <v>41618.38722222222</v>
      </c>
      <c r="M2841" s="16"/>
      <c r="N2841" s="14" t="s">
        <v>1201</v>
      </c>
      <c r="O2841" s="11" t="str">
        <f>HYPERLINK("https://pbs.twimg.com/profile_images/420579444982431745/j7uTAxtF_normal.png","View")</f>
        <v>View</v>
      </c>
      <c r="P2841" s="15"/>
    </row>
    <row r="2842">
      <c r="A2842" s="7">
        <v>42426.351018518515</v>
      </c>
      <c r="B2842" s="8" t="str">
        <f>HYPERLINK("https://twitter.com/AlexeyPodgorny","@AlexeyPodgorny")</f>
        <v>@AlexeyPodgorny</v>
      </c>
      <c r="C2842" s="10" t="s">
        <v>5819</v>
      </c>
      <c r="D2842" s="10" t="s">
        <v>5820</v>
      </c>
      <c r="E2842" s="11" t="str">
        <f>HYPERLINK("https://twitter.com/AlexeyPodgorny/status/703254564825391105","703254564825391105")</f>
        <v>703254564825391105</v>
      </c>
      <c r="F2842" s="12" t="s">
        <v>20</v>
      </c>
      <c r="G2842" s="13">
        <v>1311.0</v>
      </c>
      <c r="H2842" s="13">
        <v>1389.0</v>
      </c>
      <c r="I2842" s="13">
        <v>0.0</v>
      </c>
      <c r="J2842" s="13">
        <v>0.0</v>
      </c>
      <c r="K2842" s="12" t="s">
        <v>21</v>
      </c>
      <c r="L2842" s="7">
        <v>41183.95112268518</v>
      </c>
      <c r="M2842" s="14" t="s">
        <v>905</v>
      </c>
      <c r="N2842" s="16"/>
      <c r="O2842" s="11" t="str">
        <f>HYPERLINK("https://pbs.twimg.com/profile_images/2894170808/4e250f9c17522f82040ac1afa54e1a36_normal.jpeg","View")</f>
        <v>View</v>
      </c>
      <c r="P2842" s="15"/>
    </row>
    <row r="2843">
      <c r="A2843" s="7">
        <v>42426.35144675926</v>
      </c>
      <c r="B2843" s="8" t="str">
        <f>HYPERLINK("https://twitter.com/AllegiantRec","@AllegiantRec")</f>
        <v>@AllegiantRec</v>
      </c>
      <c r="C2843" s="10" t="s">
        <v>5821</v>
      </c>
      <c r="D2843" s="10" t="s">
        <v>5822</v>
      </c>
      <c r="E2843" s="11" t="str">
        <f>HYPERLINK("https://twitter.com/AllegiantRec/status/703254719142219776","703254719142219776")</f>
        <v>703254719142219776</v>
      </c>
      <c r="F2843" s="12" t="s">
        <v>20</v>
      </c>
      <c r="G2843" s="13">
        <v>60.0</v>
      </c>
      <c r="H2843" s="13">
        <v>242.0</v>
      </c>
      <c r="I2843" s="13">
        <v>0.0</v>
      </c>
      <c r="J2843" s="13">
        <v>0.0</v>
      </c>
      <c r="K2843" s="12" t="s">
        <v>21</v>
      </c>
      <c r="L2843" s="7">
        <v>42387.38564814815</v>
      </c>
      <c r="M2843" s="14" t="s">
        <v>104</v>
      </c>
      <c r="N2843" s="14" t="s">
        <v>5823</v>
      </c>
      <c r="O2843" s="11" t="str">
        <f>HYPERLINK("https://pbs.twimg.com/profile_images/689134983315894273/A4x6WHL8_normal.png","View")</f>
        <v>View</v>
      </c>
      <c r="P2843" s="15"/>
    </row>
    <row r="2844">
      <c r="A2844" s="7">
        <v>42426.35153935185</v>
      </c>
      <c r="B2844" s="8" t="str">
        <f>HYPERLINK("https://twitter.com/adnan_hashmi","@adnan_hashmi")</f>
        <v>@adnan_hashmi</v>
      </c>
      <c r="C2844" s="10" t="s">
        <v>5766</v>
      </c>
      <c r="D2844" s="10" t="s">
        <v>5824</v>
      </c>
      <c r="E2844" s="11" t="str">
        <f>HYPERLINK("https://twitter.com/adnan_hashmi/status/703254751841009664","703254751841009664")</f>
        <v>703254751841009664</v>
      </c>
      <c r="F2844" s="12" t="s">
        <v>20</v>
      </c>
      <c r="G2844" s="13">
        <v>610.0</v>
      </c>
      <c r="H2844" s="13">
        <v>1695.0</v>
      </c>
      <c r="I2844" s="13">
        <v>2.0</v>
      </c>
      <c r="J2844" s="13">
        <v>0.0</v>
      </c>
      <c r="K2844" s="12" t="s">
        <v>21</v>
      </c>
      <c r="L2844" s="7">
        <v>39833.9734837963</v>
      </c>
      <c r="M2844" s="14" t="s">
        <v>5768</v>
      </c>
      <c r="N2844" s="14" t="s">
        <v>5769</v>
      </c>
      <c r="O2844" s="11" t="str">
        <f>HYPERLINK("https://pbs.twimg.com/profile_images/440160881997926402/7tdqJ5YQ_normal.jpeg","View")</f>
        <v>View</v>
      </c>
      <c r="P2844" s="15"/>
    </row>
    <row r="2845">
      <c r="A2845" s="7">
        <v>42426.35153935185</v>
      </c>
      <c r="B2845" s="8" t="str">
        <f>HYPERLINK("https://twitter.com/learn_lang1","@learn_lang1")</f>
        <v>@learn_lang1</v>
      </c>
      <c r="C2845" s="10" t="s">
        <v>5825</v>
      </c>
      <c r="D2845" s="10" t="s">
        <v>5826</v>
      </c>
      <c r="E2845" s="11" t="str">
        <f>HYPERLINK("https://twitter.com/learn_lang1/status/703254753908760577","703254753908760577")</f>
        <v>703254753908760577</v>
      </c>
      <c r="F2845" s="12" t="s">
        <v>38</v>
      </c>
      <c r="G2845" s="13">
        <v>1667.0</v>
      </c>
      <c r="H2845" s="13">
        <v>1634.0</v>
      </c>
      <c r="I2845" s="13">
        <v>1.0</v>
      </c>
      <c r="J2845" s="13">
        <v>0.0</v>
      </c>
      <c r="K2845" s="12" t="s">
        <v>21</v>
      </c>
      <c r="L2845" s="7">
        <v>42224.544085648144</v>
      </c>
      <c r="M2845" s="14" t="s">
        <v>5827</v>
      </c>
      <c r="N2845" s="14" t="s">
        <v>5828</v>
      </c>
      <c r="O2845" s="11" t="str">
        <f>HYPERLINK("https://pbs.twimg.com/profile_images/630112376029843457/DIp7tTzw_normal.jpg","View")</f>
        <v>View</v>
      </c>
      <c r="P2845" s="15"/>
    </row>
    <row r="2846">
      <c r="A2846" s="7">
        <v>42426.35166666667</v>
      </c>
      <c r="B2846" s="8" t="str">
        <f>HYPERLINK("https://twitter.com/MariaMgm23","@MariaMgm23")</f>
        <v>@MariaMgm23</v>
      </c>
      <c r="C2846" s="10" t="s">
        <v>5712</v>
      </c>
      <c r="D2846" s="10" t="s">
        <v>5829</v>
      </c>
      <c r="E2846" s="11" t="str">
        <f>HYPERLINK("https://twitter.com/MariaMgm23/status/703254800385843202","703254800385843202")</f>
        <v>703254800385843202</v>
      </c>
      <c r="F2846" s="12" t="s">
        <v>20</v>
      </c>
      <c r="G2846" s="13">
        <v>2.0</v>
      </c>
      <c r="H2846" s="13">
        <v>18.0</v>
      </c>
      <c r="I2846" s="13">
        <v>0.0</v>
      </c>
      <c r="J2846" s="13">
        <v>0.0</v>
      </c>
      <c r="K2846" s="12" t="s">
        <v>21</v>
      </c>
      <c r="L2846" s="7">
        <v>42244.41429398148</v>
      </c>
      <c r="M2846" s="16"/>
      <c r="N2846" s="16"/>
      <c r="O2846" s="11" t="str">
        <f>HYPERLINK("https://pbs.twimg.com/profile_images/651144292828758018/clJZSXsx_normal.jpg","View")</f>
        <v>View</v>
      </c>
      <c r="P2846" s="15"/>
    </row>
    <row r="2847">
      <c r="A2847" s="7">
        <v>42426.35178240741</v>
      </c>
      <c r="B2847" s="8" t="str">
        <f>HYPERLINK("https://twitter.com/RashaInTheCity","@RashaInTheCity")</f>
        <v>@RashaInTheCity</v>
      </c>
      <c r="C2847" s="10" t="s">
        <v>5830</v>
      </c>
      <c r="D2847" s="10" t="s">
        <v>5831</v>
      </c>
      <c r="E2847" s="11" t="str">
        <f>HYPERLINK("https://twitter.com/RashaInTheCity/status/703254841787850757","703254841787850757")</f>
        <v>703254841787850757</v>
      </c>
      <c r="F2847" s="12" t="s">
        <v>236</v>
      </c>
      <c r="G2847" s="13">
        <v>124.0</v>
      </c>
      <c r="H2847" s="13">
        <v>203.0</v>
      </c>
      <c r="I2847" s="13">
        <v>0.0</v>
      </c>
      <c r="J2847" s="13">
        <v>1.0</v>
      </c>
      <c r="K2847" s="12" t="s">
        <v>21</v>
      </c>
      <c r="L2847" s="7">
        <v>40028.70422453704</v>
      </c>
      <c r="M2847" s="14" t="s">
        <v>5832</v>
      </c>
      <c r="N2847" s="14" t="s">
        <v>5833</v>
      </c>
      <c r="O2847" s="11" t="str">
        <f>HYPERLINK("https://pbs.twimg.com/profile_images/441171255048171520/N0GVkvB9_normal.jpeg","View")</f>
        <v>View</v>
      </c>
      <c r="P2847" s="15"/>
    </row>
    <row r="2848">
      <c r="A2848" s="7">
        <v>42426.35212962963</v>
      </c>
      <c r="B2848" s="8" t="str">
        <f>HYPERLINK("https://twitter.com/doctaphred","@doctaphred")</f>
        <v>@doctaphred</v>
      </c>
      <c r="C2848" s="10" t="s">
        <v>5834</v>
      </c>
      <c r="D2848" s="10" t="s">
        <v>5835</v>
      </c>
      <c r="E2848" s="11" t="str">
        <f>HYPERLINK("https://twitter.com/doctaphred/status/703254967168053249","703254967168053249")</f>
        <v>703254967168053249</v>
      </c>
      <c r="F2848" s="12" t="s">
        <v>20</v>
      </c>
      <c r="G2848" s="13">
        <v>220.0</v>
      </c>
      <c r="H2848" s="13">
        <v>645.0</v>
      </c>
      <c r="I2848" s="13">
        <v>0.0</v>
      </c>
      <c r="J2848" s="13">
        <v>1.0</v>
      </c>
      <c r="K2848" s="12" t="s">
        <v>21</v>
      </c>
      <c r="L2848" s="7">
        <v>39812.848912037036</v>
      </c>
      <c r="M2848" s="14" t="s">
        <v>1660</v>
      </c>
      <c r="N2848" s="14" t="s">
        <v>5836</v>
      </c>
      <c r="O2848" s="11" t="str">
        <f>HYPERLINK("https://pbs.twimg.com/profile_images/452560765178744833/sQa_MbK3_normal.jpeg","View")</f>
        <v>View</v>
      </c>
      <c r="P2848" s="15"/>
    </row>
    <row r="2849">
      <c r="A2849" s="7">
        <v>42426.35260416666</v>
      </c>
      <c r="B2849" s="8" t="str">
        <f>HYPERLINK("https://twitter.com/Experfy","@Experfy")</f>
        <v>@Experfy</v>
      </c>
      <c r="C2849" s="10" t="s">
        <v>5837</v>
      </c>
      <c r="D2849" s="10" t="s">
        <v>5838</v>
      </c>
      <c r="E2849" s="11" t="str">
        <f>HYPERLINK("https://twitter.com/Experfy/status/703255137477894144","703255137477894144")</f>
        <v>703255137477894144</v>
      </c>
      <c r="F2849" s="12" t="s">
        <v>20</v>
      </c>
      <c r="G2849" s="13">
        <v>18887.0</v>
      </c>
      <c r="H2849" s="13">
        <v>210.0</v>
      </c>
      <c r="I2849" s="13">
        <v>0.0</v>
      </c>
      <c r="J2849" s="13">
        <v>0.0</v>
      </c>
      <c r="K2849" s="12" t="s">
        <v>21</v>
      </c>
      <c r="L2849" s="7">
        <v>41575.66105324074</v>
      </c>
      <c r="M2849" s="14" t="s">
        <v>5839</v>
      </c>
      <c r="N2849" s="14" t="s">
        <v>5840</v>
      </c>
      <c r="O2849" s="11" t="str">
        <f>HYPERLINK("https://pbs.twimg.com/profile_images/459560989487153152/Zmyj0kMs_normal.png","View")</f>
        <v>View</v>
      </c>
      <c r="P2849" s="15"/>
    </row>
    <row r="2850">
      <c r="A2850" s="7">
        <v>42426.352754629625</v>
      </c>
      <c r="B2850" s="8" t="str">
        <f>HYPERLINK("https://twitter.com/CICSNC","@CICSNC")</f>
        <v>@CICSNC</v>
      </c>
      <c r="C2850" s="10" t="s">
        <v>5841</v>
      </c>
      <c r="D2850" s="10" t="s">
        <v>5561</v>
      </c>
      <c r="E2850" s="11" t="str">
        <f>HYPERLINK("https://twitter.com/CICSNC/status/703255193891282944","703255193891282944")</f>
        <v>703255193891282944</v>
      </c>
      <c r="F2850" s="12" t="s">
        <v>659</v>
      </c>
      <c r="G2850" s="13">
        <v>136.0</v>
      </c>
      <c r="H2850" s="13">
        <v>120.0</v>
      </c>
      <c r="I2850" s="13">
        <v>5.0</v>
      </c>
      <c r="J2850" s="13">
        <v>0.0</v>
      </c>
      <c r="K2850" s="12" t="s">
        <v>21</v>
      </c>
      <c r="L2850" s="7">
        <v>41922.35496527778</v>
      </c>
      <c r="M2850" s="14" t="s">
        <v>1103</v>
      </c>
      <c r="N2850" s="14" t="s">
        <v>5842</v>
      </c>
      <c r="O2850" s="11" t="str">
        <f>HYPERLINK("https://pbs.twimg.com/profile_images/520599033673289729/GlejqYFW_normal.png","View")</f>
        <v>View</v>
      </c>
      <c r="P2850" s="15"/>
    </row>
    <row r="2851">
      <c r="A2851" s="7">
        <v>42426.352800925924</v>
      </c>
      <c r="B2851" s="8" t="str">
        <f>HYPERLINK("https://twitter.com/PyQR","@PyQR")</f>
        <v>@PyQR</v>
      </c>
      <c r="C2851" s="10" t="s">
        <v>2643</v>
      </c>
      <c r="D2851" s="10" t="s">
        <v>5843</v>
      </c>
      <c r="E2851" s="11" t="str">
        <f>HYPERLINK("https://twitter.com/PyQR/status/703255211750641664","703255211750641664")</f>
        <v>703255211750641664</v>
      </c>
      <c r="F2851" s="12" t="s">
        <v>152</v>
      </c>
      <c r="G2851" s="13">
        <v>1612.0</v>
      </c>
      <c r="H2851" s="13">
        <v>1357.0</v>
      </c>
      <c r="I2851" s="13">
        <v>1.0</v>
      </c>
      <c r="J2851" s="13">
        <v>0.0</v>
      </c>
      <c r="K2851" s="12" t="s">
        <v>21</v>
      </c>
      <c r="L2851" s="7">
        <v>41133.60995370371</v>
      </c>
      <c r="M2851" s="14" t="s">
        <v>2644</v>
      </c>
      <c r="N2851" s="14" t="s">
        <v>2645</v>
      </c>
      <c r="O2851" s="11" t="str">
        <f>HYPERLINK("https://pbs.twimg.com/profile_images/697722209880707072/SvTOptqw_normal.jpg","View")</f>
        <v>View</v>
      </c>
      <c r="P2851" s="15"/>
    </row>
    <row r="2852">
      <c r="A2852" s="7">
        <v>42426.35304398148</v>
      </c>
      <c r="B2852" s="8" t="str">
        <f t="shared" ref="B2852:B2854" si="291">HYPERLINK("https://twitter.com/programmingncr","@programmingncr")</f>
        <v>@programmingncr</v>
      </c>
      <c r="C2852" s="10" t="s">
        <v>262</v>
      </c>
      <c r="D2852" s="10" t="s">
        <v>5844</v>
      </c>
      <c r="E2852" s="11" t="str">
        <f>HYPERLINK("https://twitter.com/programmingncr/status/703255296882438144","703255296882438144")</f>
        <v>703255296882438144</v>
      </c>
      <c r="F2852" s="12" t="s">
        <v>103</v>
      </c>
      <c r="G2852" s="13">
        <v>328.0</v>
      </c>
      <c r="H2852" s="13">
        <v>99.0</v>
      </c>
      <c r="I2852" s="13">
        <v>0.0</v>
      </c>
      <c r="J2852" s="13">
        <v>0.0</v>
      </c>
      <c r="K2852" s="12" t="s">
        <v>21</v>
      </c>
      <c r="L2852" s="7">
        <v>42220.86634259259</v>
      </c>
      <c r="M2852" s="14" t="s">
        <v>264</v>
      </c>
      <c r="N2852" s="14" t="s">
        <v>265</v>
      </c>
      <c r="O2852" s="11" t="str">
        <f t="shared" ref="O2852:O2854" si="292">HYPERLINK("https://pbs.twimg.com/profile_images/662602436222193664/qKuvsfnG_normal.jpg","View")</f>
        <v>View</v>
      </c>
      <c r="P2852" s="15"/>
    </row>
    <row r="2853">
      <c r="A2853" s="7">
        <v>42426.35304398148</v>
      </c>
      <c r="B2853" s="8" t="str">
        <f t="shared" si="291"/>
        <v>@programmingncr</v>
      </c>
      <c r="C2853" s="10" t="s">
        <v>262</v>
      </c>
      <c r="D2853" s="10" t="s">
        <v>5845</v>
      </c>
      <c r="E2853" s="11" t="str">
        <f>HYPERLINK("https://twitter.com/programmingncr/status/703255298232946689","703255298232946689")</f>
        <v>703255298232946689</v>
      </c>
      <c r="F2853" s="12" t="s">
        <v>103</v>
      </c>
      <c r="G2853" s="13">
        <v>328.0</v>
      </c>
      <c r="H2853" s="13">
        <v>99.0</v>
      </c>
      <c r="I2853" s="13">
        <v>0.0</v>
      </c>
      <c r="J2853" s="13">
        <v>0.0</v>
      </c>
      <c r="K2853" s="12" t="s">
        <v>21</v>
      </c>
      <c r="L2853" s="7">
        <v>42220.86634259259</v>
      </c>
      <c r="M2853" s="14" t="s">
        <v>264</v>
      </c>
      <c r="N2853" s="14" t="s">
        <v>265</v>
      </c>
      <c r="O2853" s="11" t="str">
        <f t="shared" si="292"/>
        <v>View</v>
      </c>
      <c r="P2853" s="15"/>
    </row>
    <row r="2854">
      <c r="A2854" s="7">
        <v>42426.35304398148</v>
      </c>
      <c r="B2854" s="8" t="str">
        <f t="shared" si="291"/>
        <v>@programmingncr</v>
      </c>
      <c r="C2854" s="10" t="s">
        <v>262</v>
      </c>
      <c r="D2854" s="10" t="s">
        <v>5846</v>
      </c>
      <c r="E2854" s="11" t="str">
        <f>HYPERLINK("https://twitter.com/programmingncr/status/703255299419983872","703255299419983872")</f>
        <v>703255299419983872</v>
      </c>
      <c r="F2854" s="12" t="s">
        <v>103</v>
      </c>
      <c r="G2854" s="13">
        <v>328.0</v>
      </c>
      <c r="H2854" s="13">
        <v>99.0</v>
      </c>
      <c r="I2854" s="13">
        <v>0.0</v>
      </c>
      <c r="J2854" s="13">
        <v>0.0</v>
      </c>
      <c r="K2854" s="12" t="s">
        <v>21</v>
      </c>
      <c r="L2854" s="7">
        <v>42220.86634259259</v>
      </c>
      <c r="M2854" s="14" t="s">
        <v>264</v>
      </c>
      <c r="N2854" s="14" t="s">
        <v>265</v>
      </c>
      <c r="O2854" s="11" t="str">
        <f t="shared" si="292"/>
        <v>View</v>
      </c>
      <c r="P2854" s="15"/>
    </row>
    <row r="2855">
      <c r="A2855" s="7">
        <v>42426.35543981481</v>
      </c>
      <c r="B2855" s="8" t="str">
        <f>HYPERLINK("https://twitter.com/MainlineSrl","@MainlineSrl")</f>
        <v>@MainlineSrl</v>
      </c>
      <c r="C2855" s="10" t="s">
        <v>1554</v>
      </c>
      <c r="D2855" s="10" t="s">
        <v>5847</v>
      </c>
      <c r="E2855" s="11" t="str">
        <f>HYPERLINK("https://twitter.com/MainlineSrl/status/703256167632510977","703256167632510977")</f>
        <v>703256167632510977</v>
      </c>
      <c r="F2855" s="12" t="s">
        <v>659</v>
      </c>
      <c r="G2855" s="13">
        <v>518.0</v>
      </c>
      <c r="H2855" s="13">
        <v>898.0</v>
      </c>
      <c r="I2855" s="13">
        <v>0.0</v>
      </c>
      <c r="J2855" s="13">
        <v>0.0</v>
      </c>
      <c r="K2855" s="12" t="s">
        <v>21</v>
      </c>
      <c r="L2855" s="7">
        <v>42095.28138888889</v>
      </c>
      <c r="M2855" s="16"/>
      <c r="N2855" s="14" t="s">
        <v>1556</v>
      </c>
      <c r="O2855" s="11" t="str">
        <f>HYPERLINK("https://pbs.twimg.com/profile_images/583273308067667968/u6hoxDGB_normal.png","View")</f>
        <v>View</v>
      </c>
      <c r="P2855" s="15"/>
    </row>
    <row r="2856">
      <c r="A2856" s="7">
        <v>42426.35623842593</v>
      </c>
      <c r="B2856" s="8" t="str">
        <f>HYPERLINK("https://twitter.com/DrAndyPardoe","@DrAndyPardoe")</f>
        <v>@DrAndyPardoe</v>
      </c>
      <c r="C2856" s="10" t="s">
        <v>3351</v>
      </c>
      <c r="D2856" s="10" t="s">
        <v>5517</v>
      </c>
      <c r="E2856" s="11" t="str">
        <f>HYPERLINK("https://twitter.com/DrAndyPardoe/status/703256455777009666","703256455777009666")</f>
        <v>703256455777009666</v>
      </c>
      <c r="F2856" s="12" t="s">
        <v>38</v>
      </c>
      <c r="G2856" s="13">
        <v>3759.0</v>
      </c>
      <c r="H2856" s="13">
        <v>2473.0</v>
      </c>
      <c r="I2856" s="13">
        <v>12.0</v>
      </c>
      <c r="J2856" s="13">
        <v>0.0</v>
      </c>
      <c r="K2856" s="12" t="s">
        <v>21</v>
      </c>
      <c r="L2856" s="7">
        <v>41826.237280092595</v>
      </c>
      <c r="M2856" s="14" t="s">
        <v>1093</v>
      </c>
      <c r="N2856" s="14" t="s">
        <v>3352</v>
      </c>
      <c r="O2856" s="11" t="str">
        <f>HYPERLINK("https://pbs.twimg.com/profile_images/485766134268837889/t4PLhSfT_normal.jpeg","View")</f>
        <v>View</v>
      </c>
      <c r="P2856" s="15"/>
    </row>
    <row r="2857">
      <c r="A2857" s="7">
        <v>42426.35778935185</v>
      </c>
      <c r="B2857" s="8" t="str">
        <f>HYPERLINK("https://twitter.com/PythonEggs","@PythonEggs")</f>
        <v>@PythonEggs</v>
      </c>
      <c r="C2857" s="10" t="s">
        <v>5848</v>
      </c>
      <c r="D2857" s="10" t="s">
        <v>5849</v>
      </c>
      <c r="E2857" s="11" t="str">
        <f>HYPERLINK("https://twitter.com/PythonEggs/status/703257016299446272","703257016299446272")</f>
        <v>703257016299446272</v>
      </c>
      <c r="F2857" s="12" t="s">
        <v>5850</v>
      </c>
      <c r="G2857" s="13">
        <v>611.0</v>
      </c>
      <c r="H2857" s="13">
        <v>664.0</v>
      </c>
      <c r="I2857" s="13">
        <v>1.0</v>
      </c>
      <c r="J2857" s="13">
        <v>0.0</v>
      </c>
      <c r="K2857" s="12" t="s">
        <v>21</v>
      </c>
      <c r="L2857" s="7">
        <v>42342.39605324074</v>
      </c>
      <c r="M2857" s="14" t="s">
        <v>2002</v>
      </c>
      <c r="N2857" s="14" t="s">
        <v>5851</v>
      </c>
      <c r="O2857" s="11" t="str">
        <f>HYPERLINK("https://pbs.twimg.com/profile_images/672831695536726018/zLybHV4e_normal.jpg","View")</f>
        <v>View</v>
      </c>
      <c r="P2857" s="15"/>
    </row>
    <row r="2858">
      <c r="A2858" s="7">
        <v>42426.35832175926</v>
      </c>
      <c r="B2858" s="8" t="str">
        <f>HYPERLINK("https://twitter.com/openmylab","@openmylab")</f>
        <v>@openmylab</v>
      </c>
      <c r="C2858" s="10" t="s">
        <v>5852</v>
      </c>
      <c r="D2858" s="10" t="s">
        <v>5853</v>
      </c>
      <c r="E2858" s="11" t="str">
        <f>HYPERLINK("https://twitter.com/openmylab/status/703257212412559360","703257212412559360")</f>
        <v>703257212412559360</v>
      </c>
      <c r="F2858" s="12" t="s">
        <v>2063</v>
      </c>
      <c r="G2858" s="13">
        <v>1017.0</v>
      </c>
      <c r="H2858" s="13">
        <v>974.0</v>
      </c>
      <c r="I2858" s="13">
        <v>1.0</v>
      </c>
      <c r="J2858" s="13">
        <v>0.0</v>
      </c>
      <c r="K2858" s="12" t="s">
        <v>21</v>
      </c>
      <c r="L2858" s="7">
        <v>42283.33546296296</v>
      </c>
      <c r="M2858" s="14" t="s">
        <v>5854</v>
      </c>
      <c r="N2858" s="14" t="s">
        <v>5855</v>
      </c>
      <c r="O2858" s="11" t="str">
        <f>HYPERLINK("https://pbs.twimg.com/profile_images/696226577386852352/yseUYL_3_normal.jpg","View")</f>
        <v>View</v>
      </c>
      <c r="P2858" s="15"/>
    </row>
    <row r="2859">
      <c r="A2859" s="7">
        <v>42426.35861111111</v>
      </c>
      <c r="B2859" s="8" t="str">
        <f>HYPERLINK("https://twitter.com/xdg","@xdg")</f>
        <v>@xdg</v>
      </c>
      <c r="C2859" s="10" t="s">
        <v>5856</v>
      </c>
      <c r="D2859" s="10" t="s">
        <v>5196</v>
      </c>
      <c r="E2859" s="11" t="str">
        <f>HYPERLINK("https://twitter.com/xdg/status/703257316620177410","703257316620177410")</f>
        <v>703257316620177410</v>
      </c>
      <c r="F2859" s="12" t="s">
        <v>240</v>
      </c>
      <c r="G2859" s="13">
        <v>2138.0</v>
      </c>
      <c r="H2859" s="13">
        <v>216.0</v>
      </c>
      <c r="I2859" s="13">
        <v>5.0</v>
      </c>
      <c r="J2859" s="13">
        <v>0.0</v>
      </c>
      <c r="K2859" s="12" t="s">
        <v>21</v>
      </c>
      <c r="L2859" s="7">
        <v>39855.48159722222</v>
      </c>
      <c r="M2859" s="14" t="s">
        <v>1939</v>
      </c>
      <c r="N2859" s="14" t="s">
        <v>5857</v>
      </c>
      <c r="O2859" s="11" t="str">
        <f>HYPERLINK("https://pbs.twimg.com/profile_images/1185650084/dagolden-oslo-sm_normal.jpg","View")</f>
        <v>View</v>
      </c>
      <c r="P2859" s="15"/>
    </row>
    <row r="2860">
      <c r="A2860" s="7">
        <v>42426.35875</v>
      </c>
      <c r="B2860" s="8" t="str">
        <f>HYPERLINK("https://twitter.com/agramajo","@agramajo")</f>
        <v>@agramajo</v>
      </c>
      <c r="C2860" s="10" t="s">
        <v>5858</v>
      </c>
      <c r="D2860" s="10" t="s">
        <v>2671</v>
      </c>
      <c r="E2860" s="11" t="str">
        <f>HYPERLINK("https://twitter.com/agramajo/status/703257367115341828","703257367115341828")</f>
        <v>703257367115341828</v>
      </c>
      <c r="F2860" s="12" t="s">
        <v>5859</v>
      </c>
      <c r="G2860" s="13">
        <v>199.0</v>
      </c>
      <c r="H2860" s="13">
        <v>361.0</v>
      </c>
      <c r="I2860" s="13">
        <v>3.0</v>
      </c>
      <c r="J2860" s="13">
        <v>0.0</v>
      </c>
      <c r="K2860" s="12" t="s">
        <v>21</v>
      </c>
      <c r="L2860" s="7">
        <v>39698.457719907405</v>
      </c>
      <c r="M2860" s="14" t="s">
        <v>3557</v>
      </c>
      <c r="N2860" s="14" t="s">
        <v>5860</v>
      </c>
      <c r="O2860" s="11" t="str">
        <f>HYPERLINK("https://pbs.twimg.com/profile_images/2285556852/289i4ukzauc8k5z1jtlh_normal.jpeg","View")</f>
        <v>View</v>
      </c>
      <c r="P2860" s="15"/>
    </row>
    <row r="2861">
      <c r="A2861" s="7">
        <v>42426.35888888889</v>
      </c>
      <c r="B2861" s="8" t="str">
        <f t="shared" ref="B2861:B2862" si="293">HYPERLINK("https://twitter.com/NaimiRoaYusti","@NaimiRoaYusti")</f>
        <v>@NaimiRoaYusti</v>
      </c>
      <c r="C2861" s="10" t="s">
        <v>5861</v>
      </c>
      <c r="D2861" s="10" t="s">
        <v>2477</v>
      </c>
      <c r="E2861" s="11" t="str">
        <f>HYPERLINK("https://twitter.com/NaimiRoaYusti/status/703257413827297281","703257413827297281")</f>
        <v>703257413827297281</v>
      </c>
      <c r="F2861" s="12" t="s">
        <v>20</v>
      </c>
      <c r="G2861" s="13">
        <v>1830.0</v>
      </c>
      <c r="H2861" s="13">
        <v>1992.0</v>
      </c>
      <c r="I2861" s="13">
        <v>11.0</v>
      </c>
      <c r="J2861" s="13">
        <v>0.0</v>
      </c>
      <c r="K2861" s="12" t="s">
        <v>21</v>
      </c>
      <c r="L2861" s="7">
        <v>41866.6765625</v>
      </c>
      <c r="M2861" s="16"/>
      <c r="N2861" s="14" t="s">
        <v>5862</v>
      </c>
      <c r="O2861" s="11" t="str">
        <f t="shared" ref="O2861:O2862" si="294">HYPERLINK("https://pbs.twimg.com/profile_images/500431298234548224/vWjjErVz_normal.jpeg","View")</f>
        <v>View</v>
      </c>
      <c r="P2861" s="15"/>
    </row>
    <row r="2862">
      <c r="A2862" s="7">
        <v>42426.359247685185</v>
      </c>
      <c r="B2862" s="8" t="str">
        <f t="shared" si="293"/>
        <v>@NaimiRoaYusti</v>
      </c>
      <c r="C2862" s="10" t="s">
        <v>5861</v>
      </c>
      <c r="D2862" s="10" t="s">
        <v>5863</v>
      </c>
      <c r="E2862" s="11" t="str">
        <f>HYPERLINK("https://twitter.com/NaimiRoaYusti/status/703257546174365697","703257546174365697")</f>
        <v>703257546174365697</v>
      </c>
      <c r="F2862" s="12" t="s">
        <v>20</v>
      </c>
      <c r="G2862" s="13">
        <v>1830.0</v>
      </c>
      <c r="H2862" s="13">
        <v>1992.0</v>
      </c>
      <c r="I2862" s="13">
        <v>12.0</v>
      </c>
      <c r="J2862" s="13">
        <v>0.0</v>
      </c>
      <c r="K2862" s="12" t="s">
        <v>21</v>
      </c>
      <c r="L2862" s="7">
        <v>41866.6765625</v>
      </c>
      <c r="M2862" s="16"/>
      <c r="N2862" s="14" t="s">
        <v>5862</v>
      </c>
      <c r="O2862" s="11" t="str">
        <f t="shared" si="294"/>
        <v>View</v>
      </c>
      <c r="P2862" s="15"/>
    </row>
    <row r="2863">
      <c r="A2863" s="7">
        <v>42426.359826388885</v>
      </c>
      <c r="B2863" s="8" t="str">
        <f>HYPERLINK("https://twitter.com/AndrewBaidu","@AndrewBaidu")</f>
        <v>@AndrewBaidu</v>
      </c>
      <c r="C2863" s="10" t="s">
        <v>1704</v>
      </c>
      <c r="D2863" s="10" t="s">
        <v>3699</v>
      </c>
      <c r="E2863" s="11" t="str">
        <f>HYPERLINK("https://twitter.com/AndrewBaidu/status/703257754388058113","703257754388058113")</f>
        <v>703257754388058113</v>
      </c>
      <c r="F2863" s="12" t="s">
        <v>1705</v>
      </c>
      <c r="G2863" s="13">
        <v>362.0</v>
      </c>
      <c r="H2863" s="13">
        <v>92.0</v>
      </c>
      <c r="I2863" s="13">
        <v>30.0</v>
      </c>
      <c r="J2863" s="13">
        <v>0.0</v>
      </c>
      <c r="K2863" s="12" t="s">
        <v>21</v>
      </c>
      <c r="L2863" s="7">
        <v>42231.3446875</v>
      </c>
      <c r="M2863" s="14" t="s">
        <v>1706</v>
      </c>
      <c r="N2863" s="14" t="s">
        <v>1707</v>
      </c>
      <c r="O2863" s="11" t="str">
        <f>HYPERLINK("https://pbs.twimg.com/profile_images/632743976785735682/CfTy63Eb_normal.jpg","View")</f>
        <v>View</v>
      </c>
      <c r="P2863" s="15"/>
    </row>
    <row r="2864">
      <c r="A2864" s="7">
        <v>42426.35989583333</v>
      </c>
      <c r="B2864" s="8" t="str">
        <f>HYPERLINK("https://twitter.com/NaimiRoaYusti","@NaimiRoaYusti")</f>
        <v>@NaimiRoaYusti</v>
      </c>
      <c r="C2864" s="10" t="s">
        <v>5861</v>
      </c>
      <c r="D2864" s="10" t="s">
        <v>3686</v>
      </c>
      <c r="E2864" s="11" t="str">
        <f>HYPERLINK("https://twitter.com/NaimiRoaYusti/status/703257780602462208","703257780602462208")</f>
        <v>703257780602462208</v>
      </c>
      <c r="F2864" s="12" t="s">
        <v>20</v>
      </c>
      <c r="G2864" s="13">
        <v>1830.0</v>
      </c>
      <c r="H2864" s="13">
        <v>1992.0</v>
      </c>
      <c r="I2864" s="13">
        <v>19.0</v>
      </c>
      <c r="J2864" s="13">
        <v>0.0</v>
      </c>
      <c r="K2864" s="12" t="s">
        <v>21</v>
      </c>
      <c r="L2864" s="7">
        <v>41866.6765625</v>
      </c>
      <c r="M2864" s="16"/>
      <c r="N2864" s="14" t="s">
        <v>5862</v>
      </c>
      <c r="O2864" s="11" t="str">
        <f>HYPERLINK("https://pbs.twimg.com/profile_images/500431298234548224/vWjjErVz_normal.jpeg","View")</f>
        <v>View</v>
      </c>
      <c r="P2864" s="15"/>
    </row>
    <row r="2865">
      <c r="A2865" s="7">
        <v>42426.36085648148</v>
      </c>
      <c r="B2865" s="8" t="str">
        <f>HYPERLINK("https://twitter.com/wcmckeedotcom","@wcmckeedotcom")</f>
        <v>@wcmckeedotcom</v>
      </c>
      <c r="C2865" s="10" t="s">
        <v>476</v>
      </c>
      <c r="D2865" s="10" t="s">
        <v>5864</v>
      </c>
      <c r="E2865" s="11" t="str">
        <f>HYPERLINK("https://twitter.com/wcmckeedotcom/status/703258128528379904","703258128528379904")</f>
        <v>703258128528379904</v>
      </c>
      <c r="F2865" s="12" t="s">
        <v>478</v>
      </c>
      <c r="G2865" s="13">
        <v>1011.0</v>
      </c>
      <c r="H2865" s="13">
        <v>875.0</v>
      </c>
      <c r="I2865" s="13">
        <v>0.0</v>
      </c>
      <c r="J2865" s="13">
        <v>0.0</v>
      </c>
      <c r="K2865" s="12" t="s">
        <v>21</v>
      </c>
      <c r="L2865" s="7">
        <v>41902.048368055555</v>
      </c>
      <c r="M2865" s="14" t="s">
        <v>479</v>
      </c>
      <c r="N2865" s="14" t="s">
        <v>480</v>
      </c>
      <c r="O2865" s="11" t="str">
        <f>HYPERLINK("https://pbs.twimg.com/profile_images/621211385746161664/tGchJstD_normal.jpg","View")</f>
        <v>View</v>
      </c>
      <c r="P2865" s="15"/>
    </row>
    <row r="2866">
      <c r="A2866" s="7">
        <v>42426.361909722225</v>
      </c>
      <c r="B2866" s="8" t="str">
        <f t="shared" ref="B2866:B2869" si="295">HYPERLINK("https://twitter.com/NowLivecodingtv","@NowLivecodingtv")</f>
        <v>@NowLivecodingtv</v>
      </c>
      <c r="C2866" s="10" t="s">
        <v>2320</v>
      </c>
      <c r="D2866" s="10" t="s">
        <v>5574</v>
      </c>
      <c r="E2866" s="11" t="str">
        <f>HYPERLINK("https://twitter.com/NowLivecodingtv/status/703258509014650880","703258509014650880")</f>
        <v>703258509014650880</v>
      </c>
      <c r="F2866" s="12" t="s">
        <v>2321</v>
      </c>
      <c r="G2866" s="13">
        <v>131.0</v>
      </c>
      <c r="H2866" s="13">
        <v>16.0</v>
      </c>
      <c r="I2866" s="13">
        <v>6.0</v>
      </c>
      <c r="J2866" s="13">
        <v>0.0</v>
      </c>
      <c r="K2866" s="12" t="s">
        <v>21</v>
      </c>
      <c r="L2866" s="7">
        <v>42346.15972222222</v>
      </c>
      <c r="M2866" s="14" t="s">
        <v>69</v>
      </c>
      <c r="N2866" s="14" t="s">
        <v>633</v>
      </c>
      <c r="O2866" s="11" t="str">
        <f t="shared" ref="O2866:O2869" si="296">HYPERLINK("https://pbs.twimg.com/profile_images/699984077877874688/aR2ovqId_normal.png","View")</f>
        <v>View</v>
      </c>
      <c r="P2866" s="15"/>
    </row>
    <row r="2867">
      <c r="A2867" s="7">
        <v>42426.36194444445</v>
      </c>
      <c r="B2867" s="8" t="str">
        <f t="shared" si="295"/>
        <v>@NowLivecodingtv</v>
      </c>
      <c r="C2867" s="10" t="s">
        <v>2320</v>
      </c>
      <c r="D2867" s="10" t="s">
        <v>4964</v>
      </c>
      <c r="E2867" s="11" t="str">
        <f>HYPERLINK("https://twitter.com/NowLivecodingtv/status/703258523241746432","703258523241746432")</f>
        <v>703258523241746432</v>
      </c>
      <c r="F2867" s="12" t="s">
        <v>2321</v>
      </c>
      <c r="G2867" s="13">
        <v>131.0</v>
      </c>
      <c r="H2867" s="13">
        <v>16.0</v>
      </c>
      <c r="I2867" s="13">
        <v>6.0</v>
      </c>
      <c r="J2867" s="13">
        <v>0.0</v>
      </c>
      <c r="K2867" s="12" t="s">
        <v>21</v>
      </c>
      <c r="L2867" s="7">
        <v>42346.15972222222</v>
      </c>
      <c r="M2867" s="14" t="s">
        <v>69</v>
      </c>
      <c r="N2867" s="14" t="s">
        <v>633</v>
      </c>
      <c r="O2867" s="11" t="str">
        <f t="shared" si="296"/>
        <v>View</v>
      </c>
      <c r="P2867" s="15"/>
    </row>
    <row r="2868">
      <c r="A2868" s="7">
        <v>42426.36203703703</v>
      </c>
      <c r="B2868" s="8" t="str">
        <f t="shared" si="295"/>
        <v>@NowLivecodingtv</v>
      </c>
      <c r="C2868" s="10" t="s">
        <v>2320</v>
      </c>
      <c r="D2868" s="10" t="s">
        <v>3163</v>
      </c>
      <c r="E2868" s="11" t="str">
        <f>HYPERLINK("https://twitter.com/NowLivecodingtv/status/703258556338987008","703258556338987008")</f>
        <v>703258556338987008</v>
      </c>
      <c r="F2868" s="12" t="s">
        <v>2321</v>
      </c>
      <c r="G2868" s="13">
        <v>131.0</v>
      </c>
      <c r="H2868" s="13">
        <v>16.0</v>
      </c>
      <c r="I2868" s="13">
        <v>15.0</v>
      </c>
      <c r="J2868" s="13">
        <v>0.0</v>
      </c>
      <c r="K2868" s="12" t="s">
        <v>21</v>
      </c>
      <c r="L2868" s="7">
        <v>42346.15972222222</v>
      </c>
      <c r="M2868" s="14" t="s">
        <v>69</v>
      </c>
      <c r="N2868" s="14" t="s">
        <v>633</v>
      </c>
      <c r="O2868" s="11" t="str">
        <f t="shared" si="296"/>
        <v>View</v>
      </c>
      <c r="P2868" s="15"/>
    </row>
    <row r="2869">
      <c r="A2869" s="7">
        <v>42426.36203703703</v>
      </c>
      <c r="B2869" s="8" t="str">
        <f t="shared" si="295"/>
        <v>@NowLivecodingtv</v>
      </c>
      <c r="C2869" s="10" t="s">
        <v>2320</v>
      </c>
      <c r="D2869" s="10" t="s">
        <v>3257</v>
      </c>
      <c r="E2869" s="11" t="str">
        <f>HYPERLINK("https://twitter.com/NowLivecodingtv/status/703258558444531712","703258558444531712")</f>
        <v>703258558444531712</v>
      </c>
      <c r="F2869" s="12" t="s">
        <v>2321</v>
      </c>
      <c r="G2869" s="13">
        <v>131.0</v>
      </c>
      <c r="H2869" s="13">
        <v>16.0</v>
      </c>
      <c r="I2869" s="13">
        <v>7.0</v>
      </c>
      <c r="J2869" s="13">
        <v>0.0</v>
      </c>
      <c r="K2869" s="12" t="s">
        <v>21</v>
      </c>
      <c r="L2869" s="7">
        <v>42346.15972222222</v>
      </c>
      <c r="M2869" s="14" t="s">
        <v>69</v>
      </c>
      <c r="N2869" s="14" t="s">
        <v>633</v>
      </c>
      <c r="O2869" s="11" t="str">
        <f t="shared" si="296"/>
        <v>View</v>
      </c>
      <c r="P2869" s="15"/>
    </row>
    <row r="2870">
      <c r="A2870" s="7">
        <v>42426.36300925926</v>
      </c>
      <c r="B2870" s="8" t="str">
        <f>HYPERLINK("https://twitter.com/akucchan_world","@akucchan_world")</f>
        <v>@akucchan_world</v>
      </c>
      <c r="C2870" s="10" t="s">
        <v>4797</v>
      </c>
      <c r="D2870" s="10" t="s">
        <v>5865</v>
      </c>
      <c r="E2870" s="11" t="str">
        <f>HYPERLINK("https://twitter.com/akucchan_world/status/703258908161249281","703258908161249281")</f>
        <v>703258908161249281</v>
      </c>
      <c r="F2870" s="12" t="s">
        <v>5278</v>
      </c>
      <c r="G2870" s="13">
        <v>449.0</v>
      </c>
      <c r="H2870" s="13">
        <v>1889.0</v>
      </c>
      <c r="I2870" s="13">
        <v>0.0</v>
      </c>
      <c r="J2870" s="13">
        <v>1.0</v>
      </c>
      <c r="K2870" s="12" t="s">
        <v>21</v>
      </c>
      <c r="L2870" s="7">
        <v>40548.21068287037</v>
      </c>
      <c r="M2870" s="14" t="s">
        <v>328</v>
      </c>
      <c r="N2870" s="14" t="s">
        <v>4799</v>
      </c>
      <c r="O2870" s="11" t="str">
        <f>HYPERLINK("https://pbs.twimg.com/profile_images/1216345873/70755_100001902148705_8207987_q_normal.jpg","View")</f>
        <v>View</v>
      </c>
      <c r="P2870" s="15"/>
    </row>
    <row r="2871">
      <c r="A2871" s="7">
        <v>42426.36359953704</v>
      </c>
      <c r="B2871" s="8" t="str">
        <f>HYPERLINK("https://twitter.com/RecruiterOli","@RecruiterOli")</f>
        <v>@RecruiterOli</v>
      </c>
      <c r="C2871" s="10" t="s">
        <v>5866</v>
      </c>
      <c r="D2871" s="10" t="s">
        <v>5867</v>
      </c>
      <c r="E2871" s="11" t="str">
        <f>HYPERLINK("https://twitter.com/RecruiterOli/status/703259124138700800","703259124138700800")</f>
        <v>703259124138700800</v>
      </c>
      <c r="F2871" s="12" t="s">
        <v>20</v>
      </c>
      <c r="G2871" s="13">
        <v>659.0</v>
      </c>
      <c r="H2871" s="13">
        <v>4981.0</v>
      </c>
      <c r="I2871" s="13">
        <v>1.0</v>
      </c>
      <c r="J2871" s="13">
        <v>0.0</v>
      </c>
      <c r="K2871" s="12" t="s">
        <v>21</v>
      </c>
      <c r="L2871" s="7">
        <v>42275.376550925925</v>
      </c>
      <c r="M2871" s="14" t="s">
        <v>2034</v>
      </c>
      <c r="N2871" s="14" t="s">
        <v>5868</v>
      </c>
      <c r="O2871" s="11" t="str">
        <f>HYPERLINK("https://pbs.twimg.com/profile_images/687978747870380032/drl6ZI3K_normal.jpg","View")</f>
        <v>View</v>
      </c>
      <c r="P2871" s="15"/>
    </row>
    <row r="2872">
      <c r="A2872" s="7">
        <v>42426.36371527778</v>
      </c>
      <c r="B2872" s="8" t="str">
        <f>HYPERLINK("https://twitter.com/rockitcat","@rockitcat")</f>
        <v>@rockitcat</v>
      </c>
      <c r="C2872" s="10" t="s">
        <v>5869</v>
      </c>
      <c r="D2872" s="10" t="s">
        <v>5779</v>
      </c>
      <c r="E2872" s="11" t="str">
        <f>HYPERLINK("https://twitter.com/rockitcat/status/703259164357861379","703259164357861379")</f>
        <v>703259164357861379</v>
      </c>
      <c r="F2872" s="12" t="s">
        <v>1828</v>
      </c>
      <c r="G2872" s="13">
        <v>26.0</v>
      </c>
      <c r="H2872" s="13">
        <v>87.0</v>
      </c>
      <c r="I2872" s="13">
        <v>3.0</v>
      </c>
      <c r="J2872" s="13">
        <v>0.0</v>
      </c>
      <c r="K2872" s="12" t="s">
        <v>21</v>
      </c>
      <c r="L2872" s="7">
        <v>42341.62432870371</v>
      </c>
      <c r="M2872" s="16"/>
      <c r="N2872" s="14" t="s">
        <v>5870</v>
      </c>
      <c r="O2872" s="11" t="str">
        <f>HYPERLINK("https://pbs.twimg.com/profile_images/672551992921755649/0Ce_J_a6_normal.png","View")</f>
        <v>View</v>
      </c>
      <c r="P2872" s="15"/>
    </row>
    <row r="2873">
      <c r="A2873" s="7">
        <v>42426.36405092593</v>
      </c>
      <c r="B2873" s="8" t="str">
        <f>HYPERLINK("https://twitter.com/MetroPulseUSA","@MetroPulseUSA")</f>
        <v>@MetroPulseUSA</v>
      </c>
      <c r="C2873" s="10" t="s">
        <v>5871</v>
      </c>
      <c r="D2873" s="10" t="s">
        <v>5872</v>
      </c>
      <c r="E2873" s="11" t="str">
        <f>HYPERLINK("https://twitter.com/MetroPulseUSA/status/703259285707358208","703259285707358208")</f>
        <v>703259285707358208</v>
      </c>
      <c r="F2873" s="12" t="s">
        <v>20</v>
      </c>
      <c r="G2873" s="13">
        <v>720.0</v>
      </c>
      <c r="H2873" s="13">
        <v>775.0</v>
      </c>
      <c r="I2873" s="13">
        <v>1.0</v>
      </c>
      <c r="J2873" s="13">
        <v>0.0</v>
      </c>
      <c r="K2873" s="12" t="s">
        <v>21</v>
      </c>
      <c r="L2873" s="7">
        <v>41388.62430555555</v>
      </c>
      <c r="M2873" s="14" t="s">
        <v>2544</v>
      </c>
      <c r="N2873" s="14" t="s">
        <v>5873</v>
      </c>
      <c r="O2873" s="11" t="str">
        <f>HYPERLINK("https://pbs.twimg.com/profile_images/533325185672155137/Yysdur7z_normal.jpeg","View")</f>
        <v>View</v>
      </c>
      <c r="P2873" s="15"/>
    </row>
    <row r="2874">
      <c r="A2874" s="7">
        <v>42426.36461805555</v>
      </c>
      <c r="B2874" s="8" t="str">
        <f>HYPERLINK("https://twitter.com/big_data_flow","@big_data_flow")</f>
        <v>@big_data_flow</v>
      </c>
      <c r="C2874" s="10" t="s">
        <v>5874</v>
      </c>
      <c r="D2874" s="10" t="s">
        <v>5517</v>
      </c>
      <c r="E2874" s="11" t="str">
        <f>HYPERLINK("https://twitter.com/big_data_flow/status/703259493086404608","703259493086404608")</f>
        <v>703259493086404608</v>
      </c>
      <c r="F2874" s="12" t="s">
        <v>5875</v>
      </c>
      <c r="G2874" s="13">
        <v>368.0</v>
      </c>
      <c r="H2874" s="13">
        <v>23.0</v>
      </c>
      <c r="I2874" s="13">
        <v>12.0</v>
      </c>
      <c r="J2874" s="13">
        <v>0.0</v>
      </c>
      <c r="K2874" s="12" t="s">
        <v>21</v>
      </c>
      <c r="L2874" s="7">
        <v>42365.02858796297</v>
      </c>
      <c r="M2874" s="14" t="s">
        <v>2002</v>
      </c>
      <c r="N2874" s="14" t="s">
        <v>5876</v>
      </c>
      <c r="O2874" s="11" t="str">
        <f>HYPERLINK("https://pbs.twimg.com/profile_images/681034665923317761/G4LHHc1n_normal.jpg","View")</f>
        <v>View</v>
      </c>
      <c r="P2874" s="15"/>
    </row>
    <row r="2875">
      <c r="A2875" s="7">
        <v>42426.3646875</v>
      </c>
      <c r="B2875" s="8" t="str">
        <f>HYPERLINK("https://twitter.com/tonyojeda3","@tonyojeda3")</f>
        <v>@tonyojeda3</v>
      </c>
      <c r="C2875" s="10" t="s">
        <v>2407</v>
      </c>
      <c r="D2875" s="10" t="s">
        <v>5877</v>
      </c>
      <c r="E2875" s="11" t="str">
        <f>HYPERLINK("https://twitter.com/tonyojeda3/status/703259515693748224","703259515693748224")</f>
        <v>703259515693748224</v>
      </c>
      <c r="F2875" s="12" t="s">
        <v>294</v>
      </c>
      <c r="G2875" s="13">
        <v>3519.0</v>
      </c>
      <c r="H2875" s="13">
        <v>538.0</v>
      </c>
      <c r="I2875" s="13">
        <v>1.0</v>
      </c>
      <c r="J2875" s="13">
        <v>4.0</v>
      </c>
      <c r="K2875" s="12" t="s">
        <v>21</v>
      </c>
      <c r="L2875" s="7">
        <v>39969.75782407408</v>
      </c>
      <c r="M2875" s="14" t="s">
        <v>784</v>
      </c>
      <c r="N2875" s="14" t="s">
        <v>2409</v>
      </c>
      <c r="O2875" s="11" t="str">
        <f>HYPERLINK("https://pbs.twimg.com/profile_images/1211123351/Tony-Ojeda2_normal.JPG","View")</f>
        <v>View</v>
      </c>
      <c r="P2875" s="15"/>
    </row>
    <row r="2876">
      <c r="A2876" s="7">
        <v>42426.36508101852</v>
      </c>
      <c r="B2876" s="8" t="str">
        <f>HYPERLINK("https://twitter.com/uzudocs","@uzudocs")</f>
        <v>@uzudocs</v>
      </c>
      <c r="C2876" s="10" t="s">
        <v>5878</v>
      </c>
      <c r="D2876" s="10" t="s">
        <v>5879</v>
      </c>
      <c r="E2876" s="11" t="str">
        <f>HYPERLINK("https://twitter.com/uzudocs/status/703259660254457856","703259660254457856")</f>
        <v>703259660254457856</v>
      </c>
      <c r="F2876" s="12" t="s">
        <v>20</v>
      </c>
      <c r="G2876" s="13">
        <v>19.0</v>
      </c>
      <c r="H2876" s="13">
        <v>93.0</v>
      </c>
      <c r="I2876" s="13">
        <v>0.0</v>
      </c>
      <c r="J2876" s="13">
        <v>0.0</v>
      </c>
      <c r="K2876" s="12" t="s">
        <v>21</v>
      </c>
      <c r="L2876" s="7">
        <v>42125.088101851856</v>
      </c>
      <c r="M2876" s="14" t="s">
        <v>5880</v>
      </c>
      <c r="N2876" s="14" t="s">
        <v>5881</v>
      </c>
      <c r="O2876" s="11" t="str">
        <f>HYPERLINK("https://pbs.twimg.com/profile_images/606709569511780354/AuhqSVfQ_normal.jpg","View")</f>
        <v>View</v>
      </c>
      <c r="P2876" s="15"/>
    </row>
    <row r="2877">
      <c r="A2877" s="7">
        <v>42426.36560185185</v>
      </c>
      <c r="B2877" s="8" t="str">
        <f>HYPERLINK("https://twitter.com/McArthurRecruit","@McArthurRecruit")</f>
        <v>@McArthurRecruit</v>
      </c>
      <c r="C2877" s="10" t="s">
        <v>1256</v>
      </c>
      <c r="D2877" s="10" t="s">
        <v>5882</v>
      </c>
      <c r="E2877" s="11" t="str">
        <f>HYPERLINK("https://twitter.com/McArthurRecruit/status/703259846515281920","703259846515281920")</f>
        <v>703259846515281920</v>
      </c>
      <c r="F2877" s="12" t="s">
        <v>1258</v>
      </c>
      <c r="G2877" s="13">
        <v>1047.0</v>
      </c>
      <c r="H2877" s="13">
        <v>766.0</v>
      </c>
      <c r="I2877" s="13">
        <v>0.0</v>
      </c>
      <c r="J2877" s="13">
        <v>0.0</v>
      </c>
      <c r="K2877" s="12" t="s">
        <v>21</v>
      </c>
      <c r="L2877" s="7">
        <v>39854.566828703704</v>
      </c>
      <c r="M2877" s="14" t="s">
        <v>1259</v>
      </c>
      <c r="N2877" s="14" t="s">
        <v>1260</v>
      </c>
      <c r="O2877" s="11" t="str">
        <f>HYPERLINK("https://pbs.twimg.com/profile_images/662039977849589760/-bw8hiZo_normal.jpg","View")</f>
        <v>View</v>
      </c>
      <c r="P2877" s="15"/>
    </row>
    <row r="2878">
      <c r="A2878" s="7">
        <v>42426.36619212963</v>
      </c>
      <c r="B2878" s="8" t="str">
        <f>HYPERLINK("https://twitter.com/Lola_Garlochi","@Lola_Garlochi")</f>
        <v>@Lola_Garlochi</v>
      </c>
      <c r="C2878" s="10" t="s">
        <v>5883</v>
      </c>
      <c r="D2878" s="10" t="s">
        <v>5884</v>
      </c>
      <c r="E2878" s="11" t="str">
        <f>HYPERLINK("https://twitter.com/Lola_Garlochi/status/703260063360798720","703260063360798720")</f>
        <v>703260063360798720</v>
      </c>
      <c r="F2878" s="12" t="s">
        <v>5885</v>
      </c>
      <c r="G2878" s="13">
        <v>521.0</v>
      </c>
      <c r="H2878" s="13">
        <v>773.0</v>
      </c>
      <c r="I2878" s="13">
        <v>0.0</v>
      </c>
      <c r="J2878" s="13">
        <v>0.0</v>
      </c>
      <c r="K2878" s="12" t="s">
        <v>21</v>
      </c>
      <c r="L2878" s="7">
        <v>40375.307118055556</v>
      </c>
      <c r="M2878" s="14" t="s">
        <v>5886</v>
      </c>
      <c r="N2878" s="14" t="s">
        <v>5887</v>
      </c>
      <c r="O2878" s="11" t="str">
        <f>HYPERLINK("https://pbs.twimg.com/profile_images/1534398708/168303_1812321466208_1185151278_2143933_1226313_n_normal.jpg","View")</f>
        <v>View</v>
      </c>
      <c r="P2878" s="15"/>
    </row>
    <row r="2879">
      <c r="A2879" s="7">
        <v>42426.366631944446</v>
      </c>
      <c r="B2879" s="8" t="str">
        <f>HYPERLINK("https://twitter.com/fcolmenero","@fcolmenero")</f>
        <v>@fcolmenero</v>
      </c>
      <c r="C2879" s="10" t="s">
        <v>5888</v>
      </c>
      <c r="D2879" s="10" t="s">
        <v>5889</v>
      </c>
      <c r="E2879" s="11" t="str">
        <f>HYPERLINK("https://twitter.com/fcolmenero/status/703260220361986053","703260220361986053")</f>
        <v>703260220361986053</v>
      </c>
      <c r="F2879" s="12" t="s">
        <v>152</v>
      </c>
      <c r="G2879" s="13">
        <v>905.0</v>
      </c>
      <c r="H2879" s="13">
        <v>2166.0</v>
      </c>
      <c r="I2879" s="13">
        <v>1.0</v>
      </c>
      <c r="J2879" s="13">
        <v>0.0</v>
      </c>
      <c r="K2879" s="12" t="s">
        <v>21</v>
      </c>
      <c r="L2879" s="7">
        <v>40639.43956018519</v>
      </c>
      <c r="M2879" s="16"/>
      <c r="N2879" s="14" t="s">
        <v>5890</v>
      </c>
      <c r="O2879" s="11" t="str">
        <f>HYPERLINK("https://pbs.twimg.com/profile_images/523179289638731776/dJyIiYSR_normal.png","View")</f>
        <v>View</v>
      </c>
      <c r="P2879" s="15"/>
    </row>
    <row r="2880">
      <c r="A2880" s="7">
        <v>42426.366944444446</v>
      </c>
      <c r="B2880" s="8" t="str">
        <f>HYPERLINK("https://twitter.com/ndaidong","@ndaidong")</f>
        <v>@ndaidong</v>
      </c>
      <c r="C2880" s="10" t="s">
        <v>5891</v>
      </c>
      <c r="D2880" s="10" t="s">
        <v>5892</v>
      </c>
      <c r="E2880" s="11" t="str">
        <f>HYPERLINK("https://twitter.com/ndaidong/status/703260335814397952","703260335814397952")</f>
        <v>703260335814397952</v>
      </c>
      <c r="F2880" s="12" t="s">
        <v>294</v>
      </c>
      <c r="G2880" s="13">
        <v>412.0</v>
      </c>
      <c r="H2880" s="13">
        <v>451.0</v>
      </c>
      <c r="I2880" s="13">
        <v>0.0</v>
      </c>
      <c r="J2880" s="13">
        <v>1.0</v>
      </c>
      <c r="K2880" s="12" t="s">
        <v>21</v>
      </c>
      <c r="L2880" s="7">
        <v>40765.82962962963</v>
      </c>
      <c r="M2880" s="14" t="s">
        <v>5893</v>
      </c>
      <c r="N2880" s="14" t="s">
        <v>5894</v>
      </c>
      <c r="O2880" s="11" t="str">
        <f>HYPERLINK("https://pbs.twimg.com/profile_images/458509436361789440/IP1VCWV8_normal.jpeg","View")</f>
        <v>View</v>
      </c>
      <c r="P2880" s="15"/>
    </row>
    <row r="2881">
      <c r="A2881" s="7">
        <v>42426.36775462963</v>
      </c>
      <c r="B2881" s="8" t="str">
        <f>HYPERLINK("https://twitter.com/Oliver_Bernard","@Oliver_Bernard")</f>
        <v>@Oliver_Bernard</v>
      </c>
      <c r="C2881" s="10" t="s">
        <v>5895</v>
      </c>
      <c r="D2881" s="10" t="s">
        <v>5896</v>
      </c>
      <c r="E2881" s="11" t="str">
        <f>HYPERLINK("https://twitter.com/Oliver_Bernard/status/703260628354514946","703260628354514946")</f>
        <v>703260628354514946</v>
      </c>
      <c r="F2881" s="12" t="s">
        <v>20</v>
      </c>
      <c r="G2881" s="13">
        <v>293.0</v>
      </c>
      <c r="H2881" s="13">
        <v>1100.0</v>
      </c>
      <c r="I2881" s="13">
        <v>0.0</v>
      </c>
      <c r="J2881" s="13">
        <v>3.0</v>
      </c>
      <c r="K2881" s="12" t="s">
        <v>21</v>
      </c>
      <c r="L2881" s="7">
        <v>40205.20685185185</v>
      </c>
      <c r="M2881" s="14" t="s">
        <v>5897</v>
      </c>
      <c r="N2881" s="14" t="s">
        <v>5898</v>
      </c>
      <c r="O2881" s="11" t="str">
        <f>HYPERLINK("https://pbs.twimg.com/profile_images/685023381255667712/yyODeWuO_normal.jpg","View")</f>
        <v>View</v>
      </c>
      <c r="P2881" s="15"/>
    </row>
    <row r="2882">
      <c r="A2882" s="7">
        <v>42426.36806712963</v>
      </c>
      <c r="B2882" s="8" t="str">
        <f>HYPERLINK("https://twitter.com/kviddy","@kviddy")</f>
        <v>@kviddy</v>
      </c>
      <c r="C2882" s="10" t="s">
        <v>5899</v>
      </c>
      <c r="D2882" s="10" t="s">
        <v>5900</v>
      </c>
      <c r="E2882" s="11" t="str">
        <f>HYPERLINK("https://twitter.com/kviddy/status/703260743978852352","703260743978852352")</f>
        <v>703260743978852352</v>
      </c>
      <c r="F2882" s="12" t="s">
        <v>152</v>
      </c>
      <c r="G2882" s="13">
        <v>89.0</v>
      </c>
      <c r="H2882" s="13">
        <v>199.0</v>
      </c>
      <c r="I2882" s="13">
        <v>0.0</v>
      </c>
      <c r="J2882" s="13">
        <v>0.0</v>
      </c>
      <c r="K2882" s="12" t="s">
        <v>21</v>
      </c>
      <c r="L2882" s="7">
        <v>40041.570138888885</v>
      </c>
      <c r="M2882" s="16"/>
      <c r="N2882" s="14" t="s">
        <v>5901</v>
      </c>
      <c r="O2882" s="11" t="str">
        <f>HYPERLINK("https://pbs.twimg.com/profile_images/474835499522080768/iHFtA9jL_normal.jpeg","View")</f>
        <v>View</v>
      </c>
      <c r="P2882" s="15"/>
    </row>
    <row r="2883">
      <c r="A2883" s="7">
        <v>42426.36954861111</v>
      </c>
      <c r="B2883" s="8" t="str">
        <f>HYPERLINK("https://twitter.com/diegomvh","@diegomvh")</f>
        <v>@diegomvh</v>
      </c>
      <c r="C2883" s="10" t="s">
        <v>5902</v>
      </c>
      <c r="D2883" s="10" t="s">
        <v>5775</v>
      </c>
      <c r="E2883" s="11" t="str">
        <f>HYPERLINK("https://twitter.com/diegomvh/status/703261279725723648","703261279725723648")</f>
        <v>703261279725723648</v>
      </c>
      <c r="F2883" s="12" t="s">
        <v>152</v>
      </c>
      <c r="G2883" s="13">
        <v>50.0</v>
      </c>
      <c r="H2883" s="13">
        <v>75.0</v>
      </c>
      <c r="I2883" s="13">
        <v>3.0</v>
      </c>
      <c r="J2883" s="13">
        <v>0.0</v>
      </c>
      <c r="K2883" s="12" t="s">
        <v>21</v>
      </c>
      <c r="L2883" s="7">
        <v>40655.59248842593</v>
      </c>
      <c r="M2883" s="14" t="s">
        <v>5903</v>
      </c>
      <c r="N2883" s="14" t="s">
        <v>5904</v>
      </c>
      <c r="O2883" s="11" t="str">
        <f>HYPERLINK("https://pbs.twimg.com/profile_images/526186594395762689/v2Y7qHl5_normal.jpeg","View")</f>
        <v>View</v>
      </c>
      <c r="P2883" s="15"/>
    </row>
    <row r="2884">
      <c r="A2884" s="7">
        <v>42426.3696875</v>
      </c>
      <c r="B2884" s="8" t="str">
        <f>HYPERLINK("https://twitter.com/AdamSmitht1","@AdamSmitht1")</f>
        <v>@AdamSmitht1</v>
      </c>
      <c r="C2884" s="10" t="s">
        <v>468</v>
      </c>
      <c r="D2884" s="10" t="s">
        <v>5905</v>
      </c>
      <c r="E2884" s="11" t="str">
        <f>HYPERLINK("https://twitter.com/AdamSmitht1/status/703261329403027456","703261329403027456")</f>
        <v>703261329403027456</v>
      </c>
      <c r="F2884" s="12" t="s">
        <v>103</v>
      </c>
      <c r="G2884" s="13">
        <v>849.0</v>
      </c>
      <c r="H2884" s="13">
        <v>793.0</v>
      </c>
      <c r="I2884" s="13">
        <v>0.0</v>
      </c>
      <c r="J2884" s="13">
        <v>0.0</v>
      </c>
      <c r="K2884" s="12" t="s">
        <v>21</v>
      </c>
      <c r="L2884" s="7">
        <v>42336.12709490741</v>
      </c>
      <c r="M2884" s="14" t="s">
        <v>470</v>
      </c>
      <c r="N2884" s="14" t="s">
        <v>471</v>
      </c>
      <c r="O2884" s="11" t="str">
        <f>HYPERLINK("https://pbs.twimg.com/profile_images/671623862916812800/yGsDKiP4_normal.jpg","View")</f>
        <v>View</v>
      </c>
      <c r="P2884" s="15"/>
    </row>
    <row r="2885">
      <c r="A2885" s="7">
        <v>42426.36971064815</v>
      </c>
      <c r="B2885" s="8" t="str">
        <f>HYPERLINK("https://twitter.com/sam_et_max","@sam_et_max")</f>
        <v>@sam_et_max</v>
      </c>
      <c r="C2885" s="10" t="s">
        <v>134</v>
      </c>
      <c r="D2885" s="10" t="s">
        <v>5906</v>
      </c>
      <c r="E2885" s="11" t="str">
        <f>HYPERLINK("https://twitter.com/sam_et_max/status/703261338911576064","703261338911576064")</f>
        <v>703261338911576064</v>
      </c>
      <c r="F2885" s="12" t="s">
        <v>20</v>
      </c>
      <c r="G2885" s="13">
        <v>2277.0</v>
      </c>
      <c r="H2885" s="13">
        <v>0.0</v>
      </c>
      <c r="I2885" s="13">
        <v>2.0</v>
      </c>
      <c r="J2885" s="13">
        <v>0.0</v>
      </c>
      <c r="K2885" s="12" t="s">
        <v>21</v>
      </c>
      <c r="L2885" s="7">
        <v>40967.05353009259</v>
      </c>
      <c r="M2885" s="16"/>
      <c r="N2885" s="14" t="s">
        <v>135</v>
      </c>
      <c r="O2885" s="11" t="str">
        <f>HYPERLINK("https://pbs.twimg.com/profile_images/1859873928/img_Dog-and-rabbit_Thomas-SCHWEIZER_ref_150.001844.00_mode_zoom_normal.jpg","View")</f>
        <v>View</v>
      </c>
      <c r="P2885" s="15"/>
    </row>
    <row r="2886">
      <c r="A2886" s="7">
        <v>42426.36975694445</v>
      </c>
      <c r="B2886" s="8" t="str">
        <f>HYPERLINK("https://twitter.com/AdamSmitht1","@AdamSmitht1")</f>
        <v>@AdamSmitht1</v>
      </c>
      <c r="C2886" s="10" t="s">
        <v>468</v>
      </c>
      <c r="D2886" s="10" t="s">
        <v>5907</v>
      </c>
      <c r="E2886" s="11" t="str">
        <f>HYPERLINK("https://twitter.com/AdamSmitht1/status/703261353402826752","703261353402826752")</f>
        <v>703261353402826752</v>
      </c>
      <c r="F2886" s="12" t="s">
        <v>103</v>
      </c>
      <c r="G2886" s="13">
        <v>849.0</v>
      </c>
      <c r="H2886" s="13">
        <v>793.0</v>
      </c>
      <c r="I2886" s="13">
        <v>0.0</v>
      </c>
      <c r="J2886" s="13">
        <v>0.0</v>
      </c>
      <c r="K2886" s="12" t="s">
        <v>21</v>
      </c>
      <c r="L2886" s="7">
        <v>42336.12709490741</v>
      </c>
      <c r="M2886" s="14" t="s">
        <v>470</v>
      </c>
      <c r="N2886" s="14" t="s">
        <v>471</v>
      </c>
      <c r="O2886" s="11" t="str">
        <f>HYPERLINK("https://pbs.twimg.com/profile_images/671623862916812800/yGsDKiP4_normal.jpg","View")</f>
        <v>View</v>
      </c>
      <c r="P2886" s="15"/>
    </row>
    <row r="2887">
      <c r="A2887" s="7">
        <v>42426.37013888889</v>
      </c>
      <c r="B2887" s="8" t="str">
        <f>HYPERLINK("https://twitter.com/dreadpirate15","@dreadpirate15")</f>
        <v>@dreadpirate15</v>
      </c>
      <c r="C2887" s="10" t="s">
        <v>5908</v>
      </c>
      <c r="D2887" s="10" t="s">
        <v>5909</v>
      </c>
      <c r="E2887" s="11" t="str">
        <f>HYPERLINK("https://twitter.com/dreadpirate15/status/703261493907709952","703261493907709952")</f>
        <v>703261493907709952</v>
      </c>
      <c r="F2887" s="12" t="s">
        <v>2289</v>
      </c>
      <c r="G2887" s="13">
        <v>300.0</v>
      </c>
      <c r="H2887" s="13">
        <v>238.0</v>
      </c>
      <c r="I2887" s="13">
        <v>0.0</v>
      </c>
      <c r="J2887" s="13">
        <v>0.0</v>
      </c>
      <c r="K2887" s="12" t="s">
        <v>21</v>
      </c>
      <c r="L2887" s="7">
        <v>40065.85502314815</v>
      </c>
      <c r="M2887" s="14" t="s">
        <v>5910</v>
      </c>
      <c r="N2887" s="14" t="s">
        <v>5911</v>
      </c>
      <c r="O2887" s="11" t="str">
        <f>HYPERLINK("https://pbs.twimg.com/profile_images/630956211521785857/lI5V5iPJ_normal.jpg","View")</f>
        <v>View</v>
      </c>
      <c r="P2887" s="15"/>
    </row>
    <row r="2888">
      <c r="A2888" s="7">
        <v>42426.37024305556</v>
      </c>
      <c r="B2888" s="8" t="str">
        <f>HYPERLINK("https://twitter.com/DistrictDataLab","@DistrictDataLab")</f>
        <v>@DistrictDataLab</v>
      </c>
      <c r="C2888" s="10" t="s">
        <v>2228</v>
      </c>
      <c r="D2888" s="10" t="s">
        <v>5912</v>
      </c>
      <c r="E2888" s="11" t="str">
        <f>HYPERLINK("https://twitter.com/DistrictDataLab/status/703261528758288385","703261528758288385")</f>
        <v>703261528758288385</v>
      </c>
      <c r="F2888" s="12" t="s">
        <v>294</v>
      </c>
      <c r="G2888" s="13">
        <v>1844.0</v>
      </c>
      <c r="H2888" s="13">
        <v>1146.0</v>
      </c>
      <c r="I2888" s="13">
        <v>1.0</v>
      </c>
      <c r="J2888" s="13">
        <v>5.0</v>
      </c>
      <c r="K2888" s="12" t="s">
        <v>21</v>
      </c>
      <c r="L2888" s="7">
        <v>41599.44584490741</v>
      </c>
      <c r="M2888" s="14" t="s">
        <v>784</v>
      </c>
      <c r="N2888" s="14" t="s">
        <v>2230</v>
      </c>
      <c r="O2888" s="11" t="str">
        <f>HYPERLINK("https://pbs.twimg.com/profile_images/676095885575634944/NXl4o2HU_normal.png","View")</f>
        <v>View</v>
      </c>
      <c r="P2888" s="15"/>
    </row>
    <row r="2889">
      <c r="A2889" s="7">
        <v>42426.370358796295</v>
      </c>
      <c r="B2889" s="8" t="str">
        <f t="shared" ref="B2889:B2890" si="297">HYPERLINK("https://twitter.com/startechwall","@startechwall")</f>
        <v>@startechwall</v>
      </c>
      <c r="C2889" s="10" t="s">
        <v>1478</v>
      </c>
      <c r="D2889" s="10" t="s">
        <v>5913</v>
      </c>
      <c r="E2889" s="11" t="str">
        <f>HYPERLINK("https://twitter.com/startechwall/status/703261570432962560","703261570432962560")</f>
        <v>703261570432962560</v>
      </c>
      <c r="F2889" s="12" t="s">
        <v>103</v>
      </c>
      <c r="G2889" s="13">
        <v>557.0</v>
      </c>
      <c r="H2889" s="13">
        <v>859.0</v>
      </c>
      <c r="I2889" s="13">
        <v>0.0</v>
      </c>
      <c r="J2889" s="13">
        <v>0.0</v>
      </c>
      <c r="K2889" s="12" t="s">
        <v>21</v>
      </c>
      <c r="L2889" s="7">
        <v>42360.959502314814</v>
      </c>
      <c r="M2889" s="14" t="s">
        <v>1480</v>
      </c>
      <c r="N2889" s="14" t="s">
        <v>1481</v>
      </c>
      <c r="O2889" s="11" t="str">
        <f t="shared" ref="O2889:O2890" si="298">HYPERLINK("https://pbs.twimg.com/profile_images/679566117187145728/UUo30Zpm_normal.jpg","View")</f>
        <v>View</v>
      </c>
      <c r="P2889" s="15"/>
    </row>
    <row r="2890">
      <c r="A2890" s="7">
        <v>42426.37041666667</v>
      </c>
      <c r="B2890" s="8" t="str">
        <f t="shared" si="297"/>
        <v>@startechwall</v>
      </c>
      <c r="C2890" s="10" t="s">
        <v>1478</v>
      </c>
      <c r="D2890" s="10" t="s">
        <v>5914</v>
      </c>
      <c r="E2890" s="11" t="str">
        <f>HYPERLINK("https://twitter.com/startechwall/status/703261595221278721","703261595221278721")</f>
        <v>703261595221278721</v>
      </c>
      <c r="F2890" s="12" t="s">
        <v>103</v>
      </c>
      <c r="G2890" s="13">
        <v>557.0</v>
      </c>
      <c r="H2890" s="13">
        <v>859.0</v>
      </c>
      <c r="I2890" s="13">
        <v>1.0</v>
      </c>
      <c r="J2890" s="13">
        <v>0.0</v>
      </c>
      <c r="K2890" s="12" t="s">
        <v>21</v>
      </c>
      <c r="L2890" s="7">
        <v>42360.959502314814</v>
      </c>
      <c r="M2890" s="14" t="s">
        <v>1480</v>
      </c>
      <c r="N2890" s="14" t="s">
        <v>1481</v>
      </c>
      <c r="O2890" s="11" t="str">
        <f t="shared" si="298"/>
        <v>View</v>
      </c>
      <c r="P2890" s="15"/>
    </row>
    <row r="2891">
      <c r="A2891" s="7">
        <v>42426.37111111111</v>
      </c>
      <c r="B2891" s="8" t="str">
        <f>HYPERLINK("https://twitter.com/moo9000","@moo9000")</f>
        <v>@moo9000</v>
      </c>
      <c r="C2891" s="10" t="s">
        <v>5915</v>
      </c>
      <c r="D2891" s="10" t="s">
        <v>5916</v>
      </c>
      <c r="E2891" s="11" t="str">
        <f>HYPERLINK("https://twitter.com/moo9000/status/703261845935751168","703261845935751168")</f>
        <v>703261845935751168</v>
      </c>
      <c r="F2891" s="12" t="s">
        <v>446</v>
      </c>
      <c r="G2891" s="13">
        <v>1684.0</v>
      </c>
      <c r="H2891" s="13">
        <v>1378.0</v>
      </c>
      <c r="I2891" s="13">
        <v>0.0</v>
      </c>
      <c r="J2891" s="13">
        <v>0.0</v>
      </c>
      <c r="K2891" s="12" t="s">
        <v>21</v>
      </c>
      <c r="L2891" s="7">
        <v>39989.42303240741</v>
      </c>
      <c r="M2891" s="14" t="s">
        <v>1325</v>
      </c>
      <c r="N2891" s="14" t="s">
        <v>5917</v>
      </c>
      <c r="O2891" s="11" t="str">
        <f>HYPERLINK("https://pbs.twimg.com/profile_images/327154824/naama_normal.jpg","View")</f>
        <v>View</v>
      </c>
      <c r="P2891" s="15"/>
    </row>
    <row r="2892">
      <c r="A2892" s="7">
        <v>42426.37133101852</v>
      </c>
      <c r="B2892" s="8" t="str">
        <f>HYPERLINK("https://twitter.com/py3k","@py3k")</f>
        <v>@py3k</v>
      </c>
      <c r="C2892" s="10" t="s">
        <v>297</v>
      </c>
      <c r="D2892" s="10" t="s">
        <v>5918</v>
      </c>
      <c r="E2892" s="11" t="str">
        <f>HYPERLINK("https://twitter.com/py3k/status/703261926105751552","703261926105751552")</f>
        <v>703261926105751552</v>
      </c>
      <c r="F2892" s="12" t="s">
        <v>299</v>
      </c>
      <c r="G2892" s="13">
        <v>1623.0</v>
      </c>
      <c r="H2892" s="13">
        <v>676.0</v>
      </c>
      <c r="I2892" s="13">
        <v>1.0</v>
      </c>
      <c r="J2892" s="13">
        <v>0.0</v>
      </c>
      <c r="K2892" s="12" t="s">
        <v>21</v>
      </c>
      <c r="L2892" s="7">
        <v>41096.62268518518</v>
      </c>
      <c r="M2892" s="16"/>
      <c r="N2892" s="14" t="s">
        <v>300</v>
      </c>
      <c r="O2892" s="11" t="str">
        <f>HYPERLINK("https://pbs.twimg.com/profile_images/2474433856/p075cerxh0arpea6ceip_normal.png","View")</f>
        <v>View</v>
      </c>
      <c r="P2892" s="15"/>
    </row>
    <row r="2893">
      <c r="A2893" s="7">
        <v>42426.37148148148</v>
      </c>
      <c r="B2893" s="8" t="str">
        <f>HYPERLINK("https://twitter.com/brobeur","@brobeur")</f>
        <v>@brobeur</v>
      </c>
      <c r="C2893" s="9" t="s">
        <v>319</v>
      </c>
      <c r="D2893" s="10" t="s">
        <v>5919</v>
      </c>
      <c r="E2893" s="11" t="str">
        <f>HYPERLINK("https://twitter.com/brobeur/status/703261978467426304","703261978467426304")</f>
        <v>703261978467426304</v>
      </c>
      <c r="F2893" s="12" t="s">
        <v>321</v>
      </c>
      <c r="G2893" s="13">
        <v>1097.0</v>
      </c>
      <c r="H2893" s="13">
        <v>1945.0</v>
      </c>
      <c r="I2893" s="13">
        <v>0.0</v>
      </c>
      <c r="J2893" s="13">
        <v>1.0</v>
      </c>
      <c r="K2893" s="12" t="s">
        <v>21</v>
      </c>
      <c r="L2893" s="7">
        <v>41362.78061342593</v>
      </c>
      <c r="M2893" s="14" t="s">
        <v>322</v>
      </c>
      <c r="N2893" s="14" t="s">
        <v>323</v>
      </c>
      <c r="O2893" s="11" t="str">
        <f>HYPERLINK("https://pbs.twimg.com/profile_images/487211737284739072/HBzP949-_normal.png","View")</f>
        <v>View</v>
      </c>
      <c r="P2893" s="15"/>
    </row>
    <row r="2894">
      <c r="A2894" s="7">
        <v>42426.37228009259</v>
      </c>
      <c r="B2894" s="8" t="str">
        <f>HYPERLINK("https://twitter.com/asolntsev","@asolntsev")</f>
        <v>@asolntsev</v>
      </c>
      <c r="C2894" s="10" t="s">
        <v>2440</v>
      </c>
      <c r="D2894" s="10" t="s">
        <v>5920</v>
      </c>
      <c r="E2894" s="11" t="str">
        <f>HYPERLINK("https://twitter.com/asolntsev/status/703262268365148160","703262268365148160")</f>
        <v>703262268365148160</v>
      </c>
      <c r="F2894" s="12" t="s">
        <v>20</v>
      </c>
      <c r="G2894" s="13">
        <v>393.0</v>
      </c>
      <c r="H2894" s="13">
        <v>146.0</v>
      </c>
      <c r="I2894" s="13">
        <v>3.0</v>
      </c>
      <c r="J2894" s="13">
        <v>0.0</v>
      </c>
      <c r="K2894" s="12" t="s">
        <v>21</v>
      </c>
      <c r="L2894" s="7">
        <v>40240.24528935185</v>
      </c>
      <c r="M2894" s="14" t="s">
        <v>2442</v>
      </c>
      <c r="N2894" s="14" t="s">
        <v>2443</v>
      </c>
      <c r="O2894" s="11" t="str">
        <f>HYPERLINK("https://pbs.twimg.com/profile_images/729742252/asolntsev-avatar_normal.jpg","View")</f>
        <v>View</v>
      </c>
      <c r="P2894" s="15"/>
    </row>
    <row r="2895">
      <c r="A2895" s="7">
        <v>42426.37247685185</v>
      </c>
      <c r="B2895" s="8" t="str">
        <f>HYPERLINK("https://twitter.com/Learn_Viral","@Learn_Viral")</f>
        <v>@Learn_Viral</v>
      </c>
      <c r="C2895" s="10" t="s">
        <v>5921</v>
      </c>
      <c r="D2895" s="10" t="s">
        <v>5922</v>
      </c>
      <c r="E2895" s="11" t="str">
        <f>HYPERLINK("https://twitter.com/Learn_Viral/status/703262338049286146","703262338049286146")</f>
        <v>703262338049286146</v>
      </c>
      <c r="F2895" s="12" t="s">
        <v>103</v>
      </c>
      <c r="G2895" s="13">
        <v>2299.0</v>
      </c>
      <c r="H2895" s="13">
        <v>5.0</v>
      </c>
      <c r="I2895" s="13">
        <v>0.0</v>
      </c>
      <c r="J2895" s="13">
        <v>0.0</v>
      </c>
      <c r="K2895" s="12" t="s">
        <v>21</v>
      </c>
      <c r="L2895" s="7">
        <v>41965.47789351852</v>
      </c>
      <c r="M2895" s="16"/>
      <c r="N2895" s="14" t="s">
        <v>5923</v>
      </c>
      <c r="O2895" s="11" t="str">
        <f>HYPERLINK("https://pbs.twimg.com/profile_images/611493826558083073/OoYoauVs_normal.png","View")</f>
        <v>View</v>
      </c>
      <c r="P2895" s="15"/>
    </row>
    <row r="2896">
      <c r="A2896" s="7">
        <v>42426.372569444444</v>
      </c>
      <c r="B2896" s="8" t="str">
        <f>HYPERLINK("https://twitter.com/cool_python","@cool_python")</f>
        <v>@cool_python</v>
      </c>
      <c r="C2896" s="10" t="s">
        <v>249</v>
      </c>
      <c r="D2896" s="10" t="s">
        <v>5924</v>
      </c>
      <c r="E2896" s="11" t="str">
        <f>HYPERLINK("https://twitter.com/cool_python/status/703262372052471808","703262372052471808")</f>
        <v>703262372052471808</v>
      </c>
      <c r="F2896" s="12" t="s">
        <v>251</v>
      </c>
      <c r="G2896" s="13">
        <v>235.0</v>
      </c>
      <c r="H2896" s="13">
        <v>91.0</v>
      </c>
      <c r="I2896" s="13">
        <v>1.0</v>
      </c>
      <c r="J2896" s="13">
        <v>0.0</v>
      </c>
      <c r="K2896" s="12" t="s">
        <v>21</v>
      </c>
      <c r="L2896" s="7">
        <v>42064.325</v>
      </c>
      <c r="M2896" s="14" t="s">
        <v>252</v>
      </c>
      <c r="N2896" s="14" t="s">
        <v>253</v>
      </c>
      <c r="O2896" s="11" t="str">
        <f>HYPERLINK("https://pbs.twimg.com/profile_images/572091631055028224/Pkx__FSB_normal.png","View")</f>
        <v>View</v>
      </c>
      <c r="P2896" s="15"/>
    </row>
    <row r="2897">
      <c r="A2897" s="7">
        <v>42426.37260416667</v>
      </c>
      <c r="B2897" s="8" t="str">
        <f t="shared" ref="B2897:B2898" si="299">HYPERLINK("https://twitter.com/PythonBooks","@PythonBooks")</f>
        <v>@PythonBooks</v>
      </c>
      <c r="C2897" s="10" t="s">
        <v>267</v>
      </c>
      <c r="D2897" s="10" t="s">
        <v>5925</v>
      </c>
      <c r="E2897" s="11" t="str">
        <f>HYPERLINK("https://twitter.com/PythonBooks/status/703262385293783040","703262385293783040")</f>
        <v>703262385293783040</v>
      </c>
      <c r="F2897" s="17" t="s">
        <v>76</v>
      </c>
      <c r="G2897" s="13">
        <v>20.0</v>
      </c>
      <c r="H2897" s="13">
        <v>70.0</v>
      </c>
      <c r="I2897" s="13">
        <v>0.0</v>
      </c>
      <c r="J2897" s="13">
        <v>0.0</v>
      </c>
      <c r="K2897" s="12" t="s">
        <v>21</v>
      </c>
      <c r="L2897" s="7">
        <v>42424.13631944444</v>
      </c>
      <c r="M2897" s="14" t="s">
        <v>269</v>
      </c>
      <c r="N2897" s="14" t="s">
        <v>270</v>
      </c>
      <c r="O2897" s="11" t="str">
        <f t="shared" ref="O2897:O2898" si="300">HYPERLINK("https://pbs.twimg.com/profile_images/702455638157168640/AeDgtn0C_normal.jpg","View")</f>
        <v>View</v>
      </c>
      <c r="P2897" s="15"/>
    </row>
    <row r="2898">
      <c r="A2898" s="7">
        <v>42426.37261574074</v>
      </c>
      <c r="B2898" s="8" t="str">
        <f t="shared" si="299"/>
        <v>@PythonBooks</v>
      </c>
      <c r="C2898" s="10" t="s">
        <v>267</v>
      </c>
      <c r="D2898" s="10" t="s">
        <v>5926</v>
      </c>
      <c r="E2898" s="11" t="str">
        <f>HYPERLINK("https://twitter.com/PythonBooks/status/703262389592915968","703262389592915968")</f>
        <v>703262389592915968</v>
      </c>
      <c r="F2898" s="17" t="s">
        <v>76</v>
      </c>
      <c r="G2898" s="13">
        <v>20.0</v>
      </c>
      <c r="H2898" s="13">
        <v>70.0</v>
      </c>
      <c r="I2898" s="13">
        <v>0.0</v>
      </c>
      <c r="J2898" s="13">
        <v>0.0</v>
      </c>
      <c r="K2898" s="12" t="s">
        <v>21</v>
      </c>
      <c r="L2898" s="7">
        <v>42424.13631944444</v>
      </c>
      <c r="M2898" s="14" t="s">
        <v>269</v>
      </c>
      <c r="N2898" s="14" t="s">
        <v>270</v>
      </c>
      <c r="O2898" s="11" t="str">
        <f t="shared" si="300"/>
        <v>View</v>
      </c>
      <c r="P2898" s="15"/>
    </row>
    <row r="2899">
      <c r="A2899" s="7">
        <v>42426.372766203705</v>
      </c>
      <c r="B2899" s="8" t="str">
        <f>HYPERLINK("https://twitter.com/justCennet","@justCennet")</f>
        <v>@justCennet</v>
      </c>
      <c r="C2899" s="10" t="s">
        <v>5927</v>
      </c>
      <c r="D2899" s="10" t="s">
        <v>5928</v>
      </c>
      <c r="E2899" s="11" t="str">
        <f>HYPERLINK("https://twitter.com/justCennet/status/703262445960306688","703262445960306688")</f>
        <v>703262445960306688</v>
      </c>
      <c r="F2899" s="12" t="s">
        <v>152</v>
      </c>
      <c r="G2899" s="13">
        <v>557.0</v>
      </c>
      <c r="H2899" s="13">
        <v>1674.0</v>
      </c>
      <c r="I2899" s="13">
        <v>0.0</v>
      </c>
      <c r="J2899" s="13">
        <v>2.0</v>
      </c>
      <c r="K2899" s="12" t="s">
        <v>21</v>
      </c>
      <c r="L2899" s="7">
        <v>41156.65835648148</v>
      </c>
      <c r="M2899" s="14" t="s">
        <v>5929</v>
      </c>
      <c r="N2899" s="14" t="s">
        <v>5930</v>
      </c>
      <c r="O2899" s="11" t="str">
        <f>HYPERLINK("https://pbs.twimg.com/profile_images/640293876343943169/Uu5Cb52q_normal.jpg","View")</f>
        <v>View</v>
      </c>
      <c r="P2899" s="15"/>
    </row>
    <row r="2900">
      <c r="A2900" s="7">
        <v>42426.37368055555</v>
      </c>
      <c r="B2900" s="8" t="str">
        <f>HYPERLINK("https://twitter.com/benjaminmbrown","@benjaminmbrown")</f>
        <v>@benjaminmbrown</v>
      </c>
      <c r="C2900" s="10" t="s">
        <v>5931</v>
      </c>
      <c r="D2900" s="10" t="s">
        <v>5932</v>
      </c>
      <c r="E2900" s="11" t="str">
        <f>HYPERLINK("https://twitter.com/benjaminmbrown/status/703262778195312640","703262778195312640")</f>
        <v>703262778195312640</v>
      </c>
      <c r="F2900" s="12" t="s">
        <v>20</v>
      </c>
      <c r="G2900" s="13">
        <v>341.0</v>
      </c>
      <c r="H2900" s="13">
        <v>805.0</v>
      </c>
      <c r="I2900" s="13">
        <v>0.0</v>
      </c>
      <c r="J2900" s="13">
        <v>1.0</v>
      </c>
      <c r="K2900" s="12" t="s">
        <v>21</v>
      </c>
      <c r="L2900" s="7">
        <v>39567.54158564815</v>
      </c>
      <c r="M2900" s="14" t="s">
        <v>2544</v>
      </c>
      <c r="N2900" s="14" t="s">
        <v>5933</v>
      </c>
      <c r="O2900" s="11" t="str">
        <f>HYPERLINK("https://pbs.twimg.com/profile_images/656561238076293120/19hq0CzJ_normal.png","View")</f>
        <v>View</v>
      </c>
      <c r="P2900" s="15"/>
    </row>
    <row r="2901">
      <c r="A2901" s="7">
        <v>42426.37372685185</v>
      </c>
      <c r="B2901" s="8" t="str">
        <f>HYPERLINK("https://twitter.com/Googleulv","@Googleulv")</f>
        <v>@Googleulv</v>
      </c>
      <c r="C2901" s="10" t="s">
        <v>3913</v>
      </c>
      <c r="D2901" s="10" t="s">
        <v>5500</v>
      </c>
      <c r="E2901" s="11" t="str">
        <f>HYPERLINK("https://twitter.com/Googleulv/status/703262793861038080","703262793861038080")</f>
        <v>703262793861038080</v>
      </c>
      <c r="F2901" s="12" t="s">
        <v>1573</v>
      </c>
      <c r="G2901" s="13">
        <v>1039.0</v>
      </c>
      <c r="H2901" s="13">
        <v>754.0</v>
      </c>
      <c r="I2901" s="13">
        <v>3.0</v>
      </c>
      <c r="J2901" s="13">
        <v>0.0</v>
      </c>
      <c r="K2901" s="12" t="s">
        <v>21</v>
      </c>
      <c r="L2901" s="7">
        <v>39889.612164351856</v>
      </c>
      <c r="M2901" s="14" t="s">
        <v>3914</v>
      </c>
      <c r="N2901" s="14" t="s">
        <v>3915</v>
      </c>
      <c r="O2901" s="11" t="str">
        <f>HYPERLINK("https://pbs.twimg.com/profile_images/631872006645022720/C3D_WfIt_normal.jpg","View")</f>
        <v>View</v>
      </c>
      <c r="P2901" s="15"/>
    </row>
    <row r="2902">
      <c r="A2902" s="7">
        <v>42426.37403935185</v>
      </c>
      <c r="B2902" s="8" t="str">
        <f>HYPERLINK("https://twitter.com/programmingncr","@programmingncr")</f>
        <v>@programmingncr</v>
      </c>
      <c r="C2902" s="10" t="s">
        <v>262</v>
      </c>
      <c r="D2902" s="10" t="s">
        <v>5934</v>
      </c>
      <c r="E2902" s="11" t="str">
        <f>HYPERLINK("https://twitter.com/programmingncr/status/703262904510980096","703262904510980096")</f>
        <v>703262904510980096</v>
      </c>
      <c r="F2902" s="12" t="s">
        <v>103</v>
      </c>
      <c r="G2902" s="13">
        <v>328.0</v>
      </c>
      <c r="H2902" s="13">
        <v>99.0</v>
      </c>
      <c r="I2902" s="13">
        <v>0.0</v>
      </c>
      <c r="J2902" s="13">
        <v>0.0</v>
      </c>
      <c r="K2902" s="12" t="s">
        <v>21</v>
      </c>
      <c r="L2902" s="7">
        <v>42220.86634259259</v>
      </c>
      <c r="M2902" s="14" t="s">
        <v>264</v>
      </c>
      <c r="N2902" s="14" t="s">
        <v>265</v>
      </c>
      <c r="O2902" s="11" t="str">
        <f>HYPERLINK("https://pbs.twimg.com/profile_images/662602436222193664/qKuvsfnG_normal.jpg","View")</f>
        <v>View</v>
      </c>
      <c r="P2902" s="15"/>
    </row>
    <row r="2903">
      <c r="A2903" s="7">
        <v>42426.37438657407</v>
      </c>
      <c r="B2903" s="8" t="str">
        <f>HYPERLINK("https://twitter.com/HartwigMicheal","@HartwigMicheal")</f>
        <v>@HartwigMicheal</v>
      </c>
      <c r="C2903" s="10" t="s">
        <v>842</v>
      </c>
      <c r="D2903" s="10" t="s">
        <v>5935</v>
      </c>
      <c r="E2903" s="11" t="str">
        <f>HYPERLINK("https://twitter.com/HartwigMicheal/status/703263032324071425","703263032324071425")</f>
        <v>703263032324071425</v>
      </c>
      <c r="F2903" s="12" t="s">
        <v>103</v>
      </c>
      <c r="G2903" s="13">
        <v>541.0</v>
      </c>
      <c r="H2903" s="13">
        <v>830.0</v>
      </c>
      <c r="I2903" s="13">
        <v>0.0</v>
      </c>
      <c r="J2903" s="13">
        <v>0.0</v>
      </c>
      <c r="K2903" s="12" t="s">
        <v>21</v>
      </c>
      <c r="L2903" s="7">
        <v>42362.00148148148</v>
      </c>
      <c r="M2903" s="14" t="s">
        <v>844</v>
      </c>
      <c r="N2903" s="14" t="s">
        <v>845</v>
      </c>
      <c r="O2903" s="11" t="str">
        <f>HYPERLINK("https://pbs.twimg.com/profile_images/679948461953781761/pDo9356K_normal.jpg","View")</f>
        <v>View</v>
      </c>
      <c r="P2903" s="15"/>
    </row>
    <row r="2904">
      <c r="A2904" s="7">
        <v>42426.37439814815</v>
      </c>
      <c r="B2904" s="8" t="str">
        <f>HYPERLINK("https://twitter.com/alejolp","@alejolp")</f>
        <v>@alejolp</v>
      </c>
      <c r="C2904" s="10" t="s">
        <v>5936</v>
      </c>
      <c r="D2904" s="10" t="s">
        <v>5937</v>
      </c>
      <c r="E2904" s="11" t="str">
        <f>HYPERLINK("https://twitter.com/alejolp/status/703263038053490688","703263038053490688")</f>
        <v>703263038053490688</v>
      </c>
      <c r="F2904" s="12" t="s">
        <v>152</v>
      </c>
      <c r="G2904" s="13">
        <v>365.0</v>
      </c>
      <c r="H2904" s="13">
        <v>212.0</v>
      </c>
      <c r="I2904" s="13">
        <v>0.0</v>
      </c>
      <c r="J2904" s="13">
        <v>1.0</v>
      </c>
      <c r="K2904" s="12" t="s">
        <v>21</v>
      </c>
      <c r="L2904" s="7">
        <v>39506.19150462963</v>
      </c>
      <c r="M2904" s="16"/>
      <c r="N2904" s="16"/>
      <c r="O2904" s="11" t="str">
        <f>HYPERLINK("https://pbs.twimg.com/profile_images/674539776817500160/ruS8sKV4_normal.jpg","View")</f>
        <v>View</v>
      </c>
      <c r="P2904" s="15"/>
    </row>
    <row r="2905">
      <c r="A2905" s="7">
        <v>42426.37449074074</v>
      </c>
      <c r="B2905" s="8" t="str">
        <f>HYPERLINK("https://twitter.com/Googleulv","@Googleulv")</f>
        <v>@Googleulv</v>
      </c>
      <c r="C2905" s="10" t="s">
        <v>3913</v>
      </c>
      <c r="D2905" s="10" t="s">
        <v>5773</v>
      </c>
      <c r="E2905" s="11" t="str">
        <f>HYPERLINK("https://twitter.com/Googleulv/status/703263071901519872","703263071901519872")</f>
        <v>703263071901519872</v>
      </c>
      <c r="F2905" s="12" t="s">
        <v>1573</v>
      </c>
      <c r="G2905" s="13">
        <v>1039.0</v>
      </c>
      <c r="H2905" s="13">
        <v>754.0</v>
      </c>
      <c r="I2905" s="13">
        <v>2.0</v>
      </c>
      <c r="J2905" s="13">
        <v>0.0</v>
      </c>
      <c r="K2905" s="12" t="s">
        <v>21</v>
      </c>
      <c r="L2905" s="7">
        <v>39889.612164351856</v>
      </c>
      <c r="M2905" s="14" t="s">
        <v>3914</v>
      </c>
      <c r="N2905" s="14" t="s">
        <v>3915</v>
      </c>
      <c r="O2905" s="11" t="str">
        <f>HYPERLINK("https://pbs.twimg.com/profile_images/631872006645022720/C3D_WfIt_normal.jpg","View")</f>
        <v>View</v>
      </c>
      <c r="P2905" s="15"/>
    </row>
    <row r="2906">
      <c r="A2906" s="7">
        <v>42426.37486111111</v>
      </c>
      <c r="B2906" s="8" t="str">
        <f t="shared" ref="B2906:B2907" si="301">HYPERLINK("https://twitter.com/JoshuaLongUK","@JoshuaLongUK")</f>
        <v>@JoshuaLongUK</v>
      </c>
      <c r="C2906" s="10" t="s">
        <v>101</v>
      </c>
      <c r="D2906" s="10" t="s">
        <v>5938</v>
      </c>
      <c r="E2906" s="11" t="str">
        <f>HYPERLINK("https://twitter.com/JoshuaLongUK/status/703263203468451841","703263203468451841")</f>
        <v>703263203468451841</v>
      </c>
      <c r="F2906" s="12" t="s">
        <v>103</v>
      </c>
      <c r="G2906" s="13">
        <v>25832.0</v>
      </c>
      <c r="H2906" s="13">
        <v>93.0</v>
      </c>
      <c r="I2906" s="13">
        <v>0.0</v>
      </c>
      <c r="J2906" s="13">
        <v>0.0</v>
      </c>
      <c r="K2906" s="12" t="s">
        <v>21</v>
      </c>
      <c r="L2906" s="7">
        <v>41149.39659722222</v>
      </c>
      <c r="M2906" s="14" t="s">
        <v>104</v>
      </c>
      <c r="N2906" s="14" t="s">
        <v>105</v>
      </c>
      <c r="O2906" s="11" t="str">
        <f t="shared" ref="O2906:O2907" si="302">HYPERLINK("https://pbs.twimg.com/profile_images/627996138403168256/DaASdgVr_normal.jpg","View")</f>
        <v>View</v>
      </c>
      <c r="P2906" s="15"/>
    </row>
    <row r="2907">
      <c r="A2907" s="7">
        <v>42426.37486111111</v>
      </c>
      <c r="B2907" s="8" t="str">
        <f t="shared" si="301"/>
        <v>@JoshuaLongUK</v>
      </c>
      <c r="C2907" s="10" t="s">
        <v>101</v>
      </c>
      <c r="D2907" s="10" t="s">
        <v>5939</v>
      </c>
      <c r="E2907" s="11" t="str">
        <f>HYPERLINK("https://twitter.com/JoshuaLongUK/status/703263204479213569","703263204479213569")</f>
        <v>703263204479213569</v>
      </c>
      <c r="F2907" s="12" t="s">
        <v>103</v>
      </c>
      <c r="G2907" s="13">
        <v>25832.0</v>
      </c>
      <c r="H2907" s="13">
        <v>93.0</v>
      </c>
      <c r="I2907" s="13">
        <v>0.0</v>
      </c>
      <c r="J2907" s="13">
        <v>0.0</v>
      </c>
      <c r="K2907" s="12" t="s">
        <v>21</v>
      </c>
      <c r="L2907" s="7">
        <v>41149.39659722222</v>
      </c>
      <c r="M2907" s="14" t="s">
        <v>104</v>
      </c>
      <c r="N2907" s="14" t="s">
        <v>105</v>
      </c>
      <c r="O2907" s="11" t="str">
        <f t="shared" si="302"/>
        <v>View</v>
      </c>
      <c r="P2907" s="15"/>
    </row>
    <row r="2908">
      <c r="A2908" s="7">
        <v>42426.37509259259</v>
      </c>
      <c r="B2908" s="8" t="str">
        <f>HYPERLINK("https://twitter.com/ContinuumIO","@ContinuumIO")</f>
        <v>@ContinuumIO</v>
      </c>
      <c r="C2908" s="10" t="s">
        <v>2020</v>
      </c>
      <c r="D2908" s="10" t="s">
        <v>5940</v>
      </c>
      <c r="E2908" s="11" t="str">
        <f>HYPERLINK("https://twitter.com/ContinuumIO/status/703263286108655617","703263286108655617")</f>
        <v>703263286108655617</v>
      </c>
      <c r="F2908" s="12" t="s">
        <v>47</v>
      </c>
      <c r="G2908" s="13">
        <v>9548.0</v>
      </c>
      <c r="H2908" s="13">
        <v>1427.0</v>
      </c>
      <c r="I2908" s="13">
        <v>2.0</v>
      </c>
      <c r="J2908" s="13">
        <v>2.0</v>
      </c>
      <c r="K2908" s="12" t="s">
        <v>21</v>
      </c>
      <c r="L2908" s="7">
        <v>40841.34633101852</v>
      </c>
      <c r="M2908" s="14" t="s">
        <v>2022</v>
      </c>
      <c r="N2908" s="14" t="s">
        <v>2023</v>
      </c>
      <c r="O2908" s="11" t="str">
        <f>HYPERLINK("https://pbs.twimg.com/profile_images/624030560457850880/17LrFnZt_normal.png","View")</f>
        <v>View</v>
      </c>
      <c r="P2908" s="15"/>
    </row>
    <row r="2909">
      <c r="A2909" s="7">
        <v>42426.37510416667</v>
      </c>
      <c r="B2909" s="8" t="str">
        <f>HYPERLINK("https://twitter.com/AusBatAws","@AusBatAws")</f>
        <v>@AusBatAws</v>
      </c>
      <c r="C2909" s="10" t="s">
        <v>2470</v>
      </c>
      <c r="D2909" s="10" t="s">
        <v>5941</v>
      </c>
      <c r="E2909" s="11" t="str">
        <f>HYPERLINK("https://twitter.com/AusBatAws/status/703263290139525121","703263290139525121")</f>
        <v>703263290139525121</v>
      </c>
      <c r="F2909" s="12" t="s">
        <v>2472</v>
      </c>
      <c r="G2909" s="13">
        <v>69.0</v>
      </c>
      <c r="H2909" s="13">
        <v>274.0</v>
      </c>
      <c r="I2909" s="13">
        <v>0.0</v>
      </c>
      <c r="J2909" s="13">
        <v>0.0</v>
      </c>
      <c r="K2909" s="12" t="s">
        <v>21</v>
      </c>
      <c r="L2909" s="7">
        <v>42397.746296296296</v>
      </c>
      <c r="M2909" s="14" t="s">
        <v>2473</v>
      </c>
      <c r="N2909" s="14" t="s">
        <v>2474</v>
      </c>
      <c r="O2909" s="11" t="str">
        <f>HYPERLINK("https://pbs.twimg.com/profile_images/692891971745030150/clbtNhen_normal.jpg","View")</f>
        <v>View</v>
      </c>
      <c r="P2909" s="15"/>
    </row>
    <row r="2910">
      <c r="A2910" s="7">
        <v>42426.375543981485</v>
      </c>
      <c r="B2910" s="8" t="str">
        <f>HYPERLINK("https://twitter.com/ChiliConSeo","@ChiliConSeo")</f>
        <v>@ChiliConSeo</v>
      </c>
      <c r="C2910" s="10" t="s">
        <v>5942</v>
      </c>
      <c r="D2910" s="10" t="s">
        <v>5906</v>
      </c>
      <c r="E2910" s="11" t="str">
        <f>HYPERLINK("https://twitter.com/ChiliConSeo/status/703263450756206594","703263450756206594")</f>
        <v>703263450756206594</v>
      </c>
      <c r="F2910" s="12" t="s">
        <v>20</v>
      </c>
      <c r="G2910" s="13">
        <v>901.0</v>
      </c>
      <c r="H2910" s="13">
        <v>92.0</v>
      </c>
      <c r="I2910" s="13">
        <v>2.0</v>
      </c>
      <c r="J2910" s="13">
        <v>0.0</v>
      </c>
      <c r="K2910" s="12" t="s">
        <v>21</v>
      </c>
      <c r="L2910" s="7">
        <v>40093.31866898148</v>
      </c>
      <c r="M2910" s="14" t="s">
        <v>5943</v>
      </c>
      <c r="N2910" s="14" t="s">
        <v>5944</v>
      </c>
      <c r="O2910" s="11" t="str">
        <f>HYPERLINK("https://pbs.twimg.com/profile_images/1189992518/llama1_normal.jpg","View")</f>
        <v>View</v>
      </c>
      <c r="P2910" s="15"/>
    </row>
    <row r="2911">
      <c r="A2911" s="7">
        <v>42426.37578703703</v>
      </c>
      <c r="B2911" s="8" t="str">
        <f>HYPERLINK("https://twitter.com/Dataversity","@Dataversity")</f>
        <v>@Dataversity</v>
      </c>
      <c r="C2911" s="10" t="s">
        <v>5945</v>
      </c>
      <c r="D2911" s="10" t="s">
        <v>5946</v>
      </c>
      <c r="E2911" s="11" t="str">
        <f>HYPERLINK("https://twitter.com/Dataversity/status/703263541109911553","703263541109911553")</f>
        <v>703263541109911553</v>
      </c>
      <c r="F2911" s="12" t="s">
        <v>659</v>
      </c>
      <c r="G2911" s="13">
        <v>8097.0</v>
      </c>
      <c r="H2911" s="13">
        <v>4248.0</v>
      </c>
      <c r="I2911" s="13">
        <v>0.0</v>
      </c>
      <c r="J2911" s="13">
        <v>2.0</v>
      </c>
      <c r="K2911" s="12" t="s">
        <v>21</v>
      </c>
      <c r="L2911" s="7">
        <v>40605.64268518519</v>
      </c>
      <c r="M2911" s="16"/>
      <c r="N2911" s="14" t="s">
        <v>5947</v>
      </c>
      <c r="O2911" s="11" t="str">
        <f>HYPERLINK("https://pbs.twimg.com/profile_images/1286039423/DataversityIcon_300px_normal.jpg","View")</f>
        <v>View</v>
      </c>
      <c r="P2911" s="15"/>
    </row>
    <row r="2912">
      <c r="A2912" s="7">
        <v>42426.376875</v>
      </c>
      <c r="B2912" s="8" t="str">
        <f>HYPERLINK("https://twitter.com/datascienceplus","@datascienceplus")</f>
        <v>@datascienceplus</v>
      </c>
      <c r="C2912" s="10" t="s">
        <v>5948</v>
      </c>
      <c r="D2912" s="10" t="s">
        <v>5949</v>
      </c>
      <c r="E2912" s="11" t="str">
        <f>HYPERLINK("https://twitter.com/datascienceplus/status/703263934275526656","703263934275526656")</f>
        <v>703263934275526656</v>
      </c>
      <c r="F2912" s="12" t="s">
        <v>52</v>
      </c>
      <c r="G2912" s="13">
        <v>250.0</v>
      </c>
      <c r="H2912" s="13">
        <v>321.0</v>
      </c>
      <c r="I2912" s="13">
        <v>2.0</v>
      </c>
      <c r="J2912" s="13">
        <v>0.0</v>
      </c>
      <c r="K2912" s="12" t="s">
        <v>21</v>
      </c>
      <c r="L2912" s="7">
        <v>42225.01311342593</v>
      </c>
      <c r="M2912" s="14" t="s">
        <v>5950</v>
      </c>
      <c r="N2912" s="14" t="s">
        <v>5951</v>
      </c>
      <c r="O2912" s="11" t="str">
        <f>HYPERLINK("https://pbs.twimg.com/profile_images/630277871538278400/gEjxWtPD_normal.jpg","View")</f>
        <v>View</v>
      </c>
      <c r="P2912" s="15"/>
    </row>
    <row r="2913">
      <c r="A2913" s="7">
        <v>42426.377233796295</v>
      </c>
      <c r="B2913" s="8" t="str">
        <f>HYPERLINK("https://twitter.com/IntersysConsult","@IntersysConsult")</f>
        <v>@IntersysConsult</v>
      </c>
      <c r="C2913" s="10" t="s">
        <v>1795</v>
      </c>
      <c r="D2913" s="10" t="s">
        <v>1796</v>
      </c>
      <c r="E2913" s="11" t="str">
        <f>HYPERLINK("https://twitter.com/IntersysConsult/status/703264065020424192","703264065020424192")</f>
        <v>703264065020424192</v>
      </c>
      <c r="F2913" s="12" t="s">
        <v>1797</v>
      </c>
      <c r="G2913" s="13">
        <v>282.0</v>
      </c>
      <c r="H2913" s="13">
        <v>538.0</v>
      </c>
      <c r="I2913" s="13">
        <v>0.0</v>
      </c>
      <c r="J2913" s="13">
        <v>4.0</v>
      </c>
      <c r="K2913" s="12" t="s">
        <v>21</v>
      </c>
      <c r="L2913" s="7">
        <v>39890.37498842592</v>
      </c>
      <c r="M2913" s="14" t="s">
        <v>1798</v>
      </c>
      <c r="N2913" s="14" t="s">
        <v>1799</v>
      </c>
      <c r="O2913" s="11" t="str">
        <f>HYPERLINK("https://pbs.twimg.com/profile_images/679044724620001280/uEmFrBJz_normal.png","View")</f>
        <v>View</v>
      </c>
      <c r="P2913" s="15"/>
    </row>
    <row r="2914">
      <c r="A2914" s="7">
        <v>42426.378067129626</v>
      </c>
      <c r="B2914" s="8" t="str">
        <f>HYPERLINK("https://twitter.com/sam_et_max","@sam_et_max")</f>
        <v>@sam_et_max</v>
      </c>
      <c r="C2914" s="10" t="s">
        <v>134</v>
      </c>
      <c r="D2914" s="10" t="s">
        <v>427</v>
      </c>
      <c r="E2914" s="11" t="str">
        <f>HYPERLINK("https://twitter.com/sam_et_max/status/703264366175584256","703264366175584256")</f>
        <v>703264366175584256</v>
      </c>
      <c r="F2914" s="12" t="s">
        <v>20</v>
      </c>
      <c r="G2914" s="13">
        <v>2277.0</v>
      </c>
      <c r="H2914" s="13">
        <v>0.0</v>
      </c>
      <c r="I2914" s="13">
        <v>7.0</v>
      </c>
      <c r="J2914" s="13">
        <v>0.0</v>
      </c>
      <c r="K2914" s="12" t="s">
        <v>21</v>
      </c>
      <c r="L2914" s="7">
        <v>40967.05353009259</v>
      </c>
      <c r="M2914" s="16"/>
      <c r="N2914" s="14" t="s">
        <v>135</v>
      </c>
      <c r="O2914" s="11" t="str">
        <f>HYPERLINK("https://pbs.twimg.com/profile_images/1859873928/img_Dog-and-rabbit_Thomas-SCHWEIZER_ref_150.001844.00_mode_zoom_normal.jpg","View")</f>
        <v>View</v>
      </c>
      <c r="P2914" s="15"/>
    </row>
    <row r="2915">
      <c r="A2915" s="7">
        <v>42426.378379629634</v>
      </c>
      <c r="B2915" s="8" t="str">
        <f>HYPERLINK("https://twitter.com/Mk_on_line","@Mk_on_line")</f>
        <v>@Mk_on_line</v>
      </c>
      <c r="C2915" s="10" t="s">
        <v>5952</v>
      </c>
      <c r="D2915" s="10" t="s">
        <v>5953</v>
      </c>
      <c r="E2915" s="11" t="str">
        <f>HYPERLINK("https://twitter.com/Mk_on_line/status/703264477920280576","703264477920280576")</f>
        <v>703264477920280576</v>
      </c>
      <c r="F2915" s="12" t="s">
        <v>5709</v>
      </c>
      <c r="G2915" s="13">
        <v>2320.0</v>
      </c>
      <c r="H2915" s="13">
        <v>222.0</v>
      </c>
      <c r="I2915" s="13">
        <v>0.0</v>
      </c>
      <c r="J2915" s="13">
        <v>0.0</v>
      </c>
      <c r="K2915" s="12" t="s">
        <v>21</v>
      </c>
      <c r="L2915" s="7">
        <v>42357.54190972222</v>
      </c>
      <c r="M2915" s="14" t="s">
        <v>5954</v>
      </c>
      <c r="N2915" s="14" t="s">
        <v>5955</v>
      </c>
      <c r="O2915" s="11" t="str">
        <f>HYPERLINK("https://pbs.twimg.com/profile_images/678319671586791424/PjJkcShY_normal.jpg","View")</f>
        <v>View</v>
      </c>
      <c r="P2915" s="15"/>
    </row>
    <row r="2916">
      <c r="A2916" s="7">
        <v>42426.37841435186</v>
      </c>
      <c r="B2916" s="8" t="str">
        <f>HYPERLINK("https://twitter.com/kutu7_","@kutu7_")</f>
        <v>@kutu7_</v>
      </c>
      <c r="C2916" s="10" t="s">
        <v>5956</v>
      </c>
      <c r="D2916" s="10" t="s">
        <v>5957</v>
      </c>
      <c r="E2916" s="11" t="str">
        <f>HYPERLINK("https://twitter.com/kutu7_/status/703264492625403904","703264492625403904")</f>
        <v>703264492625403904</v>
      </c>
      <c r="F2916" s="12" t="s">
        <v>152</v>
      </c>
      <c r="G2916" s="13">
        <v>6.0</v>
      </c>
      <c r="H2916" s="13">
        <v>133.0</v>
      </c>
      <c r="I2916" s="13">
        <v>1.0</v>
      </c>
      <c r="J2916" s="13">
        <v>0.0</v>
      </c>
      <c r="K2916" s="12" t="s">
        <v>21</v>
      </c>
      <c r="L2916" s="7">
        <v>41389.20340277778</v>
      </c>
      <c r="M2916" s="16"/>
      <c r="N2916" s="14" t="s">
        <v>5958</v>
      </c>
      <c r="O2916" s="11" t="str">
        <f>HYPERLINK("https://pbs.twimg.com/profile_images/691425075094917120/VXfLU1A__normal.jpg","View")</f>
        <v>View</v>
      </c>
      <c r="P2916" s="15"/>
    </row>
    <row r="2917">
      <c r="A2917" s="7">
        <v>42426.37844907407</v>
      </c>
      <c r="B2917" s="8" t="str">
        <f t="shared" ref="B2917:B2918" si="303">HYPERLINK("https://twitter.com/wp_mais","@wp_mais")</f>
        <v>@wp_mais</v>
      </c>
      <c r="C2917" s="10" t="s">
        <v>1812</v>
      </c>
      <c r="D2917" s="10" t="s">
        <v>5959</v>
      </c>
      <c r="E2917" s="11" t="str">
        <f>HYPERLINK("https://twitter.com/wp_mais/status/703264503421603840","703264503421603840")</f>
        <v>703264503421603840</v>
      </c>
      <c r="F2917" s="12" t="s">
        <v>659</v>
      </c>
      <c r="G2917" s="13">
        <v>2154.0</v>
      </c>
      <c r="H2917" s="13">
        <v>106.0</v>
      </c>
      <c r="I2917" s="13">
        <v>1.0</v>
      </c>
      <c r="J2917" s="13">
        <v>0.0</v>
      </c>
      <c r="K2917" s="12" t="s">
        <v>21</v>
      </c>
      <c r="L2917" s="7">
        <v>41679.389074074075</v>
      </c>
      <c r="M2917" s="16"/>
      <c r="N2917" s="14" t="s">
        <v>1814</v>
      </c>
      <c r="O2917" s="11" t="str">
        <f t="shared" ref="O2917:O2918" si="304">HYPERLINK("https://pbs.twimg.com/profile_images/639069014099120128/yiidEDJN_normal.jpg","View")</f>
        <v>View</v>
      </c>
      <c r="P2917" s="15"/>
    </row>
    <row r="2918">
      <c r="A2918" s="7">
        <v>42426.37844907407</v>
      </c>
      <c r="B2918" s="8" t="str">
        <f t="shared" si="303"/>
        <v>@wp_mais</v>
      </c>
      <c r="C2918" s="10" t="s">
        <v>1812</v>
      </c>
      <c r="D2918" s="10" t="s">
        <v>5960</v>
      </c>
      <c r="E2918" s="11" t="str">
        <f>HYPERLINK("https://twitter.com/wp_mais/status/703264504570839040","703264504570839040")</f>
        <v>703264504570839040</v>
      </c>
      <c r="F2918" s="12" t="s">
        <v>659</v>
      </c>
      <c r="G2918" s="13">
        <v>2154.0</v>
      </c>
      <c r="H2918" s="13">
        <v>106.0</v>
      </c>
      <c r="I2918" s="13">
        <v>0.0</v>
      </c>
      <c r="J2918" s="13">
        <v>0.0</v>
      </c>
      <c r="K2918" s="12" t="s">
        <v>21</v>
      </c>
      <c r="L2918" s="7">
        <v>41679.389074074075</v>
      </c>
      <c r="M2918" s="16"/>
      <c r="N2918" s="14" t="s">
        <v>1814</v>
      </c>
      <c r="O2918" s="11" t="str">
        <f t="shared" si="304"/>
        <v>View</v>
      </c>
      <c r="P2918" s="15"/>
    </row>
    <row r="2919">
      <c r="A2919" s="7">
        <v>42426.37862268518</v>
      </c>
      <c r="B2919" s="8" t="str">
        <f>HYPERLINK("https://twitter.com/jadsonx","@jadsonx")</f>
        <v>@jadsonx</v>
      </c>
      <c r="C2919" s="10" t="s">
        <v>5961</v>
      </c>
      <c r="D2919" s="10" t="s">
        <v>5962</v>
      </c>
      <c r="E2919" s="11" t="str">
        <f>HYPERLINK("https://twitter.com/jadsonx/status/703264566986317824","703264566986317824")</f>
        <v>703264566986317824</v>
      </c>
      <c r="F2919" s="12" t="s">
        <v>124</v>
      </c>
      <c r="G2919" s="13">
        <v>292.0</v>
      </c>
      <c r="H2919" s="13">
        <v>715.0</v>
      </c>
      <c r="I2919" s="13">
        <v>1.0</v>
      </c>
      <c r="J2919" s="13">
        <v>0.0</v>
      </c>
      <c r="K2919" s="12" t="s">
        <v>21</v>
      </c>
      <c r="L2919" s="7">
        <v>40023.50033564815</v>
      </c>
      <c r="M2919" s="14" t="s">
        <v>5963</v>
      </c>
      <c r="N2919" s="14" t="s">
        <v>5964</v>
      </c>
      <c r="O2919" s="11" t="str">
        <f>HYPERLINK("https://pbs.twimg.com/profile_images/701215579642925056/ILCse2bn_normal.jpg","View")</f>
        <v>View</v>
      </c>
      <c r="P2919" s="15"/>
    </row>
    <row r="2920">
      <c r="A2920" s="7">
        <v>42426.37922453704</v>
      </c>
      <c r="B2920" s="8" t="str">
        <f>HYPERLINK("https://twitter.com/importpython","@importpython")</f>
        <v>@importpython</v>
      </c>
      <c r="C2920" s="10" t="s">
        <v>2536</v>
      </c>
      <c r="D2920" s="10" t="s">
        <v>2537</v>
      </c>
      <c r="E2920" s="11" t="str">
        <f>HYPERLINK("https://twitter.com/importpython/status/703264785761107968","703264785761107968")</f>
        <v>703264785761107968</v>
      </c>
      <c r="F2920" s="12" t="s">
        <v>2538</v>
      </c>
      <c r="G2920" s="13">
        <v>1603.0</v>
      </c>
      <c r="H2920" s="13">
        <v>498.0</v>
      </c>
      <c r="I2920" s="13">
        <v>1.0</v>
      </c>
      <c r="J2920" s="13">
        <v>0.0</v>
      </c>
      <c r="K2920" s="12" t="s">
        <v>21</v>
      </c>
      <c r="L2920" s="7">
        <v>41912.04583333334</v>
      </c>
      <c r="M2920" s="14" t="s">
        <v>432</v>
      </c>
      <c r="N2920" s="14" t="s">
        <v>2539</v>
      </c>
      <c r="O2920" s="11" t="str">
        <f>HYPERLINK("https://pbs.twimg.com/profile_images/518108253121552384/ClpFqPbX_normal.png","View")</f>
        <v>View</v>
      </c>
      <c r="P2920" s="15"/>
    </row>
    <row r="2921">
      <c r="A2921" s="7">
        <v>42426.380798611106</v>
      </c>
      <c r="B2921" s="8" t="str">
        <f>HYPERLINK("https://twitter.com/ITCareerCoach","@ITCareerCoach")</f>
        <v>@ITCareerCoach</v>
      </c>
      <c r="C2921" s="10" t="s">
        <v>5965</v>
      </c>
      <c r="D2921" s="10" t="s">
        <v>5966</v>
      </c>
      <c r="E2921" s="11" t="str">
        <f>HYPERLINK("https://twitter.com/ITCareerCoach/status/703265356119306240","703265356119306240")</f>
        <v>703265356119306240</v>
      </c>
      <c r="F2921" s="12" t="s">
        <v>5967</v>
      </c>
      <c r="G2921" s="13">
        <v>4413.0</v>
      </c>
      <c r="H2921" s="13">
        <v>2038.0</v>
      </c>
      <c r="I2921" s="13">
        <v>1.0</v>
      </c>
      <c r="J2921" s="13">
        <v>0.0</v>
      </c>
      <c r="K2921" s="12" t="s">
        <v>21</v>
      </c>
      <c r="L2921" s="7">
        <v>39868.72677083333</v>
      </c>
      <c r="M2921" s="14" t="s">
        <v>5968</v>
      </c>
      <c r="N2921" s="14" t="s">
        <v>5969</v>
      </c>
      <c r="O2921" s="11" t="str">
        <f>HYPERLINK("https://pbs.twimg.com/profile_images/428498771173847040/wsJxaG0V_normal.jpeg","View")</f>
        <v>View</v>
      </c>
      <c r="P2921" s="15"/>
    </row>
    <row r="2922">
      <c r="A2922" s="7">
        <v>42426.38146990741</v>
      </c>
      <c r="B2922" s="8" t="str">
        <f>HYPERLINK("https://twitter.com/nolddor","@nolddor")</f>
        <v>@nolddor</v>
      </c>
      <c r="C2922" s="10" t="s">
        <v>5970</v>
      </c>
      <c r="D2922" s="10" t="s">
        <v>4838</v>
      </c>
      <c r="E2922" s="11" t="str">
        <f>HYPERLINK("https://twitter.com/nolddor/status/703265599795945472","703265599795945472")</f>
        <v>703265599795945472</v>
      </c>
      <c r="F2922" s="12" t="s">
        <v>152</v>
      </c>
      <c r="G2922" s="13">
        <v>166.0</v>
      </c>
      <c r="H2922" s="13">
        <v>85.0</v>
      </c>
      <c r="I2922" s="13">
        <v>9.0</v>
      </c>
      <c r="J2922" s="13">
        <v>0.0</v>
      </c>
      <c r="K2922" s="12" t="s">
        <v>21</v>
      </c>
      <c r="L2922" s="7">
        <v>40593.51131944444</v>
      </c>
      <c r="M2922" s="14" t="s">
        <v>5971</v>
      </c>
      <c r="N2922" s="14" t="s">
        <v>5972</v>
      </c>
      <c r="O2922" s="11" t="str">
        <f>HYPERLINK("https://pbs.twimg.com/profile_images/629752699815395331/5FeHw0-Y_normal.png","View")</f>
        <v>View</v>
      </c>
      <c r="P2922" s="15"/>
    </row>
    <row r="2923">
      <c r="A2923" s="7">
        <v>42426.382627314815</v>
      </c>
      <c r="B2923" s="8" t="str">
        <f>HYPERLINK("https://twitter.com/IGSoldiersCoach","@IGSoldiersCoach")</f>
        <v>@IGSoldiersCoach</v>
      </c>
      <c r="C2923" s="10" t="s">
        <v>5973</v>
      </c>
      <c r="D2923" s="10" t="s">
        <v>5974</v>
      </c>
      <c r="E2923" s="11" t="str">
        <f>HYPERLINK("https://twitter.com/IGSoldiersCoach/status/703266017875591169","703266017875591169")</f>
        <v>703266017875591169</v>
      </c>
      <c r="F2923" s="12" t="s">
        <v>52</v>
      </c>
      <c r="G2923" s="13">
        <v>2439.0</v>
      </c>
      <c r="H2923" s="13">
        <v>3361.0</v>
      </c>
      <c r="I2923" s="13">
        <v>1.0</v>
      </c>
      <c r="J2923" s="13">
        <v>5.0</v>
      </c>
      <c r="K2923" s="12" t="s">
        <v>21</v>
      </c>
      <c r="L2923" s="7">
        <v>41393.38466435185</v>
      </c>
      <c r="M2923" s="14" t="s">
        <v>5975</v>
      </c>
      <c r="N2923" s="14" t="s">
        <v>5976</v>
      </c>
      <c r="O2923" s="11" t="str">
        <f>HYPERLINK("https://pbs.twimg.com/profile_images/699328100979453952/oiwcp_wz_normal.jpg","View")</f>
        <v>View</v>
      </c>
      <c r="P2923" s="15"/>
    </row>
    <row r="2924">
      <c r="A2924" s="7">
        <v>42426.38350694445</v>
      </c>
      <c r="B2924" s="8" t="str">
        <f>HYPERLINK("https://twitter.com/DataHour","@DataHour")</f>
        <v>@DataHour</v>
      </c>
      <c r="C2924" s="10" t="s">
        <v>5977</v>
      </c>
      <c r="D2924" s="10" t="s">
        <v>5978</v>
      </c>
      <c r="E2924" s="11" t="str">
        <f>HYPERLINK("https://twitter.com/DataHour/status/703266338027020289","703266338027020289")</f>
        <v>703266338027020289</v>
      </c>
      <c r="F2924" s="12" t="s">
        <v>1797</v>
      </c>
      <c r="G2924" s="13">
        <v>699.0</v>
      </c>
      <c r="H2924" s="13">
        <v>1450.0</v>
      </c>
      <c r="I2924" s="13">
        <v>1.0</v>
      </c>
      <c r="J2924" s="13">
        <v>0.0</v>
      </c>
      <c r="K2924" s="12" t="s">
        <v>21</v>
      </c>
      <c r="L2924" s="7">
        <v>42360.146469907406</v>
      </c>
      <c r="M2924" s="16"/>
      <c r="N2924" s="14" t="s">
        <v>5979</v>
      </c>
      <c r="O2924" s="11" t="str">
        <f>HYPERLINK("https://pbs.twimg.com/profile_images/679728009021100032/Ba12ruC2_normal.jpg","View")</f>
        <v>View</v>
      </c>
      <c r="P2924" s="15"/>
    </row>
    <row r="2925">
      <c r="A2925" s="7">
        <v>42426.38403935185</v>
      </c>
      <c r="B2925" s="8" t="str">
        <f>HYPERLINK("https://twitter.com/yprez","@yprez")</f>
        <v>@yprez</v>
      </c>
      <c r="C2925" s="10" t="s">
        <v>2046</v>
      </c>
      <c r="D2925" s="10" t="s">
        <v>5980</v>
      </c>
      <c r="E2925" s="11" t="str">
        <f>HYPERLINK("https://twitter.com/yprez/status/703266528402214912","703266528402214912")</f>
        <v>703266528402214912</v>
      </c>
      <c r="F2925" s="12" t="s">
        <v>2048</v>
      </c>
      <c r="G2925" s="13">
        <v>3692.0</v>
      </c>
      <c r="H2925" s="13">
        <v>3509.0</v>
      </c>
      <c r="I2925" s="13">
        <v>1.0</v>
      </c>
      <c r="J2925" s="13">
        <v>5.0</v>
      </c>
      <c r="K2925" s="12" t="s">
        <v>21</v>
      </c>
      <c r="L2925" s="7">
        <v>40559.40515046296</v>
      </c>
      <c r="M2925" s="14" t="s">
        <v>2049</v>
      </c>
      <c r="N2925" s="14" t="s">
        <v>2050</v>
      </c>
      <c r="O2925" s="11" t="str">
        <f>HYPERLINK("https://pbs.twimg.com/profile_images/1466129811/p_normal.png","View")</f>
        <v>View</v>
      </c>
      <c r="P2925" s="15"/>
    </row>
    <row r="2926">
      <c r="A2926" s="7">
        <v>42426.38520833333</v>
      </c>
      <c r="B2926" s="8" t="str">
        <f>HYPERLINK("https://twitter.com/wootsbot","@wootsbot")</f>
        <v>@wootsbot</v>
      </c>
      <c r="C2926" s="10" t="s">
        <v>5981</v>
      </c>
      <c r="D2926" s="10" t="s">
        <v>5982</v>
      </c>
      <c r="E2926" s="11" t="str">
        <f>HYPERLINK("https://twitter.com/wootsbot/status/703266953939390464","703266953939390464")</f>
        <v>703266953939390464</v>
      </c>
      <c r="F2926" s="12" t="s">
        <v>152</v>
      </c>
      <c r="G2926" s="13">
        <v>49.0</v>
      </c>
      <c r="H2926" s="13">
        <v>151.0</v>
      </c>
      <c r="I2926" s="13">
        <v>3.0</v>
      </c>
      <c r="J2926" s="13">
        <v>0.0</v>
      </c>
      <c r="K2926" s="12" t="s">
        <v>21</v>
      </c>
      <c r="L2926" s="7">
        <v>41107.640601851854</v>
      </c>
      <c r="M2926" s="16"/>
      <c r="N2926" s="14" t="s">
        <v>5983</v>
      </c>
      <c r="O2926" s="11" t="str">
        <f>HYPERLINK("https://pbs.twimg.com/profile_images/701050003368726528/EdQPw0Fb_normal.jpg","View")</f>
        <v>View</v>
      </c>
      <c r="P2926" s="15"/>
    </row>
    <row r="2927">
      <c r="A2927" s="7">
        <v>42426.38540509259</v>
      </c>
      <c r="B2927" s="8" t="str">
        <f>HYPERLINK("https://twitter.com/programmingncr","@programmingncr")</f>
        <v>@programmingncr</v>
      </c>
      <c r="C2927" s="10" t="s">
        <v>262</v>
      </c>
      <c r="D2927" s="10" t="s">
        <v>5984</v>
      </c>
      <c r="E2927" s="11" t="str">
        <f>HYPERLINK("https://twitter.com/programmingncr/status/703267025720905729","703267025720905729")</f>
        <v>703267025720905729</v>
      </c>
      <c r="F2927" s="12" t="s">
        <v>103</v>
      </c>
      <c r="G2927" s="13">
        <v>328.0</v>
      </c>
      <c r="H2927" s="13">
        <v>99.0</v>
      </c>
      <c r="I2927" s="13">
        <v>0.0</v>
      </c>
      <c r="J2927" s="13">
        <v>0.0</v>
      </c>
      <c r="K2927" s="12" t="s">
        <v>21</v>
      </c>
      <c r="L2927" s="7">
        <v>42220.86634259259</v>
      </c>
      <c r="M2927" s="14" t="s">
        <v>264</v>
      </c>
      <c r="N2927" s="14" t="s">
        <v>265</v>
      </c>
      <c r="O2927" s="11" t="str">
        <f>HYPERLINK("https://pbs.twimg.com/profile_images/662602436222193664/qKuvsfnG_normal.jpg","View")</f>
        <v>View</v>
      </c>
      <c r="P2927" s="15"/>
    </row>
    <row r="2928">
      <c r="A2928" s="7">
        <v>42426.38556712963</v>
      </c>
      <c r="B2928" s="8" t="str">
        <f t="shared" ref="B2928:B2937" si="305">HYPERLINK("https://twitter.com/artwisanggeni","@artwisanggeni")</f>
        <v>@artwisanggeni</v>
      </c>
      <c r="C2928" s="10" t="s">
        <v>74</v>
      </c>
      <c r="D2928" s="10" t="s">
        <v>5985</v>
      </c>
      <c r="E2928" s="11" t="str">
        <f>HYPERLINK("https://twitter.com/artwisanggeni/status/703267081903419393","703267081903419393")</f>
        <v>703267081903419393</v>
      </c>
      <c r="F2928" s="17" t="s">
        <v>76</v>
      </c>
      <c r="G2928" s="13">
        <v>236.0</v>
      </c>
      <c r="H2928" s="13">
        <v>61.0</v>
      </c>
      <c r="I2928" s="13">
        <v>0.0</v>
      </c>
      <c r="J2928" s="13">
        <v>0.0</v>
      </c>
      <c r="K2928" s="12" t="s">
        <v>21</v>
      </c>
      <c r="L2928" s="7">
        <v>41218.90608796296</v>
      </c>
      <c r="M2928" s="14" t="s">
        <v>77</v>
      </c>
      <c r="N2928" s="14" t="s">
        <v>78</v>
      </c>
      <c r="O2928" s="11" t="str">
        <f t="shared" ref="O2928:O2937" si="306">HYPERLINK("https://pbs.twimg.com/profile_images/2813636657/599521f69e2bc210a57323b64d8e39e6_normal.jpeg","View")</f>
        <v>View</v>
      </c>
      <c r="P2928" s="15"/>
    </row>
    <row r="2929">
      <c r="A2929" s="7">
        <v>42426.3855787037</v>
      </c>
      <c r="B2929" s="8" t="str">
        <f t="shared" si="305"/>
        <v>@artwisanggeni</v>
      </c>
      <c r="C2929" s="10" t="s">
        <v>74</v>
      </c>
      <c r="D2929" s="10" t="s">
        <v>5986</v>
      </c>
      <c r="E2929" s="11" t="str">
        <f>HYPERLINK("https://twitter.com/artwisanggeni/status/703267086626213888","703267086626213888")</f>
        <v>703267086626213888</v>
      </c>
      <c r="F2929" s="17" t="s">
        <v>76</v>
      </c>
      <c r="G2929" s="13">
        <v>236.0</v>
      </c>
      <c r="H2929" s="13">
        <v>61.0</v>
      </c>
      <c r="I2929" s="13">
        <v>0.0</v>
      </c>
      <c r="J2929" s="13">
        <v>0.0</v>
      </c>
      <c r="K2929" s="12" t="s">
        <v>21</v>
      </c>
      <c r="L2929" s="7">
        <v>41218.90608796296</v>
      </c>
      <c r="M2929" s="14" t="s">
        <v>77</v>
      </c>
      <c r="N2929" s="14" t="s">
        <v>78</v>
      </c>
      <c r="O2929" s="11" t="str">
        <f t="shared" si="306"/>
        <v>View</v>
      </c>
      <c r="P2929" s="15"/>
    </row>
    <row r="2930">
      <c r="A2930" s="7">
        <v>42426.38559027778</v>
      </c>
      <c r="B2930" s="8" t="str">
        <f t="shared" si="305"/>
        <v>@artwisanggeni</v>
      </c>
      <c r="C2930" s="10" t="s">
        <v>74</v>
      </c>
      <c r="D2930" s="10" t="s">
        <v>5987</v>
      </c>
      <c r="E2930" s="11" t="str">
        <f>HYPERLINK("https://twitter.com/artwisanggeni/status/703267093370699776","703267093370699776")</f>
        <v>703267093370699776</v>
      </c>
      <c r="F2930" s="17" t="s">
        <v>76</v>
      </c>
      <c r="G2930" s="13">
        <v>236.0</v>
      </c>
      <c r="H2930" s="13">
        <v>61.0</v>
      </c>
      <c r="I2930" s="13">
        <v>0.0</v>
      </c>
      <c r="J2930" s="13">
        <v>0.0</v>
      </c>
      <c r="K2930" s="12" t="s">
        <v>21</v>
      </c>
      <c r="L2930" s="7">
        <v>41218.90608796296</v>
      </c>
      <c r="M2930" s="14" t="s">
        <v>77</v>
      </c>
      <c r="N2930" s="14" t="s">
        <v>78</v>
      </c>
      <c r="O2930" s="11" t="str">
        <f t="shared" si="306"/>
        <v>View</v>
      </c>
      <c r="P2930" s="15"/>
    </row>
    <row r="2931">
      <c r="A2931" s="7">
        <v>42426.385601851856</v>
      </c>
      <c r="B2931" s="8" t="str">
        <f t="shared" si="305"/>
        <v>@artwisanggeni</v>
      </c>
      <c r="C2931" s="10" t="s">
        <v>74</v>
      </c>
      <c r="D2931" s="10" t="s">
        <v>5988</v>
      </c>
      <c r="E2931" s="11" t="str">
        <f>HYPERLINK("https://twitter.com/artwisanggeni/status/703267098101837824","703267098101837824")</f>
        <v>703267098101837824</v>
      </c>
      <c r="F2931" s="17" t="s">
        <v>76</v>
      </c>
      <c r="G2931" s="13">
        <v>236.0</v>
      </c>
      <c r="H2931" s="13">
        <v>61.0</v>
      </c>
      <c r="I2931" s="13">
        <v>0.0</v>
      </c>
      <c r="J2931" s="13">
        <v>0.0</v>
      </c>
      <c r="K2931" s="12" t="s">
        <v>21</v>
      </c>
      <c r="L2931" s="7">
        <v>41218.90608796296</v>
      </c>
      <c r="M2931" s="14" t="s">
        <v>77</v>
      </c>
      <c r="N2931" s="14" t="s">
        <v>78</v>
      </c>
      <c r="O2931" s="11" t="str">
        <f t="shared" si="306"/>
        <v>View</v>
      </c>
      <c r="P2931" s="15"/>
    </row>
    <row r="2932">
      <c r="A2932" s="7">
        <v>42426.385613425926</v>
      </c>
      <c r="B2932" s="8" t="str">
        <f t="shared" si="305"/>
        <v>@artwisanggeni</v>
      </c>
      <c r="C2932" s="10" t="s">
        <v>74</v>
      </c>
      <c r="D2932" s="10" t="s">
        <v>5989</v>
      </c>
      <c r="E2932" s="11" t="str">
        <f>HYPERLINK("https://twitter.com/artwisanggeni/status/703267102472302592","703267102472302592")</f>
        <v>703267102472302592</v>
      </c>
      <c r="F2932" s="17" t="s">
        <v>76</v>
      </c>
      <c r="G2932" s="13">
        <v>236.0</v>
      </c>
      <c r="H2932" s="13">
        <v>61.0</v>
      </c>
      <c r="I2932" s="13">
        <v>0.0</v>
      </c>
      <c r="J2932" s="13">
        <v>0.0</v>
      </c>
      <c r="K2932" s="12" t="s">
        <v>21</v>
      </c>
      <c r="L2932" s="7">
        <v>41218.90608796296</v>
      </c>
      <c r="M2932" s="14" t="s">
        <v>77</v>
      </c>
      <c r="N2932" s="14" t="s">
        <v>78</v>
      </c>
      <c r="O2932" s="11" t="str">
        <f t="shared" si="306"/>
        <v>View</v>
      </c>
      <c r="P2932" s="15"/>
    </row>
    <row r="2933">
      <c r="A2933" s="7">
        <v>42426.385624999995</v>
      </c>
      <c r="B2933" s="8" t="str">
        <f t="shared" si="305"/>
        <v>@artwisanggeni</v>
      </c>
      <c r="C2933" s="10" t="s">
        <v>74</v>
      </c>
      <c r="D2933" s="10" t="s">
        <v>5990</v>
      </c>
      <c r="E2933" s="11" t="str">
        <f>HYPERLINK("https://twitter.com/artwisanggeni/status/703267106192687104","703267106192687104")</f>
        <v>703267106192687104</v>
      </c>
      <c r="F2933" s="17" t="s">
        <v>76</v>
      </c>
      <c r="G2933" s="13">
        <v>236.0</v>
      </c>
      <c r="H2933" s="13">
        <v>61.0</v>
      </c>
      <c r="I2933" s="13">
        <v>0.0</v>
      </c>
      <c r="J2933" s="13">
        <v>0.0</v>
      </c>
      <c r="K2933" s="12" t="s">
        <v>21</v>
      </c>
      <c r="L2933" s="7">
        <v>41218.90608796296</v>
      </c>
      <c r="M2933" s="14" t="s">
        <v>77</v>
      </c>
      <c r="N2933" s="14" t="s">
        <v>78</v>
      </c>
      <c r="O2933" s="11" t="str">
        <f t="shared" si="306"/>
        <v>View</v>
      </c>
      <c r="P2933" s="15"/>
    </row>
    <row r="2934">
      <c r="A2934" s="7">
        <v>42426.38563657408</v>
      </c>
      <c r="B2934" s="8" t="str">
        <f t="shared" si="305"/>
        <v>@artwisanggeni</v>
      </c>
      <c r="C2934" s="10" t="s">
        <v>74</v>
      </c>
      <c r="D2934" s="10" t="s">
        <v>5991</v>
      </c>
      <c r="E2934" s="11" t="str">
        <f>HYPERLINK("https://twitter.com/artwisanggeni/status/703267110349201408","703267110349201408")</f>
        <v>703267110349201408</v>
      </c>
      <c r="F2934" s="17" t="s">
        <v>76</v>
      </c>
      <c r="G2934" s="13">
        <v>236.0</v>
      </c>
      <c r="H2934" s="13">
        <v>61.0</v>
      </c>
      <c r="I2934" s="13">
        <v>0.0</v>
      </c>
      <c r="J2934" s="13">
        <v>0.0</v>
      </c>
      <c r="K2934" s="12" t="s">
        <v>21</v>
      </c>
      <c r="L2934" s="7">
        <v>41218.90608796296</v>
      </c>
      <c r="M2934" s="14" t="s">
        <v>77</v>
      </c>
      <c r="N2934" s="14" t="s">
        <v>78</v>
      </c>
      <c r="O2934" s="11" t="str">
        <f t="shared" si="306"/>
        <v>View</v>
      </c>
      <c r="P2934" s="15"/>
    </row>
    <row r="2935">
      <c r="A2935" s="7">
        <v>42426.38564814815</v>
      </c>
      <c r="B2935" s="8" t="str">
        <f t="shared" si="305"/>
        <v>@artwisanggeni</v>
      </c>
      <c r="C2935" s="10" t="s">
        <v>74</v>
      </c>
      <c r="D2935" s="10" t="s">
        <v>5992</v>
      </c>
      <c r="E2935" s="11" t="str">
        <f>HYPERLINK("https://twitter.com/artwisanggeni/status/703267113335525381","703267113335525381")</f>
        <v>703267113335525381</v>
      </c>
      <c r="F2935" s="17" t="s">
        <v>76</v>
      </c>
      <c r="G2935" s="13">
        <v>236.0</v>
      </c>
      <c r="H2935" s="13">
        <v>61.0</v>
      </c>
      <c r="I2935" s="13">
        <v>0.0</v>
      </c>
      <c r="J2935" s="13">
        <v>0.0</v>
      </c>
      <c r="K2935" s="12" t="s">
        <v>21</v>
      </c>
      <c r="L2935" s="7">
        <v>41218.90608796296</v>
      </c>
      <c r="M2935" s="14" t="s">
        <v>77</v>
      </c>
      <c r="N2935" s="14" t="s">
        <v>78</v>
      </c>
      <c r="O2935" s="11" t="str">
        <f t="shared" si="306"/>
        <v>View</v>
      </c>
      <c r="P2935" s="15"/>
    </row>
    <row r="2936">
      <c r="A2936" s="7">
        <v>42426.38565972222</v>
      </c>
      <c r="B2936" s="8" t="str">
        <f t="shared" si="305"/>
        <v>@artwisanggeni</v>
      </c>
      <c r="C2936" s="10" t="s">
        <v>74</v>
      </c>
      <c r="D2936" s="10" t="s">
        <v>5993</v>
      </c>
      <c r="E2936" s="11" t="str">
        <f>HYPERLINK("https://twitter.com/artwisanggeni/status/703267116447698944","703267116447698944")</f>
        <v>703267116447698944</v>
      </c>
      <c r="F2936" s="17" t="s">
        <v>76</v>
      </c>
      <c r="G2936" s="13">
        <v>236.0</v>
      </c>
      <c r="H2936" s="13">
        <v>61.0</v>
      </c>
      <c r="I2936" s="13">
        <v>0.0</v>
      </c>
      <c r="J2936" s="13">
        <v>0.0</v>
      </c>
      <c r="K2936" s="12" t="s">
        <v>21</v>
      </c>
      <c r="L2936" s="7">
        <v>41218.90608796296</v>
      </c>
      <c r="M2936" s="14" t="s">
        <v>77</v>
      </c>
      <c r="N2936" s="14" t="s">
        <v>78</v>
      </c>
      <c r="O2936" s="11" t="str">
        <f t="shared" si="306"/>
        <v>View</v>
      </c>
      <c r="P2936" s="15"/>
    </row>
    <row r="2937">
      <c r="A2937" s="7">
        <v>42426.38569444444</v>
      </c>
      <c r="B2937" s="8" t="str">
        <f t="shared" si="305"/>
        <v>@artwisanggeni</v>
      </c>
      <c r="C2937" s="10" t="s">
        <v>74</v>
      </c>
      <c r="D2937" s="10" t="s">
        <v>5994</v>
      </c>
      <c r="E2937" s="11" t="str">
        <f>HYPERLINK("https://twitter.com/artwisanggeni/status/703267129475207168","703267129475207168")</f>
        <v>703267129475207168</v>
      </c>
      <c r="F2937" s="17" t="s">
        <v>76</v>
      </c>
      <c r="G2937" s="13">
        <v>236.0</v>
      </c>
      <c r="H2937" s="13">
        <v>61.0</v>
      </c>
      <c r="I2937" s="13">
        <v>0.0</v>
      </c>
      <c r="J2937" s="13">
        <v>0.0</v>
      </c>
      <c r="K2937" s="12" t="s">
        <v>21</v>
      </c>
      <c r="L2937" s="7">
        <v>41218.90608796296</v>
      </c>
      <c r="M2937" s="14" t="s">
        <v>77</v>
      </c>
      <c r="N2937" s="14" t="s">
        <v>78</v>
      </c>
      <c r="O2937" s="11" t="str">
        <f t="shared" si="306"/>
        <v>View</v>
      </c>
      <c r="P2937" s="15"/>
    </row>
    <row r="2938">
      <c r="A2938" s="7">
        <v>42426.38579861111</v>
      </c>
      <c r="B2938" s="8" t="str">
        <f>HYPERLINK("https://twitter.com/cool_python","@cool_python")</f>
        <v>@cool_python</v>
      </c>
      <c r="C2938" s="10" t="s">
        <v>249</v>
      </c>
      <c r="D2938" s="10" t="s">
        <v>2547</v>
      </c>
      <c r="E2938" s="11" t="str">
        <f>HYPERLINK("https://twitter.com/cool_python/status/703267167194718208","703267167194718208")</f>
        <v>703267167194718208</v>
      </c>
      <c r="F2938" s="12" t="s">
        <v>251</v>
      </c>
      <c r="G2938" s="13">
        <v>235.0</v>
      </c>
      <c r="H2938" s="13">
        <v>91.0</v>
      </c>
      <c r="I2938" s="13">
        <v>1.0</v>
      </c>
      <c r="J2938" s="13">
        <v>0.0</v>
      </c>
      <c r="K2938" s="12" t="s">
        <v>21</v>
      </c>
      <c r="L2938" s="7">
        <v>42064.325</v>
      </c>
      <c r="M2938" s="14" t="s">
        <v>252</v>
      </c>
      <c r="N2938" s="14" t="s">
        <v>253</v>
      </c>
      <c r="O2938" s="11" t="str">
        <f>HYPERLINK("https://pbs.twimg.com/profile_images/572091631055028224/Pkx__FSB_normal.png","View")</f>
        <v>View</v>
      </c>
      <c r="P2938" s="15"/>
    </row>
    <row r="2939">
      <c r="A2939" s="7">
        <v>42426.38668981481</v>
      </c>
      <c r="B2939" s="8" t="str">
        <f>HYPERLINK("https://twitter.com/nebula121","@nebula121")</f>
        <v>@nebula121</v>
      </c>
      <c r="C2939" s="10" t="s">
        <v>5995</v>
      </c>
      <c r="D2939" s="10" t="s">
        <v>5982</v>
      </c>
      <c r="E2939" s="11" t="str">
        <f>HYPERLINK("https://twitter.com/nebula121/status/703267491032596480","703267491032596480")</f>
        <v>703267491032596480</v>
      </c>
      <c r="F2939" s="12" t="s">
        <v>5996</v>
      </c>
      <c r="G2939" s="13">
        <v>815.0</v>
      </c>
      <c r="H2939" s="13">
        <v>975.0</v>
      </c>
      <c r="I2939" s="13">
        <v>3.0</v>
      </c>
      <c r="J2939" s="13">
        <v>0.0</v>
      </c>
      <c r="K2939" s="12" t="s">
        <v>21</v>
      </c>
      <c r="L2939" s="7">
        <v>40188.339155092595</v>
      </c>
      <c r="M2939" s="14" t="s">
        <v>5997</v>
      </c>
      <c r="N2939" s="14" t="s">
        <v>5998</v>
      </c>
      <c r="O2939" s="11" t="str">
        <f>HYPERLINK("https://pbs.twimg.com/profile_images/3384002450/140ef360ee7bfe1b90310adc0a82c6f2_normal.png","View")</f>
        <v>View</v>
      </c>
      <c r="P2939" s="15"/>
    </row>
    <row r="2940">
      <c r="A2940" s="7">
        <v>42426.390335648146</v>
      </c>
      <c r="B2940" s="8" t="str">
        <f>HYPERLINK("https://twitter.com/skilloak","@skilloak")</f>
        <v>@skilloak</v>
      </c>
      <c r="C2940" s="10" t="s">
        <v>5999</v>
      </c>
      <c r="D2940" s="10" t="s">
        <v>6000</v>
      </c>
      <c r="E2940" s="11" t="str">
        <f>HYPERLINK("https://twitter.com/skilloak/status/703268812322287616","703268812322287616")</f>
        <v>703268812322287616</v>
      </c>
      <c r="F2940" s="12" t="s">
        <v>446</v>
      </c>
      <c r="G2940" s="13">
        <v>2427.0</v>
      </c>
      <c r="H2940" s="13">
        <v>338.0</v>
      </c>
      <c r="I2940" s="13">
        <v>0.0</v>
      </c>
      <c r="J2940" s="13">
        <v>1.0</v>
      </c>
      <c r="K2940" s="12" t="s">
        <v>21</v>
      </c>
      <c r="L2940" s="7">
        <v>41308.39502314815</v>
      </c>
      <c r="M2940" s="16"/>
      <c r="N2940" s="14" t="s">
        <v>6001</v>
      </c>
      <c r="O2940" s="11" t="str">
        <f>HYPERLINK("https://pbs.twimg.com/profile_images/670315479517413376/Kkf5JA8s_normal.png","View")</f>
        <v>View</v>
      </c>
      <c r="P2940" s="15"/>
    </row>
    <row r="2941">
      <c r="A2941" s="7">
        <v>42426.39071759259</v>
      </c>
      <c r="B2941" s="8" t="str">
        <f>HYPERLINK("https://twitter.com/djangostars","@djangostars")</f>
        <v>@djangostars</v>
      </c>
      <c r="C2941" s="10" t="s">
        <v>6002</v>
      </c>
      <c r="D2941" s="10" t="s">
        <v>6003</v>
      </c>
      <c r="E2941" s="11" t="str">
        <f>HYPERLINK("https://twitter.com/djangostars/status/703268950201610240","703268950201610240")</f>
        <v>703268950201610240</v>
      </c>
      <c r="F2941" s="12" t="s">
        <v>20</v>
      </c>
      <c r="G2941" s="13">
        <v>1842.0</v>
      </c>
      <c r="H2941" s="13">
        <v>2624.0</v>
      </c>
      <c r="I2941" s="13">
        <v>0.0</v>
      </c>
      <c r="J2941" s="13">
        <v>1.0</v>
      </c>
      <c r="K2941" s="12" t="s">
        <v>21</v>
      </c>
      <c r="L2941" s="7">
        <v>40164.256215277775</v>
      </c>
      <c r="M2941" s="14" t="s">
        <v>2954</v>
      </c>
      <c r="N2941" s="14" t="s">
        <v>6004</v>
      </c>
      <c r="O2941" s="11" t="str">
        <f>HYPERLINK("https://pbs.twimg.com/profile_images/687293280749486080/e2Q5uOSq_normal.jpg","View")</f>
        <v>View</v>
      </c>
      <c r="P2941" s="15"/>
    </row>
    <row r="2942">
      <c r="A2942" s="7">
        <v>42426.39195601852</v>
      </c>
      <c r="B2942" s="8" t="str">
        <f>HYPERLINK("https://twitter.com/mathandporsches","@mathandporsches")</f>
        <v>@mathandporsches</v>
      </c>
      <c r="C2942" s="10" t="s">
        <v>6005</v>
      </c>
      <c r="D2942" s="10" t="s">
        <v>3556</v>
      </c>
      <c r="E2942" s="11" t="str">
        <f>HYPERLINK("https://twitter.com/mathandporsches/status/703269399369637888","703269399369637888")</f>
        <v>703269399369637888</v>
      </c>
      <c r="F2942" s="12" t="s">
        <v>52</v>
      </c>
      <c r="G2942" s="13">
        <v>201.0</v>
      </c>
      <c r="H2942" s="13">
        <v>200.0</v>
      </c>
      <c r="I2942" s="13">
        <v>9.0</v>
      </c>
      <c r="J2942" s="13">
        <v>0.0</v>
      </c>
      <c r="K2942" s="12" t="s">
        <v>21</v>
      </c>
      <c r="L2942" s="7">
        <v>39192.61956018519</v>
      </c>
      <c r="M2942" s="14" t="s">
        <v>3114</v>
      </c>
      <c r="N2942" s="16"/>
      <c r="O2942" s="11" t="str">
        <f>HYPERLINK("https://pbs.twimg.com/profile_images/599727518963208192/yEd0mtYM_normal.jpg","View")</f>
        <v>View</v>
      </c>
      <c r="P2942" s="15"/>
    </row>
    <row r="2943">
      <c r="A2943" s="7">
        <v>42426.39230324074</v>
      </c>
      <c r="B2943" s="8" t="str">
        <f>HYPERLINK("https://twitter.com/xploresec","@xploresec")</f>
        <v>@xploresec</v>
      </c>
      <c r="C2943" s="10" t="s">
        <v>6006</v>
      </c>
      <c r="D2943" s="10" t="s">
        <v>6007</v>
      </c>
      <c r="E2943" s="11" t="str">
        <f>HYPERLINK("https://twitter.com/xploresec/status/703269524439609344","703269524439609344")</f>
        <v>703269524439609344</v>
      </c>
      <c r="F2943" s="12" t="s">
        <v>20</v>
      </c>
      <c r="G2943" s="13">
        <v>40.0</v>
      </c>
      <c r="H2943" s="13">
        <v>96.0</v>
      </c>
      <c r="I2943" s="13">
        <v>0.0</v>
      </c>
      <c r="J2943" s="13">
        <v>1.0</v>
      </c>
      <c r="K2943" s="12" t="s">
        <v>21</v>
      </c>
      <c r="L2943" s="7">
        <v>42288.41454861111</v>
      </c>
      <c r="M2943" s="14" t="s">
        <v>6008</v>
      </c>
      <c r="N2943" s="14" t="s">
        <v>6009</v>
      </c>
      <c r="O2943" s="11" t="str">
        <f>HYPERLINK("https://pbs.twimg.com/profile_images/653266713102782464/NEpoOCDV_normal.jpg","View")</f>
        <v>View</v>
      </c>
      <c r="P2943" s="15"/>
    </row>
    <row r="2944">
      <c r="A2944" s="7">
        <v>42426.39231481482</v>
      </c>
      <c r="B2944" s="8" t="str">
        <f>HYPERLINK("https://twitter.com/panseybard","@panseybard")</f>
        <v>@panseybard</v>
      </c>
      <c r="C2944" s="10" t="s">
        <v>1602</v>
      </c>
      <c r="D2944" s="10" t="s">
        <v>3556</v>
      </c>
      <c r="E2944" s="11" t="str">
        <f>HYPERLINK("https://twitter.com/panseybard/status/703269530114457600","703269530114457600")</f>
        <v>703269530114457600</v>
      </c>
      <c r="F2944" s="12" t="s">
        <v>1603</v>
      </c>
      <c r="G2944" s="13">
        <v>7596.0</v>
      </c>
      <c r="H2944" s="13">
        <v>7592.0</v>
      </c>
      <c r="I2944" s="13">
        <v>9.0</v>
      </c>
      <c r="J2944" s="13">
        <v>0.0</v>
      </c>
      <c r="K2944" s="12" t="s">
        <v>21</v>
      </c>
      <c r="L2944" s="7">
        <v>41222.09909722222</v>
      </c>
      <c r="M2944" s="14" t="s">
        <v>1604</v>
      </c>
      <c r="N2944" s="14" t="s">
        <v>1605</v>
      </c>
      <c r="O2944" s="11" t="str">
        <f>HYPERLINK("https://pbs.twimg.com/profile_images/583850259970822144/7EgtHLoT_normal.jpg","View")</f>
        <v>View</v>
      </c>
      <c r="P2944" s="15"/>
    </row>
    <row r="2945">
      <c r="A2945" s="7">
        <v>42426.39236111111</v>
      </c>
      <c r="B2945" s="8" t="str">
        <f>HYPERLINK("https://twitter.com/wcmckeedotcom","@wcmckeedotcom")</f>
        <v>@wcmckeedotcom</v>
      </c>
      <c r="C2945" s="10" t="s">
        <v>476</v>
      </c>
      <c r="D2945" s="10" t="s">
        <v>6010</v>
      </c>
      <c r="E2945" s="11" t="str">
        <f>HYPERLINK("https://twitter.com/wcmckeedotcom/status/703269547130941440","703269547130941440")</f>
        <v>703269547130941440</v>
      </c>
      <c r="F2945" s="12" t="s">
        <v>478</v>
      </c>
      <c r="G2945" s="13">
        <v>1011.0</v>
      </c>
      <c r="H2945" s="13">
        <v>875.0</v>
      </c>
      <c r="I2945" s="13">
        <v>0.0</v>
      </c>
      <c r="J2945" s="13">
        <v>0.0</v>
      </c>
      <c r="K2945" s="12" t="s">
        <v>21</v>
      </c>
      <c r="L2945" s="7">
        <v>41902.048368055555</v>
      </c>
      <c r="M2945" s="14" t="s">
        <v>479</v>
      </c>
      <c r="N2945" s="14" t="s">
        <v>480</v>
      </c>
      <c r="O2945" s="11" t="str">
        <f>HYPERLINK("https://pbs.twimg.com/profile_images/621211385746161664/tGchJstD_normal.jpg","View")</f>
        <v>View</v>
      </c>
      <c r="P2945" s="15"/>
    </row>
    <row r="2946">
      <c r="A2946" s="7">
        <v>42426.39328703703</v>
      </c>
      <c r="B2946" s="8" t="str">
        <f>HYPERLINK("https://twitter.com/johannes_hoppe","@johannes_hoppe")</f>
        <v>@johannes_hoppe</v>
      </c>
      <c r="C2946" s="10" t="s">
        <v>6011</v>
      </c>
      <c r="D2946" s="10" t="s">
        <v>6012</v>
      </c>
      <c r="E2946" s="11" t="str">
        <f>HYPERLINK("https://twitter.com/johannes_hoppe/status/703269882130010112","703269882130010112")</f>
        <v>703269882130010112</v>
      </c>
      <c r="F2946" s="12" t="s">
        <v>20</v>
      </c>
      <c r="G2946" s="13">
        <v>140.0</v>
      </c>
      <c r="H2946" s="13">
        <v>344.0</v>
      </c>
      <c r="I2946" s="13">
        <v>0.0</v>
      </c>
      <c r="J2946" s="13">
        <v>0.0</v>
      </c>
      <c r="K2946" s="12" t="s">
        <v>21</v>
      </c>
      <c r="L2946" s="7">
        <v>39972.16981481481</v>
      </c>
      <c r="M2946" s="14" t="s">
        <v>1963</v>
      </c>
      <c r="N2946" s="14" t="s">
        <v>6013</v>
      </c>
      <c r="O2946" s="11" t="str">
        <f>HYPERLINK("https://pbs.twimg.com/profile_images/417816092766003200/xKGFagQg_normal.jpeg","View")</f>
        <v>View</v>
      </c>
      <c r="P2946" s="15"/>
    </row>
    <row r="2947">
      <c r="A2947" s="7">
        <v>42426.39496527778</v>
      </c>
      <c r="B2947" s="8" t="str">
        <f>HYPERLINK("https://twitter.com/wubr2000","@wubr2000")</f>
        <v>@wubr2000</v>
      </c>
      <c r="C2947" s="10" t="s">
        <v>6014</v>
      </c>
      <c r="D2947" s="10" t="s">
        <v>6015</v>
      </c>
      <c r="E2947" s="11" t="str">
        <f>HYPERLINK("https://twitter.com/wubr2000/status/703270489217601536","703270489217601536")</f>
        <v>703270489217601536</v>
      </c>
      <c r="F2947" s="12" t="s">
        <v>52</v>
      </c>
      <c r="G2947" s="13">
        <v>356.0</v>
      </c>
      <c r="H2947" s="13">
        <v>944.0</v>
      </c>
      <c r="I2947" s="13">
        <v>1.0</v>
      </c>
      <c r="J2947" s="13">
        <v>0.0</v>
      </c>
      <c r="K2947" s="12" t="s">
        <v>21</v>
      </c>
      <c r="L2947" s="7">
        <v>40215.320925925924</v>
      </c>
      <c r="M2947" s="16"/>
      <c r="N2947" s="14" t="s">
        <v>6016</v>
      </c>
      <c r="O2947" s="11" t="str">
        <f>HYPERLINK("https://pbs.twimg.com/profile_images/550909650535579648/ZA2nwJ8V_normal.png","View")</f>
        <v>View</v>
      </c>
      <c r="P2947" s="15"/>
    </row>
    <row r="2948">
      <c r="A2948" s="7">
        <v>42426.39519675926</v>
      </c>
      <c r="B2948" s="8" t="str">
        <f>HYPERLINK("https://twitter.com/Talent_io","@Talent_io")</f>
        <v>@Talent_io</v>
      </c>
      <c r="C2948" s="9" t="s">
        <v>6017</v>
      </c>
      <c r="D2948" s="10" t="s">
        <v>5494</v>
      </c>
      <c r="E2948" s="11" t="str">
        <f>HYPERLINK("https://twitter.com/Talent_io/status/703270572957016065","703270572957016065")</f>
        <v>703270572957016065</v>
      </c>
      <c r="F2948" s="12" t="s">
        <v>294</v>
      </c>
      <c r="G2948" s="13">
        <v>1669.0</v>
      </c>
      <c r="H2948" s="13">
        <v>1766.0</v>
      </c>
      <c r="I2948" s="13">
        <v>9.0</v>
      </c>
      <c r="J2948" s="13">
        <v>0.0</v>
      </c>
      <c r="K2948" s="12" t="s">
        <v>21</v>
      </c>
      <c r="L2948" s="7">
        <v>42103.27364583334</v>
      </c>
      <c r="M2948" s="14" t="s">
        <v>416</v>
      </c>
      <c r="N2948" s="14" t="s">
        <v>6018</v>
      </c>
      <c r="O2948" s="11" t="str">
        <f>HYPERLINK("https://pbs.twimg.com/profile_images/646634191883476993/o11PiF_o_normal.png","View")</f>
        <v>View</v>
      </c>
      <c r="P2948" s="15"/>
    </row>
    <row r="2949">
      <c r="A2949" s="7">
        <v>42426.396273148144</v>
      </c>
      <c r="B2949" s="8" t="str">
        <f>HYPERLINK("https://twitter.com/art_control","@art_control")</f>
        <v>@art_control</v>
      </c>
      <c r="C2949" s="10" t="s">
        <v>309</v>
      </c>
      <c r="D2949" s="10" t="s">
        <v>6019</v>
      </c>
      <c r="E2949" s="11" t="str">
        <f>HYPERLINK("https://twitter.com/art_control/status/703270965128642560","703270965128642560")</f>
        <v>703270965128642560</v>
      </c>
      <c r="F2949" s="12" t="s">
        <v>311</v>
      </c>
      <c r="G2949" s="13">
        <v>989.0</v>
      </c>
      <c r="H2949" s="13">
        <v>850.0</v>
      </c>
      <c r="I2949" s="13">
        <v>0.0</v>
      </c>
      <c r="J2949" s="13">
        <v>0.0</v>
      </c>
      <c r="K2949" s="12" t="s">
        <v>21</v>
      </c>
      <c r="L2949" s="7">
        <v>39896.869675925926</v>
      </c>
      <c r="M2949" s="14" t="s">
        <v>312</v>
      </c>
      <c r="N2949" s="14" t="s">
        <v>313</v>
      </c>
      <c r="O2949" s="11" t="str">
        <f>HYPERLINK("https://pbs.twimg.com/profile_images/649004216690675712/UAcrP6ol_normal.png","View")</f>
        <v>View</v>
      </c>
      <c r="P2949" s="15"/>
    </row>
    <row r="2950">
      <c r="A2950" s="7">
        <v>42426.396782407406</v>
      </c>
      <c r="B2950" s="8" t="str">
        <f>HYPERLINK("https://twitter.com/ConnectionsNY","@ConnectionsNY")</f>
        <v>@ConnectionsNY</v>
      </c>
      <c r="C2950" s="10" t="s">
        <v>1088</v>
      </c>
      <c r="D2950" s="10" t="s">
        <v>6020</v>
      </c>
      <c r="E2950" s="11" t="str">
        <f>HYPERLINK("https://twitter.com/ConnectionsNY/status/703271147920564224","703271147920564224")</f>
        <v>703271147920564224</v>
      </c>
      <c r="F2950" s="12" t="s">
        <v>659</v>
      </c>
      <c r="G2950" s="13">
        <v>1272.0</v>
      </c>
      <c r="H2950" s="13">
        <v>825.0</v>
      </c>
      <c r="I2950" s="13">
        <v>1.0</v>
      </c>
      <c r="J2950" s="13">
        <v>0.0</v>
      </c>
      <c r="K2950" s="12" t="s">
        <v>21</v>
      </c>
      <c r="L2950" s="7">
        <v>39916.460486111115</v>
      </c>
      <c r="M2950" s="14" t="s">
        <v>1090</v>
      </c>
      <c r="N2950" s="14" t="s">
        <v>1091</v>
      </c>
      <c r="O2950" s="11" t="str">
        <f>HYPERLINK("https://pbs.twimg.com/profile_images/646430794391650304/jK6EaLeg_normal.jpg","View")</f>
        <v>View</v>
      </c>
      <c r="P2950" s="15"/>
    </row>
    <row r="2951">
      <c r="A2951" s="7">
        <v>42426.396990740745</v>
      </c>
      <c r="B2951" s="8" t="str">
        <f>HYPERLINK("https://twitter.com/jselenide","@jselenide")</f>
        <v>@jselenide</v>
      </c>
      <c r="C2951" s="10" t="s">
        <v>2451</v>
      </c>
      <c r="D2951" s="10" t="s">
        <v>5920</v>
      </c>
      <c r="E2951" s="11" t="str">
        <f>HYPERLINK("https://twitter.com/jselenide/status/703271221891354625","703271221891354625")</f>
        <v>703271221891354625</v>
      </c>
      <c r="F2951" s="12" t="s">
        <v>20</v>
      </c>
      <c r="G2951" s="13">
        <v>172.0</v>
      </c>
      <c r="H2951" s="13">
        <v>27.0</v>
      </c>
      <c r="I2951" s="13">
        <v>3.0</v>
      </c>
      <c r="J2951" s="13">
        <v>0.0</v>
      </c>
      <c r="K2951" s="12" t="s">
        <v>21</v>
      </c>
      <c r="L2951" s="7">
        <v>41254.539351851854</v>
      </c>
      <c r="M2951" s="14" t="s">
        <v>2442</v>
      </c>
      <c r="N2951" s="14" t="s">
        <v>2452</v>
      </c>
      <c r="O2951" s="11" t="str">
        <f>HYPERLINK("https://pbs.twimg.com/profile_images/378800000484627924/ff1d3d03ad85234b0168493123816da2_normal.png","View")</f>
        <v>View</v>
      </c>
      <c r="P2951" s="15"/>
    </row>
    <row r="2952">
      <c r="A2952" s="7">
        <v>42426.39709490741</v>
      </c>
      <c r="B2952" s="8" t="str">
        <f>HYPERLINK("https://twitter.com/gabi__voicu","@gabi__voicu")</f>
        <v>@gabi__voicu</v>
      </c>
      <c r="C2952" s="10" t="s">
        <v>6021</v>
      </c>
      <c r="D2952" s="10" t="s">
        <v>3038</v>
      </c>
      <c r="E2952" s="11" t="str">
        <f>HYPERLINK("https://twitter.com/gabi__voicu/status/703271259539435520","703271259539435520")</f>
        <v>703271259539435520</v>
      </c>
      <c r="F2952" s="12" t="s">
        <v>20</v>
      </c>
      <c r="G2952" s="13">
        <v>174.0</v>
      </c>
      <c r="H2952" s="13">
        <v>118.0</v>
      </c>
      <c r="I2952" s="13">
        <v>4.0</v>
      </c>
      <c r="J2952" s="13">
        <v>0.0</v>
      </c>
      <c r="K2952" s="12" t="s">
        <v>21</v>
      </c>
      <c r="L2952" s="7">
        <v>41752.53302083333</v>
      </c>
      <c r="M2952" s="14" t="s">
        <v>1158</v>
      </c>
      <c r="N2952" s="14" t="s">
        <v>6022</v>
      </c>
      <c r="O2952" s="11" t="str">
        <f>HYPERLINK("https://pbs.twimg.com/profile_images/639264092189032448/oT0gsEwx_normal.jpg","View")</f>
        <v>View</v>
      </c>
      <c r="P2952" s="15"/>
    </row>
    <row r="2953">
      <c r="A2953" s="7">
        <v>42426.3971875</v>
      </c>
      <c r="B2953" s="8" t="str">
        <f>HYPERLINK("https://twitter.com/NoSQLDigest","@NoSQLDigest")</f>
        <v>@NoSQLDigest</v>
      </c>
      <c r="C2953" s="10" t="s">
        <v>200</v>
      </c>
      <c r="D2953" s="10" t="s">
        <v>6023</v>
      </c>
      <c r="E2953" s="11" t="str">
        <f>HYPERLINK("https://twitter.com/NoSQLDigest/status/703271293982887937","703271293982887937")</f>
        <v>703271293982887937</v>
      </c>
      <c r="F2953" s="12" t="s">
        <v>202</v>
      </c>
      <c r="G2953" s="13">
        <v>11375.0</v>
      </c>
      <c r="H2953" s="13">
        <v>12.0</v>
      </c>
      <c r="I2953" s="13">
        <v>1.0</v>
      </c>
      <c r="J2953" s="13">
        <v>0.0</v>
      </c>
      <c r="K2953" s="12" t="s">
        <v>21</v>
      </c>
      <c r="L2953" s="7">
        <v>41854.421805555554</v>
      </c>
      <c r="M2953" s="16"/>
      <c r="N2953" s="14" t="s">
        <v>203</v>
      </c>
      <c r="O2953" s="11" t="str">
        <f>HYPERLINK("https://pbs.twimg.com/profile_images/499257180009529344/CSWhr7LZ_normal.jpeg","View")</f>
        <v>View</v>
      </c>
      <c r="P2953" s="15"/>
    </row>
    <row r="2954">
      <c r="A2954" s="7">
        <v>42426.39809027778</v>
      </c>
      <c r="B2954" s="8" t="str">
        <f>HYPERLINK("https://twitter.com/teoliphant","@teoliphant")</f>
        <v>@teoliphant</v>
      </c>
      <c r="C2954" s="10" t="s">
        <v>3702</v>
      </c>
      <c r="D2954" s="10" t="s">
        <v>6024</v>
      </c>
      <c r="E2954" s="11" t="str">
        <f>HYPERLINK("https://twitter.com/teoliphant/status/703271623701319680","703271623701319680")</f>
        <v>703271623701319680</v>
      </c>
      <c r="F2954" s="12" t="s">
        <v>446</v>
      </c>
      <c r="G2954" s="13">
        <v>7739.0</v>
      </c>
      <c r="H2954" s="13">
        <v>270.0</v>
      </c>
      <c r="I2954" s="13">
        <v>6.0</v>
      </c>
      <c r="J2954" s="13">
        <v>4.0</v>
      </c>
      <c r="K2954" s="12" t="s">
        <v>21</v>
      </c>
      <c r="L2954" s="7">
        <v>39920.54510416667</v>
      </c>
      <c r="M2954" s="14" t="s">
        <v>3561</v>
      </c>
      <c r="N2954" s="14" t="s">
        <v>3703</v>
      </c>
      <c r="O2954" s="11" t="str">
        <f>HYPERLINK("https://pbs.twimg.com/profile_images/143077709/DSCF0283_2_normal.JPG","View")</f>
        <v>View</v>
      </c>
      <c r="P2954" s="15"/>
    </row>
    <row r="2955">
      <c r="A2955" s="7">
        <v>42426.39913194445</v>
      </c>
      <c r="B2955" s="8" t="str">
        <f>HYPERLINK("https://twitter.com/davewarner98","@davewarner98")</f>
        <v>@davewarner98</v>
      </c>
      <c r="C2955" s="10" t="s">
        <v>6025</v>
      </c>
      <c r="D2955" s="10" t="s">
        <v>6026</v>
      </c>
      <c r="E2955" s="11" t="str">
        <f>HYPERLINK("https://twitter.com/davewarner98/status/703271997640323073","703271997640323073")</f>
        <v>703271997640323073</v>
      </c>
      <c r="F2955" s="12" t="s">
        <v>1801</v>
      </c>
      <c r="G2955" s="13">
        <v>16.0</v>
      </c>
      <c r="H2955" s="13">
        <v>148.0</v>
      </c>
      <c r="I2955" s="13">
        <v>6.0</v>
      </c>
      <c r="J2955" s="13">
        <v>0.0</v>
      </c>
      <c r="K2955" s="12" t="s">
        <v>21</v>
      </c>
      <c r="L2955" s="7">
        <v>39984.939930555556</v>
      </c>
      <c r="M2955" s="14" t="s">
        <v>6027</v>
      </c>
      <c r="N2955" s="16"/>
      <c r="O2955" s="11" t="str">
        <f>HYPERLINK("https://pbs.twimg.com/profile_images/531312697569079297/wzgeUKUT_normal.jpeg","View")</f>
        <v>View</v>
      </c>
      <c r="P2955" s="15"/>
    </row>
    <row r="2956">
      <c r="A2956" s="7">
        <v>42426.400185185186</v>
      </c>
      <c r="B2956" s="8" t="str">
        <f>HYPERLINK("https://twitter.com/IngTecEduardo","@IngTecEduardo")</f>
        <v>@IngTecEduardo</v>
      </c>
      <c r="C2956" s="10" t="s">
        <v>6028</v>
      </c>
      <c r="D2956" s="10" t="s">
        <v>6026</v>
      </c>
      <c r="E2956" s="11" t="str">
        <f>HYPERLINK("https://twitter.com/IngTecEduardo/status/703272383218651137","703272383218651137")</f>
        <v>703272383218651137</v>
      </c>
      <c r="F2956" s="12" t="s">
        <v>152</v>
      </c>
      <c r="G2956" s="13">
        <v>189.0</v>
      </c>
      <c r="H2956" s="13">
        <v>802.0</v>
      </c>
      <c r="I2956" s="13">
        <v>6.0</v>
      </c>
      <c r="J2956" s="13">
        <v>0.0</v>
      </c>
      <c r="K2956" s="12" t="s">
        <v>21</v>
      </c>
      <c r="L2956" s="7">
        <v>40302.59025462963</v>
      </c>
      <c r="M2956" s="14" t="s">
        <v>6029</v>
      </c>
      <c r="N2956" s="14" t="s">
        <v>6030</v>
      </c>
      <c r="O2956" s="11" t="str">
        <f>HYPERLINK("https://pbs.twimg.com/profile_images/467948844475375616/ryZQlqLg_normal.jpeg","View")</f>
        <v>View</v>
      </c>
      <c r="P2956" s="15"/>
    </row>
    <row r="2957">
      <c r="A2957" s="7">
        <v>42426.40056712963</v>
      </c>
      <c r="B2957" s="8" t="str">
        <f>HYPERLINK("https://twitter.com/research_innova","@research_innova")</f>
        <v>@research_innova</v>
      </c>
      <c r="C2957" s="10" t="s">
        <v>6031</v>
      </c>
      <c r="D2957" s="10" t="s">
        <v>5517</v>
      </c>
      <c r="E2957" s="11" t="str">
        <f>HYPERLINK("https://twitter.com/research_innova/status/703272518774296576","703272518774296576")</f>
        <v>703272518774296576</v>
      </c>
      <c r="F2957" s="12" t="s">
        <v>52</v>
      </c>
      <c r="G2957" s="13">
        <v>2043.0</v>
      </c>
      <c r="H2957" s="13">
        <v>1800.0</v>
      </c>
      <c r="I2957" s="13">
        <v>12.0</v>
      </c>
      <c r="J2957" s="13">
        <v>0.0</v>
      </c>
      <c r="K2957" s="12" t="s">
        <v>21</v>
      </c>
      <c r="L2957" s="7">
        <v>42176.42917824074</v>
      </c>
      <c r="M2957" s="16"/>
      <c r="N2957" s="14" t="s">
        <v>6032</v>
      </c>
      <c r="O2957" s="11" t="str">
        <f>HYPERLINK("https://pbs.twimg.com/profile_images/612671526849146880/oaSXeNPe_normal.jpg","View")</f>
        <v>View</v>
      </c>
      <c r="P2957" s="15"/>
    </row>
    <row r="2958">
      <c r="A2958" s="7">
        <v>42426.40075231482</v>
      </c>
      <c r="B2958" s="8" t="str">
        <f>HYPERLINK("https://twitter.com/webdevers","@webdevers")</f>
        <v>@webdevers</v>
      </c>
      <c r="C2958" s="10" t="s">
        <v>1982</v>
      </c>
      <c r="D2958" s="10" t="s">
        <v>6033</v>
      </c>
      <c r="E2958" s="11" t="str">
        <f>HYPERLINK("https://twitter.com/webdevers/status/703272584922554368","703272584922554368")</f>
        <v>703272584922554368</v>
      </c>
      <c r="F2958" s="12" t="s">
        <v>1984</v>
      </c>
      <c r="G2958" s="13">
        <v>142.0</v>
      </c>
      <c r="H2958" s="13">
        <v>0.0</v>
      </c>
      <c r="I2958" s="13">
        <v>0.0</v>
      </c>
      <c r="J2958" s="13">
        <v>0.0</v>
      </c>
      <c r="K2958" s="12" t="s">
        <v>21</v>
      </c>
      <c r="L2958" s="7">
        <v>40844.61832175926</v>
      </c>
      <c r="M2958" s="16"/>
      <c r="N2958" s="14" t="s">
        <v>1985</v>
      </c>
      <c r="O2958" s="11" t="str">
        <f>HYPERLINK("https://pbs.twimg.com/profile_images/3759253863/86267077ca21c75710f9fcc99f83d2f5_normal.jpeg","View")</f>
        <v>View</v>
      </c>
      <c r="P2958" s="15"/>
    </row>
    <row r="2959">
      <c r="A2959" s="7">
        <v>42426.40107638889</v>
      </c>
      <c r="B2959" s="8" t="str">
        <f>HYPERLINK("https://twitter.com/Living_Variable","@Living_Variable")</f>
        <v>@Living_Variable</v>
      </c>
      <c r="C2959" s="10" t="s">
        <v>1676</v>
      </c>
      <c r="D2959" s="10" t="s">
        <v>6034</v>
      </c>
      <c r="E2959" s="11" t="str">
        <f>HYPERLINK("https://twitter.com/Living_Variable/status/703272704686886912","703272704686886912")</f>
        <v>703272704686886912</v>
      </c>
      <c r="F2959" s="12" t="s">
        <v>152</v>
      </c>
      <c r="G2959" s="13">
        <v>116.0</v>
      </c>
      <c r="H2959" s="13">
        <v>264.0</v>
      </c>
      <c r="I2959" s="13">
        <v>1.0</v>
      </c>
      <c r="J2959" s="13">
        <v>0.0</v>
      </c>
      <c r="K2959" s="12" t="s">
        <v>21</v>
      </c>
      <c r="L2959" s="7">
        <v>42098.45077546296</v>
      </c>
      <c r="M2959" s="14" t="s">
        <v>283</v>
      </c>
      <c r="N2959" s="14" t="s">
        <v>1677</v>
      </c>
      <c r="O2959" s="11" t="str">
        <f>HYPERLINK("https://pbs.twimg.com/profile_images/699680013088485376/w-mE_mx7_normal.jpg","View")</f>
        <v>View</v>
      </c>
      <c r="P2959" s="15"/>
    </row>
    <row r="2960">
      <c r="A2960" s="7">
        <v>42426.40112268519</v>
      </c>
      <c r="B2960" s="8" t="str">
        <f t="shared" ref="B2960:B2961" si="307">HYPERLINK("https://twitter.com/webdevers","@webdevers")</f>
        <v>@webdevers</v>
      </c>
      <c r="C2960" s="10" t="s">
        <v>1982</v>
      </c>
      <c r="D2960" s="10" t="s">
        <v>6035</v>
      </c>
      <c r="E2960" s="11" t="str">
        <f>HYPERLINK("https://twitter.com/webdevers/status/703272719643598849","703272719643598849")</f>
        <v>703272719643598849</v>
      </c>
      <c r="F2960" s="12" t="s">
        <v>1984</v>
      </c>
      <c r="G2960" s="13">
        <v>142.0</v>
      </c>
      <c r="H2960" s="13">
        <v>0.0</v>
      </c>
      <c r="I2960" s="13">
        <v>0.0</v>
      </c>
      <c r="J2960" s="13">
        <v>0.0</v>
      </c>
      <c r="K2960" s="12" t="s">
        <v>21</v>
      </c>
      <c r="L2960" s="7">
        <v>40844.61832175926</v>
      </c>
      <c r="M2960" s="16"/>
      <c r="N2960" s="14" t="s">
        <v>1985</v>
      </c>
      <c r="O2960" s="11" t="str">
        <f t="shared" ref="O2960:O2961" si="308">HYPERLINK("https://pbs.twimg.com/profile_images/3759253863/86267077ca21c75710f9fcc99f83d2f5_normal.jpeg","View")</f>
        <v>View</v>
      </c>
      <c r="P2960" s="15"/>
    </row>
    <row r="2961">
      <c r="A2961" s="7">
        <v>42426.40141203704</v>
      </c>
      <c r="B2961" s="8" t="str">
        <f t="shared" si="307"/>
        <v>@webdevers</v>
      </c>
      <c r="C2961" s="10" t="s">
        <v>1982</v>
      </c>
      <c r="D2961" s="10" t="s">
        <v>6036</v>
      </c>
      <c r="E2961" s="11" t="str">
        <f>HYPERLINK("https://twitter.com/webdevers/status/703272827219107840","703272827219107840")</f>
        <v>703272827219107840</v>
      </c>
      <c r="F2961" s="12" t="s">
        <v>1984</v>
      </c>
      <c r="G2961" s="13">
        <v>142.0</v>
      </c>
      <c r="H2961" s="13">
        <v>0.0</v>
      </c>
      <c r="I2961" s="13">
        <v>0.0</v>
      </c>
      <c r="J2961" s="13">
        <v>0.0</v>
      </c>
      <c r="K2961" s="12" t="s">
        <v>21</v>
      </c>
      <c r="L2961" s="7">
        <v>40844.61832175926</v>
      </c>
      <c r="M2961" s="16"/>
      <c r="N2961" s="14" t="s">
        <v>1985</v>
      </c>
      <c r="O2961" s="11" t="str">
        <f t="shared" si="308"/>
        <v>View</v>
      </c>
      <c r="P2961" s="15"/>
    </row>
    <row r="2962">
      <c r="A2962" s="7">
        <v>42426.401446759264</v>
      </c>
      <c r="B2962" s="8" t="str">
        <f>HYPERLINK("https://twitter.com/importpython","@importpython")</f>
        <v>@importpython</v>
      </c>
      <c r="C2962" s="10" t="s">
        <v>2536</v>
      </c>
      <c r="D2962" s="10" t="s">
        <v>3625</v>
      </c>
      <c r="E2962" s="11" t="str">
        <f>HYPERLINK("https://twitter.com/importpython/status/703272839965585408","703272839965585408")</f>
        <v>703272839965585408</v>
      </c>
      <c r="F2962" s="12" t="s">
        <v>2538</v>
      </c>
      <c r="G2962" s="13">
        <v>1603.0</v>
      </c>
      <c r="H2962" s="13">
        <v>498.0</v>
      </c>
      <c r="I2962" s="13">
        <v>1.0</v>
      </c>
      <c r="J2962" s="13">
        <v>0.0</v>
      </c>
      <c r="K2962" s="12" t="s">
        <v>21</v>
      </c>
      <c r="L2962" s="7">
        <v>41912.04583333334</v>
      </c>
      <c r="M2962" s="14" t="s">
        <v>432</v>
      </c>
      <c r="N2962" s="14" t="s">
        <v>2539</v>
      </c>
      <c r="O2962" s="11" t="str">
        <f>HYPERLINK("https://pbs.twimg.com/profile_images/518108253121552384/ClpFqPbX_normal.png","View")</f>
        <v>View</v>
      </c>
      <c r="P2962" s="15"/>
    </row>
    <row r="2963">
      <c r="A2963" s="7">
        <v>42426.40194444444</v>
      </c>
      <c r="B2963" s="8" t="str">
        <f>HYPERLINK("https://twitter.com/webdevers","@webdevers")</f>
        <v>@webdevers</v>
      </c>
      <c r="C2963" s="10" t="s">
        <v>1982</v>
      </c>
      <c r="D2963" s="10" t="s">
        <v>6037</v>
      </c>
      <c r="E2963" s="11" t="str">
        <f>HYPERLINK("https://twitter.com/webdevers/status/703273020089987072","703273020089987072")</f>
        <v>703273020089987072</v>
      </c>
      <c r="F2963" s="12" t="s">
        <v>1984</v>
      </c>
      <c r="G2963" s="13">
        <v>142.0</v>
      </c>
      <c r="H2963" s="13">
        <v>0.0</v>
      </c>
      <c r="I2963" s="13">
        <v>0.0</v>
      </c>
      <c r="J2963" s="13">
        <v>0.0</v>
      </c>
      <c r="K2963" s="12" t="s">
        <v>21</v>
      </c>
      <c r="L2963" s="7">
        <v>40844.61832175926</v>
      </c>
      <c r="M2963" s="16"/>
      <c r="N2963" s="14" t="s">
        <v>1985</v>
      </c>
      <c r="O2963" s="11" t="str">
        <f>HYPERLINK("https://pbs.twimg.com/profile_images/3759253863/86267077ca21c75710f9fcc99f83d2f5_normal.jpeg","View")</f>
        <v>View</v>
      </c>
      <c r="P2963" s="15"/>
    </row>
    <row r="2964">
      <c r="A2964" s="7">
        <v>42426.40199074074</v>
      </c>
      <c r="B2964" s="8" t="str">
        <f>HYPERLINK("https://twitter.com/talumbau","@talumbau")</f>
        <v>@talumbau</v>
      </c>
      <c r="C2964" s="10" t="s">
        <v>6038</v>
      </c>
      <c r="D2964" s="10" t="s">
        <v>6026</v>
      </c>
      <c r="E2964" s="11" t="str">
        <f>HYPERLINK("https://twitter.com/talumbau/status/703273036380659712","703273036380659712")</f>
        <v>703273036380659712</v>
      </c>
      <c r="F2964" s="12" t="s">
        <v>152</v>
      </c>
      <c r="G2964" s="13">
        <v>81.0</v>
      </c>
      <c r="H2964" s="13">
        <v>165.0</v>
      </c>
      <c r="I2964" s="13">
        <v>6.0</v>
      </c>
      <c r="J2964" s="13">
        <v>0.0</v>
      </c>
      <c r="K2964" s="12" t="s">
        <v>21</v>
      </c>
      <c r="L2964" s="7">
        <v>39886.41118055556</v>
      </c>
      <c r="M2964" s="14" t="s">
        <v>2022</v>
      </c>
      <c r="N2964" s="14" t="s">
        <v>6039</v>
      </c>
      <c r="O2964" s="11" t="str">
        <f>HYPERLINK("https://pbs.twimg.com/profile_images/2032707018/headdown2_normal.jpg","View")</f>
        <v>View</v>
      </c>
      <c r="P2964" s="15"/>
    </row>
    <row r="2965">
      <c r="A2965" s="7">
        <v>42426.40202546296</v>
      </c>
      <c r="B2965" s="8" t="str">
        <f t="shared" ref="B2965:B2966" si="309">HYPERLINK("https://twitter.com/webdevers","@webdevers")</f>
        <v>@webdevers</v>
      </c>
      <c r="C2965" s="10" t="s">
        <v>1982</v>
      </c>
      <c r="D2965" s="10" t="s">
        <v>6040</v>
      </c>
      <c r="E2965" s="11" t="str">
        <f>HYPERLINK("https://twitter.com/webdevers/status/703273049915699200","703273049915699200")</f>
        <v>703273049915699200</v>
      </c>
      <c r="F2965" s="12" t="s">
        <v>1984</v>
      </c>
      <c r="G2965" s="13">
        <v>142.0</v>
      </c>
      <c r="H2965" s="13">
        <v>0.0</v>
      </c>
      <c r="I2965" s="13">
        <v>0.0</v>
      </c>
      <c r="J2965" s="13">
        <v>0.0</v>
      </c>
      <c r="K2965" s="12" t="s">
        <v>21</v>
      </c>
      <c r="L2965" s="7">
        <v>40844.61832175926</v>
      </c>
      <c r="M2965" s="16"/>
      <c r="N2965" s="14" t="s">
        <v>1985</v>
      </c>
      <c r="O2965" s="11" t="str">
        <f t="shared" ref="O2965:O2966" si="310">HYPERLINK("https://pbs.twimg.com/profile_images/3759253863/86267077ca21c75710f9fcc99f83d2f5_normal.jpeg","View")</f>
        <v>View</v>
      </c>
      <c r="P2965" s="15"/>
    </row>
    <row r="2966">
      <c r="A2966" s="7">
        <v>42426.40211805556</v>
      </c>
      <c r="B2966" s="8" t="str">
        <f t="shared" si="309"/>
        <v>@webdevers</v>
      </c>
      <c r="C2966" s="10" t="s">
        <v>1982</v>
      </c>
      <c r="D2966" s="10" t="s">
        <v>6041</v>
      </c>
      <c r="E2966" s="11" t="str">
        <f>HYPERLINK("https://twitter.com/webdevers/status/703273080546660353","703273080546660353")</f>
        <v>703273080546660353</v>
      </c>
      <c r="F2966" s="12" t="s">
        <v>1984</v>
      </c>
      <c r="G2966" s="13">
        <v>142.0</v>
      </c>
      <c r="H2966" s="13">
        <v>0.0</v>
      </c>
      <c r="I2966" s="13">
        <v>0.0</v>
      </c>
      <c r="J2966" s="13">
        <v>1.0</v>
      </c>
      <c r="K2966" s="12" t="s">
        <v>21</v>
      </c>
      <c r="L2966" s="7">
        <v>40844.61832175926</v>
      </c>
      <c r="M2966" s="16"/>
      <c r="N2966" s="14" t="s">
        <v>1985</v>
      </c>
      <c r="O2966" s="11" t="str">
        <f t="shared" si="310"/>
        <v>View</v>
      </c>
      <c r="P2966" s="15"/>
    </row>
    <row r="2967">
      <c r="A2967" s="7">
        <v>42426.40219907407</v>
      </c>
      <c r="B2967" s="8" t="str">
        <f>HYPERLINK("https://twitter.com/GimpScripts","@GimpScripts")</f>
        <v>@GimpScripts</v>
      </c>
      <c r="C2967" s="10" t="s">
        <v>6042</v>
      </c>
      <c r="D2967" s="10" t="s">
        <v>6043</v>
      </c>
      <c r="E2967" s="11" t="str">
        <f>HYPERLINK("https://twitter.com/GimpScripts/status/703273111760666624","703273111760666624")</f>
        <v>703273111760666624</v>
      </c>
      <c r="F2967" s="12" t="s">
        <v>1961</v>
      </c>
      <c r="G2967" s="13">
        <v>1470.0</v>
      </c>
      <c r="H2967" s="13">
        <v>1.0</v>
      </c>
      <c r="I2967" s="13">
        <v>0.0</v>
      </c>
      <c r="J2967" s="13">
        <v>0.0</v>
      </c>
      <c r="K2967" s="12" t="s">
        <v>21</v>
      </c>
      <c r="L2967" s="7">
        <v>40817.05673611111</v>
      </c>
      <c r="M2967" s="16"/>
      <c r="N2967" s="14" t="s">
        <v>6044</v>
      </c>
      <c r="O2967" s="11" t="str">
        <f>HYPERLINK("https://pbs.twimg.com/profile_images/1567684366/gStwit_normal.png","View")</f>
        <v>View</v>
      </c>
      <c r="P2967" s="15"/>
    </row>
    <row r="2968">
      <c r="A2968" s="7">
        <v>42426.402291666665</v>
      </c>
      <c r="B2968" s="8" t="str">
        <f>HYPERLINK("https://twitter.com/webdevers","@webdevers")</f>
        <v>@webdevers</v>
      </c>
      <c r="C2968" s="10" t="s">
        <v>1982</v>
      </c>
      <c r="D2968" s="10" t="s">
        <v>6045</v>
      </c>
      <c r="E2968" s="11" t="str">
        <f>HYPERLINK("https://twitter.com/webdevers/status/703273144300113920","703273144300113920")</f>
        <v>703273144300113920</v>
      </c>
      <c r="F2968" s="12" t="s">
        <v>1984</v>
      </c>
      <c r="G2968" s="13">
        <v>142.0</v>
      </c>
      <c r="H2968" s="13">
        <v>0.0</v>
      </c>
      <c r="I2968" s="13">
        <v>0.0</v>
      </c>
      <c r="J2968" s="13">
        <v>0.0</v>
      </c>
      <c r="K2968" s="12" t="s">
        <v>21</v>
      </c>
      <c r="L2968" s="7">
        <v>40844.61832175926</v>
      </c>
      <c r="M2968" s="16"/>
      <c r="N2968" s="14" t="s">
        <v>1985</v>
      </c>
      <c r="O2968" s="11" t="str">
        <f>HYPERLINK("https://pbs.twimg.com/profile_images/3759253863/86267077ca21c75710f9fcc99f83d2f5_normal.jpeg","View")</f>
        <v>View</v>
      </c>
      <c r="P2968" s="15"/>
    </row>
    <row r="2969">
      <c r="A2969" s="7">
        <v>42426.40232638889</v>
      </c>
      <c r="B2969" s="8" t="str">
        <f>HYPERLINK("https://twitter.com/AdamSmitht1","@AdamSmitht1")</f>
        <v>@AdamSmitht1</v>
      </c>
      <c r="C2969" s="10" t="s">
        <v>468</v>
      </c>
      <c r="D2969" s="10" t="s">
        <v>6046</v>
      </c>
      <c r="E2969" s="11" t="str">
        <f>HYPERLINK("https://twitter.com/AdamSmitht1/status/703273156480466945","703273156480466945")</f>
        <v>703273156480466945</v>
      </c>
      <c r="F2969" s="12" t="s">
        <v>103</v>
      </c>
      <c r="G2969" s="13">
        <v>849.0</v>
      </c>
      <c r="H2969" s="13">
        <v>793.0</v>
      </c>
      <c r="I2969" s="13">
        <v>0.0</v>
      </c>
      <c r="J2969" s="13">
        <v>0.0</v>
      </c>
      <c r="K2969" s="12" t="s">
        <v>21</v>
      </c>
      <c r="L2969" s="7">
        <v>42336.12709490741</v>
      </c>
      <c r="M2969" s="14" t="s">
        <v>470</v>
      </c>
      <c r="N2969" s="14" t="s">
        <v>471</v>
      </c>
      <c r="O2969" s="11" t="str">
        <f>HYPERLINK("https://pbs.twimg.com/profile_images/671623862916812800/yGsDKiP4_normal.jpg","View")</f>
        <v>View</v>
      </c>
      <c r="P2969" s="15"/>
    </row>
    <row r="2970">
      <c r="A2970" s="7">
        <v>42426.40241898148</v>
      </c>
      <c r="B2970" s="8" t="str">
        <f>HYPERLINK("https://twitter.com/icodeinschool","@icodeinschool")</f>
        <v>@icodeinschool</v>
      </c>
      <c r="C2970" s="10" t="s">
        <v>6047</v>
      </c>
      <c r="D2970" s="10" t="s">
        <v>5793</v>
      </c>
      <c r="E2970" s="11" t="str">
        <f>HYPERLINK("https://twitter.com/icodeinschool/status/703273192077529088","703273192077529088")</f>
        <v>703273192077529088</v>
      </c>
      <c r="F2970" s="12" t="s">
        <v>52</v>
      </c>
      <c r="G2970" s="13">
        <v>1376.0</v>
      </c>
      <c r="H2970" s="13">
        <v>2884.0</v>
      </c>
      <c r="I2970" s="13">
        <v>2.0</v>
      </c>
      <c r="J2970" s="13">
        <v>0.0</v>
      </c>
      <c r="K2970" s="12" t="s">
        <v>21</v>
      </c>
      <c r="L2970" s="7">
        <v>41735.665925925925</v>
      </c>
      <c r="M2970" s="14" t="s">
        <v>1018</v>
      </c>
      <c r="N2970" s="14" t="s">
        <v>6048</v>
      </c>
      <c r="O2970" s="11" t="str">
        <f>HYPERLINK("https://pbs.twimg.com/profile_images/570692319293087744/pBdghHl5_normal.png","View")</f>
        <v>View</v>
      </c>
      <c r="P2970" s="15"/>
    </row>
    <row r="2971">
      <c r="A2971" s="7">
        <v>42426.40246527777</v>
      </c>
      <c r="B2971" s="8" t="str">
        <f>HYPERLINK("https://twitter.com/Rischdl_Spies","@Rischdl_Spies")</f>
        <v>@Rischdl_Spies</v>
      </c>
      <c r="C2971" s="10" t="s">
        <v>6049</v>
      </c>
      <c r="D2971" s="10" t="s">
        <v>6050</v>
      </c>
      <c r="E2971" s="11" t="str">
        <f>HYPERLINK("https://twitter.com/Rischdl_Spies/status/703273206136840193","703273206136840193")</f>
        <v>703273206136840193</v>
      </c>
      <c r="F2971" s="12" t="s">
        <v>2063</v>
      </c>
      <c r="G2971" s="13">
        <v>58.0</v>
      </c>
      <c r="H2971" s="13">
        <v>246.0</v>
      </c>
      <c r="I2971" s="13">
        <v>3.0</v>
      </c>
      <c r="J2971" s="13">
        <v>0.0</v>
      </c>
      <c r="K2971" s="12" t="s">
        <v>21</v>
      </c>
      <c r="L2971" s="7">
        <v>40413.51751157407</v>
      </c>
      <c r="M2971" s="16"/>
      <c r="N2971" s="14" t="s">
        <v>6051</v>
      </c>
      <c r="O2971" s="11" t="str">
        <f>HYPERLINK("https://pbs.twimg.com/profile_images/646248790056300545/hpNaH7aI_normal.jpg","View")</f>
        <v>View</v>
      </c>
      <c r="P2971" s="15"/>
    </row>
    <row r="2972">
      <c r="A2972" s="7">
        <v>42426.402546296296</v>
      </c>
      <c r="B2972" s="8" t="str">
        <f>HYPERLINK("https://twitter.com/Playanplay","@Playanplay")</f>
        <v>@Playanplay</v>
      </c>
      <c r="C2972" s="10" t="s">
        <v>6052</v>
      </c>
      <c r="D2972" s="10" t="s">
        <v>5920</v>
      </c>
      <c r="E2972" s="11" t="str">
        <f>HYPERLINK("https://twitter.com/Playanplay/status/703273237854158849","703273237854158849")</f>
        <v>703273237854158849</v>
      </c>
      <c r="F2972" s="12" t="s">
        <v>152</v>
      </c>
      <c r="G2972" s="13">
        <v>100.0</v>
      </c>
      <c r="H2972" s="13">
        <v>19.0</v>
      </c>
      <c r="I2972" s="13">
        <v>3.0</v>
      </c>
      <c r="J2972" s="13">
        <v>0.0</v>
      </c>
      <c r="K2972" s="12" t="s">
        <v>21</v>
      </c>
      <c r="L2972" s="7">
        <v>41042.99354166667</v>
      </c>
      <c r="M2972" s="14" t="s">
        <v>6053</v>
      </c>
      <c r="N2972" s="16"/>
      <c r="O2972" s="11" t="str">
        <f>HYPERLINK("https://pbs.twimg.com/profile_images/572368103808315392/HNG_LA-A_normal.jpeg","View")</f>
        <v>View</v>
      </c>
      <c r="P2972" s="15"/>
    </row>
    <row r="2973">
      <c r="A2973" s="7">
        <v>42426.402592592596</v>
      </c>
      <c r="B2973" s="8" t="str">
        <f t="shared" ref="B2973:B2977" si="311">HYPERLINK("https://twitter.com/webdevers","@webdevers")</f>
        <v>@webdevers</v>
      </c>
      <c r="C2973" s="10" t="s">
        <v>1982</v>
      </c>
      <c r="D2973" s="10" t="s">
        <v>6054</v>
      </c>
      <c r="E2973" s="11" t="str">
        <f>HYPERLINK("https://twitter.com/webdevers/status/703273252093693952","703273252093693952")</f>
        <v>703273252093693952</v>
      </c>
      <c r="F2973" s="12" t="s">
        <v>1984</v>
      </c>
      <c r="G2973" s="13">
        <v>142.0</v>
      </c>
      <c r="H2973" s="13">
        <v>0.0</v>
      </c>
      <c r="I2973" s="13">
        <v>0.0</v>
      </c>
      <c r="J2973" s="13">
        <v>0.0</v>
      </c>
      <c r="K2973" s="12" t="s">
        <v>21</v>
      </c>
      <c r="L2973" s="7">
        <v>40844.61832175926</v>
      </c>
      <c r="M2973" s="16"/>
      <c r="N2973" s="14" t="s">
        <v>1985</v>
      </c>
      <c r="O2973" s="11" t="str">
        <f t="shared" ref="O2973:O2977" si="312">HYPERLINK("https://pbs.twimg.com/profile_images/3759253863/86267077ca21c75710f9fcc99f83d2f5_normal.jpeg","View")</f>
        <v>View</v>
      </c>
      <c r="P2973" s="15"/>
    </row>
    <row r="2974">
      <c r="A2974" s="7">
        <v>42426.40262731482</v>
      </c>
      <c r="B2974" s="8" t="str">
        <f t="shared" si="311"/>
        <v>@webdevers</v>
      </c>
      <c r="C2974" s="10" t="s">
        <v>1982</v>
      </c>
      <c r="D2974" s="10" t="s">
        <v>6055</v>
      </c>
      <c r="E2974" s="11" t="str">
        <f>HYPERLINK("https://twitter.com/webdevers/status/703273266773782528","703273266773782528")</f>
        <v>703273266773782528</v>
      </c>
      <c r="F2974" s="12" t="s">
        <v>1984</v>
      </c>
      <c r="G2974" s="13">
        <v>142.0</v>
      </c>
      <c r="H2974" s="13">
        <v>0.0</v>
      </c>
      <c r="I2974" s="13">
        <v>0.0</v>
      </c>
      <c r="J2974" s="13">
        <v>0.0</v>
      </c>
      <c r="K2974" s="12" t="s">
        <v>21</v>
      </c>
      <c r="L2974" s="7">
        <v>40844.61832175926</v>
      </c>
      <c r="M2974" s="16"/>
      <c r="N2974" s="14" t="s">
        <v>1985</v>
      </c>
      <c r="O2974" s="11" t="str">
        <f t="shared" si="312"/>
        <v>View</v>
      </c>
      <c r="P2974" s="15"/>
    </row>
    <row r="2975">
      <c r="A2975" s="7">
        <v>42426.40293981481</v>
      </c>
      <c r="B2975" s="8" t="str">
        <f t="shared" si="311"/>
        <v>@webdevers</v>
      </c>
      <c r="C2975" s="10" t="s">
        <v>1982</v>
      </c>
      <c r="D2975" s="10" t="s">
        <v>6056</v>
      </c>
      <c r="E2975" s="11" t="str">
        <f>HYPERLINK("https://twitter.com/webdevers/status/703273377406930944","703273377406930944")</f>
        <v>703273377406930944</v>
      </c>
      <c r="F2975" s="12" t="s">
        <v>1984</v>
      </c>
      <c r="G2975" s="13">
        <v>142.0</v>
      </c>
      <c r="H2975" s="13">
        <v>0.0</v>
      </c>
      <c r="I2975" s="13">
        <v>1.0</v>
      </c>
      <c r="J2975" s="13">
        <v>2.0</v>
      </c>
      <c r="K2975" s="12" t="s">
        <v>21</v>
      </c>
      <c r="L2975" s="7">
        <v>40844.61832175926</v>
      </c>
      <c r="M2975" s="16"/>
      <c r="N2975" s="14" t="s">
        <v>1985</v>
      </c>
      <c r="O2975" s="11" t="str">
        <f t="shared" si="312"/>
        <v>View</v>
      </c>
      <c r="P2975" s="15"/>
    </row>
    <row r="2976">
      <c r="A2976" s="7">
        <v>42426.40311342593</v>
      </c>
      <c r="B2976" s="8" t="str">
        <f t="shared" si="311"/>
        <v>@webdevers</v>
      </c>
      <c r="C2976" s="10" t="s">
        <v>1982</v>
      </c>
      <c r="D2976" s="10" t="s">
        <v>6057</v>
      </c>
      <c r="E2976" s="11" t="str">
        <f>HYPERLINK("https://twitter.com/webdevers/status/703273443798568960","703273443798568960")</f>
        <v>703273443798568960</v>
      </c>
      <c r="F2976" s="12" t="s">
        <v>1984</v>
      </c>
      <c r="G2976" s="13">
        <v>142.0</v>
      </c>
      <c r="H2976" s="13">
        <v>0.0</v>
      </c>
      <c r="I2976" s="13">
        <v>0.0</v>
      </c>
      <c r="J2976" s="13">
        <v>0.0</v>
      </c>
      <c r="K2976" s="12" t="s">
        <v>21</v>
      </c>
      <c r="L2976" s="7">
        <v>40844.61832175926</v>
      </c>
      <c r="M2976" s="16"/>
      <c r="N2976" s="14" t="s">
        <v>1985</v>
      </c>
      <c r="O2976" s="11" t="str">
        <f t="shared" si="312"/>
        <v>View</v>
      </c>
      <c r="P2976" s="15"/>
    </row>
    <row r="2977">
      <c r="A2977" s="7">
        <v>42426.403182870374</v>
      </c>
      <c r="B2977" s="8" t="str">
        <f t="shared" si="311"/>
        <v>@webdevers</v>
      </c>
      <c r="C2977" s="10" t="s">
        <v>1982</v>
      </c>
      <c r="D2977" s="10" t="s">
        <v>6058</v>
      </c>
      <c r="E2977" s="11" t="str">
        <f>HYPERLINK("https://twitter.com/webdevers/status/703273465516679168","703273465516679168")</f>
        <v>703273465516679168</v>
      </c>
      <c r="F2977" s="12" t="s">
        <v>1984</v>
      </c>
      <c r="G2977" s="13">
        <v>142.0</v>
      </c>
      <c r="H2977" s="13">
        <v>0.0</v>
      </c>
      <c r="I2977" s="13">
        <v>0.0</v>
      </c>
      <c r="J2977" s="13">
        <v>0.0</v>
      </c>
      <c r="K2977" s="12" t="s">
        <v>21</v>
      </c>
      <c r="L2977" s="7">
        <v>40844.61832175926</v>
      </c>
      <c r="M2977" s="16"/>
      <c r="N2977" s="14" t="s">
        <v>1985</v>
      </c>
      <c r="O2977" s="11" t="str">
        <f t="shared" si="312"/>
        <v>View</v>
      </c>
      <c r="P2977" s="15"/>
    </row>
    <row r="2978">
      <c r="A2978" s="7">
        <v>42426.40320601852</v>
      </c>
      <c r="B2978" s="8" t="str">
        <f>HYPERLINK("https://twitter.com/startechwall","@startechwall")</f>
        <v>@startechwall</v>
      </c>
      <c r="C2978" s="10" t="s">
        <v>1478</v>
      </c>
      <c r="D2978" s="10" t="s">
        <v>6059</v>
      </c>
      <c r="E2978" s="11" t="str">
        <f>HYPERLINK("https://twitter.com/startechwall/status/703273474081628161","703273474081628161")</f>
        <v>703273474081628161</v>
      </c>
      <c r="F2978" s="12" t="s">
        <v>103</v>
      </c>
      <c r="G2978" s="13">
        <v>557.0</v>
      </c>
      <c r="H2978" s="13">
        <v>859.0</v>
      </c>
      <c r="I2978" s="13">
        <v>0.0</v>
      </c>
      <c r="J2978" s="13">
        <v>0.0</v>
      </c>
      <c r="K2978" s="12" t="s">
        <v>21</v>
      </c>
      <c r="L2978" s="7">
        <v>42360.959502314814</v>
      </c>
      <c r="M2978" s="14" t="s">
        <v>1480</v>
      </c>
      <c r="N2978" s="14" t="s">
        <v>1481</v>
      </c>
      <c r="O2978" s="11" t="str">
        <f>HYPERLINK("https://pbs.twimg.com/profile_images/679566117187145728/UUo30Zpm_normal.jpg","View")</f>
        <v>View</v>
      </c>
      <c r="P2978" s="15"/>
    </row>
    <row r="2979">
      <c r="A2979" s="7">
        <v>42426.40335648148</v>
      </c>
      <c r="B2979" s="8" t="str">
        <f>HYPERLINK("https://twitter.com/webdevers","@webdevers")</f>
        <v>@webdevers</v>
      </c>
      <c r="C2979" s="10" t="s">
        <v>1982</v>
      </c>
      <c r="D2979" s="10" t="s">
        <v>6060</v>
      </c>
      <c r="E2979" s="11" t="str">
        <f>HYPERLINK("https://twitter.com/webdevers/status/703273529291083780","703273529291083780")</f>
        <v>703273529291083780</v>
      </c>
      <c r="F2979" s="12" t="s">
        <v>1984</v>
      </c>
      <c r="G2979" s="13">
        <v>142.0</v>
      </c>
      <c r="H2979" s="13">
        <v>0.0</v>
      </c>
      <c r="I2979" s="13">
        <v>0.0</v>
      </c>
      <c r="J2979" s="13">
        <v>0.0</v>
      </c>
      <c r="K2979" s="12" t="s">
        <v>21</v>
      </c>
      <c r="L2979" s="7">
        <v>40844.61832175926</v>
      </c>
      <c r="M2979" s="16"/>
      <c r="N2979" s="14" t="s">
        <v>1985</v>
      </c>
      <c r="O2979" s="11" t="str">
        <f>HYPERLINK("https://pbs.twimg.com/profile_images/3759253863/86267077ca21c75710f9fcc99f83d2f5_normal.jpeg","View")</f>
        <v>View</v>
      </c>
      <c r="P2979" s="15"/>
    </row>
    <row r="2980">
      <c r="A2980" s="7">
        <v>42426.403460648144</v>
      </c>
      <c r="B2980" s="8" t="str">
        <f>HYPERLINK("https://twitter.com/BigDataTweetBot","@BigDataTweetBot")</f>
        <v>@BigDataTweetBot</v>
      </c>
      <c r="C2980" s="10" t="s">
        <v>1440</v>
      </c>
      <c r="D2980" s="10" t="s">
        <v>6026</v>
      </c>
      <c r="E2980" s="11" t="str">
        <f>HYPERLINK("https://twitter.com/BigDataTweetBot/status/703273567530708994","703273567530708994")</f>
        <v>703273567530708994</v>
      </c>
      <c r="F2980" s="12" t="s">
        <v>1442</v>
      </c>
      <c r="G2980" s="13">
        <v>8623.0</v>
      </c>
      <c r="H2980" s="13">
        <v>243.0</v>
      </c>
      <c r="I2980" s="13">
        <v>6.0</v>
      </c>
      <c r="J2980" s="13">
        <v>0.0</v>
      </c>
      <c r="K2980" s="12" t="s">
        <v>21</v>
      </c>
      <c r="L2980" s="7">
        <v>42187.77106481481</v>
      </c>
      <c r="M2980" s="16"/>
      <c r="N2980" s="14" t="s">
        <v>1443</v>
      </c>
      <c r="O2980" s="11" t="str">
        <f>HYPERLINK("https://pbs.twimg.com/profile_images/616793252524650496/bQbxJqmz_normal.jpg","View")</f>
        <v>View</v>
      </c>
      <c r="P2980" s="15"/>
    </row>
    <row r="2981">
      <c r="A2981" s="7">
        <v>42426.403969907406</v>
      </c>
      <c r="B2981" s="8" t="str">
        <f>HYPERLINK("https://twitter.com/jobsalibaba","@jobsalibaba")</f>
        <v>@jobsalibaba</v>
      </c>
      <c r="C2981" s="10" t="s">
        <v>6061</v>
      </c>
      <c r="D2981" s="10" t="s">
        <v>6062</v>
      </c>
      <c r="E2981" s="11" t="str">
        <f>HYPERLINK("https://twitter.com/jobsalibaba/status/703273753115897856","703273753115897856")</f>
        <v>703273753115897856</v>
      </c>
      <c r="F2981" s="12" t="s">
        <v>1961</v>
      </c>
      <c r="G2981" s="13">
        <v>8139.0</v>
      </c>
      <c r="H2981" s="13">
        <v>8936.0</v>
      </c>
      <c r="I2981" s="13">
        <v>0.0</v>
      </c>
      <c r="J2981" s="13">
        <v>0.0</v>
      </c>
      <c r="K2981" s="12" t="s">
        <v>21</v>
      </c>
      <c r="L2981" s="7">
        <v>40328.24542824074</v>
      </c>
      <c r="M2981" s="14" t="s">
        <v>2994</v>
      </c>
      <c r="N2981" s="14" t="s">
        <v>6063</v>
      </c>
      <c r="O2981" s="11" t="str">
        <f>HYPERLINK("https://pbs.twimg.com/profile_images/537976680589955075/sJIVBYkt_normal.png","View")</f>
        <v>View</v>
      </c>
      <c r="P2981" s="15"/>
    </row>
    <row r="2982">
      <c r="A2982" s="7">
        <v>42426.40403935185</v>
      </c>
      <c r="B2982" s="8" t="str">
        <f>HYPERLINK("https://twitter.com/thinkingserious","@thinkingserious")</f>
        <v>@thinkingserious</v>
      </c>
      <c r="C2982" s="10" t="s">
        <v>6064</v>
      </c>
      <c r="D2982" s="10" t="s">
        <v>6065</v>
      </c>
      <c r="E2982" s="11" t="str">
        <f>HYPERLINK("https://twitter.com/thinkingserious/status/703273779829420032","703273779829420032")</f>
        <v>703273779829420032</v>
      </c>
      <c r="F2982" s="12" t="s">
        <v>20</v>
      </c>
      <c r="G2982" s="13">
        <v>2533.0</v>
      </c>
      <c r="H2982" s="13">
        <v>2738.0</v>
      </c>
      <c r="I2982" s="13">
        <v>0.0</v>
      </c>
      <c r="J2982" s="13">
        <v>0.0</v>
      </c>
      <c r="K2982" s="12" t="s">
        <v>21</v>
      </c>
      <c r="L2982" s="7">
        <v>39404.91900462963</v>
      </c>
      <c r="M2982" s="14" t="s">
        <v>6066</v>
      </c>
      <c r="N2982" s="14" t="s">
        <v>6067</v>
      </c>
      <c r="O2982" s="11" t="str">
        <f>HYPERLINK("https://pbs.twimg.com/profile_images/506159345621409792/i-MBmGvH_normal.jpeg","View")</f>
        <v>View</v>
      </c>
      <c r="P2982" s="15"/>
    </row>
    <row r="2983">
      <c r="A2983" s="7">
        <v>42426.404328703706</v>
      </c>
      <c r="B2983" s="8" t="str">
        <f>HYPERLINK("https://twitter.com/hersonls","@hersonls")</f>
        <v>@hersonls</v>
      </c>
      <c r="C2983" s="10" t="s">
        <v>6068</v>
      </c>
      <c r="D2983" s="10" t="s">
        <v>6069</v>
      </c>
      <c r="E2983" s="11" t="str">
        <f>HYPERLINK("https://twitter.com/hersonls/status/703273883936399360","703273883936399360")</f>
        <v>703273883936399360</v>
      </c>
      <c r="F2983" s="12" t="s">
        <v>98</v>
      </c>
      <c r="G2983" s="13">
        <v>382.0</v>
      </c>
      <c r="H2983" s="13">
        <v>573.0</v>
      </c>
      <c r="I2983" s="13">
        <v>0.0</v>
      </c>
      <c r="J2983" s="13">
        <v>1.0</v>
      </c>
      <c r="K2983" s="12" t="s">
        <v>21</v>
      </c>
      <c r="L2983" s="7">
        <v>39881.219675925924</v>
      </c>
      <c r="M2983" s="14" t="s">
        <v>6070</v>
      </c>
      <c r="N2983" s="14" t="s">
        <v>3503</v>
      </c>
      <c r="O2983" s="11" t="str">
        <f>HYPERLINK("https://pbs.twimg.com/profile_images/553197088809287680/6mIW-TUV_normal.jpeg","View")</f>
        <v>View</v>
      </c>
      <c r="P2983" s="15"/>
    </row>
    <row r="2984">
      <c r="A2984" s="7">
        <v>42426.40476851852</v>
      </c>
      <c r="B2984" s="8" t="str">
        <f>HYPERLINK("https://twitter.com/StackCodeReview","@StackCodeReview")</f>
        <v>@StackCodeReview</v>
      </c>
      <c r="C2984" s="10" t="s">
        <v>83</v>
      </c>
      <c r="D2984" s="10" t="s">
        <v>6071</v>
      </c>
      <c r="E2984" s="11" t="str">
        <f>HYPERLINK("https://twitter.com/StackCodeReview/status/703274042292305920","703274042292305920")</f>
        <v>703274042292305920</v>
      </c>
      <c r="F2984" s="12" t="s">
        <v>85</v>
      </c>
      <c r="G2984" s="13">
        <v>595.0</v>
      </c>
      <c r="H2984" s="13">
        <v>0.0</v>
      </c>
      <c r="I2984" s="13">
        <v>0.0</v>
      </c>
      <c r="J2984" s="13">
        <v>0.0</v>
      </c>
      <c r="K2984" s="12" t="s">
        <v>21</v>
      </c>
      <c r="L2984" s="7">
        <v>40562.104942129634</v>
      </c>
      <c r="M2984" s="14" t="s">
        <v>86</v>
      </c>
      <c r="N2984" s="14" t="s">
        <v>87</v>
      </c>
      <c r="O2984" s="11" t="str">
        <f>HYPERLINK("https://pbs.twimg.com/profile_images/669613362255282176/8iApenAA_normal.png","View")</f>
        <v>View</v>
      </c>
      <c r="P2984" s="15"/>
    </row>
    <row r="2985">
      <c r="A2985" s="7">
        <v>42426.405081018514</v>
      </c>
      <c r="B2985" s="8" t="str">
        <f>HYPERLINK("https://twitter.com/cool_python","@cool_python")</f>
        <v>@cool_python</v>
      </c>
      <c r="C2985" s="10" t="s">
        <v>249</v>
      </c>
      <c r="D2985" s="10" t="s">
        <v>3635</v>
      </c>
      <c r="E2985" s="11" t="str">
        <f>HYPERLINK("https://twitter.com/cool_python/status/703274155223949312","703274155223949312")</f>
        <v>703274155223949312</v>
      </c>
      <c r="F2985" s="12" t="s">
        <v>251</v>
      </c>
      <c r="G2985" s="13">
        <v>235.0</v>
      </c>
      <c r="H2985" s="13">
        <v>91.0</v>
      </c>
      <c r="I2985" s="13">
        <v>1.0</v>
      </c>
      <c r="J2985" s="13">
        <v>0.0</v>
      </c>
      <c r="K2985" s="12" t="s">
        <v>21</v>
      </c>
      <c r="L2985" s="7">
        <v>42064.325</v>
      </c>
      <c r="M2985" s="14" t="s">
        <v>252</v>
      </c>
      <c r="N2985" s="14" t="s">
        <v>253</v>
      </c>
      <c r="O2985" s="11" t="str">
        <f>HYPERLINK("https://pbs.twimg.com/profile_images/572091631055028224/Pkx__FSB_normal.png","View")</f>
        <v>View</v>
      </c>
      <c r="P2985" s="15"/>
    </row>
    <row r="2986">
      <c r="A2986" s="7">
        <v>42426.40560185185</v>
      </c>
      <c r="B2986" s="8" t="str">
        <f>HYPERLINK("https://twitter.com/min2bro","@min2bro")</f>
        <v>@min2bro</v>
      </c>
      <c r="C2986" s="10" t="s">
        <v>6072</v>
      </c>
      <c r="D2986" s="10" t="s">
        <v>6073</v>
      </c>
      <c r="E2986" s="11" t="str">
        <f>HYPERLINK("https://twitter.com/min2bro/status/703274343799906304","703274343799906304")</f>
        <v>703274343799906304</v>
      </c>
      <c r="F2986" s="12" t="s">
        <v>20</v>
      </c>
      <c r="G2986" s="13">
        <v>51.0</v>
      </c>
      <c r="H2986" s="13">
        <v>123.0</v>
      </c>
      <c r="I2986" s="13">
        <v>6.0</v>
      </c>
      <c r="J2986" s="13">
        <v>0.0</v>
      </c>
      <c r="K2986" s="12" t="s">
        <v>21</v>
      </c>
      <c r="L2986" s="7">
        <v>40208.810752314814</v>
      </c>
      <c r="M2986" s="14" t="s">
        <v>1999</v>
      </c>
      <c r="N2986" s="14" t="s">
        <v>6074</v>
      </c>
      <c r="O2986" s="11" t="str">
        <f>HYPERLINK("https://pbs.twimg.com/profile_images/536438268984696832/guBJ61gT_normal.jpeg","View")</f>
        <v>View</v>
      </c>
      <c r="P2986" s="15"/>
    </row>
    <row r="2987">
      <c r="A2987" s="7">
        <v>42426.40645833334</v>
      </c>
      <c r="B2987" s="8" t="str">
        <f>HYPERLINK("https://twitter.com/dirfooddrink","@dirfooddrink")</f>
        <v>@dirfooddrink</v>
      </c>
      <c r="C2987" s="10" t="s">
        <v>2028</v>
      </c>
      <c r="D2987" s="10" t="s">
        <v>6075</v>
      </c>
      <c r="E2987" s="11" t="str">
        <f>HYPERLINK("https://twitter.com/dirfooddrink/status/703274653536624641","703274653536624641")</f>
        <v>703274653536624641</v>
      </c>
      <c r="F2987" s="12" t="s">
        <v>103</v>
      </c>
      <c r="G2987" s="13">
        <v>1695.0</v>
      </c>
      <c r="H2987" s="13">
        <v>38.0</v>
      </c>
      <c r="I2987" s="13">
        <v>1.0</v>
      </c>
      <c r="J2987" s="13">
        <v>2.0</v>
      </c>
      <c r="K2987" s="12" t="s">
        <v>21</v>
      </c>
      <c r="L2987" s="7">
        <v>42233.43736111111</v>
      </c>
      <c r="M2987" s="14" t="s">
        <v>2030</v>
      </c>
      <c r="N2987" s="14" t="s">
        <v>2031</v>
      </c>
      <c r="O2987" s="11" t="str">
        <f>HYPERLINK("https://pbs.twimg.com/profile_images/657708133716881408/v7w4ki3M_normal.jpg","View")</f>
        <v>View</v>
      </c>
      <c r="P2987" s="15"/>
    </row>
    <row r="2988">
      <c r="A2988" s="7">
        <v>42426.40692129629</v>
      </c>
      <c r="B2988" s="8" t="str">
        <f>HYPERLINK("https://twitter.com/NoSQLDigest","@NoSQLDigest")</f>
        <v>@NoSQLDigest</v>
      </c>
      <c r="C2988" s="10" t="s">
        <v>200</v>
      </c>
      <c r="D2988" s="10" t="s">
        <v>6026</v>
      </c>
      <c r="E2988" s="11" t="str">
        <f>HYPERLINK("https://twitter.com/NoSQLDigest/status/703274820805353473","703274820805353473")</f>
        <v>703274820805353473</v>
      </c>
      <c r="F2988" s="12" t="s">
        <v>202</v>
      </c>
      <c r="G2988" s="13">
        <v>11375.0</v>
      </c>
      <c r="H2988" s="13">
        <v>12.0</v>
      </c>
      <c r="I2988" s="13">
        <v>6.0</v>
      </c>
      <c r="J2988" s="13">
        <v>0.0</v>
      </c>
      <c r="K2988" s="12" t="s">
        <v>21</v>
      </c>
      <c r="L2988" s="7">
        <v>41854.421805555554</v>
      </c>
      <c r="M2988" s="16"/>
      <c r="N2988" s="14" t="s">
        <v>203</v>
      </c>
      <c r="O2988" s="11" t="str">
        <f>HYPERLINK("https://pbs.twimg.com/profile_images/499257180009529344/CSWhr7LZ_normal.jpeg","View")</f>
        <v>View</v>
      </c>
      <c r="P2988" s="15"/>
    </row>
    <row r="2989">
      <c r="A2989" s="7">
        <v>42426.407048611116</v>
      </c>
      <c r="B2989" s="8" t="str">
        <f>HYPERLINK("https://twitter.com/ladjango","@ladjango")</f>
        <v>@ladjango</v>
      </c>
      <c r="C2989" s="10" t="s">
        <v>1971</v>
      </c>
      <c r="D2989" s="10" t="s">
        <v>6076</v>
      </c>
      <c r="E2989" s="11" t="str">
        <f>HYPERLINK("https://twitter.com/ladjango/status/703274867534209028","703274867534209028")</f>
        <v>703274867534209028</v>
      </c>
      <c r="F2989" s="12" t="s">
        <v>294</v>
      </c>
      <c r="G2989" s="13">
        <v>133.0</v>
      </c>
      <c r="H2989" s="13">
        <v>535.0</v>
      </c>
      <c r="I2989" s="13">
        <v>0.0</v>
      </c>
      <c r="J2989" s="13">
        <v>0.0</v>
      </c>
      <c r="K2989" s="12" t="s">
        <v>21</v>
      </c>
      <c r="L2989" s="7">
        <v>41190.523263888885</v>
      </c>
      <c r="M2989" s="14" t="s">
        <v>1973</v>
      </c>
      <c r="N2989" s="14" t="s">
        <v>1974</v>
      </c>
      <c r="O2989" s="11" t="str">
        <f>HYPERLINK("https://pbs.twimg.com/profile_images/2695663541/a7b6ea166a7bedc46c05f2f31ddba226_normal.jpeg","View")</f>
        <v>View</v>
      </c>
      <c r="P2989" s="15"/>
    </row>
    <row r="2990">
      <c r="A2990" s="7">
        <v>42426.40775462963</v>
      </c>
      <c r="B2990" s="8" t="str">
        <f>HYPERLINK("https://twitter.com/artwisanggeni","@artwisanggeni")</f>
        <v>@artwisanggeni</v>
      </c>
      <c r="C2990" s="10" t="s">
        <v>74</v>
      </c>
      <c r="D2990" s="10" t="s">
        <v>6077</v>
      </c>
      <c r="E2990" s="11" t="str">
        <f>HYPERLINK("https://twitter.com/artwisanggeni/status/703275125878075392","703275125878075392")</f>
        <v>703275125878075392</v>
      </c>
      <c r="F2990" s="17" t="s">
        <v>76</v>
      </c>
      <c r="G2990" s="13">
        <v>236.0</v>
      </c>
      <c r="H2990" s="13">
        <v>61.0</v>
      </c>
      <c r="I2990" s="13">
        <v>0.0</v>
      </c>
      <c r="J2990" s="13">
        <v>0.0</v>
      </c>
      <c r="K2990" s="12" t="s">
        <v>21</v>
      </c>
      <c r="L2990" s="7">
        <v>41218.90608796296</v>
      </c>
      <c r="M2990" s="14" t="s">
        <v>77</v>
      </c>
      <c r="N2990" s="14" t="s">
        <v>78</v>
      </c>
      <c r="O2990" s="11" t="str">
        <f>HYPERLINK("https://pbs.twimg.com/profile_images/2813636657/599521f69e2bc210a57323b64d8e39e6_normal.jpeg","View")</f>
        <v>View</v>
      </c>
      <c r="P2990" s="15"/>
    </row>
    <row r="2991">
      <c r="A2991" s="7">
        <v>42426.40802083333</v>
      </c>
      <c r="B2991" s="8" t="str">
        <f>HYPERLINK("https://twitter.com/JoshuaLongUK","@JoshuaLongUK")</f>
        <v>@JoshuaLongUK</v>
      </c>
      <c r="C2991" s="10" t="s">
        <v>101</v>
      </c>
      <c r="D2991" s="10" t="s">
        <v>6078</v>
      </c>
      <c r="E2991" s="11" t="str">
        <f>HYPERLINK("https://twitter.com/JoshuaLongUK/status/703275221248307200","703275221248307200")</f>
        <v>703275221248307200</v>
      </c>
      <c r="F2991" s="12" t="s">
        <v>103</v>
      </c>
      <c r="G2991" s="13">
        <v>25832.0</v>
      </c>
      <c r="H2991" s="13">
        <v>93.0</v>
      </c>
      <c r="I2991" s="13">
        <v>0.0</v>
      </c>
      <c r="J2991" s="13">
        <v>0.0</v>
      </c>
      <c r="K2991" s="12" t="s">
        <v>21</v>
      </c>
      <c r="L2991" s="7">
        <v>41149.39659722222</v>
      </c>
      <c r="M2991" s="14" t="s">
        <v>104</v>
      </c>
      <c r="N2991" s="14" t="s">
        <v>105</v>
      </c>
      <c r="O2991" s="11" t="str">
        <f>HYPERLINK("https://pbs.twimg.com/profile_images/627996138403168256/DaASdgVr_normal.jpg","View")</f>
        <v>View</v>
      </c>
      <c r="P2991" s="15"/>
    </row>
    <row r="2992">
      <c r="A2992" s="7">
        <v>42426.4086574074</v>
      </c>
      <c r="B2992" s="8" t="str">
        <f>HYPERLINK("https://twitter.com/quick_net","@quick_net")</f>
        <v>@quick_net</v>
      </c>
      <c r="C2992" s="10" t="s">
        <v>6079</v>
      </c>
      <c r="D2992" s="10" t="s">
        <v>6080</v>
      </c>
      <c r="E2992" s="11" t="str">
        <f>HYPERLINK("https://twitter.com/quick_net/status/703275451335254016","703275451335254016")</f>
        <v>703275451335254016</v>
      </c>
      <c r="F2992" s="12" t="s">
        <v>124</v>
      </c>
      <c r="G2992" s="13">
        <v>33.0</v>
      </c>
      <c r="H2992" s="13">
        <v>134.0</v>
      </c>
      <c r="I2992" s="13">
        <v>0.0</v>
      </c>
      <c r="J2992" s="13">
        <v>0.0</v>
      </c>
      <c r="K2992" s="12" t="s">
        <v>21</v>
      </c>
      <c r="L2992" s="7">
        <v>40986.632199074076</v>
      </c>
      <c r="M2992" s="16"/>
      <c r="N2992" s="14" t="s">
        <v>6081</v>
      </c>
      <c r="O2992" s="11" t="str">
        <f>HYPERLINK("https://pbs.twimg.com/profile_images/585780181266075649/lBwNyYs3_normal.png","View")</f>
        <v>View</v>
      </c>
      <c r="P2992" s="15"/>
    </row>
    <row r="2993">
      <c r="A2993" s="7">
        <v>42426.41033564815</v>
      </c>
      <c r="B2993" s="8" t="str">
        <f>HYPERLINK("https://twitter.com/Jice_Lavocat","@Jice_Lavocat")</f>
        <v>@Jice_Lavocat</v>
      </c>
      <c r="C2993" s="10" t="s">
        <v>6082</v>
      </c>
      <c r="D2993" s="10" t="s">
        <v>427</v>
      </c>
      <c r="E2993" s="11" t="str">
        <f>HYPERLINK("https://twitter.com/Jice_Lavocat/status/703276061346373632","703276061346373632")</f>
        <v>703276061346373632</v>
      </c>
      <c r="F2993" s="12" t="s">
        <v>446</v>
      </c>
      <c r="G2993" s="13">
        <v>1226.0</v>
      </c>
      <c r="H2993" s="13">
        <v>1606.0</v>
      </c>
      <c r="I2993" s="13">
        <v>7.0</v>
      </c>
      <c r="J2993" s="13">
        <v>0.0</v>
      </c>
      <c r="K2993" s="12" t="s">
        <v>21</v>
      </c>
      <c r="L2993" s="7">
        <v>39765.09229166667</v>
      </c>
      <c r="M2993" s="14" t="s">
        <v>6083</v>
      </c>
      <c r="N2993" s="14" t="s">
        <v>6084</v>
      </c>
      <c r="O2993" s="11" t="str">
        <f>HYPERLINK("https://pbs.twimg.com/profile_images/553202069666934785/10aD-_Hm_normal.png","View")</f>
        <v>View</v>
      </c>
      <c r="P2993" s="15"/>
    </row>
    <row r="2994">
      <c r="A2994" s="7">
        <v>42426.410416666666</v>
      </c>
      <c r="B2994" s="8" t="str">
        <f>HYPERLINK("https://twitter.com/art_control","@art_control")</f>
        <v>@art_control</v>
      </c>
      <c r="C2994" s="10" t="s">
        <v>309</v>
      </c>
      <c r="D2994" s="10" t="s">
        <v>6085</v>
      </c>
      <c r="E2994" s="11" t="str">
        <f>HYPERLINK("https://twitter.com/art_control/status/703276090652020736","703276090652020736")</f>
        <v>703276090652020736</v>
      </c>
      <c r="F2994" s="12" t="s">
        <v>311</v>
      </c>
      <c r="G2994" s="13">
        <v>989.0</v>
      </c>
      <c r="H2994" s="13">
        <v>850.0</v>
      </c>
      <c r="I2994" s="13">
        <v>0.0</v>
      </c>
      <c r="J2994" s="13">
        <v>0.0</v>
      </c>
      <c r="K2994" s="12" t="s">
        <v>21</v>
      </c>
      <c r="L2994" s="7">
        <v>39896.869675925926</v>
      </c>
      <c r="M2994" s="14" t="s">
        <v>312</v>
      </c>
      <c r="N2994" s="14" t="s">
        <v>313</v>
      </c>
      <c r="O2994" s="11" t="str">
        <f>HYPERLINK("https://pbs.twimg.com/profile_images/649004216690675712/UAcrP6ol_normal.png","View")</f>
        <v>View</v>
      </c>
      <c r="P2994" s="15"/>
    </row>
    <row r="2995">
      <c r="A2995" s="7">
        <v>42426.41042824074</v>
      </c>
      <c r="B2995" s="8" t="str">
        <f>HYPERLINK("https://twitter.com/Raspberry_Pi","@Raspberry_Pi")</f>
        <v>@Raspberry_Pi</v>
      </c>
      <c r="C2995" s="10" t="s">
        <v>6086</v>
      </c>
      <c r="D2995" s="10" t="s">
        <v>5655</v>
      </c>
      <c r="E2995" s="11" t="str">
        <f>HYPERLINK("https://twitter.com/Raspberry_Pi/status/703276093734830080","703276093734830080")</f>
        <v>703276093734830080</v>
      </c>
      <c r="F2995" s="12" t="s">
        <v>446</v>
      </c>
      <c r="G2995" s="13">
        <v>267286.0</v>
      </c>
      <c r="H2995" s="13">
        <v>717.0</v>
      </c>
      <c r="I2995" s="13">
        <v>7.0</v>
      </c>
      <c r="J2995" s="13">
        <v>0.0</v>
      </c>
      <c r="K2995" s="12" t="s">
        <v>21</v>
      </c>
      <c r="L2995" s="7">
        <v>40684.34768518519</v>
      </c>
      <c r="M2995" s="14" t="s">
        <v>2833</v>
      </c>
      <c r="N2995" s="14" t="s">
        <v>6087</v>
      </c>
      <c r="O2995" s="11" t="str">
        <f>HYPERLINK("https://pbs.twimg.com/profile_images/703215307066904576/xZOr5kMf_normal.jpg","View")</f>
        <v>View</v>
      </c>
      <c r="P2995" s="15"/>
    </row>
    <row r="2996">
      <c r="A2996" s="7">
        <v>42426.41065972223</v>
      </c>
      <c r="B2996" s="8" t="str">
        <f>HYPERLINK("https://twitter.com/py3k","@py3k")</f>
        <v>@py3k</v>
      </c>
      <c r="C2996" s="10" t="s">
        <v>297</v>
      </c>
      <c r="D2996" s="10" t="s">
        <v>6088</v>
      </c>
      <c r="E2996" s="11" t="str">
        <f>HYPERLINK("https://twitter.com/py3k/status/703276177163730945","703276177163730945")</f>
        <v>703276177163730945</v>
      </c>
      <c r="F2996" s="12" t="s">
        <v>299</v>
      </c>
      <c r="G2996" s="13">
        <v>1623.0</v>
      </c>
      <c r="H2996" s="13">
        <v>676.0</v>
      </c>
      <c r="I2996" s="13">
        <v>1.0</v>
      </c>
      <c r="J2996" s="13">
        <v>0.0</v>
      </c>
      <c r="K2996" s="12" t="s">
        <v>21</v>
      </c>
      <c r="L2996" s="7">
        <v>41096.62268518518</v>
      </c>
      <c r="M2996" s="16"/>
      <c r="N2996" s="14" t="s">
        <v>300</v>
      </c>
      <c r="O2996" s="11" t="str">
        <f>HYPERLINK("https://pbs.twimg.com/profile_images/2474433856/p075cerxh0arpea6ceip_normal.png","View")</f>
        <v>View</v>
      </c>
      <c r="P2996" s="15"/>
    </row>
    <row r="2997">
      <c r="A2997" s="7">
        <v>42426.41112268518</v>
      </c>
      <c r="B2997" s="8" t="str">
        <f>HYPERLINK("https://twitter.com/cool_python","@cool_python")</f>
        <v>@cool_python</v>
      </c>
      <c r="C2997" s="10" t="s">
        <v>249</v>
      </c>
      <c r="D2997" s="10" t="s">
        <v>6089</v>
      </c>
      <c r="E2997" s="11" t="str">
        <f>HYPERLINK("https://twitter.com/cool_python/status/703276344071872512","703276344071872512")</f>
        <v>703276344071872512</v>
      </c>
      <c r="F2997" s="12" t="s">
        <v>251</v>
      </c>
      <c r="G2997" s="13">
        <v>235.0</v>
      </c>
      <c r="H2997" s="13">
        <v>91.0</v>
      </c>
      <c r="I2997" s="13">
        <v>1.0</v>
      </c>
      <c r="J2997" s="13">
        <v>0.0</v>
      </c>
      <c r="K2997" s="12" t="s">
        <v>21</v>
      </c>
      <c r="L2997" s="7">
        <v>42064.325</v>
      </c>
      <c r="M2997" s="14" t="s">
        <v>252</v>
      </c>
      <c r="N2997" s="14" t="s">
        <v>253</v>
      </c>
      <c r="O2997" s="11" t="str">
        <f>HYPERLINK("https://pbs.twimg.com/profile_images/572091631055028224/Pkx__FSB_normal.png","View")</f>
        <v>View</v>
      </c>
      <c r="P2997" s="15"/>
    </row>
    <row r="2998">
      <c r="A2998" s="7">
        <v>42426.411261574074</v>
      </c>
      <c r="B2998" s="8" t="str">
        <f>HYPERLINK("https://twitter.com/vinnie_p","@vinnie_p")</f>
        <v>@vinnie_p</v>
      </c>
      <c r="C2998" s="10" t="s">
        <v>6090</v>
      </c>
      <c r="D2998" s="10" t="s">
        <v>5655</v>
      </c>
      <c r="E2998" s="11" t="str">
        <f>HYPERLINK("https://twitter.com/vinnie_p/status/703276396781641728","703276396781641728")</f>
        <v>703276396781641728</v>
      </c>
      <c r="F2998" s="12" t="s">
        <v>52</v>
      </c>
      <c r="G2998" s="13">
        <v>123.0</v>
      </c>
      <c r="H2998" s="13">
        <v>211.0</v>
      </c>
      <c r="I2998" s="13">
        <v>7.0</v>
      </c>
      <c r="J2998" s="13">
        <v>0.0</v>
      </c>
      <c r="K2998" s="12" t="s">
        <v>21</v>
      </c>
      <c r="L2998" s="7">
        <v>39919.52748842593</v>
      </c>
      <c r="M2998" s="14" t="s">
        <v>6091</v>
      </c>
      <c r="N2998" s="14" t="s">
        <v>6092</v>
      </c>
      <c r="O2998" s="11" t="str">
        <f>HYPERLINK("https://pbs.twimg.com/profile_images/378800000510562344/da38885b3bd871a37ff94cee4e1c356d_normal.jpeg","View")</f>
        <v>View</v>
      </c>
      <c r="P2998" s="15"/>
    </row>
    <row r="2999">
      <c r="A2999" s="7">
        <v>42426.41131944444</v>
      </c>
      <c r="B2999" s="8" t="str">
        <f t="shared" ref="B2999:B3000" si="313">HYPERLINK("https://twitter.com/LillianEdmiston","@LillianEdmiston")</f>
        <v>@LillianEdmiston</v>
      </c>
      <c r="C2999" s="10" t="s">
        <v>170</v>
      </c>
      <c r="D2999" s="10" t="s">
        <v>6093</v>
      </c>
      <c r="E2999" s="11" t="str">
        <f>HYPERLINK("https://twitter.com/LillianEdmiston/status/703276416364838917","703276416364838917")</f>
        <v>703276416364838917</v>
      </c>
      <c r="F2999" s="12" t="s">
        <v>103</v>
      </c>
      <c r="G2999" s="13">
        <v>1050.0</v>
      </c>
      <c r="H2999" s="13">
        <v>40.0</v>
      </c>
      <c r="I2999" s="13">
        <v>1.0</v>
      </c>
      <c r="J2999" s="13">
        <v>0.0</v>
      </c>
      <c r="K2999" s="12" t="s">
        <v>21</v>
      </c>
      <c r="L2999" s="7">
        <v>42293.27416666667</v>
      </c>
      <c r="M2999" s="14" t="s">
        <v>172</v>
      </c>
      <c r="N2999" s="14" t="s">
        <v>173</v>
      </c>
      <c r="O2999" s="11" t="str">
        <f t="shared" ref="O2999:O3000" si="314">HYPERLINK("https://pbs.twimg.com/profile_images/655014978101993476/ZpsnJW8B_normal.jpg","View")</f>
        <v>View</v>
      </c>
      <c r="P2999" s="15"/>
    </row>
    <row r="3000">
      <c r="A3000" s="7">
        <v>42426.41133101852</v>
      </c>
      <c r="B3000" s="8" t="str">
        <f t="shared" si="313"/>
        <v>@LillianEdmiston</v>
      </c>
      <c r="C3000" s="10" t="s">
        <v>170</v>
      </c>
      <c r="D3000" s="10" t="s">
        <v>6094</v>
      </c>
      <c r="E3000" s="11" t="str">
        <f>HYPERLINK("https://twitter.com/LillianEdmiston/status/703276418743009281","703276418743009281")</f>
        <v>703276418743009281</v>
      </c>
      <c r="F3000" s="12" t="s">
        <v>103</v>
      </c>
      <c r="G3000" s="13">
        <v>1050.0</v>
      </c>
      <c r="H3000" s="13">
        <v>40.0</v>
      </c>
      <c r="I3000" s="13">
        <v>1.0</v>
      </c>
      <c r="J3000" s="13">
        <v>0.0</v>
      </c>
      <c r="K3000" s="12" t="s">
        <v>21</v>
      </c>
      <c r="L3000" s="7">
        <v>42293.27416666667</v>
      </c>
      <c r="M3000" s="14" t="s">
        <v>172</v>
      </c>
      <c r="N3000" s="14" t="s">
        <v>173</v>
      </c>
      <c r="O3000" s="11" t="str">
        <f t="shared" si="314"/>
        <v>View</v>
      </c>
      <c r="P3000" s="15"/>
    </row>
    <row r="3001">
      <c r="A3001" s="7">
        <v>42426.41133101852</v>
      </c>
      <c r="B3001" s="8" t="str">
        <f t="shared" ref="B3001:B3002" si="315">HYPERLINK("https://twitter.com/ameanmbot","@ameanmbot")</f>
        <v>@ameanmbot</v>
      </c>
      <c r="C3001" s="10" t="s">
        <v>174</v>
      </c>
      <c r="D3001" s="10" t="s">
        <v>6095</v>
      </c>
      <c r="E3001" s="11" t="str">
        <f>HYPERLINK("https://twitter.com/ameanmbot/status/703276419401555969","703276419401555969")</f>
        <v>703276419401555969</v>
      </c>
      <c r="F3001" s="12" t="s">
        <v>176</v>
      </c>
      <c r="G3001" s="13">
        <v>3291.0</v>
      </c>
      <c r="H3001" s="13">
        <v>1.0</v>
      </c>
      <c r="I3001" s="13">
        <v>1.0</v>
      </c>
      <c r="J3001" s="13">
        <v>0.0</v>
      </c>
      <c r="K3001" s="12" t="s">
        <v>21</v>
      </c>
      <c r="L3001" s="7">
        <v>41814.009733796294</v>
      </c>
      <c r="M3001" s="16"/>
      <c r="N3001" s="14" t="s">
        <v>177</v>
      </c>
      <c r="O3001" s="11" t="str">
        <f t="shared" ref="O3001:O3002" si="316">HYPERLINK("https://pbs.twimg.com/profile_images/481334978161029120/iu3zZFEk_normal.png","View")</f>
        <v>View</v>
      </c>
      <c r="P3001" s="15"/>
    </row>
    <row r="3002">
      <c r="A3002" s="7">
        <v>42426.41133101852</v>
      </c>
      <c r="B3002" s="8" t="str">
        <f t="shared" si="315"/>
        <v>@ameanmbot</v>
      </c>
      <c r="C3002" s="10" t="s">
        <v>174</v>
      </c>
      <c r="D3002" s="10" t="s">
        <v>6096</v>
      </c>
      <c r="E3002" s="11" t="str">
        <f>HYPERLINK("https://twitter.com/ameanmbot/status/703276420924104704","703276420924104704")</f>
        <v>703276420924104704</v>
      </c>
      <c r="F3002" s="12" t="s">
        <v>176</v>
      </c>
      <c r="G3002" s="13">
        <v>3291.0</v>
      </c>
      <c r="H3002" s="13">
        <v>1.0</v>
      </c>
      <c r="I3002" s="13">
        <v>1.0</v>
      </c>
      <c r="J3002" s="13">
        <v>0.0</v>
      </c>
      <c r="K3002" s="12" t="s">
        <v>21</v>
      </c>
      <c r="L3002" s="7">
        <v>41814.009733796294</v>
      </c>
      <c r="M3002" s="16"/>
      <c r="N3002" s="14" t="s">
        <v>177</v>
      </c>
      <c r="O3002" s="11" t="str">
        <f t="shared" si="316"/>
        <v>View</v>
      </c>
      <c r="P3002" s="15"/>
    </row>
    <row r="3003">
      <c r="A3003" s="7">
        <v>42426.41133101852</v>
      </c>
      <c r="B3003" s="8" t="str">
        <f>HYPERLINK("https://twitter.com/LillianEdmiston","@LillianEdmiston")</f>
        <v>@LillianEdmiston</v>
      </c>
      <c r="C3003" s="10" t="s">
        <v>170</v>
      </c>
      <c r="D3003" s="10" t="s">
        <v>6097</v>
      </c>
      <c r="E3003" s="11" t="str">
        <f>HYPERLINK("https://twitter.com/LillianEdmiston/status/703276421049925632","703276421049925632")</f>
        <v>703276421049925632</v>
      </c>
      <c r="F3003" s="12" t="s">
        <v>103</v>
      </c>
      <c r="G3003" s="13">
        <v>1050.0</v>
      </c>
      <c r="H3003" s="13">
        <v>40.0</v>
      </c>
      <c r="I3003" s="13">
        <v>1.0</v>
      </c>
      <c r="J3003" s="13">
        <v>0.0</v>
      </c>
      <c r="K3003" s="12" t="s">
        <v>21</v>
      </c>
      <c r="L3003" s="7">
        <v>42293.27416666667</v>
      </c>
      <c r="M3003" s="14" t="s">
        <v>172</v>
      </c>
      <c r="N3003" s="14" t="s">
        <v>173</v>
      </c>
      <c r="O3003" s="11" t="str">
        <f>HYPERLINK("https://pbs.twimg.com/profile_images/655014978101993476/ZpsnJW8B_normal.jpg","View")</f>
        <v>View</v>
      </c>
      <c r="P3003" s="15"/>
    </row>
    <row r="3004">
      <c r="A3004" s="7">
        <v>42426.41134259259</v>
      </c>
      <c r="B3004" s="8" t="str">
        <f>HYPERLINK("https://twitter.com/ameanmbot","@ameanmbot")</f>
        <v>@ameanmbot</v>
      </c>
      <c r="C3004" s="10" t="s">
        <v>174</v>
      </c>
      <c r="D3004" s="10" t="s">
        <v>6098</v>
      </c>
      <c r="E3004" s="11" t="str">
        <f>HYPERLINK("https://twitter.com/ameanmbot/status/703276423218388992","703276423218388992")</f>
        <v>703276423218388992</v>
      </c>
      <c r="F3004" s="12" t="s">
        <v>176</v>
      </c>
      <c r="G3004" s="13">
        <v>3291.0</v>
      </c>
      <c r="H3004" s="13">
        <v>1.0</v>
      </c>
      <c r="I3004" s="13">
        <v>1.0</v>
      </c>
      <c r="J3004" s="13">
        <v>0.0</v>
      </c>
      <c r="K3004" s="12" t="s">
        <v>21</v>
      </c>
      <c r="L3004" s="7">
        <v>41814.009733796294</v>
      </c>
      <c r="M3004" s="16"/>
      <c r="N3004" s="14" t="s">
        <v>177</v>
      </c>
      <c r="O3004" s="11" t="str">
        <f>HYPERLINK("https://pbs.twimg.com/profile_images/481334978161029120/iu3zZFEk_normal.png","View")</f>
        <v>View</v>
      </c>
      <c r="P3004" s="15"/>
    </row>
    <row r="3005">
      <c r="A3005" s="7">
        <v>42426.41134259259</v>
      </c>
      <c r="B3005" s="8" t="str">
        <f>HYPERLINK("https://twitter.com/fsugann","@fsugann")</f>
        <v>@fsugann</v>
      </c>
      <c r="C3005" s="10" t="s">
        <v>6099</v>
      </c>
      <c r="D3005" s="10" t="s">
        <v>5655</v>
      </c>
      <c r="E3005" s="11" t="str">
        <f>HYPERLINK("https://twitter.com/fsugann/status/703276424736575488","703276424736575488")</f>
        <v>703276424736575488</v>
      </c>
      <c r="F3005" s="12" t="s">
        <v>152</v>
      </c>
      <c r="G3005" s="13">
        <v>1.0</v>
      </c>
      <c r="H3005" s="13">
        <v>15.0</v>
      </c>
      <c r="I3005" s="13">
        <v>7.0</v>
      </c>
      <c r="J3005" s="13">
        <v>0.0</v>
      </c>
      <c r="K3005" s="12" t="s">
        <v>21</v>
      </c>
      <c r="L3005" s="7">
        <v>42411.99288194445</v>
      </c>
      <c r="M3005" s="16"/>
      <c r="N3005" s="16"/>
      <c r="O3005" s="11" t="str">
        <f>HYPERLINK("https://pbs.twimg.com/profile_images/698079437380722688/GzyQI9U5_normal.jpg","View")</f>
        <v>View</v>
      </c>
      <c r="P3005" s="15"/>
    </row>
    <row r="3006">
      <c r="A3006" s="7">
        <v>42426.41136574074</v>
      </c>
      <c r="B3006" s="8" t="str">
        <f>HYPERLINK("https://twitter.com/LillianEdmiston","@LillianEdmiston")</f>
        <v>@LillianEdmiston</v>
      </c>
      <c r="C3006" s="10" t="s">
        <v>170</v>
      </c>
      <c r="D3006" s="10" t="s">
        <v>6100</v>
      </c>
      <c r="E3006" s="11" t="str">
        <f>HYPERLINK("https://twitter.com/LillianEdmiston/status/703276434232578048","703276434232578048")</f>
        <v>703276434232578048</v>
      </c>
      <c r="F3006" s="12" t="s">
        <v>103</v>
      </c>
      <c r="G3006" s="13">
        <v>1050.0</v>
      </c>
      <c r="H3006" s="13">
        <v>40.0</v>
      </c>
      <c r="I3006" s="13">
        <v>1.0</v>
      </c>
      <c r="J3006" s="13">
        <v>0.0</v>
      </c>
      <c r="K3006" s="12" t="s">
        <v>21</v>
      </c>
      <c r="L3006" s="7">
        <v>42293.27416666667</v>
      </c>
      <c r="M3006" s="14" t="s">
        <v>172</v>
      </c>
      <c r="N3006" s="14" t="s">
        <v>173</v>
      </c>
      <c r="O3006" s="11" t="str">
        <f>HYPERLINK("https://pbs.twimg.com/profile_images/655014978101993476/ZpsnJW8B_normal.jpg","View")</f>
        <v>View</v>
      </c>
      <c r="P3006" s="15"/>
    </row>
    <row r="3007">
      <c r="A3007" s="7">
        <v>42426.41137731481</v>
      </c>
      <c r="B3007" s="8" t="str">
        <f>HYPERLINK("https://twitter.com/ameanmbot","@ameanmbot")</f>
        <v>@ameanmbot</v>
      </c>
      <c r="C3007" s="10" t="s">
        <v>174</v>
      </c>
      <c r="D3007" s="10" t="s">
        <v>6101</v>
      </c>
      <c r="E3007" s="11" t="str">
        <f>HYPERLINK("https://twitter.com/ameanmbot/status/703276436543635456","703276436543635456")</f>
        <v>703276436543635456</v>
      </c>
      <c r="F3007" s="12" t="s">
        <v>176</v>
      </c>
      <c r="G3007" s="13">
        <v>3291.0</v>
      </c>
      <c r="H3007" s="13">
        <v>1.0</v>
      </c>
      <c r="I3007" s="13">
        <v>1.0</v>
      </c>
      <c r="J3007" s="13">
        <v>0.0</v>
      </c>
      <c r="K3007" s="12" t="s">
        <v>21</v>
      </c>
      <c r="L3007" s="7">
        <v>41814.009733796294</v>
      </c>
      <c r="M3007" s="16"/>
      <c r="N3007" s="14" t="s">
        <v>177</v>
      </c>
      <c r="O3007" s="11" t="str">
        <f>HYPERLINK("https://pbs.twimg.com/profile_images/481334978161029120/iu3zZFEk_normal.png","View")</f>
        <v>View</v>
      </c>
      <c r="P3007" s="15"/>
    </row>
    <row r="3008">
      <c r="A3008" s="7">
        <v>42426.411828703705</v>
      </c>
      <c r="B3008" s="8" t="str">
        <f>HYPERLINK("https://twitter.com/chrisjrn","@chrisjrn")</f>
        <v>@chrisjrn</v>
      </c>
      <c r="C3008" s="10" t="s">
        <v>6102</v>
      </c>
      <c r="D3008" s="10" t="s">
        <v>6103</v>
      </c>
      <c r="E3008" s="11" t="str">
        <f>HYPERLINK("https://twitter.com/chrisjrn/status/703276600679223296","703276600679223296")</f>
        <v>703276600679223296</v>
      </c>
      <c r="F3008" s="12" t="s">
        <v>446</v>
      </c>
      <c r="G3008" s="13">
        <v>1980.0</v>
      </c>
      <c r="H3008" s="13">
        <v>854.0</v>
      </c>
      <c r="I3008" s="13">
        <v>0.0</v>
      </c>
      <c r="J3008" s="13">
        <v>0.0</v>
      </c>
      <c r="K3008" s="12" t="s">
        <v>21</v>
      </c>
      <c r="L3008" s="7">
        <v>39949.18996527778</v>
      </c>
      <c r="M3008" s="14" t="s">
        <v>6104</v>
      </c>
      <c r="N3008" s="14" t="s">
        <v>6105</v>
      </c>
      <c r="O3008" s="11" t="str">
        <f>HYPERLINK("https://pbs.twimg.com/profile_images/626843600395972609/q0pGljQG_normal.jpg","View")</f>
        <v>View</v>
      </c>
      <c r="P3008" s="15"/>
    </row>
    <row r="3009">
      <c r="A3009" s="7">
        <v>42426.41320601852</v>
      </c>
      <c r="B3009" s="8" t="str">
        <f>HYPERLINK("https://twitter.com/tyrower","@tyrower")</f>
        <v>@tyrower</v>
      </c>
      <c r="C3009" s="10" t="s">
        <v>6106</v>
      </c>
      <c r="D3009" s="10" t="s">
        <v>5655</v>
      </c>
      <c r="E3009" s="11" t="str">
        <f>HYPERLINK("https://twitter.com/tyrower/status/703277101189865472","703277101189865472")</f>
        <v>703277101189865472</v>
      </c>
      <c r="F3009" s="12" t="s">
        <v>152</v>
      </c>
      <c r="G3009" s="13">
        <v>1064.0</v>
      </c>
      <c r="H3009" s="13">
        <v>2441.0</v>
      </c>
      <c r="I3009" s="13">
        <v>7.0</v>
      </c>
      <c r="J3009" s="13">
        <v>0.0</v>
      </c>
      <c r="K3009" s="12" t="s">
        <v>21</v>
      </c>
      <c r="L3009" s="7">
        <v>41187.632418981484</v>
      </c>
      <c r="M3009" s="14" t="s">
        <v>6107</v>
      </c>
      <c r="N3009" s="14" t="s">
        <v>6108</v>
      </c>
      <c r="O3009" s="11" t="str">
        <f>HYPERLINK("https://pbs.twimg.com/profile_images/694290634920693760/UzMQ1qyB_normal.png","View")</f>
        <v>View</v>
      </c>
      <c r="P3009" s="15"/>
    </row>
    <row r="3010">
      <c r="A3010" s="7">
        <v>42426.413310185184</v>
      </c>
      <c r="B3010" s="8" t="str">
        <f>HYPERLINK("https://twitter.com/DebianNew","@DebianNew")</f>
        <v>@DebianNew</v>
      </c>
      <c r="C3010" s="10" t="s">
        <v>6109</v>
      </c>
      <c r="D3010" s="10" t="s">
        <v>6110</v>
      </c>
      <c r="E3010" s="11" t="str">
        <f>HYPERLINK("https://twitter.com/DebianNew/status/703277136459776000","703277136459776000")</f>
        <v>703277136459776000</v>
      </c>
      <c r="F3010" s="12" t="s">
        <v>3928</v>
      </c>
      <c r="G3010" s="13">
        <v>1034.0</v>
      </c>
      <c r="H3010" s="13">
        <v>3.0</v>
      </c>
      <c r="I3010" s="13">
        <v>0.0</v>
      </c>
      <c r="J3010" s="13">
        <v>0.0</v>
      </c>
      <c r="K3010" s="12" t="s">
        <v>21</v>
      </c>
      <c r="L3010" s="7">
        <v>40752.268784722226</v>
      </c>
      <c r="M3010" s="16"/>
      <c r="N3010" s="14" t="s">
        <v>6111</v>
      </c>
      <c r="O3010" s="11" t="str">
        <f>HYPERLINK("https://pbs.twimg.com/profile_images/1511083240/495353-96-20110728133130_normal.png","View")</f>
        <v>View</v>
      </c>
      <c r="P3010" s="15"/>
    </row>
    <row r="3011">
      <c r="A3011" s="7">
        <v>42426.41346064815</v>
      </c>
      <c r="B3011" s="8" t="str">
        <f>HYPERLINK("https://twitter.com/startechwall","@startechwall")</f>
        <v>@startechwall</v>
      </c>
      <c r="C3011" s="10" t="s">
        <v>1478</v>
      </c>
      <c r="D3011" s="10" t="s">
        <v>6112</v>
      </c>
      <c r="E3011" s="11" t="str">
        <f>HYPERLINK("https://twitter.com/startechwall/status/703277193644941312","703277193644941312")</f>
        <v>703277193644941312</v>
      </c>
      <c r="F3011" s="12" t="s">
        <v>103</v>
      </c>
      <c r="G3011" s="13">
        <v>557.0</v>
      </c>
      <c r="H3011" s="13">
        <v>859.0</v>
      </c>
      <c r="I3011" s="13">
        <v>0.0</v>
      </c>
      <c r="J3011" s="13">
        <v>0.0</v>
      </c>
      <c r="K3011" s="12" t="s">
        <v>21</v>
      </c>
      <c r="L3011" s="7">
        <v>42360.959502314814</v>
      </c>
      <c r="M3011" s="14" t="s">
        <v>1480</v>
      </c>
      <c r="N3011" s="14" t="s">
        <v>1481</v>
      </c>
      <c r="O3011" s="11" t="str">
        <f>HYPERLINK("https://pbs.twimg.com/profile_images/679566117187145728/UUo30Zpm_normal.jpg","View")</f>
        <v>View</v>
      </c>
      <c r="P3011" s="15"/>
    </row>
    <row r="3012">
      <c r="A3012" s="7">
        <v>42426.41355324074</v>
      </c>
      <c r="B3012" s="8" t="str">
        <f>HYPERLINK("https://twitter.com/hausfath","@hausfath")</f>
        <v>@hausfath</v>
      </c>
      <c r="C3012" s="10" t="s">
        <v>6113</v>
      </c>
      <c r="D3012" s="10" t="s">
        <v>5561</v>
      </c>
      <c r="E3012" s="11" t="str">
        <f>HYPERLINK("https://twitter.com/hausfath/status/703277223545942020","703277223545942020")</f>
        <v>703277223545942020</v>
      </c>
      <c r="F3012" s="12" t="s">
        <v>52</v>
      </c>
      <c r="G3012" s="13">
        <v>578.0</v>
      </c>
      <c r="H3012" s="13">
        <v>129.0</v>
      </c>
      <c r="I3012" s="13">
        <v>5.0</v>
      </c>
      <c r="J3012" s="13">
        <v>0.0</v>
      </c>
      <c r="K3012" s="12" t="s">
        <v>21</v>
      </c>
      <c r="L3012" s="7">
        <v>39631.900972222225</v>
      </c>
      <c r="M3012" s="14" t="s">
        <v>1325</v>
      </c>
      <c r="N3012" s="14" t="s">
        <v>6114</v>
      </c>
      <c r="O3012" s="11" t="str">
        <f>HYPERLINK("https://pbs.twimg.com/profile_images/489852192430366720/vv2Vmv4v_normal.jpeg","View")</f>
        <v>View</v>
      </c>
      <c r="P3012" s="15"/>
    </row>
    <row r="3013">
      <c r="A3013" s="7">
        <v>42426.41427083334</v>
      </c>
      <c r="B3013" s="8" t="str">
        <f>HYPERLINK("https://twitter.com/ZLabe","@ZLabe")</f>
        <v>@ZLabe</v>
      </c>
      <c r="C3013" s="10" t="s">
        <v>6115</v>
      </c>
      <c r="D3013" s="10" t="s">
        <v>5561</v>
      </c>
      <c r="E3013" s="11" t="str">
        <f>HYPERLINK("https://twitter.com/ZLabe/status/703277483987054592","703277483987054592")</f>
        <v>703277483987054592</v>
      </c>
      <c r="F3013" s="12" t="s">
        <v>20</v>
      </c>
      <c r="G3013" s="13">
        <v>1044.0</v>
      </c>
      <c r="H3013" s="13">
        <v>803.0</v>
      </c>
      <c r="I3013" s="13">
        <v>5.0</v>
      </c>
      <c r="J3013" s="13">
        <v>0.0</v>
      </c>
      <c r="K3013" s="12" t="s">
        <v>21</v>
      </c>
      <c r="L3013" s="7">
        <v>40752.735</v>
      </c>
      <c r="M3013" s="14" t="s">
        <v>6116</v>
      </c>
      <c r="N3013" s="14" t="s">
        <v>6117</v>
      </c>
      <c r="O3013" s="11" t="str">
        <f>HYPERLINK("https://pbs.twimg.com/profile_images/696234847606411265/XS0i6RGM_normal.jpg","View")</f>
        <v>View</v>
      </c>
      <c r="P3013" s="15"/>
    </row>
    <row r="3014">
      <c r="A3014" s="7">
        <v>42426.41462962963</v>
      </c>
      <c r="B3014" s="8" t="str">
        <f>HYPERLINK("https://twitter.com/DustyBowl","@DustyBowl")</f>
        <v>@DustyBowl</v>
      </c>
      <c r="C3014" s="10" t="s">
        <v>6118</v>
      </c>
      <c r="D3014" s="10" t="s">
        <v>5561</v>
      </c>
      <c r="E3014" s="11" t="str">
        <f>HYPERLINK("https://twitter.com/DustyBowl/status/703277617672286212","703277617672286212")</f>
        <v>703277617672286212</v>
      </c>
      <c r="F3014" s="12" t="s">
        <v>20</v>
      </c>
      <c r="G3014" s="13">
        <v>1952.0</v>
      </c>
      <c r="H3014" s="13">
        <v>519.0</v>
      </c>
      <c r="I3014" s="13">
        <v>5.0</v>
      </c>
      <c r="J3014" s="13">
        <v>0.0</v>
      </c>
      <c r="K3014" s="12" t="s">
        <v>21</v>
      </c>
      <c r="L3014" s="7">
        <v>40281.48106481481</v>
      </c>
      <c r="M3014" s="14" t="s">
        <v>1090</v>
      </c>
      <c r="N3014" s="14" t="s">
        <v>6119</v>
      </c>
      <c r="O3014" s="11" t="str">
        <f>HYPERLINK("https://pbs.twimg.com/profile_images/568159765935562753/e1IOPKb8_normal.jpeg","View")</f>
        <v>View</v>
      </c>
      <c r="P3014" s="15"/>
    </row>
    <row r="3015">
      <c r="A3015" s="7">
        <v>42426.415497685186</v>
      </c>
      <c r="B3015" s="8" t="str">
        <f>HYPERLINK("https://twitter.com/TreasureData","@TreasureData")</f>
        <v>@TreasureData</v>
      </c>
      <c r="C3015" s="10" t="s">
        <v>6120</v>
      </c>
      <c r="D3015" s="10" t="s">
        <v>6121</v>
      </c>
      <c r="E3015" s="11" t="str">
        <f>HYPERLINK("https://twitter.com/TreasureData/status/703277932039553024","703277932039553024")</f>
        <v>703277932039553024</v>
      </c>
      <c r="F3015" s="12" t="s">
        <v>294</v>
      </c>
      <c r="G3015" s="13">
        <v>2444.0</v>
      </c>
      <c r="H3015" s="13">
        <v>535.0</v>
      </c>
      <c r="I3015" s="13">
        <v>0.0</v>
      </c>
      <c r="J3015" s="13">
        <v>0.0</v>
      </c>
      <c r="K3015" s="12" t="s">
        <v>21</v>
      </c>
      <c r="L3015" s="7">
        <v>40844.1415162037</v>
      </c>
      <c r="M3015" s="14" t="s">
        <v>1365</v>
      </c>
      <c r="N3015" s="14" t="s">
        <v>6122</v>
      </c>
      <c r="O3015" s="11" t="str">
        <f>HYPERLINK("https://pbs.twimg.com/profile_images/663838962239213568/_hXELMLM_normal.jpg","View")</f>
        <v>View</v>
      </c>
      <c r="P3015" s="15"/>
    </row>
    <row r="3016">
      <c r="A3016" s="7">
        <v>42426.41666666667</v>
      </c>
      <c r="B3016" s="8" t="str">
        <f>HYPERLINK("https://twitter.com/MSAdvAnalytics","@MSAdvAnalytics")</f>
        <v>@MSAdvAnalytics</v>
      </c>
      <c r="C3016" s="10" t="s">
        <v>3112</v>
      </c>
      <c r="D3016" s="10" t="s">
        <v>6123</v>
      </c>
      <c r="E3016" s="11" t="str">
        <f>HYPERLINK("https://twitter.com/MSAdvAnalytics/status/703278355664207872","703278355664207872")</f>
        <v>703278355664207872</v>
      </c>
      <c r="F3016" s="12" t="s">
        <v>3113</v>
      </c>
      <c r="G3016" s="13">
        <v>2269.0</v>
      </c>
      <c r="H3016" s="13">
        <v>1050.0</v>
      </c>
      <c r="I3016" s="13">
        <v>0.0</v>
      </c>
      <c r="J3016" s="13">
        <v>1.0</v>
      </c>
      <c r="K3016" s="12" t="s">
        <v>21</v>
      </c>
      <c r="L3016" s="7">
        <v>42195.547743055555</v>
      </c>
      <c r="M3016" s="14" t="s">
        <v>3114</v>
      </c>
      <c r="N3016" s="14" t="s">
        <v>3115</v>
      </c>
      <c r="O3016" s="11" t="str">
        <f>HYPERLINK("https://pbs.twimg.com/profile_images/620616216516767744/ag6N8-pg_normal.jpg","View")</f>
        <v>View</v>
      </c>
      <c r="P3016" s="15"/>
    </row>
    <row r="3017">
      <c r="A3017" s="7">
        <v>42426.41668981481</v>
      </c>
      <c r="B3017" s="8" t="str">
        <f>HYPERLINK("https://twitter.com/FreddyPantRoom","@FreddyPantRoom")</f>
        <v>@FreddyPantRoom</v>
      </c>
      <c r="C3017" s="10" t="s">
        <v>6124</v>
      </c>
      <c r="D3017" s="10" t="s">
        <v>6125</v>
      </c>
      <c r="E3017" s="11" t="str">
        <f>HYPERLINK("https://twitter.com/FreddyPantRoom/status/703278361896951808","703278361896951808")</f>
        <v>703278361896951808</v>
      </c>
      <c r="F3017" s="12" t="s">
        <v>236</v>
      </c>
      <c r="G3017" s="13">
        <v>112.0</v>
      </c>
      <c r="H3017" s="13">
        <v>62.0</v>
      </c>
      <c r="I3017" s="13">
        <v>0.0</v>
      </c>
      <c r="J3017" s="13">
        <v>0.0</v>
      </c>
      <c r="K3017" s="12" t="s">
        <v>21</v>
      </c>
      <c r="L3017" s="7">
        <v>41721.647569444445</v>
      </c>
      <c r="M3017" s="14" t="s">
        <v>6126</v>
      </c>
      <c r="N3017" s="14" t="s">
        <v>6127</v>
      </c>
      <c r="O3017" s="11" t="str">
        <f>HYPERLINK("https://pbs.twimg.com/profile_images/447864506580865024/xJqdMZtV_normal.jpeg","View")</f>
        <v>View</v>
      </c>
      <c r="P3017" s="15"/>
    </row>
    <row r="3018">
      <c r="A3018" s="7">
        <v>42426.417025462964</v>
      </c>
      <c r="B3018" s="8" t="str">
        <f>HYPERLINK("https://twitter.com/zgudino","@zgudino")</f>
        <v>@zgudino</v>
      </c>
      <c r="C3018" s="10" t="s">
        <v>6128</v>
      </c>
      <c r="D3018" s="10" t="s">
        <v>5655</v>
      </c>
      <c r="E3018" s="11" t="str">
        <f>HYPERLINK("https://twitter.com/zgudino/status/703278485918199808","703278485918199808")</f>
        <v>703278485918199808</v>
      </c>
      <c r="F3018" s="12" t="s">
        <v>98</v>
      </c>
      <c r="G3018" s="13">
        <v>243.0</v>
      </c>
      <c r="H3018" s="13">
        <v>599.0</v>
      </c>
      <c r="I3018" s="13">
        <v>7.0</v>
      </c>
      <c r="J3018" s="13">
        <v>0.0</v>
      </c>
      <c r="K3018" s="12" t="s">
        <v>21</v>
      </c>
      <c r="L3018" s="7">
        <v>40455.89140046296</v>
      </c>
      <c r="M3018" s="14" t="s">
        <v>1684</v>
      </c>
      <c r="N3018" s="14" t="s">
        <v>6129</v>
      </c>
      <c r="O3018" s="11" t="str">
        <f>HYPERLINK("https://pbs.twimg.com/profile_images/660114568279003136/cLGv8MDp_normal.jpg","View")</f>
        <v>View</v>
      </c>
      <c r="P3018" s="15"/>
    </row>
    <row r="3019">
      <c r="A3019" s="7">
        <v>42426.41710648148</v>
      </c>
      <c r="B3019" s="8" t="str">
        <f>HYPERLINK("https://twitter.com/programmingncr","@programmingncr")</f>
        <v>@programmingncr</v>
      </c>
      <c r="C3019" s="10" t="s">
        <v>262</v>
      </c>
      <c r="D3019" s="10" t="s">
        <v>6130</v>
      </c>
      <c r="E3019" s="11" t="str">
        <f>HYPERLINK("https://twitter.com/programmingncr/status/703278511293857792","703278511293857792")</f>
        <v>703278511293857792</v>
      </c>
      <c r="F3019" s="12" t="s">
        <v>103</v>
      </c>
      <c r="G3019" s="13">
        <v>328.0</v>
      </c>
      <c r="H3019" s="13">
        <v>99.0</v>
      </c>
      <c r="I3019" s="13">
        <v>0.0</v>
      </c>
      <c r="J3019" s="13">
        <v>0.0</v>
      </c>
      <c r="K3019" s="12" t="s">
        <v>21</v>
      </c>
      <c r="L3019" s="7">
        <v>42220.86634259259</v>
      </c>
      <c r="M3019" s="14" t="s">
        <v>264</v>
      </c>
      <c r="N3019" s="14" t="s">
        <v>265</v>
      </c>
      <c r="O3019" s="11" t="str">
        <f>HYPERLINK("https://pbs.twimg.com/profile_images/662602436222193664/qKuvsfnG_normal.jpg","View")</f>
        <v>View</v>
      </c>
      <c r="P3019" s="15"/>
    </row>
    <row r="3020">
      <c r="A3020" s="7">
        <v>42426.41731481481</v>
      </c>
      <c r="B3020" s="8" t="str">
        <f>HYPERLINK("https://twitter.com/initios_com","@initios_com")</f>
        <v>@initios_com</v>
      </c>
      <c r="C3020" s="10" t="s">
        <v>6131</v>
      </c>
      <c r="D3020" s="10" t="s">
        <v>6132</v>
      </c>
      <c r="E3020" s="11" t="str">
        <f>HYPERLINK("https://twitter.com/initios_com/status/703278587214843904","703278587214843904")</f>
        <v>703278587214843904</v>
      </c>
      <c r="F3020" s="12" t="s">
        <v>446</v>
      </c>
      <c r="G3020" s="13">
        <v>68.0</v>
      </c>
      <c r="H3020" s="13">
        <v>106.0</v>
      </c>
      <c r="I3020" s="13">
        <v>1.0</v>
      </c>
      <c r="J3020" s="13">
        <v>1.0</v>
      </c>
      <c r="K3020" s="12" t="s">
        <v>21</v>
      </c>
      <c r="L3020" s="7">
        <v>42146.65041666667</v>
      </c>
      <c r="M3020" s="16"/>
      <c r="N3020" s="16"/>
      <c r="O3020" s="11" t="str">
        <f>HYPERLINK("https://pbs.twimg.com/profile_images/601881271627722752/nVvr0-iH_normal.png","View")</f>
        <v>View</v>
      </c>
      <c r="P3020" s="15"/>
    </row>
    <row r="3021">
      <c r="A3021" s="7">
        <v>42426.41743055556</v>
      </c>
      <c r="B3021" s="8" t="str">
        <f t="shared" ref="B3021:B3022" si="317">HYPERLINK("https://twitter.com/HartwigMicheal","@HartwigMicheal")</f>
        <v>@HartwigMicheal</v>
      </c>
      <c r="C3021" s="10" t="s">
        <v>842</v>
      </c>
      <c r="D3021" s="10" t="s">
        <v>6133</v>
      </c>
      <c r="E3021" s="11" t="str">
        <f>HYPERLINK("https://twitter.com/HartwigMicheal/status/703278630617669632","703278630617669632")</f>
        <v>703278630617669632</v>
      </c>
      <c r="F3021" s="12" t="s">
        <v>103</v>
      </c>
      <c r="G3021" s="13">
        <v>541.0</v>
      </c>
      <c r="H3021" s="13">
        <v>830.0</v>
      </c>
      <c r="I3021" s="13">
        <v>0.0</v>
      </c>
      <c r="J3021" s="13">
        <v>0.0</v>
      </c>
      <c r="K3021" s="12" t="s">
        <v>21</v>
      </c>
      <c r="L3021" s="7">
        <v>42362.00148148148</v>
      </c>
      <c r="M3021" s="14" t="s">
        <v>844</v>
      </c>
      <c r="N3021" s="14" t="s">
        <v>845</v>
      </c>
      <c r="O3021" s="11" t="str">
        <f t="shared" ref="O3021:O3022" si="318">HYPERLINK("https://pbs.twimg.com/profile_images/679948461953781761/pDo9356K_normal.jpg","View")</f>
        <v>View</v>
      </c>
      <c r="P3021" s="15"/>
    </row>
    <row r="3022">
      <c r="A3022" s="7">
        <v>42426.417442129634</v>
      </c>
      <c r="B3022" s="8" t="str">
        <f t="shared" si="317"/>
        <v>@HartwigMicheal</v>
      </c>
      <c r="C3022" s="10" t="s">
        <v>842</v>
      </c>
      <c r="D3022" s="10" t="s">
        <v>6134</v>
      </c>
      <c r="E3022" s="11" t="str">
        <f>HYPERLINK("https://twitter.com/HartwigMicheal/status/703278633058746368","703278633058746368")</f>
        <v>703278633058746368</v>
      </c>
      <c r="F3022" s="12" t="s">
        <v>103</v>
      </c>
      <c r="G3022" s="13">
        <v>541.0</v>
      </c>
      <c r="H3022" s="13">
        <v>830.0</v>
      </c>
      <c r="I3022" s="13">
        <v>0.0</v>
      </c>
      <c r="J3022" s="13">
        <v>0.0</v>
      </c>
      <c r="K3022" s="12" t="s">
        <v>21</v>
      </c>
      <c r="L3022" s="7">
        <v>42362.00148148148</v>
      </c>
      <c r="M3022" s="14" t="s">
        <v>844</v>
      </c>
      <c r="N3022" s="14" t="s">
        <v>845</v>
      </c>
      <c r="O3022" s="11" t="str">
        <f t="shared" si="318"/>
        <v>View</v>
      </c>
      <c r="P3022" s="15"/>
    </row>
    <row r="3023">
      <c r="A3023" s="7">
        <v>42426.41752314815</v>
      </c>
      <c r="B3023" s="8" t="str">
        <f>HYPERLINK("https://twitter.com/carlesanagustin","@carlesanagustin")</f>
        <v>@carlesanagustin</v>
      </c>
      <c r="C3023" s="10" t="s">
        <v>6135</v>
      </c>
      <c r="D3023" s="10" t="s">
        <v>6136</v>
      </c>
      <c r="E3023" s="11" t="str">
        <f>HYPERLINK("https://twitter.com/carlesanagustin/status/703278663161122816","703278663161122816")</f>
        <v>703278663161122816</v>
      </c>
      <c r="F3023" s="12" t="s">
        <v>6137</v>
      </c>
      <c r="G3023" s="13">
        <v>197.0</v>
      </c>
      <c r="H3023" s="13">
        <v>493.0</v>
      </c>
      <c r="I3023" s="13">
        <v>0.0</v>
      </c>
      <c r="J3023" s="13">
        <v>0.0</v>
      </c>
      <c r="K3023" s="12" t="s">
        <v>21</v>
      </c>
      <c r="L3023" s="7">
        <v>40828.591145833336</v>
      </c>
      <c r="M3023" s="14" t="s">
        <v>4830</v>
      </c>
      <c r="N3023" s="14" t="s">
        <v>6138</v>
      </c>
      <c r="O3023" s="11" t="str">
        <f>HYPERLINK("https://pbs.twimg.com/profile_images/502800056186314752/f8WfRagr_normal.jpeg","View")</f>
        <v>View</v>
      </c>
      <c r="P3023" s="15"/>
    </row>
    <row r="3024">
      <c r="A3024" s="7">
        <v>42426.41780092593</v>
      </c>
      <c r="B3024" s="8" t="str">
        <f>HYPERLINK("https://twitter.com/MarinerLLC","@MarinerLLC")</f>
        <v>@MarinerLLC</v>
      </c>
      <c r="C3024" s="10" t="s">
        <v>3116</v>
      </c>
      <c r="D3024" s="10" t="s">
        <v>6139</v>
      </c>
      <c r="E3024" s="11" t="str">
        <f>HYPERLINK("https://twitter.com/MarinerLLC/status/703278764965412864","703278764965412864")</f>
        <v>703278764965412864</v>
      </c>
      <c r="F3024" s="12" t="s">
        <v>103</v>
      </c>
      <c r="G3024" s="13">
        <v>261.0</v>
      </c>
      <c r="H3024" s="13">
        <v>257.0</v>
      </c>
      <c r="I3024" s="13">
        <v>0.0</v>
      </c>
      <c r="J3024" s="13">
        <v>0.0</v>
      </c>
      <c r="K3024" s="12" t="s">
        <v>21</v>
      </c>
      <c r="L3024" s="7">
        <v>40897.82096064815</v>
      </c>
      <c r="M3024" s="14" t="s">
        <v>3118</v>
      </c>
      <c r="N3024" s="14" t="s">
        <v>3119</v>
      </c>
      <c r="O3024" s="11" t="str">
        <f>HYPERLINK("https://pbs.twimg.com/profile_images/3502729434/95675e6f45ad2e1bbc6c5736995ec15c_normal.png","View")</f>
        <v>View</v>
      </c>
      <c r="P3024" s="15"/>
    </row>
    <row r="3025">
      <c r="A3025" s="7">
        <v>42426.418344907404</v>
      </c>
      <c r="B3025" s="8" t="str">
        <f>HYPERLINK("https://twitter.com/randal_olson","@randal_olson")</f>
        <v>@randal_olson</v>
      </c>
      <c r="C3025" s="10" t="s">
        <v>1097</v>
      </c>
      <c r="D3025" s="10" t="s">
        <v>6140</v>
      </c>
      <c r="E3025" s="11" t="str">
        <f>HYPERLINK("https://twitter.com/randal_olson/status/703278963892883457","703278963892883457")</f>
        <v>703278963892883457</v>
      </c>
      <c r="F3025" s="12" t="s">
        <v>20</v>
      </c>
      <c r="G3025" s="13">
        <v>83114.0</v>
      </c>
      <c r="H3025" s="13">
        <v>91408.0</v>
      </c>
      <c r="I3025" s="13">
        <v>0.0</v>
      </c>
      <c r="J3025" s="13">
        <v>17.0</v>
      </c>
      <c r="K3025" s="12" t="s">
        <v>21</v>
      </c>
      <c r="L3025" s="7">
        <v>39985.55090277777</v>
      </c>
      <c r="M3025" s="14" t="s">
        <v>1099</v>
      </c>
      <c r="N3025" s="14" t="s">
        <v>1100</v>
      </c>
      <c r="O3025" s="11" t="str">
        <f>HYPERLINK("https://pbs.twimg.com/profile_images/618964235779862528/nLQhBWfq_normal.jpg","View")</f>
        <v>View</v>
      </c>
      <c r="P3025" s="15"/>
    </row>
    <row r="3026">
      <c r="A3026" s="7">
        <v>42426.41866898148</v>
      </c>
      <c r="B3026" s="8" t="str">
        <f>HYPERLINK("https://twitter.com/ggCarrots","@ggCarrots")</f>
        <v>@ggCarrots</v>
      </c>
      <c r="C3026" s="10" t="s">
        <v>6141</v>
      </c>
      <c r="D3026" s="10" t="s">
        <v>6142</v>
      </c>
      <c r="E3026" s="11" t="str">
        <f>HYPERLINK("https://twitter.com/ggCarrots/status/703279079877955585","703279079877955585")</f>
        <v>703279079877955585</v>
      </c>
      <c r="F3026" s="12" t="s">
        <v>20</v>
      </c>
      <c r="G3026" s="13">
        <v>1624.0</v>
      </c>
      <c r="H3026" s="13">
        <v>300.0</v>
      </c>
      <c r="I3026" s="13">
        <v>0.0</v>
      </c>
      <c r="J3026" s="13">
        <v>1.0</v>
      </c>
      <c r="K3026" s="12" t="s">
        <v>21</v>
      </c>
      <c r="L3026" s="7">
        <v>40866.29944444445</v>
      </c>
      <c r="M3026" s="14" t="s">
        <v>6143</v>
      </c>
      <c r="N3026" s="14" t="s">
        <v>6144</v>
      </c>
      <c r="O3026" s="11" t="str">
        <f>HYPERLINK("https://pbs.twimg.com/profile_images/2655192056/95b7e54b81590e4fecb7cfeefd13d606_normal.png","View")</f>
        <v>View</v>
      </c>
      <c r="P3026" s="15"/>
    </row>
    <row r="3027">
      <c r="A3027" s="7">
        <v>42426.41883101852</v>
      </c>
      <c r="B3027" s="8" t="str">
        <f>HYPERLINK("https://twitter.com/NoorDinTech","@NoorDinTech")</f>
        <v>@NoorDinTech</v>
      </c>
      <c r="C3027" s="10" t="s">
        <v>6145</v>
      </c>
      <c r="D3027" s="10" t="s">
        <v>6146</v>
      </c>
      <c r="E3027" s="11" t="str">
        <f>HYPERLINK("https://twitter.com/NoorDinTech/status/703279138828886016","703279138828886016")</f>
        <v>703279138828886016</v>
      </c>
      <c r="F3027" s="12" t="s">
        <v>294</v>
      </c>
      <c r="G3027" s="13">
        <v>1615.0</v>
      </c>
      <c r="H3027" s="13">
        <v>2535.0</v>
      </c>
      <c r="I3027" s="13">
        <v>0.0</v>
      </c>
      <c r="J3027" s="13">
        <v>0.0</v>
      </c>
      <c r="K3027" s="12" t="s">
        <v>21</v>
      </c>
      <c r="L3027" s="7">
        <v>41779.51625</v>
      </c>
      <c r="M3027" s="14" t="s">
        <v>1093</v>
      </c>
      <c r="N3027" s="14" t="s">
        <v>6147</v>
      </c>
      <c r="O3027" s="11" t="str">
        <f>HYPERLINK("https://pbs.twimg.com/profile_images/643358975145193472/mqm9B06u_normal.jpg","View")</f>
        <v>View</v>
      </c>
      <c r="P3027" s="15"/>
    </row>
    <row r="3028">
      <c r="A3028" s="7">
        <v>42426.41936342593</v>
      </c>
      <c r="B3028" s="8" t="str">
        <f>HYPERLINK("https://twitter.com/RealJoeGuy","@RealJoeGuy")</f>
        <v>@RealJoeGuy</v>
      </c>
      <c r="C3028" s="10" t="s">
        <v>3120</v>
      </c>
      <c r="D3028" s="10" t="s">
        <v>6148</v>
      </c>
      <c r="E3028" s="11" t="str">
        <f>HYPERLINK("https://twitter.com/RealJoeGuy/status/703279330399494144","703279330399494144")</f>
        <v>703279330399494144</v>
      </c>
      <c r="F3028" s="12" t="s">
        <v>103</v>
      </c>
      <c r="G3028" s="13">
        <v>129.0</v>
      </c>
      <c r="H3028" s="13">
        <v>141.0</v>
      </c>
      <c r="I3028" s="13">
        <v>0.0</v>
      </c>
      <c r="J3028" s="13">
        <v>0.0</v>
      </c>
      <c r="K3028" s="12" t="s">
        <v>21</v>
      </c>
      <c r="L3028" s="7">
        <v>40886.83099537037</v>
      </c>
      <c r="M3028" s="14" t="s">
        <v>3122</v>
      </c>
      <c r="N3028" s="14" t="s">
        <v>3123</v>
      </c>
      <c r="O3028" s="11" t="str">
        <f>HYPERLINK("https://pbs.twimg.com/profile_images/1684373225/Joe_Guy_normal.jpg","View")</f>
        <v>View</v>
      </c>
      <c r="P3028" s="15"/>
    </row>
    <row r="3029">
      <c r="A3029" s="7">
        <v>42426.41950231481</v>
      </c>
      <c r="B3029" s="8" t="str">
        <f>HYPERLINK("https://twitter.com/remoteok_jobs","@remoteok_jobs")</f>
        <v>@remoteok_jobs</v>
      </c>
      <c r="C3029" s="10" t="s">
        <v>6149</v>
      </c>
      <c r="D3029" s="10" t="s">
        <v>6150</v>
      </c>
      <c r="E3029" s="11" t="str">
        <f>HYPERLINK("https://twitter.com/remoteok_jobs/status/703279380924145664","703279380924145664")</f>
        <v>703279380924145664</v>
      </c>
      <c r="F3029" s="12" t="s">
        <v>6151</v>
      </c>
      <c r="G3029" s="13">
        <v>3894.0</v>
      </c>
      <c r="H3029" s="13">
        <v>1.0</v>
      </c>
      <c r="I3029" s="13">
        <v>0.0</v>
      </c>
      <c r="J3029" s="13">
        <v>1.0</v>
      </c>
      <c r="K3029" s="12" t="s">
        <v>21</v>
      </c>
      <c r="L3029" s="7">
        <v>42061.22136574074</v>
      </c>
      <c r="M3029" s="16"/>
      <c r="N3029" s="14" t="s">
        <v>6152</v>
      </c>
      <c r="O3029" s="11" t="str">
        <f>HYPERLINK("https://pbs.twimg.com/profile_images/570940550887387136/GPzgaPsj_normal.png","View")</f>
        <v>View</v>
      </c>
      <c r="P3029" s="15"/>
    </row>
    <row r="3030">
      <c r="A3030" s="7">
        <v>42426.419953703706</v>
      </c>
      <c r="B3030" s="8" t="str">
        <f>HYPERLINK("https://twitter.com/GPDIngenieria","@GPDIngenieria")</f>
        <v>@GPDIngenieria</v>
      </c>
      <c r="C3030" s="10" t="s">
        <v>6153</v>
      </c>
      <c r="D3030" s="10" t="s">
        <v>564</v>
      </c>
      <c r="E3030" s="11" t="str">
        <f>HYPERLINK("https://twitter.com/GPDIngenieria/status/703279545202425856","703279545202425856")</f>
        <v>703279545202425856</v>
      </c>
      <c r="F3030" s="12" t="s">
        <v>152</v>
      </c>
      <c r="G3030" s="13">
        <v>16.0</v>
      </c>
      <c r="H3030" s="13">
        <v>80.0</v>
      </c>
      <c r="I3030" s="13">
        <v>4.0</v>
      </c>
      <c r="J3030" s="13">
        <v>0.0</v>
      </c>
      <c r="K3030" s="12" t="s">
        <v>21</v>
      </c>
      <c r="L3030" s="7">
        <v>42403.45795138889</v>
      </c>
      <c r="M3030" s="14" t="s">
        <v>3872</v>
      </c>
      <c r="N3030" s="14" t="s">
        <v>6154</v>
      </c>
      <c r="O3030" s="11" t="str">
        <f>HYPERLINK("https://pbs.twimg.com/profile_images/694961001805041664/eNnBA5Ha_normal.jpg","View")</f>
        <v>View</v>
      </c>
      <c r="P3030" s="15"/>
    </row>
    <row r="3031">
      <c r="A3031" s="7">
        <v>42426.420011574075</v>
      </c>
      <c r="B3031" s="8" t="str">
        <f>HYPERLINK("https://twitter.com/daycry9","@daycry9")</f>
        <v>@daycry9</v>
      </c>
      <c r="C3031" s="10" t="s">
        <v>6155</v>
      </c>
      <c r="D3031" s="10" t="s">
        <v>6156</v>
      </c>
      <c r="E3031" s="11" t="str">
        <f>HYPERLINK("https://twitter.com/daycry9/status/703279565796470784","703279565796470784")</f>
        <v>703279565796470784</v>
      </c>
      <c r="F3031" s="12" t="s">
        <v>6157</v>
      </c>
      <c r="G3031" s="13">
        <v>3165.0</v>
      </c>
      <c r="H3031" s="13">
        <v>3844.0</v>
      </c>
      <c r="I3031" s="13">
        <v>1.0</v>
      </c>
      <c r="J3031" s="13">
        <v>0.0</v>
      </c>
      <c r="K3031" s="12" t="s">
        <v>21</v>
      </c>
      <c r="L3031" s="7">
        <v>41072.12155092593</v>
      </c>
      <c r="M3031" s="14" t="s">
        <v>5954</v>
      </c>
      <c r="N3031" s="16"/>
      <c r="O3031" s="11" t="str">
        <f>HYPERLINK("https://pbs.twimg.com/profile_images/657128470657519616/xnn0jGen_normal.jpg","View")</f>
        <v>View</v>
      </c>
      <c r="P3031" s="15"/>
    </row>
    <row r="3032">
      <c r="A3032" s="7">
        <v>42426.42023148148</v>
      </c>
      <c r="B3032" s="8" t="str">
        <f>HYPERLINK("https://twitter.com/NLenergiecollec","@NLenergiecollec")</f>
        <v>@NLenergiecollec</v>
      </c>
      <c r="C3032" s="10" t="s">
        <v>6158</v>
      </c>
      <c r="D3032" s="10" t="s">
        <v>6159</v>
      </c>
      <c r="E3032" s="11" t="str">
        <f>HYPERLINK("https://twitter.com/NLenergiecollec/status/703279646117400577","703279646117400577")</f>
        <v>703279646117400577</v>
      </c>
      <c r="F3032" s="12" t="s">
        <v>52</v>
      </c>
      <c r="G3032" s="13">
        <v>395.0</v>
      </c>
      <c r="H3032" s="13">
        <v>643.0</v>
      </c>
      <c r="I3032" s="13">
        <v>2.0</v>
      </c>
      <c r="J3032" s="13">
        <v>0.0</v>
      </c>
      <c r="K3032" s="12" t="s">
        <v>21</v>
      </c>
      <c r="L3032" s="7">
        <v>41657.009722222225</v>
      </c>
      <c r="M3032" s="14" t="s">
        <v>6160</v>
      </c>
      <c r="N3032" s="14" t="s">
        <v>6161</v>
      </c>
      <c r="O3032" s="11" t="str">
        <f>HYPERLINK("https://pbs.twimg.com/profile_images/553157123140354049/s42pgpu3_normal.png","View")</f>
        <v>View</v>
      </c>
      <c r="P3032" s="15"/>
    </row>
    <row r="3033">
      <c r="A3033" s="7">
        <v>42426.42024305556</v>
      </c>
      <c r="B3033" s="8" t="str">
        <f>HYPERLINK("https://twitter.com/daycry9","@daycry9")</f>
        <v>@daycry9</v>
      </c>
      <c r="C3033" s="10" t="s">
        <v>6155</v>
      </c>
      <c r="D3033" s="10" t="s">
        <v>6162</v>
      </c>
      <c r="E3033" s="11" t="str">
        <f>HYPERLINK("https://twitter.com/daycry9/status/703279650370428928","703279650370428928")</f>
        <v>703279650370428928</v>
      </c>
      <c r="F3033" s="12" t="s">
        <v>6157</v>
      </c>
      <c r="G3033" s="13">
        <v>3165.0</v>
      </c>
      <c r="H3033" s="13">
        <v>3844.0</v>
      </c>
      <c r="I3033" s="13">
        <v>1.0</v>
      </c>
      <c r="J3033" s="13">
        <v>0.0</v>
      </c>
      <c r="K3033" s="12" t="s">
        <v>21</v>
      </c>
      <c r="L3033" s="7">
        <v>41072.12155092593</v>
      </c>
      <c r="M3033" s="14" t="s">
        <v>5954</v>
      </c>
      <c r="N3033" s="16"/>
      <c r="O3033" s="11" t="str">
        <f>HYPERLINK("https://pbs.twimg.com/profile_images/657128470657519616/xnn0jGen_normal.jpg","View")</f>
        <v>View</v>
      </c>
      <c r="P3033" s="15"/>
    </row>
    <row r="3034">
      <c r="A3034" s="7">
        <v>42426.42030092592</v>
      </c>
      <c r="B3034" s="8" t="str">
        <f>HYPERLINK("https://twitter.com/fasm3837","@fasm3837")</f>
        <v>@fasm3837</v>
      </c>
      <c r="C3034" s="10" t="s">
        <v>6163</v>
      </c>
      <c r="D3034" s="10" t="s">
        <v>6164</v>
      </c>
      <c r="E3034" s="11" t="str">
        <f>HYPERLINK("https://twitter.com/fasm3837/status/703279671253835777","703279671253835777")</f>
        <v>703279671253835777</v>
      </c>
      <c r="F3034" s="12" t="s">
        <v>20</v>
      </c>
      <c r="G3034" s="13">
        <v>895.0</v>
      </c>
      <c r="H3034" s="13">
        <v>1003.0</v>
      </c>
      <c r="I3034" s="13">
        <v>1.0</v>
      </c>
      <c r="J3034" s="13">
        <v>0.0</v>
      </c>
      <c r="K3034" s="12" t="s">
        <v>21</v>
      </c>
      <c r="L3034" s="7">
        <v>40242.34236111111</v>
      </c>
      <c r="M3034" s="14" t="s">
        <v>6165</v>
      </c>
      <c r="N3034" s="14" t="s">
        <v>6166</v>
      </c>
      <c r="O3034" s="11" t="str">
        <f>HYPERLINK("https://pbs.twimg.com/profile_images/649530357335855104/CYFIvmy2_normal.png","View")</f>
        <v>View</v>
      </c>
      <c r="P3034" s="15"/>
    </row>
    <row r="3035">
      <c r="A3035" s="7">
        <v>42426.42052083333</v>
      </c>
      <c r="B3035" s="8" t="str">
        <f>HYPERLINK("https://twitter.com/Hans_Mooibroek","@Hans_Mooibroek")</f>
        <v>@Hans_Mooibroek</v>
      </c>
      <c r="C3035" s="10" t="s">
        <v>6167</v>
      </c>
      <c r="D3035" s="10" t="s">
        <v>6168</v>
      </c>
      <c r="E3035" s="11" t="str">
        <f>HYPERLINK("https://twitter.com/Hans_Mooibroek/status/703279752166162432","703279752166162432")</f>
        <v>703279752166162432</v>
      </c>
      <c r="F3035" s="12" t="s">
        <v>152</v>
      </c>
      <c r="G3035" s="13">
        <v>151.0</v>
      </c>
      <c r="H3035" s="13">
        <v>265.0</v>
      </c>
      <c r="I3035" s="13">
        <v>2.0</v>
      </c>
      <c r="J3035" s="13">
        <v>0.0</v>
      </c>
      <c r="K3035" s="12" t="s">
        <v>21</v>
      </c>
      <c r="L3035" s="7">
        <v>40500.5308912037</v>
      </c>
      <c r="M3035" s="16"/>
      <c r="N3035" s="16"/>
      <c r="O3035" s="11" t="str">
        <f>HYPERLINK("https://pbs.twimg.com/profile_images/677836960141090816/reP0RdWU_normal.jpg","View")</f>
        <v>View</v>
      </c>
      <c r="P3035" s="15"/>
    </row>
    <row r="3036">
      <c r="A3036" s="7">
        <v>42426.42103009259</v>
      </c>
      <c r="B3036" s="8" t="str">
        <f>HYPERLINK("https://twitter.com/PBartmess","@PBartmess")</f>
        <v>@PBartmess</v>
      </c>
      <c r="C3036" s="10" t="s">
        <v>6169</v>
      </c>
      <c r="D3036" s="10" t="s">
        <v>6170</v>
      </c>
      <c r="E3036" s="11" t="str">
        <f>HYPERLINK("https://twitter.com/PBartmess/status/703279935033470976","703279935033470976")</f>
        <v>703279935033470976</v>
      </c>
      <c r="F3036" s="12" t="s">
        <v>20</v>
      </c>
      <c r="G3036" s="13">
        <v>279.0</v>
      </c>
      <c r="H3036" s="13">
        <v>641.0</v>
      </c>
      <c r="I3036" s="13">
        <v>3.0</v>
      </c>
      <c r="J3036" s="13">
        <v>0.0</v>
      </c>
      <c r="K3036" s="12" t="s">
        <v>21</v>
      </c>
      <c r="L3036" s="7">
        <v>40857.51899305556</v>
      </c>
      <c r="M3036" s="14" t="s">
        <v>6171</v>
      </c>
      <c r="N3036" s="14" t="s">
        <v>6172</v>
      </c>
      <c r="O3036" s="11" t="str">
        <f>HYPERLINK("https://pbs.twimg.com/profile_images/1632519706/gravatar_normal.jpg","View")</f>
        <v>View</v>
      </c>
      <c r="P3036" s="15"/>
    </row>
    <row r="3037">
      <c r="A3037" s="7">
        <v>42426.42130787037</v>
      </c>
      <c r="B3037" s="8" t="str">
        <f>HYPERLINK("https://twitter.com/almokri","@almokri")</f>
        <v>@almokri</v>
      </c>
      <c r="C3037" s="10" t="s">
        <v>6173</v>
      </c>
      <c r="D3037" s="10" t="s">
        <v>3699</v>
      </c>
      <c r="E3037" s="11" t="str">
        <f>HYPERLINK("https://twitter.com/almokri/status/703280037856878593","703280037856878593")</f>
        <v>703280037856878593</v>
      </c>
      <c r="F3037" s="12" t="s">
        <v>152</v>
      </c>
      <c r="G3037" s="13">
        <v>9.0</v>
      </c>
      <c r="H3037" s="13">
        <v>25.0</v>
      </c>
      <c r="I3037" s="13">
        <v>30.0</v>
      </c>
      <c r="J3037" s="13">
        <v>0.0</v>
      </c>
      <c r="K3037" s="12" t="s">
        <v>21</v>
      </c>
      <c r="L3037" s="7">
        <v>39822.40252314815</v>
      </c>
      <c r="M3037" s="16"/>
      <c r="N3037" s="14" t="s">
        <v>6174</v>
      </c>
      <c r="O3037" s="11" t="str">
        <f>HYPERLINK("https://pbs.twimg.com/profile_images/695991175715667968/YBVg4lCj_normal.jpg","View")</f>
        <v>View</v>
      </c>
      <c r="P3037" s="15"/>
    </row>
    <row r="3038">
      <c r="A3038" s="7">
        <v>42426.42136574074</v>
      </c>
      <c r="B3038" s="8" t="str">
        <f>HYPERLINK("https://twitter.com/PerfectGebouwen","@PerfectGebouwen")</f>
        <v>@PerfectGebouwen</v>
      </c>
      <c r="C3038" s="10" t="s">
        <v>6175</v>
      </c>
      <c r="D3038" s="10" t="s">
        <v>6168</v>
      </c>
      <c r="E3038" s="11" t="str">
        <f>HYPERLINK("https://twitter.com/PerfectGebouwen/status/703280057020715008","703280057020715008")</f>
        <v>703280057020715008</v>
      </c>
      <c r="F3038" s="12" t="s">
        <v>52</v>
      </c>
      <c r="G3038" s="13">
        <v>70.0</v>
      </c>
      <c r="H3038" s="13">
        <v>140.0</v>
      </c>
      <c r="I3038" s="13">
        <v>2.0</v>
      </c>
      <c r="J3038" s="13">
        <v>0.0</v>
      </c>
      <c r="K3038" s="12" t="s">
        <v>21</v>
      </c>
      <c r="L3038" s="7">
        <v>41890.98899305556</v>
      </c>
      <c r="M3038" s="14" t="s">
        <v>6160</v>
      </c>
      <c r="N3038" s="16"/>
      <c r="O3038" s="11" t="str">
        <f>HYPERLINK("https://pbs.twimg.com/profile_images/509234504192380928/4_7KxSEL_normal.jpeg","View")</f>
        <v>View</v>
      </c>
      <c r="P3038" s="15"/>
    </row>
    <row r="3039">
      <c r="A3039" s="7">
        <v>42426.42153935185</v>
      </c>
      <c r="B3039" s="8" t="str">
        <f>HYPERLINK("https://twitter.com/StackDevJobs","@StackDevJobs")</f>
        <v>@StackDevJobs</v>
      </c>
      <c r="C3039" s="10" t="s">
        <v>24</v>
      </c>
      <c r="D3039" s="10" t="s">
        <v>6176</v>
      </c>
      <c r="E3039" s="11" t="str">
        <f>HYPERLINK("https://twitter.com/StackDevJobs/status/703280117729128448","703280117729128448")</f>
        <v>703280117729128448</v>
      </c>
      <c r="F3039" s="12" t="s">
        <v>26</v>
      </c>
      <c r="G3039" s="13">
        <v>12541.0</v>
      </c>
      <c r="H3039" s="13">
        <v>327.0</v>
      </c>
      <c r="I3039" s="13">
        <v>0.0</v>
      </c>
      <c r="J3039" s="13">
        <v>0.0</v>
      </c>
      <c r="K3039" s="12" t="s">
        <v>21</v>
      </c>
      <c r="L3039" s="7">
        <v>40435.245416666665</v>
      </c>
      <c r="M3039" s="16"/>
      <c r="N3039" s="14" t="s">
        <v>27</v>
      </c>
      <c r="O3039" s="11" t="str">
        <f>HYPERLINK("https://pbs.twimg.com/profile_images/643779014268579840/bRJStj7A_normal.png","View")</f>
        <v>View</v>
      </c>
      <c r="P3039" s="15"/>
    </row>
    <row r="3040">
      <c r="A3040" s="7">
        <v>42426.421678240746</v>
      </c>
      <c r="B3040" s="8" t="str">
        <f>HYPERLINK("https://twitter.com/almokri","@almokri")</f>
        <v>@almokri</v>
      </c>
      <c r="C3040" s="10" t="s">
        <v>6173</v>
      </c>
      <c r="D3040" s="10" t="s">
        <v>5494</v>
      </c>
      <c r="E3040" s="11" t="str">
        <f>HYPERLINK("https://twitter.com/almokri/status/703280168870109184","703280168870109184")</f>
        <v>703280168870109184</v>
      </c>
      <c r="F3040" s="12" t="s">
        <v>152</v>
      </c>
      <c r="G3040" s="13">
        <v>9.0</v>
      </c>
      <c r="H3040" s="13">
        <v>25.0</v>
      </c>
      <c r="I3040" s="13">
        <v>9.0</v>
      </c>
      <c r="J3040" s="13">
        <v>0.0</v>
      </c>
      <c r="K3040" s="12" t="s">
        <v>21</v>
      </c>
      <c r="L3040" s="7">
        <v>39822.40252314815</v>
      </c>
      <c r="M3040" s="16"/>
      <c r="N3040" s="14" t="s">
        <v>6174</v>
      </c>
      <c r="O3040" s="11" t="str">
        <f>HYPERLINK("https://pbs.twimg.com/profile_images/695991175715667968/YBVg4lCj_normal.jpg","View")</f>
        <v>View</v>
      </c>
      <c r="P3040" s="15"/>
    </row>
    <row r="3041">
      <c r="A3041" s="7">
        <v>42426.42192129629</v>
      </c>
      <c r="B3041" s="8" t="str">
        <f>HYPERLINK("https://twitter.com/LillianEdmiston","@LillianEdmiston")</f>
        <v>@LillianEdmiston</v>
      </c>
      <c r="C3041" s="10" t="s">
        <v>170</v>
      </c>
      <c r="D3041" s="10" t="s">
        <v>6177</v>
      </c>
      <c r="E3041" s="11" t="str">
        <f>HYPERLINK("https://twitter.com/LillianEdmiston/status/703280259853111296","703280259853111296")</f>
        <v>703280259853111296</v>
      </c>
      <c r="F3041" s="12" t="s">
        <v>103</v>
      </c>
      <c r="G3041" s="13">
        <v>1050.0</v>
      </c>
      <c r="H3041" s="13">
        <v>40.0</v>
      </c>
      <c r="I3041" s="13">
        <v>1.0</v>
      </c>
      <c r="J3041" s="13">
        <v>1.0</v>
      </c>
      <c r="K3041" s="12" t="s">
        <v>21</v>
      </c>
      <c r="L3041" s="7">
        <v>42293.27416666667</v>
      </c>
      <c r="M3041" s="14" t="s">
        <v>172</v>
      </c>
      <c r="N3041" s="14" t="s">
        <v>173</v>
      </c>
      <c r="O3041" s="11" t="str">
        <f>HYPERLINK("https://pbs.twimg.com/profile_images/655014978101993476/ZpsnJW8B_normal.jpg","View")</f>
        <v>View</v>
      </c>
      <c r="P3041" s="15"/>
    </row>
    <row r="3042">
      <c r="A3042" s="7">
        <v>42426.42193287037</v>
      </c>
      <c r="B3042" s="8" t="str">
        <f>HYPERLINK("https://twitter.com/ameanmbot","@ameanmbot")</f>
        <v>@ameanmbot</v>
      </c>
      <c r="C3042" s="10" t="s">
        <v>174</v>
      </c>
      <c r="D3042" s="10" t="s">
        <v>6178</v>
      </c>
      <c r="E3042" s="11" t="str">
        <f>HYPERLINK("https://twitter.com/ameanmbot/status/703280261837025280","703280261837025280")</f>
        <v>703280261837025280</v>
      </c>
      <c r="F3042" s="12" t="s">
        <v>176</v>
      </c>
      <c r="G3042" s="13">
        <v>3291.0</v>
      </c>
      <c r="H3042" s="13">
        <v>1.0</v>
      </c>
      <c r="I3042" s="13">
        <v>1.0</v>
      </c>
      <c r="J3042" s="13">
        <v>0.0</v>
      </c>
      <c r="K3042" s="12" t="s">
        <v>21</v>
      </c>
      <c r="L3042" s="7">
        <v>41814.009733796294</v>
      </c>
      <c r="M3042" s="16"/>
      <c r="N3042" s="14" t="s">
        <v>177</v>
      </c>
      <c r="O3042" s="11" t="str">
        <f>HYPERLINK("https://pbs.twimg.com/profile_images/481334978161029120/iu3zZFEk_normal.png","View")</f>
        <v>View</v>
      </c>
      <c r="P3042" s="15"/>
    </row>
    <row r="3043">
      <c r="A3043" s="7">
        <v>42426.42230324074</v>
      </c>
      <c r="B3043" s="8" t="str">
        <f>HYPERLINK("https://twitter.com/mattmcd","@mattmcd")</f>
        <v>@mattmcd</v>
      </c>
      <c r="C3043" s="10" t="s">
        <v>2668</v>
      </c>
      <c r="D3043" s="10" t="s">
        <v>6179</v>
      </c>
      <c r="E3043" s="11" t="str">
        <f>HYPERLINK("https://twitter.com/mattmcd/status/703280394578305024","703280394578305024")</f>
        <v>703280394578305024</v>
      </c>
      <c r="F3043" s="12" t="s">
        <v>6180</v>
      </c>
      <c r="G3043" s="13">
        <v>539.0</v>
      </c>
      <c r="H3043" s="13">
        <v>639.0</v>
      </c>
      <c r="I3043" s="13">
        <v>1.0</v>
      </c>
      <c r="J3043" s="13">
        <v>1.0</v>
      </c>
      <c r="K3043" s="12" t="s">
        <v>21</v>
      </c>
      <c r="L3043" s="7">
        <v>39249.37799768519</v>
      </c>
      <c r="M3043" s="14" t="s">
        <v>519</v>
      </c>
      <c r="N3043" s="14" t="s">
        <v>2670</v>
      </c>
      <c r="O3043" s="11" t="str">
        <f>HYPERLINK("https://pbs.twimg.com/profile_images/1401189383/me_skecth_no2_dark_800x800_normal.jpg","View")</f>
        <v>View</v>
      </c>
      <c r="P3043" s="15"/>
    </row>
    <row r="3044">
      <c r="A3044" s="7">
        <v>42426.42307870371</v>
      </c>
      <c r="B3044" s="8" t="str">
        <f>HYPERLINK("https://twitter.com/AdamSmitht1","@AdamSmitht1")</f>
        <v>@AdamSmitht1</v>
      </c>
      <c r="C3044" s="10" t="s">
        <v>468</v>
      </c>
      <c r="D3044" s="10" t="s">
        <v>6181</v>
      </c>
      <c r="E3044" s="11" t="str">
        <f>HYPERLINK("https://twitter.com/AdamSmitht1/status/703280676175482881","703280676175482881")</f>
        <v>703280676175482881</v>
      </c>
      <c r="F3044" s="12" t="s">
        <v>103</v>
      </c>
      <c r="G3044" s="13">
        <v>849.0</v>
      </c>
      <c r="H3044" s="13">
        <v>793.0</v>
      </c>
      <c r="I3044" s="13">
        <v>0.0</v>
      </c>
      <c r="J3044" s="13">
        <v>0.0</v>
      </c>
      <c r="K3044" s="12" t="s">
        <v>21</v>
      </c>
      <c r="L3044" s="7">
        <v>42336.12709490741</v>
      </c>
      <c r="M3044" s="14" t="s">
        <v>470</v>
      </c>
      <c r="N3044" s="14" t="s">
        <v>471</v>
      </c>
      <c r="O3044" s="11" t="str">
        <f>HYPERLINK("https://pbs.twimg.com/profile_images/671623862916812800/yGsDKiP4_normal.jpg","View")</f>
        <v>View</v>
      </c>
      <c r="P3044" s="15"/>
    </row>
    <row r="3045">
      <c r="A3045" s="7">
        <v>42426.42310185185</v>
      </c>
      <c r="B3045" s="8" t="str">
        <f>HYPERLINK("https://twitter.com/DjangoGirlsRio","@DjangoGirlsRio")</f>
        <v>@DjangoGirlsRio</v>
      </c>
      <c r="C3045" s="10" t="s">
        <v>6182</v>
      </c>
      <c r="D3045" s="10" t="s">
        <v>6183</v>
      </c>
      <c r="E3045" s="11" t="str">
        <f>HYPERLINK("https://twitter.com/DjangoGirlsRio/status/703280687739236352","703280687739236352")</f>
        <v>703280687739236352</v>
      </c>
      <c r="F3045" s="12" t="s">
        <v>294</v>
      </c>
      <c r="G3045" s="13">
        <v>46.0</v>
      </c>
      <c r="H3045" s="13">
        <v>41.0</v>
      </c>
      <c r="I3045" s="13">
        <v>0.0</v>
      </c>
      <c r="J3045" s="13">
        <v>0.0</v>
      </c>
      <c r="K3045" s="12" t="s">
        <v>21</v>
      </c>
      <c r="L3045" s="7">
        <v>42372.67263888889</v>
      </c>
      <c r="M3045" s="16"/>
      <c r="N3045" s="16"/>
      <c r="O3045" s="11" t="str">
        <f>HYPERLINK("https://pbs.twimg.com/profile_images/683802551993692160/czqta4Eo_normal.png","View")</f>
        <v>View</v>
      </c>
      <c r="P3045" s="15"/>
    </row>
    <row r="3046">
      <c r="A3046" s="7">
        <v>42426.42346064815</v>
      </c>
      <c r="B3046" s="8" t="str">
        <f>HYPERLINK("https://twitter.com/chibaf","@chibaf")</f>
        <v>@chibaf</v>
      </c>
      <c r="C3046" s="10" t="s">
        <v>6184</v>
      </c>
      <c r="D3046" s="10" t="s">
        <v>6185</v>
      </c>
      <c r="E3046" s="11" t="str">
        <f>HYPERLINK("https://twitter.com/chibaf/status/703280813979230208","703280813979230208")</f>
        <v>703280813979230208</v>
      </c>
      <c r="F3046" s="12" t="s">
        <v>446</v>
      </c>
      <c r="G3046" s="13">
        <v>1496.0</v>
      </c>
      <c r="H3046" s="13">
        <v>1400.0</v>
      </c>
      <c r="I3046" s="13">
        <v>1.0</v>
      </c>
      <c r="J3046" s="13">
        <v>0.0</v>
      </c>
      <c r="K3046" s="12" t="s">
        <v>21</v>
      </c>
      <c r="L3046" s="7">
        <v>39895.91591435185</v>
      </c>
      <c r="M3046" s="14" t="s">
        <v>6186</v>
      </c>
      <c r="N3046" s="14" t="s">
        <v>6187</v>
      </c>
      <c r="O3046" s="11" t="str">
        <f>HYPERLINK("https://pbs.twimg.com/profile_images/681923556561666049/XHDxWC8g_normal.png","View")</f>
        <v>View</v>
      </c>
      <c r="P3046" s="15"/>
    </row>
    <row r="3047">
      <c r="A3047" s="7">
        <v>42426.423888888894</v>
      </c>
      <c r="B3047" s="8" t="str">
        <f>HYPERLINK("https://twitter.com/mark_asbach","@mark_asbach")</f>
        <v>@mark_asbach</v>
      </c>
      <c r="C3047" s="10" t="s">
        <v>6188</v>
      </c>
      <c r="D3047" s="10" t="s">
        <v>937</v>
      </c>
      <c r="E3047" s="11" t="str">
        <f>HYPERLINK("https://twitter.com/mark_asbach/status/703280971962060801","703280971962060801")</f>
        <v>703280971962060801</v>
      </c>
      <c r="F3047" s="12" t="s">
        <v>98</v>
      </c>
      <c r="G3047" s="13">
        <v>61.0</v>
      </c>
      <c r="H3047" s="13">
        <v>61.0</v>
      </c>
      <c r="I3047" s="13">
        <v>4.0</v>
      </c>
      <c r="J3047" s="13">
        <v>0.0</v>
      </c>
      <c r="K3047" s="12" t="s">
        <v>21</v>
      </c>
      <c r="L3047" s="7">
        <v>40200.16296296296</v>
      </c>
      <c r="M3047" s="14" t="s">
        <v>4364</v>
      </c>
      <c r="N3047" s="14" t="s">
        <v>6189</v>
      </c>
      <c r="O3047" s="11" t="str">
        <f>HYPERLINK("https://pbs.twimg.com/profile_images/673648481/twitter-profilfoto_normal.jpg","View")</f>
        <v>View</v>
      </c>
      <c r="P3047" s="15"/>
    </row>
    <row r="3048">
      <c r="A3048" s="7">
        <v>42426.42395833333</v>
      </c>
      <c r="B3048" s="8" t="str">
        <f>HYPERLINK("https://twitter.com/MCanalytics","@MCanalytics")</f>
        <v>@MCanalytics</v>
      </c>
      <c r="C3048" s="10" t="s">
        <v>2246</v>
      </c>
      <c r="D3048" s="10" t="s">
        <v>5949</v>
      </c>
      <c r="E3048" s="11" t="str">
        <f>HYPERLINK("https://twitter.com/MCanalytics/status/703280994225262598","703280994225262598")</f>
        <v>703280994225262598</v>
      </c>
      <c r="F3048" s="12" t="s">
        <v>52</v>
      </c>
      <c r="G3048" s="13">
        <v>1526.0</v>
      </c>
      <c r="H3048" s="13">
        <v>1817.0</v>
      </c>
      <c r="I3048" s="13">
        <v>2.0</v>
      </c>
      <c r="J3048" s="13">
        <v>0.0</v>
      </c>
      <c r="K3048" s="12" t="s">
        <v>21</v>
      </c>
      <c r="L3048" s="7">
        <v>40380.80865740741</v>
      </c>
      <c r="M3048" s="14" t="s">
        <v>2022</v>
      </c>
      <c r="N3048" s="14" t="s">
        <v>2247</v>
      </c>
      <c r="O3048" s="11" t="str">
        <f>HYPERLINK("https://pbs.twimg.com/profile_images/642779267927945218/MYTAxfc-_normal.jpg","View")</f>
        <v>View</v>
      </c>
      <c r="P3048" s="15"/>
    </row>
    <row r="3049">
      <c r="A3049" s="7">
        <v>42426.42408564815</v>
      </c>
      <c r="B3049" s="8" t="str">
        <f>HYPERLINK("https://twitter.com/Philip_W_Morris","@Philip_W_Morris")</f>
        <v>@Philip_W_Morris</v>
      </c>
      <c r="C3049" s="10" t="s">
        <v>3148</v>
      </c>
      <c r="D3049" s="10" t="s">
        <v>6190</v>
      </c>
      <c r="E3049" s="11" t="str">
        <f>HYPERLINK("https://twitter.com/Philip_W_Morris/status/703281043038724096","703281043038724096")</f>
        <v>703281043038724096</v>
      </c>
      <c r="F3049" s="12" t="s">
        <v>103</v>
      </c>
      <c r="G3049" s="13">
        <v>274.0</v>
      </c>
      <c r="H3049" s="13">
        <v>301.0</v>
      </c>
      <c r="I3049" s="13">
        <v>0.0</v>
      </c>
      <c r="J3049" s="13">
        <v>3.0</v>
      </c>
      <c r="K3049" s="12" t="s">
        <v>21</v>
      </c>
      <c r="L3049" s="7">
        <v>40371.50991898148</v>
      </c>
      <c r="M3049" s="14" t="s">
        <v>3150</v>
      </c>
      <c r="N3049" s="14" t="s">
        <v>3151</v>
      </c>
      <c r="O3049" s="11" t="str">
        <f>HYPERLINK("https://pbs.twimg.com/profile_images/688093545148723201/hCPglEEy_normal.jpg","View")</f>
        <v>View</v>
      </c>
      <c r="P3049" s="15"/>
    </row>
    <row r="3050">
      <c r="A3050" s="7">
        <v>42426.42408564815</v>
      </c>
      <c r="B3050" s="8" t="str">
        <f>HYPERLINK("https://twitter.com/startechwall","@startechwall")</f>
        <v>@startechwall</v>
      </c>
      <c r="C3050" s="10" t="s">
        <v>1478</v>
      </c>
      <c r="D3050" s="10" t="s">
        <v>6191</v>
      </c>
      <c r="E3050" s="11" t="str">
        <f>HYPERLINK("https://twitter.com/startechwall/status/703281043667685376","703281043667685376")</f>
        <v>703281043667685376</v>
      </c>
      <c r="F3050" s="12" t="s">
        <v>103</v>
      </c>
      <c r="G3050" s="13">
        <v>557.0</v>
      </c>
      <c r="H3050" s="13">
        <v>859.0</v>
      </c>
      <c r="I3050" s="13">
        <v>0.0</v>
      </c>
      <c r="J3050" s="13">
        <v>0.0</v>
      </c>
      <c r="K3050" s="12" t="s">
        <v>21</v>
      </c>
      <c r="L3050" s="7">
        <v>42360.959502314814</v>
      </c>
      <c r="M3050" s="14" t="s">
        <v>1480</v>
      </c>
      <c r="N3050" s="14" t="s">
        <v>1481</v>
      </c>
      <c r="O3050" s="11" t="str">
        <f>HYPERLINK("https://pbs.twimg.com/profile_images/679566117187145728/UUo30Zpm_normal.jpg","View")</f>
        <v>View</v>
      </c>
      <c r="P3050" s="15"/>
    </row>
    <row r="3051">
      <c r="A3051" s="7">
        <v>42426.42425925926</v>
      </c>
      <c r="B3051" s="8" t="str">
        <f>HYPERLINK("https://twitter.com/datamafia","@datamafia")</f>
        <v>@datamafia</v>
      </c>
      <c r="C3051" s="10" t="s">
        <v>3449</v>
      </c>
      <c r="D3051" s="10" t="s">
        <v>6192</v>
      </c>
      <c r="E3051" s="11" t="str">
        <f>HYPERLINK("https://twitter.com/datamafia/status/703281107278696449","703281107278696449")</f>
        <v>703281107278696449</v>
      </c>
      <c r="F3051" s="12" t="s">
        <v>20</v>
      </c>
      <c r="G3051" s="13">
        <v>735.0</v>
      </c>
      <c r="H3051" s="13">
        <v>99.0</v>
      </c>
      <c r="I3051" s="13">
        <v>0.0</v>
      </c>
      <c r="J3051" s="13">
        <v>0.0</v>
      </c>
      <c r="K3051" s="12" t="s">
        <v>21</v>
      </c>
      <c r="L3051" s="7">
        <v>39841.404074074075</v>
      </c>
      <c r="M3051" s="14" t="s">
        <v>3451</v>
      </c>
      <c r="N3051" s="14" t="s">
        <v>3452</v>
      </c>
      <c r="O3051" s="11" t="str">
        <f>HYPERLINK("https://pbs.twimg.com/profile_images/700782075595481088/NiHciBeU_normal.jpg","View")</f>
        <v>View</v>
      </c>
      <c r="P3051" s="15"/>
    </row>
    <row r="3052">
      <c r="A3052" s="7">
        <v>42426.425150462965</v>
      </c>
      <c r="B3052" s="8" t="str">
        <f>HYPERLINK("https://twitter.com/GlukAlex","@GlukAlex")</f>
        <v>@GlukAlex</v>
      </c>
      <c r="C3052" s="10" t="s">
        <v>6193</v>
      </c>
      <c r="D3052" s="10" t="s">
        <v>6194</v>
      </c>
      <c r="E3052" s="11" t="str">
        <f>HYPERLINK("https://twitter.com/GlukAlex/status/703281429220823040","703281429220823040")</f>
        <v>703281429220823040</v>
      </c>
      <c r="F3052" s="12" t="s">
        <v>20</v>
      </c>
      <c r="G3052" s="13">
        <v>76.0</v>
      </c>
      <c r="H3052" s="13">
        <v>54.0</v>
      </c>
      <c r="I3052" s="13">
        <v>0.0</v>
      </c>
      <c r="J3052" s="13">
        <v>1.0</v>
      </c>
      <c r="K3052" s="12" t="s">
        <v>21</v>
      </c>
      <c r="L3052" s="7">
        <v>41321.374502314815</v>
      </c>
      <c r="M3052" s="16"/>
      <c r="N3052" s="14" t="s">
        <v>6195</v>
      </c>
      <c r="O3052" s="11" t="str">
        <f>HYPERLINK("https://pbs.twimg.com/profile_images/3262121110/3aa51f97635bb974c92448a662bae68b_normal.jpeg","View")</f>
        <v>View</v>
      </c>
      <c r="P3052" s="15"/>
    </row>
    <row r="3053">
      <c r="A3053" s="7">
        <v>42426.42613425926</v>
      </c>
      <c r="B3053" s="8" t="str">
        <f>HYPERLINK("https://twitter.com/rmad1717","@rmad1717")</f>
        <v>@rmad1717</v>
      </c>
      <c r="C3053" s="10" t="s">
        <v>6196</v>
      </c>
      <c r="D3053" s="10" t="s">
        <v>5500</v>
      </c>
      <c r="E3053" s="11" t="str">
        <f>HYPERLINK("https://twitter.com/rmad1717/status/703281784000159744","703281784000159744")</f>
        <v>703281784000159744</v>
      </c>
      <c r="F3053" s="12" t="s">
        <v>152</v>
      </c>
      <c r="G3053" s="13">
        <v>113.0</v>
      </c>
      <c r="H3053" s="13">
        <v>562.0</v>
      </c>
      <c r="I3053" s="13">
        <v>3.0</v>
      </c>
      <c r="J3053" s="13">
        <v>0.0</v>
      </c>
      <c r="K3053" s="12" t="s">
        <v>21</v>
      </c>
      <c r="L3053" s="7">
        <v>41835.241747685184</v>
      </c>
      <c r="M3053" s="14" t="s">
        <v>761</v>
      </c>
      <c r="N3053" s="14" t="s">
        <v>6197</v>
      </c>
      <c r="O3053" s="11" t="str">
        <f>HYPERLINK("https://pbs.twimg.com/profile_images/657453239789420544/faZgs1i1_normal.jpg","View")</f>
        <v>View</v>
      </c>
      <c r="P3053" s="15"/>
    </row>
    <row r="3054">
      <c r="A3054" s="7">
        <v>42426.426875000005</v>
      </c>
      <c r="B3054" s="8" t="str">
        <f>HYPERLINK("https://twitter.com/masa16tanaka","@masa16tanaka")</f>
        <v>@masa16tanaka</v>
      </c>
      <c r="C3054" s="10" t="s">
        <v>6198</v>
      </c>
      <c r="D3054" s="10" t="s">
        <v>6026</v>
      </c>
      <c r="E3054" s="11" t="str">
        <f>HYPERLINK("https://twitter.com/masa16tanaka/status/703282053974917120","703282053974917120")</f>
        <v>703282053974917120</v>
      </c>
      <c r="F3054" s="12" t="s">
        <v>6199</v>
      </c>
      <c r="G3054" s="13">
        <v>72.0</v>
      </c>
      <c r="H3054" s="13">
        <v>50.0</v>
      </c>
      <c r="I3054" s="13">
        <v>6.0</v>
      </c>
      <c r="J3054" s="13">
        <v>0.0</v>
      </c>
      <c r="K3054" s="12" t="s">
        <v>21</v>
      </c>
      <c r="L3054" s="7">
        <v>40272.85806712963</v>
      </c>
      <c r="M3054" s="14" t="s">
        <v>6200</v>
      </c>
      <c r="N3054" s="14" t="s">
        <v>6201</v>
      </c>
      <c r="O3054" s="11" t="str">
        <f>HYPERLINK("https://pbs.twimg.com/profile_images/636008630844678148/xgzovIZl_normal.jpg","View")</f>
        <v>View</v>
      </c>
      <c r="P3054" s="15"/>
    </row>
    <row r="3055">
      <c r="A3055" s="7">
        <v>42426.42722222222</v>
      </c>
      <c r="B3055" s="8" t="str">
        <f>HYPERLINK("https://twitter.com/Boolerang","@Boolerang")</f>
        <v>@Boolerang</v>
      </c>
      <c r="C3055" s="9" t="s">
        <v>352</v>
      </c>
      <c r="D3055" s="10" t="s">
        <v>6202</v>
      </c>
      <c r="E3055" s="11" t="str">
        <f>HYPERLINK("https://twitter.com/Boolerang/status/703282179493781505","703282179493781505")</f>
        <v>703282179493781505</v>
      </c>
      <c r="F3055" s="12" t="s">
        <v>294</v>
      </c>
      <c r="G3055" s="13">
        <v>983.0</v>
      </c>
      <c r="H3055" s="13">
        <v>908.0</v>
      </c>
      <c r="I3055" s="13">
        <v>0.0</v>
      </c>
      <c r="J3055" s="13">
        <v>0.0</v>
      </c>
      <c r="K3055" s="12" t="s">
        <v>21</v>
      </c>
      <c r="L3055" s="7">
        <v>42289.70659722222</v>
      </c>
      <c r="M3055" s="14" t="s">
        <v>354</v>
      </c>
      <c r="N3055" s="14" t="s">
        <v>355</v>
      </c>
      <c r="O3055" s="11" t="str">
        <f>HYPERLINK("https://pbs.twimg.com/profile_images/703179032125267969/9Y-1Fllk_normal.jpg","View")</f>
        <v>View</v>
      </c>
      <c r="P3055" s="15"/>
    </row>
    <row r="3056">
      <c r="A3056" s="7">
        <v>42426.427245370374</v>
      </c>
      <c r="B3056" s="8" t="str">
        <f>HYPERLINK("https://twitter.com/unixpablo","@unixpablo")</f>
        <v>@unixpablo</v>
      </c>
      <c r="C3056" s="10" t="s">
        <v>6203</v>
      </c>
      <c r="D3056" s="10" t="s">
        <v>6204</v>
      </c>
      <c r="E3056" s="11" t="str">
        <f>HYPERLINK("https://twitter.com/unixpablo/status/703282186296885252","703282186296885252")</f>
        <v>703282186296885252</v>
      </c>
      <c r="F3056" s="12" t="s">
        <v>20</v>
      </c>
      <c r="G3056" s="13">
        <v>377.0</v>
      </c>
      <c r="H3056" s="13">
        <v>407.0</v>
      </c>
      <c r="I3056" s="13">
        <v>0.0</v>
      </c>
      <c r="J3056" s="13">
        <v>0.0</v>
      </c>
      <c r="K3056" s="12" t="s">
        <v>21</v>
      </c>
      <c r="L3056" s="7">
        <v>40313.5258912037</v>
      </c>
      <c r="M3056" s="14" t="s">
        <v>82</v>
      </c>
      <c r="N3056" s="14" t="s">
        <v>6205</v>
      </c>
      <c r="O3056" s="11" t="str">
        <f>HYPERLINK("https://pbs.twimg.com/profile_images/682376331804471297/iN-ryYM4_normal.png","View")</f>
        <v>View</v>
      </c>
      <c r="P3056" s="15"/>
    </row>
    <row r="3057">
      <c r="A3057" s="7">
        <v>42426.427245370374</v>
      </c>
      <c r="B3057" s="8" t="str">
        <f>HYPERLINK("https://twitter.com/felixgomezlopez","@felixgomezlopez")</f>
        <v>@felixgomezlopez</v>
      </c>
      <c r="C3057" s="10" t="s">
        <v>6206</v>
      </c>
      <c r="D3057" s="10" t="s">
        <v>6207</v>
      </c>
      <c r="E3057" s="11" t="str">
        <f>HYPERLINK("https://twitter.com/felixgomezlopez/status/703282187106447362","703282187106447362")</f>
        <v>703282187106447362</v>
      </c>
      <c r="F3057" s="12" t="s">
        <v>20</v>
      </c>
      <c r="G3057" s="13">
        <v>221.0</v>
      </c>
      <c r="H3057" s="13">
        <v>481.0</v>
      </c>
      <c r="I3057" s="13">
        <v>1.0</v>
      </c>
      <c r="J3057" s="13">
        <v>0.0</v>
      </c>
      <c r="K3057" s="12" t="s">
        <v>21</v>
      </c>
      <c r="L3057" s="7">
        <v>39997.21921296296</v>
      </c>
      <c r="M3057" s="14" t="s">
        <v>6208</v>
      </c>
      <c r="N3057" s="14" t="s">
        <v>6209</v>
      </c>
      <c r="O3057" s="11" t="str">
        <f>HYPERLINK("https://pbs.twimg.com/profile_images/693942109783613441/yOtsPMsw_normal.jpg","View")</f>
        <v>View</v>
      </c>
      <c r="P3057" s="15"/>
    </row>
    <row r="3058">
      <c r="A3058" s="7">
        <v>42426.42784722222</v>
      </c>
      <c r="B3058" s="8" t="str">
        <f>HYPERLINK("https://twitter.com/importpython","@importpython")</f>
        <v>@importpython</v>
      </c>
      <c r="C3058" s="10" t="s">
        <v>2536</v>
      </c>
      <c r="D3058" s="10" t="s">
        <v>2762</v>
      </c>
      <c r="E3058" s="11" t="str">
        <f>HYPERLINK("https://twitter.com/importpython/status/703282404006322176","703282404006322176")</f>
        <v>703282404006322176</v>
      </c>
      <c r="F3058" s="12" t="s">
        <v>2538</v>
      </c>
      <c r="G3058" s="13">
        <v>1603.0</v>
      </c>
      <c r="H3058" s="13">
        <v>498.0</v>
      </c>
      <c r="I3058" s="13">
        <v>0.0</v>
      </c>
      <c r="J3058" s="13">
        <v>0.0</v>
      </c>
      <c r="K3058" s="12" t="s">
        <v>21</v>
      </c>
      <c r="L3058" s="7">
        <v>41912.04583333334</v>
      </c>
      <c r="M3058" s="14" t="s">
        <v>432</v>
      </c>
      <c r="N3058" s="14" t="s">
        <v>2539</v>
      </c>
      <c r="O3058" s="11" t="str">
        <f>HYPERLINK("https://pbs.twimg.com/profile_images/518108253121552384/ClpFqPbX_normal.png","View")</f>
        <v>View</v>
      </c>
      <c r="P3058" s="15"/>
    </row>
    <row r="3059">
      <c r="A3059" s="7">
        <v>42426.42802083334</v>
      </c>
      <c r="B3059" s="8" t="str">
        <f>HYPERLINK("https://twitter.com/oneshotlife_tom","@oneshotlife_tom")</f>
        <v>@oneshotlife_tom</v>
      </c>
      <c r="C3059" s="10" t="s">
        <v>6210</v>
      </c>
      <c r="D3059" s="10" t="s">
        <v>6211</v>
      </c>
      <c r="E3059" s="11" t="str">
        <f>HYPERLINK("https://twitter.com/oneshotlife_tom/status/703282466828582912","703282466828582912")</f>
        <v>703282466828582912</v>
      </c>
      <c r="F3059" s="12" t="s">
        <v>327</v>
      </c>
      <c r="G3059" s="13">
        <v>929.0</v>
      </c>
      <c r="H3059" s="13">
        <v>996.0</v>
      </c>
      <c r="I3059" s="13">
        <v>0.0</v>
      </c>
      <c r="J3059" s="13">
        <v>0.0</v>
      </c>
      <c r="K3059" s="12" t="s">
        <v>21</v>
      </c>
      <c r="L3059" s="7">
        <v>40323.30170138889</v>
      </c>
      <c r="M3059" s="14" t="s">
        <v>6212</v>
      </c>
      <c r="N3059" s="14" t="s">
        <v>6213</v>
      </c>
      <c r="O3059" s="11" t="str">
        <f>HYPERLINK("https://pbs.twimg.com/profile_images/1072651114/SH3C0344_normal.jpg","View")</f>
        <v>View</v>
      </c>
      <c r="P3059" s="15"/>
    </row>
    <row r="3060">
      <c r="A3060" s="7">
        <v>42426.42885416667</v>
      </c>
      <c r="B3060" s="8" t="str">
        <f>HYPERLINK("https://twitter.com/QuestGroups","@QuestGroups")</f>
        <v>@QuestGroups</v>
      </c>
      <c r="C3060" s="10" t="s">
        <v>6214</v>
      </c>
      <c r="D3060" s="10" t="s">
        <v>6215</v>
      </c>
      <c r="E3060" s="11" t="str">
        <f>HYPERLINK("https://twitter.com/QuestGroups/status/703282769686712320","703282769686712320")</f>
        <v>703282769686712320</v>
      </c>
      <c r="F3060" s="12" t="s">
        <v>20</v>
      </c>
      <c r="G3060" s="13">
        <v>564.0</v>
      </c>
      <c r="H3060" s="13">
        <v>94.0</v>
      </c>
      <c r="I3060" s="13">
        <v>0.0</v>
      </c>
      <c r="J3060" s="13">
        <v>0.0</v>
      </c>
      <c r="K3060" s="12" t="s">
        <v>21</v>
      </c>
      <c r="L3060" s="7">
        <v>39900.891701388886</v>
      </c>
      <c r="M3060" s="14" t="s">
        <v>6216</v>
      </c>
      <c r="N3060" s="14" t="s">
        <v>6217</v>
      </c>
      <c r="O3060" s="11" t="str">
        <f>HYPERLINK("https://pbs.twimg.com/profile_images/1479516224/twitter_logo_normal.gif","View")</f>
        <v>View</v>
      </c>
      <c r="P3060" s="15"/>
    </row>
    <row r="3061">
      <c r="A3061" s="7">
        <v>42426.42917824074</v>
      </c>
      <c r="B3061" s="8" t="str">
        <f>HYPERLINK("https://twitter.com/Mike_ITProTV","@Mike_ITProTV")</f>
        <v>@Mike_ITProTV</v>
      </c>
      <c r="C3061" s="10" t="s">
        <v>6218</v>
      </c>
      <c r="D3061" s="10" t="s">
        <v>1966</v>
      </c>
      <c r="E3061" s="11" t="str">
        <f>HYPERLINK("https://twitter.com/Mike_ITProTV/status/703282886108192769","703282886108192769")</f>
        <v>703282886108192769</v>
      </c>
      <c r="F3061" s="12" t="s">
        <v>52</v>
      </c>
      <c r="G3061" s="13">
        <v>97.0</v>
      </c>
      <c r="H3061" s="13">
        <v>185.0</v>
      </c>
      <c r="I3061" s="13">
        <v>2.0</v>
      </c>
      <c r="J3061" s="13">
        <v>0.0</v>
      </c>
      <c r="K3061" s="12" t="s">
        <v>21</v>
      </c>
      <c r="L3061" s="7">
        <v>42347.28576388889</v>
      </c>
      <c r="M3061" s="14" t="s">
        <v>1891</v>
      </c>
      <c r="N3061" s="14" t="s">
        <v>6219</v>
      </c>
      <c r="O3061" s="11" t="str">
        <f>HYPERLINK("https://pbs.twimg.com/profile_images/674614258877927425/R5BVrOz6_normal.jpg","View")</f>
        <v>View</v>
      </c>
      <c r="P3061" s="15"/>
    </row>
    <row r="3062">
      <c r="A3062" s="15"/>
      <c r="B3062" s="22"/>
      <c r="C3062" s="22"/>
      <c r="D3062" s="22"/>
      <c r="E3062" s="15"/>
      <c r="F3062" s="15"/>
      <c r="G3062" s="15"/>
      <c r="H3062" s="15"/>
      <c r="I3062" s="15"/>
      <c r="J3062" s="15"/>
      <c r="K3062" s="15"/>
      <c r="L3062" s="15"/>
      <c r="M3062" s="16"/>
      <c r="N3062" s="16"/>
      <c r="O3062" s="15"/>
      <c r="P3062" s="15"/>
    </row>
    <row r="3063">
      <c r="A3063" s="15"/>
      <c r="B3063" s="22"/>
      <c r="C3063" s="22"/>
      <c r="D3063" s="22"/>
      <c r="E3063" s="15"/>
      <c r="F3063" s="15"/>
      <c r="G3063" s="15"/>
      <c r="H3063" s="15"/>
      <c r="I3063" s="15"/>
      <c r="J3063" s="15"/>
      <c r="K3063" s="15"/>
      <c r="L3063" s="15"/>
      <c r="M3063" s="16"/>
      <c r="N3063" s="16"/>
      <c r="O3063" s="15"/>
      <c r="P3063" s="15"/>
    </row>
    <row r="3064">
      <c r="A3064" s="15"/>
      <c r="B3064" s="22"/>
      <c r="C3064" s="22"/>
      <c r="D3064" s="23"/>
      <c r="E3064" s="15"/>
      <c r="F3064" s="15"/>
      <c r="G3064" s="15"/>
      <c r="H3064" s="15"/>
      <c r="I3064" s="15"/>
      <c r="J3064" s="15"/>
      <c r="K3064" s="15"/>
      <c r="L3064" s="15"/>
      <c r="M3064" s="16"/>
      <c r="N3064" s="16"/>
      <c r="O3064" s="15"/>
      <c r="P3064" s="15"/>
    </row>
    <row r="3065">
      <c r="A3065" s="15"/>
      <c r="B3065" s="22"/>
      <c r="C3065" s="22"/>
      <c r="D3065" s="22"/>
      <c r="E3065" s="15"/>
      <c r="F3065" s="15"/>
      <c r="G3065" s="15"/>
      <c r="H3065" s="15"/>
      <c r="I3065" s="15"/>
      <c r="J3065" s="15"/>
      <c r="K3065" s="15"/>
      <c r="L3065" s="15"/>
      <c r="M3065" s="16"/>
      <c r="N3065" s="16"/>
      <c r="O3065" s="15"/>
      <c r="P3065" s="15"/>
    </row>
    <row r="3066">
      <c r="A3066" s="15"/>
      <c r="B3066" s="22"/>
      <c r="C3066" s="22"/>
      <c r="D3066" s="22"/>
      <c r="E3066" s="15"/>
      <c r="F3066" s="15"/>
      <c r="G3066" s="15"/>
      <c r="H3066" s="15"/>
      <c r="I3066" s="15"/>
      <c r="J3066" s="15"/>
      <c r="K3066" s="15"/>
      <c r="L3066" s="15"/>
      <c r="M3066" s="16"/>
      <c r="N3066" s="16"/>
      <c r="O3066" s="15"/>
      <c r="P3066" s="15"/>
    </row>
    <row r="3067">
      <c r="A3067" s="15"/>
      <c r="B3067" s="22"/>
      <c r="C3067" s="22"/>
      <c r="D3067" s="22"/>
      <c r="E3067" s="15"/>
      <c r="F3067" s="15"/>
      <c r="G3067" s="15"/>
      <c r="H3067" s="15"/>
      <c r="I3067" s="15"/>
      <c r="J3067" s="15"/>
      <c r="K3067" s="15"/>
      <c r="L3067" s="15"/>
      <c r="M3067" s="16"/>
      <c r="N3067" s="16"/>
      <c r="O3067" s="15"/>
      <c r="P3067" s="15"/>
    </row>
    <row r="3068">
      <c r="A3068" s="15"/>
      <c r="B3068" s="22"/>
      <c r="C3068" s="22"/>
      <c r="D3068" s="22"/>
      <c r="E3068" s="15"/>
      <c r="F3068" s="15"/>
      <c r="G3068" s="15"/>
      <c r="H3068" s="15"/>
      <c r="I3068" s="15"/>
      <c r="J3068" s="15"/>
      <c r="K3068" s="15"/>
      <c r="L3068" s="15"/>
      <c r="M3068" s="16"/>
      <c r="N3068" s="16"/>
      <c r="O3068" s="15"/>
      <c r="P3068" s="15"/>
    </row>
    <row r="3069">
      <c r="A3069" s="15"/>
      <c r="B3069" s="22"/>
      <c r="C3069" s="22"/>
      <c r="D3069" s="22"/>
      <c r="E3069" s="15"/>
      <c r="F3069" s="15"/>
      <c r="G3069" s="15"/>
      <c r="H3069" s="15"/>
      <c r="I3069" s="15"/>
      <c r="J3069" s="15"/>
      <c r="K3069" s="15"/>
      <c r="L3069" s="15"/>
      <c r="M3069" s="16"/>
      <c r="N3069" s="16"/>
      <c r="O3069" s="15"/>
      <c r="P3069" s="15"/>
    </row>
    <row r="3070">
      <c r="A3070" s="15"/>
      <c r="B3070" s="22"/>
      <c r="C3070" s="22"/>
      <c r="D3070" s="22"/>
      <c r="E3070" s="15"/>
      <c r="F3070" s="15"/>
      <c r="G3070" s="15"/>
      <c r="H3070" s="15"/>
      <c r="I3070" s="15"/>
      <c r="J3070" s="15"/>
      <c r="K3070" s="15"/>
      <c r="L3070" s="15"/>
      <c r="M3070" s="16"/>
      <c r="N3070" s="16"/>
      <c r="O3070" s="15"/>
      <c r="P3070" s="15"/>
    </row>
    <row r="3071">
      <c r="A3071" s="15"/>
      <c r="B3071" s="22"/>
      <c r="C3071" s="22"/>
      <c r="D3071" s="22"/>
      <c r="E3071" s="15"/>
      <c r="F3071" s="15"/>
      <c r="G3071" s="15"/>
      <c r="H3071" s="15"/>
      <c r="I3071" s="15"/>
      <c r="J3071" s="15"/>
      <c r="K3071" s="15"/>
      <c r="L3071" s="15"/>
      <c r="M3071" s="16"/>
      <c r="N3071" s="16"/>
      <c r="O3071" s="15"/>
      <c r="P3071" s="15"/>
    </row>
    <row r="3072">
      <c r="A3072" s="15"/>
      <c r="B3072" s="22"/>
      <c r="C3072" s="22"/>
      <c r="D3072" s="22"/>
      <c r="E3072" s="15"/>
      <c r="F3072" s="15"/>
      <c r="G3072" s="15"/>
      <c r="H3072" s="15"/>
      <c r="I3072" s="15"/>
      <c r="J3072" s="15"/>
      <c r="K3072" s="15"/>
      <c r="L3072" s="15"/>
      <c r="M3072" s="16"/>
      <c r="N3072" s="16"/>
      <c r="O3072" s="15"/>
      <c r="P3072" s="15"/>
    </row>
    <row r="3073">
      <c r="A3073" s="15"/>
      <c r="B3073" s="22"/>
      <c r="C3073" s="22"/>
      <c r="D3073" s="22"/>
      <c r="E3073" s="15"/>
      <c r="F3073" s="15"/>
      <c r="G3073" s="15"/>
      <c r="H3073" s="15"/>
      <c r="I3073" s="15"/>
      <c r="J3073" s="15"/>
      <c r="K3073" s="15"/>
      <c r="L3073" s="15"/>
      <c r="M3073" s="16"/>
      <c r="N3073" s="16"/>
      <c r="O3073" s="15"/>
      <c r="P3073" s="15"/>
    </row>
    <row r="3074">
      <c r="A3074" s="15"/>
      <c r="B3074" s="22"/>
      <c r="C3074" s="22"/>
      <c r="D3074" s="22"/>
      <c r="E3074" s="15"/>
      <c r="F3074" s="15"/>
      <c r="G3074" s="15"/>
      <c r="H3074" s="15"/>
      <c r="I3074" s="15"/>
      <c r="J3074" s="15"/>
      <c r="K3074" s="15"/>
      <c r="L3074" s="15"/>
      <c r="M3074" s="16"/>
      <c r="N3074" s="16"/>
      <c r="O3074" s="15"/>
      <c r="P3074" s="15"/>
    </row>
    <row r="3075">
      <c r="A3075" s="15"/>
      <c r="B3075" s="22"/>
      <c r="C3075" s="22"/>
      <c r="D3075" s="22"/>
      <c r="E3075" s="15"/>
      <c r="F3075" s="15"/>
      <c r="G3075" s="15"/>
      <c r="H3075" s="15"/>
      <c r="I3075" s="15"/>
      <c r="J3075" s="15"/>
      <c r="K3075" s="15"/>
      <c r="L3075" s="15"/>
      <c r="M3075" s="16"/>
      <c r="N3075" s="16"/>
      <c r="O3075" s="15"/>
      <c r="P3075" s="15"/>
    </row>
    <row r="3076">
      <c r="A3076" s="15"/>
      <c r="B3076" s="22"/>
      <c r="C3076" s="22"/>
      <c r="D3076" s="22"/>
      <c r="E3076" s="15"/>
      <c r="F3076" s="15"/>
      <c r="G3076" s="15"/>
      <c r="H3076" s="15"/>
      <c r="I3076" s="15"/>
      <c r="J3076" s="15"/>
      <c r="K3076" s="15"/>
      <c r="L3076" s="15"/>
      <c r="M3076" s="16"/>
      <c r="N3076" s="16"/>
      <c r="O3076" s="15"/>
      <c r="P3076" s="15"/>
    </row>
    <row r="3077">
      <c r="A3077" s="15"/>
      <c r="B3077" s="22"/>
      <c r="C3077" s="22"/>
      <c r="D3077" s="22"/>
      <c r="E3077" s="15"/>
      <c r="F3077" s="15"/>
      <c r="G3077" s="15"/>
      <c r="H3077" s="15"/>
      <c r="I3077" s="15"/>
      <c r="J3077" s="15"/>
      <c r="K3077" s="15"/>
      <c r="L3077" s="15"/>
      <c r="M3077" s="16"/>
      <c r="N3077" s="16"/>
      <c r="O3077" s="15"/>
      <c r="P3077" s="15"/>
    </row>
    <row r="3078">
      <c r="A3078" s="15"/>
      <c r="B3078" s="22"/>
      <c r="C3078" s="22"/>
      <c r="D3078" s="22"/>
      <c r="E3078" s="15"/>
      <c r="F3078" s="15"/>
      <c r="G3078" s="15"/>
      <c r="H3078" s="15"/>
      <c r="I3078" s="15"/>
      <c r="J3078" s="15"/>
      <c r="K3078" s="15"/>
      <c r="L3078" s="15"/>
      <c r="M3078" s="16"/>
      <c r="N3078" s="16"/>
      <c r="O3078" s="15"/>
      <c r="P3078" s="15"/>
    </row>
    <row r="3079">
      <c r="A3079" s="15"/>
      <c r="B3079" s="22"/>
      <c r="C3079" s="22"/>
      <c r="D3079" s="22"/>
      <c r="E3079" s="15"/>
      <c r="F3079" s="15"/>
      <c r="G3079" s="15"/>
      <c r="H3079" s="15"/>
      <c r="I3079" s="15"/>
      <c r="J3079" s="15"/>
      <c r="K3079" s="15"/>
      <c r="L3079" s="15"/>
      <c r="M3079" s="16"/>
      <c r="N3079" s="16"/>
      <c r="O3079" s="15"/>
      <c r="P3079" s="15"/>
    </row>
    <row r="3080">
      <c r="A3080" s="15"/>
      <c r="B3080" s="22"/>
      <c r="C3080" s="22"/>
      <c r="D3080" s="22"/>
      <c r="E3080" s="15"/>
      <c r="F3080" s="15"/>
      <c r="G3080" s="15"/>
      <c r="H3080" s="15"/>
      <c r="I3080" s="15"/>
      <c r="J3080" s="15"/>
      <c r="K3080" s="15"/>
      <c r="L3080" s="15"/>
      <c r="M3080" s="16"/>
      <c r="N3080" s="16"/>
      <c r="O3080" s="15"/>
      <c r="P3080" s="15"/>
    </row>
    <row r="3081">
      <c r="A3081" s="15"/>
      <c r="B3081" s="22"/>
      <c r="C3081" s="22"/>
      <c r="D3081" s="22"/>
      <c r="E3081" s="15"/>
      <c r="F3081" s="15"/>
      <c r="G3081" s="15"/>
      <c r="H3081" s="15"/>
      <c r="I3081" s="15"/>
      <c r="J3081" s="15"/>
      <c r="K3081" s="15"/>
      <c r="L3081" s="15"/>
      <c r="M3081" s="16"/>
      <c r="N3081" s="16"/>
      <c r="O3081" s="15"/>
      <c r="P3081" s="15"/>
    </row>
    <row r="3082">
      <c r="A3082" s="15"/>
      <c r="B3082" s="22"/>
      <c r="C3082" s="22"/>
      <c r="D3082" s="22"/>
      <c r="E3082" s="15"/>
      <c r="F3082" s="15"/>
      <c r="G3082" s="15"/>
      <c r="H3082" s="15"/>
      <c r="I3082" s="15"/>
      <c r="J3082" s="15"/>
      <c r="K3082" s="15"/>
      <c r="L3082" s="15"/>
      <c r="M3082" s="16"/>
      <c r="N3082" s="16"/>
      <c r="O3082" s="15"/>
      <c r="P3082" s="15"/>
    </row>
    <row r="3083">
      <c r="A3083" s="15"/>
      <c r="B3083" s="22"/>
      <c r="C3083" s="22"/>
      <c r="D3083" s="22"/>
      <c r="E3083" s="15"/>
      <c r="F3083" s="15"/>
      <c r="G3083" s="15"/>
      <c r="H3083" s="15"/>
      <c r="I3083" s="15"/>
      <c r="J3083" s="15"/>
      <c r="K3083" s="15"/>
      <c r="L3083" s="15"/>
      <c r="M3083" s="16"/>
      <c r="N3083" s="16"/>
      <c r="O3083" s="15"/>
      <c r="P3083" s="15"/>
    </row>
    <row r="3084">
      <c r="A3084" s="15"/>
      <c r="B3084" s="22"/>
      <c r="C3084" s="22"/>
      <c r="D3084" s="22"/>
      <c r="E3084" s="15"/>
      <c r="F3084" s="15"/>
      <c r="G3084" s="15"/>
      <c r="H3084" s="15"/>
      <c r="I3084" s="15"/>
      <c r="J3084" s="15"/>
      <c r="K3084" s="15"/>
      <c r="L3084" s="15"/>
      <c r="M3084" s="16"/>
      <c r="N3084" s="16"/>
      <c r="O3084" s="15"/>
      <c r="P3084" s="15"/>
    </row>
    <row r="3085">
      <c r="A3085" s="15"/>
      <c r="B3085" s="22"/>
      <c r="C3085" s="22"/>
      <c r="D3085" s="22"/>
      <c r="E3085" s="15"/>
      <c r="F3085" s="15"/>
      <c r="G3085" s="15"/>
      <c r="H3085" s="15"/>
      <c r="I3085" s="15"/>
      <c r="J3085" s="15"/>
      <c r="K3085" s="15"/>
      <c r="L3085" s="15"/>
      <c r="M3085" s="16"/>
      <c r="N3085" s="16"/>
      <c r="O3085" s="15"/>
      <c r="P3085" s="15"/>
    </row>
    <row r="3086">
      <c r="A3086" s="15"/>
      <c r="B3086" s="22"/>
      <c r="C3086" s="22"/>
      <c r="D3086" s="22"/>
      <c r="E3086" s="15"/>
      <c r="F3086" s="15"/>
      <c r="G3086" s="15"/>
      <c r="H3086" s="15"/>
      <c r="I3086" s="15"/>
      <c r="J3086" s="15"/>
      <c r="K3086" s="15"/>
      <c r="L3086" s="15"/>
      <c r="M3086" s="16"/>
      <c r="N3086" s="16"/>
      <c r="O3086" s="15"/>
      <c r="P3086" s="15"/>
    </row>
    <row r="3087">
      <c r="A3087" s="15"/>
      <c r="B3087" s="22"/>
      <c r="C3087" s="22"/>
      <c r="D3087" s="22"/>
      <c r="E3087" s="15"/>
      <c r="F3087" s="15"/>
      <c r="G3087" s="15"/>
      <c r="H3087" s="15"/>
      <c r="I3087" s="15"/>
      <c r="J3087" s="15"/>
      <c r="K3087" s="15"/>
      <c r="L3087" s="15"/>
      <c r="M3087" s="16"/>
      <c r="N3087" s="16"/>
      <c r="O3087" s="15"/>
      <c r="P3087" s="15"/>
    </row>
    <row r="3088">
      <c r="A3088" s="15"/>
      <c r="B3088" s="22"/>
      <c r="C3088" s="22"/>
      <c r="D3088" s="22"/>
      <c r="E3088" s="15"/>
      <c r="F3088" s="15"/>
      <c r="G3088" s="15"/>
      <c r="H3088" s="15"/>
      <c r="I3088" s="15"/>
      <c r="J3088" s="15"/>
      <c r="K3088" s="15"/>
      <c r="L3088" s="15"/>
      <c r="M3088" s="16"/>
      <c r="N3088" s="16"/>
      <c r="O3088" s="15"/>
      <c r="P3088" s="15"/>
    </row>
    <row r="3089">
      <c r="A3089" s="15"/>
      <c r="B3089" s="22"/>
      <c r="C3089" s="22"/>
      <c r="D3089" s="22"/>
      <c r="E3089" s="15"/>
      <c r="F3089" s="15"/>
      <c r="G3089" s="15"/>
      <c r="H3089" s="15"/>
      <c r="I3089" s="15"/>
      <c r="J3089" s="15"/>
      <c r="K3089" s="15"/>
      <c r="L3089" s="15"/>
      <c r="M3089" s="16"/>
      <c r="N3089" s="16"/>
      <c r="O3089" s="15"/>
      <c r="P3089" s="15"/>
    </row>
    <row r="3090">
      <c r="A3090" s="15"/>
      <c r="B3090" s="22"/>
      <c r="C3090" s="22"/>
      <c r="D3090" s="22"/>
      <c r="E3090" s="15"/>
      <c r="F3090" s="15"/>
      <c r="G3090" s="15"/>
      <c r="H3090" s="15"/>
      <c r="I3090" s="15"/>
      <c r="J3090" s="15"/>
      <c r="K3090" s="15"/>
      <c r="L3090" s="15"/>
      <c r="M3090" s="16"/>
      <c r="N3090" s="16"/>
      <c r="O3090" s="15"/>
      <c r="P3090" s="15"/>
    </row>
    <row r="3091">
      <c r="A3091" s="15"/>
      <c r="B3091" s="22"/>
      <c r="C3091" s="22"/>
      <c r="D3091" s="22"/>
      <c r="E3091" s="15"/>
      <c r="F3091" s="15"/>
      <c r="G3091" s="15"/>
      <c r="H3091" s="15"/>
      <c r="I3091" s="15"/>
      <c r="J3091" s="15"/>
      <c r="K3091" s="15"/>
      <c r="L3091" s="15"/>
      <c r="M3091" s="16"/>
      <c r="N3091" s="16"/>
      <c r="O3091" s="15"/>
      <c r="P3091" s="15"/>
    </row>
    <row r="3092">
      <c r="A3092" s="15"/>
      <c r="B3092" s="22"/>
      <c r="C3092" s="22"/>
      <c r="D3092" s="22"/>
      <c r="E3092" s="15"/>
      <c r="F3092" s="15"/>
      <c r="G3092" s="15"/>
      <c r="H3092" s="15"/>
      <c r="I3092" s="15"/>
      <c r="J3092" s="15"/>
      <c r="K3092" s="15"/>
      <c r="L3092" s="15"/>
      <c r="M3092" s="16"/>
      <c r="N3092" s="16"/>
      <c r="O3092" s="15"/>
      <c r="P3092" s="15"/>
    </row>
    <row r="3093">
      <c r="A3093" s="15"/>
      <c r="B3093" s="22"/>
      <c r="C3093" s="22"/>
      <c r="D3093" s="22"/>
      <c r="E3093" s="15"/>
      <c r="F3093" s="15"/>
      <c r="G3093" s="15"/>
      <c r="H3093" s="15"/>
      <c r="I3093" s="15"/>
      <c r="J3093" s="15"/>
      <c r="K3093" s="15"/>
      <c r="L3093" s="15"/>
      <c r="M3093" s="16"/>
      <c r="N3093" s="16"/>
      <c r="O3093" s="15"/>
      <c r="P3093" s="15"/>
    </row>
    <row r="3094">
      <c r="A3094" s="15"/>
      <c r="B3094" s="22"/>
      <c r="C3094" s="22"/>
      <c r="D3094" s="22"/>
      <c r="E3094" s="15"/>
      <c r="F3094" s="15"/>
      <c r="G3094" s="15"/>
      <c r="H3094" s="15"/>
      <c r="I3094" s="15"/>
      <c r="J3094" s="15"/>
      <c r="K3094" s="15"/>
      <c r="L3094" s="15"/>
      <c r="M3094" s="16"/>
      <c r="N3094" s="16"/>
      <c r="O3094" s="15"/>
      <c r="P3094" s="15"/>
    </row>
    <row r="3095">
      <c r="A3095" s="15"/>
      <c r="B3095" s="22"/>
      <c r="C3095" s="22"/>
      <c r="D3095" s="22"/>
      <c r="E3095" s="15"/>
      <c r="F3095" s="15"/>
      <c r="G3095" s="15"/>
      <c r="H3095" s="15"/>
      <c r="I3095" s="15"/>
      <c r="J3095" s="15"/>
      <c r="K3095" s="15"/>
      <c r="L3095" s="15"/>
      <c r="M3095" s="16"/>
      <c r="N3095" s="16"/>
      <c r="O3095" s="15"/>
      <c r="P3095" s="15"/>
    </row>
    <row r="3096">
      <c r="A3096" s="15"/>
      <c r="B3096" s="22"/>
      <c r="C3096" s="22"/>
      <c r="D3096" s="22"/>
      <c r="E3096" s="15"/>
      <c r="F3096" s="15"/>
      <c r="G3096" s="15"/>
      <c r="H3096" s="15"/>
      <c r="I3096" s="15"/>
      <c r="J3096" s="15"/>
      <c r="K3096" s="15"/>
      <c r="L3096" s="15"/>
      <c r="M3096" s="16"/>
      <c r="N3096" s="16"/>
      <c r="O3096" s="15"/>
      <c r="P3096" s="15"/>
    </row>
    <row r="3097">
      <c r="A3097" s="15"/>
      <c r="B3097" s="22"/>
      <c r="C3097" s="22"/>
      <c r="D3097" s="22"/>
      <c r="E3097" s="15"/>
      <c r="F3097" s="15"/>
      <c r="G3097" s="15"/>
      <c r="H3097" s="15"/>
      <c r="I3097" s="15"/>
      <c r="J3097" s="15"/>
      <c r="K3097" s="15"/>
      <c r="L3097" s="15"/>
      <c r="M3097" s="16"/>
      <c r="N3097" s="16"/>
      <c r="O3097" s="15"/>
      <c r="P3097" s="15"/>
    </row>
    <row r="3098">
      <c r="A3098" s="15"/>
      <c r="B3098" s="22"/>
      <c r="C3098" s="22"/>
      <c r="D3098" s="22"/>
      <c r="E3098" s="15"/>
      <c r="F3098" s="15"/>
      <c r="G3098" s="15"/>
      <c r="H3098" s="15"/>
      <c r="I3098" s="15"/>
      <c r="J3098" s="15"/>
      <c r="K3098" s="15"/>
      <c r="L3098" s="15"/>
      <c r="M3098" s="16"/>
      <c r="N3098" s="16"/>
      <c r="O3098" s="15"/>
      <c r="P3098" s="15"/>
    </row>
    <row r="3099">
      <c r="A3099" s="15"/>
      <c r="B3099" s="22"/>
      <c r="C3099" s="22"/>
      <c r="D3099" s="22"/>
      <c r="E3099" s="15"/>
      <c r="F3099" s="15"/>
      <c r="G3099" s="15"/>
      <c r="H3099" s="15"/>
      <c r="I3099" s="15"/>
      <c r="J3099" s="15"/>
      <c r="K3099" s="15"/>
      <c r="L3099" s="15"/>
      <c r="M3099" s="16"/>
      <c r="N3099" s="16"/>
      <c r="O3099" s="15"/>
      <c r="P3099" s="15"/>
    </row>
    <row r="3100">
      <c r="A3100" s="15"/>
      <c r="B3100" s="22"/>
      <c r="C3100" s="22"/>
      <c r="D3100" s="22"/>
      <c r="E3100" s="15"/>
      <c r="F3100" s="15"/>
      <c r="G3100" s="15"/>
      <c r="H3100" s="15"/>
      <c r="I3100" s="15"/>
      <c r="J3100" s="15"/>
      <c r="K3100" s="15"/>
      <c r="L3100" s="15"/>
      <c r="M3100" s="16"/>
      <c r="N3100" s="16"/>
      <c r="O3100" s="15"/>
      <c r="P3100" s="15"/>
    </row>
    <row r="3101">
      <c r="A3101" s="15"/>
      <c r="B3101" s="22"/>
      <c r="C3101" s="22"/>
      <c r="D3101" s="22"/>
      <c r="E3101" s="15"/>
      <c r="F3101" s="15"/>
      <c r="G3101" s="15"/>
      <c r="H3101" s="15"/>
      <c r="I3101" s="15"/>
      <c r="J3101" s="15"/>
      <c r="K3101" s="15"/>
      <c r="L3101" s="15"/>
      <c r="M3101" s="16"/>
      <c r="N3101" s="16"/>
      <c r="O3101" s="15"/>
      <c r="P3101" s="15"/>
    </row>
    <row r="3102">
      <c r="A3102" s="15"/>
      <c r="B3102" s="22"/>
      <c r="C3102" s="22"/>
      <c r="D3102" s="22"/>
      <c r="E3102" s="15"/>
      <c r="F3102" s="15"/>
      <c r="G3102" s="15"/>
      <c r="H3102" s="15"/>
      <c r="I3102" s="15"/>
      <c r="J3102" s="15"/>
      <c r="K3102" s="15"/>
      <c r="L3102" s="15"/>
      <c r="M3102" s="16"/>
      <c r="N3102" s="16"/>
      <c r="O3102" s="15"/>
      <c r="P3102" s="15"/>
    </row>
    <row r="3103">
      <c r="A3103" s="15"/>
      <c r="B3103" s="22"/>
      <c r="C3103" s="22"/>
      <c r="D3103" s="22"/>
      <c r="E3103" s="15"/>
      <c r="F3103" s="15"/>
      <c r="G3103" s="15"/>
      <c r="H3103" s="15"/>
      <c r="I3103" s="15"/>
      <c r="J3103" s="15"/>
      <c r="K3103" s="15"/>
      <c r="L3103" s="15"/>
      <c r="M3103" s="16"/>
      <c r="N3103" s="16"/>
      <c r="O3103" s="15"/>
      <c r="P3103" s="15"/>
    </row>
    <row r="3104">
      <c r="A3104" s="15"/>
      <c r="B3104" s="22"/>
      <c r="C3104" s="22"/>
      <c r="D3104" s="22"/>
      <c r="E3104" s="15"/>
      <c r="F3104" s="15"/>
      <c r="G3104" s="15"/>
      <c r="H3104" s="15"/>
      <c r="I3104" s="15"/>
      <c r="J3104" s="15"/>
      <c r="K3104" s="15"/>
      <c r="L3104" s="15"/>
      <c r="M3104" s="16"/>
      <c r="N3104" s="16"/>
      <c r="O3104" s="15"/>
      <c r="P3104" s="15"/>
    </row>
    <row r="3105">
      <c r="A3105" s="15"/>
      <c r="B3105" s="22"/>
      <c r="C3105" s="22"/>
      <c r="D3105" s="22"/>
      <c r="E3105" s="15"/>
      <c r="F3105" s="15"/>
      <c r="G3105" s="15"/>
      <c r="H3105" s="15"/>
      <c r="I3105" s="15"/>
      <c r="J3105" s="15"/>
      <c r="K3105" s="15"/>
      <c r="L3105" s="15"/>
      <c r="M3105" s="16"/>
      <c r="N3105" s="16"/>
      <c r="O3105" s="15"/>
      <c r="P3105" s="15"/>
    </row>
    <row r="3106">
      <c r="A3106" s="15"/>
      <c r="B3106" s="22"/>
      <c r="C3106" s="22"/>
      <c r="D3106" s="22"/>
      <c r="E3106" s="15"/>
      <c r="F3106" s="15"/>
      <c r="G3106" s="15"/>
      <c r="H3106" s="15"/>
      <c r="I3106" s="15"/>
      <c r="J3106" s="15"/>
      <c r="K3106" s="15"/>
      <c r="L3106" s="15"/>
      <c r="M3106" s="16"/>
      <c r="N3106" s="16"/>
      <c r="O3106" s="15"/>
      <c r="P3106" s="15"/>
    </row>
    <row r="3107">
      <c r="A3107" s="15"/>
      <c r="B3107" s="22"/>
      <c r="C3107" s="22"/>
      <c r="D3107" s="22"/>
      <c r="E3107" s="15"/>
      <c r="F3107" s="15"/>
      <c r="G3107" s="15"/>
      <c r="H3107" s="15"/>
      <c r="I3107" s="15"/>
      <c r="J3107" s="15"/>
      <c r="K3107" s="15"/>
      <c r="L3107" s="15"/>
      <c r="M3107" s="16"/>
      <c r="N3107" s="16"/>
      <c r="O3107" s="15"/>
      <c r="P3107" s="15"/>
    </row>
    <row r="3108">
      <c r="A3108" s="15"/>
      <c r="B3108" s="22"/>
      <c r="C3108" s="22"/>
      <c r="D3108" s="22"/>
      <c r="E3108" s="15"/>
      <c r="F3108" s="15"/>
      <c r="G3108" s="15"/>
      <c r="H3108" s="15"/>
      <c r="I3108" s="15"/>
      <c r="J3108" s="15"/>
      <c r="K3108" s="15"/>
      <c r="L3108" s="15"/>
      <c r="M3108" s="16"/>
      <c r="N3108" s="16"/>
      <c r="O3108" s="15"/>
      <c r="P3108" s="15"/>
    </row>
    <row r="3109">
      <c r="A3109" s="15"/>
      <c r="B3109" s="22"/>
      <c r="C3109" s="22"/>
      <c r="D3109" s="22"/>
      <c r="E3109" s="15"/>
      <c r="F3109" s="15"/>
      <c r="G3109" s="15"/>
      <c r="H3109" s="15"/>
      <c r="I3109" s="15"/>
      <c r="J3109" s="15"/>
      <c r="K3109" s="15"/>
      <c r="L3109" s="15"/>
      <c r="M3109" s="16"/>
      <c r="N3109" s="16"/>
      <c r="O3109" s="15"/>
      <c r="P3109" s="15"/>
    </row>
    <row r="3110">
      <c r="A3110" s="15"/>
      <c r="B3110" s="22"/>
      <c r="C3110" s="22"/>
      <c r="D3110" s="22"/>
      <c r="E3110" s="15"/>
      <c r="F3110" s="15"/>
      <c r="G3110" s="15"/>
      <c r="H3110" s="15"/>
      <c r="I3110" s="15"/>
      <c r="J3110" s="15"/>
      <c r="K3110" s="15"/>
      <c r="L3110" s="15"/>
      <c r="M3110" s="16"/>
      <c r="N3110" s="16"/>
      <c r="O3110" s="15"/>
      <c r="P3110" s="15"/>
    </row>
    <row r="3111">
      <c r="A3111" s="15"/>
      <c r="B3111" s="22"/>
      <c r="C3111" s="22"/>
      <c r="D3111" s="22"/>
      <c r="E3111" s="15"/>
      <c r="F3111" s="15"/>
      <c r="G3111" s="15"/>
      <c r="H3111" s="15"/>
      <c r="I3111" s="15"/>
      <c r="J3111" s="15"/>
      <c r="K3111" s="15"/>
      <c r="L3111" s="15"/>
      <c r="M3111" s="16"/>
      <c r="N3111" s="16"/>
      <c r="O3111" s="15"/>
      <c r="P3111" s="15"/>
    </row>
    <row r="3112">
      <c r="A3112" s="15"/>
      <c r="B3112" s="22"/>
      <c r="C3112" s="22"/>
      <c r="D3112" s="22"/>
      <c r="E3112" s="15"/>
      <c r="F3112" s="15"/>
      <c r="G3112" s="15"/>
      <c r="H3112" s="15"/>
      <c r="I3112" s="15"/>
      <c r="J3112" s="15"/>
      <c r="K3112" s="15"/>
      <c r="L3112" s="15"/>
      <c r="M3112" s="16"/>
      <c r="N3112" s="16"/>
      <c r="O3112" s="15"/>
      <c r="P3112" s="15"/>
    </row>
    <row r="3113">
      <c r="A3113" s="15"/>
      <c r="B3113" s="22"/>
      <c r="C3113" s="22"/>
      <c r="D3113" s="22"/>
      <c r="E3113" s="15"/>
      <c r="F3113" s="15"/>
      <c r="G3113" s="15"/>
      <c r="H3113" s="15"/>
      <c r="I3113" s="15"/>
      <c r="J3113" s="15"/>
      <c r="K3113" s="15"/>
      <c r="L3113" s="15"/>
      <c r="M3113" s="16"/>
      <c r="N3113" s="16"/>
      <c r="O3113" s="15"/>
      <c r="P3113" s="15"/>
    </row>
    <row r="3114">
      <c r="A3114" s="15"/>
      <c r="B3114" s="22"/>
      <c r="C3114" s="22"/>
      <c r="D3114" s="22"/>
      <c r="E3114" s="15"/>
      <c r="F3114" s="15"/>
      <c r="G3114" s="15"/>
      <c r="H3114" s="15"/>
      <c r="I3114" s="15"/>
      <c r="J3114" s="15"/>
      <c r="K3114" s="15"/>
      <c r="L3114" s="15"/>
      <c r="M3114" s="16"/>
      <c r="N3114" s="16"/>
      <c r="O3114" s="15"/>
      <c r="P3114" s="15"/>
    </row>
    <row r="3115">
      <c r="A3115" s="15"/>
      <c r="B3115" s="22"/>
      <c r="C3115" s="22"/>
      <c r="D3115" s="22"/>
      <c r="E3115" s="15"/>
      <c r="F3115" s="15"/>
      <c r="G3115" s="15"/>
      <c r="H3115" s="15"/>
      <c r="I3115" s="15"/>
      <c r="J3115" s="15"/>
      <c r="K3115" s="15"/>
      <c r="L3115" s="15"/>
      <c r="M3115" s="16"/>
      <c r="N3115" s="16"/>
      <c r="O3115" s="15"/>
      <c r="P3115" s="15"/>
    </row>
    <row r="3116">
      <c r="A3116" s="15"/>
      <c r="B3116" s="22"/>
      <c r="C3116" s="22"/>
      <c r="D3116" s="22"/>
      <c r="E3116" s="15"/>
      <c r="F3116" s="15"/>
      <c r="G3116" s="15"/>
      <c r="H3116" s="15"/>
      <c r="I3116" s="15"/>
      <c r="J3116" s="15"/>
      <c r="K3116" s="15"/>
      <c r="L3116" s="15"/>
      <c r="M3116" s="16"/>
      <c r="N3116" s="16"/>
      <c r="O3116" s="15"/>
      <c r="P3116" s="15"/>
    </row>
    <row r="3117">
      <c r="A3117" s="15"/>
      <c r="B3117" s="22"/>
      <c r="C3117" s="22"/>
      <c r="D3117" s="22"/>
      <c r="E3117" s="15"/>
      <c r="F3117" s="15"/>
      <c r="G3117" s="15"/>
      <c r="H3117" s="15"/>
      <c r="I3117" s="15"/>
      <c r="J3117" s="15"/>
      <c r="K3117" s="15"/>
      <c r="L3117" s="15"/>
      <c r="M3117" s="16"/>
      <c r="N3117" s="16"/>
      <c r="O3117" s="15"/>
      <c r="P3117" s="15"/>
    </row>
    <row r="3118">
      <c r="A3118" s="15"/>
      <c r="B3118" s="22"/>
      <c r="C3118" s="22"/>
      <c r="D3118" s="22"/>
      <c r="E3118" s="15"/>
      <c r="F3118" s="15"/>
      <c r="G3118" s="15"/>
      <c r="H3118" s="15"/>
      <c r="I3118" s="15"/>
      <c r="J3118" s="15"/>
      <c r="K3118" s="15"/>
      <c r="L3118" s="15"/>
      <c r="M3118" s="16"/>
      <c r="N3118" s="16"/>
      <c r="O3118" s="15"/>
      <c r="P3118" s="15"/>
    </row>
    <row r="3119">
      <c r="A3119" s="15"/>
      <c r="B3119" s="22"/>
      <c r="C3119" s="22"/>
      <c r="D3119" s="22"/>
      <c r="E3119" s="15"/>
      <c r="F3119" s="15"/>
      <c r="G3119" s="15"/>
      <c r="H3119" s="15"/>
      <c r="I3119" s="15"/>
      <c r="J3119" s="15"/>
      <c r="K3119" s="15"/>
      <c r="L3119" s="15"/>
      <c r="M3119" s="16"/>
      <c r="N3119" s="16"/>
      <c r="O3119" s="15"/>
      <c r="P3119" s="15"/>
    </row>
    <row r="3120">
      <c r="A3120" s="15"/>
      <c r="B3120" s="22"/>
      <c r="C3120" s="22"/>
      <c r="D3120" s="22"/>
      <c r="E3120" s="15"/>
      <c r="F3120" s="15"/>
      <c r="G3120" s="15"/>
      <c r="H3120" s="15"/>
      <c r="I3120" s="15"/>
      <c r="J3120" s="15"/>
      <c r="K3120" s="15"/>
      <c r="L3120" s="15"/>
      <c r="M3120" s="16"/>
      <c r="N3120" s="16"/>
      <c r="O3120" s="15"/>
      <c r="P3120" s="15"/>
    </row>
    <row r="3121">
      <c r="A3121" s="15"/>
      <c r="B3121" s="22"/>
      <c r="C3121" s="22"/>
      <c r="D3121" s="22"/>
      <c r="E3121" s="15"/>
      <c r="F3121" s="15"/>
      <c r="G3121" s="15"/>
      <c r="H3121" s="15"/>
      <c r="I3121" s="15"/>
      <c r="J3121" s="15"/>
      <c r="K3121" s="15"/>
      <c r="L3121" s="15"/>
      <c r="M3121" s="16"/>
      <c r="N3121" s="16"/>
      <c r="O3121" s="15"/>
      <c r="P3121" s="15"/>
    </row>
    <row r="3122">
      <c r="A3122" s="15"/>
      <c r="B3122" s="22"/>
      <c r="C3122" s="22"/>
      <c r="D3122" s="22"/>
      <c r="E3122" s="15"/>
      <c r="F3122" s="15"/>
      <c r="G3122" s="15"/>
      <c r="H3122" s="15"/>
      <c r="I3122" s="15"/>
      <c r="J3122" s="15"/>
      <c r="K3122" s="15"/>
      <c r="L3122" s="15"/>
      <c r="M3122" s="16"/>
      <c r="N3122" s="16"/>
      <c r="O3122" s="15"/>
      <c r="P3122" s="15"/>
    </row>
    <row r="3123">
      <c r="A3123" s="15"/>
      <c r="B3123" s="22"/>
      <c r="C3123" s="22"/>
      <c r="D3123" s="22"/>
      <c r="E3123" s="15"/>
      <c r="F3123" s="15"/>
      <c r="G3123" s="15"/>
      <c r="H3123" s="15"/>
      <c r="I3123" s="15"/>
      <c r="J3123" s="15"/>
      <c r="K3123" s="15"/>
      <c r="L3123" s="15"/>
      <c r="M3123" s="16"/>
      <c r="N3123" s="16"/>
      <c r="O3123" s="15"/>
      <c r="P3123" s="15"/>
    </row>
    <row r="3124">
      <c r="A3124" s="15"/>
      <c r="B3124" s="22"/>
      <c r="C3124" s="22"/>
      <c r="D3124" s="22"/>
      <c r="E3124" s="15"/>
      <c r="F3124" s="15"/>
      <c r="G3124" s="15"/>
      <c r="H3124" s="15"/>
      <c r="I3124" s="15"/>
      <c r="J3124" s="15"/>
      <c r="K3124" s="15"/>
      <c r="L3124" s="15"/>
      <c r="M3124" s="16"/>
      <c r="N3124" s="16"/>
      <c r="O3124" s="15"/>
      <c r="P3124" s="15"/>
    </row>
    <row r="3125">
      <c r="A3125" s="15"/>
      <c r="B3125" s="22"/>
      <c r="C3125" s="22"/>
      <c r="D3125" s="22"/>
      <c r="E3125" s="15"/>
      <c r="F3125" s="15"/>
      <c r="G3125" s="15"/>
      <c r="H3125" s="15"/>
      <c r="I3125" s="15"/>
      <c r="J3125" s="15"/>
      <c r="K3125" s="15"/>
      <c r="L3125" s="15"/>
      <c r="M3125" s="16"/>
      <c r="N3125" s="16"/>
      <c r="O3125" s="15"/>
      <c r="P3125" s="15"/>
    </row>
    <row r="3126">
      <c r="A3126" s="15"/>
      <c r="B3126" s="22"/>
      <c r="C3126" s="22"/>
      <c r="D3126" s="22"/>
      <c r="E3126" s="15"/>
      <c r="F3126" s="15"/>
      <c r="G3126" s="15"/>
      <c r="H3126" s="15"/>
      <c r="I3126" s="15"/>
      <c r="J3126" s="15"/>
      <c r="K3126" s="15"/>
      <c r="L3126" s="15"/>
      <c r="M3126" s="16"/>
      <c r="N3126" s="16"/>
      <c r="O3126" s="15"/>
      <c r="P3126" s="15"/>
    </row>
    <row r="3127">
      <c r="A3127" s="15"/>
      <c r="B3127" s="22"/>
      <c r="C3127" s="22"/>
      <c r="D3127" s="22"/>
      <c r="E3127" s="15"/>
      <c r="F3127" s="15"/>
      <c r="G3127" s="15"/>
      <c r="H3127" s="15"/>
      <c r="I3127" s="15"/>
      <c r="J3127" s="15"/>
      <c r="K3127" s="15"/>
      <c r="L3127" s="15"/>
      <c r="M3127" s="16"/>
      <c r="N3127" s="16"/>
      <c r="O3127" s="15"/>
      <c r="P3127" s="15"/>
    </row>
    <row r="3128">
      <c r="A3128" s="15"/>
      <c r="B3128" s="22"/>
      <c r="C3128" s="22"/>
      <c r="D3128" s="22"/>
      <c r="E3128" s="15"/>
      <c r="F3128" s="15"/>
      <c r="G3128" s="15"/>
      <c r="H3128" s="15"/>
      <c r="I3128" s="15"/>
      <c r="J3128" s="15"/>
      <c r="K3128" s="15"/>
      <c r="L3128" s="15"/>
      <c r="M3128" s="16"/>
      <c r="N3128" s="16"/>
      <c r="O3128" s="15"/>
      <c r="P3128" s="15"/>
    </row>
    <row r="3129">
      <c r="A3129" s="15"/>
      <c r="B3129" s="22"/>
      <c r="C3129" s="22"/>
      <c r="D3129" s="22"/>
      <c r="E3129" s="15"/>
      <c r="F3129" s="15"/>
      <c r="G3129" s="15"/>
      <c r="H3129" s="15"/>
      <c r="I3129" s="15"/>
      <c r="J3129" s="15"/>
      <c r="K3129" s="15"/>
      <c r="L3129" s="15"/>
      <c r="M3129" s="16"/>
      <c r="N3129" s="16"/>
      <c r="O3129" s="15"/>
      <c r="P3129" s="15"/>
    </row>
    <row r="3130">
      <c r="A3130" s="15"/>
      <c r="B3130" s="22"/>
      <c r="C3130" s="22"/>
      <c r="D3130" s="22"/>
      <c r="E3130" s="15"/>
      <c r="F3130" s="15"/>
      <c r="G3130" s="15"/>
      <c r="H3130" s="15"/>
      <c r="I3130" s="15"/>
      <c r="J3130" s="15"/>
      <c r="K3130" s="15"/>
      <c r="L3130" s="15"/>
      <c r="M3130" s="16"/>
      <c r="N3130" s="16"/>
      <c r="O3130" s="15"/>
      <c r="P3130" s="15"/>
    </row>
    <row r="3131">
      <c r="A3131" s="15"/>
      <c r="B3131" s="22"/>
      <c r="C3131" s="22"/>
      <c r="D3131" s="22"/>
      <c r="E3131" s="15"/>
      <c r="F3131" s="15"/>
      <c r="G3131" s="15"/>
      <c r="H3131" s="15"/>
      <c r="I3131" s="15"/>
      <c r="J3131" s="15"/>
      <c r="K3131" s="15"/>
      <c r="L3131" s="15"/>
      <c r="M3131" s="16"/>
      <c r="N3131" s="16"/>
      <c r="O3131" s="15"/>
      <c r="P3131" s="15"/>
    </row>
    <row r="3132">
      <c r="A3132" s="15"/>
      <c r="B3132" s="22"/>
      <c r="C3132" s="22"/>
      <c r="D3132" s="22"/>
      <c r="E3132" s="15"/>
      <c r="F3132" s="15"/>
      <c r="G3132" s="15"/>
      <c r="H3132" s="15"/>
      <c r="I3132" s="15"/>
      <c r="J3132" s="15"/>
      <c r="K3132" s="15"/>
      <c r="L3132" s="15"/>
      <c r="M3132" s="16"/>
      <c r="N3132" s="16"/>
      <c r="O3132" s="15"/>
      <c r="P3132" s="15"/>
    </row>
    <row r="3133">
      <c r="A3133" s="15"/>
      <c r="B3133" s="22"/>
      <c r="C3133" s="22"/>
      <c r="D3133" s="22"/>
      <c r="E3133" s="15"/>
      <c r="F3133" s="15"/>
      <c r="G3133" s="15"/>
      <c r="H3133" s="15"/>
      <c r="I3133" s="15"/>
      <c r="J3133" s="15"/>
      <c r="K3133" s="15"/>
      <c r="L3133" s="15"/>
      <c r="M3133" s="16"/>
      <c r="N3133" s="16"/>
      <c r="O3133" s="15"/>
      <c r="P3133" s="15"/>
    </row>
    <row r="3134">
      <c r="A3134" s="15"/>
      <c r="B3134" s="22"/>
      <c r="C3134" s="22"/>
      <c r="D3134" s="22"/>
      <c r="E3134" s="15"/>
      <c r="F3134" s="15"/>
      <c r="G3134" s="15"/>
      <c r="H3134" s="15"/>
      <c r="I3134" s="15"/>
      <c r="J3134" s="15"/>
      <c r="K3134" s="15"/>
      <c r="L3134" s="15"/>
      <c r="M3134" s="16"/>
      <c r="N3134" s="16"/>
      <c r="O3134" s="15"/>
      <c r="P3134" s="15"/>
    </row>
    <row r="3135">
      <c r="A3135" s="15"/>
      <c r="B3135" s="22"/>
      <c r="C3135" s="22"/>
      <c r="D3135" s="22"/>
      <c r="E3135" s="15"/>
      <c r="F3135" s="15"/>
      <c r="G3135" s="15"/>
      <c r="H3135" s="15"/>
      <c r="I3135" s="15"/>
      <c r="J3135" s="15"/>
      <c r="K3135" s="15"/>
      <c r="L3135" s="15"/>
      <c r="M3135" s="16"/>
      <c r="N3135" s="16"/>
      <c r="O3135" s="15"/>
      <c r="P3135" s="15"/>
    </row>
    <row r="3136">
      <c r="A3136" s="15"/>
      <c r="B3136" s="22"/>
      <c r="C3136" s="22"/>
      <c r="D3136" s="22"/>
      <c r="E3136" s="15"/>
      <c r="F3136" s="15"/>
      <c r="G3136" s="15"/>
      <c r="H3136" s="15"/>
      <c r="I3136" s="15"/>
      <c r="J3136" s="15"/>
      <c r="K3136" s="15"/>
      <c r="L3136" s="15"/>
      <c r="M3136" s="16"/>
      <c r="N3136" s="16"/>
      <c r="O3136" s="15"/>
      <c r="P3136" s="15"/>
    </row>
    <row r="3137">
      <c r="A3137" s="15"/>
      <c r="B3137" s="22"/>
      <c r="C3137" s="22"/>
      <c r="D3137" s="22"/>
      <c r="E3137" s="15"/>
      <c r="F3137" s="15"/>
      <c r="G3137" s="15"/>
      <c r="H3137" s="15"/>
      <c r="I3137" s="15"/>
      <c r="J3137" s="15"/>
      <c r="K3137" s="15"/>
      <c r="L3137" s="15"/>
      <c r="M3137" s="16"/>
      <c r="N3137" s="16"/>
      <c r="O3137" s="15"/>
      <c r="P3137" s="15"/>
    </row>
    <row r="3138">
      <c r="A3138" s="15"/>
      <c r="B3138" s="22"/>
      <c r="C3138" s="22"/>
      <c r="D3138" s="22"/>
      <c r="E3138" s="15"/>
      <c r="F3138" s="15"/>
      <c r="G3138" s="15"/>
      <c r="H3138" s="15"/>
      <c r="I3138" s="15"/>
      <c r="J3138" s="15"/>
      <c r="K3138" s="15"/>
      <c r="L3138" s="15"/>
      <c r="M3138" s="16"/>
      <c r="N3138" s="16"/>
      <c r="O3138" s="15"/>
      <c r="P3138" s="15"/>
    </row>
    <row r="3139">
      <c r="A3139" s="15"/>
      <c r="B3139" s="22"/>
      <c r="C3139" s="22"/>
      <c r="D3139" s="22"/>
      <c r="E3139" s="15"/>
      <c r="F3139" s="15"/>
      <c r="G3139" s="15"/>
      <c r="H3139" s="15"/>
      <c r="I3139" s="15"/>
      <c r="J3139" s="15"/>
      <c r="K3139" s="15"/>
      <c r="L3139" s="15"/>
      <c r="M3139" s="16"/>
      <c r="N3139" s="16"/>
      <c r="O3139" s="15"/>
      <c r="P3139" s="15"/>
    </row>
    <row r="3140">
      <c r="A3140" s="15"/>
      <c r="B3140" s="22"/>
      <c r="C3140" s="22"/>
      <c r="D3140" s="22"/>
      <c r="E3140" s="15"/>
      <c r="F3140" s="15"/>
      <c r="G3140" s="15"/>
      <c r="H3140" s="15"/>
      <c r="I3140" s="15"/>
      <c r="J3140" s="15"/>
      <c r="K3140" s="15"/>
      <c r="L3140" s="15"/>
      <c r="M3140" s="16"/>
      <c r="N3140" s="16"/>
      <c r="O3140" s="15"/>
      <c r="P3140" s="15"/>
    </row>
    <row r="3141">
      <c r="A3141" s="15"/>
      <c r="B3141" s="22"/>
      <c r="C3141" s="22"/>
      <c r="D3141" s="22"/>
      <c r="E3141" s="15"/>
      <c r="F3141" s="15"/>
      <c r="G3141" s="15"/>
      <c r="H3141" s="15"/>
      <c r="I3141" s="15"/>
      <c r="J3141" s="15"/>
      <c r="K3141" s="15"/>
      <c r="L3141" s="15"/>
      <c r="M3141" s="16"/>
      <c r="N3141" s="16"/>
      <c r="O3141" s="15"/>
      <c r="P3141" s="15"/>
    </row>
    <row r="3142">
      <c r="A3142" s="15"/>
      <c r="B3142" s="22"/>
      <c r="C3142" s="22"/>
      <c r="D3142" s="22"/>
      <c r="E3142" s="15"/>
      <c r="F3142" s="15"/>
      <c r="G3142" s="15"/>
      <c r="H3142" s="15"/>
      <c r="I3142" s="15"/>
      <c r="J3142" s="15"/>
      <c r="K3142" s="15"/>
      <c r="L3142" s="15"/>
      <c r="M3142" s="16"/>
      <c r="N3142" s="16"/>
      <c r="O3142" s="15"/>
      <c r="P3142" s="15"/>
    </row>
    <row r="3143">
      <c r="A3143" s="15"/>
      <c r="B3143" s="22"/>
      <c r="C3143" s="22"/>
      <c r="D3143" s="22"/>
      <c r="E3143" s="15"/>
      <c r="F3143" s="15"/>
      <c r="G3143" s="15"/>
      <c r="H3143" s="15"/>
      <c r="I3143" s="15"/>
      <c r="J3143" s="15"/>
      <c r="K3143" s="15"/>
      <c r="L3143" s="15"/>
      <c r="M3143" s="16"/>
      <c r="N3143" s="16"/>
      <c r="O3143" s="15"/>
      <c r="P3143" s="15"/>
    </row>
    <row r="3144">
      <c r="A3144" s="15"/>
      <c r="B3144" s="22"/>
      <c r="C3144" s="22"/>
      <c r="D3144" s="22"/>
      <c r="E3144" s="15"/>
      <c r="F3144" s="15"/>
      <c r="G3144" s="15"/>
      <c r="H3144" s="15"/>
      <c r="I3144" s="15"/>
      <c r="J3144" s="15"/>
      <c r="K3144" s="15"/>
      <c r="L3144" s="15"/>
      <c r="M3144" s="16"/>
      <c r="N3144" s="16"/>
      <c r="O3144" s="15"/>
      <c r="P3144" s="15"/>
    </row>
    <row r="3145">
      <c r="A3145" s="15"/>
      <c r="B3145" s="22"/>
      <c r="C3145" s="22"/>
      <c r="D3145" s="22"/>
      <c r="E3145" s="15"/>
      <c r="F3145" s="15"/>
      <c r="G3145" s="15"/>
      <c r="H3145" s="15"/>
      <c r="I3145" s="15"/>
      <c r="J3145" s="15"/>
      <c r="K3145" s="15"/>
      <c r="L3145" s="15"/>
      <c r="M3145" s="16"/>
      <c r="N3145" s="16"/>
      <c r="O3145" s="15"/>
      <c r="P3145" s="15"/>
    </row>
    <row r="3146">
      <c r="A3146" s="15"/>
      <c r="B3146" s="22"/>
      <c r="C3146" s="22"/>
      <c r="D3146" s="22"/>
      <c r="E3146" s="15"/>
      <c r="F3146" s="15"/>
      <c r="G3146" s="15"/>
      <c r="H3146" s="15"/>
      <c r="I3146" s="15"/>
      <c r="J3146" s="15"/>
      <c r="K3146" s="15"/>
      <c r="L3146" s="15"/>
      <c r="M3146" s="16"/>
      <c r="N3146" s="16"/>
      <c r="O3146" s="15"/>
      <c r="P3146" s="15"/>
    </row>
    <row r="3147">
      <c r="A3147" s="15"/>
      <c r="B3147" s="22"/>
      <c r="C3147" s="22"/>
      <c r="D3147" s="22"/>
      <c r="E3147" s="15"/>
      <c r="F3147" s="15"/>
      <c r="G3147" s="15"/>
      <c r="H3147" s="15"/>
      <c r="I3147" s="15"/>
      <c r="J3147" s="15"/>
      <c r="K3147" s="15"/>
      <c r="L3147" s="15"/>
      <c r="M3147" s="16"/>
      <c r="N3147" s="16"/>
      <c r="O3147" s="15"/>
      <c r="P3147" s="15"/>
    </row>
    <row r="3148">
      <c r="A3148" s="15"/>
      <c r="B3148" s="22"/>
      <c r="C3148" s="22"/>
      <c r="D3148" s="22"/>
      <c r="E3148" s="15"/>
      <c r="F3148" s="15"/>
      <c r="G3148" s="15"/>
      <c r="H3148" s="15"/>
      <c r="I3148" s="15"/>
      <c r="J3148" s="15"/>
      <c r="K3148" s="15"/>
      <c r="L3148" s="15"/>
      <c r="M3148" s="16"/>
      <c r="N3148" s="16"/>
      <c r="O3148" s="15"/>
      <c r="P3148" s="15"/>
    </row>
    <row r="3149">
      <c r="A3149" s="15"/>
      <c r="B3149" s="22"/>
      <c r="C3149" s="22"/>
      <c r="D3149" s="22"/>
      <c r="E3149" s="15"/>
      <c r="F3149" s="15"/>
      <c r="G3149" s="15"/>
      <c r="H3149" s="15"/>
      <c r="I3149" s="15"/>
      <c r="J3149" s="15"/>
      <c r="K3149" s="15"/>
      <c r="L3149" s="15"/>
      <c r="M3149" s="16"/>
      <c r="N3149" s="16"/>
      <c r="O3149" s="15"/>
      <c r="P3149" s="15"/>
    </row>
    <row r="3150">
      <c r="A3150" s="15"/>
      <c r="B3150" s="22"/>
      <c r="C3150" s="22"/>
      <c r="D3150" s="22"/>
      <c r="E3150" s="15"/>
      <c r="F3150" s="15"/>
      <c r="G3150" s="15"/>
      <c r="H3150" s="15"/>
      <c r="I3150" s="15"/>
      <c r="J3150" s="15"/>
      <c r="K3150" s="15"/>
      <c r="L3150" s="15"/>
      <c r="M3150" s="16"/>
      <c r="N3150" s="16"/>
      <c r="O3150" s="15"/>
      <c r="P3150" s="15"/>
    </row>
    <row r="3151">
      <c r="A3151" s="15"/>
      <c r="B3151" s="22"/>
      <c r="C3151" s="22"/>
      <c r="D3151" s="22"/>
      <c r="E3151" s="15"/>
      <c r="F3151" s="15"/>
      <c r="G3151" s="15"/>
      <c r="H3151" s="15"/>
      <c r="I3151" s="15"/>
      <c r="J3151" s="15"/>
      <c r="K3151" s="15"/>
      <c r="L3151" s="15"/>
      <c r="M3151" s="16"/>
      <c r="N3151" s="16"/>
      <c r="O3151" s="15"/>
      <c r="P3151" s="15"/>
    </row>
    <row r="3152">
      <c r="A3152" s="15"/>
      <c r="B3152" s="22"/>
      <c r="C3152" s="22"/>
      <c r="D3152" s="22"/>
      <c r="E3152" s="15"/>
      <c r="F3152" s="15"/>
      <c r="G3152" s="15"/>
      <c r="H3152" s="15"/>
      <c r="I3152" s="15"/>
      <c r="J3152" s="15"/>
      <c r="K3152" s="15"/>
      <c r="L3152" s="15"/>
      <c r="M3152" s="16"/>
      <c r="N3152" s="16"/>
      <c r="O3152" s="15"/>
      <c r="P3152" s="15"/>
    </row>
    <row r="3153">
      <c r="A3153" s="15"/>
      <c r="B3153" s="22"/>
      <c r="C3153" s="22"/>
      <c r="D3153" s="22"/>
      <c r="E3153" s="15"/>
      <c r="F3153" s="15"/>
      <c r="G3153" s="15"/>
      <c r="H3153" s="15"/>
      <c r="I3153" s="15"/>
      <c r="J3153" s="15"/>
      <c r="K3153" s="15"/>
      <c r="L3153" s="15"/>
      <c r="M3153" s="16"/>
      <c r="N3153" s="16"/>
      <c r="O3153" s="15"/>
      <c r="P3153" s="15"/>
    </row>
    <row r="3154">
      <c r="A3154" s="15"/>
      <c r="B3154" s="22"/>
      <c r="C3154" s="22"/>
      <c r="D3154" s="22"/>
      <c r="E3154" s="15"/>
      <c r="F3154" s="15"/>
      <c r="G3154" s="15"/>
      <c r="H3154" s="15"/>
      <c r="I3154" s="15"/>
      <c r="J3154" s="15"/>
      <c r="K3154" s="15"/>
      <c r="L3154" s="15"/>
      <c r="M3154" s="16"/>
      <c r="N3154" s="16"/>
      <c r="O3154" s="15"/>
      <c r="P3154" s="15"/>
    </row>
    <row r="3155">
      <c r="A3155" s="15"/>
      <c r="B3155" s="22"/>
      <c r="C3155" s="22"/>
      <c r="D3155" s="22"/>
      <c r="E3155" s="15"/>
      <c r="F3155" s="15"/>
      <c r="G3155" s="15"/>
      <c r="H3155" s="15"/>
      <c r="I3155" s="15"/>
      <c r="J3155" s="15"/>
      <c r="K3155" s="15"/>
      <c r="L3155" s="15"/>
      <c r="M3155" s="16"/>
      <c r="N3155" s="16"/>
      <c r="O3155" s="15"/>
      <c r="P3155" s="15"/>
    </row>
    <row r="3156">
      <c r="A3156" s="15"/>
      <c r="B3156" s="22"/>
      <c r="C3156" s="22"/>
      <c r="D3156" s="22"/>
      <c r="E3156" s="15"/>
      <c r="F3156" s="15"/>
      <c r="G3156" s="15"/>
      <c r="H3156" s="15"/>
      <c r="I3156" s="15"/>
      <c r="J3156" s="15"/>
      <c r="K3156" s="15"/>
      <c r="L3156" s="15"/>
      <c r="M3156" s="16"/>
      <c r="N3156" s="16"/>
      <c r="O3156" s="15"/>
      <c r="P3156" s="15"/>
    </row>
    <row r="3157">
      <c r="A3157" s="15"/>
      <c r="B3157" s="22"/>
      <c r="C3157" s="22"/>
      <c r="D3157" s="22"/>
      <c r="E3157" s="15"/>
      <c r="F3157" s="15"/>
      <c r="G3157" s="15"/>
      <c r="H3157" s="15"/>
      <c r="I3157" s="15"/>
      <c r="J3157" s="15"/>
      <c r="K3157" s="15"/>
      <c r="L3157" s="15"/>
      <c r="M3157" s="16"/>
      <c r="N3157" s="16"/>
      <c r="O3157" s="15"/>
      <c r="P3157" s="15"/>
    </row>
    <row r="3158">
      <c r="A3158" s="15"/>
      <c r="B3158" s="22"/>
      <c r="C3158" s="22"/>
      <c r="D3158" s="22"/>
      <c r="E3158" s="15"/>
      <c r="F3158" s="15"/>
      <c r="G3158" s="15"/>
      <c r="H3158" s="15"/>
      <c r="I3158" s="15"/>
      <c r="J3158" s="15"/>
      <c r="K3158" s="15"/>
      <c r="L3158" s="15"/>
      <c r="M3158" s="16"/>
      <c r="N3158" s="16"/>
      <c r="O3158" s="15"/>
      <c r="P3158" s="15"/>
    </row>
    <row r="3159">
      <c r="A3159" s="15"/>
      <c r="B3159" s="22"/>
      <c r="C3159" s="22"/>
      <c r="D3159" s="22"/>
      <c r="E3159" s="15"/>
      <c r="F3159" s="15"/>
      <c r="G3159" s="15"/>
      <c r="H3159" s="15"/>
      <c r="I3159" s="15"/>
      <c r="J3159" s="15"/>
      <c r="K3159" s="15"/>
      <c r="L3159" s="15"/>
      <c r="M3159" s="16"/>
      <c r="N3159" s="16"/>
      <c r="O3159" s="15"/>
      <c r="P3159" s="15"/>
    </row>
    <row r="3160">
      <c r="A3160" s="15"/>
      <c r="B3160" s="22"/>
      <c r="C3160" s="22"/>
      <c r="D3160" s="22"/>
      <c r="E3160" s="15"/>
      <c r="F3160" s="15"/>
      <c r="G3160" s="15"/>
      <c r="H3160" s="15"/>
      <c r="I3160" s="15"/>
      <c r="J3160" s="15"/>
      <c r="K3160" s="15"/>
      <c r="L3160" s="15"/>
      <c r="M3160" s="16"/>
      <c r="N3160" s="16"/>
      <c r="O3160" s="15"/>
      <c r="P3160" s="15"/>
    </row>
    <row r="3161">
      <c r="A3161" s="15"/>
      <c r="B3161" s="22"/>
      <c r="C3161" s="22"/>
      <c r="D3161" s="22"/>
      <c r="E3161" s="15"/>
      <c r="F3161" s="15"/>
      <c r="G3161" s="15"/>
      <c r="H3161" s="15"/>
      <c r="I3161" s="15"/>
      <c r="J3161" s="15"/>
      <c r="K3161" s="15"/>
      <c r="L3161" s="15"/>
      <c r="M3161" s="16"/>
      <c r="N3161" s="16"/>
      <c r="O3161" s="15"/>
      <c r="P3161" s="15"/>
    </row>
    <row r="3162">
      <c r="A3162" s="15"/>
      <c r="B3162" s="22"/>
      <c r="C3162" s="22"/>
      <c r="D3162" s="22"/>
      <c r="E3162" s="15"/>
      <c r="F3162" s="15"/>
      <c r="G3162" s="15"/>
      <c r="H3162" s="15"/>
      <c r="I3162" s="15"/>
      <c r="J3162" s="15"/>
      <c r="K3162" s="15"/>
      <c r="L3162" s="15"/>
      <c r="M3162" s="16"/>
      <c r="N3162" s="16"/>
      <c r="O3162" s="15"/>
      <c r="P3162" s="15"/>
    </row>
    <row r="3163">
      <c r="A3163" s="15"/>
      <c r="B3163" s="22"/>
      <c r="C3163" s="22"/>
      <c r="D3163" s="22"/>
      <c r="E3163" s="15"/>
      <c r="F3163" s="15"/>
      <c r="G3163" s="15"/>
      <c r="H3163" s="15"/>
      <c r="I3163" s="15"/>
      <c r="J3163" s="15"/>
      <c r="K3163" s="15"/>
      <c r="L3163" s="15"/>
      <c r="M3163" s="16"/>
      <c r="N3163" s="16"/>
      <c r="O3163" s="15"/>
      <c r="P3163" s="15"/>
    </row>
    <row r="3164">
      <c r="A3164" s="15"/>
      <c r="B3164" s="22"/>
      <c r="C3164" s="22"/>
      <c r="D3164" s="22"/>
      <c r="E3164" s="15"/>
      <c r="F3164" s="15"/>
      <c r="G3164" s="15"/>
      <c r="H3164" s="15"/>
      <c r="I3164" s="15"/>
      <c r="J3164" s="15"/>
      <c r="K3164" s="15"/>
      <c r="L3164" s="15"/>
      <c r="M3164" s="16"/>
      <c r="N3164" s="16"/>
      <c r="O3164" s="15"/>
      <c r="P3164" s="15"/>
    </row>
    <row r="3165">
      <c r="A3165" s="15"/>
      <c r="B3165" s="22"/>
      <c r="C3165" s="22"/>
      <c r="D3165" s="22"/>
      <c r="E3165" s="15"/>
      <c r="F3165" s="15"/>
      <c r="G3165" s="15"/>
      <c r="H3165" s="15"/>
      <c r="I3165" s="15"/>
      <c r="J3165" s="15"/>
      <c r="K3165" s="15"/>
      <c r="L3165" s="15"/>
      <c r="M3165" s="16"/>
      <c r="N3165" s="16"/>
      <c r="O3165" s="15"/>
      <c r="P3165" s="15"/>
    </row>
    <row r="3166">
      <c r="A3166" s="15"/>
      <c r="B3166" s="22"/>
      <c r="C3166" s="22"/>
      <c r="D3166" s="22"/>
      <c r="E3166" s="15"/>
      <c r="F3166" s="15"/>
      <c r="G3166" s="15"/>
      <c r="H3166" s="15"/>
      <c r="I3166" s="15"/>
      <c r="J3166" s="15"/>
      <c r="K3166" s="15"/>
      <c r="L3166" s="15"/>
      <c r="M3166" s="16"/>
      <c r="N3166" s="16"/>
      <c r="O3166" s="15"/>
      <c r="P3166" s="15"/>
    </row>
    <row r="3167">
      <c r="A3167" s="15"/>
      <c r="B3167" s="22"/>
      <c r="C3167" s="22"/>
      <c r="D3167" s="22"/>
      <c r="E3167" s="15"/>
      <c r="F3167" s="15"/>
      <c r="G3167" s="15"/>
      <c r="H3167" s="15"/>
      <c r="I3167" s="15"/>
      <c r="J3167" s="15"/>
      <c r="K3167" s="15"/>
      <c r="L3167" s="15"/>
      <c r="M3167" s="16"/>
      <c r="N3167" s="16"/>
      <c r="O3167" s="15"/>
      <c r="P3167" s="15"/>
    </row>
    <row r="3168">
      <c r="A3168" s="15"/>
      <c r="B3168" s="22"/>
      <c r="C3168" s="22"/>
      <c r="D3168" s="22"/>
      <c r="E3168" s="15"/>
      <c r="F3168" s="15"/>
      <c r="G3168" s="15"/>
      <c r="H3168" s="15"/>
      <c r="I3168" s="15"/>
      <c r="J3168" s="15"/>
      <c r="K3168" s="15"/>
      <c r="L3168" s="15"/>
      <c r="M3168" s="16"/>
      <c r="N3168" s="16"/>
      <c r="O3168" s="15"/>
      <c r="P3168" s="15"/>
    </row>
    <row r="3169">
      <c r="A3169" s="15"/>
      <c r="B3169" s="22"/>
      <c r="C3169" s="22"/>
      <c r="D3169" s="22"/>
      <c r="E3169" s="15"/>
      <c r="F3169" s="15"/>
      <c r="G3169" s="15"/>
      <c r="H3169" s="15"/>
      <c r="I3169" s="15"/>
      <c r="J3169" s="15"/>
      <c r="K3169" s="15"/>
      <c r="L3169" s="15"/>
      <c r="M3169" s="16"/>
      <c r="N3169" s="16"/>
      <c r="O3169" s="15"/>
      <c r="P3169" s="15"/>
    </row>
    <row r="3170">
      <c r="A3170" s="15"/>
      <c r="B3170" s="22"/>
      <c r="C3170" s="22"/>
      <c r="D3170" s="22"/>
      <c r="E3170" s="15"/>
      <c r="F3170" s="15"/>
      <c r="G3170" s="15"/>
      <c r="H3170" s="15"/>
      <c r="I3170" s="15"/>
      <c r="J3170" s="15"/>
      <c r="K3170" s="15"/>
      <c r="L3170" s="15"/>
      <c r="M3170" s="16"/>
      <c r="N3170" s="16"/>
      <c r="O3170" s="15"/>
      <c r="P3170" s="15"/>
    </row>
    <row r="3171">
      <c r="A3171" s="15"/>
      <c r="B3171" s="22"/>
      <c r="C3171" s="22"/>
      <c r="D3171" s="22"/>
      <c r="E3171" s="15"/>
      <c r="F3171" s="15"/>
      <c r="G3171" s="15"/>
      <c r="H3171" s="15"/>
      <c r="I3171" s="15"/>
      <c r="J3171" s="15"/>
      <c r="K3171" s="15"/>
      <c r="L3171" s="15"/>
      <c r="M3171" s="16"/>
      <c r="N3171" s="16"/>
      <c r="O3171" s="15"/>
      <c r="P3171" s="15"/>
    </row>
    <row r="3172">
      <c r="A3172" s="15"/>
      <c r="B3172" s="22"/>
      <c r="C3172" s="22"/>
      <c r="D3172" s="22"/>
      <c r="E3172" s="15"/>
      <c r="F3172" s="15"/>
      <c r="G3172" s="15"/>
      <c r="H3172" s="15"/>
      <c r="I3172" s="15"/>
      <c r="J3172" s="15"/>
      <c r="K3172" s="15"/>
      <c r="L3172" s="15"/>
      <c r="M3172" s="16"/>
      <c r="N3172" s="16"/>
      <c r="O3172" s="15"/>
      <c r="P3172" s="15"/>
    </row>
    <row r="3173">
      <c r="A3173" s="15"/>
      <c r="B3173" s="22"/>
      <c r="C3173" s="22"/>
      <c r="D3173" s="22"/>
      <c r="E3173" s="15"/>
      <c r="F3173" s="15"/>
      <c r="G3173" s="15"/>
      <c r="H3173" s="15"/>
      <c r="I3173" s="15"/>
      <c r="J3173" s="15"/>
      <c r="K3173" s="15"/>
      <c r="L3173" s="15"/>
      <c r="M3173" s="16"/>
      <c r="N3173" s="16"/>
      <c r="O3173" s="15"/>
      <c r="P3173" s="15"/>
    </row>
    <row r="3174">
      <c r="A3174" s="15"/>
      <c r="B3174" s="22"/>
      <c r="C3174" s="22"/>
      <c r="D3174" s="22"/>
      <c r="E3174" s="15"/>
      <c r="F3174" s="15"/>
      <c r="G3174" s="15"/>
      <c r="H3174" s="15"/>
      <c r="I3174" s="15"/>
      <c r="J3174" s="15"/>
      <c r="K3174" s="15"/>
      <c r="L3174" s="15"/>
      <c r="M3174" s="16"/>
      <c r="N3174" s="16"/>
      <c r="O3174" s="15"/>
      <c r="P3174" s="15"/>
    </row>
    <row r="3175">
      <c r="A3175" s="15"/>
      <c r="B3175" s="22"/>
      <c r="C3175" s="22"/>
      <c r="D3175" s="22"/>
      <c r="E3175" s="15"/>
      <c r="F3175" s="15"/>
      <c r="G3175" s="15"/>
      <c r="H3175" s="15"/>
      <c r="I3175" s="15"/>
      <c r="J3175" s="15"/>
      <c r="K3175" s="15"/>
      <c r="L3175" s="15"/>
      <c r="M3175" s="16"/>
      <c r="N3175" s="16"/>
      <c r="O3175" s="15"/>
      <c r="P3175" s="15"/>
    </row>
    <row r="3176">
      <c r="A3176" s="15"/>
      <c r="B3176" s="22"/>
      <c r="C3176" s="22"/>
      <c r="D3176" s="22"/>
      <c r="E3176" s="15"/>
      <c r="F3176" s="15"/>
      <c r="G3176" s="15"/>
      <c r="H3176" s="15"/>
      <c r="I3176" s="15"/>
      <c r="J3176" s="15"/>
      <c r="K3176" s="15"/>
      <c r="L3176" s="15"/>
      <c r="M3176" s="16"/>
      <c r="N3176" s="16"/>
      <c r="O3176" s="15"/>
      <c r="P3176" s="15"/>
    </row>
    <row r="3177">
      <c r="A3177" s="15"/>
      <c r="B3177" s="22"/>
      <c r="C3177" s="22"/>
      <c r="D3177" s="22"/>
      <c r="E3177" s="15"/>
      <c r="F3177" s="15"/>
      <c r="G3177" s="15"/>
      <c r="H3177" s="15"/>
      <c r="I3177" s="15"/>
      <c r="J3177" s="15"/>
      <c r="K3177" s="15"/>
      <c r="L3177" s="15"/>
      <c r="M3177" s="16"/>
      <c r="N3177" s="16"/>
      <c r="O3177" s="15"/>
      <c r="P3177" s="15"/>
    </row>
    <row r="3178">
      <c r="A3178" s="15"/>
      <c r="B3178" s="22"/>
      <c r="C3178" s="22"/>
      <c r="D3178" s="22"/>
      <c r="E3178" s="15"/>
      <c r="F3178" s="15"/>
      <c r="G3178" s="15"/>
      <c r="H3178" s="15"/>
      <c r="I3178" s="15"/>
      <c r="J3178" s="15"/>
      <c r="K3178" s="15"/>
      <c r="L3178" s="15"/>
      <c r="M3178" s="16"/>
      <c r="N3178" s="16"/>
      <c r="O3178" s="15"/>
      <c r="P3178" s="15"/>
    </row>
    <row r="3179">
      <c r="A3179" s="15"/>
      <c r="B3179" s="22"/>
      <c r="C3179" s="22"/>
      <c r="D3179" s="22"/>
      <c r="E3179" s="15"/>
      <c r="F3179" s="15"/>
      <c r="G3179" s="15"/>
      <c r="H3179" s="15"/>
      <c r="I3179" s="15"/>
      <c r="J3179" s="15"/>
      <c r="K3179" s="15"/>
      <c r="L3179" s="15"/>
      <c r="M3179" s="16"/>
      <c r="N3179" s="16"/>
      <c r="O3179" s="15"/>
      <c r="P3179" s="15"/>
    </row>
    <row r="3180">
      <c r="A3180" s="15"/>
      <c r="B3180" s="22"/>
      <c r="C3180" s="22"/>
      <c r="D3180" s="22"/>
      <c r="E3180" s="15"/>
      <c r="F3180" s="15"/>
      <c r="G3180" s="15"/>
      <c r="H3180" s="15"/>
      <c r="I3180" s="15"/>
      <c r="J3180" s="15"/>
      <c r="K3180" s="15"/>
      <c r="L3180" s="15"/>
      <c r="M3180" s="16"/>
      <c r="N3180" s="16"/>
      <c r="O3180" s="15"/>
      <c r="P3180" s="15"/>
    </row>
    <row r="3181">
      <c r="A3181" s="15"/>
      <c r="B3181" s="22"/>
      <c r="C3181" s="22"/>
      <c r="D3181" s="22"/>
      <c r="E3181" s="15"/>
      <c r="F3181" s="15"/>
      <c r="G3181" s="15"/>
      <c r="H3181" s="15"/>
      <c r="I3181" s="15"/>
      <c r="J3181" s="15"/>
      <c r="K3181" s="15"/>
      <c r="L3181" s="15"/>
      <c r="M3181" s="16"/>
      <c r="N3181" s="16"/>
      <c r="O3181" s="15"/>
      <c r="P3181" s="15"/>
    </row>
    <row r="3182">
      <c r="A3182" s="15"/>
      <c r="B3182" s="22"/>
      <c r="C3182" s="22"/>
      <c r="D3182" s="22"/>
      <c r="E3182" s="15"/>
      <c r="F3182" s="15"/>
      <c r="G3182" s="15"/>
      <c r="H3182" s="15"/>
      <c r="I3182" s="15"/>
      <c r="J3182" s="15"/>
      <c r="K3182" s="15"/>
      <c r="L3182" s="15"/>
      <c r="M3182" s="16"/>
      <c r="N3182" s="16"/>
      <c r="O3182" s="15"/>
      <c r="P3182" s="15"/>
    </row>
    <row r="3183">
      <c r="A3183" s="15"/>
      <c r="B3183" s="22"/>
      <c r="C3183" s="22"/>
      <c r="D3183" s="22"/>
      <c r="E3183" s="15"/>
      <c r="F3183" s="15"/>
      <c r="G3183" s="15"/>
      <c r="H3183" s="15"/>
      <c r="I3183" s="15"/>
      <c r="J3183" s="15"/>
      <c r="K3183" s="15"/>
      <c r="L3183" s="15"/>
      <c r="M3183" s="16"/>
      <c r="N3183" s="16"/>
      <c r="O3183" s="15"/>
      <c r="P3183" s="15"/>
    </row>
    <row r="3184">
      <c r="A3184" s="15"/>
      <c r="B3184" s="22"/>
      <c r="C3184" s="22"/>
      <c r="D3184" s="22"/>
      <c r="E3184" s="15"/>
      <c r="F3184" s="15"/>
      <c r="G3184" s="15"/>
      <c r="H3184" s="15"/>
      <c r="I3184" s="15"/>
      <c r="J3184" s="15"/>
      <c r="K3184" s="15"/>
      <c r="L3184" s="15"/>
      <c r="M3184" s="16"/>
      <c r="N3184" s="16"/>
      <c r="O3184" s="15"/>
      <c r="P3184" s="15"/>
    </row>
    <row r="3185">
      <c r="A3185" s="15"/>
      <c r="B3185" s="22"/>
      <c r="C3185" s="22"/>
      <c r="D3185" s="22"/>
      <c r="E3185" s="15"/>
      <c r="F3185" s="15"/>
      <c r="G3185" s="15"/>
      <c r="H3185" s="15"/>
      <c r="I3185" s="15"/>
      <c r="J3185" s="15"/>
      <c r="K3185" s="15"/>
      <c r="L3185" s="15"/>
      <c r="M3185" s="16"/>
      <c r="N3185" s="16"/>
      <c r="O3185" s="15"/>
      <c r="P3185" s="15"/>
    </row>
    <row r="3186">
      <c r="A3186" s="15"/>
      <c r="B3186" s="22"/>
      <c r="C3186" s="22"/>
      <c r="D3186" s="22"/>
      <c r="E3186" s="15"/>
      <c r="F3186" s="15"/>
      <c r="G3186" s="15"/>
      <c r="H3186" s="15"/>
      <c r="I3186" s="15"/>
      <c r="J3186" s="15"/>
      <c r="K3186" s="15"/>
      <c r="L3186" s="15"/>
      <c r="M3186" s="16"/>
      <c r="N3186" s="16"/>
      <c r="O3186" s="15"/>
      <c r="P3186" s="15"/>
    </row>
    <row r="3187">
      <c r="A3187" s="15"/>
      <c r="B3187" s="22"/>
      <c r="C3187" s="22"/>
      <c r="D3187" s="22"/>
      <c r="E3187" s="15"/>
      <c r="F3187" s="15"/>
      <c r="G3187" s="15"/>
      <c r="H3187" s="15"/>
      <c r="I3187" s="15"/>
      <c r="J3187" s="15"/>
      <c r="K3187" s="15"/>
      <c r="L3187" s="15"/>
      <c r="M3187" s="16"/>
      <c r="N3187" s="16"/>
      <c r="O3187" s="15"/>
      <c r="P3187" s="15"/>
    </row>
    <row r="3188">
      <c r="A3188" s="15"/>
      <c r="B3188" s="22"/>
      <c r="C3188" s="22"/>
      <c r="D3188" s="22"/>
      <c r="E3188" s="15"/>
      <c r="F3188" s="15"/>
      <c r="G3188" s="15"/>
      <c r="H3188" s="15"/>
      <c r="I3188" s="15"/>
      <c r="J3188" s="15"/>
      <c r="K3188" s="15"/>
      <c r="L3188" s="15"/>
      <c r="M3188" s="16"/>
      <c r="N3188" s="16"/>
      <c r="O3188" s="15"/>
      <c r="P3188" s="15"/>
    </row>
    <row r="3189">
      <c r="A3189" s="15"/>
      <c r="B3189" s="22"/>
      <c r="C3189" s="22"/>
      <c r="D3189" s="22"/>
      <c r="E3189" s="15"/>
      <c r="F3189" s="15"/>
      <c r="G3189" s="15"/>
      <c r="H3189" s="15"/>
      <c r="I3189" s="15"/>
      <c r="J3189" s="15"/>
      <c r="K3189" s="15"/>
      <c r="L3189" s="15"/>
      <c r="M3189" s="16"/>
      <c r="N3189" s="16"/>
      <c r="O3189" s="15"/>
      <c r="P3189" s="15"/>
    </row>
    <row r="3190">
      <c r="A3190" s="15"/>
      <c r="B3190" s="22"/>
      <c r="C3190" s="22"/>
      <c r="D3190" s="22"/>
      <c r="E3190" s="15"/>
      <c r="F3190" s="15"/>
      <c r="G3190" s="15"/>
      <c r="H3190" s="15"/>
      <c r="I3190" s="15"/>
      <c r="J3190" s="15"/>
      <c r="K3190" s="15"/>
      <c r="L3190" s="15"/>
      <c r="M3190" s="16"/>
      <c r="N3190" s="16"/>
      <c r="O3190" s="15"/>
      <c r="P3190" s="15"/>
    </row>
    <row r="3191">
      <c r="A3191" s="15"/>
      <c r="B3191" s="22"/>
      <c r="C3191" s="22"/>
      <c r="D3191" s="22"/>
      <c r="E3191" s="15"/>
      <c r="F3191" s="15"/>
      <c r="G3191" s="15"/>
      <c r="H3191" s="15"/>
      <c r="I3191" s="15"/>
      <c r="J3191" s="15"/>
      <c r="K3191" s="15"/>
      <c r="L3191" s="15"/>
      <c r="M3191" s="16"/>
      <c r="N3191" s="16"/>
      <c r="O3191" s="15"/>
      <c r="P3191" s="15"/>
    </row>
    <row r="3192">
      <c r="A3192" s="15"/>
      <c r="B3192" s="22"/>
      <c r="C3192" s="22"/>
      <c r="D3192" s="22"/>
      <c r="E3192" s="15"/>
      <c r="F3192" s="15"/>
      <c r="G3192" s="15"/>
      <c r="H3192" s="15"/>
      <c r="I3192" s="15"/>
      <c r="J3192" s="15"/>
      <c r="K3192" s="15"/>
      <c r="L3192" s="15"/>
      <c r="M3192" s="16"/>
      <c r="N3192" s="16"/>
      <c r="O3192" s="15"/>
      <c r="P3192" s="15"/>
    </row>
    <row r="3193">
      <c r="A3193" s="15"/>
      <c r="B3193" s="22"/>
      <c r="C3193" s="22"/>
      <c r="D3193" s="22"/>
      <c r="E3193" s="15"/>
      <c r="F3193" s="15"/>
      <c r="G3193" s="15"/>
      <c r="H3193" s="15"/>
      <c r="I3193" s="15"/>
      <c r="J3193" s="15"/>
      <c r="K3193" s="15"/>
      <c r="L3193" s="15"/>
      <c r="M3193" s="16"/>
      <c r="N3193" s="16"/>
      <c r="O3193" s="15"/>
      <c r="P3193" s="15"/>
    </row>
    <row r="3194">
      <c r="A3194" s="15"/>
      <c r="B3194" s="22"/>
      <c r="C3194" s="22"/>
      <c r="D3194" s="22"/>
      <c r="E3194" s="15"/>
      <c r="F3194" s="15"/>
      <c r="G3194" s="15"/>
      <c r="H3194" s="15"/>
      <c r="I3194" s="15"/>
      <c r="J3194" s="15"/>
      <c r="K3194" s="15"/>
      <c r="L3194" s="15"/>
      <c r="M3194" s="16"/>
      <c r="N3194" s="16"/>
      <c r="O3194" s="15"/>
      <c r="P3194" s="15"/>
    </row>
    <row r="3195">
      <c r="A3195" s="15"/>
      <c r="B3195" s="22"/>
      <c r="C3195" s="22"/>
      <c r="D3195" s="22"/>
      <c r="E3195" s="15"/>
      <c r="F3195" s="15"/>
      <c r="G3195" s="15"/>
      <c r="H3195" s="15"/>
      <c r="I3195" s="15"/>
      <c r="J3195" s="15"/>
      <c r="K3195" s="15"/>
      <c r="L3195" s="15"/>
      <c r="M3195" s="16"/>
      <c r="N3195" s="16"/>
      <c r="O3195" s="15"/>
      <c r="P3195" s="15"/>
    </row>
    <row r="3196">
      <c r="A3196" s="15"/>
      <c r="B3196" s="22"/>
      <c r="C3196" s="22"/>
      <c r="D3196" s="22"/>
      <c r="E3196" s="15"/>
      <c r="F3196" s="15"/>
      <c r="G3196" s="15"/>
      <c r="H3196" s="15"/>
      <c r="I3196" s="15"/>
      <c r="J3196" s="15"/>
      <c r="K3196" s="15"/>
      <c r="L3196" s="15"/>
      <c r="M3196" s="16"/>
      <c r="N3196" s="16"/>
      <c r="O3196" s="15"/>
      <c r="P3196" s="15"/>
    </row>
    <row r="3197">
      <c r="A3197" s="15"/>
      <c r="B3197" s="22"/>
      <c r="C3197" s="22"/>
      <c r="D3197" s="22"/>
      <c r="E3197" s="15"/>
      <c r="F3197" s="15"/>
      <c r="G3197" s="15"/>
      <c r="H3197" s="15"/>
      <c r="I3197" s="15"/>
      <c r="J3197" s="15"/>
      <c r="K3197" s="15"/>
      <c r="L3197" s="15"/>
      <c r="M3197" s="16"/>
      <c r="N3197" s="16"/>
      <c r="O3197" s="15"/>
      <c r="P3197" s="15"/>
    </row>
    <row r="3198">
      <c r="A3198" s="15"/>
      <c r="B3198" s="22"/>
      <c r="C3198" s="22"/>
      <c r="D3198" s="22"/>
      <c r="E3198" s="15"/>
      <c r="F3198" s="15"/>
      <c r="G3198" s="15"/>
      <c r="H3198" s="15"/>
      <c r="I3198" s="15"/>
      <c r="J3198" s="15"/>
      <c r="K3198" s="15"/>
      <c r="L3198" s="15"/>
      <c r="M3198" s="16"/>
      <c r="N3198" s="16"/>
      <c r="O3198" s="15"/>
      <c r="P3198" s="15"/>
    </row>
    <row r="3199">
      <c r="A3199" s="15"/>
      <c r="B3199" s="22"/>
      <c r="C3199" s="22"/>
      <c r="D3199" s="22"/>
      <c r="E3199" s="15"/>
      <c r="F3199" s="15"/>
      <c r="G3199" s="15"/>
      <c r="H3199" s="15"/>
      <c r="I3199" s="15"/>
      <c r="J3199" s="15"/>
      <c r="K3199" s="15"/>
      <c r="L3199" s="15"/>
      <c r="M3199" s="16"/>
      <c r="N3199" s="16"/>
      <c r="O3199" s="15"/>
      <c r="P3199" s="15"/>
    </row>
    <row r="3200">
      <c r="A3200" s="15"/>
      <c r="B3200" s="22"/>
      <c r="C3200" s="22"/>
      <c r="D3200" s="22"/>
      <c r="E3200" s="15"/>
      <c r="F3200" s="15"/>
      <c r="G3200" s="15"/>
      <c r="H3200" s="15"/>
      <c r="I3200" s="15"/>
      <c r="J3200" s="15"/>
      <c r="K3200" s="15"/>
      <c r="L3200" s="15"/>
      <c r="M3200" s="16"/>
      <c r="N3200" s="16"/>
      <c r="O3200" s="15"/>
      <c r="P3200" s="15"/>
    </row>
    <row r="3201">
      <c r="A3201" s="15"/>
      <c r="B3201" s="22"/>
      <c r="C3201" s="22"/>
      <c r="D3201" s="22"/>
      <c r="E3201" s="15"/>
      <c r="F3201" s="15"/>
      <c r="G3201" s="15"/>
      <c r="H3201" s="15"/>
      <c r="I3201" s="15"/>
      <c r="J3201" s="15"/>
      <c r="K3201" s="15"/>
      <c r="L3201" s="15"/>
      <c r="M3201" s="16"/>
      <c r="N3201" s="16"/>
      <c r="O3201" s="15"/>
      <c r="P3201" s="15"/>
    </row>
    <row r="3202">
      <c r="A3202" s="15"/>
      <c r="B3202" s="22"/>
      <c r="C3202" s="22"/>
      <c r="D3202" s="22"/>
      <c r="E3202" s="15"/>
      <c r="F3202" s="15"/>
      <c r="G3202" s="15"/>
      <c r="H3202" s="15"/>
      <c r="I3202" s="15"/>
      <c r="J3202" s="15"/>
      <c r="K3202" s="15"/>
      <c r="L3202" s="15"/>
      <c r="M3202" s="16"/>
      <c r="N3202" s="16"/>
      <c r="O3202" s="15"/>
      <c r="P3202" s="15"/>
    </row>
    <row r="3203">
      <c r="A3203" s="15"/>
      <c r="B3203" s="22"/>
      <c r="C3203" s="22"/>
      <c r="D3203" s="22"/>
      <c r="E3203" s="15"/>
      <c r="F3203" s="15"/>
      <c r="G3203" s="15"/>
      <c r="H3203" s="15"/>
      <c r="I3203" s="15"/>
      <c r="J3203" s="15"/>
      <c r="K3203" s="15"/>
      <c r="L3203" s="15"/>
      <c r="M3203" s="16"/>
      <c r="N3203" s="16"/>
      <c r="O3203" s="15"/>
      <c r="P3203" s="15"/>
    </row>
    <row r="3204">
      <c r="A3204" s="15"/>
      <c r="B3204" s="22"/>
      <c r="C3204" s="22"/>
      <c r="D3204" s="22"/>
      <c r="E3204" s="15"/>
      <c r="F3204" s="15"/>
      <c r="G3204" s="15"/>
      <c r="H3204" s="15"/>
      <c r="I3204" s="15"/>
      <c r="J3204" s="15"/>
      <c r="K3204" s="15"/>
      <c r="L3204" s="15"/>
      <c r="M3204" s="16"/>
      <c r="N3204" s="16"/>
      <c r="O3204" s="15"/>
      <c r="P3204" s="15"/>
    </row>
    <row r="3205">
      <c r="A3205" s="15"/>
      <c r="B3205" s="22"/>
      <c r="C3205" s="22"/>
      <c r="D3205" s="22"/>
      <c r="E3205" s="15"/>
      <c r="F3205" s="15"/>
      <c r="G3205" s="15"/>
      <c r="H3205" s="15"/>
      <c r="I3205" s="15"/>
      <c r="J3205" s="15"/>
      <c r="K3205" s="15"/>
      <c r="L3205" s="15"/>
      <c r="M3205" s="16"/>
      <c r="N3205" s="16"/>
      <c r="O3205" s="15"/>
      <c r="P3205" s="15"/>
    </row>
    <row r="3206">
      <c r="A3206" s="15"/>
      <c r="B3206" s="22"/>
      <c r="C3206" s="22"/>
      <c r="D3206" s="22"/>
      <c r="E3206" s="15"/>
      <c r="F3206" s="15"/>
      <c r="G3206" s="15"/>
      <c r="H3206" s="15"/>
      <c r="I3206" s="15"/>
      <c r="J3206" s="15"/>
      <c r="K3206" s="15"/>
      <c r="L3206" s="15"/>
      <c r="M3206" s="16"/>
      <c r="N3206" s="16"/>
      <c r="O3206" s="15"/>
      <c r="P3206" s="15"/>
    </row>
    <row r="3207">
      <c r="A3207" s="15"/>
      <c r="B3207" s="22"/>
      <c r="C3207" s="22"/>
      <c r="D3207" s="22"/>
      <c r="E3207" s="15"/>
      <c r="F3207" s="15"/>
      <c r="G3207" s="15"/>
      <c r="H3207" s="15"/>
      <c r="I3207" s="15"/>
      <c r="J3207" s="15"/>
      <c r="K3207" s="15"/>
      <c r="L3207" s="15"/>
      <c r="M3207" s="16"/>
      <c r="N3207" s="16"/>
      <c r="O3207" s="15"/>
      <c r="P3207" s="15"/>
    </row>
    <row r="3208">
      <c r="A3208" s="15"/>
      <c r="B3208" s="22"/>
      <c r="C3208" s="22"/>
      <c r="D3208" s="22"/>
      <c r="E3208" s="15"/>
      <c r="F3208" s="15"/>
      <c r="G3208" s="15"/>
      <c r="H3208" s="15"/>
      <c r="I3208" s="15"/>
      <c r="J3208" s="15"/>
      <c r="K3208" s="15"/>
      <c r="L3208" s="15"/>
      <c r="M3208" s="16"/>
      <c r="N3208" s="16"/>
      <c r="O3208" s="15"/>
      <c r="P3208" s="15"/>
    </row>
    <row r="3209">
      <c r="A3209" s="15"/>
      <c r="B3209" s="22"/>
      <c r="C3209" s="22"/>
      <c r="D3209" s="22"/>
      <c r="E3209" s="15"/>
      <c r="F3209" s="15"/>
      <c r="G3209" s="15"/>
      <c r="H3209" s="15"/>
      <c r="I3209" s="15"/>
      <c r="J3209" s="15"/>
      <c r="K3209" s="15"/>
      <c r="L3209" s="15"/>
      <c r="M3209" s="16"/>
      <c r="N3209" s="16"/>
      <c r="O3209" s="15"/>
      <c r="P3209" s="15"/>
    </row>
    <row r="3210">
      <c r="A3210" s="15"/>
      <c r="B3210" s="22"/>
      <c r="C3210" s="22"/>
      <c r="D3210" s="22"/>
      <c r="E3210" s="15"/>
      <c r="F3210" s="15"/>
      <c r="G3210" s="15"/>
      <c r="H3210" s="15"/>
      <c r="I3210" s="15"/>
      <c r="J3210" s="15"/>
      <c r="K3210" s="15"/>
      <c r="L3210" s="15"/>
      <c r="M3210" s="16"/>
      <c r="N3210" s="16"/>
      <c r="O3210" s="15"/>
      <c r="P3210" s="15"/>
    </row>
    <row r="3211">
      <c r="A3211" s="15"/>
      <c r="B3211" s="22"/>
      <c r="C3211" s="22"/>
      <c r="D3211" s="22"/>
      <c r="E3211" s="15"/>
      <c r="F3211" s="15"/>
      <c r="G3211" s="15"/>
      <c r="H3211" s="15"/>
      <c r="I3211" s="15"/>
      <c r="J3211" s="15"/>
      <c r="K3211" s="15"/>
      <c r="L3211" s="15"/>
      <c r="M3211" s="16"/>
      <c r="N3211" s="16"/>
      <c r="O3211" s="15"/>
      <c r="P3211" s="15"/>
    </row>
    <row r="3212">
      <c r="A3212" s="15"/>
      <c r="B3212" s="22"/>
      <c r="C3212" s="22"/>
      <c r="D3212" s="22"/>
      <c r="E3212" s="15"/>
      <c r="F3212" s="15"/>
      <c r="G3212" s="15"/>
      <c r="H3212" s="15"/>
      <c r="I3212" s="15"/>
      <c r="J3212" s="15"/>
      <c r="K3212" s="15"/>
      <c r="L3212" s="15"/>
      <c r="M3212" s="16"/>
      <c r="N3212" s="16"/>
      <c r="O3212" s="15"/>
      <c r="P3212" s="15"/>
    </row>
    <row r="3213">
      <c r="A3213" s="15"/>
      <c r="B3213" s="22"/>
      <c r="C3213" s="22"/>
      <c r="D3213" s="22"/>
      <c r="E3213" s="15"/>
      <c r="F3213" s="15"/>
      <c r="G3213" s="15"/>
      <c r="H3213" s="15"/>
      <c r="I3213" s="15"/>
      <c r="J3213" s="15"/>
      <c r="K3213" s="15"/>
      <c r="L3213" s="15"/>
      <c r="M3213" s="16"/>
      <c r="N3213" s="16"/>
      <c r="O3213" s="15"/>
      <c r="P3213" s="15"/>
    </row>
    <row r="3214">
      <c r="A3214" s="15"/>
      <c r="B3214" s="22"/>
      <c r="C3214" s="22"/>
      <c r="D3214" s="22"/>
      <c r="E3214" s="15"/>
      <c r="F3214" s="15"/>
      <c r="G3214" s="15"/>
      <c r="H3214" s="15"/>
      <c r="I3214" s="15"/>
      <c r="J3214" s="15"/>
      <c r="K3214" s="15"/>
      <c r="L3214" s="15"/>
      <c r="M3214" s="16"/>
      <c r="N3214" s="16"/>
      <c r="O3214" s="15"/>
      <c r="P3214" s="15"/>
    </row>
    <row r="3215">
      <c r="A3215" s="15"/>
      <c r="B3215" s="22"/>
      <c r="C3215" s="22"/>
      <c r="D3215" s="22"/>
      <c r="E3215" s="15"/>
      <c r="F3215" s="15"/>
      <c r="G3215" s="15"/>
      <c r="H3215" s="15"/>
      <c r="I3215" s="15"/>
      <c r="J3215" s="15"/>
      <c r="K3215" s="15"/>
      <c r="L3215" s="15"/>
      <c r="M3215" s="16"/>
      <c r="N3215" s="16"/>
      <c r="O3215" s="15"/>
      <c r="P3215" s="15"/>
    </row>
    <row r="3216">
      <c r="A3216" s="15"/>
      <c r="B3216" s="22"/>
      <c r="C3216" s="22"/>
      <c r="D3216" s="22"/>
      <c r="E3216" s="15"/>
      <c r="F3216" s="15"/>
      <c r="G3216" s="15"/>
      <c r="H3216" s="15"/>
      <c r="I3216" s="15"/>
      <c r="J3216" s="15"/>
      <c r="K3216" s="15"/>
      <c r="L3216" s="15"/>
      <c r="M3216" s="16"/>
      <c r="N3216" s="16"/>
      <c r="O3216" s="15"/>
      <c r="P3216" s="15"/>
    </row>
    <row r="3217">
      <c r="A3217" s="15"/>
      <c r="B3217" s="22"/>
      <c r="C3217" s="22"/>
      <c r="D3217" s="22"/>
      <c r="E3217" s="15"/>
      <c r="F3217" s="15"/>
      <c r="G3217" s="15"/>
      <c r="H3217" s="15"/>
      <c r="I3217" s="15"/>
      <c r="J3217" s="15"/>
      <c r="K3217" s="15"/>
      <c r="L3217" s="15"/>
      <c r="M3217" s="16"/>
      <c r="N3217" s="16"/>
      <c r="O3217" s="15"/>
      <c r="P3217" s="15"/>
    </row>
    <row r="3218">
      <c r="A3218" s="15"/>
      <c r="B3218" s="22"/>
      <c r="C3218" s="22"/>
      <c r="D3218" s="22"/>
      <c r="E3218" s="15"/>
      <c r="F3218" s="15"/>
      <c r="G3218" s="15"/>
      <c r="H3218" s="15"/>
      <c r="I3218" s="15"/>
      <c r="J3218" s="15"/>
      <c r="K3218" s="15"/>
      <c r="L3218" s="15"/>
      <c r="M3218" s="16"/>
      <c r="N3218" s="16"/>
      <c r="O3218" s="15"/>
      <c r="P3218" s="15"/>
    </row>
    <row r="3219">
      <c r="A3219" s="15"/>
      <c r="B3219" s="22"/>
      <c r="C3219" s="22"/>
      <c r="D3219" s="22"/>
      <c r="E3219" s="15"/>
      <c r="F3219" s="15"/>
      <c r="G3219" s="15"/>
      <c r="H3219" s="15"/>
      <c r="I3219" s="15"/>
      <c r="J3219" s="15"/>
      <c r="K3219" s="15"/>
      <c r="L3219" s="15"/>
      <c r="M3219" s="16"/>
      <c r="N3219" s="16"/>
      <c r="O3219" s="15"/>
      <c r="P3219" s="15"/>
    </row>
    <row r="3220">
      <c r="A3220" s="15"/>
      <c r="B3220" s="22"/>
      <c r="C3220" s="22"/>
      <c r="D3220" s="22"/>
      <c r="E3220" s="15"/>
      <c r="F3220" s="15"/>
      <c r="G3220" s="15"/>
      <c r="H3220" s="15"/>
      <c r="I3220" s="15"/>
      <c r="J3220" s="15"/>
      <c r="K3220" s="15"/>
      <c r="L3220" s="15"/>
      <c r="M3220" s="16"/>
      <c r="N3220" s="16"/>
      <c r="O3220" s="15"/>
      <c r="P3220" s="15"/>
    </row>
    <row r="3221">
      <c r="A3221" s="15"/>
      <c r="B3221" s="22"/>
      <c r="C3221" s="22"/>
      <c r="D3221" s="22"/>
      <c r="E3221" s="15"/>
      <c r="F3221" s="15"/>
      <c r="G3221" s="15"/>
      <c r="H3221" s="15"/>
      <c r="I3221" s="15"/>
      <c r="J3221" s="15"/>
      <c r="K3221" s="15"/>
      <c r="L3221" s="15"/>
      <c r="M3221" s="16"/>
      <c r="N3221" s="16"/>
      <c r="O3221" s="15"/>
      <c r="P3221" s="15"/>
    </row>
    <row r="3222">
      <c r="A3222" s="15"/>
      <c r="B3222" s="22"/>
      <c r="C3222" s="22"/>
      <c r="D3222" s="22"/>
      <c r="E3222" s="15"/>
      <c r="F3222" s="15"/>
      <c r="G3222" s="15"/>
      <c r="H3222" s="15"/>
      <c r="I3222" s="15"/>
      <c r="J3222" s="15"/>
      <c r="K3222" s="15"/>
      <c r="L3222" s="15"/>
      <c r="M3222" s="16"/>
      <c r="N3222" s="16"/>
      <c r="O3222" s="15"/>
      <c r="P3222" s="15"/>
    </row>
    <row r="3223">
      <c r="A3223" s="15"/>
      <c r="B3223" s="22"/>
      <c r="C3223" s="22"/>
      <c r="D3223" s="22"/>
      <c r="E3223" s="15"/>
      <c r="F3223" s="15"/>
      <c r="G3223" s="15"/>
      <c r="H3223" s="15"/>
      <c r="I3223" s="15"/>
      <c r="J3223" s="15"/>
      <c r="K3223" s="15"/>
      <c r="L3223" s="15"/>
      <c r="M3223" s="16"/>
      <c r="N3223" s="16"/>
      <c r="O3223" s="15"/>
      <c r="P3223" s="15"/>
    </row>
    <row r="3224">
      <c r="A3224" s="15"/>
      <c r="B3224" s="22"/>
      <c r="C3224" s="22"/>
      <c r="D3224" s="22"/>
      <c r="E3224" s="15"/>
      <c r="F3224" s="15"/>
      <c r="G3224" s="15"/>
      <c r="H3224" s="15"/>
      <c r="I3224" s="15"/>
      <c r="J3224" s="15"/>
      <c r="K3224" s="15"/>
      <c r="L3224" s="15"/>
      <c r="M3224" s="16"/>
      <c r="N3224" s="16"/>
      <c r="O3224" s="15"/>
      <c r="P3224" s="15"/>
    </row>
    <row r="3225">
      <c r="A3225" s="15"/>
      <c r="B3225" s="22"/>
      <c r="C3225" s="22"/>
      <c r="D3225" s="22"/>
      <c r="E3225" s="15"/>
      <c r="F3225" s="15"/>
      <c r="G3225" s="15"/>
      <c r="H3225" s="15"/>
      <c r="I3225" s="15"/>
      <c r="J3225" s="15"/>
      <c r="K3225" s="15"/>
      <c r="L3225" s="15"/>
      <c r="M3225" s="16"/>
      <c r="N3225" s="16"/>
      <c r="O3225" s="15"/>
      <c r="P3225" s="15"/>
    </row>
    <row r="3226">
      <c r="A3226" s="15"/>
      <c r="B3226" s="22"/>
      <c r="C3226" s="22"/>
      <c r="D3226" s="22"/>
      <c r="E3226" s="15"/>
      <c r="F3226" s="15"/>
      <c r="G3226" s="15"/>
      <c r="H3226" s="15"/>
      <c r="I3226" s="15"/>
      <c r="J3226" s="15"/>
      <c r="K3226" s="15"/>
      <c r="L3226" s="15"/>
      <c r="M3226" s="16"/>
      <c r="N3226" s="16"/>
      <c r="O3226" s="15"/>
      <c r="P3226" s="15"/>
    </row>
    <row r="3227">
      <c r="A3227" s="15"/>
      <c r="B3227" s="22"/>
      <c r="C3227" s="22"/>
      <c r="D3227" s="22"/>
      <c r="E3227" s="15"/>
      <c r="F3227" s="15"/>
      <c r="G3227" s="15"/>
      <c r="H3227" s="15"/>
      <c r="I3227" s="15"/>
      <c r="J3227" s="15"/>
      <c r="K3227" s="15"/>
      <c r="L3227" s="15"/>
      <c r="M3227" s="16"/>
      <c r="N3227" s="16"/>
      <c r="O3227" s="15"/>
      <c r="P3227" s="15"/>
    </row>
    <row r="3228">
      <c r="A3228" s="15"/>
      <c r="B3228" s="22"/>
      <c r="C3228" s="22"/>
      <c r="D3228" s="22"/>
      <c r="E3228" s="15"/>
      <c r="F3228" s="15"/>
      <c r="G3228" s="15"/>
      <c r="H3228" s="15"/>
      <c r="I3228" s="15"/>
      <c r="J3228" s="15"/>
      <c r="K3228" s="15"/>
      <c r="L3228" s="15"/>
      <c r="M3228" s="16"/>
      <c r="N3228" s="16"/>
      <c r="O3228" s="15"/>
      <c r="P3228" s="15"/>
    </row>
    <row r="3229">
      <c r="A3229" s="15"/>
      <c r="B3229" s="22"/>
      <c r="C3229" s="22"/>
      <c r="D3229" s="22"/>
      <c r="E3229" s="15"/>
      <c r="F3229" s="15"/>
      <c r="G3229" s="15"/>
      <c r="H3229" s="15"/>
      <c r="I3229" s="15"/>
      <c r="J3229" s="15"/>
      <c r="K3229" s="15"/>
      <c r="L3229" s="15"/>
      <c r="M3229" s="16"/>
      <c r="N3229" s="16"/>
      <c r="O3229" s="15"/>
      <c r="P3229" s="15"/>
    </row>
    <row r="3230">
      <c r="A3230" s="15"/>
      <c r="B3230" s="22"/>
      <c r="C3230" s="22"/>
      <c r="D3230" s="22"/>
      <c r="E3230" s="15"/>
      <c r="F3230" s="15"/>
      <c r="G3230" s="15"/>
      <c r="H3230" s="15"/>
      <c r="I3230" s="15"/>
      <c r="J3230" s="15"/>
      <c r="K3230" s="15"/>
      <c r="L3230" s="15"/>
      <c r="M3230" s="16"/>
      <c r="N3230" s="16"/>
      <c r="O3230" s="15"/>
      <c r="P3230" s="15"/>
    </row>
    <row r="3231">
      <c r="A3231" s="15"/>
      <c r="B3231" s="22"/>
      <c r="C3231" s="22"/>
      <c r="D3231" s="22"/>
      <c r="E3231" s="15"/>
      <c r="F3231" s="15"/>
      <c r="G3231" s="15"/>
      <c r="H3231" s="15"/>
      <c r="I3231" s="15"/>
      <c r="J3231" s="15"/>
      <c r="K3231" s="15"/>
      <c r="L3231" s="15"/>
      <c r="M3231" s="16"/>
      <c r="N3231" s="16"/>
      <c r="O3231" s="15"/>
      <c r="P3231" s="15"/>
    </row>
    <row r="3232">
      <c r="A3232" s="15"/>
      <c r="B3232" s="22"/>
      <c r="C3232" s="22"/>
      <c r="D3232" s="22"/>
      <c r="E3232" s="15"/>
      <c r="F3232" s="15"/>
      <c r="G3232" s="15"/>
      <c r="H3232" s="15"/>
      <c r="I3232" s="15"/>
      <c r="J3232" s="15"/>
      <c r="K3232" s="15"/>
      <c r="L3232" s="15"/>
      <c r="M3232" s="16"/>
      <c r="N3232" s="16"/>
      <c r="O3232" s="15"/>
      <c r="P3232" s="15"/>
    </row>
    <row r="3233">
      <c r="A3233" s="15"/>
      <c r="B3233" s="22"/>
      <c r="C3233" s="22"/>
      <c r="D3233" s="22"/>
      <c r="E3233" s="15"/>
      <c r="F3233" s="15"/>
      <c r="G3233" s="15"/>
      <c r="H3233" s="15"/>
      <c r="I3233" s="15"/>
      <c r="J3233" s="15"/>
      <c r="K3233" s="15"/>
      <c r="L3233" s="15"/>
      <c r="M3233" s="16"/>
      <c r="N3233" s="16"/>
      <c r="O3233" s="15"/>
      <c r="P3233" s="15"/>
    </row>
    <row r="3234">
      <c r="A3234" s="15"/>
      <c r="B3234" s="22"/>
      <c r="C3234" s="22"/>
      <c r="D3234" s="22"/>
      <c r="E3234" s="15"/>
      <c r="F3234" s="15"/>
      <c r="G3234" s="15"/>
      <c r="H3234" s="15"/>
      <c r="I3234" s="15"/>
      <c r="J3234" s="15"/>
      <c r="K3234" s="15"/>
      <c r="L3234" s="15"/>
      <c r="M3234" s="16"/>
      <c r="N3234" s="16"/>
      <c r="O3234" s="15"/>
      <c r="P3234" s="15"/>
    </row>
    <row r="3235">
      <c r="A3235" s="15"/>
      <c r="B3235" s="22"/>
      <c r="C3235" s="22"/>
      <c r="D3235" s="22"/>
      <c r="E3235" s="15"/>
      <c r="F3235" s="15"/>
      <c r="G3235" s="15"/>
      <c r="H3235" s="15"/>
      <c r="I3235" s="15"/>
      <c r="J3235" s="15"/>
      <c r="K3235" s="15"/>
      <c r="L3235" s="15"/>
      <c r="M3235" s="16"/>
      <c r="N3235" s="16"/>
      <c r="O3235" s="15"/>
      <c r="P3235" s="15"/>
    </row>
    <row r="3236">
      <c r="A3236" s="15"/>
      <c r="B3236" s="22"/>
      <c r="C3236" s="22"/>
      <c r="D3236" s="22"/>
      <c r="E3236" s="15"/>
      <c r="F3236" s="15"/>
      <c r="G3236" s="15"/>
      <c r="H3236" s="15"/>
      <c r="I3236" s="15"/>
      <c r="J3236" s="15"/>
      <c r="K3236" s="15"/>
      <c r="L3236" s="15"/>
      <c r="M3236" s="16"/>
      <c r="N3236" s="16"/>
      <c r="O3236" s="15"/>
      <c r="P3236" s="15"/>
    </row>
    <row r="3237">
      <c r="A3237" s="15"/>
      <c r="B3237" s="22"/>
      <c r="C3237" s="22"/>
      <c r="D3237" s="22"/>
      <c r="E3237" s="15"/>
      <c r="F3237" s="15"/>
      <c r="G3237" s="15"/>
      <c r="H3237" s="15"/>
      <c r="I3237" s="15"/>
      <c r="J3237" s="15"/>
      <c r="K3237" s="15"/>
      <c r="L3237" s="15"/>
      <c r="M3237" s="16"/>
      <c r="N3237" s="16"/>
      <c r="O3237" s="15"/>
      <c r="P3237" s="15"/>
    </row>
    <row r="3238">
      <c r="A3238" s="15"/>
      <c r="B3238" s="22"/>
      <c r="C3238" s="22"/>
      <c r="D3238" s="22"/>
      <c r="E3238" s="15"/>
      <c r="F3238" s="15"/>
      <c r="G3238" s="15"/>
      <c r="H3238" s="15"/>
      <c r="I3238" s="15"/>
      <c r="J3238" s="15"/>
      <c r="K3238" s="15"/>
      <c r="L3238" s="15"/>
      <c r="M3238" s="16"/>
      <c r="N3238" s="16"/>
      <c r="O3238" s="15"/>
      <c r="P3238" s="15"/>
    </row>
    <row r="3239">
      <c r="A3239" s="15"/>
      <c r="B3239" s="22"/>
      <c r="C3239" s="22"/>
      <c r="D3239" s="22"/>
      <c r="E3239" s="15"/>
      <c r="F3239" s="15"/>
      <c r="G3239" s="15"/>
      <c r="H3239" s="15"/>
      <c r="I3239" s="15"/>
      <c r="J3239" s="15"/>
      <c r="K3239" s="15"/>
      <c r="L3239" s="15"/>
      <c r="M3239" s="16"/>
      <c r="N3239" s="16"/>
      <c r="O3239" s="15"/>
      <c r="P3239" s="15"/>
    </row>
    <row r="3240">
      <c r="A3240" s="15"/>
      <c r="B3240" s="22"/>
      <c r="C3240" s="22"/>
      <c r="D3240" s="22"/>
      <c r="E3240" s="15"/>
      <c r="F3240" s="15"/>
      <c r="G3240" s="15"/>
      <c r="H3240" s="15"/>
      <c r="I3240" s="15"/>
      <c r="J3240" s="15"/>
      <c r="K3240" s="15"/>
      <c r="L3240" s="15"/>
      <c r="M3240" s="16"/>
      <c r="N3240" s="16"/>
      <c r="O3240" s="15"/>
      <c r="P3240" s="15"/>
    </row>
    <row r="3241">
      <c r="A3241" s="15"/>
      <c r="B3241" s="22"/>
      <c r="C3241" s="22"/>
      <c r="D3241" s="22"/>
      <c r="E3241" s="15"/>
      <c r="F3241" s="15"/>
      <c r="G3241" s="15"/>
      <c r="H3241" s="15"/>
      <c r="I3241" s="15"/>
      <c r="J3241" s="15"/>
      <c r="K3241" s="15"/>
      <c r="L3241" s="15"/>
      <c r="M3241" s="16"/>
      <c r="N3241" s="16"/>
      <c r="O3241" s="15"/>
      <c r="P3241" s="15"/>
    </row>
    <row r="3242">
      <c r="A3242" s="15"/>
      <c r="B3242" s="22"/>
      <c r="C3242" s="22"/>
      <c r="D3242" s="22"/>
      <c r="E3242" s="15"/>
      <c r="F3242" s="15"/>
      <c r="G3242" s="15"/>
      <c r="H3242" s="15"/>
      <c r="I3242" s="15"/>
      <c r="J3242" s="15"/>
      <c r="K3242" s="15"/>
      <c r="L3242" s="15"/>
      <c r="M3242" s="16"/>
      <c r="N3242" s="16"/>
      <c r="O3242" s="15"/>
      <c r="P3242" s="15"/>
    </row>
    <row r="3243">
      <c r="A3243" s="15"/>
      <c r="B3243" s="22"/>
      <c r="C3243" s="22"/>
      <c r="D3243" s="22"/>
      <c r="E3243" s="15"/>
      <c r="F3243" s="15"/>
      <c r="G3243" s="15"/>
      <c r="H3243" s="15"/>
      <c r="I3243" s="15"/>
      <c r="J3243" s="15"/>
      <c r="K3243" s="15"/>
      <c r="L3243" s="15"/>
      <c r="M3243" s="16"/>
      <c r="N3243" s="16"/>
      <c r="O3243" s="15"/>
      <c r="P3243" s="15"/>
    </row>
    <row r="3244">
      <c r="A3244" s="15"/>
      <c r="B3244" s="22"/>
      <c r="C3244" s="22"/>
      <c r="D3244" s="22"/>
      <c r="E3244" s="15"/>
      <c r="F3244" s="15"/>
      <c r="G3244" s="15"/>
      <c r="H3244" s="15"/>
      <c r="I3244" s="15"/>
      <c r="J3244" s="15"/>
      <c r="K3244" s="15"/>
      <c r="L3244" s="15"/>
      <c r="M3244" s="16"/>
      <c r="N3244" s="16"/>
      <c r="O3244" s="15"/>
      <c r="P3244" s="15"/>
    </row>
    <row r="3245">
      <c r="A3245" s="15"/>
      <c r="B3245" s="22"/>
      <c r="C3245" s="22"/>
      <c r="D3245" s="22"/>
      <c r="E3245" s="15"/>
      <c r="F3245" s="15"/>
      <c r="G3245" s="15"/>
      <c r="H3245" s="15"/>
      <c r="I3245" s="15"/>
      <c r="J3245" s="15"/>
      <c r="K3245" s="15"/>
      <c r="L3245" s="15"/>
      <c r="M3245" s="16"/>
      <c r="N3245" s="16"/>
      <c r="O3245" s="15"/>
      <c r="P3245" s="15"/>
    </row>
    <row r="3246">
      <c r="A3246" s="15"/>
      <c r="B3246" s="22"/>
      <c r="C3246" s="22"/>
      <c r="D3246" s="22"/>
      <c r="E3246" s="15"/>
      <c r="F3246" s="15"/>
      <c r="G3246" s="15"/>
      <c r="H3246" s="15"/>
      <c r="I3246" s="15"/>
      <c r="J3246" s="15"/>
      <c r="K3246" s="15"/>
      <c r="L3246" s="15"/>
      <c r="M3246" s="16"/>
      <c r="N3246" s="16"/>
      <c r="O3246" s="15"/>
      <c r="P3246" s="15"/>
    </row>
    <row r="3247">
      <c r="A3247" s="15"/>
      <c r="B3247" s="22"/>
      <c r="C3247" s="22"/>
      <c r="D3247" s="22"/>
      <c r="E3247" s="15"/>
      <c r="F3247" s="15"/>
      <c r="G3247" s="15"/>
      <c r="H3247" s="15"/>
      <c r="I3247" s="15"/>
      <c r="J3247" s="15"/>
      <c r="K3247" s="15"/>
      <c r="L3247" s="15"/>
      <c r="M3247" s="16"/>
      <c r="N3247" s="16"/>
      <c r="O3247" s="15"/>
      <c r="P3247" s="15"/>
    </row>
    <row r="3248">
      <c r="A3248" s="15"/>
      <c r="B3248" s="22"/>
      <c r="C3248" s="22"/>
      <c r="D3248" s="22"/>
      <c r="E3248" s="15"/>
      <c r="F3248" s="15"/>
      <c r="G3248" s="15"/>
      <c r="H3248" s="15"/>
      <c r="I3248" s="15"/>
      <c r="J3248" s="15"/>
      <c r="K3248" s="15"/>
      <c r="L3248" s="15"/>
      <c r="M3248" s="16"/>
      <c r="N3248" s="16"/>
      <c r="O3248" s="15"/>
      <c r="P3248" s="15"/>
    </row>
    <row r="3249">
      <c r="A3249" s="15"/>
      <c r="B3249" s="22"/>
      <c r="C3249" s="22"/>
      <c r="D3249" s="22"/>
      <c r="E3249" s="15"/>
      <c r="F3249" s="15"/>
      <c r="G3249" s="15"/>
      <c r="H3249" s="15"/>
      <c r="I3249" s="15"/>
      <c r="J3249" s="15"/>
      <c r="K3249" s="15"/>
      <c r="L3249" s="15"/>
      <c r="M3249" s="16"/>
      <c r="N3249" s="16"/>
      <c r="O3249" s="15"/>
      <c r="P3249" s="15"/>
    </row>
    <row r="3250">
      <c r="A3250" s="15"/>
      <c r="B3250" s="22"/>
      <c r="C3250" s="22"/>
      <c r="D3250" s="22"/>
      <c r="E3250" s="15"/>
      <c r="F3250" s="15"/>
      <c r="G3250" s="15"/>
      <c r="H3250" s="15"/>
      <c r="I3250" s="15"/>
      <c r="J3250" s="15"/>
      <c r="K3250" s="15"/>
      <c r="L3250" s="15"/>
      <c r="M3250" s="16"/>
      <c r="N3250" s="16"/>
      <c r="O3250" s="15"/>
      <c r="P3250" s="15"/>
    </row>
    <row r="3251">
      <c r="A3251" s="15"/>
      <c r="B3251" s="22"/>
      <c r="C3251" s="22"/>
      <c r="D3251" s="22"/>
      <c r="E3251" s="15"/>
      <c r="F3251" s="15"/>
      <c r="G3251" s="15"/>
      <c r="H3251" s="15"/>
      <c r="I3251" s="15"/>
      <c r="J3251" s="15"/>
      <c r="K3251" s="15"/>
      <c r="L3251" s="15"/>
      <c r="M3251" s="16"/>
      <c r="N3251" s="16"/>
      <c r="O3251" s="15"/>
      <c r="P3251" s="15"/>
    </row>
    <row r="3252">
      <c r="A3252" s="15"/>
      <c r="B3252" s="22"/>
      <c r="C3252" s="22"/>
      <c r="D3252" s="22"/>
      <c r="E3252" s="15"/>
      <c r="F3252" s="15"/>
      <c r="G3252" s="15"/>
      <c r="H3252" s="15"/>
      <c r="I3252" s="15"/>
      <c r="J3252" s="15"/>
      <c r="K3252" s="15"/>
      <c r="L3252" s="15"/>
      <c r="M3252" s="16"/>
      <c r="N3252" s="16"/>
      <c r="O3252" s="15"/>
      <c r="P3252" s="15"/>
    </row>
    <row r="3253">
      <c r="A3253" s="15"/>
      <c r="B3253" s="22"/>
      <c r="C3253" s="22"/>
      <c r="D3253" s="22"/>
      <c r="E3253" s="15"/>
      <c r="F3253" s="15"/>
      <c r="G3253" s="15"/>
      <c r="H3253" s="15"/>
      <c r="I3253" s="15"/>
      <c r="J3253" s="15"/>
      <c r="K3253" s="15"/>
      <c r="L3253" s="15"/>
      <c r="M3253" s="16"/>
      <c r="N3253" s="16"/>
      <c r="O3253" s="15"/>
      <c r="P3253" s="15"/>
    </row>
    <row r="3254">
      <c r="A3254" s="15"/>
      <c r="B3254" s="22"/>
      <c r="C3254" s="22"/>
      <c r="D3254" s="22"/>
      <c r="E3254" s="15"/>
      <c r="F3254" s="15"/>
      <c r="G3254" s="15"/>
      <c r="H3254" s="15"/>
      <c r="I3254" s="15"/>
      <c r="J3254" s="15"/>
      <c r="K3254" s="15"/>
      <c r="L3254" s="15"/>
      <c r="M3254" s="16"/>
      <c r="N3254" s="16"/>
      <c r="O3254" s="15"/>
      <c r="P3254" s="15"/>
    </row>
    <row r="3255">
      <c r="A3255" s="15"/>
      <c r="B3255" s="22"/>
      <c r="C3255" s="22"/>
      <c r="D3255" s="22"/>
      <c r="E3255" s="15"/>
      <c r="F3255" s="15"/>
      <c r="G3255" s="15"/>
      <c r="H3255" s="15"/>
      <c r="I3255" s="15"/>
      <c r="J3255" s="15"/>
      <c r="K3255" s="15"/>
      <c r="L3255" s="15"/>
      <c r="M3255" s="16"/>
      <c r="N3255" s="16"/>
      <c r="O3255" s="15"/>
      <c r="P3255" s="15"/>
    </row>
    <row r="3256">
      <c r="A3256" s="15"/>
      <c r="B3256" s="22"/>
      <c r="C3256" s="22"/>
      <c r="D3256" s="22"/>
      <c r="E3256" s="15"/>
      <c r="F3256" s="15"/>
      <c r="G3256" s="15"/>
      <c r="H3256" s="15"/>
      <c r="I3256" s="15"/>
      <c r="J3256" s="15"/>
      <c r="K3256" s="15"/>
      <c r="L3256" s="15"/>
      <c r="M3256" s="16"/>
      <c r="N3256" s="16"/>
      <c r="O3256" s="15"/>
      <c r="P3256" s="15"/>
    </row>
    <row r="3257">
      <c r="A3257" s="15"/>
      <c r="B3257" s="22"/>
      <c r="C3257" s="22"/>
      <c r="D3257" s="22"/>
      <c r="E3257" s="15"/>
      <c r="F3257" s="15"/>
      <c r="G3257" s="15"/>
      <c r="H3257" s="15"/>
      <c r="I3257" s="15"/>
      <c r="J3257" s="15"/>
      <c r="K3257" s="15"/>
      <c r="L3257" s="15"/>
      <c r="M3257" s="16"/>
      <c r="N3257" s="16"/>
      <c r="O3257" s="15"/>
      <c r="P3257" s="15"/>
    </row>
    <row r="3258">
      <c r="A3258" s="15"/>
      <c r="B3258" s="22"/>
      <c r="C3258" s="22"/>
      <c r="D3258" s="22"/>
      <c r="E3258" s="15"/>
      <c r="F3258" s="15"/>
      <c r="G3258" s="15"/>
      <c r="H3258" s="15"/>
      <c r="I3258" s="15"/>
      <c r="J3258" s="15"/>
      <c r="K3258" s="15"/>
      <c r="L3258" s="15"/>
      <c r="M3258" s="16"/>
      <c r="N3258" s="16"/>
      <c r="O3258" s="15"/>
      <c r="P3258" s="15"/>
    </row>
    <row r="3259">
      <c r="A3259" s="15"/>
      <c r="B3259" s="22"/>
      <c r="C3259" s="22"/>
      <c r="D3259" s="22"/>
      <c r="E3259" s="15"/>
      <c r="F3259" s="15"/>
      <c r="G3259" s="15"/>
      <c r="H3259" s="15"/>
      <c r="I3259" s="15"/>
      <c r="J3259" s="15"/>
      <c r="K3259" s="15"/>
      <c r="L3259" s="15"/>
      <c r="M3259" s="16"/>
      <c r="N3259" s="16"/>
      <c r="O3259" s="15"/>
      <c r="P3259" s="15"/>
    </row>
    <row r="3260">
      <c r="A3260" s="15"/>
      <c r="B3260" s="22"/>
      <c r="C3260" s="22"/>
      <c r="D3260" s="22"/>
      <c r="E3260" s="15"/>
      <c r="F3260" s="15"/>
      <c r="G3260" s="15"/>
      <c r="H3260" s="15"/>
      <c r="I3260" s="15"/>
      <c r="J3260" s="15"/>
      <c r="K3260" s="15"/>
      <c r="L3260" s="15"/>
      <c r="M3260" s="16"/>
      <c r="N3260" s="16"/>
      <c r="O3260" s="15"/>
      <c r="P3260" s="15"/>
    </row>
    <row r="3261">
      <c r="A3261" s="15"/>
      <c r="B3261" s="22"/>
      <c r="C3261" s="22"/>
      <c r="D3261" s="22"/>
      <c r="E3261" s="15"/>
      <c r="F3261" s="15"/>
      <c r="G3261" s="15"/>
      <c r="H3261" s="15"/>
      <c r="I3261" s="15"/>
      <c r="J3261" s="15"/>
      <c r="K3261" s="15"/>
      <c r="L3261" s="15"/>
      <c r="M3261" s="16"/>
      <c r="N3261" s="16"/>
      <c r="O3261" s="15"/>
      <c r="P3261" s="15"/>
    </row>
    <row r="3262">
      <c r="A3262" s="15"/>
      <c r="B3262" s="22"/>
      <c r="C3262" s="22"/>
      <c r="D3262" s="22"/>
      <c r="E3262" s="15"/>
      <c r="F3262" s="15"/>
      <c r="G3262" s="15"/>
      <c r="H3262" s="15"/>
      <c r="I3262" s="15"/>
      <c r="J3262" s="15"/>
      <c r="K3262" s="15"/>
      <c r="L3262" s="15"/>
      <c r="M3262" s="16"/>
      <c r="N3262" s="16"/>
      <c r="O3262" s="15"/>
      <c r="P3262" s="15"/>
    </row>
    <row r="3263">
      <c r="A3263" s="15"/>
      <c r="B3263" s="22"/>
      <c r="C3263" s="22"/>
      <c r="D3263" s="22"/>
      <c r="E3263" s="15"/>
      <c r="F3263" s="15"/>
      <c r="G3263" s="15"/>
      <c r="H3263" s="15"/>
      <c r="I3263" s="15"/>
      <c r="J3263" s="15"/>
      <c r="K3263" s="15"/>
      <c r="L3263" s="15"/>
      <c r="M3263" s="16"/>
      <c r="N3263" s="16"/>
      <c r="O3263" s="15"/>
      <c r="P3263" s="15"/>
    </row>
    <row r="3264">
      <c r="A3264" s="15"/>
      <c r="B3264" s="22"/>
      <c r="C3264" s="22"/>
      <c r="D3264" s="22"/>
      <c r="E3264" s="15"/>
      <c r="F3264" s="15"/>
      <c r="G3264" s="15"/>
      <c r="H3264" s="15"/>
      <c r="I3264" s="15"/>
      <c r="J3264" s="15"/>
      <c r="K3264" s="15"/>
      <c r="L3264" s="15"/>
      <c r="M3264" s="16"/>
      <c r="N3264" s="16"/>
      <c r="O3264" s="15"/>
      <c r="P3264" s="15"/>
    </row>
    <row r="3265">
      <c r="A3265" s="15"/>
      <c r="B3265" s="22"/>
      <c r="C3265" s="22"/>
      <c r="D3265" s="22"/>
      <c r="E3265" s="15"/>
      <c r="F3265" s="15"/>
      <c r="G3265" s="15"/>
      <c r="H3265" s="15"/>
      <c r="I3265" s="15"/>
      <c r="J3265" s="15"/>
      <c r="K3265" s="15"/>
      <c r="L3265" s="15"/>
      <c r="M3265" s="16"/>
      <c r="N3265" s="16"/>
      <c r="O3265" s="15"/>
      <c r="P3265" s="15"/>
    </row>
    <row r="3266">
      <c r="A3266" s="15"/>
      <c r="B3266" s="22"/>
      <c r="C3266" s="22"/>
      <c r="D3266" s="22"/>
      <c r="E3266" s="15"/>
      <c r="F3266" s="15"/>
      <c r="G3266" s="15"/>
      <c r="H3266" s="15"/>
      <c r="I3266" s="15"/>
      <c r="J3266" s="15"/>
      <c r="K3266" s="15"/>
      <c r="L3266" s="15"/>
      <c r="M3266" s="16"/>
      <c r="N3266" s="16"/>
      <c r="O3266" s="15"/>
      <c r="P3266" s="15"/>
    </row>
    <row r="3267">
      <c r="A3267" s="15"/>
      <c r="B3267" s="22"/>
      <c r="C3267" s="22"/>
      <c r="D3267" s="22"/>
      <c r="E3267" s="15"/>
      <c r="F3267" s="15"/>
      <c r="G3267" s="15"/>
      <c r="H3267" s="15"/>
      <c r="I3267" s="15"/>
      <c r="J3267" s="15"/>
      <c r="K3267" s="15"/>
      <c r="L3267" s="15"/>
      <c r="M3267" s="16"/>
      <c r="N3267" s="16"/>
      <c r="O3267" s="15"/>
      <c r="P3267" s="15"/>
    </row>
    <row r="3268">
      <c r="A3268" s="15"/>
      <c r="B3268" s="22"/>
      <c r="C3268" s="22"/>
      <c r="D3268" s="22"/>
      <c r="E3268" s="15"/>
      <c r="F3268" s="15"/>
      <c r="G3268" s="15"/>
      <c r="H3268" s="15"/>
      <c r="I3268" s="15"/>
      <c r="J3268" s="15"/>
      <c r="K3268" s="15"/>
      <c r="L3268" s="15"/>
      <c r="M3268" s="16"/>
      <c r="N3268" s="16"/>
      <c r="O3268" s="15"/>
      <c r="P3268" s="15"/>
    </row>
    <row r="3269">
      <c r="A3269" s="15"/>
      <c r="B3269" s="22"/>
      <c r="C3269" s="22"/>
      <c r="D3269" s="22"/>
      <c r="E3269" s="15"/>
      <c r="F3269" s="15"/>
      <c r="G3269" s="15"/>
      <c r="H3269" s="15"/>
      <c r="I3269" s="15"/>
      <c r="J3269" s="15"/>
      <c r="K3269" s="15"/>
      <c r="L3269" s="15"/>
      <c r="M3269" s="16"/>
      <c r="N3269" s="16"/>
      <c r="O3269" s="15"/>
      <c r="P3269" s="15"/>
    </row>
    <row r="3270">
      <c r="A3270" s="15"/>
      <c r="B3270" s="22"/>
      <c r="C3270" s="22"/>
      <c r="D3270" s="22"/>
      <c r="E3270" s="15"/>
      <c r="F3270" s="15"/>
      <c r="G3270" s="15"/>
      <c r="H3270" s="15"/>
      <c r="I3270" s="15"/>
      <c r="J3270" s="15"/>
      <c r="K3270" s="15"/>
      <c r="L3270" s="15"/>
      <c r="M3270" s="16"/>
      <c r="N3270" s="16"/>
      <c r="O3270" s="15"/>
      <c r="P3270" s="15"/>
    </row>
    <row r="3271">
      <c r="A3271" s="15"/>
      <c r="B3271" s="22"/>
      <c r="C3271" s="22"/>
      <c r="D3271" s="22"/>
      <c r="E3271" s="15"/>
      <c r="F3271" s="15"/>
      <c r="G3271" s="15"/>
      <c r="H3271" s="15"/>
      <c r="I3271" s="15"/>
      <c r="J3271" s="15"/>
      <c r="K3271" s="15"/>
      <c r="L3271" s="15"/>
      <c r="M3271" s="16"/>
      <c r="N3271" s="16"/>
      <c r="O3271" s="15"/>
      <c r="P3271" s="15"/>
    </row>
    <row r="3272">
      <c r="A3272" s="15"/>
      <c r="B3272" s="22"/>
      <c r="C3272" s="22"/>
      <c r="D3272" s="22"/>
      <c r="E3272" s="15"/>
      <c r="F3272" s="15"/>
      <c r="G3272" s="15"/>
      <c r="H3272" s="15"/>
      <c r="I3272" s="15"/>
      <c r="J3272" s="15"/>
      <c r="K3272" s="15"/>
      <c r="L3272" s="15"/>
      <c r="M3272" s="16"/>
      <c r="N3272" s="16"/>
      <c r="O3272" s="15"/>
      <c r="P3272" s="15"/>
    </row>
    <row r="3273">
      <c r="A3273" s="15"/>
      <c r="B3273" s="22"/>
      <c r="C3273" s="22"/>
      <c r="D3273" s="22"/>
      <c r="E3273" s="15"/>
      <c r="F3273" s="15"/>
      <c r="G3273" s="15"/>
      <c r="H3273" s="15"/>
      <c r="I3273" s="15"/>
      <c r="J3273" s="15"/>
      <c r="K3273" s="15"/>
      <c r="L3273" s="15"/>
      <c r="M3273" s="16"/>
      <c r="N3273" s="16"/>
      <c r="O3273" s="15"/>
      <c r="P3273" s="15"/>
    </row>
    <row r="3274">
      <c r="A3274" s="15"/>
      <c r="B3274" s="22"/>
      <c r="C3274" s="22"/>
      <c r="D3274" s="22"/>
      <c r="E3274" s="15"/>
      <c r="F3274" s="15"/>
      <c r="G3274" s="15"/>
      <c r="H3274" s="15"/>
      <c r="I3274" s="15"/>
      <c r="J3274" s="15"/>
      <c r="K3274" s="15"/>
      <c r="L3274" s="15"/>
      <c r="M3274" s="16"/>
      <c r="N3274" s="16"/>
      <c r="O3274" s="15"/>
      <c r="P3274" s="15"/>
    </row>
    <row r="3275">
      <c r="A3275" s="15"/>
      <c r="B3275" s="22"/>
      <c r="C3275" s="22"/>
      <c r="D3275" s="22"/>
      <c r="E3275" s="15"/>
      <c r="F3275" s="15"/>
      <c r="G3275" s="15"/>
      <c r="H3275" s="15"/>
      <c r="I3275" s="15"/>
      <c r="J3275" s="15"/>
      <c r="K3275" s="15"/>
      <c r="L3275" s="15"/>
      <c r="M3275" s="16"/>
      <c r="N3275" s="16"/>
      <c r="O3275" s="15"/>
      <c r="P3275" s="15"/>
    </row>
    <row r="3276">
      <c r="A3276" s="15"/>
      <c r="B3276" s="22"/>
      <c r="C3276" s="22"/>
      <c r="D3276" s="22"/>
      <c r="E3276" s="15"/>
      <c r="F3276" s="15"/>
      <c r="G3276" s="15"/>
      <c r="H3276" s="15"/>
      <c r="I3276" s="15"/>
      <c r="J3276" s="15"/>
      <c r="K3276" s="15"/>
      <c r="L3276" s="15"/>
      <c r="M3276" s="16"/>
      <c r="N3276" s="16"/>
      <c r="O3276" s="15"/>
      <c r="P3276" s="15"/>
    </row>
    <row r="3277">
      <c r="A3277" s="15"/>
      <c r="B3277" s="22"/>
      <c r="C3277" s="22"/>
      <c r="D3277" s="22"/>
      <c r="E3277" s="15"/>
      <c r="F3277" s="15"/>
      <c r="G3277" s="15"/>
      <c r="H3277" s="15"/>
      <c r="I3277" s="15"/>
      <c r="J3277" s="15"/>
      <c r="K3277" s="15"/>
      <c r="L3277" s="15"/>
      <c r="M3277" s="16"/>
      <c r="N3277" s="16"/>
      <c r="O3277" s="15"/>
      <c r="P3277" s="15"/>
    </row>
    <row r="3278">
      <c r="A3278" s="15"/>
      <c r="B3278" s="22"/>
      <c r="C3278" s="22"/>
      <c r="D3278" s="22"/>
      <c r="E3278" s="15"/>
      <c r="F3278" s="15"/>
      <c r="G3278" s="15"/>
      <c r="H3278" s="15"/>
      <c r="I3278" s="15"/>
      <c r="J3278" s="15"/>
      <c r="K3278" s="15"/>
      <c r="L3278" s="15"/>
      <c r="M3278" s="16"/>
      <c r="N3278" s="16"/>
      <c r="O3278" s="15"/>
      <c r="P3278" s="15"/>
    </row>
    <row r="3279">
      <c r="A3279" s="15"/>
      <c r="B3279" s="22"/>
      <c r="C3279" s="22"/>
      <c r="D3279" s="22"/>
      <c r="E3279" s="15"/>
      <c r="F3279" s="15"/>
      <c r="G3279" s="15"/>
      <c r="H3279" s="15"/>
      <c r="I3279" s="15"/>
      <c r="J3279" s="15"/>
      <c r="K3279" s="15"/>
      <c r="L3279" s="15"/>
      <c r="M3279" s="16"/>
      <c r="N3279" s="16"/>
      <c r="O3279" s="15"/>
      <c r="P3279" s="15"/>
    </row>
    <row r="3280">
      <c r="A3280" s="15"/>
      <c r="B3280" s="22"/>
      <c r="C3280" s="22"/>
      <c r="D3280" s="22"/>
      <c r="E3280" s="15"/>
      <c r="F3280" s="15"/>
      <c r="G3280" s="15"/>
      <c r="H3280" s="15"/>
      <c r="I3280" s="15"/>
      <c r="J3280" s="15"/>
      <c r="K3280" s="15"/>
      <c r="L3280" s="15"/>
      <c r="M3280" s="16"/>
      <c r="N3280" s="16"/>
      <c r="O3280" s="15"/>
      <c r="P3280" s="15"/>
    </row>
    <row r="3281">
      <c r="A3281" s="15"/>
      <c r="B3281" s="22"/>
      <c r="C3281" s="22"/>
      <c r="D3281" s="22"/>
      <c r="E3281" s="15"/>
      <c r="F3281" s="15"/>
      <c r="G3281" s="15"/>
      <c r="H3281" s="15"/>
      <c r="I3281" s="15"/>
      <c r="J3281" s="15"/>
      <c r="K3281" s="15"/>
      <c r="L3281" s="15"/>
      <c r="M3281" s="16"/>
      <c r="N3281" s="16"/>
      <c r="O3281" s="15"/>
      <c r="P3281" s="15"/>
    </row>
    <row r="3282">
      <c r="A3282" s="15"/>
      <c r="B3282" s="22"/>
      <c r="C3282" s="22"/>
      <c r="D3282" s="22"/>
      <c r="E3282" s="15"/>
      <c r="F3282" s="15"/>
      <c r="G3282" s="15"/>
      <c r="H3282" s="15"/>
      <c r="I3282" s="15"/>
      <c r="J3282" s="15"/>
      <c r="K3282" s="15"/>
      <c r="L3282" s="15"/>
      <c r="M3282" s="16"/>
      <c r="N3282" s="16"/>
      <c r="O3282" s="15"/>
      <c r="P3282" s="15"/>
    </row>
    <row r="3283">
      <c r="A3283" s="15"/>
      <c r="B3283" s="22"/>
      <c r="C3283" s="22"/>
      <c r="D3283" s="22"/>
      <c r="E3283" s="15"/>
      <c r="F3283" s="15"/>
      <c r="G3283" s="15"/>
      <c r="H3283" s="15"/>
      <c r="I3283" s="15"/>
      <c r="J3283" s="15"/>
      <c r="K3283" s="15"/>
      <c r="L3283" s="15"/>
      <c r="M3283" s="16"/>
      <c r="N3283" s="16"/>
      <c r="O3283" s="15"/>
      <c r="P3283" s="15"/>
    </row>
    <row r="3284">
      <c r="A3284" s="15"/>
      <c r="B3284" s="22"/>
      <c r="C3284" s="22"/>
      <c r="D3284" s="22"/>
      <c r="E3284" s="15"/>
      <c r="F3284" s="15"/>
      <c r="G3284" s="15"/>
      <c r="H3284" s="15"/>
      <c r="I3284" s="15"/>
      <c r="J3284" s="15"/>
      <c r="K3284" s="15"/>
      <c r="L3284" s="15"/>
      <c r="M3284" s="16"/>
      <c r="N3284" s="16"/>
      <c r="O3284" s="15"/>
      <c r="P3284" s="15"/>
    </row>
    <row r="3285">
      <c r="A3285" s="15"/>
      <c r="B3285" s="22"/>
      <c r="C3285" s="22"/>
      <c r="D3285" s="22"/>
      <c r="E3285" s="15"/>
      <c r="F3285" s="15"/>
      <c r="G3285" s="15"/>
      <c r="H3285" s="15"/>
      <c r="I3285" s="15"/>
      <c r="J3285" s="15"/>
      <c r="K3285" s="15"/>
      <c r="L3285" s="15"/>
      <c r="M3285" s="16"/>
      <c r="N3285" s="16"/>
      <c r="O3285" s="15"/>
      <c r="P3285" s="15"/>
    </row>
    <row r="3286">
      <c r="A3286" s="15"/>
      <c r="B3286" s="22"/>
      <c r="C3286" s="22"/>
      <c r="D3286" s="22"/>
      <c r="E3286" s="15"/>
      <c r="F3286" s="15"/>
      <c r="G3286" s="15"/>
      <c r="H3286" s="15"/>
      <c r="I3286" s="15"/>
      <c r="J3286" s="15"/>
      <c r="K3286" s="15"/>
      <c r="L3286" s="15"/>
      <c r="M3286" s="16"/>
      <c r="N3286" s="16"/>
      <c r="O3286" s="15"/>
      <c r="P3286" s="15"/>
    </row>
    <row r="3287">
      <c r="A3287" s="15"/>
      <c r="B3287" s="22"/>
      <c r="C3287" s="22"/>
      <c r="D3287" s="22"/>
      <c r="E3287" s="15"/>
      <c r="F3287" s="15"/>
      <c r="G3287" s="15"/>
      <c r="H3287" s="15"/>
      <c r="I3287" s="15"/>
      <c r="J3287" s="15"/>
      <c r="K3287" s="15"/>
      <c r="L3287" s="15"/>
      <c r="M3287" s="16"/>
      <c r="N3287" s="16"/>
      <c r="O3287" s="15"/>
      <c r="P3287" s="15"/>
    </row>
    <row r="3288">
      <c r="A3288" s="15"/>
      <c r="B3288" s="22"/>
      <c r="C3288" s="22"/>
      <c r="D3288" s="22"/>
      <c r="E3288" s="15"/>
      <c r="F3288" s="15"/>
      <c r="G3288" s="15"/>
      <c r="H3288" s="15"/>
      <c r="I3288" s="15"/>
      <c r="J3288" s="15"/>
      <c r="K3288" s="15"/>
      <c r="L3288" s="15"/>
      <c r="M3288" s="16"/>
      <c r="N3288" s="16"/>
      <c r="O3288" s="15"/>
      <c r="P3288" s="15"/>
    </row>
    <row r="3289">
      <c r="A3289" s="15"/>
      <c r="B3289" s="22"/>
      <c r="C3289" s="22"/>
      <c r="D3289" s="22"/>
      <c r="E3289" s="15"/>
      <c r="F3289" s="15"/>
      <c r="G3289" s="15"/>
      <c r="H3289" s="15"/>
      <c r="I3289" s="15"/>
      <c r="J3289" s="15"/>
      <c r="K3289" s="15"/>
      <c r="L3289" s="15"/>
      <c r="M3289" s="16"/>
      <c r="N3289" s="16"/>
      <c r="O3289" s="15"/>
      <c r="P3289" s="15"/>
    </row>
    <row r="3290">
      <c r="A3290" s="15"/>
      <c r="B3290" s="22"/>
      <c r="C3290" s="22"/>
      <c r="D3290" s="22"/>
      <c r="E3290" s="15"/>
      <c r="F3290" s="15"/>
      <c r="G3290" s="15"/>
      <c r="H3290" s="15"/>
      <c r="I3290" s="15"/>
      <c r="J3290" s="15"/>
      <c r="K3290" s="15"/>
      <c r="L3290" s="15"/>
      <c r="M3290" s="16"/>
      <c r="N3290" s="16"/>
      <c r="O3290" s="15"/>
      <c r="P3290" s="15"/>
    </row>
    <row r="3291">
      <c r="A3291" s="15"/>
      <c r="B3291" s="22"/>
      <c r="C3291" s="22"/>
      <c r="D3291" s="22"/>
      <c r="E3291" s="15"/>
      <c r="F3291" s="15"/>
      <c r="G3291" s="15"/>
      <c r="H3291" s="15"/>
      <c r="I3291" s="15"/>
      <c r="J3291" s="15"/>
      <c r="K3291" s="15"/>
      <c r="L3291" s="15"/>
      <c r="M3291" s="16"/>
      <c r="N3291" s="16"/>
      <c r="O3291" s="15"/>
      <c r="P3291" s="15"/>
    </row>
    <row r="3292">
      <c r="A3292" s="15"/>
      <c r="B3292" s="22"/>
      <c r="C3292" s="22"/>
      <c r="D3292" s="22"/>
      <c r="E3292" s="15"/>
      <c r="F3292" s="15"/>
      <c r="G3292" s="15"/>
      <c r="H3292" s="15"/>
      <c r="I3292" s="15"/>
      <c r="J3292" s="15"/>
      <c r="K3292" s="15"/>
      <c r="L3292" s="15"/>
      <c r="M3292" s="16"/>
      <c r="N3292" s="16"/>
      <c r="O3292" s="15"/>
      <c r="P3292" s="15"/>
    </row>
    <row r="3293">
      <c r="A3293" s="15"/>
      <c r="B3293" s="22"/>
      <c r="C3293" s="22"/>
      <c r="D3293" s="22"/>
      <c r="E3293" s="15"/>
      <c r="F3293" s="15"/>
      <c r="G3293" s="15"/>
      <c r="H3293" s="15"/>
      <c r="I3293" s="15"/>
      <c r="J3293" s="15"/>
      <c r="K3293" s="15"/>
      <c r="L3293" s="15"/>
      <c r="M3293" s="16"/>
      <c r="N3293" s="16"/>
      <c r="O3293" s="15"/>
      <c r="P3293" s="15"/>
    </row>
    <row r="3294">
      <c r="A3294" s="15"/>
      <c r="B3294" s="22"/>
      <c r="C3294" s="22"/>
      <c r="D3294" s="22"/>
      <c r="E3294" s="15"/>
      <c r="F3294" s="15"/>
      <c r="G3294" s="15"/>
      <c r="H3294" s="15"/>
      <c r="I3294" s="15"/>
      <c r="J3294" s="15"/>
      <c r="K3294" s="15"/>
      <c r="L3294" s="15"/>
      <c r="M3294" s="16"/>
      <c r="N3294" s="16"/>
      <c r="O3294" s="15"/>
      <c r="P3294" s="15"/>
    </row>
    <row r="3295">
      <c r="A3295" s="15"/>
      <c r="B3295" s="22"/>
      <c r="C3295" s="22"/>
      <c r="D3295" s="22"/>
      <c r="E3295" s="15"/>
      <c r="F3295" s="15"/>
      <c r="G3295" s="15"/>
      <c r="H3295" s="15"/>
      <c r="I3295" s="15"/>
      <c r="J3295" s="15"/>
      <c r="K3295" s="15"/>
      <c r="L3295" s="15"/>
      <c r="M3295" s="16"/>
      <c r="N3295" s="16"/>
      <c r="O3295" s="15"/>
      <c r="P3295" s="15"/>
    </row>
    <row r="3296">
      <c r="A3296" s="15"/>
      <c r="B3296" s="22"/>
      <c r="C3296" s="22"/>
      <c r="D3296" s="22"/>
      <c r="E3296" s="15"/>
      <c r="F3296" s="15"/>
      <c r="G3296" s="15"/>
      <c r="H3296" s="15"/>
      <c r="I3296" s="15"/>
      <c r="J3296" s="15"/>
      <c r="K3296" s="15"/>
      <c r="L3296" s="15"/>
      <c r="M3296" s="16"/>
      <c r="N3296" s="16"/>
      <c r="O3296" s="15"/>
      <c r="P3296" s="15"/>
    </row>
    <row r="3297">
      <c r="A3297" s="15"/>
      <c r="B3297" s="22"/>
      <c r="C3297" s="22"/>
      <c r="D3297" s="22"/>
      <c r="E3297" s="15"/>
      <c r="F3297" s="15"/>
      <c r="G3297" s="15"/>
      <c r="H3297" s="15"/>
      <c r="I3297" s="15"/>
      <c r="J3297" s="15"/>
      <c r="K3297" s="15"/>
      <c r="L3297" s="15"/>
      <c r="M3297" s="16"/>
      <c r="N3297" s="16"/>
      <c r="O3297" s="15"/>
      <c r="P3297" s="15"/>
    </row>
    <row r="3298">
      <c r="A3298" s="15"/>
      <c r="B3298" s="22"/>
      <c r="C3298" s="22"/>
      <c r="D3298" s="22"/>
      <c r="E3298" s="15"/>
      <c r="F3298" s="15"/>
      <c r="G3298" s="15"/>
      <c r="H3298" s="15"/>
      <c r="I3298" s="15"/>
      <c r="J3298" s="15"/>
      <c r="K3298" s="15"/>
      <c r="L3298" s="15"/>
      <c r="M3298" s="16"/>
      <c r="N3298" s="16"/>
      <c r="O3298" s="15"/>
      <c r="P3298" s="15"/>
    </row>
    <row r="3299">
      <c r="A3299" s="15"/>
      <c r="B3299" s="22"/>
      <c r="C3299" s="22"/>
      <c r="D3299" s="22"/>
      <c r="E3299" s="15"/>
      <c r="F3299" s="15"/>
      <c r="G3299" s="15"/>
      <c r="H3299" s="15"/>
      <c r="I3299" s="15"/>
      <c r="J3299" s="15"/>
      <c r="K3299" s="15"/>
      <c r="L3299" s="15"/>
      <c r="M3299" s="16"/>
      <c r="N3299" s="16"/>
      <c r="O3299" s="15"/>
      <c r="P3299" s="15"/>
    </row>
    <row r="3300">
      <c r="A3300" s="15"/>
      <c r="B3300" s="22"/>
      <c r="C3300" s="22"/>
      <c r="D3300" s="22"/>
      <c r="E3300" s="15"/>
      <c r="F3300" s="15"/>
      <c r="G3300" s="15"/>
      <c r="H3300" s="15"/>
      <c r="I3300" s="15"/>
      <c r="J3300" s="15"/>
      <c r="K3300" s="15"/>
      <c r="L3300" s="15"/>
      <c r="M3300" s="16"/>
      <c r="N3300" s="16"/>
      <c r="O3300" s="15"/>
      <c r="P3300" s="15"/>
    </row>
    <row r="3301">
      <c r="A3301" s="15"/>
      <c r="B3301" s="22"/>
      <c r="C3301" s="22"/>
      <c r="D3301" s="22"/>
      <c r="E3301" s="15"/>
      <c r="F3301" s="15"/>
      <c r="G3301" s="15"/>
      <c r="H3301" s="15"/>
      <c r="I3301" s="15"/>
      <c r="J3301" s="15"/>
      <c r="K3301" s="15"/>
      <c r="L3301" s="15"/>
      <c r="M3301" s="16"/>
      <c r="N3301" s="16"/>
      <c r="O3301" s="15"/>
      <c r="P3301" s="15"/>
    </row>
    <row r="3302">
      <c r="A3302" s="15"/>
      <c r="B3302" s="22"/>
      <c r="C3302" s="22"/>
      <c r="D3302" s="22"/>
      <c r="E3302" s="15"/>
      <c r="F3302" s="15"/>
      <c r="G3302" s="15"/>
      <c r="H3302" s="15"/>
      <c r="I3302" s="15"/>
      <c r="J3302" s="15"/>
      <c r="K3302" s="15"/>
      <c r="L3302" s="15"/>
      <c r="M3302" s="16"/>
      <c r="N3302" s="16"/>
      <c r="O3302" s="15"/>
      <c r="P3302" s="15"/>
    </row>
    <row r="3303">
      <c r="A3303" s="15"/>
      <c r="B3303" s="22"/>
      <c r="C3303" s="22"/>
      <c r="D3303" s="22"/>
      <c r="E3303" s="15"/>
      <c r="F3303" s="15"/>
      <c r="G3303" s="15"/>
      <c r="H3303" s="15"/>
      <c r="I3303" s="15"/>
      <c r="J3303" s="15"/>
      <c r="K3303" s="15"/>
      <c r="L3303" s="15"/>
      <c r="M3303" s="16"/>
      <c r="N3303" s="16"/>
      <c r="O3303" s="15"/>
      <c r="P3303" s="15"/>
    </row>
    <row r="3304">
      <c r="A3304" s="15"/>
      <c r="B3304" s="22"/>
      <c r="C3304" s="22"/>
      <c r="D3304" s="22"/>
      <c r="E3304" s="15"/>
      <c r="F3304" s="15"/>
      <c r="G3304" s="15"/>
      <c r="H3304" s="15"/>
      <c r="I3304" s="15"/>
      <c r="J3304" s="15"/>
      <c r="K3304" s="15"/>
      <c r="L3304" s="15"/>
      <c r="M3304" s="16"/>
      <c r="N3304" s="16"/>
      <c r="O3304" s="15"/>
      <c r="P3304" s="15"/>
    </row>
    <row r="3305">
      <c r="A3305" s="15"/>
      <c r="B3305" s="22"/>
      <c r="C3305" s="22"/>
      <c r="D3305" s="22"/>
      <c r="E3305" s="15"/>
      <c r="F3305" s="15"/>
      <c r="G3305" s="15"/>
      <c r="H3305" s="15"/>
      <c r="I3305" s="15"/>
      <c r="J3305" s="15"/>
      <c r="K3305" s="15"/>
      <c r="L3305" s="15"/>
      <c r="M3305" s="16"/>
      <c r="N3305" s="16"/>
      <c r="O3305" s="15"/>
      <c r="P3305" s="15"/>
    </row>
    <row r="3306">
      <c r="A3306" s="15"/>
      <c r="B3306" s="22"/>
      <c r="C3306" s="22"/>
      <c r="D3306" s="22"/>
      <c r="E3306" s="15"/>
      <c r="F3306" s="15"/>
      <c r="G3306" s="15"/>
      <c r="H3306" s="15"/>
      <c r="I3306" s="15"/>
      <c r="J3306" s="15"/>
      <c r="K3306" s="15"/>
      <c r="L3306" s="15"/>
      <c r="M3306" s="16"/>
      <c r="N3306" s="16"/>
      <c r="O3306" s="15"/>
      <c r="P3306" s="15"/>
    </row>
    <row r="3307">
      <c r="A3307" s="15"/>
      <c r="B3307" s="22"/>
      <c r="C3307" s="22"/>
      <c r="D3307" s="22"/>
      <c r="E3307" s="15"/>
      <c r="F3307" s="15"/>
      <c r="G3307" s="15"/>
      <c r="H3307" s="15"/>
      <c r="I3307" s="15"/>
      <c r="J3307" s="15"/>
      <c r="K3307" s="15"/>
      <c r="L3307" s="15"/>
      <c r="M3307" s="16"/>
      <c r="N3307" s="16"/>
      <c r="O3307" s="15"/>
      <c r="P3307" s="15"/>
    </row>
    <row r="3308">
      <c r="A3308" s="15"/>
      <c r="B3308" s="22"/>
      <c r="C3308" s="22"/>
      <c r="D3308" s="22"/>
      <c r="E3308" s="15"/>
      <c r="F3308" s="15"/>
      <c r="G3308" s="15"/>
      <c r="H3308" s="15"/>
      <c r="I3308" s="15"/>
      <c r="J3308" s="15"/>
      <c r="K3308" s="15"/>
      <c r="L3308" s="15"/>
      <c r="M3308" s="16"/>
      <c r="N3308" s="16"/>
      <c r="O3308" s="15"/>
      <c r="P3308" s="15"/>
    </row>
    <row r="3309">
      <c r="A3309" s="15"/>
      <c r="B3309" s="22"/>
      <c r="C3309" s="22"/>
      <c r="D3309" s="22"/>
      <c r="E3309" s="15"/>
      <c r="F3309" s="15"/>
      <c r="G3309" s="15"/>
      <c r="H3309" s="15"/>
      <c r="I3309" s="15"/>
      <c r="J3309" s="15"/>
      <c r="K3309" s="15"/>
      <c r="L3309" s="15"/>
      <c r="M3309" s="16"/>
      <c r="N3309" s="16"/>
      <c r="O3309" s="15"/>
      <c r="P3309" s="15"/>
    </row>
    <row r="3310">
      <c r="A3310" s="15"/>
      <c r="B3310" s="22"/>
      <c r="C3310" s="22"/>
      <c r="D3310" s="22"/>
      <c r="E3310" s="15"/>
      <c r="F3310" s="15"/>
      <c r="G3310" s="15"/>
      <c r="H3310" s="15"/>
      <c r="I3310" s="15"/>
      <c r="J3310" s="15"/>
      <c r="K3310" s="15"/>
      <c r="L3310" s="15"/>
      <c r="M3310" s="16"/>
      <c r="N3310" s="16"/>
      <c r="O3310" s="15"/>
      <c r="P3310" s="15"/>
    </row>
    <row r="3311">
      <c r="A3311" s="15"/>
      <c r="B3311" s="22"/>
      <c r="C3311" s="22"/>
      <c r="D3311" s="22"/>
      <c r="E3311" s="15"/>
      <c r="F3311" s="15"/>
      <c r="G3311" s="15"/>
      <c r="H3311" s="15"/>
      <c r="I3311" s="15"/>
      <c r="J3311" s="15"/>
      <c r="K3311" s="15"/>
      <c r="L3311" s="15"/>
      <c r="M3311" s="16"/>
      <c r="N3311" s="16"/>
      <c r="O3311" s="15"/>
      <c r="P3311" s="15"/>
    </row>
    <row r="3312">
      <c r="A3312" s="15"/>
      <c r="B3312" s="22"/>
      <c r="C3312" s="22"/>
      <c r="D3312" s="22"/>
      <c r="E3312" s="15"/>
      <c r="F3312" s="15"/>
      <c r="G3312" s="15"/>
      <c r="H3312" s="15"/>
      <c r="I3312" s="15"/>
      <c r="J3312" s="15"/>
      <c r="K3312" s="15"/>
      <c r="L3312" s="15"/>
      <c r="M3312" s="16"/>
      <c r="N3312" s="16"/>
      <c r="O3312" s="15"/>
      <c r="P3312" s="15"/>
    </row>
    <row r="3313">
      <c r="A3313" s="15"/>
      <c r="B3313" s="22"/>
      <c r="C3313" s="22"/>
      <c r="D3313" s="22"/>
      <c r="E3313" s="15"/>
      <c r="F3313" s="15"/>
      <c r="G3313" s="15"/>
      <c r="H3313" s="15"/>
      <c r="I3313" s="15"/>
      <c r="J3313" s="15"/>
      <c r="K3313" s="15"/>
      <c r="L3313" s="15"/>
      <c r="M3313" s="16"/>
      <c r="N3313" s="16"/>
      <c r="O3313" s="15"/>
      <c r="P3313" s="15"/>
    </row>
    <row r="3314">
      <c r="A3314" s="15"/>
      <c r="B3314" s="22"/>
      <c r="C3314" s="22"/>
      <c r="D3314" s="22"/>
      <c r="E3314" s="15"/>
      <c r="F3314" s="15"/>
      <c r="G3314" s="15"/>
      <c r="H3314" s="15"/>
      <c r="I3314" s="15"/>
      <c r="J3314" s="15"/>
      <c r="K3314" s="15"/>
      <c r="L3314" s="15"/>
      <c r="M3314" s="16"/>
      <c r="N3314" s="16"/>
      <c r="O3314" s="15"/>
      <c r="P3314" s="15"/>
    </row>
    <row r="3315">
      <c r="A3315" s="15"/>
      <c r="B3315" s="22"/>
      <c r="C3315" s="22"/>
      <c r="D3315" s="22"/>
      <c r="E3315" s="15"/>
      <c r="F3315" s="15"/>
      <c r="G3315" s="15"/>
      <c r="H3315" s="15"/>
      <c r="I3315" s="15"/>
      <c r="J3315" s="15"/>
      <c r="K3315" s="15"/>
      <c r="L3315" s="15"/>
      <c r="M3315" s="16"/>
      <c r="N3315" s="16"/>
      <c r="O3315" s="15"/>
      <c r="P3315" s="15"/>
    </row>
    <row r="3316">
      <c r="A3316" s="15"/>
      <c r="B3316" s="22"/>
      <c r="C3316" s="22"/>
      <c r="D3316" s="22"/>
      <c r="E3316" s="15"/>
      <c r="F3316" s="15"/>
      <c r="G3316" s="15"/>
      <c r="H3316" s="15"/>
      <c r="I3316" s="15"/>
      <c r="J3316" s="15"/>
      <c r="K3316" s="15"/>
      <c r="L3316" s="15"/>
      <c r="M3316" s="16"/>
      <c r="N3316" s="16"/>
      <c r="O3316" s="15"/>
      <c r="P3316" s="15"/>
    </row>
    <row r="3317">
      <c r="A3317" s="15"/>
      <c r="B3317" s="22"/>
      <c r="C3317" s="22"/>
      <c r="D3317" s="22"/>
      <c r="E3317" s="15"/>
      <c r="F3317" s="15"/>
      <c r="G3317" s="15"/>
      <c r="H3317" s="15"/>
      <c r="I3317" s="15"/>
      <c r="J3317" s="15"/>
      <c r="K3317" s="15"/>
      <c r="L3317" s="15"/>
      <c r="M3317" s="16"/>
      <c r="N3317" s="16"/>
      <c r="O3317" s="15"/>
      <c r="P3317" s="15"/>
    </row>
    <row r="3318">
      <c r="A3318" s="15"/>
      <c r="B3318" s="22"/>
      <c r="C3318" s="22"/>
      <c r="D3318" s="22"/>
      <c r="E3318" s="15"/>
      <c r="F3318" s="15"/>
      <c r="G3318" s="15"/>
      <c r="H3318" s="15"/>
      <c r="I3318" s="15"/>
      <c r="J3318" s="15"/>
      <c r="K3318" s="15"/>
      <c r="L3318" s="15"/>
      <c r="M3318" s="16"/>
      <c r="N3318" s="16"/>
      <c r="O3318" s="15"/>
      <c r="P3318" s="15"/>
    </row>
    <row r="3319">
      <c r="A3319" s="15"/>
      <c r="B3319" s="22"/>
      <c r="C3319" s="22"/>
      <c r="D3319" s="22"/>
      <c r="E3319" s="15"/>
      <c r="F3319" s="15"/>
      <c r="G3319" s="15"/>
      <c r="H3319" s="15"/>
      <c r="I3319" s="15"/>
      <c r="J3319" s="15"/>
      <c r="K3319" s="15"/>
      <c r="L3319" s="15"/>
      <c r="M3319" s="16"/>
      <c r="N3319" s="16"/>
      <c r="O3319" s="15"/>
      <c r="P3319" s="15"/>
    </row>
    <row r="3320">
      <c r="A3320" s="15"/>
      <c r="B3320" s="22"/>
      <c r="C3320" s="22"/>
      <c r="D3320" s="22"/>
      <c r="E3320" s="15"/>
      <c r="F3320" s="15"/>
      <c r="G3320" s="15"/>
      <c r="H3320" s="15"/>
      <c r="I3320" s="15"/>
      <c r="J3320" s="15"/>
      <c r="K3320" s="15"/>
      <c r="L3320" s="15"/>
      <c r="M3320" s="16"/>
      <c r="N3320" s="16"/>
      <c r="O3320" s="15"/>
      <c r="P3320" s="15"/>
    </row>
    <row r="3321">
      <c r="A3321" s="15"/>
      <c r="B3321" s="22"/>
      <c r="C3321" s="22"/>
      <c r="D3321" s="22"/>
      <c r="E3321" s="15"/>
      <c r="F3321" s="15"/>
      <c r="G3321" s="15"/>
      <c r="H3321" s="15"/>
      <c r="I3321" s="15"/>
      <c r="J3321" s="15"/>
      <c r="K3321" s="15"/>
      <c r="L3321" s="15"/>
      <c r="M3321" s="16"/>
      <c r="N3321" s="16"/>
      <c r="O3321" s="15"/>
      <c r="P3321" s="15"/>
    </row>
    <row r="3322">
      <c r="A3322" s="15"/>
      <c r="B3322" s="22"/>
      <c r="C3322" s="22"/>
      <c r="D3322" s="22"/>
      <c r="E3322" s="15"/>
      <c r="F3322" s="15"/>
      <c r="G3322" s="15"/>
      <c r="H3322" s="15"/>
      <c r="I3322" s="15"/>
      <c r="J3322" s="15"/>
      <c r="K3322" s="15"/>
      <c r="L3322" s="15"/>
      <c r="M3322" s="16"/>
      <c r="N3322" s="16"/>
      <c r="O3322" s="15"/>
      <c r="P3322" s="15"/>
    </row>
    <row r="3323">
      <c r="A3323" s="15"/>
      <c r="B3323" s="22"/>
      <c r="C3323" s="22"/>
      <c r="D3323" s="22"/>
      <c r="E3323" s="15"/>
      <c r="F3323" s="15"/>
      <c r="G3323" s="15"/>
      <c r="H3323" s="15"/>
      <c r="I3323" s="15"/>
      <c r="J3323" s="15"/>
      <c r="K3323" s="15"/>
      <c r="L3323" s="15"/>
      <c r="M3323" s="16"/>
      <c r="N3323" s="16"/>
      <c r="O3323" s="15"/>
      <c r="P3323" s="15"/>
    </row>
    <row r="3324">
      <c r="A3324" s="15"/>
      <c r="B3324" s="22"/>
      <c r="C3324" s="22"/>
      <c r="D3324" s="22"/>
      <c r="E3324" s="15"/>
      <c r="F3324" s="15"/>
      <c r="G3324" s="15"/>
      <c r="H3324" s="15"/>
      <c r="I3324" s="15"/>
      <c r="J3324" s="15"/>
      <c r="K3324" s="15"/>
      <c r="L3324" s="15"/>
      <c r="M3324" s="16"/>
      <c r="N3324" s="16"/>
      <c r="O3324" s="15"/>
      <c r="P3324" s="15"/>
    </row>
    <row r="3325">
      <c r="A3325" s="15"/>
      <c r="B3325" s="22"/>
      <c r="C3325" s="22"/>
      <c r="D3325" s="22"/>
      <c r="E3325" s="15"/>
      <c r="F3325" s="15"/>
      <c r="G3325" s="15"/>
      <c r="H3325" s="15"/>
      <c r="I3325" s="15"/>
      <c r="J3325" s="15"/>
      <c r="K3325" s="15"/>
      <c r="L3325" s="15"/>
      <c r="M3325" s="16"/>
      <c r="N3325" s="16"/>
      <c r="O3325" s="15"/>
      <c r="P3325" s="15"/>
    </row>
    <row r="3326">
      <c r="A3326" s="15"/>
      <c r="B3326" s="22"/>
      <c r="C3326" s="22"/>
      <c r="D3326" s="22"/>
      <c r="E3326" s="15"/>
      <c r="F3326" s="15"/>
      <c r="G3326" s="15"/>
      <c r="H3326" s="15"/>
      <c r="I3326" s="15"/>
      <c r="J3326" s="15"/>
      <c r="K3326" s="15"/>
      <c r="L3326" s="15"/>
      <c r="M3326" s="16"/>
      <c r="N3326" s="16"/>
      <c r="O3326" s="15"/>
      <c r="P3326" s="15"/>
    </row>
    <row r="3327">
      <c r="A3327" s="15"/>
      <c r="B3327" s="22"/>
      <c r="C3327" s="22"/>
      <c r="D3327" s="22"/>
      <c r="E3327" s="15"/>
      <c r="F3327" s="15"/>
      <c r="G3327" s="15"/>
      <c r="H3327" s="15"/>
      <c r="I3327" s="15"/>
      <c r="J3327" s="15"/>
      <c r="K3327" s="15"/>
      <c r="L3327" s="15"/>
      <c r="M3327" s="16"/>
      <c r="N3327" s="16"/>
      <c r="O3327" s="15"/>
      <c r="P3327" s="15"/>
    </row>
    <row r="3328">
      <c r="A3328" s="15"/>
      <c r="B3328" s="22"/>
      <c r="C3328" s="22"/>
      <c r="D3328" s="22"/>
      <c r="E3328" s="15"/>
      <c r="F3328" s="15"/>
      <c r="G3328" s="15"/>
      <c r="H3328" s="15"/>
      <c r="I3328" s="15"/>
      <c r="J3328" s="15"/>
      <c r="K3328" s="15"/>
      <c r="L3328" s="15"/>
      <c r="M3328" s="16"/>
      <c r="N3328" s="16"/>
      <c r="O3328" s="15"/>
      <c r="P3328" s="15"/>
    </row>
    <row r="3329">
      <c r="A3329" s="15"/>
      <c r="B3329" s="22"/>
      <c r="C3329" s="22"/>
      <c r="D3329" s="22"/>
      <c r="E3329" s="15"/>
      <c r="F3329" s="15"/>
      <c r="G3329" s="15"/>
      <c r="H3329" s="15"/>
      <c r="I3329" s="15"/>
      <c r="J3329" s="15"/>
      <c r="K3329" s="15"/>
      <c r="L3329" s="15"/>
      <c r="M3329" s="16"/>
      <c r="N3329" s="16"/>
      <c r="O3329" s="15"/>
      <c r="P3329" s="15"/>
    </row>
    <row r="3330">
      <c r="A3330" s="15"/>
      <c r="B3330" s="22"/>
      <c r="C3330" s="22"/>
      <c r="D3330" s="22"/>
      <c r="E3330" s="15"/>
      <c r="F3330" s="15"/>
      <c r="G3330" s="15"/>
      <c r="H3330" s="15"/>
      <c r="I3330" s="15"/>
      <c r="J3330" s="15"/>
      <c r="K3330" s="15"/>
      <c r="L3330" s="15"/>
      <c r="M3330" s="16"/>
      <c r="N3330" s="16"/>
      <c r="O3330" s="15"/>
      <c r="P3330" s="15"/>
    </row>
    <row r="3331">
      <c r="A3331" s="15"/>
      <c r="B3331" s="22"/>
      <c r="C3331" s="22"/>
      <c r="D3331" s="22"/>
      <c r="E3331" s="15"/>
      <c r="F3331" s="15"/>
      <c r="G3331" s="15"/>
      <c r="H3331" s="15"/>
      <c r="I3331" s="15"/>
      <c r="J3331" s="15"/>
      <c r="K3331" s="15"/>
      <c r="L3331" s="15"/>
      <c r="M3331" s="16"/>
      <c r="N3331" s="16"/>
      <c r="O3331" s="15"/>
      <c r="P3331" s="15"/>
    </row>
    <row r="3332">
      <c r="A3332" s="15"/>
      <c r="B3332" s="22"/>
      <c r="C3332" s="22"/>
      <c r="D3332" s="22"/>
      <c r="E3332" s="15"/>
      <c r="F3332" s="15"/>
      <c r="G3332" s="15"/>
      <c r="H3332" s="15"/>
      <c r="I3332" s="15"/>
      <c r="J3332" s="15"/>
      <c r="K3332" s="15"/>
      <c r="L3332" s="15"/>
      <c r="M3332" s="16"/>
      <c r="N3332" s="16"/>
      <c r="O3332" s="15"/>
      <c r="P3332" s="15"/>
    </row>
    <row r="3333">
      <c r="A3333" s="15"/>
      <c r="B3333" s="22"/>
      <c r="C3333" s="22"/>
      <c r="D3333" s="22"/>
      <c r="E3333" s="15"/>
      <c r="F3333" s="15"/>
      <c r="G3333" s="15"/>
      <c r="H3333" s="15"/>
      <c r="I3333" s="15"/>
      <c r="J3333" s="15"/>
      <c r="K3333" s="15"/>
      <c r="L3333" s="15"/>
      <c r="M3333" s="16"/>
      <c r="N3333" s="16"/>
      <c r="O3333" s="15"/>
      <c r="P3333" s="15"/>
    </row>
    <row r="3334">
      <c r="A3334" s="15"/>
      <c r="B3334" s="22"/>
      <c r="C3334" s="22"/>
      <c r="D3334" s="22"/>
      <c r="E3334" s="15"/>
      <c r="F3334" s="15"/>
      <c r="G3334" s="15"/>
      <c r="H3334" s="15"/>
      <c r="I3334" s="15"/>
      <c r="J3334" s="15"/>
      <c r="K3334" s="15"/>
      <c r="L3334" s="15"/>
      <c r="M3334" s="16"/>
      <c r="N3334" s="16"/>
      <c r="O3334" s="15"/>
      <c r="P3334" s="15"/>
    </row>
    <row r="3335">
      <c r="A3335" s="15"/>
      <c r="B3335" s="22"/>
      <c r="C3335" s="22"/>
      <c r="D3335" s="22"/>
      <c r="E3335" s="15"/>
      <c r="F3335" s="15"/>
      <c r="G3335" s="15"/>
      <c r="H3335" s="15"/>
      <c r="I3335" s="15"/>
      <c r="J3335" s="15"/>
      <c r="K3335" s="15"/>
      <c r="L3335" s="15"/>
      <c r="M3335" s="16"/>
      <c r="N3335" s="16"/>
      <c r="O3335" s="15"/>
      <c r="P3335" s="15"/>
    </row>
    <row r="3336">
      <c r="A3336" s="15"/>
      <c r="B3336" s="22"/>
      <c r="C3336" s="22"/>
      <c r="D3336" s="22"/>
      <c r="E3336" s="15"/>
      <c r="F3336" s="15"/>
      <c r="G3336" s="15"/>
      <c r="H3336" s="15"/>
      <c r="I3336" s="15"/>
      <c r="J3336" s="15"/>
      <c r="K3336" s="15"/>
      <c r="L3336" s="15"/>
      <c r="M3336" s="16"/>
      <c r="N3336" s="16"/>
      <c r="O3336" s="15"/>
      <c r="P3336" s="15"/>
    </row>
    <row r="3337">
      <c r="A3337" s="15"/>
      <c r="B3337" s="22"/>
      <c r="C3337" s="22"/>
      <c r="D3337" s="22"/>
      <c r="E3337" s="15"/>
      <c r="F3337" s="15"/>
      <c r="G3337" s="15"/>
      <c r="H3337" s="15"/>
      <c r="I3337" s="15"/>
      <c r="J3337" s="15"/>
      <c r="K3337" s="15"/>
      <c r="L3337" s="15"/>
      <c r="M3337" s="16"/>
      <c r="N3337" s="16"/>
      <c r="O3337" s="15"/>
      <c r="P3337" s="15"/>
    </row>
    <row r="3338">
      <c r="A3338" s="15"/>
      <c r="B3338" s="22"/>
      <c r="C3338" s="22"/>
      <c r="D3338" s="22"/>
      <c r="E3338" s="15"/>
      <c r="F3338" s="15"/>
      <c r="G3338" s="15"/>
      <c r="H3338" s="15"/>
      <c r="I3338" s="15"/>
      <c r="J3338" s="15"/>
      <c r="K3338" s="15"/>
      <c r="L3338" s="15"/>
      <c r="M3338" s="16"/>
      <c r="N3338" s="16"/>
      <c r="O3338" s="15"/>
      <c r="P3338" s="15"/>
    </row>
    <row r="3339">
      <c r="A3339" s="15"/>
      <c r="B3339" s="22"/>
      <c r="C3339" s="22"/>
      <c r="D3339" s="22"/>
      <c r="E3339" s="15"/>
      <c r="F3339" s="15"/>
      <c r="G3339" s="15"/>
      <c r="H3339" s="15"/>
      <c r="I3339" s="15"/>
      <c r="J3339" s="15"/>
      <c r="K3339" s="15"/>
      <c r="L3339" s="15"/>
      <c r="M3339" s="16"/>
      <c r="N3339" s="16"/>
      <c r="O3339" s="15"/>
      <c r="P3339" s="15"/>
    </row>
    <row r="3340">
      <c r="A3340" s="15"/>
      <c r="B3340" s="22"/>
      <c r="C3340" s="22"/>
      <c r="D3340" s="22"/>
      <c r="E3340" s="15"/>
      <c r="F3340" s="15"/>
      <c r="G3340" s="15"/>
      <c r="H3340" s="15"/>
      <c r="I3340" s="15"/>
      <c r="J3340" s="15"/>
      <c r="K3340" s="15"/>
      <c r="L3340" s="15"/>
      <c r="M3340" s="16"/>
      <c r="N3340" s="16"/>
      <c r="O3340" s="15"/>
      <c r="P3340" s="15"/>
    </row>
    <row r="3341">
      <c r="A3341" s="15"/>
      <c r="B3341" s="22"/>
      <c r="C3341" s="22"/>
      <c r="D3341" s="22"/>
      <c r="E3341" s="15"/>
      <c r="F3341" s="15"/>
      <c r="G3341" s="15"/>
      <c r="H3341" s="15"/>
      <c r="I3341" s="15"/>
      <c r="J3341" s="15"/>
      <c r="K3341" s="15"/>
      <c r="L3341" s="15"/>
      <c r="M3341" s="16"/>
      <c r="N3341" s="16"/>
      <c r="O3341" s="15"/>
      <c r="P3341" s="15"/>
    </row>
    <row r="3342">
      <c r="A3342" s="15"/>
      <c r="B3342" s="22"/>
      <c r="C3342" s="22"/>
      <c r="D3342" s="22"/>
      <c r="E3342" s="15"/>
      <c r="F3342" s="15"/>
      <c r="G3342" s="15"/>
      <c r="H3342" s="15"/>
      <c r="I3342" s="15"/>
      <c r="J3342" s="15"/>
      <c r="K3342" s="15"/>
      <c r="L3342" s="15"/>
      <c r="M3342" s="16"/>
      <c r="N3342" s="16"/>
      <c r="O3342" s="15"/>
      <c r="P3342" s="15"/>
    </row>
    <row r="3343">
      <c r="A3343" s="15"/>
      <c r="B3343" s="22"/>
      <c r="C3343" s="22"/>
      <c r="D3343" s="22"/>
      <c r="E3343" s="15"/>
      <c r="F3343" s="15"/>
      <c r="G3343" s="15"/>
      <c r="H3343" s="15"/>
      <c r="I3343" s="15"/>
      <c r="J3343" s="15"/>
      <c r="K3343" s="15"/>
      <c r="L3343" s="15"/>
      <c r="M3343" s="16"/>
      <c r="N3343" s="16"/>
      <c r="O3343" s="15"/>
      <c r="P3343" s="15"/>
    </row>
    <row r="3344">
      <c r="A3344" s="15"/>
      <c r="B3344" s="22"/>
      <c r="C3344" s="22"/>
      <c r="D3344" s="22"/>
      <c r="E3344" s="15"/>
      <c r="F3344" s="15"/>
      <c r="G3344" s="15"/>
      <c r="H3344" s="15"/>
      <c r="I3344" s="15"/>
      <c r="J3344" s="15"/>
      <c r="K3344" s="15"/>
      <c r="L3344" s="15"/>
      <c r="M3344" s="16"/>
      <c r="N3344" s="16"/>
      <c r="O3344" s="15"/>
      <c r="P3344" s="15"/>
    </row>
    <row r="3345">
      <c r="A3345" s="15"/>
      <c r="B3345" s="22"/>
      <c r="C3345" s="22"/>
      <c r="D3345" s="22"/>
      <c r="E3345" s="15"/>
      <c r="F3345" s="15"/>
      <c r="G3345" s="15"/>
      <c r="H3345" s="15"/>
      <c r="I3345" s="15"/>
      <c r="J3345" s="15"/>
      <c r="K3345" s="15"/>
      <c r="L3345" s="15"/>
      <c r="M3345" s="16"/>
      <c r="N3345" s="16"/>
      <c r="O3345" s="15"/>
      <c r="P3345" s="15"/>
    </row>
    <row r="3346">
      <c r="A3346" s="15"/>
      <c r="B3346" s="22"/>
      <c r="C3346" s="22"/>
      <c r="D3346" s="22"/>
      <c r="E3346" s="15"/>
      <c r="F3346" s="15"/>
      <c r="G3346" s="15"/>
      <c r="H3346" s="15"/>
      <c r="I3346" s="15"/>
      <c r="J3346" s="15"/>
      <c r="K3346" s="15"/>
      <c r="L3346" s="15"/>
      <c r="M3346" s="16"/>
      <c r="N3346" s="16"/>
      <c r="O3346" s="15"/>
      <c r="P3346" s="15"/>
    </row>
    <row r="3347">
      <c r="A3347" s="15"/>
      <c r="B3347" s="22"/>
      <c r="C3347" s="22"/>
      <c r="D3347" s="22"/>
      <c r="E3347" s="15"/>
      <c r="F3347" s="15"/>
      <c r="G3347" s="15"/>
      <c r="H3347" s="15"/>
      <c r="I3347" s="15"/>
      <c r="J3347" s="15"/>
      <c r="K3347" s="15"/>
      <c r="L3347" s="15"/>
      <c r="M3347" s="16"/>
      <c r="N3347" s="16"/>
      <c r="O3347" s="15"/>
      <c r="P3347" s="15"/>
    </row>
    <row r="3348">
      <c r="A3348" s="15"/>
      <c r="B3348" s="22"/>
      <c r="C3348" s="22"/>
      <c r="D3348" s="22"/>
      <c r="E3348" s="15"/>
      <c r="F3348" s="15"/>
      <c r="G3348" s="15"/>
      <c r="H3348" s="15"/>
      <c r="I3348" s="15"/>
      <c r="J3348" s="15"/>
      <c r="K3348" s="15"/>
      <c r="L3348" s="15"/>
      <c r="M3348" s="16"/>
      <c r="N3348" s="16"/>
      <c r="O3348" s="15"/>
      <c r="P3348" s="15"/>
    </row>
    <row r="3349">
      <c r="A3349" s="15"/>
      <c r="B3349" s="22"/>
      <c r="C3349" s="22"/>
      <c r="D3349" s="22"/>
      <c r="E3349" s="15"/>
      <c r="F3349" s="15"/>
      <c r="G3349" s="15"/>
      <c r="H3349" s="15"/>
      <c r="I3349" s="15"/>
      <c r="J3349" s="15"/>
      <c r="K3349" s="15"/>
      <c r="L3349" s="15"/>
      <c r="M3349" s="16"/>
      <c r="N3349" s="16"/>
      <c r="O3349" s="15"/>
      <c r="P3349" s="15"/>
    </row>
    <row r="3350">
      <c r="A3350" s="15"/>
      <c r="B3350" s="22"/>
      <c r="C3350" s="22"/>
      <c r="D3350" s="22"/>
      <c r="E3350" s="15"/>
      <c r="F3350" s="15"/>
      <c r="G3350" s="15"/>
      <c r="H3350" s="15"/>
      <c r="I3350" s="15"/>
      <c r="J3350" s="15"/>
      <c r="K3350" s="15"/>
      <c r="L3350" s="15"/>
      <c r="M3350" s="16"/>
      <c r="N3350" s="16"/>
      <c r="O3350" s="15"/>
      <c r="P3350" s="15"/>
    </row>
    <row r="3351">
      <c r="A3351" s="15"/>
      <c r="B3351" s="22"/>
      <c r="C3351" s="22"/>
      <c r="D3351" s="22"/>
      <c r="E3351" s="15"/>
      <c r="F3351" s="15"/>
      <c r="G3351" s="15"/>
      <c r="H3351" s="15"/>
      <c r="I3351" s="15"/>
      <c r="J3351" s="15"/>
      <c r="K3351" s="15"/>
      <c r="L3351" s="15"/>
      <c r="M3351" s="16"/>
      <c r="N3351" s="16"/>
      <c r="O3351" s="15"/>
      <c r="P3351" s="15"/>
    </row>
    <row r="3352">
      <c r="A3352" s="15"/>
      <c r="B3352" s="22"/>
      <c r="C3352" s="22"/>
      <c r="D3352" s="22"/>
      <c r="E3352" s="15"/>
      <c r="F3352" s="15"/>
      <c r="G3352" s="15"/>
      <c r="H3352" s="15"/>
      <c r="I3352" s="15"/>
      <c r="J3352" s="15"/>
      <c r="K3352" s="15"/>
      <c r="L3352" s="15"/>
      <c r="M3352" s="16"/>
      <c r="N3352" s="16"/>
      <c r="O3352" s="15"/>
      <c r="P3352" s="15"/>
    </row>
    <row r="3353">
      <c r="A3353" s="15"/>
      <c r="B3353" s="22"/>
      <c r="C3353" s="22"/>
      <c r="D3353" s="22"/>
      <c r="E3353" s="15"/>
      <c r="F3353" s="15"/>
      <c r="G3353" s="15"/>
      <c r="H3353" s="15"/>
      <c r="I3353" s="15"/>
      <c r="J3353" s="15"/>
      <c r="K3353" s="15"/>
      <c r="L3353" s="15"/>
      <c r="M3353" s="16"/>
      <c r="N3353" s="16"/>
      <c r="O3353" s="15"/>
      <c r="P3353" s="15"/>
    </row>
    <row r="3354">
      <c r="A3354" s="15"/>
      <c r="B3354" s="22"/>
      <c r="C3354" s="22"/>
      <c r="D3354" s="22"/>
      <c r="E3354" s="15"/>
      <c r="F3354" s="15"/>
      <c r="G3354" s="15"/>
      <c r="H3354" s="15"/>
      <c r="I3354" s="15"/>
      <c r="J3354" s="15"/>
      <c r="K3354" s="15"/>
      <c r="L3354" s="15"/>
      <c r="M3354" s="16"/>
      <c r="N3354" s="16"/>
      <c r="O3354" s="15"/>
      <c r="P3354" s="15"/>
    </row>
    <row r="3355">
      <c r="A3355" s="15"/>
      <c r="B3355" s="22"/>
      <c r="C3355" s="22"/>
      <c r="D3355" s="22"/>
      <c r="E3355" s="15"/>
      <c r="F3355" s="15"/>
      <c r="G3355" s="15"/>
      <c r="H3355" s="15"/>
      <c r="I3355" s="15"/>
      <c r="J3355" s="15"/>
      <c r="K3355" s="15"/>
      <c r="L3355" s="15"/>
      <c r="M3355" s="16"/>
      <c r="N3355" s="16"/>
      <c r="O3355" s="15"/>
      <c r="P3355" s="15"/>
    </row>
    <row r="3356">
      <c r="A3356" s="15"/>
      <c r="B3356" s="22"/>
      <c r="C3356" s="22"/>
      <c r="D3356" s="22"/>
      <c r="E3356" s="15"/>
      <c r="F3356" s="15"/>
      <c r="G3356" s="15"/>
      <c r="H3356" s="15"/>
      <c r="I3356" s="15"/>
      <c r="J3356" s="15"/>
      <c r="K3356" s="15"/>
      <c r="L3356" s="15"/>
      <c r="M3356" s="16"/>
      <c r="N3356" s="16"/>
      <c r="O3356" s="15"/>
      <c r="P3356" s="15"/>
    </row>
    <row r="3357">
      <c r="A3357" s="15"/>
      <c r="B3357" s="22"/>
      <c r="C3357" s="22"/>
      <c r="D3357" s="22"/>
      <c r="E3357" s="15"/>
      <c r="F3357" s="15"/>
      <c r="G3357" s="15"/>
      <c r="H3357" s="15"/>
      <c r="I3357" s="15"/>
      <c r="J3357" s="15"/>
      <c r="K3357" s="15"/>
      <c r="L3357" s="15"/>
      <c r="M3357" s="16"/>
      <c r="N3357" s="16"/>
      <c r="O3357" s="15"/>
      <c r="P3357" s="15"/>
    </row>
    <row r="3358">
      <c r="A3358" s="15"/>
      <c r="B3358" s="22"/>
      <c r="C3358" s="22"/>
      <c r="D3358" s="22"/>
      <c r="E3358" s="15"/>
      <c r="F3358" s="15"/>
      <c r="G3358" s="15"/>
      <c r="H3358" s="15"/>
      <c r="I3358" s="15"/>
      <c r="J3358" s="15"/>
      <c r="K3358" s="15"/>
      <c r="L3358" s="15"/>
      <c r="M3358" s="16"/>
      <c r="N3358" s="16"/>
      <c r="O3358" s="15"/>
      <c r="P3358" s="15"/>
    </row>
    <row r="3359">
      <c r="A3359" s="15"/>
      <c r="B3359" s="22"/>
      <c r="C3359" s="22"/>
      <c r="D3359" s="22"/>
      <c r="E3359" s="15"/>
      <c r="F3359" s="15"/>
      <c r="G3359" s="15"/>
      <c r="H3359" s="15"/>
      <c r="I3359" s="15"/>
      <c r="J3359" s="15"/>
      <c r="K3359" s="15"/>
      <c r="L3359" s="15"/>
      <c r="M3359" s="16"/>
      <c r="N3359" s="16"/>
      <c r="O3359" s="15"/>
      <c r="P3359" s="15"/>
    </row>
    <row r="3360">
      <c r="A3360" s="15"/>
      <c r="B3360" s="22"/>
      <c r="C3360" s="22"/>
      <c r="D3360" s="22"/>
      <c r="E3360" s="15"/>
      <c r="F3360" s="15"/>
      <c r="G3360" s="15"/>
      <c r="H3360" s="15"/>
      <c r="I3360" s="15"/>
      <c r="J3360" s="15"/>
      <c r="K3360" s="15"/>
      <c r="L3360" s="15"/>
      <c r="M3360" s="16"/>
      <c r="N3360" s="16"/>
      <c r="O3360" s="15"/>
      <c r="P3360" s="15"/>
    </row>
    <row r="3361">
      <c r="A3361" s="15"/>
      <c r="B3361" s="22"/>
      <c r="C3361" s="22"/>
      <c r="D3361" s="22"/>
      <c r="E3361" s="15"/>
      <c r="F3361" s="15"/>
      <c r="G3361" s="15"/>
      <c r="H3361" s="15"/>
      <c r="I3361" s="15"/>
      <c r="J3361" s="15"/>
      <c r="K3361" s="15"/>
      <c r="L3361" s="15"/>
      <c r="M3361" s="16"/>
      <c r="N3361" s="16"/>
      <c r="O3361" s="15"/>
      <c r="P3361" s="15"/>
    </row>
    <row r="3362">
      <c r="A3362" s="15"/>
      <c r="B3362" s="22"/>
      <c r="C3362" s="22"/>
      <c r="D3362" s="22"/>
      <c r="E3362" s="15"/>
      <c r="F3362" s="15"/>
      <c r="G3362" s="15"/>
      <c r="H3362" s="15"/>
      <c r="I3362" s="15"/>
      <c r="J3362" s="15"/>
      <c r="K3362" s="15"/>
      <c r="L3362" s="15"/>
      <c r="M3362" s="16"/>
      <c r="N3362" s="16"/>
      <c r="O3362" s="15"/>
      <c r="P3362" s="15"/>
    </row>
    <row r="3363">
      <c r="A3363" s="15"/>
      <c r="B3363" s="22"/>
      <c r="C3363" s="22"/>
      <c r="D3363" s="22"/>
      <c r="E3363" s="15"/>
      <c r="F3363" s="15"/>
      <c r="G3363" s="15"/>
      <c r="H3363" s="15"/>
      <c r="I3363" s="15"/>
      <c r="J3363" s="15"/>
      <c r="K3363" s="15"/>
      <c r="L3363" s="15"/>
      <c r="M3363" s="16"/>
      <c r="N3363" s="16"/>
      <c r="O3363" s="15"/>
      <c r="P3363" s="15"/>
    </row>
    <row r="3364">
      <c r="A3364" s="15"/>
      <c r="B3364" s="22"/>
      <c r="C3364" s="22"/>
      <c r="D3364" s="22"/>
      <c r="E3364" s="15"/>
      <c r="F3364" s="15"/>
      <c r="G3364" s="15"/>
      <c r="H3364" s="15"/>
      <c r="I3364" s="15"/>
      <c r="J3364" s="15"/>
      <c r="K3364" s="15"/>
      <c r="L3364" s="15"/>
      <c r="M3364" s="16"/>
      <c r="N3364" s="16"/>
      <c r="O3364" s="15"/>
      <c r="P3364" s="15"/>
    </row>
    <row r="3365">
      <c r="A3365" s="15"/>
      <c r="B3365" s="22"/>
      <c r="C3365" s="22"/>
      <c r="D3365" s="22"/>
      <c r="E3365" s="15"/>
      <c r="F3365" s="15"/>
      <c r="G3365" s="15"/>
      <c r="H3365" s="15"/>
      <c r="I3365" s="15"/>
      <c r="J3365" s="15"/>
      <c r="K3365" s="15"/>
      <c r="L3365" s="15"/>
      <c r="M3365" s="16"/>
      <c r="N3365" s="16"/>
      <c r="O3365" s="15"/>
      <c r="P3365" s="15"/>
    </row>
    <row r="3366">
      <c r="A3366" s="15"/>
      <c r="B3366" s="22"/>
      <c r="C3366" s="22"/>
      <c r="D3366" s="22"/>
      <c r="E3366" s="15"/>
      <c r="F3366" s="15"/>
      <c r="G3366" s="15"/>
      <c r="H3366" s="15"/>
      <c r="I3366" s="15"/>
      <c r="J3366" s="15"/>
      <c r="K3366" s="15"/>
      <c r="L3366" s="15"/>
      <c r="M3366" s="16"/>
      <c r="N3366" s="16"/>
      <c r="O3366" s="15"/>
      <c r="P3366" s="15"/>
    </row>
    <row r="3367">
      <c r="A3367" s="15"/>
      <c r="B3367" s="22"/>
      <c r="C3367" s="22"/>
      <c r="D3367" s="22"/>
      <c r="E3367" s="15"/>
      <c r="F3367" s="15"/>
      <c r="G3367" s="15"/>
      <c r="H3367" s="15"/>
      <c r="I3367" s="15"/>
      <c r="J3367" s="15"/>
      <c r="K3367" s="15"/>
      <c r="L3367" s="15"/>
      <c r="M3367" s="16"/>
      <c r="N3367" s="16"/>
      <c r="O3367" s="15"/>
      <c r="P3367" s="15"/>
    </row>
    <row r="3368">
      <c r="A3368" s="15"/>
      <c r="B3368" s="22"/>
      <c r="C3368" s="22"/>
      <c r="D3368" s="22"/>
      <c r="E3368" s="15"/>
      <c r="F3368" s="15"/>
      <c r="G3368" s="15"/>
      <c r="H3368" s="15"/>
      <c r="I3368" s="15"/>
      <c r="J3368" s="15"/>
      <c r="K3368" s="15"/>
      <c r="L3368" s="15"/>
      <c r="M3368" s="16"/>
      <c r="N3368" s="16"/>
      <c r="O3368" s="15"/>
      <c r="P3368" s="15"/>
    </row>
    <row r="3369">
      <c r="A3369" s="15"/>
      <c r="B3369" s="22"/>
      <c r="C3369" s="22"/>
      <c r="D3369" s="22"/>
      <c r="E3369" s="15"/>
      <c r="F3369" s="15"/>
      <c r="G3369" s="15"/>
      <c r="H3369" s="15"/>
      <c r="I3369" s="15"/>
      <c r="J3369" s="15"/>
      <c r="K3369" s="15"/>
      <c r="L3369" s="15"/>
      <c r="M3369" s="16"/>
      <c r="N3369" s="16"/>
      <c r="O3369" s="15"/>
      <c r="P3369" s="15"/>
    </row>
    <row r="3370">
      <c r="A3370" s="15"/>
      <c r="B3370" s="22"/>
      <c r="C3370" s="22"/>
      <c r="D3370" s="22"/>
      <c r="E3370" s="15"/>
      <c r="F3370" s="15"/>
      <c r="G3370" s="15"/>
      <c r="H3370" s="15"/>
      <c r="I3370" s="15"/>
      <c r="J3370" s="15"/>
      <c r="K3370" s="15"/>
      <c r="L3370" s="15"/>
      <c r="M3370" s="16"/>
      <c r="N3370" s="16"/>
      <c r="O3370" s="15"/>
      <c r="P3370" s="15"/>
    </row>
    <row r="3371">
      <c r="A3371" s="15"/>
      <c r="B3371" s="22"/>
      <c r="C3371" s="22"/>
      <c r="D3371" s="22"/>
      <c r="E3371" s="15"/>
      <c r="F3371" s="15"/>
      <c r="G3371" s="15"/>
      <c r="H3371" s="15"/>
      <c r="I3371" s="15"/>
      <c r="J3371" s="15"/>
      <c r="K3371" s="15"/>
      <c r="L3371" s="15"/>
      <c r="M3371" s="16"/>
      <c r="N3371" s="16"/>
      <c r="O3371" s="15"/>
      <c r="P3371" s="15"/>
    </row>
    <row r="3372">
      <c r="A3372" s="15"/>
      <c r="B3372" s="22"/>
      <c r="C3372" s="22"/>
      <c r="D3372" s="22"/>
      <c r="E3372" s="15"/>
      <c r="F3372" s="15"/>
      <c r="G3372" s="15"/>
      <c r="H3372" s="15"/>
      <c r="I3372" s="15"/>
      <c r="J3372" s="15"/>
      <c r="K3372" s="15"/>
      <c r="L3372" s="15"/>
      <c r="M3372" s="16"/>
      <c r="N3372" s="16"/>
      <c r="O3372" s="15"/>
      <c r="P3372" s="15"/>
    </row>
    <row r="3373">
      <c r="A3373" s="15"/>
      <c r="B3373" s="22"/>
      <c r="C3373" s="22"/>
      <c r="D3373" s="22"/>
      <c r="E3373" s="15"/>
      <c r="F3373" s="15"/>
      <c r="G3373" s="15"/>
      <c r="H3373" s="15"/>
      <c r="I3373" s="15"/>
      <c r="J3373" s="15"/>
      <c r="K3373" s="15"/>
      <c r="L3373" s="15"/>
      <c r="M3373" s="16"/>
      <c r="N3373" s="16"/>
      <c r="O3373" s="15"/>
      <c r="P3373" s="15"/>
    </row>
    <row r="3374">
      <c r="A3374" s="15"/>
      <c r="B3374" s="22"/>
      <c r="C3374" s="22"/>
      <c r="D3374" s="22"/>
      <c r="E3374" s="15"/>
      <c r="F3374" s="15"/>
      <c r="G3374" s="15"/>
      <c r="H3374" s="15"/>
      <c r="I3374" s="15"/>
      <c r="J3374" s="15"/>
      <c r="K3374" s="15"/>
      <c r="L3374" s="15"/>
      <c r="M3374" s="16"/>
      <c r="N3374" s="16"/>
      <c r="O3374" s="15"/>
      <c r="P3374" s="15"/>
    </row>
    <row r="3375">
      <c r="A3375" s="15"/>
      <c r="B3375" s="22"/>
      <c r="C3375" s="22"/>
      <c r="D3375" s="22"/>
      <c r="E3375" s="15"/>
      <c r="F3375" s="15"/>
      <c r="G3375" s="15"/>
      <c r="H3375" s="15"/>
      <c r="I3375" s="15"/>
      <c r="J3375" s="15"/>
      <c r="K3375" s="15"/>
      <c r="L3375" s="15"/>
      <c r="M3375" s="16"/>
      <c r="N3375" s="16"/>
      <c r="O3375" s="15"/>
      <c r="P3375" s="15"/>
    </row>
    <row r="3376">
      <c r="A3376" s="15"/>
      <c r="B3376" s="22"/>
      <c r="C3376" s="22"/>
      <c r="D3376" s="22"/>
      <c r="E3376" s="15"/>
      <c r="F3376" s="15"/>
      <c r="G3376" s="15"/>
      <c r="H3376" s="15"/>
      <c r="I3376" s="15"/>
      <c r="J3376" s="15"/>
      <c r="K3376" s="15"/>
      <c r="L3376" s="15"/>
      <c r="M3376" s="16"/>
      <c r="N3376" s="16"/>
      <c r="O3376" s="15"/>
      <c r="P3376" s="15"/>
    </row>
    <row r="3377">
      <c r="A3377" s="15"/>
      <c r="B3377" s="22"/>
      <c r="C3377" s="22"/>
      <c r="D3377" s="22"/>
      <c r="E3377" s="15"/>
      <c r="F3377" s="15"/>
      <c r="G3377" s="15"/>
      <c r="H3377" s="15"/>
      <c r="I3377" s="15"/>
      <c r="J3377" s="15"/>
      <c r="K3377" s="15"/>
      <c r="L3377" s="15"/>
      <c r="M3377" s="16"/>
      <c r="N3377" s="16"/>
      <c r="O3377" s="15"/>
      <c r="P3377" s="15"/>
    </row>
    <row r="3378">
      <c r="A3378" s="15"/>
      <c r="B3378" s="22"/>
      <c r="C3378" s="22"/>
      <c r="D3378" s="22"/>
      <c r="E3378" s="15"/>
      <c r="F3378" s="15"/>
      <c r="G3378" s="15"/>
      <c r="H3378" s="15"/>
      <c r="I3378" s="15"/>
      <c r="J3378" s="15"/>
      <c r="K3378" s="15"/>
      <c r="L3378" s="15"/>
      <c r="M3378" s="16"/>
      <c r="N3378" s="16"/>
      <c r="O3378" s="15"/>
      <c r="P3378" s="15"/>
    </row>
    <row r="3379">
      <c r="A3379" s="15"/>
      <c r="B3379" s="22"/>
      <c r="C3379" s="22"/>
      <c r="D3379" s="22"/>
      <c r="E3379" s="15"/>
      <c r="F3379" s="15"/>
      <c r="G3379" s="15"/>
      <c r="H3379" s="15"/>
      <c r="I3379" s="15"/>
      <c r="J3379" s="15"/>
      <c r="K3379" s="15"/>
      <c r="L3379" s="15"/>
      <c r="M3379" s="16"/>
      <c r="N3379" s="16"/>
      <c r="O3379" s="15"/>
      <c r="P3379" s="15"/>
    </row>
    <row r="3380">
      <c r="A3380" s="15"/>
      <c r="B3380" s="22"/>
      <c r="C3380" s="22"/>
      <c r="D3380" s="22"/>
      <c r="E3380" s="15"/>
      <c r="F3380" s="15"/>
      <c r="G3380" s="15"/>
      <c r="H3380" s="15"/>
      <c r="I3380" s="15"/>
      <c r="J3380" s="15"/>
      <c r="K3380" s="15"/>
      <c r="L3380" s="15"/>
      <c r="M3380" s="16"/>
      <c r="N3380" s="16"/>
      <c r="O3380" s="15"/>
      <c r="P3380" s="15"/>
    </row>
    <row r="3381">
      <c r="A3381" s="15"/>
      <c r="B3381" s="22"/>
      <c r="C3381" s="22"/>
      <c r="D3381" s="22"/>
      <c r="E3381" s="15"/>
      <c r="F3381" s="15"/>
      <c r="G3381" s="15"/>
      <c r="H3381" s="15"/>
      <c r="I3381" s="15"/>
      <c r="J3381" s="15"/>
      <c r="K3381" s="15"/>
      <c r="L3381" s="15"/>
      <c r="M3381" s="16"/>
      <c r="N3381" s="16"/>
      <c r="O3381" s="15"/>
      <c r="P3381" s="15"/>
    </row>
    <row r="3382">
      <c r="A3382" s="15"/>
      <c r="B3382" s="22"/>
      <c r="C3382" s="22"/>
      <c r="D3382" s="22"/>
      <c r="E3382" s="15"/>
      <c r="F3382" s="15"/>
      <c r="G3382" s="15"/>
      <c r="H3382" s="15"/>
      <c r="I3382" s="15"/>
      <c r="J3382" s="15"/>
      <c r="K3382" s="15"/>
      <c r="L3382" s="15"/>
      <c r="M3382" s="16"/>
      <c r="N3382" s="16"/>
      <c r="O3382" s="15"/>
      <c r="P3382" s="15"/>
    </row>
    <row r="3383">
      <c r="A3383" s="15"/>
      <c r="B3383" s="22"/>
      <c r="C3383" s="22"/>
      <c r="D3383" s="22"/>
      <c r="E3383" s="15"/>
      <c r="F3383" s="15"/>
      <c r="G3383" s="15"/>
      <c r="H3383" s="15"/>
      <c r="I3383" s="15"/>
      <c r="J3383" s="15"/>
      <c r="K3383" s="15"/>
      <c r="L3383" s="15"/>
      <c r="M3383" s="16"/>
      <c r="N3383" s="16"/>
      <c r="O3383" s="15"/>
      <c r="P3383" s="15"/>
    </row>
    <row r="3384">
      <c r="A3384" s="15"/>
      <c r="B3384" s="22"/>
      <c r="C3384" s="22"/>
      <c r="D3384" s="22"/>
      <c r="E3384" s="15"/>
      <c r="F3384" s="15"/>
      <c r="G3384" s="15"/>
      <c r="H3384" s="15"/>
      <c r="I3384" s="15"/>
      <c r="J3384" s="15"/>
      <c r="K3384" s="15"/>
      <c r="L3384" s="15"/>
      <c r="M3384" s="16"/>
      <c r="N3384" s="16"/>
      <c r="O3384" s="15"/>
      <c r="P3384" s="15"/>
    </row>
    <row r="3385">
      <c r="A3385" s="15"/>
      <c r="B3385" s="22"/>
      <c r="C3385" s="22"/>
      <c r="D3385" s="22"/>
      <c r="E3385" s="15"/>
      <c r="F3385" s="15"/>
      <c r="G3385" s="15"/>
      <c r="H3385" s="15"/>
      <c r="I3385" s="15"/>
      <c r="J3385" s="15"/>
      <c r="K3385" s="15"/>
      <c r="L3385" s="15"/>
      <c r="M3385" s="16"/>
      <c r="N3385" s="16"/>
      <c r="O3385" s="15"/>
      <c r="P3385" s="15"/>
    </row>
    <row r="3386">
      <c r="A3386" s="15"/>
      <c r="B3386" s="22"/>
      <c r="C3386" s="22"/>
      <c r="D3386" s="22"/>
      <c r="E3386" s="15"/>
      <c r="F3386" s="15"/>
      <c r="G3386" s="15"/>
      <c r="H3386" s="15"/>
      <c r="I3386" s="15"/>
      <c r="J3386" s="15"/>
      <c r="K3386" s="15"/>
      <c r="L3386" s="15"/>
      <c r="M3386" s="16"/>
      <c r="N3386" s="16"/>
      <c r="O3386" s="15"/>
      <c r="P3386" s="15"/>
    </row>
    <row r="3387">
      <c r="A3387" s="15"/>
      <c r="B3387" s="22"/>
      <c r="C3387" s="22"/>
      <c r="D3387" s="22"/>
      <c r="E3387" s="15"/>
      <c r="F3387" s="15"/>
      <c r="G3387" s="15"/>
      <c r="H3387" s="15"/>
      <c r="I3387" s="15"/>
      <c r="J3387" s="15"/>
      <c r="K3387" s="15"/>
      <c r="L3387" s="15"/>
      <c r="M3387" s="16"/>
      <c r="N3387" s="16"/>
      <c r="O3387" s="15"/>
      <c r="P3387" s="15"/>
    </row>
    <row r="3388">
      <c r="A3388" s="15"/>
      <c r="B3388" s="22"/>
      <c r="C3388" s="22"/>
      <c r="D3388" s="22"/>
      <c r="E3388" s="15"/>
      <c r="F3388" s="15"/>
      <c r="G3388" s="15"/>
      <c r="H3388" s="15"/>
      <c r="I3388" s="15"/>
      <c r="J3388" s="15"/>
      <c r="K3388" s="15"/>
      <c r="L3388" s="15"/>
      <c r="M3388" s="16"/>
      <c r="N3388" s="16"/>
      <c r="O3388" s="15"/>
      <c r="P3388" s="15"/>
    </row>
    <row r="3389">
      <c r="A3389" s="15"/>
      <c r="B3389" s="22"/>
      <c r="C3389" s="22"/>
      <c r="D3389" s="22"/>
      <c r="E3389" s="15"/>
      <c r="F3389" s="15"/>
      <c r="G3389" s="15"/>
      <c r="H3389" s="15"/>
      <c r="I3389" s="15"/>
      <c r="J3389" s="15"/>
      <c r="K3389" s="15"/>
      <c r="L3389" s="15"/>
      <c r="M3389" s="16"/>
      <c r="N3389" s="16"/>
      <c r="O3389" s="15"/>
      <c r="P3389" s="15"/>
    </row>
    <row r="3390">
      <c r="A3390" s="15"/>
      <c r="B3390" s="22"/>
      <c r="C3390" s="22"/>
      <c r="D3390" s="22"/>
      <c r="E3390" s="15"/>
      <c r="F3390" s="15"/>
      <c r="G3390" s="15"/>
      <c r="H3390" s="15"/>
      <c r="I3390" s="15"/>
      <c r="J3390" s="15"/>
      <c r="K3390" s="15"/>
      <c r="L3390" s="15"/>
      <c r="M3390" s="16"/>
      <c r="N3390" s="16"/>
      <c r="O3390" s="15"/>
      <c r="P3390" s="15"/>
    </row>
    <row r="3391">
      <c r="A3391" s="15"/>
      <c r="B3391" s="22"/>
      <c r="C3391" s="22"/>
      <c r="D3391" s="22"/>
      <c r="E3391" s="15"/>
      <c r="F3391" s="15"/>
      <c r="G3391" s="15"/>
      <c r="H3391" s="15"/>
      <c r="I3391" s="15"/>
      <c r="J3391" s="15"/>
      <c r="K3391" s="15"/>
      <c r="L3391" s="15"/>
      <c r="M3391" s="16"/>
      <c r="N3391" s="16"/>
      <c r="O3391" s="15"/>
      <c r="P3391" s="15"/>
    </row>
    <row r="3392">
      <c r="A3392" s="15"/>
      <c r="B3392" s="22"/>
      <c r="C3392" s="22"/>
      <c r="D3392" s="22"/>
      <c r="E3392" s="15"/>
      <c r="F3392" s="15"/>
      <c r="G3392" s="15"/>
      <c r="H3392" s="15"/>
      <c r="I3392" s="15"/>
      <c r="J3392" s="15"/>
      <c r="K3392" s="15"/>
      <c r="L3392" s="15"/>
      <c r="M3392" s="16"/>
      <c r="N3392" s="16"/>
      <c r="O3392" s="15"/>
      <c r="P3392" s="15"/>
    </row>
    <row r="3393">
      <c r="A3393" s="15"/>
      <c r="B3393" s="22"/>
      <c r="C3393" s="22"/>
      <c r="D3393" s="22"/>
      <c r="E3393" s="15"/>
      <c r="F3393" s="15"/>
      <c r="G3393" s="15"/>
      <c r="H3393" s="15"/>
      <c r="I3393" s="15"/>
      <c r="J3393" s="15"/>
      <c r="K3393" s="15"/>
      <c r="L3393" s="15"/>
      <c r="M3393" s="16"/>
      <c r="N3393" s="16"/>
      <c r="O3393" s="15"/>
      <c r="P3393" s="15"/>
    </row>
    <row r="3394">
      <c r="A3394" s="15"/>
      <c r="B3394" s="22"/>
      <c r="C3394" s="22"/>
      <c r="D3394" s="22"/>
      <c r="E3394" s="15"/>
      <c r="F3394" s="15"/>
      <c r="G3394" s="15"/>
      <c r="H3394" s="15"/>
      <c r="I3394" s="15"/>
      <c r="J3394" s="15"/>
      <c r="K3394" s="15"/>
      <c r="L3394" s="15"/>
      <c r="M3394" s="16"/>
      <c r="N3394" s="16"/>
      <c r="O3394" s="15"/>
      <c r="P3394" s="15"/>
    </row>
    <row r="3395">
      <c r="A3395" s="15"/>
      <c r="B3395" s="22"/>
      <c r="C3395" s="22"/>
      <c r="D3395" s="22"/>
      <c r="E3395" s="15"/>
      <c r="F3395" s="15"/>
      <c r="G3395" s="15"/>
      <c r="H3395" s="15"/>
      <c r="I3395" s="15"/>
      <c r="J3395" s="15"/>
      <c r="K3395" s="15"/>
      <c r="L3395" s="15"/>
      <c r="M3395" s="16"/>
      <c r="N3395" s="16"/>
      <c r="O3395" s="15"/>
      <c r="P3395" s="15"/>
    </row>
    <row r="3396">
      <c r="A3396" s="15"/>
      <c r="B3396" s="22"/>
      <c r="C3396" s="22"/>
      <c r="D3396" s="22"/>
      <c r="E3396" s="15"/>
      <c r="F3396" s="15"/>
      <c r="G3396" s="15"/>
      <c r="H3396" s="15"/>
      <c r="I3396" s="15"/>
      <c r="J3396" s="15"/>
      <c r="K3396" s="15"/>
      <c r="L3396" s="15"/>
      <c r="M3396" s="16"/>
      <c r="N3396" s="16"/>
      <c r="O3396" s="15"/>
      <c r="P3396" s="15"/>
    </row>
    <row r="3397">
      <c r="A3397" s="15"/>
      <c r="B3397" s="22"/>
      <c r="C3397" s="22"/>
      <c r="D3397" s="22"/>
      <c r="E3397" s="15"/>
      <c r="F3397" s="15"/>
      <c r="G3397" s="15"/>
      <c r="H3397" s="15"/>
      <c r="I3397" s="15"/>
      <c r="J3397" s="15"/>
      <c r="K3397" s="15"/>
      <c r="L3397" s="15"/>
      <c r="M3397" s="16"/>
      <c r="N3397" s="16"/>
      <c r="O3397" s="15"/>
      <c r="P3397" s="15"/>
    </row>
    <row r="3398">
      <c r="A3398" s="15"/>
      <c r="B3398" s="22"/>
      <c r="C3398" s="22"/>
      <c r="D3398" s="22"/>
      <c r="E3398" s="15"/>
      <c r="F3398" s="15"/>
      <c r="G3398" s="15"/>
      <c r="H3398" s="15"/>
      <c r="I3398" s="15"/>
      <c r="J3398" s="15"/>
      <c r="K3398" s="15"/>
      <c r="L3398" s="15"/>
      <c r="M3398" s="16"/>
      <c r="N3398" s="16"/>
      <c r="O3398" s="15"/>
      <c r="P3398" s="15"/>
    </row>
    <row r="3399">
      <c r="A3399" s="15"/>
      <c r="B3399" s="22"/>
      <c r="C3399" s="22"/>
      <c r="D3399" s="22"/>
      <c r="E3399" s="15"/>
      <c r="F3399" s="15"/>
      <c r="G3399" s="15"/>
      <c r="H3399" s="15"/>
      <c r="I3399" s="15"/>
      <c r="J3399" s="15"/>
      <c r="K3399" s="15"/>
      <c r="L3399" s="15"/>
      <c r="M3399" s="16"/>
      <c r="N3399" s="16"/>
      <c r="O3399" s="15"/>
      <c r="P3399" s="15"/>
    </row>
    <row r="3400">
      <c r="A3400" s="15"/>
      <c r="B3400" s="22"/>
      <c r="C3400" s="22"/>
      <c r="D3400" s="22"/>
      <c r="E3400" s="15"/>
      <c r="F3400" s="15"/>
      <c r="G3400" s="15"/>
      <c r="H3400" s="15"/>
      <c r="I3400" s="15"/>
      <c r="J3400" s="15"/>
      <c r="K3400" s="15"/>
      <c r="L3400" s="15"/>
      <c r="M3400" s="16"/>
      <c r="N3400" s="16"/>
      <c r="O3400" s="15"/>
      <c r="P3400" s="15"/>
    </row>
    <row r="3401">
      <c r="A3401" s="15"/>
      <c r="B3401" s="22"/>
      <c r="C3401" s="22"/>
      <c r="D3401" s="22"/>
      <c r="E3401" s="15"/>
      <c r="F3401" s="15"/>
      <c r="G3401" s="15"/>
      <c r="H3401" s="15"/>
      <c r="I3401" s="15"/>
      <c r="J3401" s="15"/>
      <c r="K3401" s="15"/>
      <c r="L3401" s="15"/>
      <c r="M3401" s="16"/>
      <c r="N3401" s="16"/>
      <c r="O3401" s="15"/>
      <c r="P3401" s="15"/>
    </row>
    <row r="3402">
      <c r="A3402" s="15"/>
      <c r="B3402" s="22"/>
      <c r="C3402" s="22"/>
      <c r="D3402" s="22"/>
      <c r="E3402" s="15"/>
      <c r="F3402" s="15"/>
      <c r="G3402" s="15"/>
      <c r="H3402" s="15"/>
      <c r="I3402" s="15"/>
      <c r="J3402" s="15"/>
      <c r="K3402" s="15"/>
      <c r="L3402" s="15"/>
      <c r="M3402" s="16"/>
      <c r="N3402" s="16"/>
      <c r="O3402" s="15"/>
      <c r="P3402" s="15"/>
    </row>
    <row r="3403">
      <c r="A3403" s="15"/>
      <c r="B3403" s="22"/>
      <c r="C3403" s="22"/>
      <c r="D3403" s="22"/>
      <c r="E3403" s="15"/>
      <c r="F3403" s="15"/>
      <c r="G3403" s="15"/>
      <c r="H3403" s="15"/>
      <c r="I3403" s="15"/>
      <c r="J3403" s="15"/>
      <c r="K3403" s="15"/>
      <c r="L3403" s="15"/>
      <c r="M3403" s="16"/>
      <c r="N3403" s="16"/>
      <c r="O3403" s="15"/>
      <c r="P3403" s="15"/>
    </row>
    <row r="3404">
      <c r="A3404" s="15"/>
      <c r="B3404" s="22"/>
      <c r="C3404" s="22"/>
      <c r="D3404" s="22"/>
      <c r="E3404" s="15"/>
      <c r="F3404" s="15"/>
      <c r="G3404" s="15"/>
      <c r="H3404" s="15"/>
      <c r="I3404" s="15"/>
      <c r="J3404" s="15"/>
      <c r="K3404" s="15"/>
      <c r="L3404" s="15"/>
      <c r="M3404" s="16"/>
      <c r="N3404" s="16"/>
      <c r="O3404" s="15"/>
      <c r="P3404" s="15"/>
    </row>
    <row r="3405">
      <c r="A3405" s="15"/>
      <c r="B3405" s="22"/>
      <c r="C3405" s="22"/>
      <c r="D3405" s="22"/>
      <c r="E3405" s="15"/>
      <c r="F3405" s="15"/>
      <c r="G3405" s="15"/>
      <c r="H3405" s="15"/>
      <c r="I3405" s="15"/>
      <c r="J3405" s="15"/>
      <c r="K3405" s="15"/>
      <c r="L3405" s="15"/>
      <c r="M3405" s="16"/>
      <c r="N3405" s="16"/>
      <c r="O3405" s="15"/>
      <c r="P3405" s="15"/>
    </row>
    <row r="3406">
      <c r="A3406" s="15"/>
      <c r="B3406" s="22"/>
      <c r="C3406" s="22"/>
      <c r="D3406" s="22"/>
      <c r="E3406" s="15"/>
      <c r="F3406" s="15"/>
      <c r="G3406" s="15"/>
      <c r="H3406" s="15"/>
      <c r="I3406" s="15"/>
      <c r="J3406" s="15"/>
      <c r="K3406" s="15"/>
      <c r="L3406" s="15"/>
      <c r="M3406" s="16"/>
      <c r="N3406" s="16"/>
      <c r="O3406" s="15"/>
      <c r="P3406" s="15"/>
    </row>
    <row r="3407">
      <c r="A3407" s="15"/>
      <c r="B3407" s="22"/>
      <c r="C3407" s="22"/>
      <c r="D3407" s="22"/>
      <c r="E3407" s="15"/>
      <c r="F3407" s="15"/>
      <c r="G3407" s="15"/>
      <c r="H3407" s="15"/>
      <c r="I3407" s="15"/>
      <c r="J3407" s="15"/>
      <c r="K3407" s="15"/>
      <c r="L3407" s="15"/>
      <c r="M3407" s="16"/>
      <c r="N3407" s="16"/>
      <c r="O3407" s="15"/>
      <c r="P3407" s="15"/>
    </row>
    <row r="3408">
      <c r="A3408" s="15"/>
      <c r="B3408" s="22"/>
      <c r="C3408" s="22"/>
      <c r="D3408" s="22"/>
      <c r="E3408" s="15"/>
      <c r="F3408" s="15"/>
      <c r="G3408" s="15"/>
      <c r="H3408" s="15"/>
      <c r="I3408" s="15"/>
      <c r="J3408" s="15"/>
      <c r="K3408" s="15"/>
      <c r="L3408" s="15"/>
      <c r="M3408" s="16"/>
      <c r="N3408" s="16"/>
      <c r="O3408" s="15"/>
      <c r="P3408" s="15"/>
    </row>
    <row r="3409">
      <c r="A3409" s="15"/>
      <c r="B3409" s="22"/>
      <c r="C3409" s="22"/>
      <c r="D3409" s="22"/>
      <c r="E3409" s="15"/>
      <c r="F3409" s="15"/>
      <c r="G3409" s="15"/>
      <c r="H3409" s="15"/>
      <c r="I3409" s="15"/>
      <c r="J3409" s="15"/>
      <c r="K3409" s="15"/>
      <c r="L3409" s="15"/>
      <c r="M3409" s="16"/>
      <c r="N3409" s="16"/>
      <c r="O3409" s="15"/>
      <c r="P3409" s="15"/>
    </row>
    <row r="3410">
      <c r="A3410" s="15"/>
      <c r="B3410" s="22"/>
      <c r="C3410" s="22"/>
      <c r="D3410" s="22"/>
      <c r="E3410" s="15"/>
      <c r="F3410" s="15"/>
      <c r="G3410" s="15"/>
      <c r="H3410" s="15"/>
      <c r="I3410" s="15"/>
      <c r="J3410" s="15"/>
      <c r="K3410" s="15"/>
      <c r="L3410" s="15"/>
      <c r="M3410" s="16"/>
      <c r="N3410" s="16"/>
      <c r="O3410" s="15"/>
      <c r="P3410" s="15"/>
    </row>
    <row r="3411">
      <c r="A3411" s="15"/>
      <c r="B3411" s="22"/>
      <c r="C3411" s="22"/>
      <c r="D3411" s="22"/>
      <c r="E3411" s="15"/>
      <c r="F3411" s="15"/>
      <c r="G3411" s="15"/>
      <c r="H3411" s="15"/>
      <c r="I3411" s="15"/>
      <c r="J3411" s="15"/>
      <c r="K3411" s="15"/>
      <c r="L3411" s="15"/>
      <c r="M3411" s="16"/>
      <c r="N3411" s="16"/>
      <c r="O3411" s="15"/>
      <c r="P3411" s="15"/>
    </row>
    <row r="3412">
      <c r="A3412" s="15"/>
      <c r="B3412" s="22"/>
      <c r="C3412" s="22"/>
      <c r="D3412" s="22"/>
      <c r="E3412" s="15"/>
      <c r="F3412" s="15"/>
      <c r="G3412" s="15"/>
      <c r="H3412" s="15"/>
      <c r="I3412" s="15"/>
      <c r="J3412" s="15"/>
      <c r="K3412" s="15"/>
      <c r="L3412" s="15"/>
      <c r="M3412" s="16"/>
      <c r="N3412" s="16"/>
      <c r="O3412" s="15"/>
      <c r="P3412" s="15"/>
    </row>
    <row r="3413">
      <c r="A3413" s="15"/>
      <c r="B3413" s="22"/>
      <c r="C3413" s="22"/>
      <c r="D3413" s="22"/>
      <c r="E3413" s="15"/>
      <c r="F3413" s="15"/>
      <c r="G3413" s="15"/>
      <c r="H3413" s="15"/>
      <c r="I3413" s="15"/>
      <c r="J3413" s="15"/>
      <c r="K3413" s="15"/>
      <c r="L3413" s="15"/>
      <c r="M3413" s="16"/>
      <c r="N3413" s="16"/>
      <c r="O3413" s="15"/>
      <c r="P3413" s="15"/>
    </row>
    <row r="3414">
      <c r="A3414" s="15"/>
      <c r="B3414" s="22"/>
      <c r="C3414" s="22"/>
      <c r="D3414" s="22"/>
      <c r="E3414" s="15"/>
      <c r="F3414" s="15"/>
      <c r="G3414" s="15"/>
      <c r="H3414" s="15"/>
      <c r="I3414" s="15"/>
      <c r="J3414" s="15"/>
      <c r="K3414" s="15"/>
      <c r="L3414" s="15"/>
      <c r="M3414" s="16"/>
      <c r="N3414" s="16"/>
      <c r="O3414" s="15"/>
      <c r="P3414" s="15"/>
    </row>
    <row r="3415">
      <c r="A3415" s="15"/>
      <c r="B3415" s="22"/>
      <c r="C3415" s="22"/>
      <c r="D3415" s="22"/>
      <c r="E3415" s="15"/>
      <c r="F3415" s="15"/>
      <c r="G3415" s="15"/>
      <c r="H3415" s="15"/>
      <c r="I3415" s="15"/>
      <c r="J3415" s="15"/>
      <c r="K3415" s="15"/>
      <c r="L3415" s="15"/>
      <c r="M3415" s="16"/>
      <c r="N3415" s="16"/>
      <c r="O3415" s="15"/>
      <c r="P3415" s="15"/>
    </row>
    <row r="3416">
      <c r="A3416" s="15"/>
      <c r="B3416" s="22"/>
      <c r="C3416" s="22"/>
      <c r="D3416" s="22"/>
      <c r="E3416" s="15"/>
      <c r="F3416" s="15"/>
      <c r="G3416" s="15"/>
      <c r="H3416" s="15"/>
      <c r="I3416" s="15"/>
      <c r="J3416" s="15"/>
      <c r="K3416" s="15"/>
      <c r="L3416" s="15"/>
      <c r="M3416" s="16"/>
      <c r="N3416" s="16"/>
      <c r="O3416" s="15"/>
      <c r="P3416" s="15"/>
    </row>
    <row r="3417">
      <c r="A3417" s="15"/>
      <c r="B3417" s="22"/>
      <c r="C3417" s="22"/>
      <c r="D3417" s="22"/>
      <c r="E3417" s="15"/>
      <c r="F3417" s="15"/>
      <c r="G3417" s="15"/>
      <c r="H3417" s="15"/>
      <c r="I3417" s="15"/>
      <c r="J3417" s="15"/>
      <c r="K3417" s="15"/>
      <c r="L3417" s="15"/>
      <c r="M3417" s="16"/>
      <c r="N3417" s="16"/>
      <c r="O3417" s="15"/>
      <c r="P3417" s="15"/>
    </row>
    <row r="3418">
      <c r="A3418" s="15"/>
      <c r="B3418" s="22"/>
      <c r="C3418" s="22"/>
      <c r="D3418" s="22"/>
      <c r="E3418" s="15"/>
      <c r="F3418" s="15"/>
      <c r="G3418" s="15"/>
      <c r="H3418" s="15"/>
      <c r="I3418" s="15"/>
      <c r="J3418" s="15"/>
      <c r="K3418" s="15"/>
      <c r="L3418" s="15"/>
      <c r="M3418" s="16"/>
      <c r="N3418" s="16"/>
      <c r="O3418" s="15"/>
      <c r="P3418" s="15"/>
    </row>
    <row r="3419">
      <c r="A3419" s="15"/>
      <c r="B3419" s="22"/>
      <c r="C3419" s="22"/>
      <c r="D3419" s="22"/>
      <c r="E3419" s="15"/>
      <c r="F3419" s="15"/>
      <c r="G3419" s="15"/>
      <c r="H3419" s="15"/>
      <c r="I3419" s="15"/>
      <c r="J3419" s="15"/>
      <c r="K3419" s="15"/>
      <c r="L3419" s="15"/>
      <c r="M3419" s="16"/>
      <c r="N3419" s="16"/>
      <c r="O3419" s="15"/>
      <c r="P3419" s="15"/>
    </row>
    <row r="3420">
      <c r="A3420" s="15"/>
      <c r="B3420" s="22"/>
      <c r="C3420" s="22"/>
      <c r="D3420" s="22"/>
      <c r="E3420" s="15"/>
      <c r="F3420" s="15"/>
      <c r="G3420" s="15"/>
      <c r="H3420" s="15"/>
      <c r="I3420" s="15"/>
      <c r="J3420" s="15"/>
      <c r="K3420" s="15"/>
      <c r="L3420" s="15"/>
      <c r="M3420" s="16"/>
      <c r="N3420" s="16"/>
      <c r="O3420" s="15"/>
      <c r="P3420" s="15"/>
    </row>
    <row r="3421">
      <c r="A3421" s="15"/>
      <c r="B3421" s="22"/>
      <c r="C3421" s="22"/>
      <c r="D3421" s="22"/>
      <c r="E3421" s="15"/>
      <c r="F3421" s="15"/>
      <c r="G3421" s="15"/>
      <c r="H3421" s="15"/>
      <c r="I3421" s="15"/>
      <c r="J3421" s="15"/>
      <c r="K3421" s="15"/>
      <c r="L3421" s="15"/>
      <c r="M3421" s="16"/>
      <c r="N3421" s="16"/>
      <c r="O3421" s="15"/>
      <c r="P3421" s="15"/>
    </row>
    <row r="3422">
      <c r="A3422" s="15"/>
      <c r="B3422" s="22"/>
      <c r="C3422" s="22"/>
      <c r="D3422" s="22"/>
      <c r="E3422" s="15"/>
      <c r="F3422" s="15"/>
      <c r="G3422" s="15"/>
      <c r="H3422" s="15"/>
      <c r="I3422" s="15"/>
      <c r="J3422" s="15"/>
      <c r="K3422" s="15"/>
      <c r="L3422" s="15"/>
      <c r="M3422" s="16"/>
      <c r="N3422" s="16"/>
      <c r="O3422" s="15"/>
      <c r="P3422" s="15"/>
    </row>
    <row r="3423">
      <c r="A3423" s="15"/>
      <c r="B3423" s="22"/>
      <c r="C3423" s="22"/>
      <c r="D3423" s="22"/>
      <c r="E3423" s="15"/>
      <c r="F3423" s="15"/>
      <c r="G3423" s="15"/>
      <c r="H3423" s="15"/>
      <c r="I3423" s="15"/>
      <c r="J3423" s="15"/>
      <c r="K3423" s="15"/>
      <c r="L3423" s="15"/>
      <c r="M3423" s="16"/>
      <c r="N3423" s="16"/>
      <c r="O3423" s="15"/>
      <c r="P3423" s="15"/>
    </row>
    <row r="3424">
      <c r="A3424" s="15"/>
      <c r="B3424" s="22"/>
      <c r="C3424" s="22"/>
      <c r="D3424" s="22"/>
      <c r="E3424" s="15"/>
      <c r="F3424" s="15"/>
      <c r="G3424" s="15"/>
      <c r="H3424" s="15"/>
      <c r="I3424" s="15"/>
      <c r="J3424" s="15"/>
      <c r="K3424" s="15"/>
      <c r="L3424" s="15"/>
      <c r="M3424" s="16"/>
      <c r="N3424" s="16"/>
      <c r="O3424" s="15"/>
      <c r="P3424" s="15"/>
    </row>
    <row r="3425">
      <c r="A3425" s="15"/>
      <c r="B3425" s="22"/>
      <c r="C3425" s="22"/>
      <c r="D3425" s="22"/>
      <c r="E3425" s="15"/>
      <c r="F3425" s="15"/>
      <c r="G3425" s="15"/>
      <c r="H3425" s="15"/>
      <c r="I3425" s="15"/>
      <c r="J3425" s="15"/>
      <c r="K3425" s="15"/>
      <c r="L3425" s="15"/>
      <c r="M3425" s="16"/>
      <c r="N3425" s="16"/>
      <c r="O3425" s="15"/>
      <c r="P3425" s="15"/>
    </row>
    <row r="3426">
      <c r="A3426" s="15"/>
      <c r="B3426" s="22"/>
      <c r="C3426" s="22"/>
      <c r="D3426" s="22"/>
      <c r="E3426" s="15"/>
      <c r="F3426" s="15"/>
      <c r="G3426" s="15"/>
      <c r="H3426" s="15"/>
      <c r="I3426" s="15"/>
      <c r="J3426" s="15"/>
      <c r="K3426" s="15"/>
      <c r="L3426" s="15"/>
      <c r="M3426" s="16"/>
      <c r="N3426" s="16"/>
      <c r="O3426" s="15"/>
      <c r="P3426" s="15"/>
    </row>
    <row r="3427">
      <c r="A3427" s="15"/>
      <c r="B3427" s="22"/>
      <c r="C3427" s="22"/>
      <c r="D3427" s="22"/>
      <c r="E3427" s="15"/>
      <c r="F3427" s="15"/>
      <c r="G3427" s="15"/>
      <c r="H3427" s="15"/>
      <c r="I3427" s="15"/>
      <c r="J3427" s="15"/>
      <c r="K3427" s="15"/>
      <c r="L3427" s="15"/>
      <c r="M3427" s="16"/>
      <c r="N3427" s="16"/>
      <c r="O3427" s="15"/>
      <c r="P3427" s="15"/>
    </row>
    <row r="3428">
      <c r="A3428" s="15"/>
      <c r="B3428" s="22"/>
      <c r="C3428" s="22"/>
      <c r="D3428" s="22"/>
      <c r="E3428" s="15"/>
      <c r="F3428" s="15"/>
      <c r="G3428" s="15"/>
      <c r="H3428" s="15"/>
      <c r="I3428" s="15"/>
      <c r="J3428" s="15"/>
      <c r="K3428" s="15"/>
      <c r="L3428" s="15"/>
      <c r="M3428" s="16"/>
      <c r="N3428" s="16"/>
      <c r="O3428" s="15"/>
      <c r="P3428" s="15"/>
    </row>
    <row r="3429">
      <c r="A3429" s="15"/>
      <c r="B3429" s="22"/>
      <c r="C3429" s="22"/>
      <c r="D3429" s="22"/>
      <c r="E3429" s="15"/>
      <c r="F3429" s="15"/>
      <c r="G3429" s="15"/>
      <c r="H3429" s="15"/>
      <c r="I3429" s="15"/>
      <c r="J3429" s="15"/>
      <c r="K3429" s="15"/>
      <c r="L3429" s="15"/>
      <c r="M3429" s="16"/>
      <c r="N3429" s="16"/>
      <c r="O3429" s="15"/>
      <c r="P3429" s="15"/>
    </row>
    <row r="3430">
      <c r="A3430" s="15"/>
      <c r="B3430" s="22"/>
      <c r="C3430" s="22"/>
      <c r="D3430" s="22"/>
      <c r="E3430" s="15"/>
      <c r="F3430" s="15"/>
      <c r="G3430" s="15"/>
      <c r="H3430" s="15"/>
      <c r="I3430" s="15"/>
      <c r="J3430" s="15"/>
      <c r="K3430" s="15"/>
      <c r="L3430" s="15"/>
      <c r="M3430" s="16"/>
      <c r="N3430" s="16"/>
      <c r="O3430" s="15"/>
      <c r="P3430" s="15"/>
    </row>
    <row r="3431">
      <c r="A3431" s="15"/>
      <c r="B3431" s="22"/>
      <c r="C3431" s="22"/>
      <c r="D3431" s="22"/>
      <c r="E3431" s="15"/>
      <c r="F3431" s="15"/>
      <c r="G3431" s="15"/>
      <c r="H3431" s="15"/>
      <c r="I3431" s="15"/>
      <c r="J3431" s="15"/>
      <c r="K3431" s="15"/>
      <c r="L3431" s="15"/>
      <c r="M3431" s="16"/>
      <c r="N3431" s="16"/>
      <c r="O3431" s="15"/>
      <c r="P3431" s="15"/>
    </row>
    <row r="3432">
      <c r="A3432" s="15"/>
      <c r="B3432" s="22"/>
      <c r="C3432" s="22"/>
      <c r="D3432" s="22"/>
      <c r="E3432" s="15"/>
      <c r="F3432" s="15"/>
      <c r="G3432" s="15"/>
      <c r="H3432" s="15"/>
      <c r="I3432" s="15"/>
      <c r="J3432" s="15"/>
      <c r="K3432" s="15"/>
      <c r="L3432" s="15"/>
      <c r="M3432" s="16"/>
      <c r="N3432" s="16"/>
      <c r="O3432" s="15"/>
      <c r="P3432" s="15"/>
    </row>
    <row r="3433">
      <c r="A3433" s="15"/>
      <c r="B3433" s="22"/>
      <c r="C3433" s="22"/>
      <c r="D3433" s="22"/>
      <c r="E3433" s="15"/>
      <c r="F3433" s="15"/>
      <c r="G3433" s="15"/>
      <c r="H3433" s="15"/>
      <c r="I3433" s="15"/>
      <c r="J3433" s="15"/>
      <c r="K3433" s="15"/>
      <c r="L3433" s="15"/>
      <c r="M3433" s="16"/>
      <c r="N3433" s="16"/>
      <c r="O3433" s="15"/>
      <c r="P3433" s="15"/>
    </row>
    <row r="3434">
      <c r="A3434" s="15"/>
      <c r="B3434" s="22"/>
      <c r="C3434" s="22"/>
      <c r="D3434" s="22"/>
      <c r="E3434" s="15"/>
      <c r="F3434" s="15"/>
      <c r="G3434" s="15"/>
      <c r="H3434" s="15"/>
      <c r="I3434" s="15"/>
      <c r="J3434" s="15"/>
      <c r="K3434" s="15"/>
      <c r="L3434" s="15"/>
      <c r="M3434" s="16"/>
      <c r="N3434" s="16"/>
      <c r="O3434" s="15"/>
      <c r="P3434" s="15"/>
    </row>
    <row r="3435">
      <c r="A3435" s="15"/>
      <c r="B3435" s="22"/>
      <c r="C3435" s="22"/>
      <c r="D3435" s="22"/>
      <c r="E3435" s="15"/>
      <c r="F3435" s="15"/>
      <c r="G3435" s="15"/>
      <c r="H3435" s="15"/>
      <c r="I3435" s="15"/>
      <c r="J3435" s="15"/>
      <c r="K3435" s="15"/>
      <c r="L3435" s="15"/>
      <c r="M3435" s="16"/>
      <c r="N3435" s="16"/>
      <c r="O3435" s="15"/>
      <c r="P3435" s="15"/>
    </row>
    <row r="3436">
      <c r="A3436" s="15"/>
      <c r="B3436" s="22"/>
      <c r="C3436" s="22"/>
      <c r="D3436" s="22"/>
      <c r="E3436" s="15"/>
      <c r="F3436" s="15"/>
      <c r="G3436" s="15"/>
      <c r="H3436" s="15"/>
      <c r="I3436" s="15"/>
      <c r="J3436" s="15"/>
      <c r="K3436" s="15"/>
      <c r="L3436" s="15"/>
      <c r="M3436" s="16"/>
      <c r="N3436" s="16"/>
      <c r="O3436" s="15"/>
      <c r="P3436" s="15"/>
    </row>
    <row r="3437">
      <c r="A3437" s="15"/>
      <c r="B3437" s="22"/>
      <c r="C3437" s="22"/>
      <c r="D3437" s="22"/>
      <c r="E3437" s="15"/>
      <c r="F3437" s="15"/>
      <c r="G3437" s="15"/>
      <c r="H3437" s="15"/>
      <c r="I3437" s="15"/>
      <c r="J3437" s="15"/>
      <c r="K3437" s="15"/>
      <c r="L3437" s="15"/>
      <c r="M3437" s="16"/>
      <c r="N3437" s="16"/>
      <c r="O3437" s="15"/>
      <c r="P3437" s="15"/>
    </row>
    <row r="3438">
      <c r="A3438" s="15"/>
      <c r="B3438" s="22"/>
      <c r="C3438" s="22"/>
      <c r="D3438" s="22"/>
      <c r="E3438" s="15"/>
      <c r="F3438" s="15"/>
      <c r="G3438" s="15"/>
      <c r="H3438" s="15"/>
      <c r="I3438" s="15"/>
      <c r="J3438" s="15"/>
      <c r="K3438" s="15"/>
      <c r="L3438" s="15"/>
      <c r="M3438" s="16"/>
      <c r="N3438" s="16"/>
      <c r="O3438" s="15"/>
      <c r="P3438" s="15"/>
    </row>
    <row r="3439">
      <c r="A3439" s="15"/>
      <c r="B3439" s="22"/>
      <c r="C3439" s="22"/>
      <c r="D3439" s="22"/>
      <c r="E3439" s="15"/>
      <c r="F3439" s="15"/>
      <c r="G3439" s="15"/>
      <c r="H3439" s="15"/>
      <c r="I3439" s="15"/>
      <c r="J3439" s="15"/>
      <c r="K3439" s="15"/>
      <c r="L3439" s="15"/>
      <c r="M3439" s="16"/>
      <c r="N3439" s="16"/>
      <c r="O3439" s="15"/>
      <c r="P3439" s="15"/>
    </row>
    <row r="3440">
      <c r="A3440" s="15"/>
      <c r="B3440" s="22"/>
      <c r="C3440" s="22"/>
      <c r="D3440" s="22"/>
      <c r="E3440" s="15"/>
      <c r="F3440" s="15"/>
      <c r="G3440" s="15"/>
      <c r="H3440" s="15"/>
      <c r="I3440" s="15"/>
      <c r="J3440" s="15"/>
      <c r="K3440" s="15"/>
      <c r="L3440" s="15"/>
      <c r="M3440" s="16"/>
      <c r="N3440" s="16"/>
      <c r="O3440" s="15"/>
      <c r="P3440" s="15"/>
    </row>
    <row r="3441">
      <c r="A3441" s="15"/>
      <c r="B3441" s="22"/>
      <c r="C3441" s="22"/>
      <c r="D3441" s="22"/>
      <c r="E3441" s="15"/>
      <c r="F3441" s="15"/>
      <c r="G3441" s="15"/>
      <c r="H3441" s="15"/>
      <c r="I3441" s="15"/>
      <c r="J3441" s="15"/>
      <c r="K3441" s="15"/>
      <c r="L3441" s="15"/>
      <c r="M3441" s="16"/>
      <c r="N3441" s="16"/>
      <c r="O3441" s="15"/>
      <c r="P3441" s="15"/>
    </row>
    <row r="3442">
      <c r="A3442" s="15"/>
      <c r="B3442" s="22"/>
      <c r="C3442" s="22"/>
      <c r="D3442" s="22"/>
      <c r="E3442" s="15"/>
      <c r="F3442" s="15"/>
      <c r="G3442" s="15"/>
      <c r="H3442" s="15"/>
      <c r="I3442" s="15"/>
      <c r="J3442" s="15"/>
      <c r="K3442" s="15"/>
      <c r="L3442" s="15"/>
      <c r="M3442" s="16"/>
      <c r="N3442" s="16"/>
      <c r="O3442" s="15"/>
      <c r="P3442" s="15"/>
    </row>
    <row r="3443">
      <c r="A3443" s="15"/>
      <c r="B3443" s="22"/>
      <c r="C3443" s="22"/>
      <c r="D3443" s="22"/>
      <c r="E3443" s="15"/>
      <c r="F3443" s="15"/>
      <c r="G3443" s="15"/>
      <c r="H3443" s="15"/>
      <c r="I3443" s="15"/>
      <c r="J3443" s="15"/>
      <c r="K3443" s="15"/>
      <c r="L3443" s="15"/>
      <c r="M3443" s="16"/>
      <c r="N3443" s="16"/>
      <c r="O3443" s="15"/>
      <c r="P3443" s="15"/>
    </row>
    <row r="3444">
      <c r="A3444" s="15"/>
      <c r="B3444" s="22"/>
      <c r="C3444" s="22"/>
      <c r="D3444" s="22"/>
      <c r="E3444" s="15"/>
      <c r="F3444" s="15"/>
      <c r="G3444" s="15"/>
      <c r="H3444" s="15"/>
      <c r="I3444" s="15"/>
      <c r="J3444" s="15"/>
      <c r="K3444" s="15"/>
      <c r="L3444" s="15"/>
      <c r="M3444" s="16"/>
      <c r="N3444" s="16"/>
      <c r="O3444" s="15"/>
      <c r="P3444" s="15"/>
    </row>
    <row r="3445">
      <c r="A3445" s="15"/>
      <c r="B3445" s="22"/>
      <c r="C3445" s="22"/>
      <c r="D3445" s="22"/>
      <c r="E3445" s="15"/>
      <c r="F3445" s="15"/>
      <c r="G3445" s="15"/>
      <c r="H3445" s="15"/>
      <c r="I3445" s="15"/>
      <c r="J3445" s="15"/>
      <c r="K3445" s="15"/>
      <c r="L3445" s="15"/>
      <c r="M3445" s="16"/>
      <c r="N3445" s="16"/>
      <c r="O3445" s="15"/>
      <c r="P3445" s="15"/>
    </row>
    <row r="3446">
      <c r="A3446" s="15"/>
      <c r="B3446" s="22"/>
      <c r="C3446" s="22"/>
      <c r="D3446" s="22"/>
      <c r="E3446" s="15"/>
      <c r="F3446" s="15"/>
      <c r="G3446" s="15"/>
      <c r="H3446" s="15"/>
      <c r="I3446" s="15"/>
      <c r="J3446" s="15"/>
      <c r="K3446" s="15"/>
      <c r="L3446" s="15"/>
      <c r="M3446" s="16"/>
      <c r="N3446" s="16"/>
      <c r="O3446" s="15"/>
      <c r="P3446" s="15"/>
    </row>
    <row r="3447">
      <c r="A3447" s="15"/>
      <c r="B3447" s="22"/>
      <c r="C3447" s="22"/>
      <c r="D3447" s="22"/>
      <c r="E3447" s="15"/>
      <c r="F3447" s="15"/>
      <c r="G3447" s="15"/>
      <c r="H3447" s="15"/>
      <c r="I3447" s="15"/>
      <c r="J3447" s="15"/>
      <c r="K3447" s="15"/>
      <c r="L3447" s="15"/>
      <c r="M3447" s="16"/>
      <c r="N3447" s="16"/>
      <c r="O3447" s="15"/>
      <c r="P3447" s="15"/>
    </row>
    <row r="3448">
      <c r="A3448" s="15"/>
      <c r="B3448" s="22"/>
      <c r="C3448" s="22"/>
      <c r="D3448" s="22"/>
      <c r="E3448" s="15"/>
      <c r="F3448" s="15"/>
      <c r="G3448" s="15"/>
      <c r="H3448" s="15"/>
      <c r="I3448" s="15"/>
      <c r="J3448" s="15"/>
      <c r="K3448" s="15"/>
      <c r="L3448" s="15"/>
      <c r="M3448" s="16"/>
      <c r="N3448" s="16"/>
      <c r="O3448" s="15"/>
      <c r="P3448" s="15"/>
    </row>
    <row r="3449">
      <c r="A3449" s="15"/>
      <c r="B3449" s="22"/>
      <c r="C3449" s="22"/>
      <c r="D3449" s="22"/>
      <c r="E3449" s="15"/>
      <c r="F3449" s="15"/>
      <c r="G3449" s="15"/>
      <c r="H3449" s="15"/>
      <c r="I3449" s="15"/>
      <c r="J3449" s="15"/>
      <c r="K3449" s="15"/>
      <c r="L3449" s="15"/>
      <c r="M3449" s="16"/>
      <c r="N3449" s="16"/>
      <c r="O3449" s="15"/>
      <c r="P3449" s="15"/>
    </row>
    <row r="3450">
      <c r="A3450" s="15"/>
      <c r="B3450" s="22"/>
      <c r="C3450" s="22"/>
      <c r="D3450" s="22"/>
      <c r="E3450" s="15"/>
      <c r="F3450" s="15"/>
      <c r="G3450" s="15"/>
      <c r="H3450" s="15"/>
      <c r="I3450" s="15"/>
      <c r="J3450" s="15"/>
      <c r="K3450" s="15"/>
      <c r="L3450" s="15"/>
      <c r="M3450" s="16"/>
      <c r="N3450" s="16"/>
      <c r="O3450" s="15"/>
      <c r="P3450" s="15"/>
    </row>
    <row r="3451">
      <c r="A3451" s="15"/>
      <c r="B3451" s="22"/>
      <c r="C3451" s="22"/>
      <c r="D3451" s="22"/>
      <c r="E3451" s="15"/>
      <c r="F3451" s="15"/>
      <c r="G3451" s="15"/>
      <c r="H3451" s="15"/>
      <c r="I3451" s="15"/>
      <c r="J3451" s="15"/>
      <c r="K3451" s="15"/>
      <c r="L3451" s="15"/>
      <c r="M3451" s="16"/>
      <c r="N3451" s="16"/>
      <c r="O3451" s="15"/>
      <c r="P3451" s="15"/>
    </row>
    <row r="3452">
      <c r="A3452" s="15"/>
      <c r="B3452" s="22"/>
      <c r="C3452" s="22"/>
      <c r="D3452" s="22"/>
      <c r="E3452" s="15"/>
      <c r="F3452" s="15"/>
      <c r="G3452" s="15"/>
      <c r="H3452" s="15"/>
      <c r="I3452" s="15"/>
      <c r="J3452" s="15"/>
      <c r="K3452" s="15"/>
      <c r="L3452" s="15"/>
      <c r="M3452" s="16"/>
      <c r="N3452" s="16"/>
      <c r="O3452" s="15"/>
      <c r="P3452" s="15"/>
    </row>
    <row r="3453">
      <c r="A3453" s="15"/>
      <c r="B3453" s="22"/>
      <c r="C3453" s="22"/>
      <c r="D3453" s="22"/>
      <c r="E3453" s="15"/>
      <c r="F3453" s="15"/>
      <c r="G3453" s="15"/>
      <c r="H3453" s="15"/>
      <c r="I3453" s="15"/>
      <c r="J3453" s="15"/>
      <c r="K3453" s="15"/>
      <c r="L3453" s="15"/>
      <c r="M3453" s="16"/>
      <c r="N3453" s="16"/>
      <c r="O3453" s="15"/>
      <c r="P3453" s="15"/>
    </row>
    <row r="3454">
      <c r="A3454" s="15"/>
      <c r="B3454" s="22"/>
      <c r="C3454" s="22"/>
      <c r="D3454" s="22"/>
      <c r="E3454" s="15"/>
      <c r="F3454" s="15"/>
      <c r="G3454" s="15"/>
      <c r="H3454" s="15"/>
      <c r="I3454" s="15"/>
      <c r="J3454" s="15"/>
      <c r="K3454" s="15"/>
      <c r="L3454" s="15"/>
      <c r="M3454" s="16"/>
      <c r="N3454" s="16"/>
      <c r="O3454" s="15"/>
      <c r="P3454" s="15"/>
    </row>
    <row r="3455">
      <c r="A3455" s="15"/>
      <c r="B3455" s="22"/>
      <c r="C3455" s="22"/>
      <c r="D3455" s="22"/>
      <c r="E3455" s="15"/>
      <c r="F3455" s="15"/>
      <c r="G3455" s="15"/>
      <c r="H3455" s="15"/>
      <c r="I3455" s="15"/>
      <c r="J3455" s="15"/>
      <c r="K3455" s="15"/>
      <c r="L3455" s="15"/>
      <c r="M3455" s="16"/>
      <c r="N3455" s="16"/>
      <c r="O3455" s="15"/>
      <c r="P3455" s="15"/>
    </row>
    <row r="3456">
      <c r="A3456" s="15"/>
      <c r="B3456" s="22"/>
      <c r="C3456" s="22"/>
      <c r="D3456" s="22"/>
      <c r="E3456" s="15"/>
      <c r="F3456" s="15"/>
      <c r="G3456" s="15"/>
      <c r="H3456" s="15"/>
      <c r="I3456" s="15"/>
      <c r="J3456" s="15"/>
      <c r="K3456" s="15"/>
      <c r="L3456" s="15"/>
      <c r="M3456" s="16"/>
      <c r="N3456" s="16"/>
      <c r="O3456" s="15"/>
      <c r="P3456" s="15"/>
    </row>
    <row r="3457">
      <c r="A3457" s="15"/>
      <c r="B3457" s="22"/>
      <c r="C3457" s="22"/>
      <c r="D3457" s="22"/>
      <c r="E3457" s="15"/>
      <c r="F3457" s="15"/>
      <c r="G3457" s="15"/>
      <c r="H3457" s="15"/>
      <c r="I3457" s="15"/>
      <c r="J3457" s="15"/>
      <c r="K3457" s="15"/>
      <c r="L3457" s="15"/>
      <c r="M3457" s="16"/>
      <c r="N3457" s="16"/>
      <c r="O3457" s="15"/>
      <c r="P3457" s="15"/>
    </row>
    <row r="3458">
      <c r="A3458" s="15"/>
      <c r="B3458" s="22"/>
      <c r="C3458" s="22"/>
      <c r="D3458" s="22"/>
      <c r="E3458" s="15"/>
      <c r="F3458" s="15"/>
      <c r="G3458" s="15"/>
      <c r="H3458" s="15"/>
      <c r="I3458" s="15"/>
      <c r="J3458" s="15"/>
      <c r="K3458" s="15"/>
      <c r="L3458" s="15"/>
      <c r="M3458" s="16"/>
      <c r="N3458" s="16"/>
      <c r="O3458" s="15"/>
      <c r="P3458" s="15"/>
    </row>
    <row r="3459">
      <c r="A3459" s="15"/>
      <c r="B3459" s="22"/>
      <c r="C3459" s="22"/>
      <c r="D3459" s="22"/>
      <c r="E3459" s="15"/>
      <c r="F3459" s="15"/>
      <c r="G3459" s="15"/>
      <c r="H3459" s="15"/>
      <c r="I3459" s="15"/>
      <c r="J3459" s="15"/>
      <c r="K3459" s="15"/>
      <c r="L3459" s="15"/>
      <c r="M3459" s="16"/>
      <c r="N3459" s="16"/>
      <c r="O3459" s="15"/>
      <c r="P3459" s="15"/>
    </row>
    <row r="3460">
      <c r="A3460" s="15"/>
      <c r="B3460" s="22"/>
      <c r="C3460" s="22"/>
      <c r="D3460" s="22"/>
      <c r="E3460" s="15"/>
      <c r="F3460" s="15"/>
      <c r="G3460" s="15"/>
      <c r="H3460" s="15"/>
      <c r="I3460" s="15"/>
      <c r="J3460" s="15"/>
      <c r="K3460" s="15"/>
      <c r="L3460" s="15"/>
      <c r="M3460" s="16"/>
      <c r="N3460" s="16"/>
      <c r="O3460" s="15"/>
      <c r="P3460" s="15"/>
    </row>
    <row r="3461">
      <c r="A3461" s="15"/>
      <c r="B3461" s="22"/>
      <c r="C3461" s="22"/>
      <c r="D3461" s="22"/>
      <c r="E3461" s="15"/>
      <c r="F3461" s="15"/>
      <c r="G3461" s="15"/>
      <c r="H3461" s="15"/>
      <c r="I3461" s="15"/>
      <c r="J3461" s="15"/>
      <c r="K3461" s="15"/>
      <c r="L3461" s="15"/>
      <c r="M3461" s="16"/>
      <c r="N3461" s="16"/>
      <c r="O3461" s="15"/>
      <c r="P3461" s="15"/>
    </row>
    <row r="3462">
      <c r="A3462" s="15"/>
      <c r="B3462" s="22"/>
      <c r="C3462" s="22"/>
      <c r="D3462" s="22"/>
      <c r="E3462" s="15"/>
      <c r="F3462" s="15"/>
      <c r="G3462" s="15"/>
      <c r="H3462" s="15"/>
      <c r="I3462" s="15"/>
      <c r="J3462" s="15"/>
      <c r="K3462" s="15"/>
      <c r="L3462" s="15"/>
      <c r="M3462" s="16"/>
      <c r="N3462" s="16"/>
      <c r="O3462" s="15"/>
      <c r="P3462" s="15"/>
    </row>
    <row r="3463">
      <c r="A3463" s="15"/>
      <c r="B3463" s="22"/>
      <c r="C3463" s="22"/>
      <c r="D3463" s="22"/>
      <c r="E3463" s="15"/>
      <c r="F3463" s="15"/>
      <c r="G3463" s="15"/>
      <c r="H3463" s="15"/>
      <c r="I3463" s="15"/>
      <c r="J3463" s="15"/>
      <c r="K3463" s="15"/>
      <c r="L3463" s="15"/>
      <c r="M3463" s="16"/>
      <c r="N3463" s="16"/>
      <c r="O3463" s="15"/>
      <c r="P3463" s="15"/>
    </row>
    <row r="3464">
      <c r="A3464" s="15"/>
      <c r="B3464" s="22"/>
      <c r="C3464" s="22"/>
      <c r="D3464" s="22"/>
      <c r="E3464" s="15"/>
      <c r="F3464" s="15"/>
      <c r="G3464" s="15"/>
      <c r="H3464" s="15"/>
      <c r="I3464" s="15"/>
      <c r="J3464" s="15"/>
      <c r="K3464" s="15"/>
      <c r="L3464" s="15"/>
      <c r="M3464" s="16"/>
      <c r="N3464" s="16"/>
      <c r="O3464" s="15"/>
      <c r="P3464" s="15"/>
    </row>
    <row r="3465">
      <c r="A3465" s="15"/>
      <c r="B3465" s="22"/>
      <c r="C3465" s="22"/>
      <c r="D3465" s="22"/>
      <c r="E3465" s="15"/>
      <c r="F3465" s="15"/>
      <c r="G3465" s="15"/>
      <c r="H3465" s="15"/>
      <c r="I3465" s="15"/>
      <c r="J3465" s="15"/>
      <c r="K3465" s="15"/>
      <c r="L3465" s="15"/>
      <c r="M3465" s="16"/>
      <c r="N3465" s="16"/>
      <c r="O3465" s="15"/>
      <c r="P3465" s="15"/>
    </row>
    <row r="3466">
      <c r="A3466" s="15"/>
      <c r="B3466" s="22"/>
      <c r="C3466" s="22"/>
      <c r="D3466" s="22"/>
      <c r="E3466" s="15"/>
      <c r="F3466" s="15"/>
      <c r="G3466" s="15"/>
      <c r="H3466" s="15"/>
      <c r="I3466" s="15"/>
      <c r="J3466" s="15"/>
      <c r="K3466" s="15"/>
      <c r="L3466" s="15"/>
      <c r="M3466" s="16"/>
      <c r="N3466" s="16"/>
      <c r="O3466" s="15"/>
      <c r="P3466" s="15"/>
    </row>
    <row r="3467">
      <c r="A3467" s="15"/>
      <c r="B3467" s="22"/>
      <c r="C3467" s="22"/>
      <c r="D3467" s="22"/>
      <c r="E3467" s="15"/>
      <c r="F3467" s="15"/>
      <c r="G3467" s="15"/>
      <c r="H3467" s="15"/>
      <c r="I3467" s="15"/>
      <c r="J3467" s="15"/>
      <c r="K3467" s="15"/>
      <c r="L3467" s="15"/>
      <c r="M3467" s="16"/>
      <c r="N3467" s="16"/>
      <c r="O3467" s="15"/>
      <c r="P3467" s="15"/>
    </row>
    <row r="3468">
      <c r="A3468" s="15"/>
      <c r="B3468" s="22"/>
      <c r="C3468" s="22"/>
      <c r="D3468" s="22"/>
      <c r="E3468" s="15"/>
      <c r="F3468" s="15"/>
      <c r="G3468" s="15"/>
      <c r="H3468" s="15"/>
      <c r="I3468" s="15"/>
      <c r="J3468" s="15"/>
      <c r="K3468" s="15"/>
      <c r="L3468" s="15"/>
      <c r="M3468" s="16"/>
      <c r="N3468" s="16"/>
      <c r="O3468" s="15"/>
      <c r="P3468" s="15"/>
    </row>
    <row r="3469">
      <c r="A3469" s="15"/>
      <c r="B3469" s="22"/>
      <c r="C3469" s="22"/>
      <c r="D3469" s="22"/>
      <c r="E3469" s="15"/>
      <c r="F3469" s="15"/>
      <c r="G3469" s="15"/>
      <c r="H3469" s="15"/>
      <c r="I3469" s="15"/>
      <c r="J3469" s="15"/>
      <c r="K3469" s="15"/>
      <c r="L3469" s="15"/>
      <c r="M3469" s="16"/>
      <c r="N3469" s="16"/>
      <c r="O3469" s="15"/>
      <c r="P3469" s="15"/>
    </row>
    <row r="3470">
      <c r="A3470" s="15"/>
      <c r="B3470" s="22"/>
      <c r="C3470" s="22"/>
      <c r="D3470" s="22"/>
      <c r="E3470" s="15"/>
      <c r="F3470" s="15"/>
      <c r="G3470" s="15"/>
      <c r="H3470" s="15"/>
      <c r="I3470" s="15"/>
      <c r="J3470" s="15"/>
      <c r="K3470" s="15"/>
      <c r="L3470" s="15"/>
      <c r="M3470" s="16"/>
      <c r="N3470" s="16"/>
      <c r="O3470" s="15"/>
      <c r="P3470" s="15"/>
    </row>
    <row r="3471">
      <c r="A3471" s="15"/>
      <c r="B3471" s="22"/>
      <c r="C3471" s="22"/>
      <c r="D3471" s="22"/>
      <c r="E3471" s="15"/>
      <c r="F3471" s="15"/>
      <c r="G3471" s="15"/>
      <c r="H3471" s="15"/>
      <c r="I3471" s="15"/>
      <c r="J3471" s="15"/>
      <c r="K3471" s="15"/>
      <c r="L3471" s="15"/>
      <c r="M3471" s="16"/>
      <c r="N3471" s="16"/>
      <c r="O3471" s="15"/>
      <c r="P3471" s="15"/>
    </row>
    <row r="3472">
      <c r="A3472" s="15"/>
      <c r="B3472" s="22"/>
      <c r="C3472" s="22"/>
      <c r="D3472" s="22"/>
      <c r="E3472" s="15"/>
      <c r="F3472" s="15"/>
      <c r="G3472" s="15"/>
      <c r="H3472" s="15"/>
      <c r="I3472" s="15"/>
      <c r="J3472" s="15"/>
      <c r="K3472" s="15"/>
      <c r="L3472" s="15"/>
      <c r="M3472" s="16"/>
      <c r="N3472" s="16"/>
      <c r="O3472" s="15"/>
      <c r="P3472" s="15"/>
    </row>
    <row r="3473">
      <c r="A3473" s="15"/>
      <c r="B3473" s="22"/>
      <c r="C3473" s="22"/>
      <c r="D3473" s="22"/>
      <c r="E3473" s="15"/>
      <c r="F3473" s="15"/>
      <c r="G3473" s="15"/>
      <c r="H3473" s="15"/>
      <c r="I3473" s="15"/>
      <c r="J3473" s="15"/>
      <c r="K3473" s="15"/>
      <c r="L3473" s="15"/>
      <c r="M3473" s="16"/>
      <c r="N3473" s="16"/>
      <c r="O3473" s="15"/>
      <c r="P3473" s="15"/>
    </row>
    <row r="3474">
      <c r="A3474" s="15"/>
      <c r="B3474" s="22"/>
      <c r="C3474" s="22"/>
      <c r="D3474" s="22"/>
      <c r="E3474" s="15"/>
      <c r="F3474" s="15"/>
      <c r="G3474" s="15"/>
      <c r="H3474" s="15"/>
      <c r="I3474" s="15"/>
      <c r="J3474" s="15"/>
      <c r="K3474" s="15"/>
      <c r="L3474" s="15"/>
      <c r="M3474" s="16"/>
      <c r="N3474" s="16"/>
      <c r="O3474" s="15"/>
      <c r="P3474" s="15"/>
    </row>
    <row r="3475">
      <c r="A3475" s="15"/>
      <c r="B3475" s="22"/>
      <c r="C3475" s="22"/>
      <c r="D3475" s="22"/>
      <c r="E3475" s="15"/>
      <c r="F3475" s="15"/>
      <c r="G3475" s="15"/>
      <c r="H3475" s="15"/>
      <c r="I3475" s="15"/>
      <c r="J3475" s="15"/>
      <c r="K3475" s="15"/>
      <c r="L3475" s="15"/>
      <c r="M3475" s="16"/>
      <c r="N3475" s="16"/>
      <c r="O3475" s="15"/>
      <c r="P3475" s="15"/>
    </row>
    <row r="3476">
      <c r="A3476" s="15"/>
      <c r="B3476" s="22"/>
      <c r="C3476" s="22"/>
      <c r="D3476" s="22"/>
      <c r="E3476" s="15"/>
      <c r="F3476" s="15"/>
      <c r="G3476" s="15"/>
      <c r="H3476" s="15"/>
      <c r="I3476" s="15"/>
      <c r="J3476" s="15"/>
      <c r="K3476" s="15"/>
      <c r="L3476" s="15"/>
      <c r="M3476" s="16"/>
      <c r="N3476" s="16"/>
      <c r="O3476" s="15"/>
      <c r="P3476" s="15"/>
    </row>
    <row r="3477">
      <c r="A3477" s="15"/>
      <c r="B3477" s="22"/>
      <c r="C3477" s="22"/>
      <c r="D3477" s="22"/>
      <c r="E3477" s="15"/>
      <c r="F3477" s="15"/>
      <c r="G3477" s="15"/>
      <c r="H3477" s="15"/>
      <c r="I3477" s="15"/>
      <c r="J3477" s="15"/>
      <c r="K3477" s="15"/>
      <c r="L3477" s="15"/>
      <c r="M3477" s="16"/>
      <c r="N3477" s="16"/>
      <c r="O3477" s="15"/>
      <c r="P3477" s="15"/>
    </row>
    <row r="3478">
      <c r="A3478" s="15"/>
      <c r="B3478" s="22"/>
      <c r="C3478" s="22"/>
      <c r="D3478" s="22"/>
      <c r="E3478" s="15"/>
      <c r="F3478" s="15"/>
      <c r="G3478" s="15"/>
      <c r="H3478" s="15"/>
      <c r="I3478" s="15"/>
      <c r="J3478" s="15"/>
      <c r="K3478" s="15"/>
      <c r="L3478" s="15"/>
      <c r="M3478" s="16"/>
      <c r="N3478" s="16"/>
      <c r="O3478" s="15"/>
      <c r="P3478" s="15"/>
    </row>
    <row r="3479">
      <c r="A3479" s="15"/>
      <c r="B3479" s="22"/>
      <c r="C3479" s="22"/>
      <c r="D3479" s="22"/>
      <c r="E3479" s="15"/>
      <c r="F3479" s="15"/>
      <c r="G3479" s="15"/>
      <c r="H3479" s="15"/>
      <c r="I3479" s="15"/>
      <c r="J3479" s="15"/>
      <c r="K3479" s="15"/>
      <c r="L3479" s="15"/>
      <c r="M3479" s="16"/>
      <c r="N3479" s="16"/>
      <c r="O3479" s="15"/>
      <c r="P3479" s="15"/>
    </row>
    <row r="3480">
      <c r="A3480" s="15"/>
      <c r="B3480" s="22"/>
      <c r="C3480" s="22"/>
      <c r="D3480" s="22"/>
      <c r="E3480" s="15"/>
      <c r="F3480" s="15"/>
      <c r="G3480" s="15"/>
      <c r="H3480" s="15"/>
      <c r="I3480" s="15"/>
      <c r="J3480" s="15"/>
      <c r="K3480" s="15"/>
      <c r="L3480" s="15"/>
      <c r="M3480" s="16"/>
      <c r="N3480" s="16"/>
      <c r="O3480" s="15"/>
      <c r="P3480" s="15"/>
    </row>
    <row r="3481">
      <c r="A3481" s="15"/>
      <c r="B3481" s="22"/>
      <c r="C3481" s="22"/>
      <c r="D3481" s="22"/>
      <c r="E3481" s="15"/>
      <c r="F3481" s="15"/>
      <c r="G3481" s="15"/>
      <c r="H3481" s="15"/>
      <c r="I3481" s="15"/>
      <c r="J3481" s="15"/>
      <c r="K3481" s="15"/>
      <c r="L3481" s="15"/>
      <c r="M3481" s="16"/>
      <c r="N3481" s="16"/>
      <c r="O3481" s="15"/>
      <c r="P3481" s="15"/>
    </row>
    <row r="3482">
      <c r="A3482" s="15"/>
      <c r="B3482" s="22"/>
      <c r="C3482" s="22"/>
      <c r="D3482" s="22"/>
      <c r="E3482" s="15"/>
      <c r="F3482" s="15"/>
      <c r="G3482" s="15"/>
      <c r="H3482" s="15"/>
      <c r="I3482" s="15"/>
      <c r="J3482" s="15"/>
      <c r="K3482" s="15"/>
      <c r="L3482" s="15"/>
      <c r="M3482" s="16"/>
      <c r="N3482" s="16"/>
      <c r="O3482" s="15"/>
      <c r="P3482" s="15"/>
    </row>
    <row r="3483">
      <c r="A3483" s="15"/>
      <c r="B3483" s="22"/>
      <c r="C3483" s="22"/>
      <c r="D3483" s="22"/>
      <c r="E3483" s="15"/>
      <c r="F3483" s="15"/>
      <c r="G3483" s="15"/>
      <c r="H3483" s="15"/>
      <c r="I3483" s="15"/>
      <c r="J3483" s="15"/>
      <c r="K3483" s="15"/>
      <c r="L3483" s="15"/>
      <c r="M3483" s="16"/>
      <c r="N3483" s="16"/>
      <c r="O3483" s="15"/>
      <c r="P3483" s="15"/>
    </row>
    <row r="3484">
      <c r="A3484" s="15"/>
      <c r="B3484" s="22"/>
      <c r="C3484" s="22"/>
      <c r="D3484" s="22"/>
      <c r="E3484" s="15"/>
      <c r="F3484" s="15"/>
      <c r="G3484" s="15"/>
      <c r="H3484" s="15"/>
      <c r="I3484" s="15"/>
      <c r="J3484" s="15"/>
      <c r="K3484" s="15"/>
      <c r="L3484" s="15"/>
      <c r="M3484" s="16"/>
      <c r="N3484" s="16"/>
      <c r="O3484" s="15"/>
      <c r="P3484" s="15"/>
    </row>
    <row r="3485">
      <c r="A3485" s="15"/>
      <c r="B3485" s="22"/>
      <c r="C3485" s="22"/>
      <c r="D3485" s="22"/>
      <c r="E3485" s="15"/>
      <c r="F3485" s="15"/>
      <c r="G3485" s="15"/>
      <c r="H3485" s="15"/>
      <c r="I3485" s="15"/>
      <c r="J3485" s="15"/>
      <c r="K3485" s="15"/>
      <c r="L3485" s="15"/>
      <c r="M3485" s="16"/>
      <c r="N3485" s="16"/>
      <c r="O3485" s="15"/>
      <c r="P3485" s="15"/>
    </row>
    <row r="3486">
      <c r="A3486" s="15"/>
      <c r="B3486" s="22"/>
      <c r="C3486" s="22"/>
      <c r="D3486" s="22"/>
      <c r="E3486" s="15"/>
      <c r="F3486" s="15"/>
      <c r="G3486" s="15"/>
      <c r="H3486" s="15"/>
      <c r="I3486" s="15"/>
      <c r="J3486" s="15"/>
      <c r="K3486" s="15"/>
      <c r="L3486" s="15"/>
      <c r="M3486" s="16"/>
      <c r="N3486" s="16"/>
      <c r="O3486" s="15"/>
      <c r="P3486" s="15"/>
    </row>
    <row r="3487">
      <c r="A3487" s="15"/>
      <c r="B3487" s="22"/>
      <c r="C3487" s="22"/>
      <c r="D3487" s="22"/>
      <c r="E3487" s="15"/>
      <c r="F3487" s="15"/>
      <c r="G3487" s="15"/>
      <c r="H3487" s="15"/>
      <c r="I3487" s="15"/>
      <c r="J3487" s="15"/>
      <c r="K3487" s="15"/>
      <c r="L3487" s="15"/>
      <c r="M3487" s="16"/>
      <c r="N3487" s="16"/>
      <c r="O3487" s="15"/>
      <c r="P3487" s="15"/>
    </row>
    <row r="3488">
      <c r="A3488" s="15"/>
      <c r="B3488" s="22"/>
      <c r="C3488" s="22"/>
      <c r="D3488" s="22"/>
      <c r="E3488" s="15"/>
      <c r="F3488" s="15"/>
      <c r="G3488" s="15"/>
      <c r="H3488" s="15"/>
      <c r="I3488" s="15"/>
      <c r="J3488" s="15"/>
      <c r="K3488" s="15"/>
      <c r="L3488" s="15"/>
      <c r="M3488" s="16"/>
      <c r="N3488" s="16"/>
      <c r="O3488" s="15"/>
      <c r="P3488" s="15"/>
    </row>
    <row r="3489">
      <c r="A3489" s="15"/>
      <c r="B3489" s="22"/>
      <c r="C3489" s="22"/>
      <c r="D3489" s="22"/>
      <c r="E3489" s="15"/>
      <c r="F3489" s="15"/>
      <c r="G3489" s="15"/>
      <c r="H3489" s="15"/>
      <c r="I3489" s="15"/>
      <c r="J3489" s="15"/>
      <c r="K3489" s="15"/>
      <c r="L3489" s="15"/>
      <c r="M3489" s="16"/>
      <c r="N3489" s="16"/>
      <c r="O3489" s="15"/>
      <c r="P3489" s="15"/>
    </row>
    <row r="3490">
      <c r="A3490" s="15"/>
      <c r="B3490" s="22"/>
      <c r="C3490" s="22"/>
      <c r="D3490" s="22"/>
      <c r="E3490" s="15"/>
      <c r="F3490" s="15"/>
      <c r="G3490" s="15"/>
      <c r="H3490" s="15"/>
      <c r="I3490" s="15"/>
      <c r="J3490" s="15"/>
      <c r="K3490" s="15"/>
      <c r="L3490" s="15"/>
      <c r="M3490" s="16"/>
      <c r="N3490" s="16"/>
      <c r="O3490" s="15"/>
      <c r="P3490" s="15"/>
    </row>
    <row r="3491">
      <c r="A3491" s="15"/>
      <c r="B3491" s="22"/>
      <c r="C3491" s="22"/>
      <c r="D3491" s="22"/>
      <c r="E3491" s="15"/>
      <c r="F3491" s="15"/>
      <c r="G3491" s="15"/>
      <c r="H3491" s="15"/>
      <c r="I3491" s="15"/>
      <c r="J3491" s="15"/>
      <c r="K3491" s="15"/>
      <c r="L3491" s="15"/>
      <c r="M3491" s="16"/>
      <c r="N3491" s="16"/>
      <c r="O3491" s="15"/>
      <c r="P3491" s="15"/>
    </row>
    <row r="3492">
      <c r="A3492" s="15"/>
      <c r="B3492" s="22"/>
      <c r="C3492" s="22"/>
      <c r="D3492" s="22"/>
      <c r="E3492" s="15"/>
      <c r="F3492" s="15"/>
      <c r="G3492" s="15"/>
      <c r="H3492" s="15"/>
      <c r="I3492" s="15"/>
      <c r="J3492" s="15"/>
      <c r="K3492" s="15"/>
      <c r="L3492" s="15"/>
      <c r="M3492" s="16"/>
      <c r="N3492" s="16"/>
      <c r="O3492" s="15"/>
      <c r="P3492" s="15"/>
    </row>
    <row r="3493">
      <c r="A3493" s="15"/>
      <c r="B3493" s="22"/>
      <c r="C3493" s="22"/>
      <c r="D3493" s="22"/>
      <c r="E3493" s="15"/>
      <c r="F3493" s="15"/>
      <c r="G3493" s="15"/>
      <c r="H3493" s="15"/>
      <c r="I3493" s="15"/>
      <c r="J3493" s="15"/>
      <c r="K3493" s="15"/>
      <c r="L3493" s="15"/>
      <c r="M3493" s="16"/>
      <c r="N3493" s="16"/>
      <c r="O3493" s="15"/>
      <c r="P3493" s="15"/>
    </row>
    <row r="3494">
      <c r="A3494" s="15"/>
      <c r="B3494" s="22"/>
      <c r="C3494" s="22"/>
      <c r="D3494" s="22"/>
      <c r="E3494" s="15"/>
      <c r="F3494" s="15"/>
      <c r="G3494" s="15"/>
      <c r="H3494" s="15"/>
      <c r="I3494" s="15"/>
      <c r="J3494" s="15"/>
      <c r="K3494" s="15"/>
      <c r="L3494" s="15"/>
      <c r="M3494" s="16"/>
      <c r="N3494" s="16"/>
      <c r="O3494" s="15"/>
      <c r="P3494" s="15"/>
    </row>
    <row r="3495">
      <c r="A3495" s="15"/>
      <c r="B3495" s="22"/>
      <c r="C3495" s="22"/>
      <c r="D3495" s="22"/>
      <c r="E3495" s="15"/>
      <c r="F3495" s="15"/>
      <c r="G3495" s="15"/>
      <c r="H3495" s="15"/>
      <c r="I3495" s="15"/>
      <c r="J3495" s="15"/>
      <c r="K3495" s="15"/>
      <c r="L3495" s="15"/>
      <c r="M3495" s="16"/>
      <c r="N3495" s="16"/>
      <c r="O3495" s="15"/>
      <c r="P3495" s="15"/>
    </row>
    <row r="3496">
      <c r="A3496" s="15"/>
      <c r="B3496" s="22"/>
      <c r="C3496" s="22"/>
      <c r="D3496" s="22"/>
      <c r="E3496" s="15"/>
      <c r="F3496" s="15"/>
      <c r="G3496" s="15"/>
      <c r="H3496" s="15"/>
      <c r="I3496" s="15"/>
      <c r="J3496" s="15"/>
      <c r="K3496" s="15"/>
      <c r="L3496" s="15"/>
      <c r="M3496" s="16"/>
      <c r="N3496" s="16"/>
      <c r="O3496" s="15"/>
      <c r="P3496" s="15"/>
    </row>
    <row r="3497">
      <c r="A3497" s="15"/>
      <c r="B3497" s="22"/>
      <c r="C3497" s="22"/>
      <c r="D3497" s="22"/>
      <c r="E3497" s="15"/>
      <c r="F3497" s="15"/>
      <c r="G3497" s="15"/>
      <c r="H3497" s="15"/>
      <c r="I3497" s="15"/>
      <c r="J3497" s="15"/>
      <c r="K3497" s="15"/>
      <c r="L3497" s="15"/>
      <c r="M3497" s="16"/>
      <c r="N3497" s="16"/>
      <c r="O3497" s="15"/>
      <c r="P3497" s="15"/>
    </row>
    <row r="3498">
      <c r="A3498" s="15"/>
      <c r="B3498" s="22"/>
      <c r="C3498" s="22"/>
      <c r="D3498" s="22"/>
      <c r="E3498" s="15"/>
      <c r="F3498" s="15"/>
      <c r="G3498" s="15"/>
      <c r="H3498" s="15"/>
      <c r="I3498" s="15"/>
      <c r="J3498" s="15"/>
      <c r="K3498" s="15"/>
      <c r="L3498" s="15"/>
      <c r="M3498" s="16"/>
      <c r="N3498" s="16"/>
      <c r="O3498" s="15"/>
      <c r="P3498" s="15"/>
    </row>
    <row r="3499">
      <c r="A3499" s="15"/>
      <c r="B3499" s="22"/>
      <c r="C3499" s="22"/>
      <c r="D3499" s="22"/>
      <c r="E3499" s="15"/>
      <c r="F3499" s="15"/>
      <c r="G3499" s="15"/>
      <c r="H3499" s="15"/>
      <c r="I3499" s="15"/>
      <c r="J3499" s="15"/>
      <c r="K3499" s="15"/>
      <c r="L3499" s="15"/>
      <c r="M3499" s="16"/>
      <c r="N3499" s="16"/>
      <c r="O3499" s="15"/>
      <c r="P3499" s="15"/>
    </row>
    <row r="3500">
      <c r="A3500" s="15"/>
      <c r="B3500" s="22"/>
      <c r="C3500" s="22"/>
      <c r="D3500" s="22"/>
      <c r="E3500" s="15"/>
      <c r="F3500" s="15"/>
      <c r="G3500" s="15"/>
      <c r="H3500" s="15"/>
      <c r="I3500" s="15"/>
      <c r="J3500" s="15"/>
      <c r="K3500" s="15"/>
      <c r="L3500" s="15"/>
      <c r="M3500" s="16"/>
      <c r="N3500" s="16"/>
      <c r="O3500" s="15"/>
      <c r="P3500" s="15"/>
    </row>
    <row r="3501">
      <c r="A3501" s="15"/>
      <c r="B3501" s="22"/>
      <c r="C3501" s="22"/>
      <c r="D3501" s="22"/>
      <c r="E3501" s="15"/>
      <c r="F3501" s="15"/>
      <c r="G3501" s="15"/>
      <c r="H3501" s="15"/>
      <c r="I3501" s="15"/>
      <c r="J3501" s="15"/>
      <c r="K3501" s="15"/>
      <c r="L3501" s="15"/>
      <c r="M3501" s="16"/>
      <c r="N3501" s="16"/>
      <c r="O3501" s="15"/>
      <c r="P3501" s="15"/>
    </row>
    <row r="3502">
      <c r="A3502" s="15"/>
      <c r="B3502" s="22"/>
      <c r="C3502" s="22"/>
      <c r="D3502" s="22"/>
      <c r="E3502" s="15"/>
      <c r="F3502" s="15"/>
      <c r="G3502" s="15"/>
      <c r="H3502" s="15"/>
      <c r="I3502" s="15"/>
      <c r="J3502" s="15"/>
      <c r="K3502" s="15"/>
      <c r="L3502" s="15"/>
      <c r="M3502" s="16"/>
      <c r="N3502" s="16"/>
      <c r="O3502" s="15"/>
      <c r="P3502" s="15"/>
    </row>
    <row r="3503">
      <c r="A3503" s="15"/>
      <c r="B3503" s="22"/>
      <c r="C3503" s="22"/>
      <c r="D3503" s="22"/>
      <c r="E3503" s="15"/>
      <c r="F3503" s="15"/>
      <c r="G3503" s="15"/>
      <c r="H3503" s="15"/>
      <c r="I3503" s="15"/>
      <c r="J3503" s="15"/>
      <c r="K3503" s="15"/>
      <c r="L3503" s="15"/>
      <c r="M3503" s="16"/>
      <c r="N3503" s="16"/>
      <c r="O3503" s="15"/>
      <c r="P3503" s="15"/>
    </row>
    <row r="3504">
      <c r="A3504" s="15"/>
      <c r="B3504" s="22"/>
      <c r="C3504" s="22"/>
      <c r="D3504" s="22"/>
      <c r="E3504" s="15"/>
      <c r="F3504" s="15"/>
      <c r="G3504" s="15"/>
      <c r="H3504" s="15"/>
      <c r="I3504" s="15"/>
      <c r="J3504" s="15"/>
      <c r="K3504" s="15"/>
      <c r="L3504" s="15"/>
      <c r="M3504" s="16"/>
      <c r="N3504" s="16"/>
      <c r="O3504" s="15"/>
      <c r="P3504" s="15"/>
    </row>
    <row r="3505">
      <c r="A3505" s="15"/>
      <c r="B3505" s="22"/>
      <c r="C3505" s="22"/>
      <c r="D3505" s="22"/>
      <c r="E3505" s="15"/>
      <c r="F3505" s="15"/>
      <c r="G3505" s="15"/>
      <c r="H3505" s="15"/>
      <c r="I3505" s="15"/>
      <c r="J3505" s="15"/>
      <c r="K3505" s="15"/>
      <c r="L3505" s="15"/>
      <c r="M3505" s="16"/>
      <c r="N3505" s="16"/>
      <c r="O3505" s="15"/>
      <c r="P3505" s="15"/>
    </row>
    <row r="3506">
      <c r="A3506" s="15"/>
      <c r="B3506" s="22"/>
      <c r="C3506" s="22"/>
      <c r="D3506" s="22"/>
      <c r="E3506" s="15"/>
      <c r="F3506" s="15"/>
      <c r="G3506" s="15"/>
      <c r="H3506" s="15"/>
      <c r="I3506" s="15"/>
      <c r="J3506" s="15"/>
      <c r="K3506" s="15"/>
      <c r="L3506" s="15"/>
      <c r="M3506" s="16"/>
      <c r="N3506" s="16"/>
      <c r="O3506" s="15"/>
      <c r="P3506" s="15"/>
    </row>
    <row r="3507">
      <c r="A3507" s="15"/>
      <c r="B3507" s="22"/>
      <c r="C3507" s="22"/>
      <c r="D3507" s="22"/>
      <c r="E3507" s="15"/>
      <c r="F3507" s="15"/>
      <c r="G3507" s="15"/>
      <c r="H3507" s="15"/>
      <c r="I3507" s="15"/>
      <c r="J3507" s="15"/>
      <c r="K3507" s="15"/>
      <c r="L3507" s="15"/>
      <c r="M3507" s="16"/>
      <c r="N3507" s="16"/>
      <c r="O3507" s="15"/>
      <c r="P3507" s="15"/>
    </row>
    <row r="3508">
      <c r="A3508" s="15"/>
      <c r="B3508" s="22"/>
      <c r="C3508" s="22"/>
      <c r="D3508" s="22"/>
      <c r="E3508" s="15"/>
      <c r="F3508" s="15"/>
      <c r="G3508" s="15"/>
      <c r="H3508" s="15"/>
      <c r="I3508" s="15"/>
      <c r="J3508" s="15"/>
      <c r="K3508" s="15"/>
      <c r="L3508" s="15"/>
      <c r="M3508" s="16"/>
      <c r="N3508" s="16"/>
      <c r="O3508" s="15"/>
      <c r="P3508" s="15"/>
    </row>
    <row r="3509">
      <c r="A3509" s="15"/>
      <c r="B3509" s="22"/>
      <c r="C3509" s="22"/>
      <c r="D3509" s="22"/>
      <c r="E3509" s="15"/>
      <c r="F3509" s="15"/>
      <c r="G3509" s="15"/>
      <c r="H3509" s="15"/>
      <c r="I3509" s="15"/>
      <c r="J3509" s="15"/>
      <c r="K3509" s="15"/>
      <c r="L3509" s="15"/>
      <c r="M3509" s="16"/>
      <c r="N3509" s="16"/>
      <c r="O3509" s="15"/>
      <c r="P3509" s="15"/>
    </row>
    <row r="3510">
      <c r="A3510" s="15"/>
      <c r="B3510" s="22"/>
      <c r="C3510" s="22"/>
      <c r="D3510" s="22"/>
      <c r="E3510" s="15"/>
      <c r="F3510" s="15"/>
      <c r="G3510" s="15"/>
      <c r="H3510" s="15"/>
      <c r="I3510" s="15"/>
      <c r="J3510" s="15"/>
      <c r="K3510" s="15"/>
      <c r="L3510" s="15"/>
      <c r="M3510" s="16"/>
      <c r="N3510" s="16"/>
      <c r="O3510" s="15"/>
      <c r="P3510" s="15"/>
    </row>
    <row r="3511">
      <c r="A3511" s="15"/>
      <c r="B3511" s="22"/>
      <c r="C3511" s="22"/>
      <c r="D3511" s="22"/>
      <c r="E3511" s="15"/>
      <c r="F3511" s="15"/>
      <c r="G3511" s="15"/>
      <c r="H3511" s="15"/>
      <c r="I3511" s="15"/>
      <c r="J3511" s="15"/>
      <c r="K3511" s="15"/>
      <c r="L3511" s="15"/>
      <c r="M3511" s="16"/>
      <c r="N3511" s="16"/>
      <c r="O3511" s="15"/>
      <c r="P3511" s="15"/>
    </row>
    <row r="3512">
      <c r="A3512" s="15"/>
      <c r="B3512" s="22"/>
      <c r="C3512" s="22"/>
      <c r="D3512" s="22"/>
      <c r="E3512" s="15"/>
      <c r="F3512" s="15"/>
      <c r="G3512" s="15"/>
      <c r="H3512" s="15"/>
      <c r="I3512" s="15"/>
      <c r="J3512" s="15"/>
      <c r="K3512" s="15"/>
      <c r="L3512" s="15"/>
      <c r="M3512" s="16"/>
      <c r="N3512" s="16"/>
      <c r="O3512" s="15"/>
      <c r="P3512" s="15"/>
    </row>
    <row r="3513">
      <c r="A3513" s="15"/>
      <c r="B3513" s="22"/>
      <c r="C3513" s="22"/>
      <c r="D3513" s="22"/>
      <c r="E3513" s="15"/>
      <c r="F3513" s="15"/>
      <c r="G3513" s="15"/>
      <c r="H3513" s="15"/>
      <c r="I3513" s="15"/>
      <c r="J3513" s="15"/>
      <c r="K3513" s="15"/>
      <c r="L3513" s="15"/>
      <c r="M3513" s="16"/>
      <c r="N3513" s="16"/>
      <c r="O3513" s="15"/>
      <c r="P3513" s="15"/>
    </row>
    <row r="3514">
      <c r="A3514" s="15"/>
      <c r="B3514" s="22"/>
      <c r="C3514" s="22"/>
      <c r="D3514" s="22"/>
      <c r="E3514" s="15"/>
      <c r="F3514" s="15"/>
      <c r="G3514" s="15"/>
      <c r="H3514" s="15"/>
      <c r="I3514" s="15"/>
      <c r="J3514" s="15"/>
      <c r="K3514" s="15"/>
      <c r="L3514" s="15"/>
      <c r="M3514" s="16"/>
      <c r="N3514" s="16"/>
      <c r="O3514" s="15"/>
      <c r="P3514" s="15"/>
    </row>
    <row r="3515">
      <c r="A3515" s="15"/>
      <c r="B3515" s="22"/>
      <c r="C3515" s="22"/>
      <c r="D3515" s="22"/>
      <c r="E3515" s="15"/>
      <c r="F3515" s="15"/>
      <c r="G3515" s="15"/>
      <c r="H3515" s="15"/>
      <c r="I3515" s="15"/>
      <c r="J3515" s="15"/>
      <c r="K3515" s="15"/>
      <c r="L3515" s="15"/>
      <c r="M3515" s="16"/>
      <c r="N3515" s="16"/>
      <c r="O3515" s="15"/>
      <c r="P3515" s="15"/>
    </row>
    <row r="3516">
      <c r="A3516" s="15"/>
      <c r="B3516" s="22"/>
      <c r="C3516" s="22"/>
      <c r="D3516" s="22"/>
      <c r="E3516" s="15"/>
      <c r="F3516" s="15"/>
      <c r="G3516" s="15"/>
      <c r="H3516" s="15"/>
      <c r="I3516" s="15"/>
      <c r="J3516" s="15"/>
      <c r="K3516" s="15"/>
      <c r="L3516" s="15"/>
      <c r="M3516" s="16"/>
      <c r="N3516" s="16"/>
      <c r="O3516" s="15"/>
      <c r="P3516" s="15"/>
    </row>
    <row r="3517">
      <c r="A3517" s="15"/>
      <c r="B3517" s="22"/>
      <c r="C3517" s="22"/>
      <c r="D3517" s="22"/>
      <c r="E3517" s="15"/>
      <c r="F3517" s="15"/>
      <c r="G3517" s="15"/>
      <c r="H3517" s="15"/>
      <c r="I3517" s="15"/>
      <c r="J3517" s="15"/>
      <c r="K3517" s="15"/>
      <c r="L3517" s="15"/>
      <c r="M3517" s="16"/>
      <c r="N3517" s="16"/>
      <c r="O3517" s="15"/>
      <c r="P3517" s="15"/>
    </row>
    <row r="3518">
      <c r="A3518" s="15"/>
      <c r="B3518" s="22"/>
      <c r="C3518" s="22"/>
      <c r="D3518" s="22"/>
      <c r="E3518" s="15"/>
      <c r="F3518" s="15"/>
      <c r="G3518" s="15"/>
      <c r="H3518" s="15"/>
      <c r="I3518" s="15"/>
      <c r="J3518" s="15"/>
      <c r="K3518" s="15"/>
      <c r="L3518" s="15"/>
      <c r="M3518" s="16"/>
      <c r="N3518" s="16"/>
      <c r="O3518" s="15"/>
      <c r="P3518" s="15"/>
    </row>
    <row r="3519">
      <c r="A3519" s="15"/>
      <c r="B3519" s="22"/>
      <c r="C3519" s="22"/>
      <c r="D3519" s="22"/>
      <c r="E3519" s="15"/>
      <c r="F3519" s="15"/>
      <c r="G3519" s="15"/>
      <c r="H3519" s="15"/>
      <c r="I3519" s="15"/>
      <c r="J3519" s="15"/>
      <c r="K3519" s="15"/>
      <c r="L3519" s="15"/>
      <c r="M3519" s="16"/>
      <c r="N3519" s="16"/>
      <c r="O3519" s="15"/>
      <c r="P3519" s="15"/>
    </row>
    <row r="3520">
      <c r="A3520" s="15"/>
      <c r="B3520" s="22"/>
      <c r="C3520" s="22"/>
      <c r="D3520" s="22"/>
      <c r="E3520" s="15"/>
      <c r="F3520" s="15"/>
      <c r="G3520" s="15"/>
      <c r="H3520" s="15"/>
      <c r="I3520" s="15"/>
      <c r="J3520" s="15"/>
      <c r="K3520" s="15"/>
      <c r="L3520" s="15"/>
      <c r="M3520" s="16"/>
      <c r="N3520" s="16"/>
      <c r="O3520" s="15"/>
      <c r="P3520" s="15"/>
    </row>
    <row r="3521">
      <c r="A3521" s="15"/>
      <c r="B3521" s="22"/>
      <c r="C3521" s="22"/>
      <c r="D3521" s="22"/>
      <c r="E3521" s="15"/>
      <c r="F3521" s="15"/>
      <c r="G3521" s="15"/>
      <c r="H3521" s="15"/>
      <c r="I3521" s="15"/>
      <c r="J3521" s="15"/>
      <c r="K3521" s="15"/>
      <c r="L3521" s="15"/>
      <c r="M3521" s="16"/>
      <c r="N3521" s="16"/>
      <c r="O3521" s="15"/>
      <c r="P3521" s="15"/>
    </row>
    <row r="3522">
      <c r="A3522" s="15"/>
      <c r="B3522" s="22"/>
      <c r="C3522" s="22"/>
      <c r="D3522" s="22"/>
      <c r="E3522" s="15"/>
      <c r="F3522" s="15"/>
      <c r="G3522" s="15"/>
      <c r="H3522" s="15"/>
      <c r="I3522" s="15"/>
      <c r="J3522" s="15"/>
      <c r="K3522" s="15"/>
      <c r="L3522" s="15"/>
      <c r="M3522" s="16"/>
      <c r="N3522" s="16"/>
      <c r="O3522" s="15"/>
      <c r="P3522" s="15"/>
    </row>
    <row r="3523">
      <c r="A3523" s="15"/>
      <c r="B3523" s="22"/>
      <c r="C3523" s="22"/>
      <c r="D3523" s="22"/>
      <c r="E3523" s="15"/>
      <c r="F3523" s="15"/>
      <c r="G3523" s="15"/>
      <c r="H3523" s="15"/>
      <c r="I3523" s="15"/>
      <c r="J3523" s="15"/>
      <c r="K3523" s="15"/>
      <c r="L3523" s="15"/>
      <c r="M3523" s="16"/>
      <c r="N3523" s="16"/>
      <c r="O3523" s="15"/>
      <c r="P3523" s="15"/>
    </row>
    <row r="3524">
      <c r="A3524" s="15"/>
      <c r="B3524" s="22"/>
      <c r="C3524" s="22"/>
      <c r="D3524" s="22"/>
      <c r="E3524" s="15"/>
      <c r="F3524" s="15"/>
      <c r="G3524" s="15"/>
      <c r="H3524" s="15"/>
      <c r="I3524" s="15"/>
      <c r="J3524" s="15"/>
      <c r="K3524" s="15"/>
      <c r="L3524" s="15"/>
      <c r="M3524" s="16"/>
      <c r="N3524" s="16"/>
      <c r="O3524" s="15"/>
      <c r="P3524" s="15"/>
    </row>
    <row r="3525">
      <c r="A3525" s="15"/>
      <c r="B3525" s="22"/>
      <c r="C3525" s="22"/>
      <c r="D3525" s="22"/>
      <c r="E3525" s="15"/>
      <c r="F3525" s="15"/>
      <c r="G3525" s="15"/>
      <c r="H3525" s="15"/>
      <c r="I3525" s="15"/>
      <c r="J3525" s="15"/>
      <c r="K3525" s="15"/>
      <c r="L3525" s="15"/>
      <c r="M3525" s="16"/>
      <c r="N3525" s="16"/>
      <c r="O3525" s="15"/>
      <c r="P3525" s="15"/>
    </row>
    <row r="3526">
      <c r="A3526" s="15"/>
      <c r="B3526" s="22"/>
      <c r="C3526" s="22"/>
      <c r="D3526" s="22"/>
      <c r="E3526" s="15"/>
      <c r="F3526" s="15"/>
      <c r="G3526" s="15"/>
      <c r="H3526" s="15"/>
      <c r="I3526" s="15"/>
      <c r="J3526" s="15"/>
      <c r="K3526" s="15"/>
      <c r="L3526" s="15"/>
      <c r="M3526" s="16"/>
      <c r="N3526" s="16"/>
      <c r="O3526" s="15"/>
      <c r="P3526" s="15"/>
    </row>
    <row r="3527">
      <c r="A3527" s="15"/>
      <c r="B3527" s="22"/>
      <c r="C3527" s="22"/>
      <c r="D3527" s="22"/>
      <c r="E3527" s="15"/>
      <c r="F3527" s="15"/>
      <c r="G3527" s="15"/>
      <c r="H3527" s="15"/>
      <c r="I3527" s="15"/>
      <c r="J3527" s="15"/>
      <c r="K3527" s="15"/>
      <c r="L3527" s="15"/>
      <c r="M3527" s="16"/>
      <c r="N3527" s="16"/>
      <c r="O3527" s="15"/>
      <c r="P3527" s="15"/>
    </row>
    <row r="3528">
      <c r="A3528" s="15"/>
      <c r="B3528" s="22"/>
      <c r="C3528" s="22"/>
      <c r="D3528" s="22"/>
      <c r="E3528" s="15"/>
      <c r="F3528" s="15"/>
      <c r="G3528" s="15"/>
      <c r="H3528" s="15"/>
      <c r="I3528" s="15"/>
      <c r="J3528" s="15"/>
      <c r="K3528" s="15"/>
      <c r="L3528" s="15"/>
      <c r="M3528" s="16"/>
      <c r="N3528" s="16"/>
      <c r="O3528" s="15"/>
      <c r="P3528" s="15"/>
    </row>
    <row r="3529">
      <c r="A3529" s="15"/>
      <c r="B3529" s="22"/>
      <c r="C3529" s="22"/>
      <c r="D3529" s="22"/>
      <c r="E3529" s="15"/>
      <c r="F3529" s="15"/>
      <c r="G3529" s="15"/>
      <c r="H3529" s="15"/>
      <c r="I3529" s="15"/>
      <c r="J3529" s="15"/>
      <c r="K3529" s="15"/>
      <c r="L3529" s="15"/>
      <c r="M3529" s="16"/>
      <c r="N3529" s="16"/>
      <c r="O3529" s="15"/>
      <c r="P3529" s="15"/>
    </row>
    <row r="3530">
      <c r="A3530" s="15"/>
      <c r="B3530" s="22"/>
      <c r="C3530" s="22"/>
      <c r="D3530" s="22"/>
      <c r="E3530" s="15"/>
      <c r="F3530" s="15"/>
      <c r="G3530" s="15"/>
      <c r="H3530" s="15"/>
      <c r="I3530" s="15"/>
      <c r="J3530" s="15"/>
      <c r="K3530" s="15"/>
      <c r="L3530" s="15"/>
      <c r="M3530" s="16"/>
      <c r="N3530" s="16"/>
      <c r="O3530" s="15"/>
      <c r="P3530" s="15"/>
    </row>
    <row r="3531">
      <c r="A3531" s="15"/>
      <c r="B3531" s="22"/>
      <c r="C3531" s="22"/>
      <c r="D3531" s="22"/>
      <c r="E3531" s="15"/>
      <c r="F3531" s="15"/>
      <c r="G3531" s="15"/>
      <c r="H3531" s="15"/>
      <c r="I3531" s="15"/>
      <c r="J3531" s="15"/>
      <c r="K3531" s="15"/>
      <c r="L3531" s="15"/>
      <c r="M3531" s="16"/>
      <c r="N3531" s="16"/>
      <c r="O3531" s="15"/>
      <c r="P3531" s="15"/>
    </row>
    <row r="3532">
      <c r="A3532" s="15"/>
      <c r="B3532" s="22"/>
      <c r="C3532" s="22"/>
      <c r="D3532" s="22"/>
      <c r="E3532" s="15"/>
      <c r="F3532" s="15"/>
      <c r="G3532" s="15"/>
      <c r="H3532" s="15"/>
      <c r="I3532" s="15"/>
      <c r="J3532" s="15"/>
      <c r="K3532" s="15"/>
      <c r="L3532" s="15"/>
      <c r="M3532" s="16"/>
      <c r="N3532" s="16"/>
      <c r="O3532" s="15"/>
      <c r="P3532" s="15"/>
    </row>
    <row r="3533">
      <c r="A3533" s="15"/>
      <c r="B3533" s="22"/>
      <c r="C3533" s="22"/>
      <c r="D3533" s="22"/>
      <c r="E3533" s="15"/>
      <c r="F3533" s="15"/>
      <c r="G3533" s="15"/>
      <c r="H3533" s="15"/>
      <c r="I3533" s="15"/>
      <c r="J3533" s="15"/>
      <c r="K3533" s="15"/>
      <c r="L3533" s="15"/>
      <c r="M3533" s="16"/>
      <c r="N3533" s="16"/>
      <c r="O3533" s="15"/>
      <c r="P3533" s="15"/>
    </row>
    <row r="3534">
      <c r="A3534" s="15"/>
      <c r="B3534" s="22"/>
      <c r="C3534" s="22"/>
      <c r="D3534" s="22"/>
      <c r="E3534" s="15"/>
      <c r="F3534" s="15"/>
      <c r="G3534" s="15"/>
      <c r="H3534" s="15"/>
      <c r="I3534" s="15"/>
      <c r="J3534" s="15"/>
      <c r="K3534" s="15"/>
      <c r="L3534" s="15"/>
      <c r="M3534" s="16"/>
      <c r="N3534" s="16"/>
      <c r="O3534" s="15"/>
      <c r="P3534" s="15"/>
    </row>
    <row r="3535">
      <c r="A3535" s="15"/>
      <c r="B3535" s="22"/>
      <c r="C3535" s="22"/>
      <c r="D3535" s="22"/>
      <c r="E3535" s="15"/>
      <c r="F3535" s="15"/>
      <c r="G3535" s="15"/>
      <c r="H3535" s="15"/>
      <c r="I3535" s="15"/>
      <c r="J3535" s="15"/>
      <c r="K3535" s="15"/>
      <c r="L3535" s="15"/>
      <c r="M3535" s="16"/>
      <c r="N3535" s="16"/>
      <c r="O3535" s="15"/>
      <c r="P3535" s="15"/>
    </row>
    <row r="3536">
      <c r="A3536" s="15"/>
      <c r="B3536" s="22"/>
      <c r="C3536" s="22"/>
      <c r="D3536" s="22"/>
      <c r="E3536" s="15"/>
      <c r="F3536" s="15"/>
      <c r="G3536" s="15"/>
      <c r="H3536" s="15"/>
      <c r="I3536" s="15"/>
      <c r="J3536" s="15"/>
      <c r="K3536" s="15"/>
      <c r="L3536" s="15"/>
      <c r="M3536" s="16"/>
      <c r="N3536" s="16"/>
      <c r="O3536" s="15"/>
      <c r="P3536" s="15"/>
    </row>
    <row r="3537">
      <c r="A3537" s="15"/>
      <c r="B3537" s="22"/>
      <c r="C3537" s="22"/>
      <c r="D3537" s="22"/>
      <c r="E3537" s="15"/>
      <c r="F3537" s="15"/>
      <c r="G3537" s="15"/>
      <c r="H3537" s="15"/>
      <c r="I3537" s="15"/>
      <c r="J3537" s="15"/>
      <c r="K3537" s="15"/>
      <c r="L3537" s="15"/>
      <c r="M3537" s="16"/>
      <c r="N3537" s="16"/>
      <c r="O3537" s="15"/>
      <c r="P3537" s="15"/>
    </row>
    <row r="3538">
      <c r="A3538" s="15"/>
      <c r="B3538" s="22"/>
      <c r="C3538" s="22"/>
      <c r="D3538" s="22"/>
      <c r="E3538" s="15"/>
      <c r="F3538" s="15"/>
      <c r="G3538" s="15"/>
      <c r="H3538" s="15"/>
      <c r="I3538" s="15"/>
      <c r="J3538" s="15"/>
      <c r="K3538" s="15"/>
      <c r="L3538" s="15"/>
      <c r="M3538" s="16"/>
      <c r="N3538" s="16"/>
      <c r="O3538" s="15"/>
      <c r="P3538" s="15"/>
    </row>
    <row r="3539">
      <c r="A3539" s="15"/>
      <c r="B3539" s="22"/>
      <c r="C3539" s="22"/>
      <c r="D3539" s="22"/>
      <c r="E3539" s="15"/>
      <c r="F3539" s="15"/>
      <c r="G3539" s="15"/>
      <c r="H3539" s="15"/>
      <c r="I3539" s="15"/>
      <c r="J3539" s="15"/>
      <c r="K3539" s="15"/>
      <c r="L3539" s="15"/>
      <c r="M3539" s="16"/>
      <c r="N3539" s="16"/>
      <c r="O3539" s="15"/>
      <c r="P3539" s="15"/>
    </row>
    <row r="3540">
      <c r="A3540" s="15"/>
      <c r="B3540" s="22"/>
      <c r="C3540" s="22"/>
      <c r="D3540" s="22"/>
      <c r="E3540" s="15"/>
      <c r="F3540" s="15"/>
      <c r="G3540" s="15"/>
      <c r="H3540" s="15"/>
      <c r="I3540" s="15"/>
      <c r="J3540" s="15"/>
      <c r="K3540" s="15"/>
      <c r="L3540" s="15"/>
      <c r="M3540" s="16"/>
      <c r="N3540" s="16"/>
      <c r="O3540" s="15"/>
      <c r="P3540" s="15"/>
    </row>
    <row r="3541">
      <c r="A3541" s="15"/>
      <c r="B3541" s="22"/>
      <c r="C3541" s="22"/>
      <c r="D3541" s="22"/>
      <c r="E3541" s="15"/>
      <c r="F3541" s="15"/>
      <c r="G3541" s="15"/>
      <c r="H3541" s="15"/>
      <c r="I3541" s="15"/>
      <c r="J3541" s="15"/>
      <c r="K3541" s="15"/>
      <c r="L3541" s="15"/>
      <c r="M3541" s="16"/>
      <c r="N3541" s="16"/>
      <c r="O3541" s="15"/>
      <c r="P3541" s="15"/>
    </row>
    <row r="3542">
      <c r="A3542" s="15"/>
      <c r="B3542" s="22"/>
      <c r="C3542" s="22"/>
      <c r="D3542" s="22"/>
      <c r="E3542" s="15"/>
      <c r="F3542" s="15"/>
      <c r="G3542" s="15"/>
      <c r="H3542" s="15"/>
      <c r="I3542" s="15"/>
      <c r="J3542" s="15"/>
      <c r="K3542" s="15"/>
      <c r="L3542" s="15"/>
      <c r="M3542" s="16"/>
      <c r="N3542" s="16"/>
      <c r="O3542" s="15"/>
      <c r="P3542" s="15"/>
    </row>
    <row r="3543">
      <c r="A3543" s="15"/>
      <c r="B3543" s="22"/>
      <c r="C3543" s="22"/>
      <c r="D3543" s="22"/>
      <c r="E3543" s="15"/>
      <c r="F3543" s="15"/>
      <c r="G3543" s="15"/>
      <c r="H3543" s="15"/>
      <c r="I3543" s="15"/>
      <c r="J3543" s="15"/>
      <c r="K3543" s="15"/>
      <c r="L3543" s="15"/>
      <c r="M3543" s="16"/>
      <c r="N3543" s="16"/>
      <c r="O3543" s="15"/>
      <c r="P3543" s="15"/>
    </row>
    <row r="3544">
      <c r="A3544" s="15"/>
      <c r="B3544" s="22"/>
      <c r="C3544" s="22"/>
      <c r="D3544" s="22"/>
      <c r="E3544" s="15"/>
      <c r="F3544" s="15"/>
      <c r="G3544" s="15"/>
      <c r="H3544" s="15"/>
      <c r="I3544" s="15"/>
      <c r="J3544" s="15"/>
      <c r="K3544" s="15"/>
      <c r="L3544" s="15"/>
      <c r="M3544" s="16"/>
      <c r="N3544" s="16"/>
      <c r="O3544" s="15"/>
      <c r="P3544" s="15"/>
    </row>
    <row r="3545">
      <c r="A3545" s="15"/>
      <c r="B3545" s="22"/>
      <c r="C3545" s="22"/>
      <c r="D3545" s="22"/>
      <c r="E3545" s="15"/>
      <c r="F3545" s="15"/>
      <c r="G3545" s="15"/>
      <c r="H3545" s="15"/>
      <c r="I3545" s="15"/>
      <c r="J3545" s="15"/>
      <c r="K3545" s="15"/>
      <c r="L3545" s="15"/>
      <c r="M3545" s="16"/>
      <c r="N3545" s="16"/>
      <c r="O3545" s="15"/>
      <c r="P3545" s="15"/>
    </row>
    <row r="3546">
      <c r="A3546" s="15"/>
      <c r="B3546" s="22"/>
      <c r="C3546" s="22"/>
      <c r="D3546" s="22"/>
      <c r="E3546" s="15"/>
      <c r="F3546" s="15"/>
      <c r="G3546" s="15"/>
      <c r="H3546" s="15"/>
      <c r="I3546" s="15"/>
      <c r="J3546" s="15"/>
      <c r="K3546" s="15"/>
      <c r="L3546" s="15"/>
      <c r="M3546" s="16"/>
      <c r="N3546" s="16"/>
      <c r="O3546" s="15"/>
      <c r="P3546" s="15"/>
    </row>
    <row r="3547">
      <c r="A3547" s="15"/>
      <c r="B3547" s="22"/>
      <c r="C3547" s="22"/>
      <c r="D3547" s="22"/>
      <c r="E3547" s="15"/>
      <c r="F3547" s="15"/>
      <c r="G3547" s="15"/>
      <c r="H3547" s="15"/>
      <c r="I3547" s="15"/>
      <c r="J3547" s="15"/>
      <c r="K3547" s="15"/>
      <c r="L3547" s="15"/>
      <c r="M3547" s="16"/>
      <c r="N3547" s="16"/>
      <c r="O3547" s="15"/>
      <c r="P3547" s="15"/>
    </row>
    <row r="3548">
      <c r="A3548" s="15"/>
      <c r="B3548" s="22"/>
      <c r="C3548" s="22"/>
      <c r="D3548" s="22"/>
      <c r="E3548" s="15"/>
      <c r="F3548" s="15"/>
      <c r="G3548" s="15"/>
      <c r="H3548" s="15"/>
      <c r="I3548" s="15"/>
      <c r="J3548" s="15"/>
      <c r="K3548" s="15"/>
      <c r="L3548" s="15"/>
      <c r="M3548" s="16"/>
      <c r="N3548" s="16"/>
      <c r="O3548" s="15"/>
      <c r="P3548" s="15"/>
    </row>
    <row r="3549">
      <c r="A3549" s="15"/>
      <c r="B3549" s="22"/>
      <c r="C3549" s="22"/>
      <c r="D3549" s="22"/>
      <c r="E3549" s="15"/>
      <c r="F3549" s="15"/>
      <c r="G3549" s="15"/>
      <c r="H3549" s="15"/>
      <c r="I3549" s="15"/>
      <c r="J3549" s="15"/>
      <c r="K3549" s="15"/>
      <c r="L3549" s="15"/>
      <c r="M3549" s="16"/>
      <c r="N3549" s="16"/>
      <c r="O3549" s="15"/>
      <c r="P3549" s="15"/>
    </row>
    <row r="3550">
      <c r="A3550" s="15"/>
      <c r="B3550" s="22"/>
      <c r="C3550" s="22"/>
      <c r="D3550" s="22"/>
      <c r="E3550" s="15"/>
      <c r="F3550" s="15"/>
      <c r="G3550" s="15"/>
      <c r="H3550" s="15"/>
      <c r="I3550" s="15"/>
      <c r="J3550" s="15"/>
      <c r="K3550" s="15"/>
      <c r="L3550" s="15"/>
      <c r="M3550" s="16"/>
      <c r="N3550" s="16"/>
      <c r="O3550" s="15"/>
      <c r="P3550" s="15"/>
    </row>
    <row r="3551">
      <c r="A3551" s="15"/>
      <c r="B3551" s="22"/>
      <c r="C3551" s="22"/>
      <c r="D3551" s="22"/>
      <c r="E3551" s="15"/>
      <c r="F3551" s="15"/>
      <c r="G3551" s="15"/>
      <c r="H3551" s="15"/>
      <c r="I3551" s="15"/>
      <c r="J3551" s="15"/>
      <c r="K3551" s="15"/>
      <c r="L3551" s="15"/>
      <c r="M3551" s="16"/>
      <c r="N3551" s="16"/>
      <c r="O3551" s="15"/>
      <c r="P3551" s="15"/>
    </row>
    <row r="3552">
      <c r="A3552" s="15"/>
      <c r="B3552" s="22"/>
      <c r="C3552" s="22"/>
      <c r="D3552" s="22"/>
      <c r="E3552" s="15"/>
      <c r="F3552" s="15"/>
      <c r="G3552" s="15"/>
      <c r="H3552" s="15"/>
      <c r="I3552" s="15"/>
      <c r="J3552" s="15"/>
      <c r="K3552" s="15"/>
      <c r="L3552" s="15"/>
      <c r="M3552" s="16"/>
      <c r="N3552" s="16"/>
      <c r="O3552" s="15"/>
      <c r="P3552" s="15"/>
    </row>
    <row r="3553">
      <c r="A3553" s="15"/>
      <c r="B3553" s="22"/>
      <c r="C3553" s="22"/>
      <c r="D3553" s="22"/>
      <c r="E3553" s="15"/>
      <c r="F3553" s="15"/>
      <c r="G3553" s="15"/>
      <c r="H3553" s="15"/>
      <c r="I3553" s="15"/>
      <c r="J3553" s="15"/>
      <c r="K3553" s="15"/>
      <c r="L3553" s="15"/>
      <c r="M3553" s="16"/>
      <c r="N3553" s="16"/>
      <c r="O3553" s="15"/>
      <c r="P3553" s="15"/>
    </row>
    <row r="3554">
      <c r="A3554" s="15"/>
      <c r="B3554" s="22"/>
      <c r="C3554" s="22"/>
      <c r="D3554" s="22"/>
      <c r="E3554" s="15"/>
      <c r="F3554" s="15"/>
      <c r="G3554" s="15"/>
      <c r="H3554" s="15"/>
      <c r="I3554" s="15"/>
      <c r="J3554" s="15"/>
      <c r="K3554" s="15"/>
      <c r="L3554" s="15"/>
      <c r="M3554" s="16"/>
      <c r="N3554" s="16"/>
      <c r="O3554" s="15"/>
      <c r="P3554" s="15"/>
    </row>
    <row r="3555">
      <c r="A3555" s="15"/>
      <c r="B3555" s="22"/>
      <c r="C3555" s="22"/>
      <c r="D3555" s="22"/>
      <c r="E3555" s="15"/>
      <c r="F3555" s="15"/>
      <c r="G3555" s="15"/>
      <c r="H3555" s="15"/>
      <c r="I3555" s="15"/>
      <c r="J3555" s="15"/>
      <c r="K3555" s="15"/>
      <c r="L3555" s="15"/>
      <c r="M3555" s="16"/>
      <c r="N3555" s="16"/>
      <c r="O3555" s="15"/>
      <c r="P3555" s="15"/>
    </row>
    <row r="3556">
      <c r="A3556" s="15"/>
      <c r="B3556" s="22"/>
      <c r="C3556" s="22"/>
      <c r="D3556" s="22"/>
      <c r="E3556" s="15"/>
      <c r="F3556" s="15"/>
      <c r="G3556" s="15"/>
      <c r="H3556" s="15"/>
      <c r="I3556" s="15"/>
      <c r="J3556" s="15"/>
      <c r="K3556" s="15"/>
      <c r="L3556" s="15"/>
      <c r="M3556" s="16"/>
      <c r="N3556" s="16"/>
      <c r="O3556" s="15"/>
      <c r="P3556" s="15"/>
    </row>
    <row r="3557">
      <c r="A3557" s="15"/>
      <c r="B3557" s="22"/>
      <c r="C3557" s="22"/>
      <c r="D3557" s="22"/>
      <c r="E3557" s="15"/>
      <c r="F3557" s="15"/>
      <c r="G3557" s="15"/>
      <c r="H3557" s="15"/>
      <c r="I3557" s="15"/>
      <c r="J3557" s="15"/>
      <c r="K3557" s="15"/>
      <c r="L3557" s="15"/>
      <c r="M3557" s="16"/>
      <c r="N3557" s="16"/>
      <c r="O3557" s="15"/>
      <c r="P3557" s="15"/>
    </row>
    <row r="3558">
      <c r="A3558" s="15"/>
      <c r="B3558" s="22"/>
      <c r="C3558" s="22"/>
      <c r="D3558" s="22"/>
      <c r="E3558" s="15"/>
      <c r="F3558" s="15"/>
      <c r="G3558" s="15"/>
      <c r="H3558" s="15"/>
      <c r="I3558" s="15"/>
      <c r="J3558" s="15"/>
      <c r="K3558" s="15"/>
      <c r="L3558" s="15"/>
      <c r="M3558" s="16"/>
      <c r="N3558" s="16"/>
      <c r="O3558" s="15"/>
      <c r="P3558" s="15"/>
    </row>
    <row r="3559">
      <c r="A3559" s="15"/>
      <c r="B3559" s="22"/>
      <c r="C3559" s="22"/>
      <c r="D3559" s="22"/>
      <c r="E3559" s="15"/>
      <c r="F3559" s="15"/>
      <c r="G3559" s="15"/>
      <c r="H3559" s="15"/>
      <c r="I3559" s="15"/>
      <c r="J3559" s="15"/>
      <c r="K3559" s="15"/>
      <c r="L3559" s="15"/>
      <c r="M3559" s="16"/>
      <c r="N3559" s="16"/>
      <c r="O3559" s="15"/>
      <c r="P3559" s="15"/>
    </row>
    <row r="3560">
      <c r="A3560" s="15"/>
      <c r="B3560" s="22"/>
      <c r="C3560" s="22"/>
      <c r="D3560" s="22"/>
      <c r="E3560" s="15"/>
      <c r="F3560" s="15"/>
      <c r="G3560" s="15"/>
      <c r="H3560" s="15"/>
      <c r="I3560" s="15"/>
      <c r="J3560" s="15"/>
      <c r="K3560" s="15"/>
      <c r="L3560" s="15"/>
      <c r="M3560" s="16"/>
      <c r="N3560" s="16"/>
      <c r="O3560" s="15"/>
      <c r="P3560" s="15"/>
    </row>
    <row r="3561">
      <c r="A3561" s="15"/>
      <c r="B3561" s="22"/>
      <c r="C3561" s="22"/>
      <c r="D3561" s="22"/>
      <c r="E3561" s="15"/>
      <c r="F3561" s="15"/>
      <c r="G3561" s="15"/>
      <c r="H3561" s="15"/>
      <c r="I3561" s="15"/>
      <c r="J3561" s="15"/>
      <c r="K3561" s="15"/>
      <c r="L3561" s="15"/>
      <c r="M3561" s="16"/>
      <c r="N3561" s="16"/>
      <c r="O3561" s="15"/>
      <c r="P3561" s="15"/>
    </row>
    <row r="3562">
      <c r="A3562" s="15"/>
      <c r="B3562" s="22"/>
      <c r="C3562" s="22"/>
      <c r="D3562" s="22"/>
      <c r="E3562" s="15"/>
      <c r="F3562" s="15"/>
      <c r="G3562" s="15"/>
      <c r="H3562" s="15"/>
      <c r="I3562" s="15"/>
      <c r="J3562" s="15"/>
      <c r="K3562" s="15"/>
      <c r="L3562" s="15"/>
      <c r="M3562" s="16"/>
      <c r="N3562" s="16"/>
      <c r="O3562" s="15"/>
      <c r="P3562" s="15"/>
    </row>
    <row r="3563">
      <c r="A3563" s="15"/>
      <c r="B3563" s="22"/>
      <c r="C3563" s="22"/>
      <c r="D3563" s="22"/>
      <c r="E3563" s="15"/>
      <c r="F3563" s="15"/>
      <c r="G3563" s="15"/>
      <c r="H3563" s="15"/>
      <c r="I3563" s="15"/>
      <c r="J3563" s="15"/>
      <c r="K3563" s="15"/>
      <c r="L3563" s="15"/>
      <c r="M3563" s="16"/>
      <c r="N3563" s="16"/>
      <c r="O3563" s="15"/>
      <c r="P3563" s="15"/>
    </row>
    <row r="3564">
      <c r="A3564" s="15"/>
      <c r="B3564" s="22"/>
      <c r="C3564" s="22"/>
      <c r="D3564" s="22"/>
      <c r="E3564" s="15"/>
      <c r="F3564" s="15"/>
      <c r="G3564" s="15"/>
      <c r="H3564" s="15"/>
      <c r="I3564" s="15"/>
      <c r="J3564" s="15"/>
      <c r="K3564" s="15"/>
      <c r="L3564" s="15"/>
      <c r="M3564" s="16"/>
      <c r="N3564" s="16"/>
      <c r="O3564" s="15"/>
      <c r="P3564" s="15"/>
    </row>
    <row r="3565">
      <c r="A3565" s="15"/>
      <c r="B3565" s="22"/>
      <c r="C3565" s="22"/>
      <c r="D3565" s="22"/>
      <c r="E3565" s="15"/>
      <c r="F3565" s="15"/>
      <c r="G3565" s="15"/>
      <c r="H3565" s="15"/>
      <c r="I3565" s="15"/>
      <c r="J3565" s="15"/>
      <c r="K3565" s="15"/>
      <c r="L3565" s="15"/>
      <c r="M3565" s="16"/>
      <c r="N3565" s="16"/>
      <c r="O3565" s="15"/>
      <c r="P3565" s="15"/>
    </row>
    <row r="3566">
      <c r="A3566" s="15"/>
      <c r="B3566" s="22"/>
      <c r="C3566" s="22"/>
      <c r="D3566" s="22"/>
      <c r="E3566" s="15"/>
      <c r="F3566" s="15"/>
      <c r="G3566" s="15"/>
      <c r="H3566" s="15"/>
      <c r="I3566" s="15"/>
      <c r="J3566" s="15"/>
      <c r="K3566" s="15"/>
      <c r="L3566" s="15"/>
      <c r="M3566" s="16"/>
      <c r="N3566" s="16"/>
      <c r="O3566" s="15"/>
      <c r="P3566" s="15"/>
    </row>
    <row r="3567">
      <c r="A3567" s="15"/>
      <c r="B3567" s="22"/>
      <c r="C3567" s="22"/>
      <c r="D3567" s="22"/>
      <c r="E3567" s="15"/>
      <c r="F3567" s="15"/>
      <c r="G3567" s="15"/>
      <c r="H3567" s="15"/>
      <c r="I3567" s="15"/>
      <c r="J3567" s="15"/>
      <c r="K3567" s="15"/>
      <c r="L3567" s="15"/>
      <c r="M3567" s="16"/>
      <c r="N3567" s="16"/>
      <c r="O3567" s="15"/>
      <c r="P3567" s="15"/>
    </row>
    <row r="3568">
      <c r="A3568" s="15"/>
      <c r="B3568" s="22"/>
      <c r="C3568" s="22"/>
      <c r="D3568" s="22"/>
      <c r="E3568" s="15"/>
      <c r="F3568" s="15"/>
      <c r="G3568" s="15"/>
      <c r="H3568" s="15"/>
      <c r="I3568" s="15"/>
      <c r="J3568" s="15"/>
      <c r="K3568" s="15"/>
      <c r="L3568" s="15"/>
      <c r="M3568" s="16"/>
      <c r="N3568" s="16"/>
      <c r="O3568" s="15"/>
      <c r="P3568" s="15"/>
    </row>
    <row r="3569">
      <c r="A3569" s="15"/>
      <c r="B3569" s="22"/>
      <c r="C3569" s="22"/>
      <c r="D3569" s="22"/>
      <c r="E3569" s="15"/>
      <c r="F3569" s="15"/>
      <c r="G3569" s="15"/>
      <c r="H3569" s="15"/>
      <c r="I3569" s="15"/>
      <c r="J3569" s="15"/>
      <c r="K3569" s="15"/>
      <c r="L3569" s="15"/>
      <c r="M3569" s="16"/>
      <c r="N3569" s="16"/>
      <c r="O3569" s="15"/>
      <c r="P3569" s="15"/>
    </row>
    <row r="3570">
      <c r="A3570" s="15"/>
      <c r="B3570" s="22"/>
      <c r="C3570" s="22"/>
      <c r="D3570" s="22"/>
      <c r="E3570" s="15"/>
      <c r="F3570" s="15"/>
      <c r="G3570" s="15"/>
      <c r="H3570" s="15"/>
      <c r="I3570" s="15"/>
      <c r="J3570" s="15"/>
      <c r="K3570" s="15"/>
      <c r="L3570" s="15"/>
      <c r="M3570" s="16"/>
      <c r="N3570" s="16"/>
      <c r="O3570" s="15"/>
      <c r="P3570" s="15"/>
    </row>
    <row r="3571">
      <c r="A3571" s="15"/>
      <c r="B3571" s="22"/>
      <c r="C3571" s="22"/>
      <c r="D3571" s="22"/>
      <c r="E3571" s="15"/>
      <c r="F3571" s="15"/>
      <c r="G3571" s="15"/>
      <c r="H3571" s="15"/>
      <c r="I3571" s="15"/>
      <c r="J3571" s="15"/>
      <c r="K3571" s="15"/>
      <c r="L3571" s="15"/>
      <c r="M3571" s="16"/>
      <c r="N3571" s="16"/>
      <c r="O3571" s="15"/>
      <c r="P3571" s="15"/>
    </row>
    <row r="3572">
      <c r="A3572" s="15"/>
      <c r="B3572" s="22"/>
      <c r="C3572" s="22"/>
      <c r="D3572" s="22"/>
      <c r="E3572" s="15"/>
      <c r="F3572" s="15"/>
      <c r="G3572" s="15"/>
      <c r="H3572" s="15"/>
      <c r="I3572" s="15"/>
      <c r="J3572" s="15"/>
      <c r="K3572" s="15"/>
      <c r="L3572" s="15"/>
      <c r="M3572" s="16"/>
      <c r="N3572" s="16"/>
      <c r="O3572" s="15"/>
      <c r="P3572" s="15"/>
    </row>
    <row r="3573">
      <c r="A3573" s="15"/>
      <c r="B3573" s="22"/>
      <c r="C3573" s="22"/>
      <c r="D3573" s="22"/>
      <c r="E3573" s="15"/>
      <c r="F3573" s="15"/>
      <c r="G3573" s="15"/>
      <c r="H3573" s="15"/>
      <c r="I3573" s="15"/>
      <c r="J3573" s="15"/>
      <c r="K3573" s="15"/>
      <c r="L3573" s="15"/>
      <c r="M3573" s="16"/>
      <c r="N3573" s="16"/>
      <c r="O3573" s="15"/>
      <c r="P3573" s="15"/>
    </row>
    <row r="3574">
      <c r="A3574" s="15"/>
      <c r="B3574" s="22"/>
      <c r="C3574" s="22"/>
      <c r="D3574" s="22"/>
      <c r="E3574" s="15"/>
      <c r="F3574" s="15"/>
      <c r="G3574" s="15"/>
      <c r="H3574" s="15"/>
      <c r="I3574" s="15"/>
      <c r="J3574" s="15"/>
      <c r="K3574" s="15"/>
      <c r="L3574" s="15"/>
      <c r="M3574" s="16"/>
      <c r="N3574" s="16"/>
      <c r="O3574" s="15"/>
      <c r="P3574" s="15"/>
    </row>
    <row r="3575">
      <c r="A3575" s="15"/>
      <c r="B3575" s="22"/>
      <c r="C3575" s="22"/>
      <c r="D3575" s="22"/>
      <c r="E3575" s="15"/>
      <c r="F3575" s="15"/>
      <c r="G3575" s="15"/>
      <c r="H3575" s="15"/>
      <c r="I3575" s="15"/>
      <c r="J3575" s="15"/>
      <c r="K3575" s="15"/>
      <c r="L3575" s="15"/>
      <c r="M3575" s="16"/>
      <c r="N3575" s="16"/>
      <c r="O3575" s="15"/>
      <c r="P3575" s="15"/>
    </row>
    <row r="3576">
      <c r="A3576" s="15"/>
      <c r="B3576" s="22"/>
      <c r="C3576" s="22"/>
      <c r="D3576" s="22"/>
      <c r="E3576" s="15"/>
      <c r="F3576" s="15"/>
      <c r="G3576" s="15"/>
      <c r="H3576" s="15"/>
      <c r="I3576" s="15"/>
      <c r="J3576" s="15"/>
      <c r="K3576" s="15"/>
      <c r="L3576" s="15"/>
      <c r="M3576" s="16"/>
      <c r="N3576" s="16"/>
      <c r="O3576" s="15"/>
      <c r="P3576" s="15"/>
    </row>
    <row r="3577">
      <c r="A3577" s="15"/>
      <c r="B3577" s="22"/>
      <c r="C3577" s="22"/>
      <c r="D3577" s="22"/>
      <c r="E3577" s="15"/>
      <c r="F3577" s="15"/>
      <c r="G3577" s="15"/>
      <c r="H3577" s="15"/>
      <c r="I3577" s="15"/>
      <c r="J3577" s="15"/>
      <c r="K3577" s="15"/>
      <c r="L3577" s="15"/>
      <c r="M3577" s="16"/>
      <c r="N3577" s="16"/>
      <c r="O3577" s="15"/>
      <c r="P3577" s="15"/>
    </row>
    <row r="3578">
      <c r="A3578" s="15"/>
      <c r="B3578" s="22"/>
      <c r="C3578" s="22"/>
      <c r="D3578" s="22"/>
      <c r="E3578" s="15"/>
      <c r="F3578" s="15"/>
      <c r="G3578" s="15"/>
      <c r="H3578" s="15"/>
      <c r="I3578" s="15"/>
      <c r="J3578" s="15"/>
      <c r="K3578" s="15"/>
      <c r="L3578" s="15"/>
      <c r="M3578" s="16"/>
      <c r="N3578" s="16"/>
      <c r="O3578" s="15"/>
      <c r="P3578" s="15"/>
    </row>
    <row r="3579">
      <c r="A3579" s="15"/>
      <c r="B3579" s="22"/>
      <c r="C3579" s="22"/>
      <c r="D3579" s="22"/>
      <c r="E3579" s="15"/>
      <c r="F3579" s="15"/>
      <c r="G3579" s="15"/>
      <c r="H3579" s="15"/>
      <c r="I3579" s="15"/>
      <c r="J3579" s="15"/>
      <c r="K3579" s="15"/>
      <c r="L3579" s="15"/>
      <c r="M3579" s="16"/>
      <c r="N3579" s="16"/>
      <c r="O3579" s="15"/>
      <c r="P3579" s="15"/>
    </row>
    <row r="3580">
      <c r="A3580" s="15"/>
      <c r="B3580" s="22"/>
      <c r="C3580" s="22"/>
      <c r="D3580" s="22"/>
      <c r="E3580" s="15"/>
      <c r="F3580" s="15"/>
      <c r="G3580" s="15"/>
      <c r="H3580" s="15"/>
      <c r="I3580" s="15"/>
      <c r="J3580" s="15"/>
      <c r="K3580" s="15"/>
      <c r="L3580" s="15"/>
      <c r="M3580" s="16"/>
      <c r="N3580" s="16"/>
      <c r="O3580" s="15"/>
      <c r="P3580" s="15"/>
    </row>
    <row r="3581">
      <c r="A3581" s="15"/>
      <c r="B3581" s="22"/>
      <c r="C3581" s="22"/>
      <c r="D3581" s="22"/>
      <c r="E3581" s="15"/>
      <c r="F3581" s="15"/>
      <c r="G3581" s="15"/>
      <c r="H3581" s="15"/>
      <c r="I3581" s="15"/>
      <c r="J3581" s="15"/>
      <c r="K3581" s="15"/>
      <c r="L3581" s="15"/>
      <c r="M3581" s="16"/>
      <c r="N3581" s="16"/>
      <c r="O3581" s="15"/>
      <c r="P3581" s="15"/>
    </row>
    <row r="3582">
      <c r="A3582" s="15"/>
      <c r="B3582" s="22"/>
      <c r="C3582" s="22"/>
      <c r="D3582" s="22"/>
      <c r="E3582" s="15"/>
      <c r="F3582" s="15"/>
      <c r="G3582" s="15"/>
      <c r="H3582" s="15"/>
      <c r="I3582" s="15"/>
      <c r="J3582" s="15"/>
      <c r="K3582" s="15"/>
      <c r="L3582" s="15"/>
      <c r="M3582" s="16"/>
      <c r="N3582" s="16"/>
      <c r="O3582" s="15"/>
      <c r="P3582" s="15"/>
    </row>
    <row r="3583">
      <c r="A3583" s="15"/>
      <c r="B3583" s="22"/>
      <c r="C3583" s="22"/>
      <c r="D3583" s="22"/>
      <c r="E3583" s="15"/>
      <c r="F3583" s="15"/>
      <c r="G3583" s="15"/>
      <c r="H3583" s="15"/>
      <c r="I3583" s="15"/>
      <c r="J3583" s="15"/>
      <c r="K3583" s="15"/>
      <c r="L3583" s="15"/>
      <c r="M3583" s="16"/>
      <c r="N3583" s="16"/>
      <c r="O3583" s="15"/>
      <c r="P3583" s="15"/>
    </row>
    <row r="3584">
      <c r="A3584" s="15"/>
      <c r="B3584" s="22"/>
      <c r="C3584" s="22"/>
      <c r="D3584" s="22"/>
      <c r="E3584" s="15"/>
      <c r="F3584" s="15"/>
      <c r="G3584" s="15"/>
      <c r="H3584" s="15"/>
      <c r="I3584" s="15"/>
      <c r="J3584" s="15"/>
      <c r="K3584" s="15"/>
      <c r="L3584" s="15"/>
      <c r="M3584" s="16"/>
      <c r="N3584" s="16"/>
      <c r="O3584" s="15"/>
      <c r="P3584" s="15"/>
    </row>
    <row r="3585">
      <c r="A3585" s="15"/>
      <c r="B3585" s="22"/>
      <c r="C3585" s="22"/>
      <c r="D3585" s="22"/>
      <c r="E3585" s="15"/>
      <c r="F3585" s="15"/>
      <c r="G3585" s="15"/>
      <c r="H3585" s="15"/>
      <c r="I3585" s="15"/>
      <c r="J3585" s="15"/>
      <c r="K3585" s="15"/>
      <c r="L3585" s="15"/>
      <c r="M3585" s="16"/>
      <c r="N3585" s="16"/>
      <c r="O3585" s="15"/>
      <c r="P3585" s="15"/>
    </row>
    <row r="3586">
      <c r="A3586" s="15"/>
      <c r="B3586" s="22"/>
      <c r="C3586" s="22"/>
      <c r="D3586" s="22"/>
      <c r="E3586" s="15"/>
      <c r="F3586" s="15"/>
      <c r="G3586" s="15"/>
      <c r="H3586" s="15"/>
      <c r="I3586" s="15"/>
      <c r="J3586" s="15"/>
      <c r="K3586" s="15"/>
      <c r="L3586" s="15"/>
      <c r="M3586" s="16"/>
      <c r="N3586" s="16"/>
      <c r="O3586" s="15"/>
      <c r="P3586" s="15"/>
    </row>
    <row r="3587">
      <c r="A3587" s="15"/>
      <c r="B3587" s="22"/>
      <c r="C3587" s="22"/>
      <c r="D3587" s="22"/>
      <c r="E3587" s="15"/>
      <c r="F3587" s="15"/>
      <c r="G3587" s="15"/>
      <c r="H3587" s="15"/>
      <c r="I3587" s="15"/>
      <c r="J3587" s="15"/>
      <c r="K3587" s="15"/>
      <c r="L3587" s="15"/>
      <c r="M3587" s="16"/>
      <c r="N3587" s="16"/>
      <c r="O3587" s="15"/>
      <c r="P3587" s="15"/>
    </row>
    <row r="3588">
      <c r="A3588" s="15"/>
      <c r="B3588" s="22"/>
      <c r="C3588" s="22"/>
      <c r="D3588" s="22"/>
      <c r="E3588" s="15"/>
      <c r="F3588" s="15"/>
      <c r="G3588" s="15"/>
      <c r="H3588" s="15"/>
      <c r="I3588" s="15"/>
      <c r="J3588" s="15"/>
      <c r="K3588" s="15"/>
      <c r="L3588" s="15"/>
      <c r="M3588" s="16"/>
      <c r="N3588" s="16"/>
      <c r="O3588" s="15"/>
      <c r="P3588" s="15"/>
    </row>
    <row r="3589">
      <c r="A3589" s="15"/>
      <c r="B3589" s="22"/>
      <c r="C3589" s="22"/>
      <c r="D3589" s="22"/>
      <c r="E3589" s="15"/>
      <c r="F3589" s="15"/>
      <c r="G3589" s="15"/>
      <c r="H3589" s="15"/>
      <c r="I3589" s="15"/>
      <c r="J3589" s="15"/>
      <c r="K3589" s="15"/>
      <c r="L3589" s="15"/>
      <c r="M3589" s="16"/>
      <c r="N3589" s="16"/>
      <c r="O3589" s="15"/>
      <c r="P3589" s="15"/>
    </row>
    <row r="3590">
      <c r="A3590" s="15"/>
      <c r="B3590" s="22"/>
      <c r="C3590" s="22"/>
      <c r="D3590" s="22"/>
      <c r="E3590" s="15"/>
      <c r="F3590" s="15"/>
      <c r="G3590" s="15"/>
      <c r="H3590" s="15"/>
      <c r="I3590" s="15"/>
      <c r="J3590" s="15"/>
      <c r="K3590" s="15"/>
      <c r="L3590" s="15"/>
      <c r="M3590" s="16"/>
      <c r="N3590" s="16"/>
      <c r="O3590" s="15"/>
      <c r="P3590" s="15"/>
    </row>
    <row r="3591">
      <c r="A3591" s="15"/>
      <c r="B3591" s="22"/>
      <c r="C3591" s="22"/>
      <c r="D3591" s="22"/>
      <c r="E3591" s="15"/>
      <c r="F3591" s="15"/>
      <c r="G3591" s="15"/>
      <c r="H3591" s="15"/>
      <c r="I3591" s="15"/>
      <c r="J3591" s="15"/>
      <c r="K3591" s="15"/>
      <c r="L3591" s="15"/>
      <c r="M3591" s="16"/>
      <c r="N3591" s="16"/>
      <c r="O3591" s="15"/>
      <c r="P3591" s="15"/>
    </row>
    <row r="3592">
      <c r="A3592" s="15"/>
      <c r="B3592" s="22"/>
      <c r="C3592" s="22"/>
      <c r="D3592" s="22"/>
      <c r="E3592" s="15"/>
      <c r="F3592" s="15"/>
      <c r="G3592" s="15"/>
      <c r="H3592" s="15"/>
      <c r="I3592" s="15"/>
      <c r="J3592" s="15"/>
      <c r="K3592" s="15"/>
      <c r="L3592" s="15"/>
      <c r="M3592" s="16"/>
      <c r="N3592" s="16"/>
      <c r="O3592" s="15"/>
      <c r="P3592" s="15"/>
    </row>
    <row r="3593">
      <c r="A3593" s="15"/>
      <c r="B3593" s="22"/>
      <c r="C3593" s="22"/>
      <c r="D3593" s="22"/>
      <c r="E3593" s="15"/>
      <c r="F3593" s="15"/>
      <c r="G3593" s="15"/>
      <c r="H3593" s="15"/>
      <c r="I3593" s="15"/>
      <c r="J3593" s="15"/>
      <c r="K3593" s="15"/>
      <c r="L3593" s="15"/>
      <c r="M3593" s="16"/>
      <c r="N3593" s="16"/>
      <c r="O3593" s="15"/>
      <c r="P3593" s="15"/>
    </row>
    <row r="3594">
      <c r="A3594" s="15"/>
      <c r="B3594" s="22"/>
      <c r="C3594" s="22"/>
      <c r="D3594" s="22"/>
      <c r="E3594" s="15"/>
      <c r="F3594" s="15"/>
      <c r="G3594" s="15"/>
      <c r="H3594" s="15"/>
      <c r="I3594" s="15"/>
      <c r="J3594" s="15"/>
      <c r="K3594" s="15"/>
      <c r="L3594" s="15"/>
      <c r="M3594" s="16"/>
      <c r="N3594" s="16"/>
      <c r="O3594" s="15"/>
      <c r="P3594" s="15"/>
    </row>
    <row r="3595">
      <c r="A3595" s="15"/>
      <c r="B3595" s="22"/>
      <c r="C3595" s="22"/>
      <c r="D3595" s="22"/>
      <c r="E3595" s="15"/>
      <c r="F3595" s="15"/>
      <c r="G3595" s="15"/>
      <c r="H3595" s="15"/>
      <c r="I3595" s="15"/>
      <c r="J3595" s="15"/>
      <c r="K3595" s="15"/>
      <c r="L3595" s="15"/>
      <c r="M3595" s="16"/>
      <c r="N3595" s="16"/>
      <c r="O3595" s="15"/>
      <c r="P3595" s="15"/>
    </row>
    <row r="3596">
      <c r="A3596" s="15"/>
      <c r="B3596" s="22"/>
      <c r="C3596" s="22"/>
      <c r="D3596" s="22"/>
      <c r="E3596" s="15"/>
      <c r="F3596" s="15"/>
      <c r="G3596" s="15"/>
      <c r="H3596" s="15"/>
      <c r="I3596" s="15"/>
      <c r="J3596" s="15"/>
      <c r="K3596" s="15"/>
      <c r="L3596" s="15"/>
      <c r="M3596" s="16"/>
      <c r="N3596" s="16"/>
      <c r="O3596" s="15"/>
      <c r="P3596" s="15"/>
    </row>
    <row r="3597">
      <c r="A3597" s="15"/>
      <c r="B3597" s="22"/>
      <c r="C3597" s="22"/>
      <c r="D3597" s="22"/>
      <c r="E3597" s="15"/>
      <c r="F3597" s="15"/>
      <c r="G3597" s="15"/>
      <c r="H3597" s="15"/>
      <c r="I3597" s="15"/>
      <c r="J3597" s="15"/>
      <c r="K3597" s="15"/>
      <c r="L3597" s="15"/>
      <c r="M3597" s="16"/>
      <c r="N3597" s="16"/>
      <c r="O3597" s="15"/>
      <c r="P3597" s="15"/>
    </row>
    <row r="3598">
      <c r="A3598" s="15"/>
      <c r="B3598" s="22"/>
      <c r="C3598" s="22"/>
      <c r="D3598" s="22"/>
      <c r="E3598" s="15"/>
      <c r="F3598" s="15"/>
      <c r="G3598" s="15"/>
      <c r="H3598" s="15"/>
      <c r="I3598" s="15"/>
      <c r="J3598" s="15"/>
      <c r="K3598" s="15"/>
      <c r="L3598" s="15"/>
      <c r="M3598" s="16"/>
      <c r="N3598" s="16"/>
      <c r="O3598" s="15"/>
      <c r="P3598" s="15"/>
    </row>
    <row r="3599">
      <c r="A3599" s="15"/>
      <c r="B3599" s="22"/>
      <c r="C3599" s="22"/>
      <c r="D3599" s="22"/>
      <c r="E3599" s="15"/>
      <c r="F3599" s="15"/>
      <c r="G3599" s="15"/>
      <c r="H3599" s="15"/>
      <c r="I3599" s="15"/>
      <c r="J3599" s="15"/>
      <c r="K3599" s="15"/>
      <c r="L3599" s="15"/>
      <c r="M3599" s="16"/>
      <c r="N3599" s="16"/>
      <c r="O3599" s="15"/>
      <c r="P3599" s="15"/>
    </row>
    <row r="3600">
      <c r="A3600" s="15"/>
      <c r="B3600" s="22"/>
      <c r="C3600" s="22"/>
      <c r="D3600" s="22"/>
      <c r="E3600" s="15"/>
      <c r="F3600" s="15"/>
      <c r="G3600" s="15"/>
      <c r="H3600" s="15"/>
      <c r="I3600" s="15"/>
      <c r="J3600" s="15"/>
      <c r="K3600" s="15"/>
      <c r="L3600" s="15"/>
      <c r="M3600" s="16"/>
      <c r="N3600" s="16"/>
      <c r="O3600" s="15"/>
      <c r="P3600" s="15"/>
    </row>
    <row r="3601">
      <c r="A3601" s="15"/>
      <c r="B3601" s="22"/>
      <c r="C3601" s="22"/>
      <c r="D3601" s="22"/>
      <c r="E3601" s="15"/>
      <c r="F3601" s="15"/>
      <c r="G3601" s="15"/>
      <c r="H3601" s="15"/>
      <c r="I3601" s="15"/>
      <c r="J3601" s="15"/>
      <c r="K3601" s="15"/>
      <c r="L3601" s="15"/>
      <c r="M3601" s="16"/>
      <c r="N3601" s="16"/>
      <c r="O3601" s="15"/>
      <c r="P3601" s="15"/>
    </row>
    <row r="3602">
      <c r="A3602" s="15"/>
      <c r="B3602" s="22"/>
      <c r="C3602" s="22"/>
      <c r="D3602" s="22"/>
      <c r="E3602" s="15"/>
      <c r="F3602" s="15"/>
      <c r="G3602" s="15"/>
      <c r="H3602" s="15"/>
      <c r="I3602" s="15"/>
      <c r="J3602" s="15"/>
      <c r="K3602" s="15"/>
      <c r="L3602" s="15"/>
      <c r="M3602" s="16"/>
      <c r="N3602" s="16"/>
      <c r="O3602" s="15"/>
      <c r="P3602" s="15"/>
    </row>
    <row r="3603">
      <c r="A3603" s="15"/>
      <c r="B3603" s="22"/>
      <c r="C3603" s="22"/>
      <c r="D3603" s="22"/>
      <c r="E3603" s="15"/>
      <c r="F3603" s="15"/>
      <c r="G3603" s="15"/>
      <c r="H3603" s="15"/>
      <c r="I3603" s="15"/>
      <c r="J3603" s="15"/>
      <c r="K3603" s="15"/>
      <c r="L3603" s="15"/>
      <c r="M3603" s="16"/>
      <c r="N3603" s="16"/>
      <c r="O3603" s="15"/>
      <c r="P3603" s="15"/>
    </row>
    <row r="3604">
      <c r="A3604" s="15"/>
      <c r="B3604" s="22"/>
      <c r="C3604" s="22"/>
      <c r="D3604" s="22"/>
      <c r="E3604" s="15"/>
      <c r="F3604" s="15"/>
      <c r="G3604" s="15"/>
      <c r="H3604" s="15"/>
      <c r="I3604" s="15"/>
      <c r="J3604" s="15"/>
      <c r="K3604" s="15"/>
      <c r="L3604" s="15"/>
      <c r="M3604" s="16"/>
      <c r="N3604" s="16"/>
      <c r="O3604" s="15"/>
      <c r="P3604" s="15"/>
    </row>
    <row r="3605">
      <c r="A3605" s="15"/>
      <c r="B3605" s="22"/>
      <c r="C3605" s="22"/>
      <c r="D3605" s="22"/>
      <c r="E3605" s="15"/>
      <c r="F3605" s="15"/>
      <c r="G3605" s="15"/>
      <c r="H3605" s="15"/>
      <c r="I3605" s="15"/>
      <c r="J3605" s="15"/>
      <c r="K3605" s="15"/>
      <c r="L3605" s="15"/>
      <c r="M3605" s="16"/>
      <c r="N3605" s="16"/>
      <c r="O3605" s="15"/>
      <c r="P3605" s="15"/>
    </row>
    <row r="3606">
      <c r="A3606" s="15"/>
      <c r="B3606" s="22"/>
      <c r="C3606" s="22"/>
      <c r="D3606" s="22"/>
      <c r="E3606" s="15"/>
      <c r="F3606" s="15"/>
      <c r="G3606" s="15"/>
      <c r="H3606" s="15"/>
      <c r="I3606" s="15"/>
      <c r="J3606" s="15"/>
      <c r="K3606" s="15"/>
      <c r="L3606" s="15"/>
      <c r="M3606" s="16"/>
      <c r="N3606" s="16"/>
      <c r="O3606" s="15"/>
      <c r="P3606" s="15"/>
    </row>
    <row r="3607">
      <c r="A3607" s="15"/>
      <c r="B3607" s="22"/>
      <c r="C3607" s="22"/>
      <c r="D3607" s="22"/>
      <c r="E3607" s="15"/>
      <c r="F3607" s="15"/>
      <c r="G3607" s="15"/>
      <c r="H3607" s="15"/>
      <c r="I3607" s="15"/>
      <c r="J3607" s="15"/>
      <c r="K3607" s="15"/>
      <c r="L3607" s="15"/>
      <c r="M3607" s="16"/>
      <c r="N3607" s="16"/>
      <c r="O3607" s="15"/>
      <c r="P3607" s="15"/>
    </row>
    <row r="3608">
      <c r="A3608" s="15"/>
      <c r="B3608" s="22"/>
      <c r="C3608" s="22"/>
      <c r="D3608" s="22"/>
      <c r="E3608" s="15"/>
      <c r="F3608" s="15"/>
      <c r="G3608" s="15"/>
      <c r="H3608" s="15"/>
      <c r="I3608" s="15"/>
      <c r="J3608" s="15"/>
      <c r="K3608" s="15"/>
      <c r="L3608" s="15"/>
      <c r="M3608" s="16"/>
      <c r="N3608" s="16"/>
      <c r="O3608" s="15"/>
      <c r="P3608" s="15"/>
    </row>
    <row r="3609">
      <c r="A3609" s="15"/>
      <c r="B3609" s="22"/>
      <c r="C3609" s="22"/>
      <c r="D3609" s="22"/>
      <c r="E3609" s="15"/>
      <c r="F3609" s="15"/>
      <c r="G3609" s="15"/>
      <c r="H3609" s="15"/>
      <c r="I3609" s="15"/>
      <c r="J3609" s="15"/>
      <c r="K3609" s="15"/>
      <c r="L3609" s="15"/>
      <c r="M3609" s="16"/>
      <c r="N3609" s="16"/>
      <c r="O3609" s="15"/>
      <c r="P3609" s="15"/>
    </row>
    <row r="3610">
      <c r="A3610" s="15"/>
      <c r="B3610" s="22"/>
      <c r="C3610" s="22"/>
      <c r="D3610" s="22"/>
      <c r="E3610" s="15"/>
      <c r="F3610" s="15"/>
      <c r="G3610" s="15"/>
      <c r="H3610" s="15"/>
      <c r="I3610" s="15"/>
      <c r="J3610" s="15"/>
      <c r="K3610" s="15"/>
      <c r="L3610" s="15"/>
      <c r="M3610" s="16"/>
      <c r="N3610" s="16"/>
      <c r="O3610" s="15"/>
      <c r="P3610" s="15"/>
    </row>
    <row r="3611">
      <c r="A3611" s="15"/>
      <c r="B3611" s="22"/>
      <c r="C3611" s="22"/>
      <c r="D3611" s="22"/>
      <c r="E3611" s="15"/>
      <c r="F3611" s="15"/>
      <c r="G3611" s="15"/>
      <c r="H3611" s="15"/>
      <c r="I3611" s="15"/>
      <c r="J3611" s="15"/>
      <c r="K3611" s="15"/>
      <c r="L3611" s="15"/>
      <c r="M3611" s="16"/>
      <c r="N3611" s="16"/>
      <c r="O3611" s="15"/>
      <c r="P3611" s="15"/>
    </row>
    <row r="3612">
      <c r="A3612" s="15"/>
      <c r="B3612" s="22"/>
      <c r="C3612" s="22"/>
      <c r="D3612" s="22"/>
      <c r="E3612" s="15"/>
      <c r="F3612" s="15"/>
      <c r="G3612" s="15"/>
      <c r="H3612" s="15"/>
      <c r="I3612" s="15"/>
      <c r="J3612" s="15"/>
      <c r="K3612" s="15"/>
      <c r="L3612" s="15"/>
      <c r="M3612" s="16"/>
      <c r="N3612" s="16"/>
      <c r="O3612" s="15"/>
      <c r="P3612" s="15"/>
    </row>
    <row r="3613">
      <c r="A3613" s="15"/>
      <c r="B3613" s="22"/>
      <c r="C3613" s="22"/>
      <c r="D3613" s="22"/>
      <c r="E3613" s="15"/>
      <c r="F3613" s="15"/>
      <c r="G3613" s="15"/>
      <c r="H3613" s="15"/>
      <c r="I3613" s="15"/>
      <c r="J3613" s="15"/>
      <c r="K3613" s="15"/>
      <c r="L3613" s="15"/>
      <c r="M3613" s="16"/>
      <c r="N3613" s="16"/>
      <c r="O3613" s="15"/>
      <c r="P3613" s="15"/>
    </row>
    <row r="3614">
      <c r="A3614" s="15"/>
      <c r="B3614" s="22"/>
      <c r="C3614" s="22"/>
      <c r="D3614" s="22"/>
      <c r="E3614" s="15"/>
      <c r="F3614" s="15"/>
      <c r="G3614" s="15"/>
      <c r="H3614" s="15"/>
      <c r="I3614" s="15"/>
      <c r="J3614" s="15"/>
      <c r="K3614" s="15"/>
      <c r="L3614" s="15"/>
      <c r="M3614" s="16"/>
      <c r="N3614" s="16"/>
      <c r="O3614" s="15"/>
      <c r="P3614" s="15"/>
    </row>
    <row r="3615">
      <c r="A3615" s="15"/>
      <c r="B3615" s="22"/>
      <c r="C3615" s="22"/>
      <c r="D3615" s="22"/>
      <c r="E3615" s="15"/>
      <c r="F3615" s="15"/>
      <c r="G3615" s="15"/>
      <c r="H3615" s="15"/>
      <c r="I3615" s="15"/>
      <c r="J3615" s="15"/>
      <c r="K3615" s="15"/>
      <c r="L3615" s="15"/>
      <c r="M3615" s="16"/>
      <c r="N3615" s="16"/>
      <c r="O3615" s="15"/>
      <c r="P3615" s="15"/>
    </row>
    <row r="3616">
      <c r="A3616" s="15"/>
      <c r="B3616" s="22"/>
      <c r="C3616" s="22"/>
      <c r="D3616" s="22"/>
      <c r="E3616" s="15"/>
      <c r="F3616" s="15"/>
      <c r="G3616" s="15"/>
      <c r="H3616" s="15"/>
      <c r="I3616" s="15"/>
      <c r="J3616" s="15"/>
      <c r="K3616" s="15"/>
      <c r="L3616" s="15"/>
      <c r="M3616" s="16"/>
      <c r="N3616" s="16"/>
      <c r="O3616" s="15"/>
      <c r="P3616" s="15"/>
    </row>
    <row r="3617">
      <c r="A3617" s="15"/>
      <c r="B3617" s="22"/>
      <c r="C3617" s="22"/>
      <c r="D3617" s="22"/>
      <c r="E3617" s="15"/>
      <c r="F3617" s="15"/>
      <c r="G3617" s="15"/>
      <c r="H3617" s="15"/>
      <c r="I3617" s="15"/>
      <c r="J3617" s="15"/>
      <c r="K3617" s="15"/>
      <c r="L3617" s="15"/>
      <c r="M3617" s="16"/>
      <c r="N3617" s="16"/>
      <c r="O3617" s="15"/>
      <c r="P3617" s="15"/>
    </row>
    <row r="3618">
      <c r="A3618" s="15"/>
      <c r="B3618" s="22"/>
      <c r="C3618" s="22"/>
      <c r="D3618" s="22"/>
      <c r="E3618" s="15"/>
      <c r="F3618" s="15"/>
      <c r="G3618" s="15"/>
      <c r="H3618" s="15"/>
      <c r="I3618" s="15"/>
      <c r="J3618" s="15"/>
      <c r="K3618" s="15"/>
      <c r="L3618" s="15"/>
      <c r="M3618" s="16"/>
      <c r="N3618" s="16"/>
      <c r="O3618" s="15"/>
      <c r="P3618" s="15"/>
    </row>
    <row r="3619">
      <c r="A3619" s="15"/>
      <c r="B3619" s="22"/>
      <c r="C3619" s="22"/>
      <c r="D3619" s="22"/>
      <c r="E3619" s="15"/>
      <c r="F3619" s="15"/>
      <c r="G3619" s="15"/>
      <c r="H3619" s="15"/>
      <c r="I3619" s="15"/>
      <c r="J3619" s="15"/>
      <c r="K3619" s="15"/>
      <c r="L3619" s="15"/>
      <c r="M3619" s="16"/>
      <c r="N3619" s="16"/>
      <c r="O3619" s="15"/>
      <c r="P3619" s="15"/>
    </row>
    <row r="3620">
      <c r="A3620" s="15"/>
      <c r="B3620" s="22"/>
      <c r="C3620" s="22"/>
      <c r="D3620" s="22"/>
      <c r="E3620" s="15"/>
      <c r="F3620" s="15"/>
      <c r="G3620" s="15"/>
      <c r="H3620" s="15"/>
      <c r="I3620" s="15"/>
      <c r="J3620" s="15"/>
      <c r="K3620" s="15"/>
      <c r="L3620" s="15"/>
      <c r="M3620" s="16"/>
      <c r="N3620" s="16"/>
      <c r="O3620" s="15"/>
      <c r="P3620" s="15"/>
    </row>
    <row r="3621">
      <c r="A3621" s="15"/>
      <c r="B3621" s="22"/>
      <c r="C3621" s="22"/>
      <c r="D3621" s="22"/>
      <c r="E3621" s="15"/>
      <c r="F3621" s="15"/>
      <c r="G3621" s="15"/>
      <c r="H3621" s="15"/>
      <c r="I3621" s="15"/>
      <c r="J3621" s="15"/>
      <c r="K3621" s="15"/>
      <c r="L3621" s="15"/>
      <c r="M3621" s="16"/>
      <c r="N3621" s="16"/>
      <c r="O3621" s="15"/>
      <c r="P3621" s="15"/>
    </row>
    <row r="3622">
      <c r="A3622" s="15"/>
      <c r="B3622" s="22"/>
      <c r="C3622" s="22"/>
      <c r="D3622" s="22"/>
      <c r="E3622" s="15"/>
      <c r="F3622" s="15"/>
      <c r="G3622" s="15"/>
      <c r="H3622" s="15"/>
      <c r="I3622" s="15"/>
      <c r="J3622" s="15"/>
      <c r="K3622" s="15"/>
      <c r="L3622" s="15"/>
      <c r="M3622" s="16"/>
      <c r="N3622" s="16"/>
      <c r="O3622" s="15"/>
      <c r="P3622" s="15"/>
    </row>
    <row r="3623">
      <c r="A3623" s="15"/>
      <c r="B3623" s="22"/>
      <c r="C3623" s="22"/>
      <c r="D3623" s="22"/>
      <c r="E3623" s="15"/>
      <c r="F3623" s="15"/>
      <c r="G3623" s="15"/>
      <c r="H3623" s="15"/>
      <c r="I3623" s="15"/>
      <c r="J3623" s="15"/>
      <c r="K3623" s="15"/>
      <c r="L3623" s="15"/>
      <c r="M3623" s="16"/>
      <c r="N3623" s="16"/>
      <c r="O3623" s="15"/>
      <c r="P3623" s="15"/>
    </row>
    <row r="3624">
      <c r="A3624" s="15"/>
      <c r="B3624" s="22"/>
      <c r="C3624" s="22"/>
      <c r="D3624" s="22"/>
      <c r="E3624" s="15"/>
      <c r="F3624" s="15"/>
      <c r="G3624" s="15"/>
      <c r="H3624" s="15"/>
      <c r="I3624" s="15"/>
      <c r="J3624" s="15"/>
      <c r="K3624" s="15"/>
      <c r="L3624" s="15"/>
      <c r="M3624" s="16"/>
      <c r="N3624" s="16"/>
      <c r="O3624" s="15"/>
      <c r="P3624" s="15"/>
    </row>
    <row r="3625">
      <c r="A3625" s="15"/>
      <c r="B3625" s="22"/>
      <c r="C3625" s="22"/>
      <c r="D3625" s="22"/>
      <c r="E3625" s="15"/>
      <c r="F3625" s="15"/>
      <c r="G3625" s="15"/>
      <c r="H3625" s="15"/>
      <c r="I3625" s="15"/>
      <c r="J3625" s="15"/>
      <c r="K3625" s="15"/>
      <c r="L3625" s="15"/>
      <c r="M3625" s="16"/>
      <c r="N3625" s="16"/>
      <c r="O3625" s="15"/>
      <c r="P3625" s="15"/>
    </row>
    <row r="3626">
      <c r="A3626" s="15"/>
      <c r="B3626" s="22"/>
      <c r="C3626" s="22"/>
      <c r="D3626" s="22"/>
      <c r="E3626" s="15"/>
      <c r="F3626" s="15"/>
      <c r="G3626" s="15"/>
      <c r="H3626" s="15"/>
      <c r="I3626" s="15"/>
      <c r="J3626" s="15"/>
      <c r="K3626" s="15"/>
      <c r="L3626" s="15"/>
      <c r="M3626" s="16"/>
      <c r="N3626" s="16"/>
      <c r="O3626" s="15"/>
      <c r="P3626" s="15"/>
    </row>
    <row r="3627">
      <c r="A3627" s="15"/>
      <c r="B3627" s="22"/>
      <c r="C3627" s="22"/>
      <c r="D3627" s="22"/>
      <c r="E3627" s="15"/>
      <c r="F3627" s="15"/>
      <c r="G3627" s="15"/>
      <c r="H3627" s="15"/>
      <c r="I3627" s="15"/>
      <c r="J3627" s="15"/>
      <c r="K3627" s="15"/>
      <c r="L3627" s="15"/>
      <c r="M3627" s="16"/>
      <c r="N3627" s="16"/>
      <c r="O3627" s="15"/>
      <c r="P3627" s="15"/>
    </row>
    <row r="3628">
      <c r="A3628" s="15"/>
      <c r="B3628" s="22"/>
      <c r="C3628" s="22"/>
      <c r="D3628" s="22"/>
      <c r="E3628" s="15"/>
      <c r="F3628" s="15"/>
      <c r="G3628" s="15"/>
      <c r="H3628" s="15"/>
      <c r="I3628" s="15"/>
      <c r="J3628" s="15"/>
      <c r="K3628" s="15"/>
      <c r="L3628" s="15"/>
      <c r="M3628" s="16"/>
      <c r="N3628" s="16"/>
      <c r="O3628" s="15"/>
      <c r="P3628" s="15"/>
    </row>
    <row r="3629">
      <c r="A3629" s="15"/>
      <c r="B3629" s="22"/>
      <c r="C3629" s="22"/>
      <c r="D3629" s="22"/>
      <c r="E3629" s="15"/>
      <c r="F3629" s="15"/>
      <c r="G3629" s="15"/>
      <c r="H3629" s="15"/>
      <c r="I3629" s="15"/>
      <c r="J3629" s="15"/>
      <c r="K3629" s="15"/>
      <c r="L3629" s="15"/>
      <c r="M3629" s="16"/>
      <c r="N3629" s="16"/>
      <c r="O3629" s="15"/>
      <c r="P3629" s="15"/>
    </row>
    <row r="3630">
      <c r="A3630" s="15"/>
      <c r="B3630" s="22"/>
      <c r="C3630" s="22"/>
      <c r="D3630" s="22"/>
      <c r="E3630" s="15"/>
      <c r="F3630" s="15"/>
      <c r="G3630" s="15"/>
      <c r="H3630" s="15"/>
      <c r="I3630" s="15"/>
      <c r="J3630" s="15"/>
      <c r="K3630" s="15"/>
      <c r="L3630" s="15"/>
      <c r="M3630" s="16"/>
      <c r="N3630" s="16"/>
      <c r="O3630" s="15"/>
      <c r="P3630" s="15"/>
    </row>
    <row r="3631">
      <c r="A3631" s="15"/>
      <c r="B3631" s="22"/>
      <c r="C3631" s="22"/>
      <c r="D3631" s="22"/>
      <c r="E3631" s="15"/>
      <c r="F3631" s="15"/>
      <c r="G3631" s="15"/>
      <c r="H3631" s="15"/>
      <c r="I3631" s="15"/>
      <c r="J3631" s="15"/>
      <c r="K3631" s="15"/>
      <c r="L3631" s="15"/>
      <c r="M3631" s="16"/>
      <c r="N3631" s="16"/>
      <c r="O3631" s="15"/>
      <c r="P3631" s="15"/>
    </row>
    <row r="3632">
      <c r="A3632" s="15"/>
      <c r="B3632" s="22"/>
      <c r="C3632" s="22"/>
      <c r="D3632" s="22"/>
      <c r="E3632" s="15"/>
      <c r="F3632" s="15"/>
      <c r="G3632" s="15"/>
      <c r="H3632" s="15"/>
      <c r="I3632" s="15"/>
      <c r="J3632" s="15"/>
      <c r="K3632" s="15"/>
      <c r="L3632" s="15"/>
      <c r="M3632" s="16"/>
      <c r="N3632" s="16"/>
      <c r="O3632" s="15"/>
      <c r="P3632" s="15"/>
    </row>
    <row r="3633">
      <c r="A3633" s="15"/>
      <c r="B3633" s="22"/>
      <c r="C3633" s="22"/>
      <c r="D3633" s="22"/>
      <c r="E3633" s="15"/>
      <c r="F3633" s="15"/>
      <c r="G3633" s="15"/>
      <c r="H3633" s="15"/>
      <c r="I3633" s="15"/>
      <c r="J3633" s="15"/>
      <c r="K3633" s="15"/>
      <c r="L3633" s="15"/>
      <c r="M3633" s="16"/>
      <c r="N3633" s="16"/>
      <c r="O3633" s="15"/>
      <c r="P3633" s="15"/>
    </row>
    <row r="3634">
      <c r="A3634" s="15"/>
      <c r="B3634" s="22"/>
      <c r="C3634" s="22"/>
      <c r="D3634" s="22"/>
      <c r="E3634" s="15"/>
      <c r="F3634" s="15"/>
      <c r="G3634" s="15"/>
      <c r="H3634" s="15"/>
      <c r="I3634" s="15"/>
      <c r="J3634" s="15"/>
      <c r="K3634" s="15"/>
      <c r="L3634" s="15"/>
      <c r="M3634" s="16"/>
      <c r="N3634" s="16"/>
      <c r="O3634" s="15"/>
      <c r="P3634" s="15"/>
    </row>
    <row r="3635">
      <c r="A3635" s="15"/>
      <c r="B3635" s="22"/>
      <c r="C3635" s="22"/>
      <c r="D3635" s="22"/>
      <c r="E3635" s="15"/>
      <c r="F3635" s="15"/>
      <c r="G3635" s="15"/>
      <c r="H3635" s="15"/>
      <c r="I3635" s="15"/>
      <c r="J3635" s="15"/>
      <c r="K3635" s="15"/>
      <c r="L3635" s="15"/>
      <c r="M3635" s="16"/>
      <c r="N3635" s="16"/>
      <c r="O3635" s="15"/>
      <c r="P3635" s="15"/>
    </row>
    <row r="3636">
      <c r="A3636" s="15"/>
      <c r="B3636" s="22"/>
      <c r="C3636" s="22"/>
      <c r="D3636" s="22"/>
      <c r="E3636" s="15"/>
      <c r="F3636" s="15"/>
      <c r="G3636" s="15"/>
      <c r="H3636" s="15"/>
      <c r="I3636" s="15"/>
      <c r="J3636" s="15"/>
      <c r="K3636" s="15"/>
      <c r="L3636" s="15"/>
      <c r="M3636" s="16"/>
      <c r="N3636" s="16"/>
      <c r="O3636" s="15"/>
      <c r="P3636" s="15"/>
    </row>
    <row r="3637">
      <c r="A3637" s="15"/>
      <c r="B3637" s="22"/>
      <c r="C3637" s="22"/>
      <c r="D3637" s="22"/>
      <c r="E3637" s="15"/>
      <c r="F3637" s="15"/>
      <c r="G3637" s="15"/>
      <c r="H3637" s="15"/>
      <c r="I3637" s="15"/>
      <c r="J3637" s="15"/>
      <c r="K3637" s="15"/>
      <c r="L3637" s="15"/>
      <c r="M3637" s="16"/>
      <c r="N3637" s="16"/>
      <c r="O3637" s="15"/>
      <c r="P3637" s="15"/>
    </row>
    <row r="3638">
      <c r="A3638" s="15"/>
      <c r="B3638" s="22"/>
      <c r="C3638" s="22"/>
      <c r="D3638" s="22"/>
      <c r="E3638" s="15"/>
      <c r="F3638" s="15"/>
      <c r="G3638" s="15"/>
      <c r="H3638" s="15"/>
      <c r="I3638" s="15"/>
      <c r="J3638" s="15"/>
      <c r="K3638" s="15"/>
      <c r="L3638" s="15"/>
      <c r="M3638" s="16"/>
      <c r="N3638" s="16"/>
      <c r="O3638" s="15"/>
      <c r="P3638" s="15"/>
    </row>
    <row r="3639">
      <c r="A3639" s="15"/>
      <c r="B3639" s="22"/>
      <c r="C3639" s="22"/>
      <c r="D3639" s="22"/>
      <c r="E3639" s="15"/>
      <c r="F3639" s="15"/>
      <c r="G3639" s="15"/>
      <c r="H3639" s="15"/>
      <c r="I3639" s="15"/>
      <c r="J3639" s="15"/>
      <c r="K3639" s="15"/>
      <c r="L3639" s="15"/>
      <c r="M3639" s="16"/>
      <c r="N3639" s="16"/>
      <c r="O3639" s="15"/>
      <c r="P3639" s="15"/>
    </row>
    <row r="3640">
      <c r="A3640" s="15"/>
      <c r="B3640" s="22"/>
      <c r="C3640" s="22"/>
      <c r="D3640" s="22"/>
      <c r="E3640" s="15"/>
      <c r="F3640" s="15"/>
      <c r="G3640" s="15"/>
      <c r="H3640" s="15"/>
      <c r="I3640" s="15"/>
      <c r="J3640" s="15"/>
      <c r="K3640" s="15"/>
      <c r="L3640" s="15"/>
      <c r="M3640" s="16"/>
      <c r="N3640" s="16"/>
      <c r="O3640" s="15"/>
      <c r="P3640" s="15"/>
    </row>
    <row r="3641">
      <c r="A3641" s="15"/>
      <c r="B3641" s="22"/>
      <c r="C3641" s="22"/>
      <c r="D3641" s="22"/>
      <c r="E3641" s="15"/>
      <c r="F3641" s="15"/>
      <c r="G3641" s="15"/>
      <c r="H3641" s="15"/>
      <c r="I3641" s="15"/>
      <c r="J3641" s="15"/>
      <c r="K3641" s="15"/>
      <c r="L3641" s="15"/>
      <c r="M3641" s="16"/>
      <c r="N3641" s="16"/>
      <c r="O3641" s="15"/>
      <c r="P3641" s="15"/>
    </row>
    <row r="3642">
      <c r="A3642" s="15"/>
      <c r="B3642" s="22"/>
      <c r="C3642" s="22"/>
      <c r="D3642" s="22"/>
      <c r="E3642" s="15"/>
      <c r="F3642" s="15"/>
      <c r="G3642" s="15"/>
      <c r="H3642" s="15"/>
      <c r="I3642" s="15"/>
      <c r="J3642" s="15"/>
      <c r="K3642" s="15"/>
      <c r="L3642" s="15"/>
      <c r="M3642" s="16"/>
      <c r="N3642" s="16"/>
      <c r="O3642" s="15"/>
      <c r="P3642" s="15"/>
    </row>
    <row r="3643">
      <c r="A3643" s="15"/>
      <c r="B3643" s="22"/>
      <c r="C3643" s="22"/>
      <c r="D3643" s="22"/>
      <c r="E3643" s="15"/>
      <c r="F3643" s="15"/>
      <c r="G3643" s="15"/>
      <c r="H3643" s="15"/>
      <c r="I3643" s="15"/>
      <c r="J3643" s="15"/>
      <c r="K3643" s="15"/>
      <c r="L3643" s="15"/>
      <c r="M3643" s="16"/>
      <c r="N3643" s="16"/>
      <c r="O3643" s="15"/>
      <c r="P3643" s="15"/>
    </row>
    <row r="3644">
      <c r="A3644" s="15"/>
      <c r="B3644" s="22"/>
      <c r="C3644" s="22"/>
      <c r="D3644" s="22"/>
      <c r="E3644" s="15"/>
      <c r="F3644" s="15"/>
      <c r="G3644" s="15"/>
      <c r="H3644" s="15"/>
      <c r="I3644" s="15"/>
      <c r="J3644" s="15"/>
      <c r="K3644" s="15"/>
      <c r="L3644" s="15"/>
      <c r="M3644" s="16"/>
      <c r="N3644" s="16"/>
      <c r="O3644" s="15"/>
      <c r="P3644" s="15"/>
    </row>
    <row r="3645">
      <c r="A3645" s="15"/>
      <c r="B3645" s="22"/>
      <c r="C3645" s="22"/>
      <c r="D3645" s="22"/>
      <c r="E3645" s="15"/>
      <c r="F3645" s="15"/>
      <c r="G3645" s="15"/>
      <c r="H3645" s="15"/>
      <c r="I3645" s="15"/>
      <c r="J3645" s="15"/>
      <c r="K3645" s="15"/>
      <c r="L3645" s="15"/>
      <c r="M3645" s="16"/>
      <c r="N3645" s="16"/>
      <c r="O3645" s="15"/>
      <c r="P3645" s="15"/>
    </row>
    <row r="3646">
      <c r="A3646" s="15"/>
      <c r="B3646" s="22"/>
      <c r="C3646" s="22"/>
      <c r="D3646" s="22"/>
      <c r="E3646" s="15"/>
      <c r="F3646" s="15"/>
      <c r="G3646" s="15"/>
      <c r="H3646" s="15"/>
      <c r="I3646" s="15"/>
      <c r="J3646" s="15"/>
      <c r="K3646" s="15"/>
      <c r="L3646" s="15"/>
      <c r="M3646" s="16"/>
      <c r="N3646" s="16"/>
      <c r="O3646" s="15"/>
      <c r="P3646" s="15"/>
    </row>
    <row r="3647">
      <c r="A3647" s="15"/>
      <c r="B3647" s="22"/>
      <c r="C3647" s="22"/>
      <c r="D3647" s="22"/>
      <c r="E3647" s="15"/>
      <c r="F3647" s="15"/>
      <c r="G3647" s="15"/>
      <c r="H3647" s="15"/>
      <c r="I3647" s="15"/>
      <c r="J3647" s="15"/>
      <c r="K3647" s="15"/>
      <c r="L3647" s="15"/>
      <c r="M3647" s="16"/>
      <c r="N3647" s="16"/>
      <c r="O3647" s="15"/>
      <c r="P3647" s="15"/>
    </row>
    <row r="3648">
      <c r="A3648" s="15"/>
      <c r="B3648" s="22"/>
      <c r="C3648" s="22"/>
      <c r="D3648" s="22"/>
      <c r="E3648" s="15"/>
      <c r="F3648" s="15"/>
      <c r="G3648" s="15"/>
      <c r="H3648" s="15"/>
      <c r="I3648" s="15"/>
      <c r="J3648" s="15"/>
      <c r="K3648" s="15"/>
      <c r="L3648" s="15"/>
      <c r="M3648" s="16"/>
      <c r="N3648" s="16"/>
      <c r="O3648" s="15"/>
      <c r="P3648" s="15"/>
    </row>
    <row r="3649">
      <c r="A3649" s="15"/>
      <c r="B3649" s="22"/>
      <c r="C3649" s="22"/>
      <c r="D3649" s="22"/>
      <c r="E3649" s="15"/>
      <c r="F3649" s="15"/>
      <c r="G3649" s="15"/>
      <c r="H3649" s="15"/>
      <c r="I3649" s="15"/>
      <c r="J3649" s="15"/>
      <c r="K3649" s="15"/>
      <c r="L3649" s="15"/>
      <c r="M3649" s="16"/>
      <c r="N3649" s="16"/>
      <c r="O3649" s="15"/>
      <c r="P3649" s="15"/>
    </row>
    <row r="3650">
      <c r="A3650" s="15"/>
      <c r="B3650" s="22"/>
      <c r="C3650" s="22"/>
      <c r="D3650" s="22"/>
      <c r="E3650" s="15"/>
      <c r="F3650" s="15"/>
      <c r="G3650" s="15"/>
      <c r="H3650" s="15"/>
      <c r="I3650" s="15"/>
      <c r="J3650" s="15"/>
      <c r="K3650" s="15"/>
      <c r="L3650" s="15"/>
      <c r="M3650" s="16"/>
      <c r="N3650" s="16"/>
      <c r="O3650" s="15"/>
      <c r="P3650" s="15"/>
    </row>
    <row r="3651">
      <c r="A3651" s="15"/>
      <c r="B3651" s="22"/>
      <c r="C3651" s="22"/>
      <c r="D3651" s="22"/>
      <c r="E3651" s="15"/>
      <c r="F3651" s="15"/>
      <c r="G3651" s="15"/>
      <c r="H3651" s="15"/>
      <c r="I3651" s="15"/>
      <c r="J3651" s="15"/>
      <c r="K3651" s="15"/>
      <c r="L3651" s="15"/>
      <c r="M3651" s="16"/>
      <c r="N3651" s="16"/>
      <c r="O3651" s="15"/>
      <c r="P3651" s="15"/>
    </row>
    <row r="3652">
      <c r="A3652" s="15"/>
      <c r="B3652" s="22"/>
      <c r="C3652" s="22"/>
      <c r="D3652" s="22"/>
      <c r="E3652" s="15"/>
      <c r="F3652" s="15"/>
      <c r="G3652" s="15"/>
      <c r="H3652" s="15"/>
      <c r="I3652" s="15"/>
      <c r="J3652" s="15"/>
      <c r="K3652" s="15"/>
      <c r="L3652" s="15"/>
      <c r="M3652" s="16"/>
      <c r="N3652" s="16"/>
      <c r="O3652" s="15"/>
      <c r="P3652" s="15"/>
    </row>
    <row r="3653">
      <c r="A3653" s="15"/>
      <c r="B3653" s="22"/>
      <c r="C3653" s="22"/>
      <c r="D3653" s="22"/>
      <c r="E3653" s="15"/>
      <c r="F3653" s="15"/>
      <c r="G3653" s="15"/>
      <c r="H3653" s="15"/>
      <c r="I3653" s="15"/>
      <c r="J3653" s="15"/>
      <c r="K3653" s="15"/>
      <c r="L3653" s="15"/>
      <c r="M3653" s="16"/>
      <c r="N3653" s="16"/>
      <c r="O3653" s="15"/>
      <c r="P3653" s="15"/>
    </row>
    <row r="3654">
      <c r="A3654" s="15"/>
      <c r="B3654" s="22"/>
      <c r="C3654" s="22"/>
      <c r="D3654" s="22"/>
      <c r="E3654" s="15"/>
      <c r="F3654" s="15"/>
      <c r="G3654" s="15"/>
      <c r="H3654" s="15"/>
      <c r="I3654" s="15"/>
      <c r="J3654" s="15"/>
      <c r="K3654" s="15"/>
      <c r="L3654" s="15"/>
      <c r="M3654" s="16"/>
      <c r="N3654" s="16"/>
      <c r="O3654" s="15"/>
      <c r="P3654" s="15"/>
    </row>
    <row r="3655">
      <c r="A3655" s="15"/>
      <c r="B3655" s="22"/>
      <c r="C3655" s="22"/>
      <c r="D3655" s="22"/>
      <c r="E3655" s="15"/>
      <c r="F3655" s="15"/>
      <c r="G3655" s="15"/>
      <c r="H3655" s="15"/>
      <c r="I3655" s="15"/>
      <c r="J3655" s="15"/>
      <c r="K3655" s="15"/>
      <c r="L3655" s="15"/>
      <c r="M3655" s="16"/>
      <c r="N3655" s="16"/>
      <c r="O3655" s="15"/>
      <c r="P3655" s="15"/>
    </row>
    <row r="3656">
      <c r="A3656" s="15"/>
      <c r="B3656" s="22"/>
      <c r="C3656" s="22"/>
      <c r="D3656" s="22"/>
      <c r="E3656" s="15"/>
      <c r="F3656" s="15"/>
      <c r="G3656" s="15"/>
      <c r="H3656" s="15"/>
      <c r="I3656" s="15"/>
      <c r="J3656" s="15"/>
      <c r="K3656" s="15"/>
      <c r="L3656" s="15"/>
      <c r="M3656" s="16"/>
      <c r="N3656" s="16"/>
      <c r="O3656" s="15"/>
      <c r="P3656" s="15"/>
    </row>
    <row r="3657">
      <c r="A3657" s="15"/>
      <c r="B3657" s="22"/>
      <c r="C3657" s="22"/>
      <c r="D3657" s="22"/>
      <c r="E3657" s="15"/>
      <c r="F3657" s="15"/>
      <c r="G3657" s="15"/>
      <c r="H3657" s="15"/>
      <c r="I3657" s="15"/>
      <c r="J3657" s="15"/>
      <c r="K3657" s="15"/>
      <c r="L3657" s="15"/>
      <c r="M3657" s="16"/>
      <c r="N3657" s="16"/>
      <c r="O3657" s="15"/>
      <c r="P3657" s="15"/>
    </row>
    <row r="3658">
      <c r="A3658" s="15"/>
      <c r="B3658" s="22"/>
      <c r="C3658" s="22"/>
      <c r="D3658" s="22"/>
      <c r="E3658" s="15"/>
      <c r="F3658" s="15"/>
      <c r="G3658" s="15"/>
      <c r="H3658" s="15"/>
      <c r="I3658" s="15"/>
      <c r="J3658" s="15"/>
      <c r="K3658" s="15"/>
      <c r="L3658" s="15"/>
      <c r="M3658" s="16"/>
      <c r="N3658" s="16"/>
      <c r="O3658" s="15"/>
      <c r="P3658" s="15"/>
    </row>
    <row r="3659">
      <c r="A3659" s="15"/>
      <c r="B3659" s="22"/>
      <c r="C3659" s="22"/>
      <c r="D3659" s="22"/>
      <c r="E3659" s="15"/>
      <c r="F3659" s="15"/>
      <c r="G3659" s="15"/>
      <c r="H3659" s="15"/>
      <c r="I3659" s="15"/>
      <c r="J3659" s="15"/>
      <c r="K3659" s="15"/>
      <c r="L3659" s="15"/>
      <c r="M3659" s="16"/>
      <c r="N3659" s="16"/>
      <c r="O3659" s="15"/>
      <c r="P3659" s="15"/>
    </row>
    <row r="3660">
      <c r="A3660" s="15"/>
      <c r="B3660" s="22"/>
      <c r="C3660" s="22"/>
      <c r="D3660" s="22"/>
      <c r="E3660" s="15"/>
      <c r="F3660" s="15"/>
      <c r="G3660" s="15"/>
      <c r="H3660" s="15"/>
      <c r="I3660" s="15"/>
      <c r="J3660" s="15"/>
      <c r="K3660" s="15"/>
      <c r="L3660" s="15"/>
      <c r="M3660" s="16"/>
      <c r="N3660" s="16"/>
      <c r="O3660" s="15"/>
      <c r="P3660" s="15"/>
    </row>
    <row r="3661">
      <c r="A3661" s="15"/>
      <c r="B3661" s="22"/>
      <c r="C3661" s="22"/>
      <c r="D3661" s="22"/>
      <c r="E3661" s="15"/>
      <c r="F3661" s="15"/>
      <c r="G3661" s="15"/>
      <c r="H3661" s="15"/>
      <c r="I3661" s="15"/>
      <c r="J3661" s="15"/>
      <c r="K3661" s="15"/>
      <c r="L3661" s="15"/>
      <c r="M3661" s="16"/>
      <c r="N3661" s="16"/>
      <c r="O3661" s="15"/>
      <c r="P3661" s="15"/>
    </row>
    <row r="3662">
      <c r="A3662" s="15"/>
      <c r="B3662" s="22"/>
      <c r="C3662" s="22"/>
      <c r="D3662" s="22"/>
      <c r="E3662" s="15"/>
      <c r="F3662" s="15"/>
      <c r="G3662" s="15"/>
      <c r="H3662" s="15"/>
      <c r="I3662" s="15"/>
      <c r="J3662" s="15"/>
      <c r="K3662" s="15"/>
      <c r="L3662" s="15"/>
      <c r="M3662" s="16"/>
      <c r="N3662" s="16"/>
      <c r="O3662" s="15"/>
      <c r="P3662" s="15"/>
    </row>
    <row r="3663">
      <c r="A3663" s="15"/>
      <c r="B3663" s="22"/>
      <c r="C3663" s="22"/>
      <c r="D3663" s="22"/>
      <c r="E3663" s="15"/>
      <c r="F3663" s="15"/>
      <c r="G3663" s="15"/>
      <c r="H3663" s="15"/>
      <c r="I3663" s="15"/>
      <c r="J3663" s="15"/>
      <c r="K3663" s="15"/>
      <c r="L3663" s="15"/>
      <c r="M3663" s="16"/>
      <c r="N3663" s="16"/>
      <c r="O3663" s="15"/>
      <c r="P3663" s="15"/>
    </row>
    <row r="3664">
      <c r="A3664" s="15"/>
      <c r="B3664" s="22"/>
      <c r="C3664" s="22"/>
      <c r="D3664" s="22"/>
      <c r="E3664" s="15"/>
      <c r="F3664" s="15"/>
      <c r="G3664" s="15"/>
      <c r="H3664" s="15"/>
      <c r="I3664" s="15"/>
      <c r="J3664" s="15"/>
      <c r="K3664" s="15"/>
      <c r="L3664" s="15"/>
      <c r="M3664" s="16"/>
      <c r="N3664" s="16"/>
      <c r="O3664" s="15"/>
      <c r="P3664" s="15"/>
    </row>
    <row r="3665">
      <c r="A3665" s="15"/>
      <c r="B3665" s="22"/>
      <c r="C3665" s="22"/>
      <c r="D3665" s="22"/>
      <c r="E3665" s="15"/>
      <c r="F3665" s="15"/>
      <c r="G3665" s="15"/>
      <c r="H3665" s="15"/>
      <c r="I3665" s="15"/>
      <c r="J3665" s="15"/>
      <c r="K3665" s="15"/>
      <c r="L3665" s="15"/>
      <c r="M3665" s="16"/>
      <c r="N3665" s="16"/>
      <c r="O3665" s="15"/>
      <c r="P3665" s="15"/>
    </row>
    <row r="3666">
      <c r="A3666" s="15"/>
      <c r="B3666" s="22"/>
      <c r="C3666" s="22"/>
      <c r="D3666" s="22"/>
      <c r="E3666" s="15"/>
      <c r="F3666" s="15"/>
      <c r="G3666" s="15"/>
      <c r="H3666" s="15"/>
      <c r="I3666" s="15"/>
      <c r="J3666" s="15"/>
      <c r="K3666" s="15"/>
      <c r="L3666" s="15"/>
      <c r="M3666" s="16"/>
      <c r="N3666" s="16"/>
      <c r="O3666" s="15"/>
      <c r="P3666" s="15"/>
    </row>
    <row r="3667">
      <c r="A3667" s="15"/>
      <c r="B3667" s="22"/>
      <c r="C3667" s="22"/>
      <c r="D3667" s="22"/>
      <c r="E3667" s="15"/>
      <c r="F3667" s="15"/>
      <c r="G3667" s="15"/>
      <c r="H3667" s="15"/>
      <c r="I3667" s="15"/>
      <c r="J3667" s="15"/>
      <c r="K3667" s="15"/>
      <c r="L3667" s="15"/>
      <c r="M3667" s="16"/>
      <c r="N3667" s="16"/>
      <c r="O3667" s="15"/>
      <c r="P3667" s="15"/>
    </row>
    <row r="3668">
      <c r="A3668" s="15"/>
      <c r="B3668" s="22"/>
      <c r="C3668" s="22"/>
      <c r="D3668" s="22"/>
      <c r="E3668" s="15"/>
      <c r="F3668" s="15"/>
      <c r="G3668" s="15"/>
      <c r="H3668" s="15"/>
      <c r="I3668" s="15"/>
      <c r="J3668" s="15"/>
      <c r="K3668" s="15"/>
      <c r="L3668" s="15"/>
      <c r="M3668" s="16"/>
      <c r="N3668" s="16"/>
      <c r="O3668" s="15"/>
      <c r="P3668" s="15"/>
    </row>
    <row r="3669">
      <c r="A3669" s="15"/>
      <c r="B3669" s="22"/>
      <c r="C3669" s="22"/>
      <c r="D3669" s="22"/>
      <c r="E3669" s="15"/>
      <c r="F3669" s="15"/>
      <c r="G3669" s="15"/>
      <c r="H3669" s="15"/>
      <c r="I3669" s="15"/>
      <c r="J3669" s="15"/>
      <c r="K3669" s="15"/>
      <c r="L3669" s="15"/>
      <c r="M3669" s="16"/>
      <c r="N3669" s="16"/>
      <c r="O3669" s="15"/>
      <c r="P3669" s="15"/>
    </row>
    <row r="3670">
      <c r="A3670" s="15"/>
      <c r="B3670" s="22"/>
      <c r="C3670" s="22"/>
      <c r="D3670" s="22"/>
      <c r="E3670" s="15"/>
      <c r="F3670" s="15"/>
      <c r="G3670" s="15"/>
      <c r="H3670" s="15"/>
      <c r="I3670" s="15"/>
      <c r="J3670" s="15"/>
      <c r="K3670" s="15"/>
      <c r="L3670" s="15"/>
      <c r="M3670" s="16"/>
      <c r="N3670" s="16"/>
      <c r="O3670" s="15"/>
      <c r="P3670" s="15"/>
    </row>
    <row r="3671">
      <c r="A3671" s="15"/>
      <c r="B3671" s="22"/>
      <c r="C3671" s="22"/>
      <c r="D3671" s="22"/>
      <c r="E3671" s="15"/>
      <c r="F3671" s="15"/>
      <c r="G3671" s="15"/>
      <c r="H3671" s="15"/>
      <c r="I3671" s="15"/>
      <c r="J3671" s="15"/>
      <c r="K3671" s="15"/>
      <c r="L3671" s="15"/>
      <c r="M3671" s="16"/>
      <c r="N3671" s="16"/>
      <c r="O3671" s="15"/>
      <c r="P3671" s="15"/>
    </row>
    <row r="3672">
      <c r="A3672" s="15"/>
      <c r="B3672" s="22"/>
      <c r="C3672" s="22"/>
      <c r="D3672" s="22"/>
      <c r="E3672" s="15"/>
      <c r="F3672" s="15"/>
      <c r="G3672" s="15"/>
      <c r="H3672" s="15"/>
      <c r="I3672" s="15"/>
      <c r="J3672" s="15"/>
      <c r="K3672" s="15"/>
      <c r="L3672" s="15"/>
      <c r="M3672" s="16"/>
      <c r="N3672" s="16"/>
      <c r="O3672" s="15"/>
      <c r="P3672" s="15"/>
    </row>
    <row r="3673">
      <c r="A3673" s="15"/>
      <c r="B3673" s="22"/>
      <c r="C3673" s="22"/>
      <c r="D3673" s="22"/>
      <c r="E3673" s="15"/>
      <c r="F3673" s="15"/>
      <c r="G3673" s="15"/>
      <c r="H3673" s="15"/>
      <c r="I3673" s="15"/>
      <c r="J3673" s="15"/>
      <c r="K3673" s="15"/>
      <c r="L3673" s="15"/>
      <c r="M3673" s="16"/>
      <c r="N3673" s="16"/>
      <c r="O3673" s="15"/>
      <c r="P3673" s="15"/>
    </row>
    <row r="3674">
      <c r="A3674" s="15"/>
      <c r="B3674" s="22"/>
      <c r="C3674" s="22"/>
      <c r="D3674" s="22"/>
      <c r="E3674" s="15"/>
      <c r="F3674" s="15"/>
      <c r="G3674" s="15"/>
      <c r="H3674" s="15"/>
      <c r="I3674" s="15"/>
      <c r="J3674" s="15"/>
      <c r="K3674" s="15"/>
      <c r="L3674" s="15"/>
      <c r="M3674" s="16"/>
      <c r="N3674" s="16"/>
      <c r="O3674" s="15"/>
      <c r="P3674" s="15"/>
    </row>
    <row r="3675">
      <c r="A3675" s="15"/>
      <c r="B3675" s="22"/>
      <c r="C3675" s="22"/>
      <c r="D3675" s="22"/>
      <c r="E3675" s="15"/>
      <c r="F3675" s="15"/>
      <c r="G3675" s="15"/>
      <c r="H3675" s="15"/>
      <c r="I3675" s="15"/>
      <c r="J3675" s="15"/>
      <c r="K3675" s="15"/>
      <c r="L3675" s="15"/>
      <c r="M3675" s="16"/>
      <c r="N3675" s="16"/>
      <c r="O3675" s="15"/>
      <c r="P3675" s="15"/>
    </row>
    <row r="3676">
      <c r="A3676" s="15"/>
      <c r="B3676" s="22"/>
      <c r="C3676" s="22"/>
      <c r="D3676" s="22"/>
      <c r="E3676" s="15"/>
      <c r="F3676" s="15"/>
      <c r="G3676" s="15"/>
      <c r="H3676" s="15"/>
      <c r="I3676" s="15"/>
      <c r="J3676" s="15"/>
      <c r="K3676" s="15"/>
      <c r="L3676" s="15"/>
      <c r="M3676" s="16"/>
      <c r="N3676" s="16"/>
      <c r="O3676" s="15"/>
      <c r="P3676" s="15"/>
    </row>
    <row r="3677">
      <c r="A3677" s="15"/>
      <c r="B3677" s="22"/>
      <c r="C3677" s="22"/>
      <c r="D3677" s="22"/>
      <c r="E3677" s="15"/>
      <c r="F3677" s="15"/>
      <c r="G3677" s="15"/>
      <c r="H3677" s="15"/>
      <c r="I3677" s="15"/>
      <c r="J3677" s="15"/>
      <c r="K3677" s="15"/>
      <c r="L3677" s="15"/>
      <c r="M3677" s="16"/>
      <c r="N3677" s="16"/>
      <c r="O3677" s="15"/>
      <c r="P3677" s="15"/>
    </row>
    <row r="3678">
      <c r="A3678" s="15"/>
      <c r="B3678" s="22"/>
      <c r="C3678" s="22"/>
      <c r="D3678" s="22"/>
      <c r="E3678" s="15"/>
      <c r="F3678" s="15"/>
      <c r="G3678" s="15"/>
      <c r="H3678" s="15"/>
      <c r="I3678" s="15"/>
      <c r="J3678" s="15"/>
      <c r="K3678" s="15"/>
      <c r="L3678" s="15"/>
      <c r="M3678" s="16"/>
      <c r="N3678" s="16"/>
      <c r="O3678" s="15"/>
      <c r="P3678" s="15"/>
    </row>
    <row r="3679">
      <c r="A3679" s="15"/>
      <c r="B3679" s="22"/>
      <c r="C3679" s="22"/>
      <c r="D3679" s="22"/>
      <c r="E3679" s="15"/>
      <c r="F3679" s="15"/>
      <c r="G3679" s="15"/>
      <c r="H3679" s="15"/>
      <c r="I3679" s="15"/>
      <c r="J3679" s="15"/>
      <c r="K3679" s="15"/>
      <c r="L3679" s="15"/>
      <c r="M3679" s="16"/>
      <c r="N3679" s="16"/>
      <c r="O3679" s="15"/>
      <c r="P3679" s="15"/>
    </row>
    <row r="3680">
      <c r="A3680" s="15"/>
      <c r="B3680" s="22"/>
      <c r="C3680" s="22"/>
      <c r="D3680" s="22"/>
      <c r="E3680" s="15"/>
      <c r="F3680" s="15"/>
      <c r="G3680" s="15"/>
      <c r="H3680" s="15"/>
      <c r="I3680" s="15"/>
      <c r="J3680" s="15"/>
      <c r="K3680" s="15"/>
      <c r="L3680" s="15"/>
      <c r="M3680" s="16"/>
      <c r="N3680" s="16"/>
      <c r="O3680" s="15"/>
      <c r="P3680" s="15"/>
    </row>
    <row r="3681">
      <c r="A3681" s="15"/>
      <c r="B3681" s="22"/>
      <c r="C3681" s="22"/>
      <c r="D3681" s="22"/>
      <c r="E3681" s="15"/>
      <c r="F3681" s="15"/>
      <c r="G3681" s="15"/>
      <c r="H3681" s="15"/>
      <c r="I3681" s="15"/>
      <c r="J3681" s="15"/>
      <c r="K3681" s="15"/>
      <c r="L3681" s="15"/>
      <c r="M3681" s="16"/>
      <c r="N3681" s="16"/>
      <c r="O3681" s="15"/>
      <c r="P3681" s="15"/>
    </row>
    <row r="3682">
      <c r="A3682" s="15"/>
      <c r="B3682" s="22"/>
      <c r="C3682" s="22"/>
      <c r="D3682" s="22"/>
      <c r="E3682" s="15"/>
      <c r="F3682" s="15"/>
      <c r="G3682" s="15"/>
      <c r="H3682" s="15"/>
      <c r="I3682" s="15"/>
      <c r="J3682" s="15"/>
      <c r="K3682" s="15"/>
      <c r="L3682" s="15"/>
      <c r="M3682" s="16"/>
      <c r="N3682" s="16"/>
      <c r="O3682" s="15"/>
      <c r="P3682" s="15"/>
    </row>
    <row r="3683">
      <c r="A3683" s="15"/>
      <c r="B3683" s="22"/>
      <c r="C3683" s="22"/>
      <c r="D3683" s="22"/>
      <c r="E3683" s="15"/>
      <c r="F3683" s="15"/>
      <c r="G3683" s="15"/>
      <c r="H3683" s="15"/>
      <c r="I3683" s="15"/>
      <c r="J3683" s="15"/>
      <c r="K3683" s="15"/>
      <c r="L3683" s="15"/>
      <c r="M3683" s="16"/>
      <c r="N3683" s="16"/>
      <c r="O3683" s="15"/>
      <c r="P3683" s="15"/>
    </row>
    <row r="3684">
      <c r="A3684" s="15"/>
      <c r="B3684" s="22"/>
      <c r="C3684" s="22"/>
      <c r="D3684" s="22"/>
      <c r="E3684" s="15"/>
      <c r="F3684" s="15"/>
      <c r="G3684" s="15"/>
      <c r="H3684" s="15"/>
      <c r="I3684" s="15"/>
      <c r="J3684" s="15"/>
      <c r="K3684" s="15"/>
      <c r="L3684" s="15"/>
      <c r="M3684" s="16"/>
      <c r="N3684" s="16"/>
      <c r="O3684" s="15"/>
      <c r="P3684" s="15"/>
    </row>
    <row r="3685">
      <c r="A3685" s="15"/>
      <c r="B3685" s="22"/>
      <c r="C3685" s="22"/>
      <c r="D3685" s="22"/>
      <c r="E3685" s="15"/>
      <c r="F3685" s="15"/>
      <c r="G3685" s="15"/>
      <c r="H3685" s="15"/>
      <c r="I3685" s="15"/>
      <c r="J3685" s="15"/>
      <c r="K3685" s="15"/>
      <c r="L3685" s="15"/>
      <c r="M3685" s="16"/>
      <c r="N3685" s="16"/>
      <c r="O3685" s="15"/>
      <c r="P3685" s="15"/>
    </row>
    <row r="3686">
      <c r="A3686" s="15"/>
      <c r="B3686" s="22"/>
      <c r="C3686" s="22"/>
      <c r="D3686" s="22"/>
      <c r="E3686" s="15"/>
      <c r="F3686" s="15"/>
      <c r="G3686" s="15"/>
      <c r="H3686" s="15"/>
      <c r="I3686" s="15"/>
      <c r="J3686" s="15"/>
      <c r="K3686" s="15"/>
      <c r="L3686" s="15"/>
      <c r="M3686" s="16"/>
      <c r="N3686" s="16"/>
      <c r="O3686" s="15"/>
      <c r="P3686" s="15"/>
    </row>
    <row r="3687">
      <c r="A3687" s="15"/>
      <c r="B3687" s="22"/>
      <c r="C3687" s="22"/>
      <c r="D3687" s="22"/>
      <c r="E3687" s="15"/>
      <c r="F3687" s="15"/>
      <c r="G3687" s="15"/>
      <c r="H3687" s="15"/>
      <c r="I3687" s="15"/>
      <c r="J3687" s="15"/>
      <c r="K3687" s="15"/>
      <c r="L3687" s="15"/>
      <c r="M3687" s="16"/>
      <c r="N3687" s="16"/>
      <c r="O3687" s="15"/>
      <c r="P3687" s="15"/>
    </row>
    <row r="3688">
      <c r="A3688" s="15"/>
      <c r="B3688" s="22"/>
      <c r="C3688" s="22"/>
      <c r="D3688" s="22"/>
      <c r="E3688" s="15"/>
      <c r="F3688" s="15"/>
      <c r="G3688" s="15"/>
      <c r="H3688" s="15"/>
      <c r="I3688" s="15"/>
      <c r="J3688" s="15"/>
      <c r="K3688" s="15"/>
      <c r="L3688" s="15"/>
      <c r="M3688" s="16"/>
      <c r="N3688" s="16"/>
      <c r="O3688" s="15"/>
      <c r="P3688" s="15"/>
    </row>
    <row r="3689">
      <c r="A3689" s="15"/>
      <c r="B3689" s="22"/>
      <c r="C3689" s="22"/>
      <c r="D3689" s="22"/>
      <c r="E3689" s="15"/>
      <c r="F3689" s="15"/>
      <c r="G3689" s="15"/>
      <c r="H3689" s="15"/>
      <c r="I3689" s="15"/>
      <c r="J3689" s="15"/>
      <c r="K3689" s="15"/>
      <c r="L3689" s="15"/>
      <c r="M3689" s="16"/>
      <c r="N3689" s="16"/>
      <c r="O3689" s="15"/>
      <c r="P3689" s="15"/>
    </row>
    <row r="3690">
      <c r="A3690" s="15"/>
      <c r="B3690" s="22"/>
      <c r="C3690" s="22"/>
      <c r="D3690" s="22"/>
      <c r="E3690" s="15"/>
      <c r="F3690" s="15"/>
      <c r="G3690" s="15"/>
      <c r="H3690" s="15"/>
      <c r="I3690" s="15"/>
      <c r="J3690" s="15"/>
      <c r="K3690" s="15"/>
      <c r="L3690" s="15"/>
      <c r="M3690" s="16"/>
      <c r="N3690" s="16"/>
      <c r="O3690" s="15"/>
      <c r="P3690" s="15"/>
    </row>
    <row r="3691">
      <c r="A3691" s="15"/>
      <c r="B3691" s="22"/>
      <c r="C3691" s="22"/>
      <c r="D3691" s="22"/>
      <c r="E3691" s="15"/>
      <c r="F3691" s="15"/>
      <c r="G3691" s="15"/>
      <c r="H3691" s="15"/>
      <c r="I3691" s="15"/>
      <c r="J3691" s="15"/>
      <c r="K3691" s="15"/>
      <c r="L3691" s="15"/>
      <c r="M3691" s="16"/>
      <c r="N3691" s="16"/>
      <c r="O3691" s="15"/>
      <c r="P3691" s="15"/>
    </row>
    <row r="3692">
      <c r="A3692" s="15"/>
      <c r="B3692" s="22"/>
      <c r="C3692" s="22"/>
      <c r="D3692" s="22"/>
      <c r="E3692" s="15"/>
      <c r="F3692" s="15"/>
      <c r="G3692" s="15"/>
      <c r="H3692" s="15"/>
      <c r="I3692" s="15"/>
      <c r="J3692" s="15"/>
      <c r="K3692" s="15"/>
      <c r="L3692" s="15"/>
      <c r="M3692" s="16"/>
      <c r="N3692" s="16"/>
      <c r="O3692" s="15"/>
      <c r="P3692" s="15"/>
    </row>
    <row r="3693">
      <c r="A3693" s="15"/>
      <c r="B3693" s="22"/>
      <c r="C3693" s="22"/>
      <c r="D3693" s="22"/>
      <c r="E3693" s="15"/>
      <c r="F3693" s="15"/>
      <c r="G3693" s="15"/>
      <c r="H3693" s="15"/>
      <c r="I3693" s="15"/>
      <c r="J3693" s="15"/>
      <c r="K3693" s="15"/>
      <c r="L3693" s="15"/>
      <c r="M3693" s="16"/>
      <c r="N3693" s="16"/>
      <c r="O3693" s="15"/>
      <c r="P3693" s="15"/>
    </row>
    <row r="3694">
      <c r="A3694" s="15"/>
      <c r="B3694" s="22"/>
      <c r="C3694" s="22"/>
      <c r="D3694" s="22"/>
      <c r="E3694" s="15"/>
      <c r="F3694" s="15"/>
      <c r="G3694" s="15"/>
      <c r="H3694" s="15"/>
      <c r="I3694" s="15"/>
      <c r="J3694" s="15"/>
      <c r="K3694" s="15"/>
      <c r="L3694" s="15"/>
      <c r="M3694" s="16"/>
      <c r="N3694" s="16"/>
      <c r="O3694" s="15"/>
      <c r="P3694" s="15"/>
    </row>
    <row r="3695">
      <c r="A3695" s="15"/>
      <c r="B3695" s="22"/>
      <c r="C3695" s="22"/>
      <c r="D3695" s="22"/>
      <c r="E3695" s="15"/>
      <c r="F3695" s="15"/>
      <c r="G3695" s="15"/>
      <c r="H3695" s="15"/>
      <c r="I3695" s="15"/>
      <c r="J3695" s="15"/>
      <c r="K3695" s="15"/>
      <c r="L3695" s="15"/>
      <c r="M3695" s="16"/>
      <c r="N3695" s="16"/>
      <c r="O3695" s="15"/>
      <c r="P3695" s="15"/>
    </row>
    <row r="3696">
      <c r="A3696" s="15"/>
      <c r="B3696" s="22"/>
      <c r="C3696" s="22"/>
      <c r="D3696" s="22"/>
      <c r="E3696" s="15"/>
      <c r="F3696" s="15"/>
      <c r="G3696" s="15"/>
      <c r="H3696" s="15"/>
      <c r="I3696" s="15"/>
      <c r="J3696" s="15"/>
      <c r="K3696" s="15"/>
      <c r="L3696" s="15"/>
      <c r="M3696" s="16"/>
      <c r="N3696" s="16"/>
      <c r="O3696" s="15"/>
      <c r="P3696" s="15"/>
    </row>
    <row r="3697">
      <c r="A3697" s="15"/>
      <c r="B3697" s="22"/>
      <c r="C3697" s="22"/>
      <c r="D3697" s="22"/>
      <c r="E3697" s="15"/>
      <c r="F3697" s="15"/>
      <c r="G3697" s="15"/>
      <c r="H3697" s="15"/>
      <c r="I3697" s="15"/>
      <c r="J3697" s="15"/>
      <c r="K3697" s="15"/>
      <c r="L3697" s="15"/>
      <c r="M3697" s="16"/>
      <c r="N3697" s="16"/>
      <c r="O3697" s="15"/>
      <c r="P3697" s="15"/>
    </row>
    <row r="3698">
      <c r="A3698" s="15"/>
      <c r="B3698" s="22"/>
      <c r="C3698" s="22"/>
      <c r="D3698" s="22"/>
      <c r="E3698" s="15"/>
      <c r="F3698" s="15"/>
      <c r="G3698" s="15"/>
      <c r="H3698" s="15"/>
      <c r="I3698" s="15"/>
      <c r="J3698" s="15"/>
      <c r="K3698" s="15"/>
      <c r="L3698" s="15"/>
      <c r="M3698" s="16"/>
      <c r="N3698" s="16"/>
      <c r="O3698" s="15"/>
      <c r="P3698" s="15"/>
    </row>
    <row r="3699">
      <c r="A3699" s="15"/>
      <c r="B3699" s="22"/>
      <c r="C3699" s="22"/>
      <c r="D3699" s="22"/>
      <c r="E3699" s="15"/>
      <c r="F3699" s="15"/>
      <c r="G3699" s="15"/>
      <c r="H3699" s="15"/>
      <c r="I3699" s="15"/>
      <c r="J3699" s="15"/>
      <c r="K3699" s="15"/>
      <c r="L3699" s="15"/>
      <c r="M3699" s="16"/>
      <c r="N3699" s="16"/>
      <c r="O3699" s="15"/>
      <c r="P3699" s="15"/>
    </row>
    <row r="3700">
      <c r="A3700" s="15"/>
      <c r="B3700" s="22"/>
      <c r="C3700" s="22"/>
      <c r="D3700" s="22"/>
      <c r="E3700" s="15"/>
      <c r="F3700" s="15"/>
      <c r="G3700" s="15"/>
      <c r="H3700" s="15"/>
      <c r="I3700" s="15"/>
      <c r="J3700" s="15"/>
      <c r="K3700" s="15"/>
      <c r="L3700" s="15"/>
      <c r="M3700" s="16"/>
      <c r="N3700" s="16"/>
      <c r="O3700" s="15"/>
      <c r="P3700" s="15"/>
    </row>
    <row r="3701">
      <c r="A3701" s="15"/>
      <c r="B3701" s="22"/>
      <c r="C3701" s="22"/>
      <c r="D3701" s="22"/>
      <c r="E3701" s="15"/>
      <c r="F3701" s="15"/>
      <c r="G3701" s="15"/>
      <c r="H3701" s="15"/>
      <c r="I3701" s="15"/>
      <c r="J3701" s="15"/>
      <c r="K3701" s="15"/>
      <c r="L3701" s="15"/>
      <c r="M3701" s="16"/>
      <c r="N3701" s="16"/>
      <c r="O3701" s="15"/>
      <c r="P3701" s="15"/>
    </row>
    <row r="3702">
      <c r="A3702" s="15"/>
      <c r="B3702" s="22"/>
      <c r="C3702" s="22"/>
      <c r="D3702" s="22"/>
      <c r="E3702" s="15"/>
      <c r="F3702" s="15"/>
      <c r="G3702" s="15"/>
      <c r="H3702" s="15"/>
      <c r="I3702" s="15"/>
      <c r="J3702" s="15"/>
      <c r="K3702" s="15"/>
      <c r="L3702" s="15"/>
      <c r="M3702" s="16"/>
      <c r="N3702" s="16"/>
      <c r="O3702" s="15"/>
      <c r="P3702" s="15"/>
    </row>
    <row r="3703">
      <c r="A3703" s="15"/>
      <c r="B3703" s="22"/>
      <c r="C3703" s="22"/>
      <c r="D3703" s="22"/>
      <c r="E3703" s="15"/>
      <c r="F3703" s="15"/>
      <c r="G3703" s="15"/>
      <c r="H3703" s="15"/>
      <c r="I3703" s="15"/>
      <c r="J3703" s="15"/>
      <c r="K3703" s="15"/>
      <c r="L3703" s="15"/>
      <c r="M3703" s="16"/>
      <c r="N3703" s="16"/>
      <c r="O3703" s="15"/>
      <c r="P3703" s="15"/>
    </row>
    <row r="3704">
      <c r="A3704" s="15"/>
      <c r="B3704" s="22"/>
      <c r="C3704" s="22"/>
      <c r="D3704" s="22"/>
      <c r="E3704" s="15"/>
      <c r="F3704" s="15"/>
      <c r="G3704" s="15"/>
      <c r="H3704" s="15"/>
      <c r="I3704" s="15"/>
      <c r="J3704" s="15"/>
      <c r="K3704" s="15"/>
      <c r="L3704" s="15"/>
      <c r="M3704" s="16"/>
      <c r="N3704" s="16"/>
      <c r="O3704" s="15"/>
      <c r="P3704" s="15"/>
    </row>
    <row r="3705">
      <c r="A3705" s="15"/>
      <c r="B3705" s="22"/>
      <c r="C3705" s="22"/>
      <c r="D3705" s="22"/>
      <c r="E3705" s="15"/>
      <c r="F3705" s="15"/>
      <c r="G3705" s="15"/>
      <c r="H3705" s="15"/>
      <c r="I3705" s="15"/>
      <c r="J3705" s="15"/>
      <c r="K3705" s="15"/>
      <c r="L3705" s="15"/>
      <c r="M3705" s="16"/>
      <c r="N3705" s="16"/>
      <c r="O3705" s="15"/>
      <c r="P3705" s="15"/>
    </row>
    <row r="3706">
      <c r="A3706" s="15"/>
      <c r="B3706" s="22"/>
      <c r="C3706" s="22"/>
      <c r="D3706" s="22"/>
      <c r="E3706" s="15"/>
      <c r="F3706" s="15"/>
      <c r="G3706" s="15"/>
      <c r="H3706" s="15"/>
      <c r="I3706" s="15"/>
      <c r="J3706" s="15"/>
      <c r="K3706" s="15"/>
      <c r="L3706" s="15"/>
      <c r="M3706" s="16"/>
      <c r="N3706" s="16"/>
      <c r="O3706" s="15"/>
      <c r="P3706" s="15"/>
    </row>
    <row r="3707">
      <c r="A3707" s="15"/>
      <c r="B3707" s="22"/>
      <c r="C3707" s="22"/>
      <c r="D3707" s="22"/>
      <c r="E3707" s="15"/>
      <c r="F3707" s="15"/>
      <c r="G3707" s="15"/>
      <c r="H3707" s="15"/>
      <c r="I3707" s="15"/>
      <c r="J3707" s="15"/>
      <c r="K3707" s="15"/>
      <c r="L3707" s="15"/>
      <c r="M3707" s="16"/>
      <c r="N3707" s="16"/>
      <c r="O3707" s="15"/>
      <c r="P3707" s="15"/>
    </row>
    <row r="3708">
      <c r="A3708" s="15"/>
      <c r="B3708" s="22"/>
      <c r="C3708" s="22"/>
      <c r="D3708" s="22"/>
      <c r="E3708" s="15"/>
      <c r="F3708" s="15"/>
      <c r="G3708" s="15"/>
      <c r="H3708" s="15"/>
      <c r="I3708" s="15"/>
      <c r="J3708" s="15"/>
      <c r="K3708" s="15"/>
      <c r="L3708" s="15"/>
      <c r="M3708" s="16"/>
      <c r="N3708" s="16"/>
      <c r="O3708" s="15"/>
      <c r="P3708" s="15"/>
    </row>
    <row r="3709">
      <c r="A3709" s="15"/>
      <c r="B3709" s="22"/>
      <c r="C3709" s="22"/>
      <c r="D3709" s="22"/>
      <c r="E3709" s="15"/>
      <c r="F3709" s="15"/>
      <c r="G3709" s="15"/>
      <c r="H3709" s="15"/>
      <c r="I3709" s="15"/>
      <c r="J3709" s="15"/>
      <c r="K3709" s="15"/>
      <c r="L3709" s="15"/>
      <c r="M3709" s="16"/>
      <c r="N3709" s="16"/>
      <c r="O3709" s="15"/>
      <c r="P3709" s="15"/>
    </row>
    <row r="3710">
      <c r="A3710" s="15"/>
      <c r="B3710" s="22"/>
      <c r="C3710" s="22"/>
      <c r="D3710" s="22"/>
      <c r="E3710" s="15"/>
      <c r="F3710" s="15"/>
      <c r="G3710" s="15"/>
      <c r="H3710" s="15"/>
      <c r="I3710" s="15"/>
      <c r="J3710" s="15"/>
      <c r="K3710" s="15"/>
      <c r="L3710" s="15"/>
      <c r="M3710" s="16"/>
      <c r="N3710" s="16"/>
      <c r="O3710" s="15"/>
      <c r="P3710" s="15"/>
    </row>
    <row r="3711">
      <c r="A3711" s="15"/>
      <c r="B3711" s="22"/>
      <c r="C3711" s="22"/>
      <c r="D3711" s="22"/>
      <c r="E3711" s="15"/>
      <c r="F3711" s="15"/>
      <c r="G3711" s="15"/>
      <c r="H3711" s="15"/>
      <c r="I3711" s="15"/>
      <c r="J3711" s="15"/>
      <c r="K3711" s="15"/>
      <c r="L3711" s="15"/>
      <c r="M3711" s="16"/>
      <c r="N3711" s="16"/>
      <c r="O3711" s="15"/>
      <c r="P3711" s="15"/>
    </row>
    <row r="3712">
      <c r="A3712" s="15"/>
      <c r="B3712" s="22"/>
      <c r="C3712" s="22"/>
      <c r="D3712" s="22"/>
      <c r="E3712" s="15"/>
      <c r="F3712" s="15"/>
      <c r="G3712" s="15"/>
      <c r="H3712" s="15"/>
      <c r="I3712" s="15"/>
      <c r="J3712" s="15"/>
      <c r="K3712" s="15"/>
      <c r="L3712" s="15"/>
      <c r="M3712" s="16"/>
      <c r="N3712" s="16"/>
      <c r="O3712" s="15"/>
      <c r="P3712" s="15"/>
    </row>
    <row r="3713">
      <c r="A3713" s="15"/>
      <c r="B3713" s="22"/>
      <c r="C3713" s="22"/>
      <c r="D3713" s="22"/>
      <c r="E3713" s="15"/>
      <c r="F3713" s="15"/>
      <c r="G3713" s="15"/>
      <c r="H3713" s="15"/>
      <c r="I3713" s="15"/>
      <c r="J3713" s="15"/>
      <c r="K3713" s="15"/>
      <c r="L3713" s="15"/>
      <c r="M3713" s="16"/>
      <c r="N3713" s="16"/>
      <c r="O3713" s="15"/>
      <c r="P3713" s="15"/>
    </row>
    <row r="3714">
      <c r="A3714" s="15"/>
      <c r="B3714" s="22"/>
      <c r="C3714" s="22"/>
      <c r="D3714" s="22"/>
      <c r="E3714" s="15"/>
      <c r="F3714" s="15"/>
      <c r="G3714" s="15"/>
      <c r="H3714" s="15"/>
      <c r="I3714" s="15"/>
      <c r="J3714" s="15"/>
      <c r="K3714" s="15"/>
      <c r="L3714" s="15"/>
      <c r="M3714" s="16"/>
      <c r="N3714" s="16"/>
      <c r="O3714" s="15"/>
      <c r="P3714" s="15"/>
    </row>
    <row r="3715">
      <c r="A3715" s="15"/>
      <c r="B3715" s="22"/>
      <c r="C3715" s="22"/>
      <c r="D3715" s="22"/>
      <c r="E3715" s="15"/>
      <c r="F3715" s="15"/>
      <c r="G3715" s="15"/>
      <c r="H3715" s="15"/>
      <c r="I3715" s="15"/>
      <c r="J3715" s="15"/>
      <c r="K3715" s="15"/>
      <c r="L3715" s="15"/>
      <c r="M3715" s="16"/>
      <c r="N3715" s="16"/>
      <c r="O3715" s="15"/>
      <c r="P3715" s="15"/>
    </row>
    <row r="3716">
      <c r="A3716" s="15"/>
      <c r="B3716" s="22"/>
      <c r="C3716" s="22"/>
      <c r="D3716" s="22"/>
      <c r="E3716" s="15"/>
      <c r="F3716" s="15"/>
      <c r="G3716" s="15"/>
      <c r="H3716" s="15"/>
      <c r="I3716" s="15"/>
      <c r="J3716" s="15"/>
      <c r="K3716" s="15"/>
      <c r="L3716" s="15"/>
      <c r="M3716" s="16"/>
      <c r="N3716" s="16"/>
      <c r="O3716" s="15"/>
      <c r="P3716" s="15"/>
    </row>
    <row r="3717">
      <c r="A3717" s="15"/>
      <c r="B3717" s="22"/>
      <c r="C3717" s="22"/>
      <c r="D3717" s="22"/>
      <c r="E3717" s="15"/>
      <c r="F3717" s="15"/>
      <c r="G3717" s="15"/>
      <c r="H3717" s="15"/>
      <c r="I3717" s="15"/>
      <c r="J3717" s="15"/>
      <c r="K3717" s="15"/>
      <c r="L3717" s="15"/>
      <c r="M3717" s="16"/>
      <c r="N3717" s="16"/>
      <c r="O3717" s="15"/>
      <c r="P3717" s="15"/>
    </row>
    <row r="3718">
      <c r="A3718" s="15"/>
      <c r="B3718" s="22"/>
      <c r="C3718" s="22"/>
      <c r="D3718" s="22"/>
      <c r="E3718" s="15"/>
      <c r="F3718" s="15"/>
      <c r="G3718" s="15"/>
      <c r="H3718" s="15"/>
      <c r="I3718" s="15"/>
      <c r="J3718" s="15"/>
      <c r="K3718" s="15"/>
      <c r="L3718" s="15"/>
      <c r="M3718" s="16"/>
      <c r="N3718" s="16"/>
      <c r="O3718" s="15"/>
      <c r="P3718" s="15"/>
    </row>
    <row r="3719">
      <c r="A3719" s="15"/>
      <c r="B3719" s="22"/>
      <c r="C3719" s="22"/>
      <c r="D3719" s="22"/>
      <c r="E3719" s="15"/>
      <c r="F3719" s="15"/>
      <c r="G3719" s="15"/>
      <c r="H3719" s="15"/>
      <c r="I3719" s="15"/>
      <c r="J3719" s="15"/>
      <c r="K3719" s="15"/>
      <c r="L3719" s="15"/>
      <c r="M3719" s="16"/>
      <c r="N3719" s="16"/>
      <c r="O3719" s="15"/>
      <c r="P3719" s="15"/>
    </row>
    <row r="3720">
      <c r="A3720" s="15"/>
      <c r="B3720" s="22"/>
      <c r="C3720" s="22"/>
      <c r="D3720" s="22"/>
      <c r="E3720" s="15"/>
      <c r="F3720" s="15"/>
      <c r="G3720" s="15"/>
      <c r="H3720" s="15"/>
      <c r="I3720" s="15"/>
      <c r="J3720" s="15"/>
      <c r="K3720" s="15"/>
      <c r="L3720" s="15"/>
      <c r="M3720" s="16"/>
      <c r="N3720" s="16"/>
      <c r="O3720" s="15"/>
      <c r="P3720" s="15"/>
    </row>
    <row r="3721">
      <c r="A3721" s="15"/>
      <c r="B3721" s="22"/>
      <c r="C3721" s="22"/>
      <c r="D3721" s="22"/>
      <c r="E3721" s="15"/>
      <c r="F3721" s="15"/>
      <c r="G3721" s="15"/>
      <c r="H3721" s="15"/>
      <c r="I3721" s="15"/>
      <c r="J3721" s="15"/>
      <c r="K3721" s="15"/>
      <c r="L3721" s="15"/>
      <c r="M3721" s="16"/>
      <c r="N3721" s="16"/>
      <c r="O3721" s="15"/>
      <c r="P3721" s="15"/>
    </row>
    <row r="3722">
      <c r="A3722" s="15"/>
      <c r="B3722" s="22"/>
      <c r="C3722" s="22"/>
      <c r="D3722" s="22"/>
      <c r="E3722" s="15"/>
      <c r="F3722" s="15"/>
      <c r="G3722" s="15"/>
      <c r="H3722" s="15"/>
      <c r="I3722" s="15"/>
      <c r="J3722" s="15"/>
      <c r="K3722" s="15"/>
      <c r="L3722" s="15"/>
      <c r="M3722" s="16"/>
      <c r="N3722" s="16"/>
      <c r="O3722" s="15"/>
      <c r="P3722" s="15"/>
    </row>
    <row r="3723">
      <c r="A3723" s="15"/>
      <c r="B3723" s="22"/>
      <c r="C3723" s="22"/>
      <c r="D3723" s="22"/>
      <c r="E3723" s="15"/>
      <c r="F3723" s="15"/>
      <c r="G3723" s="15"/>
      <c r="H3723" s="15"/>
      <c r="I3723" s="15"/>
      <c r="J3723" s="15"/>
      <c r="K3723" s="15"/>
      <c r="L3723" s="15"/>
      <c r="M3723" s="16"/>
      <c r="N3723" s="16"/>
      <c r="O3723" s="15"/>
      <c r="P3723" s="15"/>
    </row>
    <row r="3724">
      <c r="A3724" s="15"/>
      <c r="B3724" s="22"/>
      <c r="C3724" s="22"/>
      <c r="D3724" s="22"/>
      <c r="E3724" s="15"/>
      <c r="F3724" s="15"/>
      <c r="G3724" s="15"/>
      <c r="H3724" s="15"/>
      <c r="I3724" s="15"/>
      <c r="J3724" s="15"/>
      <c r="K3724" s="15"/>
      <c r="L3724" s="15"/>
      <c r="M3724" s="16"/>
      <c r="N3724" s="16"/>
      <c r="O3724" s="15"/>
      <c r="P3724" s="15"/>
    </row>
    <row r="3725">
      <c r="A3725" s="15"/>
      <c r="B3725" s="22"/>
      <c r="C3725" s="22"/>
      <c r="D3725" s="22"/>
      <c r="E3725" s="15"/>
      <c r="F3725" s="15"/>
      <c r="G3725" s="15"/>
      <c r="H3725" s="15"/>
      <c r="I3725" s="15"/>
      <c r="J3725" s="15"/>
      <c r="K3725" s="15"/>
      <c r="L3725" s="15"/>
      <c r="M3725" s="16"/>
      <c r="N3725" s="16"/>
      <c r="O3725" s="15"/>
      <c r="P3725" s="15"/>
    </row>
    <row r="3726">
      <c r="A3726" s="15"/>
      <c r="B3726" s="22"/>
      <c r="C3726" s="22"/>
      <c r="D3726" s="22"/>
      <c r="E3726" s="15"/>
      <c r="F3726" s="15"/>
      <c r="G3726" s="15"/>
      <c r="H3726" s="15"/>
      <c r="I3726" s="15"/>
      <c r="J3726" s="15"/>
      <c r="K3726" s="15"/>
      <c r="L3726" s="15"/>
      <c r="M3726" s="16"/>
      <c r="N3726" s="16"/>
      <c r="O3726" s="15"/>
      <c r="P3726" s="15"/>
    </row>
    <row r="3727">
      <c r="A3727" s="15"/>
      <c r="B3727" s="22"/>
      <c r="C3727" s="22"/>
      <c r="D3727" s="22"/>
      <c r="E3727" s="15"/>
      <c r="F3727" s="15"/>
      <c r="G3727" s="15"/>
      <c r="H3727" s="15"/>
      <c r="I3727" s="15"/>
      <c r="J3727" s="15"/>
      <c r="K3727" s="15"/>
      <c r="L3727" s="15"/>
      <c r="M3727" s="16"/>
      <c r="N3727" s="16"/>
      <c r="O3727" s="15"/>
      <c r="P3727" s="15"/>
    </row>
    <row r="3728">
      <c r="A3728" s="15"/>
      <c r="B3728" s="22"/>
      <c r="C3728" s="22"/>
      <c r="D3728" s="22"/>
      <c r="E3728" s="15"/>
      <c r="F3728" s="15"/>
      <c r="G3728" s="15"/>
      <c r="H3728" s="15"/>
      <c r="I3728" s="15"/>
      <c r="J3728" s="15"/>
      <c r="K3728" s="15"/>
      <c r="L3728" s="15"/>
      <c r="M3728" s="16"/>
      <c r="N3728" s="16"/>
      <c r="O3728" s="15"/>
      <c r="P3728" s="15"/>
    </row>
    <row r="3729">
      <c r="A3729" s="15"/>
      <c r="B3729" s="22"/>
      <c r="C3729" s="22"/>
      <c r="D3729" s="22"/>
      <c r="E3729" s="15"/>
      <c r="F3729" s="15"/>
      <c r="G3729" s="15"/>
      <c r="H3729" s="15"/>
      <c r="I3729" s="15"/>
      <c r="J3729" s="15"/>
      <c r="K3729" s="15"/>
      <c r="L3729" s="15"/>
      <c r="M3729" s="16"/>
      <c r="N3729" s="16"/>
      <c r="O3729" s="15"/>
      <c r="P3729" s="15"/>
    </row>
    <row r="3730">
      <c r="A3730" s="15"/>
      <c r="B3730" s="22"/>
      <c r="C3730" s="22"/>
      <c r="D3730" s="22"/>
      <c r="E3730" s="15"/>
      <c r="F3730" s="15"/>
      <c r="G3730" s="15"/>
      <c r="H3730" s="15"/>
      <c r="I3730" s="15"/>
      <c r="J3730" s="15"/>
      <c r="K3730" s="15"/>
      <c r="L3730" s="15"/>
      <c r="M3730" s="16"/>
      <c r="N3730" s="16"/>
      <c r="O3730" s="15"/>
      <c r="P3730" s="15"/>
    </row>
    <row r="3731">
      <c r="A3731" s="15"/>
      <c r="B3731" s="22"/>
      <c r="C3731" s="22"/>
      <c r="D3731" s="22"/>
      <c r="E3731" s="15"/>
      <c r="F3731" s="15"/>
      <c r="G3731" s="15"/>
      <c r="H3731" s="15"/>
      <c r="I3731" s="15"/>
      <c r="J3731" s="15"/>
      <c r="K3731" s="15"/>
      <c r="L3731" s="15"/>
      <c r="M3731" s="16"/>
      <c r="N3731" s="16"/>
      <c r="O3731" s="15"/>
      <c r="P3731" s="15"/>
    </row>
    <row r="3732">
      <c r="A3732" s="15"/>
      <c r="B3732" s="22"/>
      <c r="C3732" s="22"/>
      <c r="D3732" s="22"/>
      <c r="E3732" s="15"/>
      <c r="F3732" s="15"/>
      <c r="G3732" s="15"/>
      <c r="H3732" s="15"/>
      <c r="I3732" s="15"/>
      <c r="J3732" s="15"/>
      <c r="K3732" s="15"/>
      <c r="L3732" s="15"/>
      <c r="M3732" s="16"/>
      <c r="N3732" s="16"/>
      <c r="O3732" s="15"/>
      <c r="P3732" s="15"/>
    </row>
    <row r="3733">
      <c r="A3733" s="15"/>
      <c r="B3733" s="22"/>
      <c r="C3733" s="22"/>
      <c r="D3733" s="22"/>
      <c r="E3733" s="15"/>
      <c r="F3733" s="15"/>
      <c r="G3733" s="15"/>
      <c r="H3733" s="15"/>
      <c r="I3733" s="15"/>
      <c r="J3733" s="15"/>
      <c r="K3733" s="15"/>
      <c r="L3733" s="15"/>
      <c r="M3733" s="16"/>
      <c r="N3733" s="16"/>
      <c r="O3733" s="15"/>
      <c r="P3733" s="15"/>
    </row>
    <row r="3734">
      <c r="A3734" s="15"/>
      <c r="B3734" s="22"/>
      <c r="C3734" s="22"/>
      <c r="D3734" s="22"/>
      <c r="E3734" s="15"/>
      <c r="F3734" s="15"/>
      <c r="G3734" s="15"/>
      <c r="H3734" s="15"/>
      <c r="I3734" s="15"/>
      <c r="J3734" s="15"/>
      <c r="K3734" s="15"/>
      <c r="L3734" s="15"/>
      <c r="M3734" s="16"/>
      <c r="N3734" s="16"/>
      <c r="O3734" s="15"/>
      <c r="P3734" s="15"/>
    </row>
    <row r="3735">
      <c r="A3735" s="15"/>
      <c r="B3735" s="22"/>
      <c r="C3735" s="22"/>
      <c r="D3735" s="22"/>
      <c r="E3735" s="15"/>
      <c r="F3735" s="15"/>
      <c r="G3735" s="15"/>
      <c r="H3735" s="15"/>
      <c r="I3735" s="15"/>
      <c r="J3735" s="15"/>
      <c r="K3735" s="15"/>
      <c r="L3735" s="15"/>
      <c r="M3735" s="16"/>
      <c r="N3735" s="16"/>
      <c r="O3735" s="15"/>
      <c r="P3735" s="15"/>
    </row>
    <row r="3736">
      <c r="A3736" s="15"/>
      <c r="B3736" s="22"/>
      <c r="C3736" s="22"/>
      <c r="D3736" s="22"/>
      <c r="E3736" s="15"/>
      <c r="F3736" s="15"/>
      <c r="G3736" s="15"/>
      <c r="H3736" s="15"/>
      <c r="I3736" s="15"/>
      <c r="J3736" s="15"/>
      <c r="K3736" s="15"/>
      <c r="L3736" s="15"/>
      <c r="M3736" s="16"/>
      <c r="N3736" s="16"/>
      <c r="O3736" s="15"/>
      <c r="P3736" s="15"/>
    </row>
    <row r="3737">
      <c r="A3737" s="15"/>
      <c r="B3737" s="22"/>
      <c r="C3737" s="22"/>
      <c r="D3737" s="22"/>
      <c r="E3737" s="15"/>
      <c r="F3737" s="15"/>
      <c r="G3737" s="15"/>
      <c r="H3737" s="15"/>
      <c r="I3737" s="15"/>
      <c r="J3737" s="15"/>
      <c r="K3737" s="15"/>
      <c r="L3737" s="15"/>
      <c r="M3737" s="16"/>
      <c r="N3737" s="16"/>
      <c r="O3737" s="15"/>
      <c r="P3737" s="15"/>
    </row>
    <row r="3738">
      <c r="A3738" s="15"/>
      <c r="B3738" s="22"/>
      <c r="C3738" s="22"/>
      <c r="D3738" s="22"/>
      <c r="E3738" s="15"/>
      <c r="F3738" s="15"/>
      <c r="G3738" s="15"/>
      <c r="H3738" s="15"/>
      <c r="I3738" s="15"/>
      <c r="J3738" s="15"/>
      <c r="K3738" s="15"/>
      <c r="L3738" s="15"/>
      <c r="M3738" s="16"/>
      <c r="N3738" s="16"/>
      <c r="O3738" s="15"/>
      <c r="P3738" s="15"/>
    </row>
    <row r="3739">
      <c r="A3739" s="15"/>
      <c r="B3739" s="22"/>
      <c r="C3739" s="22"/>
      <c r="D3739" s="22"/>
      <c r="E3739" s="15"/>
      <c r="F3739" s="15"/>
      <c r="G3739" s="15"/>
      <c r="H3739" s="15"/>
      <c r="I3739" s="15"/>
      <c r="J3739" s="15"/>
      <c r="K3739" s="15"/>
      <c r="L3739" s="15"/>
      <c r="M3739" s="16"/>
      <c r="N3739" s="16"/>
      <c r="O3739" s="15"/>
      <c r="P3739" s="15"/>
    </row>
    <row r="3740">
      <c r="A3740" s="15"/>
      <c r="B3740" s="22"/>
      <c r="C3740" s="22"/>
      <c r="D3740" s="22"/>
      <c r="E3740" s="15"/>
      <c r="F3740" s="15"/>
      <c r="G3740" s="15"/>
      <c r="H3740" s="15"/>
      <c r="I3740" s="15"/>
      <c r="J3740" s="15"/>
      <c r="K3740" s="15"/>
      <c r="L3740" s="15"/>
      <c r="M3740" s="16"/>
      <c r="N3740" s="16"/>
      <c r="O3740" s="15"/>
      <c r="P3740" s="15"/>
    </row>
    <row r="3741">
      <c r="A3741" s="15"/>
      <c r="B3741" s="22"/>
      <c r="C3741" s="22"/>
      <c r="D3741" s="22"/>
      <c r="E3741" s="15"/>
      <c r="F3741" s="15"/>
      <c r="G3741" s="15"/>
      <c r="H3741" s="15"/>
      <c r="I3741" s="15"/>
      <c r="J3741" s="15"/>
      <c r="K3741" s="15"/>
      <c r="L3741" s="15"/>
      <c r="M3741" s="16"/>
      <c r="N3741" s="16"/>
      <c r="O3741" s="15"/>
      <c r="P3741" s="15"/>
    </row>
    <row r="3742">
      <c r="A3742" s="15"/>
      <c r="B3742" s="22"/>
      <c r="C3742" s="22"/>
      <c r="D3742" s="22"/>
      <c r="E3742" s="15"/>
      <c r="F3742" s="15"/>
      <c r="G3742" s="15"/>
      <c r="H3742" s="15"/>
      <c r="I3742" s="15"/>
      <c r="J3742" s="15"/>
      <c r="K3742" s="15"/>
      <c r="L3742" s="15"/>
      <c r="M3742" s="16"/>
      <c r="N3742" s="16"/>
      <c r="O3742" s="15"/>
      <c r="P3742" s="15"/>
    </row>
    <row r="3743">
      <c r="A3743" s="15"/>
      <c r="B3743" s="22"/>
      <c r="C3743" s="22"/>
      <c r="D3743" s="22"/>
      <c r="E3743" s="15"/>
      <c r="F3743" s="15"/>
      <c r="G3743" s="15"/>
      <c r="H3743" s="15"/>
      <c r="I3743" s="15"/>
      <c r="J3743" s="15"/>
      <c r="K3743" s="15"/>
      <c r="L3743" s="15"/>
      <c r="M3743" s="16"/>
      <c r="N3743" s="16"/>
      <c r="O3743" s="15"/>
      <c r="P3743" s="15"/>
    </row>
    <row r="3744">
      <c r="A3744" s="15"/>
      <c r="B3744" s="22"/>
      <c r="C3744" s="22"/>
      <c r="D3744" s="22"/>
      <c r="E3744" s="15"/>
      <c r="F3744" s="15"/>
      <c r="G3744" s="15"/>
      <c r="H3744" s="15"/>
      <c r="I3744" s="15"/>
      <c r="J3744" s="15"/>
      <c r="K3744" s="15"/>
      <c r="L3744" s="15"/>
      <c r="M3744" s="16"/>
      <c r="N3744" s="16"/>
      <c r="O3744" s="15"/>
      <c r="P3744" s="15"/>
    </row>
    <row r="3745">
      <c r="A3745" s="15"/>
      <c r="B3745" s="22"/>
      <c r="C3745" s="22"/>
      <c r="D3745" s="22"/>
      <c r="E3745" s="15"/>
      <c r="F3745" s="15"/>
      <c r="G3745" s="15"/>
      <c r="H3745" s="15"/>
      <c r="I3745" s="15"/>
      <c r="J3745" s="15"/>
      <c r="K3745" s="15"/>
      <c r="L3745" s="15"/>
      <c r="M3745" s="16"/>
      <c r="N3745" s="16"/>
      <c r="O3745" s="15"/>
      <c r="P3745" s="15"/>
    </row>
    <row r="3746">
      <c r="A3746" s="15"/>
      <c r="B3746" s="22"/>
      <c r="C3746" s="22"/>
      <c r="D3746" s="22"/>
      <c r="E3746" s="15"/>
      <c r="F3746" s="15"/>
      <c r="G3746" s="15"/>
      <c r="H3746" s="15"/>
      <c r="I3746" s="15"/>
      <c r="J3746" s="15"/>
      <c r="K3746" s="15"/>
      <c r="L3746" s="15"/>
      <c r="M3746" s="16"/>
      <c r="N3746" s="16"/>
      <c r="O3746" s="15"/>
      <c r="P3746" s="15"/>
    </row>
    <row r="3747">
      <c r="A3747" s="15"/>
      <c r="B3747" s="22"/>
      <c r="C3747" s="22"/>
      <c r="D3747" s="22"/>
      <c r="E3747" s="15"/>
      <c r="F3747" s="15"/>
      <c r="G3747" s="15"/>
      <c r="H3747" s="15"/>
      <c r="I3747" s="15"/>
      <c r="J3747" s="15"/>
      <c r="K3747" s="15"/>
      <c r="L3747" s="15"/>
      <c r="M3747" s="16"/>
      <c r="N3747" s="16"/>
      <c r="O3747" s="15"/>
      <c r="P3747" s="15"/>
    </row>
    <row r="3748">
      <c r="A3748" s="15"/>
      <c r="B3748" s="22"/>
      <c r="C3748" s="22"/>
      <c r="D3748" s="22"/>
      <c r="E3748" s="15"/>
      <c r="F3748" s="15"/>
      <c r="G3748" s="15"/>
      <c r="H3748" s="15"/>
      <c r="I3748" s="15"/>
      <c r="J3748" s="15"/>
      <c r="K3748" s="15"/>
      <c r="L3748" s="15"/>
      <c r="M3748" s="16"/>
      <c r="N3748" s="16"/>
      <c r="O3748" s="15"/>
      <c r="P3748" s="15"/>
    </row>
    <row r="3749">
      <c r="A3749" s="15"/>
      <c r="B3749" s="22"/>
      <c r="C3749" s="22"/>
      <c r="D3749" s="22"/>
      <c r="E3749" s="15"/>
      <c r="F3749" s="15"/>
      <c r="G3749" s="15"/>
      <c r="H3749" s="15"/>
      <c r="I3749" s="15"/>
      <c r="J3749" s="15"/>
      <c r="K3749" s="15"/>
      <c r="L3749" s="15"/>
      <c r="M3749" s="16"/>
      <c r="N3749" s="16"/>
      <c r="O3749" s="15"/>
      <c r="P3749" s="15"/>
    </row>
    <row r="3750">
      <c r="A3750" s="15"/>
      <c r="B3750" s="22"/>
      <c r="C3750" s="22"/>
      <c r="D3750" s="22"/>
      <c r="E3750" s="15"/>
      <c r="F3750" s="15"/>
      <c r="G3750" s="15"/>
      <c r="H3750" s="15"/>
      <c r="I3750" s="15"/>
      <c r="J3750" s="15"/>
      <c r="K3750" s="15"/>
      <c r="L3750" s="15"/>
      <c r="M3750" s="16"/>
      <c r="N3750" s="16"/>
      <c r="O3750" s="15"/>
      <c r="P3750" s="15"/>
    </row>
    <row r="3751">
      <c r="A3751" s="15"/>
      <c r="B3751" s="22"/>
      <c r="C3751" s="22"/>
      <c r="D3751" s="22"/>
      <c r="E3751" s="15"/>
      <c r="F3751" s="15"/>
      <c r="G3751" s="15"/>
      <c r="H3751" s="15"/>
      <c r="I3751" s="15"/>
      <c r="J3751" s="15"/>
      <c r="K3751" s="15"/>
      <c r="L3751" s="15"/>
      <c r="M3751" s="16"/>
      <c r="N3751" s="16"/>
      <c r="O3751" s="15"/>
      <c r="P3751" s="15"/>
    </row>
    <row r="3752">
      <c r="A3752" s="15"/>
      <c r="B3752" s="22"/>
      <c r="C3752" s="22"/>
      <c r="D3752" s="22"/>
      <c r="E3752" s="15"/>
      <c r="F3752" s="15"/>
      <c r="G3752" s="15"/>
      <c r="H3752" s="15"/>
      <c r="I3752" s="15"/>
      <c r="J3752" s="15"/>
      <c r="K3752" s="15"/>
      <c r="L3752" s="15"/>
      <c r="M3752" s="16"/>
      <c r="N3752" s="16"/>
      <c r="O3752" s="15"/>
      <c r="P3752" s="15"/>
    </row>
    <row r="3753">
      <c r="A3753" s="15"/>
      <c r="B3753" s="22"/>
      <c r="C3753" s="22"/>
      <c r="D3753" s="22"/>
      <c r="E3753" s="15"/>
      <c r="F3753" s="15"/>
      <c r="G3753" s="15"/>
      <c r="H3753" s="15"/>
      <c r="I3753" s="15"/>
      <c r="J3753" s="15"/>
      <c r="K3753" s="15"/>
      <c r="L3753" s="15"/>
      <c r="M3753" s="16"/>
      <c r="N3753" s="16"/>
      <c r="O3753" s="15"/>
      <c r="P3753" s="15"/>
    </row>
    <row r="3754">
      <c r="A3754" s="15"/>
      <c r="B3754" s="22"/>
      <c r="C3754" s="22"/>
      <c r="D3754" s="22"/>
      <c r="E3754" s="15"/>
      <c r="F3754" s="15"/>
      <c r="G3754" s="15"/>
      <c r="H3754" s="15"/>
      <c r="I3754" s="15"/>
      <c r="J3754" s="15"/>
      <c r="K3754" s="15"/>
      <c r="L3754" s="15"/>
      <c r="M3754" s="16"/>
      <c r="N3754" s="16"/>
      <c r="O3754" s="15"/>
      <c r="P3754" s="15"/>
    </row>
    <row r="3755">
      <c r="A3755" s="15"/>
      <c r="B3755" s="22"/>
      <c r="C3755" s="22"/>
      <c r="D3755" s="22"/>
      <c r="E3755" s="15"/>
      <c r="F3755" s="15"/>
      <c r="G3755" s="15"/>
      <c r="H3755" s="15"/>
      <c r="I3755" s="15"/>
      <c r="J3755" s="15"/>
      <c r="K3755" s="15"/>
      <c r="L3755" s="15"/>
      <c r="M3755" s="16"/>
      <c r="N3755" s="16"/>
      <c r="O3755" s="15"/>
      <c r="P3755" s="15"/>
    </row>
    <row r="3756">
      <c r="A3756" s="15"/>
      <c r="B3756" s="22"/>
      <c r="C3756" s="22"/>
      <c r="D3756" s="22"/>
      <c r="E3756" s="15"/>
      <c r="F3756" s="15"/>
      <c r="G3756" s="15"/>
      <c r="H3756" s="15"/>
      <c r="I3756" s="15"/>
      <c r="J3756" s="15"/>
      <c r="K3756" s="15"/>
      <c r="L3756" s="15"/>
      <c r="M3756" s="16"/>
      <c r="N3756" s="16"/>
      <c r="O3756" s="15"/>
      <c r="P3756" s="15"/>
    </row>
    <row r="3757">
      <c r="A3757" s="15"/>
      <c r="B3757" s="22"/>
      <c r="C3757" s="22"/>
      <c r="D3757" s="22"/>
      <c r="E3757" s="15"/>
      <c r="F3757" s="15"/>
      <c r="G3757" s="15"/>
      <c r="H3757" s="15"/>
      <c r="I3757" s="15"/>
      <c r="J3757" s="15"/>
      <c r="K3757" s="15"/>
      <c r="L3757" s="15"/>
      <c r="M3757" s="16"/>
      <c r="N3757" s="16"/>
      <c r="O3757" s="15"/>
      <c r="P3757" s="15"/>
    </row>
    <row r="3758">
      <c r="A3758" s="15"/>
      <c r="B3758" s="22"/>
      <c r="C3758" s="22"/>
      <c r="D3758" s="22"/>
      <c r="E3758" s="15"/>
      <c r="F3758" s="15"/>
      <c r="G3758" s="15"/>
      <c r="H3758" s="15"/>
      <c r="I3758" s="15"/>
      <c r="J3758" s="15"/>
      <c r="K3758" s="15"/>
      <c r="L3758" s="15"/>
      <c r="M3758" s="16"/>
      <c r="N3758" s="16"/>
      <c r="O3758" s="15"/>
      <c r="P3758" s="15"/>
    </row>
    <row r="3759">
      <c r="A3759" s="15"/>
      <c r="B3759" s="22"/>
      <c r="C3759" s="22"/>
      <c r="D3759" s="22"/>
      <c r="E3759" s="15"/>
      <c r="F3759" s="15"/>
      <c r="G3759" s="15"/>
      <c r="H3759" s="15"/>
      <c r="I3759" s="15"/>
      <c r="J3759" s="15"/>
      <c r="K3759" s="15"/>
      <c r="L3759" s="15"/>
      <c r="M3759" s="16"/>
      <c r="N3759" s="16"/>
      <c r="O3759" s="15"/>
      <c r="P3759" s="15"/>
    </row>
    <row r="3760">
      <c r="A3760" s="15"/>
      <c r="B3760" s="22"/>
      <c r="C3760" s="22"/>
      <c r="D3760" s="22"/>
      <c r="E3760" s="15"/>
      <c r="F3760" s="15"/>
      <c r="G3760" s="15"/>
      <c r="H3760" s="15"/>
      <c r="I3760" s="15"/>
      <c r="J3760" s="15"/>
      <c r="K3760" s="15"/>
      <c r="L3760" s="15"/>
      <c r="M3760" s="16"/>
      <c r="N3760" s="16"/>
      <c r="O3760" s="15"/>
      <c r="P3760" s="15"/>
    </row>
    <row r="3761">
      <c r="A3761" s="15"/>
      <c r="B3761" s="22"/>
      <c r="C3761" s="22"/>
      <c r="D3761" s="22"/>
      <c r="E3761" s="15"/>
      <c r="F3761" s="15"/>
      <c r="G3761" s="15"/>
      <c r="H3761" s="15"/>
      <c r="I3761" s="15"/>
      <c r="J3761" s="15"/>
      <c r="K3761" s="15"/>
      <c r="L3761" s="15"/>
      <c r="M3761" s="16"/>
      <c r="N3761" s="16"/>
      <c r="O3761" s="15"/>
      <c r="P3761" s="15"/>
    </row>
    <row r="3762">
      <c r="A3762" s="15"/>
      <c r="B3762" s="22"/>
      <c r="C3762" s="22"/>
      <c r="D3762" s="22"/>
      <c r="E3762" s="15"/>
      <c r="F3762" s="15"/>
      <c r="G3762" s="15"/>
      <c r="H3762" s="15"/>
      <c r="I3762" s="15"/>
      <c r="J3762" s="15"/>
      <c r="K3762" s="15"/>
      <c r="L3762" s="15"/>
      <c r="M3762" s="16"/>
      <c r="N3762" s="16"/>
      <c r="O3762" s="15"/>
      <c r="P3762" s="15"/>
    </row>
    <row r="3763">
      <c r="A3763" s="15"/>
      <c r="B3763" s="22"/>
      <c r="C3763" s="22"/>
      <c r="D3763" s="22"/>
      <c r="E3763" s="15"/>
      <c r="F3763" s="15"/>
      <c r="G3763" s="15"/>
      <c r="H3763" s="15"/>
      <c r="I3763" s="15"/>
      <c r="J3763" s="15"/>
      <c r="K3763" s="15"/>
      <c r="L3763" s="15"/>
      <c r="M3763" s="16"/>
      <c r="N3763" s="16"/>
      <c r="O3763" s="15"/>
      <c r="P3763" s="15"/>
    </row>
    <row r="3764">
      <c r="A3764" s="15"/>
      <c r="B3764" s="22"/>
      <c r="C3764" s="22"/>
      <c r="D3764" s="22"/>
      <c r="E3764" s="15"/>
      <c r="F3764" s="15"/>
      <c r="G3764" s="15"/>
      <c r="H3764" s="15"/>
      <c r="I3764" s="15"/>
      <c r="J3764" s="15"/>
      <c r="K3764" s="15"/>
      <c r="L3764" s="15"/>
      <c r="M3764" s="16"/>
      <c r="N3764" s="16"/>
      <c r="O3764" s="15"/>
      <c r="P3764" s="15"/>
    </row>
    <row r="3765">
      <c r="A3765" s="15"/>
      <c r="B3765" s="22"/>
      <c r="C3765" s="22"/>
      <c r="D3765" s="22"/>
      <c r="E3765" s="15"/>
      <c r="F3765" s="15"/>
      <c r="G3765" s="15"/>
      <c r="H3765" s="15"/>
      <c r="I3765" s="15"/>
      <c r="J3765" s="15"/>
      <c r="K3765" s="15"/>
      <c r="L3765" s="15"/>
      <c r="M3765" s="16"/>
      <c r="N3765" s="16"/>
      <c r="O3765" s="15"/>
      <c r="P3765" s="15"/>
    </row>
    <row r="3766">
      <c r="A3766" s="15"/>
      <c r="B3766" s="22"/>
      <c r="C3766" s="22"/>
      <c r="D3766" s="22"/>
      <c r="E3766" s="15"/>
      <c r="F3766" s="15"/>
      <c r="G3766" s="15"/>
      <c r="H3766" s="15"/>
      <c r="I3766" s="15"/>
      <c r="J3766" s="15"/>
      <c r="K3766" s="15"/>
      <c r="L3766" s="15"/>
      <c r="M3766" s="16"/>
      <c r="N3766" s="16"/>
      <c r="O3766" s="15"/>
      <c r="P3766" s="15"/>
    </row>
    <row r="3767">
      <c r="A3767" s="15"/>
      <c r="B3767" s="22"/>
      <c r="C3767" s="22"/>
      <c r="D3767" s="22"/>
      <c r="E3767" s="15"/>
      <c r="F3767" s="15"/>
      <c r="G3767" s="15"/>
      <c r="H3767" s="15"/>
      <c r="I3767" s="15"/>
      <c r="J3767" s="15"/>
      <c r="K3767" s="15"/>
      <c r="L3767" s="15"/>
      <c r="M3767" s="16"/>
      <c r="N3767" s="16"/>
      <c r="O3767" s="15"/>
      <c r="P3767" s="15"/>
    </row>
    <row r="3768">
      <c r="A3768" s="15"/>
      <c r="B3768" s="22"/>
      <c r="C3768" s="22"/>
      <c r="D3768" s="22"/>
      <c r="E3768" s="15"/>
      <c r="F3768" s="15"/>
      <c r="G3768" s="15"/>
      <c r="H3768" s="15"/>
      <c r="I3768" s="15"/>
      <c r="J3768" s="15"/>
      <c r="K3768" s="15"/>
      <c r="L3768" s="15"/>
      <c r="M3768" s="16"/>
      <c r="N3768" s="16"/>
      <c r="O3768" s="15"/>
      <c r="P3768" s="15"/>
    </row>
    <row r="3769">
      <c r="A3769" s="15"/>
      <c r="B3769" s="22"/>
      <c r="C3769" s="22"/>
      <c r="D3769" s="22"/>
      <c r="E3769" s="15"/>
      <c r="F3769" s="15"/>
      <c r="G3769" s="15"/>
      <c r="H3769" s="15"/>
      <c r="I3769" s="15"/>
      <c r="J3769" s="15"/>
      <c r="K3769" s="15"/>
      <c r="L3769" s="15"/>
      <c r="M3769" s="16"/>
      <c r="N3769" s="16"/>
      <c r="O3769" s="15"/>
      <c r="P3769" s="15"/>
    </row>
    <row r="3770">
      <c r="A3770" s="15"/>
      <c r="B3770" s="22"/>
      <c r="C3770" s="22"/>
      <c r="D3770" s="22"/>
      <c r="E3770" s="15"/>
      <c r="F3770" s="15"/>
      <c r="G3770" s="15"/>
      <c r="H3770" s="15"/>
      <c r="I3770" s="15"/>
      <c r="J3770" s="15"/>
      <c r="K3770" s="15"/>
      <c r="L3770" s="15"/>
      <c r="M3770" s="16"/>
      <c r="N3770" s="16"/>
      <c r="O3770" s="15"/>
      <c r="P3770" s="15"/>
    </row>
    <row r="3771">
      <c r="A3771" s="15"/>
      <c r="B3771" s="22"/>
      <c r="C3771" s="22"/>
      <c r="D3771" s="22"/>
      <c r="E3771" s="15"/>
      <c r="F3771" s="15"/>
      <c r="G3771" s="15"/>
      <c r="H3771" s="15"/>
      <c r="I3771" s="15"/>
      <c r="J3771" s="15"/>
      <c r="K3771" s="15"/>
      <c r="L3771" s="15"/>
      <c r="M3771" s="16"/>
      <c r="N3771" s="16"/>
      <c r="O3771" s="15"/>
      <c r="P3771" s="15"/>
    </row>
    <row r="3772">
      <c r="A3772" s="15"/>
      <c r="B3772" s="22"/>
      <c r="C3772" s="22"/>
      <c r="D3772" s="22"/>
      <c r="E3772" s="15"/>
      <c r="F3772" s="15"/>
      <c r="G3772" s="15"/>
      <c r="H3772" s="15"/>
      <c r="I3772" s="15"/>
      <c r="J3772" s="15"/>
      <c r="K3772" s="15"/>
      <c r="L3772" s="15"/>
      <c r="M3772" s="16"/>
      <c r="N3772" s="16"/>
      <c r="O3772" s="15"/>
      <c r="P3772" s="15"/>
    </row>
    <row r="3773">
      <c r="A3773" s="15"/>
      <c r="B3773" s="22"/>
      <c r="C3773" s="22"/>
      <c r="D3773" s="22"/>
      <c r="E3773" s="15"/>
      <c r="F3773" s="15"/>
      <c r="G3773" s="15"/>
      <c r="H3773" s="15"/>
      <c r="I3773" s="15"/>
      <c r="J3773" s="15"/>
      <c r="K3773" s="15"/>
      <c r="L3773" s="15"/>
      <c r="M3773" s="16"/>
      <c r="N3773" s="16"/>
      <c r="O3773" s="15"/>
      <c r="P3773" s="15"/>
    </row>
    <row r="3774">
      <c r="A3774" s="15"/>
      <c r="B3774" s="22"/>
      <c r="C3774" s="22"/>
      <c r="D3774" s="22"/>
      <c r="E3774" s="15"/>
      <c r="F3774" s="15"/>
      <c r="G3774" s="15"/>
      <c r="H3774" s="15"/>
      <c r="I3774" s="15"/>
      <c r="J3774" s="15"/>
      <c r="K3774" s="15"/>
      <c r="L3774" s="15"/>
      <c r="M3774" s="16"/>
      <c r="N3774" s="16"/>
      <c r="O3774" s="15"/>
      <c r="P3774" s="15"/>
    </row>
    <row r="3775">
      <c r="A3775" s="15"/>
      <c r="B3775" s="22"/>
      <c r="C3775" s="22"/>
      <c r="D3775" s="22"/>
      <c r="E3775" s="15"/>
      <c r="F3775" s="15"/>
      <c r="G3775" s="15"/>
      <c r="H3775" s="15"/>
      <c r="I3775" s="15"/>
      <c r="J3775" s="15"/>
      <c r="K3775" s="15"/>
      <c r="L3775" s="15"/>
      <c r="M3775" s="16"/>
      <c r="N3775" s="16"/>
      <c r="O3775" s="15"/>
      <c r="P3775" s="15"/>
    </row>
    <row r="3776">
      <c r="A3776" s="15"/>
      <c r="B3776" s="22"/>
      <c r="C3776" s="22"/>
      <c r="D3776" s="22"/>
      <c r="E3776" s="15"/>
      <c r="F3776" s="15"/>
      <c r="G3776" s="15"/>
      <c r="H3776" s="15"/>
      <c r="I3776" s="15"/>
      <c r="J3776" s="15"/>
      <c r="K3776" s="15"/>
      <c r="L3776" s="15"/>
      <c r="M3776" s="16"/>
      <c r="N3776" s="16"/>
      <c r="O3776" s="15"/>
      <c r="P3776" s="15"/>
    </row>
    <row r="3777">
      <c r="A3777" s="15"/>
      <c r="B3777" s="22"/>
      <c r="C3777" s="22"/>
      <c r="D3777" s="22"/>
      <c r="E3777" s="15"/>
      <c r="F3777" s="15"/>
      <c r="G3777" s="15"/>
      <c r="H3777" s="15"/>
      <c r="I3777" s="15"/>
      <c r="J3777" s="15"/>
      <c r="K3777" s="15"/>
      <c r="L3777" s="15"/>
      <c r="M3777" s="16"/>
      <c r="N3777" s="16"/>
      <c r="O3777" s="15"/>
      <c r="P3777" s="15"/>
    </row>
    <row r="3778">
      <c r="A3778" s="15"/>
      <c r="B3778" s="22"/>
      <c r="C3778" s="22"/>
      <c r="D3778" s="22"/>
      <c r="E3778" s="15"/>
      <c r="F3778" s="15"/>
      <c r="G3778" s="15"/>
      <c r="H3778" s="15"/>
      <c r="I3778" s="15"/>
      <c r="J3778" s="15"/>
      <c r="K3778" s="15"/>
      <c r="L3778" s="15"/>
      <c r="M3778" s="16"/>
      <c r="N3778" s="16"/>
      <c r="O3778" s="15"/>
      <c r="P3778" s="15"/>
    </row>
    <row r="3779">
      <c r="A3779" s="15"/>
      <c r="B3779" s="22"/>
      <c r="C3779" s="22"/>
      <c r="D3779" s="22"/>
      <c r="E3779" s="15"/>
      <c r="F3779" s="15"/>
      <c r="G3779" s="15"/>
      <c r="H3779" s="15"/>
      <c r="I3779" s="15"/>
      <c r="J3779" s="15"/>
      <c r="K3779" s="15"/>
      <c r="L3779" s="15"/>
      <c r="M3779" s="16"/>
      <c r="N3779" s="16"/>
      <c r="O3779" s="15"/>
      <c r="P3779" s="15"/>
    </row>
    <row r="3780">
      <c r="A3780" s="15"/>
      <c r="B3780" s="22"/>
      <c r="C3780" s="22"/>
      <c r="D3780" s="22"/>
      <c r="E3780" s="15"/>
      <c r="F3780" s="15"/>
      <c r="G3780" s="15"/>
      <c r="H3780" s="15"/>
      <c r="I3780" s="15"/>
      <c r="J3780" s="15"/>
      <c r="K3780" s="15"/>
      <c r="L3780" s="15"/>
      <c r="M3780" s="16"/>
      <c r="N3780" s="16"/>
      <c r="O3780" s="15"/>
      <c r="P3780" s="15"/>
    </row>
    <row r="3781">
      <c r="A3781" s="15"/>
      <c r="B3781" s="22"/>
      <c r="C3781" s="22"/>
      <c r="D3781" s="22"/>
      <c r="E3781" s="15"/>
      <c r="F3781" s="15"/>
      <c r="G3781" s="15"/>
      <c r="H3781" s="15"/>
      <c r="I3781" s="15"/>
      <c r="J3781" s="15"/>
      <c r="K3781" s="15"/>
      <c r="L3781" s="15"/>
      <c r="M3781" s="16"/>
      <c r="N3781" s="16"/>
      <c r="O3781" s="15"/>
      <c r="P3781" s="15"/>
    </row>
    <row r="3782">
      <c r="A3782" s="15"/>
      <c r="B3782" s="22"/>
      <c r="C3782" s="22"/>
      <c r="D3782" s="22"/>
      <c r="E3782" s="15"/>
      <c r="F3782" s="15"/>
      <c r="G3782" s="15"/>
      <c r="H3782" s="15"/>
      <c r="I3782" s="15"/>
      <c r="J3782" s="15"/>
      <c r="K3782" s="15"/>
      <c r="L3782" s="15"/>
      <c r="M3782" s="16"/>
      <c r="N3782" s="16"/>
      <c r="O3782" s="15"/>
      <c r="P3782" s="15"/>
    </row>
    <row r="3783">
      <c r="A3783" s="15"/>
      <c r="B3783" s="22"/>
      <c r="C3783" s="22"/>
      <c r="D3783" s="22"/>
      <c r="E3783" s="15"/>
      <c r="F3783" s="15"/>
      <c r="G3783" s="15"/>
      <c r="H3783" s="15"/>
      <c r="I3783" s="15"/>
      <c r="J3783" s="15"/>
      <c r="K3783" s="15"/>
      <c r="L3783" s="15"/>
      <c r="M3783" s="16"/>
      <c r="N3783" s="16"/>
      <c r="O3783" s="15"/>
      <c r="P3783" s="15"/>
    </row>
    <row r="3784">
      <c r="A3784" s="15"/>
      <c r="B3784" s="22"/>
      <c r="C3784" s="22"/>
      <c r="D3784" s="22"/>
      <c r="E3784" s="15"/>
      <c r="F3784" s="15"/>
      <c r="G3784" s="15"/>
      <c r="H3784" s="15"/>
      <c r="I3784" s="15"/>
      <c r="J3784" s="15"/>
      <c r="K3784" s="15"/>
      <c r="L3784" s="15"/>
      <c r="M3784" s="16"/>
      <c r="N3784" s="16"/>
      <c r="O3784" s="15"/>
      <c r="P3784" s="15"/>
    </row>
    <row r="3785">
      <c r="A3785" s="15"/>
      <c r="B3785" s="22"/>
      <c r="C3785" s="22"/>
      <c r="D3785" s="22"/>
      <c r="E3785" s="15"/>
      <c r="F3785" s="15"/>
      <c r="G3785" s="15"/>
      <c r="H3785" s="15"/>
      <c r="I3785" s="15"/>
      <c r="J3785" s="15"/>
      <c r="K3785" s="15"/>
      <c r="L3785" s="15"/>
      <c r="M3785" s="16"/>
      <c r="N3785" s="16"/>
      <c r="O3785" s="15"/>
      <c r="P3785" s="15"/>
    </row>
    <row r="3786">
      <c r="A3786" s="15"/>
      <c r="B3786" s="22"/>
      <c r="C3786" s="22"/>
      <c r="D3786" s="22"/>
      <c r="E3786" s="15"/>
      <c r="F3786" s="15"/>
      <c r="G3786" s="15"/>
      <c r="H3786" s="15"/>
      <c r="I3786" s="15"/>
      <c r="J3786" s="15"/>
      <c r="K3786" s="15"/>
      <c r="L3786" s="15"/>
      <c r="M3786" s="16"/>
      <c r="N3786" s="16"/>
      <c r="O3786" s="15"/>
      <c r="P3786" s="15"/>
    </row>
    <row r="3787">
      <c r="A3787" s="15"/>
      <c r="B3787" s="22"/>
      <c r="C3787" s="22"/>
      <c r="D3787" s="22"/>
      <c r="E3787" s="15"/>
      <c r="F3787" s="15"/>
      <c r="G3787" s="15"/>
      <c r="H3787" s="15"/>
      <c r="I3787" s="15"/>
      <c r="J3787" s="15"/>
      <c r="K3787" s="15"/>
      <c r="L3787" s="15"/>
      <c r="M3787" s="16"/>
      <c r="N3787" s="16"/>
      <c r="O3787" s="15"/>
      <c r="P3787" s="15"/>
    </row>
    <row r="3788">
      <c r="A3788" s="15"/>
      <c r="B3788" s="22"/>
      <c r="C3788" s="22"/>
      <c r="D3788" s="22"/>
      <c r="E3788" s="15"/>
      <c r="F3788" s="15"/>
      <c r="G3788" s="15"/>
      <c r="H3788" s="15"/>
      <c r="I3788" s="15"/>
      <c r="J3788" s="15"/>
      <c r="K3788" s="15"/>
      <c r="L3788" s="15"/>
      <c r="M3788" s="16"/>
      <c r="N3788" s="16"/>
      <c r="O3788" s="15"/>
      <c r="P3788" s="15"/>
    </row>
    <row r="3789">
      <c r="A3789" s="15"/>
      <c r="B3789" s="22"/>
      <c r="C3789" s="22"/>
      <c r="D3789" s="22"/>
      <c r="E3789" s="15"/>
      <c r="F3789" s="15"/>
      <c r="G3789" s="15"/>
      <c r="H3789" s="15"/>
      <c r="I3789" s="15"/>
      <c r="J3789" s="15"/>
      <c r="K3789" s="15"/>
      <c r="L3789" s="15"/>
      <c r="M3789" s="16"/>
      <c r="N3789" s="16"/>
      <c r="O3789" s="15"/>
      <c r="P3789" s="15"/>
    </row>
    <row r="3790">
      <c r="A3790" s="15"/>
      <c r="B3790" s="22"/>
      <c r="C3790" s="22"/>
      <c r="D3790" s="22"/>
      <c r="E3790" s="15"/>
      <c r="F3790" s="15"/>
      <c r="G3790" s="15"/>
      <c r="H3790" s="15"/>
      <c r="I3790" s="15"/>
      <c r="J3790" s="15"/>
      <c r="K3790" s="15"/>
      <c r="L3790" s="15"/>
      <c r="M3790" s="16"/>
      <c r="N3790" s="16"/>
      <c r="O3790" s="15"/>
      <c r="P3790" s="15"/>
    </row>
    <row r="3791">
      <c r="A3791" s="15"/>
      <c r="B3791" s="22"/>
      <c r="C3791" s="22"/>
      <c r="D3791" s="22"/>
      <c r="E3791" s="15"/>
      <c r="F3791" s="15"/>
      <c r="G3791" s="15"/>
      <c r="H3791" s="15"/>
      <c r="I3791" s="15"/>
      <c r="J3791" s="15"/>
      <c r="K3791" s="15"/>
      <c r="L3791" s="15"/>
      <c r="M3791" s="16"/>
      <c r="N3791" s="16"/>
      <c r="O3791" s="15"/>
      <c r="P3791" s="15"/>
    </row>
    <row r="3792">
      <c r="A3792" s="15"/>
      <c r="B3792" s="22"/>
      <c r="C3792" s="22"/>
      <c r="D3792" s="22"/>
      <c r="E3792" s="15"/>
      <c r="F3792" s="15"/>
      <c r="G3792" s="15"/>
      <c r="H3792" s="15"/>
      <c r="I3792" s="15"/>
      <c r="J3792" s="15"/>
      <c r="K3792" s="15"/>
      <c r="L3792" s="15"/>
      <c r="M3792" s="16"/>
      <c r="N3792" s="16"/>
      <c r="O3792" s="15"/>
      <c r="P3792" s="15"/>
    </row>
    <row r="3793">
      <c r="A3793" s="15"/>
      <c r="B3793" s="22"/>
      <c r="C3793" s="22"/>
      <c r="D3793" s="22"/>
      <c r="E3793" s="15"/>
      <c r="F3793" s="15"/>
      <c r="G3793" s="15"/>
      <c r="H3793" s="15"/>
      <c r="I3793" s="15"/>
      <c r="J3793" s="15"/>
      <c r="K3793" s="15"/>
      <c r="L3793" s="15"/>
      <c r="M3793" s="16"/>
      <c r="N3793" s="16"/>
      <c r="O3793" s="15"/>
      <c r="P3793" s="15"/>
    </row>
    <row r="3794">
      <c r="A3794" s="15"/>
      <c r="B3794" s="22"/>
      <c r="C3794" s="22"/>
      <c r="D3794" s="22"/>
      <c r="E3794" s="15"/>
      <c r="F3794" s="15"/>
      <c r="G3794" s="15"/>
      <c r="H3794" s="15"/>
      <c r="I3794" s="15"/>
      <c r="J3794" s="15"/>
      <c r="K3794" s="15"/>
      <c r="L3794" s="15"/>
      <c r="M3794" s="16"/>
      <c r="N3794" s="16"/>
      <c r="O3794" s="15"/>
      <c r="P3794" s="15"/>
    </row>
    <row r="3795">
      <c r="A3795" s="15"/>
      <c r="B3795" s="22"/>
      <c r="C3795" s="22"/>
      <c r="D3795" s="22"/>
      <c r="E3795" s="15"/>
      <c r="F3795" s="15"/>
      <c r="G3795" s="15"/>
      <c r="H3795" s="15"/>
      <c r="I3795" s="15"/>
      <c r="J3795" s="15"/>
      <c r="K3795" s="15"/>
      <c r="L3795" s="15"/>
      <c r="M3795" s="16"/>
      <c r="N3795" s="16"/>
      <c r="O3795" s="15"/>
      <c r="P3795" s="15"/>
    </row>
    <row r="3796">
      <c r="A3796" s="15"/>
      <c r="B3796" s="22"/>
      <c r="C3796" s="22"/>
      <c r="D3796" s="22"/>
      <c r="E3796" s="15"/>
      <c r="F3796" s="15"/>
      <c r="G3796" s="15"/>
      <c r="H3796" s="15"/>
      <c r="I3796" s="15"/>
      <c r="J3796" s="15"/>
      <c r="K3796" s="15"/>
      <c r="L3796" s="15"/>
      <c r="M3796" s="16"/>
      <c r="N3796" s="16"/>
      <c r="O3796" s="15"/>
      <c r="P3796" s="15"/>
    </row>
    <row r="3797">
      <c r="A3797" s="15"/>
      <c r="B3797" s="22"/>
      <c r="C3797" s="22"/>
      <c r="D3797" s="22"/>
      <c r="E3797" s="15"/>
      <c r="F3797" s="15"/>
      <c r="G3797" s="15"/>
      <c r="H3797" s="15"/>
      <c r="I3797" s="15"/>
      <c r="J3797" s="15"/>
      <c r="K3797" s="15"/>
      <c r="L3797" s="15"/>
      <c r="M3797" s="16"/>
      <c r="N3797" s="16"/>
      <c r="O3797" s="15"/>
      <c r="P3797" s="15"/>
    </row>
    <row r="3798">
      <c r="A3798" s="15"/>
      <c r="B3798" s="22"/>
      <c r="C3798" s="22"/>
      <c r="D3798" s="22"/>
      <c r="E3798" s="15"/>
      <c r="F3798" s="15"/>
      <c r="G3798" s="15"/>
      <c r="H3798" s="15"/>
      <c r="I3798" s="15"/>
      <c r="J3798" s="15"/>
      <c r="K3798" s="15"/>
      <c r="L3798" s="15"/>
      <c r="M3798" s="16"/>
      <c r="N3798" s="16"/>
      <c r="O3798" s="15"/>
      <c r="P3798" s="15"/>
    </row>
    <row r="3799">
      <c r="A3799" s="15"/>
      <c r="B3799" s="22"/>
      <c r="C3799" s="22"/>
      <c r="D3799" s="22"/>
      <c r="E3799" s="15"/>
      <c r="F3799" s="15"/>
      <c r="G3799" s="15"/>
      <c r="H3799" s="15"/>
      <c r="I3799" s="15"/>
      <c r="J3799" s="15"/>
      <c r="K3799" s="15"/>
      <c r="L3799" s="15"/>
      <c r="M3799" s="16"/>
      <c r="N3799" s="16"/>
      <c r="O3799" s="15"/>
      <c r="P3799" s="15"/>
    </row>
    <row r="3800">
      <c r="A3800" s="15"/>
      <c r="B3800" s="22"/>
      <c r="C3800" s="22"/>
      <c r="D3800" s="22"/>
      <c r="E3800" s="15"/>
      <c r="F3800" s="15"/>
      <c r="G3800" s="15"/>
      <c r="H3800" s="15"/>
      <c r="I3800" s="15"/>
      <c r="J3800" s="15"/>
      <c r="K3800" s="15"/>
      <c r="L3800" s="15"/>
      <c r="M3800" s="16"/>
      <c r="N3800" s="16"/>
      <c r="O3800" s="15"/>
      <c r="P3800" s="15"/>
    </row>
    <row r="3801">
      <c r="A3801" s="15"/>
      <c r="B3801" s="22"/>
      <c r="C3801" s="22"/>
      <c r="D3801" s="22"/>
      <c r="E3801" s="15"/>
      <c r="F3801" s="15"/>
      <c r="G3801" s="15"/>
      <c r="H3801" s="15"/>
      <c r="I3801" s="15"/>
      <c r="J3801" s="15"/>
      <c r="K3801" s="15"/>
      <c r="L3801" s="15"/>
      <c r="M3801" s="16"/>
      <c r="N3801" s="16"/>
      <c r="O3801" s="15"/>
      <c r="P3801" s="15"/>
    </row>
    <row r="3802">
      <c r="A3802" s="15"/>
      <c r="B3802" s="22"/>
      <c r="C3802" s="22"/>
      <c r="D3802" s="22"/>
      <c r="E3802" s="15"/>
      <c r="F3802" s="15"/>
      <c r="G3802" s="15"/>
      <c r="H3802" s="15"/>
      <c r="I3802" s="15"/>
      <c r="J3802" s="15"/>
      <c r="K3802" s="15"/>
      <c r="L3802" s="15"/>
      <c r="M3802" s="16"/>
      <c r="N3802" s="16"/>
      <c r="O3802" s="15"/>
      <c r="P3802" s="15"/>
    </row>
    <row r="3803">
      <c r="A3803" s="15"/>
      <c r="B3803" s="22"/>
      <c r="C3803" s="22"/>
      <c r="D3803" s="22"/>
      <c r="E3803" s="15"/>
      <c r="F3803" s="15"/>
      <c r="G3803" s="15"/>
      <c r="H3803" s="15"/>
      <c r="I3803" s="15"/>
      <c r="J3803" s="15"/>
      <c r="K3803" s="15"/>
      <c r="L3803" s="15"/>
      <c r="M3803" s="16"/>
      <c r="N3803" s="16"/>
      <c r="O3803" s="15"/>
      <c r="P3803" s="15"/>
    </row>
    <row r="3804">
      <c r="A3804" s="15"/>
      <c r="B3804" s="22"/>
      <c r="C3804" s="22"/>
      <c r="D3804" s="22"/>
      <c r="E3804" s="15"/>
      <c r="F3804" s="15"/>
      <c r="G3804" s="15"/>
      <c r="H3804" s="15"/>
      <c r="I3804" s="15"/>
      <c r="J3804" s="15"/>
      <c r="K3804" s="15"/>
      <c r="L3804" s="15"/>
      <c r="M3804" s="16"/>
      <c r="N3804" s="16"/>
      <c r="O3804" s="15"/>
      <c r="P3804" s="15"/>
    </row>
    <row r="3805">
      <c r="A3805" s="15"/>
      <c r="B3805" s="22"/>
      <c r="C3805" s="22"/>
      <c r="D3805" s="22"/>
      <c r="E3805" s="15"/>
      <c r="F3805" s="15"/>
      <c r="G3805" s="15"/>
      <c r="H3805" s="15"/>
      <c r="I3805" s="15"/>
      <c r="J3805" s="15"/>
      <c r="K3805" s="15"/>
      <c r="L3805" s="15"/>
      <c r="M3805" s="16"/>
      <c r="N3805" s="16"/>
      <c r="O3805" s="15"/>
      <c r="P3805" s="15"/>
    </row>
    <row r="3806">
      <c r="A3806" s="15"/>
      <c r="B3806" s="22"/>
      <c r="C3806" s="22"/>
      <c r="D3806" s="22"/>
      <c r="E3806" s="15"/>
      <c r="F3806" s="15"/>
      <c r="G3806" s="15"/>
      <c r="H3806" s="15"/>
      <c r="I3806" s="15"/>
      <c r="J3806" s="15"/>
      <c r="K3806" s="15"/>
      <c r="L3806" s="15"/>
      <c r="M3806" s="16"/>
      <c r="N3806" s="16"/>
      <c r="O3806" s="15"/>
      <c r="P3806" s="15"/>
    </row>
    <row r="3807">
      <c r="A3807" s="15"/>
      <c r="B3807" s="22"/>
      <c r="C3807" s="22"/>
      <c r="D3807" s="22"/>
      <c r="E3807" s="15"/>
      <c r="F3807" s="15"/>
      <c r="G3807" s="15"/>
      <c r="H3807" s="15"/>
      <c r="I3807" s="15"/>
      <c r="J3807" s="15"/>
      <c r="K3807" s="15"/>
      <c r="L3807" s="15"/>
      <c r="M3807" s="16"/>
      <c r="N3807" s="16"/>
      <c r="O3807" s="15"/>
      <c r="P3807" s="15"/>
    </row>
    <row r="3808">
      <c r="A3808" s="15"/>
      <c r="B3808" s="22"/>
      <c r="C3808" s="22"/>
      <c r="D3808" s="22"/>
      <c r="E3808" s="15"/>
      <c r="F3808" s="15"/>
      <c r="G3808" s="15"/>
      <c r="H3808" s="15"/>
      <c r="I3808" s="15"/>
      <c r="J3808" s="15"/>
      <c r="K3808" s="15"/>
      <c r="L3808" s="15"/>
      <c r="M3808" s="16"/>
      <c r="N3808" s="16"/>
      <c r="O3808" s="15"/>
      <c r="P3808" s="15"/>
    </row>
    <row r="3809">
      <c r="A3809" s="15"/>
      <c r="B3809" s="22"/>
      <c r="C3809" s="22"/>
      <c r="D3809" s="22"/>
      <c r="E3809" s="15"/>
      <c r="F3809" s="15"/>
      <c r="G3809" s="15"/>
      <c r="H3809" s="15"/>
      <c r="I3809" s="15"/>
      <c r="J3809" s="15"/>
      <c r="K3809" s="15"/>
      <c r="L3809" s="15"/>
      <c r="M3809" s="16"/>
      <c r="N3809" s="16"/>
      <c r="O3809" s="15"/>
      <c r="P3809" s="15"/>
    </row>
    <row r="3810">
      <c r="A3810" s="15"/>
      <c r="B3810" s="22"/>
      <c r="C3810" s="22"/>
      <c r="D3810" s="22"/>
      <c r="E3810" s="15"/>
      <c r="F3810" s="15"/>
      <c r="G3810" s="15"/>
      <c r="H3810" s="15"/>
      <c r="I3810" s="15"/>
      <c r="J3810" s="15"/>
      <c r="K3810" s="15"/>
      <c r="L3810" s="15"/>
      <c r="M3810" s="16"/>
      <c r="N3810" s="16"/>
      <c r="O3810" s="15"/>
      <c r="P3810" s="15"/>
    </row>
    <row r="3811">
      <c r="A3811" s="15"/>
      <c r="B3811" s="22"/>
      <c r="C3811" s="22"/>
      <c r="D3811" s="22"/>
      <c r="E3811" s="15"/>
      <c r="F3811" s="15"/>
      <c r="G3811" s="15"/>
      <c r="H3811" s="15"/>
      <c r="I3811" s="15"/>
      <c r="J3811" s="15"/>
      <c r="K3811" s="15"/>
      <c r="L3811" s="15"/>
      <c r="M3811" s="16"/>
      <c r="N3811" s="16"/>
      <c r="O3811" s="15"/>
      <c r="P3811" s="15"/>
    </row>
    <row r="3812">
      <c r="A3812" s="15"/>
      <c r="B3812" s="22"/>
      <c r="C3812" s="22"/>
      <c r="D3812" s="22"/>
      <c r="E3812" s="15"/>
      <c r="F3812" s="15"/>
      <c r="G3812" s="15"/>
      <c r="H3812" s="15"/>
      <c r="I3812" s="15"/>
      <c r="J3812" s="15"/>
      <c r="K3812" s="15"/>
      <c r="L3812" s="15"/>
      <c r="M3812" s="16"/>
      <c r="N3812" s="16"/>
      <c r="O3812" s="15"/>
      <c r="P3812" s="15"/>
    </row>
    <row r="3813">
      <c r="A3813" s="15"/>
      <c r="B3813" s="22"/>
      <c r="C3813" s="22"/>
      <c r="D3813" s="22"/>
      <c r="E3813" s="15"/>
      <c r="F3813" s="15"/>
      <c r="G3813" s="15"/>
      <c r="H3813" s="15"/>
      <c r="I3813" s="15"/>
      <c r="J3813" s="15"/>
      <c r="K3813" s="15"/>
      <c r="L3813" s="15"/>
      <c r="M3813" s="16"/>
      <c r="N3813" s="16"/>
      <c r="O3813" s="15"/>
      <c r="P3813" s="15"/>
    </row>
    <row r="3814">
      <c r="A3814" s="15"/>
      <c r="B3814" s="22"/>
      <c r="C3814" s="22"/>
      <c r="D3814" s="22"/>
      <c r="E3814" s="15"/>
      <c r="F3814" s="15"/>
      <c r="G3814" s="15"/>
      <c r="H3814" s="15"/>
      <c r="I3814" s="15"/>
      <c r="J3814" s="15"/>
      <c r="K3814" s="15"/>
      <c r="L3814" s="15"/>
      <c r="M3814" s="16"/>
      <c r="N3814" s="16"/>
      <c r="O3814" s="15"/>
      <c r="P3814" s="15"/>
    </row>
    <row r="3815">
      <c r="A3815" s="15"/>
      <c r="B3815" s="22"/>
      <c r="C3815" s="22"/>
      <c r="D3815" s="22"/>
      <c r="E3815" s="15"/>
      <c r="F3815" s="15"/>
      <c r="G3815" s="15"/>
      <c r="H3815" s="15"/>
      <c r="I3815" s="15"/>
      <c r="J3815" s="15"/>
      <c r="K3815" s="15"/>
      <c r="L3815" s="15"/>
      <c r="M3815" s="16"/>
      <c r="N3815" s="16"/>
      <c r="O3815" s="15"/>
      <c r="P3815" s="15"/>
    </row>
    <row r="3816">
      <c r="A3816" s="15"/>
      <c r="B3816" s="22"/>
      <c r="C3816" s="22"/>
      <c r="D3816" s="22"/>
      <c r="E3816" s="15"/>
      <c r="F3816" s="15"/>
      <c r="G3816" s="15"/>
      <c r="H3816" s="15"/>
      <c r="I3816" s="15"/>
      <c r="J3816" s="15"/>
      <c r="K3816" s="15"/>
      <c r="L3816" s="15"/>
      <c r="M3816" s="16"/>
      <c r="N3816" s="16"/>
      <c r="O3816" s="15"/>
      <c r="P3816" s="15"/>
    </row>
    <row r="3817">
      <c r="A3817" s="15"/>
      <c r="B3817" s="22"/>
      <c r="C3817" s="22"/>
      <c r="D3817" s="22"/>
      <c r="E3817" s="15"/>
      <c r="F3817" s="15"/>
      <c r="G3817" s="15"/>
      <c r="H3817" s="15"/>
      <c r="I3817" s="15"/>
      <c r="J3817" s="15"/>
      <c r="K3817" s="15"/>
      <c r="L3817" s="15"/>
      <c r="M3817" s="16"/>
      <c r="N3817" s="16"/>
      <c r="O3817" s="15"/>
      <c r="P3817" s="15"/>
    </row>
    <row r="3818">
      <c r="A3818" s="15"/>
      <c r="B3818" s="22"/>
      <c r="C3818" s="22"/>
      <c r="D3818" s="22"/>
      <c r="E3818" s="15"/>
      <c r="F3818" s="15"/>
      <c r="G3818" s="15"/>
      <c r="H3818" s="15"/>
      <c r="I3818" s="15"/>
      <c r="J3818" s="15"/>
      <c r="K3818" s="15"/>
      <c r="L3818" s="15"/>
      <c r="M3818" s="16"/>
      <c r="N3818" s="16"/>
      <c r="O3818" s="15"/>
      <c r="P3818" s="15"/>
    </row>
    <row r="3819">
      <c r="A3819" s="15"/>
      <c r="B3819" s="22"/>
      <c r="C3819" s="22"/>
      <c r="D3819" s="22"/>
      <c r="E3819" s="15"/>
      <c r="F3819" s="15"/>
      <c r="G3819" s="15"/>
      <c r="H3819" s="15"/>
      <c r="I3819" s="15"/>
      <c r="J3819" s="15"/>
      <c r="K3819" s="15"/>
      <c r="L3819" s="15"/>
      <c r="M3819" s="16"/>
      <c r="N3819" s="16"/>
      <c r="O3819" s="15"/>
      <c r="P3819" s="15"/>
    </row>
    <row r="3820">
      <c r="A3820" s="15"/>
      <c r="B3820" s="22"/>
      <c r="C3820" s="22"/>
      <c r="D3820" s="22"/>
      <c r="E3820" s="15"/>
      <c r="F3820" s="15"/>
      <c r="G3820" s="15"/>
      <c r="H3820" s="15"/>
      <c r="I3820" s="15"/>
      <c r="J3820" s="15"/>
      <c r="K3820" s="15"/>
      <c r="L3820" s="15"/>
      <c r="M3820" s="16"/>
      <c r="N3820" s="16"/>
      <c r="O3820" s="15"/>
      <c r="P3820" s="15"/>
    </row>
    <row r="3821">
      <c r="A3821" s="15"/>
      <c r="B3821" s="22"/>
      <c r="C3821" s="22"/>
      <c r="D3821" s="22"/>
      <c r="E3821" s="15"/>
      <c r="F3821" s="15"/>
      <c r="G3821" s="15"/>
      <c r="H3821" s="15"/>
      <c r="I3821" s="15"/>
      <c r="J3821" s="15"/>
      <c r="K3821" s="15"/>
      <c r="L3821" s="15"/>
      <c r="M3821" s="16"/>
      <c r="N3821" s="16"/>
      <c r="O3821" s="15"/>
      <c r="P3821" s="15"/>
    </row>
    <row r="3822">
      <c r="A3822" s="15"/>
      <c r="B3822" s="22"/>
      <c r="C3822" s="22"/>
      <c r="D3822" s="22"/>
      <c r="E3822" s="15"/>
      <c r="F3822" s="15"/>
      <c r="G3822" s="15"/>
      <c r="H3822" s="15"/>
      <c r="I3822" s="15"/>
      <c r="J3822" s="15"/>
      <c r="K3822" s="15"/>
      <c r="L3822" s="15"/>
      <c r="M3822" s="16"/>
      <c r="N3822" s="16"/>
      <c r="O3822" s="15"/>
      <c r="P3822" s="15"/>
    </row>
    <row r="3823">
      <c r="A3823" s="15"/>
      <c r="B3823" s="22"/>
      <c r="C3823" s="22"/>
      <c r="D3823" s="22"/>
      <c r="E3823" s="15"/>
      <c r="F3823" s="15"/>
      <c r="G3823" s="15"/>
      <c r="H3823" s="15"/>
      <c r="I3823" s="15"/>
      <c r="J3823" s="15"/>
      <c r="K3823" s="15"/>
      <c r="L3823" s="15"/>
      <c r="M3823" s="16"/>
      <c r="N3823" s="16"/>
      <c r="O3823" s="15"/>
      <c r="P3823" s="15"/>
    </row>
    <row r="3824">
      <c r="A3824" s="15"/>
      <c r="B3824" s="22"/>
      <c r="C3824" s="22"/>
      <c r="D3824" s="22"/>
      <c r="E3824" s="15"/>
      <c r="F3824" s="15"/>
      <c r="G3824" s="15"/>
      <c r="H3824" s="15"/>
      <c r="I3824" s="15"/>
      <c r="J3824" s="15"/>
      <c r="K3824" s="15"/>
      <c r="L3824" s="15"/>
      <c r="M3824" s="16"/>
      <c r="N3824" s="16"/>
      <c r="O3824" s="15"/>
      <c r="P3824" s="15"/>
    </row>
    <row r="3825">
      <c r="A3825" s="15"/>
      <c r="B3825" s="22"/>
      <c r="C3825" s="22"/>
      <c r="D3825" s="22"/>
      <c r="E3825" s="15"/>
      <c r="F3825" s="15"/>
      <c r="G3825" s="15"/>
      <c r="H3825" s="15"/>
      <c r="I3825" s="15"/>
      <c r="J3825" s="15"/>
      <c r="K3825" s="15"/>
      <c r="L3825" s="15"/>
      <c r="M3825" s="16"/>
      <c r="N3825" s="16"/>
      <c r="O3825" s="15"/>
      <c r="P3825" s="15"/>
    </row>
    <row r="3826">
      <c r="A3826" s="15"/>
      <c r="B3826" s="22"/>
      <c r="C3826" s="22"/>
      <c r="D3826" s="22"/>
      <c r="E3826" s="15"/>
      <c r="F3826" s="15"/>
      <c r="G3826" s="15"/>
      <c r="H3826" s="15"/>
      <c r="I3826" s="15"/>
      <c r="J3826" s="15"/>
      <c r="K3826" s="15"/>
      <c r="L3826" s="15"/>
      <c r="M3826" s="16"/>
      <c r="N3826" s="16"/>
      <c r="O3826" s="15"/>
      <c r="P3826" s="15"/>
    </row>
    <row r="3827">
      <c r="A3827" s="15"/>
      <c r="B3827" s="22"/>
      <c r="C3827" s="22"/>
      <c r="D3827" s="22"/>
      <c r="E3827" s="15"/>
      <c r="F3827" s="15"/>
      <c r="G3827" s="15"/>
      <c r="H3827" s="15"/>
      <c r="I3827" s="15"/>
      <c r="J3827" s="15"/>
      <c r="K3827" s="15"/>
      <c r="L3827" s="15"/>
      <c r="M3827" s="16"/>
      <c r="N3827" s="16"/>
      <c r="O3827" s="15"/>
      <c r="P3827" s="15"/>
    </row>
    <row r="3828">
      <c r="A3828" s="15"/>
      <c r="B3828" s="22"/>
      <c r="C3828" s="22"/>
      <c r="D3828" s="22"/>
      <c r="E3828" s="15"/>
      <c r="F3828" s="15"/>
      <c r="G3828" s="15"/>
      <c r="H3828" s="15"/>
      <c r="I3828" s="15"/>
      <c r="J3828" s="15"/>
      <c r="K3828" s="15"/>
      <c r="L3828" s="15"/>
      <c r="M3828" s="16"/>
      <c r="N3828" s="16"/>
      <c r="O3828" s="15"/>
      <c r="P3828" s="15"/>
    </row>
    <row r="3829">
      <c r="A3829" s="15"/>
      <c r="B3829" s="22"/>
      <c r="C3829" s="22"/>
      <c r="D3829" s="22"/>
      <c r="E3829" s="15"/>
      <c r="F3829" s="15"/>
      <c r="G3829" s="15"/>
      <c r="H3829" s="15"/>
      <c r="I3829" s="15"/>
      <c r="J3829" s="15"/>
      <c r="K3829" s="15"/>
      <c r="L3829" s="15"/>
      <c r="M3829" s="16"/>
      <c r="N3829" s="16"/>
      <c r="O3829" s="15"/>
      <c r="P3829" s="15"/>
    </row>
    <row r="3830">
      <c r="A3830" s="15"/>
      <c r="B3830" s="22"/>
      <c r="C3830" s="22"/>
      <c r="D3830" s="22"/>
      <c r="E3830" s="15"/>
      <c r="F3830" s="15"/>
      <c r="G3830" s="15"/>
      <c r="H3830" s="15"/>
      <c r="I3830" s="15"/>
      <c r="J3830" s="15"/>
      <c r="K3830" s="15"/>
      <c r="L3830" s="15"/>
      <c r="M3830" s="16"/>
      <c r="N3830" s="16"/>
      <c r="O3830" s="15"/>
      <c r="P3830" s="15"/>
    </row>
    <row r="3831">
      <c r="A3831" s="15"/>
      <c r="B3831" s="22"/>
      <c r="C3831" s="22"/>
      <c r="D3831" s="22"/>
      <c r="E3831" s="15"/>
      <c r="F3831" s="15"/>
      <c r="G3831" s="15"/>
      <c r="H3831" s="15"/>
      <c r="I3831" s="15"/>
      <c r="J3831" s="15"/>
      <c r="K3831" s="15"/>
      <c r="L3831" s="15"/>
      <c r="M3831" s="16"/>
      <c r="N3831" s="16"/>
      <c r="O3831" s="15"/>
      <c r="P3831" s="15"/>
    </row>
    <row r="3832">
      <c r="A3832" s="15"/>
      <c r="B3832" s="22"/>
      <c r="C3832" s="22"/>
      <c r="D3832" s="22"/>
      <c r="E3832" s="15"/>
      <c r="F3832" s="15"/>
      <c r="G3832" s="15"/>
      <c r="H3832" s="15"/>
      <c r="I3832" s="15"/>
      <c r="J3832" s="15"/>
      <c r="K3832" s="15"/>
      <c r="L3832" s="15"/>
      <c r="M3832" s="16"/>
      <c r="N3832" s="16"/>
      <c r="O3832" s="15"/>
      <c r="P3832" s="15"/>
    </row>
    <row r="3833">
      <c r="A3833" s="15"/>
      <c r="B3833" s="22"/>
      <c r="C3833" s="22"/>
      <c r="D3833" s="22"/>
      <c r="E3833" s="15"/>
      <c r="F3833" s="15"/>
      <c r="G3833" s="15"/>
      <c r="H3833" s="15"/>
      <c r="I3833" s="15"/>
      <c r="J3833" s="15"/>
      <c r="K3833" s="15"/>
      <c r="L3833" s="15"/>
      <c r="M3833" s="16"/>
      <c r="N3833" s="16"/>
      <c r="O3833" s="15"/>
      <c r="P3833" s="15"/>
    </row>
    <row r="3834">
      <c r="A3834" s="15"/>
      <c r="B3834" s="22"/>
      <c r="C3834" s="22"/>
      <c r="D3834" s="22"/>
      <c r="E3834" s="15"/>
      <c r="F3834" s="15"/>
      <c r="G3834" s="15"/>
      <c r="H3834" s="15"/>
      <c r="I3834" s="15"/>
      <c r="J3834" s="15"/>
      <c r="K3834" s="15"/>
      <c r="L3834" s="15"/>
      <c r="M3834" s="16"/>
      <c r="N3834" s="16"/>
      <c r="O3834" s="15"/>
      <c r="P3834" s="15"/>
    </row>
    <row r="3835">
      <c r="A3835" s="15"/>
      <c r="B3835" s="22"/>
      <c r="C3835" s="22"/>
      <c r="D3835" s="22"/>
      <c r="E3835" s="15"/>
      <c r="F3835" s="15"/>
      <c r="G3835" s="15"/>
      <c r="H3835" s="15"/>
      <c r="I3835" s="15"/>
      <c r="J3835" s="15"/>
      <c r="K3835" s="15"/>
      <c r="L3835" s="15"/>
      <c r="M3835" s="16"/>
      <c r="N3835" s="16"/>
      <c r="O3835" s="15"/>
      <c r="P3835" s="15"/>
    </row>
    <row r="3836">
      <c r="A3836" s="15"/>
      <c r="B3836" s="22"/>
      <c r="C3836" s="22"/>
      <c r="D3836" s="22"/>
      <c r="E3836" s="15"/>
      <c r="F3836" s="15"/>
      <c r="G3836" s="15"/>
      <c r="H3836" s="15"/>
      <c r="I3836" s="15"/>
      <c r="J3836" s="15"/>
      <c r="K3836" s="15"/>
      <c r="L3836" s="15"/>
      <c r="M3836" s="16"/>
      <c r="N3836" s="16"/>
      <c r="O3836" s="15"/>
      <c r="P3836" s="15"/>
    </row>
    <row r="3837">
      <c r="A3837" s="15"/>
      <c r="B3837" s="22"/>
      <c r="C3837" s="22"/>
      <c r="D3837" s="22"/>
      <c r="E3837" s="15"/>
      <c r="F3837" s="15"/>
      <c r="G3837" s="15"/>
      <c r="H3837" s="15"/>
      <c r="I3837" s="15"/>
      <c r="J3837" s="15"/>
      <c r="K3837" s="15"/>
      <c r="L3837" s="15"/>
      <c r="M3837" s="16"/>
      <c r="N3837" s="16"/>
      <c r="O3837" s="15"/>
      <c r="P3837" s="15"/>
    </row>
    <row r="3838">
      <c r="A3838" s="15"/>
      <c r="B3838" s="22"/>
      <c r="C3838" s="22"/>
      <c r="D3838" s="22"/>
      <c r="E3838" s="15"/>
      <c r="F3838" s="15"/>
      <c r="G3838" s="15"/>
      <c r="H3838" s="15"/>
      <c r="I3838" s="15"/>
      <c r="J3838" s="15"/>
      <c r="K3838" s="15"/>
      <c r="L3838" s="15"/>
      <c r="M3838" s="16"/>
      <c r="N3838" s="16"/>
      <c r="O3838" s="15"/>
      <c r="P3838" s="15"/>
    </row>
    <row r="3839">
      <c r="A3839" s="15"/>
      <c r="B3839" s="22"/>
      <c r="C3839" s="22"/>
      <c r="D3839" s="22"/>
      <c r="E3839" s="15"/>
      <c r="F3839" s="15"/>
      <c r="G3839" s="15"/>
      <c r="H3839" s="15"/>
      <c r="I3839" s="15"/>
      <c r="J3839" s="15"/>
      <c r="K3839" s="15"/>
      <c r="L3839" s="15"/>
      <c r="M3839" s="16"/>
      <c r="N3839" s="16"/>
      <c r="O3839" s="15"/>
      <c r="P3839" s="15"/>
    </row>
    <row r="3840">
      <c r="A3840" s="15"/>
      <c r="B3840" s="22"/>
      <c r="C3840" s="22"/>
      <c r="D3840" s="22"/>
      <c r="E3840" s="15"/>
      <c r="F3840" s="15"/>
      <c r="G3840" s="15"/>
      <c r="H3840" s="15"/>
      <c r="I3840" s="15"/>
      <c r="J3840" s="15"/>
      <c r="K3840" s="15"/>
      <c r="L3840" s="15"/>
      <c r="M3840" s="16"/>
      <c r="N3840" s="16"/>
      <c r="O3840" s="15"/>
      <c r="P3840" s="15"/>
    </row>
    <row r="3841">
      <c r="A3841" s="15"/>
      <c r="B3841" s="22"/>
      <c r="C3841" s="22"/>
      <c r="D3841" s="22"/>
      <c r="E3841" s="15"/>
      <c r="F3841" s="15"/>
      <c r="G3841" s="15"/>
      <c r="H3841" s="15"/>
      <c r="I3841" s="15"/>
      <c r="J3841" s="15"/>
      <c r="K3841" s="15"/>
      <c r="L3841" s="15"/>
      <c r="M3841" s="16"/>
      <c r="N3841" s="16"/>
      <c r="O3841" s="15"/>
      <c r="P3841" s="15"/>
    </row>
    <row r="3842">
      <c r="A3842" s="15"/>
      <c r="B3842" s="22"/>
      <c r="C3842" s="22"/>
      <c r="D3842" s="22"/>
      <c r="E3842" s="15"/>
      <c r="F3842" s="15"/>
      <c r="G3842" s="15"/>
      <c r="H3842" s="15"/>
      <c r="I3842" s="15"/>
      <c r="J3842" s="15"/>
      <c r="K3842" s="15"/>
      <c r="L3842" s="15"/>
      <c r="M3842" s="16"/>
      <c r="N3842" s="16"/>
      <c r="O3842" s="15"/>
      <c r="P3842" s="15"/>
    </row>
    <row r="3843">
      <c r="A3843" s="15"/>
      <c r="B3843" s="22"/>
      <c r="C3843" s="22"/>
      <c r="D3843" s="22"/>
      <c r="E3843" s="15"/>
      <c r="F3843" s="15"/>
      <c r="G3843" s="15"/>
      <c r="H3843" s="15"/>
      <c r="I3843" s="15"/>
      <c r="J3843" s="15"/>
      <c r="K3843" s="15"/>
      <c r="L3843" s="15"/>
      <c r="M3843" s="16"/>
      <c r="N3843" s="16"/>
      <c r="O3843" s="15"/>
      <c r="P3843" s="15"/>
    </row>
    <row r="3844">
      <c r="A3844" s="15"/>
      <c r="B3844" s="22"/>
      <c r="C3844" s="22"/>
      <c r="D3844" s="22"/>
      <c r="E3844" s="15"/>
      <c r="F3844" s="15"/>
      <c r="G3844" s="15"/>
      <c r="H3844" s="15"/>
      <c r="I3844" s="15"/>
      <c r="J3844" s="15"/>
      <c r="K3844" s="15"/>
      <c r="L3844" s="15"/>
      <c r="M3844" s="16"/>
      <c r="N3844" s="16"/>
      <c r="O3844" s="15"/>
      <c r="P3844" s="15"/>
    </row>
    <row r="3845">
      <c r="A3845" s="15"/>
      <c r="B3845" s="22"/>
      <c r="C3845" s="22"/>
      <c r="D3845" s="22"/>
      <c r="E3845" s="15"/>
      <c r="F3845" s="15"/>
      <c r="G3845" s="15"/>
      <c r="H3845" s="15"/>
      <c r="I3845" s="15"/>
      <c r="J3845" s="15"/>
      <c r="K3845" s="15"/>
      <c r="L3845" s="15"/>
      <c r="M3845" s="16"/>
      <c r="N3845" s="16"/>
      <c r="O3845" s="15"/>
      <c r="P3845" s="15"/>
    </row>
    <row r="3846">
      <c r="A3846" s="15"/>
      <c r="B3846" s="22"/>
      <c r="C3846" s="22"/>
      <c r="D3846" s="22"/>
      <c r="E3846" s="15"/>
      <c r="F3846" s="15"/>
      <c r="G3846" s="15"/>
      <c r="H3846" s="15"/>
      <c r="I3846" s="15"/>
      <c r="J3846" s="15"/>
      <c r="K3846" s="15"/>
      <c r="L3846" s="15"/>
      <c r="M3846" s="16"/>
      <c r="N3846" s="16"/>
      <c r="O3846" s="15"/>
      <c r="P3846" s="15"/>
    </row>
    <row r="3847">
      <c r="A3847" s="15"/>
      <c r="B3847" s="22"/>
      <c r="C3847" s="22"/>
      <c r="D3847" s="22"/>
      <c r="E3847" s="15"/>
      <c r="F3847" s="15"/>
      <c r="G3847" s="15"/>
      <c r="H3847" s="15"/>
      <c r="I3847" s="15"/>
      <c r="J3847" s="15"/>
      <c r="K3847" s="15"/>
      <c r="L3847" s="15"/>
      <c r="M3847" s="16"/>
      <c r="N3847" s="16"/>
      <c r="O3847" s="15"/>
      <c r="P3847" s="15"/>
    </row>
    <row r="3848">
      <c r="A3848" s="15"/>
      <c r="B3848" s="22"/>
      <c r="C3848" s="22"/>
      <c r="D3848" s="22"/>
      <c r="E3848" s="15"/>
      <c r="F3848" s="15"/>
      <c r="G3848" s="15"/>
      <c r="H3848" s="15"/>
      <c r="I3848" s="15"/>
      <c r="J3848" s="15"/>
      <c r="K3848" s="15"/>
      <c r="L3848" s="15"/>
      <c r="M3848" s="16"/>
      <c r="N3848" s="16"/>
      <c r="O3848" s="15"/>
      <c r="P3848" s="15"/>
    </row>
    <row r="3849">
      <c r="A3849" s="15"/>
      <c r="B3849" s="22"/>
      <c r="C3849" s="22"/>
      <c r="D3849" s="22"/>
      <c r="E3849" s="15"/>
      <c r="F3849" s="15"/>
      <c r="G3849" s="15"/>
      <c r="H3849" s="15"/>
      <c r="I3849" s="15"/>
      <c r="J3849" s="15"/>
      <c r="K3849" s="15"/>
      <c r="L3849" s="15"/>
      <c r="M3849" s="16"/>
      <c r="N3849" s="16"/>
      <c r="O3849" s="15"/>
      <c r="P3849" s="15"/>
    </row>
    <row r="3850">
      <c r="A3850" s="15"/>
      <c r="B3850" s="22"/>
      <c r="C3850" s="22"/>
      <c r="D3850" s="22"/>
      <c r="E3850" s="15"/>
      <c r="F3850" s="15"/>
      <c r="G3850" s="15"/>
      <c r="H3850" s="15"/>
      <c r="I3850" s="15"/>
      <c r="J3850" s="15"/>
      <c r="K3850" s="15"/>
      <c r="L3850" s="15"/>
      <c r="M3850" s="16"/>
      <c r="N3850" s="16"/>
      <c r="O3850" s="15"/>
      <c r="P3850" s="15"/>
    </row>
    <row r="3851">
      <c r="A3851" s="15"/>
      <c r="B3851" s="22"/>
      <c r="C3851" s="22"/>
      <c r="D3851" s="22"/>
      <c r="E3851" s="15"/>
      <c r="F3851" s="15"/>
      <c r="G3851" s="15"/>
      <c r="H3851" s="15"/>
      <c r="I3851" s="15"/>
      <c r="J3851" s="15"/>
      <c r="K3851" s="15"/>
      <c r="L3851" s="15"/>
      <c r="M3851" s="16"/>
      <c r="N3851" s="16"/>
      <c r="O3851" s="15"/>
      <c r="P3851" s="15"/>
    </row>
    <row r="3852">
      <c r="A3852" s="15"/>
      <c r="B3852" s="22"/>
      <c r="C3852" s="22"/>
      <c r="D3852" s="22"/>
      <c r="E3852" s="15"/>
      <c r="F3852" s="15"/>
      <c r="G3852" s="15"/>
      <c r="H3852" s="15"/>
      <c r="I3852" s="15"/>
      <c r="J3852" s="15"/>
      <c r="K3852" s="15"/>
      <c r="L3852" s="15"/>
      <c r="M3852" s="16"/>
      <c r="N3852" s="16"/>
      <c r="O3852" s="15"/>
      <c r="P3852" s="15"/>
    </row>
    <row r="3853">
      <c r="A3853" s="15"/>
      <c r="B3853" s="22"/>
      <c r="C3853" s="22"/>
      <c r="D3853" s="22"/>
      <c r="E3853" s="15"/>
      <c r="F3853" s="15"/>
      <c r="G3853" s="15"/>
      <c r="H3853" s="15"/>
      <c r="I3853" s="15"/>
      <c r="J3853" s="15"/>
      <c r="K3853" s="15"/>
      <c r="L3853" s="15"/>
      <c r="M3853" s="16"/>
      <c r="N3853" s="16"/>
      <c r="O3853" s="15"/>
      <c r="P3853" s="15"/>
    </row>
    <row r="3854">
      <c r="A3854" s="15"/>
      <c r="B3854" s="22"/>
      <c r="C3854" s="22"/>
      <c r="D3854" s="22"/>
      <c r="E3854" s="15"/>
      <c r="F3854" s="15"/>
      <c r="G3854" s="15"/>
      <c r="H3854" s="15"/>
      <c r="I3854" s="15"/>
      <c r="J3854" s="15"/>
      <c r="K3854" s="15"/>
      <c r="L3854" s="15"/>
      <c r="M3854" s="16"/>
      <c r="N3854" s="16"/>
      <c r="O3854" s="15"/>
      <c r="P3854" s="15"/>
    </row>
    <row r="3855">
      <c r="A3855" s="15"/>
      <c r="B3855" s="22"/>
      <c r="C3855" s="22"/>
      <c r="D3855" s="22"/>
      <c r="E3855" s="15"/>
      <c r="F3855" s="15"/>
      <c r="G3855" s="15"/>
      <c r="H3855" s="15"/>
      <c r="I3855" s="15"/>
      <c r="J3855" s="15"/>
      <c r="K3855" s="15"/>
      <c r="L3855" s="15"/>
      <c r="M3855" s="16"/>
      <c r="N3855" s="16"/>
      <c r="O3855" s="15"/>
      <c r="P3855" s="15"/>
    </row>
    <row r="3856">
      <c r="A3856" s="15"/>
      <c r="B3856" s="22"/>
      <c r="C3856" s="22"/>
      <c r="D3856" s="22"/>
      <c r="E3856" s="15"/>
      <c r="F3856" s="15"/>
      <c r="G3856" s="15"/>
      <c r="H3856" s="15"/>
      <c r="I3856" s="15"/>
      <c r="J3856" s="15"/>
      <c r="K3856" s="15"/>
      <c r="L3856" s="15"/>
      <c r="M3856" s="16"/>
      <c r="N3856" s="16"/>
      <c r="O3856" s="15"/>
      <c r="P3856" s="15"/>
    </row>
    <row r="3857">
      <c r="A3857" s="15"/>
      <c r="B3857" s="22"/>
      <c r="C3857" s="22"/>
      <c r="D3857" s="22"/>
      <c r="E3857" s="15"/>
      <c r="F3857" s="15"/>
      <c r="G3857" s="15"/>
      <c r="H3857" s="15"/>
      <c r="I3857" s="15"/>
      <c r="J3857" s="15"/>
      <c r="K3857" s="15"/>
      <c r="L3857" s="15"/>
      <c r="M3857" s="16"/>
      <c r="N3857" s="16"/>
      <c r="O3857" s="15"/>
      <c r="P3857" s="15"/>
    </row>
    <row r="3858">
      <c r="A3858" s="15"/>
      <c r="B3858" s="22"/>
      <c r="C3858" s="22"/>
      <c r="D3858" s="22"/>
      <c r="E3858" s="15"/>
      <c r="F3858" s="15"/>
      <c r="G3858" s="15"/>
      <c r="H3858" s="15"/>
      <c r="I3858" s="15"/>
      <c r="J3858" s="15"/>
      <c r="K3858" s="15"/>
      <c r="L3858" s="15"/>
      <c r="M3858" s="16"/>
      <c r="N3858" s="16"/>
      <c r="O3858" s="15"/>
      <c r="P3858" s="15"/>
    </row>
    <row r="3859">
      <c r="A3859" s="15"/>
      <c r="B3859" s="22"/>
      <c r="C3859" s="22"/>
      <c r="D3859" s="22"/>
      <c r="E3859" s="15"/>
      <c r="F3859" s="15"/>
      <c r="G3859" s="15"/>
      <c r="H3859" s="15"/>
      <c r="I3859" s="15"/>
      <c r="J3859" s="15"/>
      <c r="K3859" s="15"/>
      <c r="L3859" s="15"/>
      <c r="M3859" s="16"/>
      <c r="N3859" s="16"/>
      <c r="O3859" s="15"/>
      <c r="P3859" s="15"/>
    </row>
    <row r="3860">
      <c r="A3860" s="15"/>
      <c r="B3860" s="22"/>
      <c r="C3860" s="22"/>
      <c r="D3860" s="22"/>
      <c r="E3860" s="15"/>
      <c r="F3860" s="15"/>
      <c r="G3860" s="15"/>
      <c r="H3860" s="15"/>
      <c r="I3860" s="15"/>
      <c r="J3860" s="15"/>
      <c r="K3860" s="15"/>
      <c r="L3860" s="15"/>
      <c r="M3860" s="16"/>
      <c r="N3860" s="16"/>
      <c r="O3860" s="15"/>
      <c r="P3860" s="15"/>
    </row>
    <row r="3861">
      <c r="A3861" s="15"/>
      <c r="B3861" s="22"/>
      <c r="C3861" s="22"/>
      <c r="D3861" s="22"/>
      <c r="E3861" s="15"/>
      <c r="F3861" s="15"/>
      <c r="G3861" s="15"/>
      <c r="H3861" s="15"/>
      <c r="I3861" s="15"/>
      <c r="J3861" s="15"/>
      <c r="K3861" s="15"/>
      <c r="L3861" s="15"/>
      <c r="M3861" s="16"/>
      <c r="N3861" s="16"/>
      <c r="O3861" s="15"/>
      <c r="P3861" s="15"/>
    </row>
    <row r="3862">
      <c r="A3862" s="15"/>
      <c r="B3862" s="22"/>
      <c r="C3862" s="22"/>
      <c r="D3862" s="22"/>
      <c r="E3862" s="15"/>
      <c r="F3862" s="15"/>
      <c r="G3862" s="15"/>
      <c r="H3862" s="15"/>
      <c r="I3862" s="15"/>
      <c r="J3862" s="15"/>
      <c r="K3862" s="15"/>
      <c r="L3862" s="15"/>
      <c r="M3862" s="16"/>
      <c r="N3862" s="16"/>
      <c r="O3862" s="15"/>
      <c r="P3862" s="15"/>
    </row>
    <row r="3863">
      <c r="A3863" s="15"/>
      <c r="B3863" s="22"/>
      <c r="C3863" s="22"/>
      <c r="D3863" s="22"/>
      <c r="E3863" s="15"/>
      <c r="F3863" s="15"/>
      <c r="G3863" s="15"/>
      <c r="H3863" s="15"/>
      <c r="I3863" s="15"/>
      <c r="J3863" s="15"/>
      <c r="K3863" s="15"/>
      <c r="L3863" s="15"/>
      <c r="M3863" s="16"/>
      <c r="N3863" s="16"/>
      <c r="O3863" s="15"/>
      <c r="P3863" s="15"/>
    </row>
    <row r="3864">
      <c r="A3864" s="15"/>
      <c r="B3864" s="22"/>
      <c r="C3864" s="22"/>
      <c r="D3864" s="22"/>
      <c r="E3864" s="15"/>
      <c r="F3864" s="15"/>
      <c r="G3864" s="15"/>
      <c r="H3864" s="15"/>
      <c r="I3864" s="15"/>
      <c r="J3864" s="15"/>
      <c r="K3864" s="15"/>
      <c r="L3864" s="15"/>
      <c r="M3864" s="16"/>
      <c r="N3864" s="16"/>
      <c r="O3864" s="15"/>
      <c r="P3864" s="15"/>
    </row>
    <row r="3865">
      <c r="A3865" s="15"/>
      <c r="B3865" s="22"/>
      <c r="C3865" s="22"/>
      <c r="D3865" s="22"/>
      <c r="E3865" s="15"/>
      <c r="F3865" s="15"/>
      <c r="G3865" s="15"/>
      <c r="H3865" s="15"/>
      <c r="I3865" s="15"/>
      <c r="J3865" s="15"/>
      <c r="K3865" s="15"/>
      <c r="L3865" s="15"/>
      <c r="M3865" s="16"/>
      <c r="N3865" s="16"/>
      <c r="O3865" s="15"/>
      <c r="P3865" s="15"/>
    </row>
    <row r="3866">
      <c r="A3866" s="15"/>
      <c r="B3866" s="22"/>
      <c r="C3866" s="22"/>
      <c r="D3866" s="22"/>
      <c r="E3866" s="15"/>
      <c r="F3866" s="15"/>
      <c r="G3866" s="15"/>
      <c r="H3866" s="15"/>
      <c r="I3866" s="15"/>
      <c r="J3866" s="15"/>
      <c r="K3866" s="15"/>
      <c r="L3866" s="15"/>
      <c r="M3866" s="16"/>
      <c r="N3866" s="16"/>
      <c r="O3866" s="15"/>
      <c r="P3866" s="15"/>
    </row>
    <row r="3867">
      <c r="A3867" s="15"/>
      <c r="B3867" s="22"/>
      <c r="C3867" s="22"/>
      <c r="D3867" s="22"/>
      <c r="E3867" s="15"/>
      <c r="F3867" s="15"/>
      <c r="G3867" s="15"/>
      <c r="H3867" s="15"/>
      <c r="I3867" s="15"/>
      <c r="J3867" s="15"/>
      <c r="K3867" s="15"/>
      <c r="L3867" s="15"/>
      <c r="M3867" s="16"/>
      <c r="N3867" s="16"/>
      <c r="O3867" s="15"/>
      <c r="P3867" s="15"/>
    </row>
    <row r="3868">
      <c r="A3868" s="15"/>
      <c r="B3868" s="22"/>
      <c r="C3868" s="22"/>
      <c r="D3868" s="22"/>
      <c r="E3868" s="15"/>
      <c r="F3868" s="15"/>
      <c r="G3868" s="15"/>
      <c r="H3868" s="15"/>
      <c r="I3868" s="15"/>
      <c r="J3868" s="15"/>
      <c r="K3868" s="15"/>
      <c r="L3868" s="15"/>
      <c r="M3868" s="16"/>
      <c r="N3868" s="16"/>
      <c r="O3868" s="15"/>
      <c r="P3868" s="15"/>
    </row>
    <row r="3869">
      <c r="A3869" s="15"/>
      <c r="B3869" s="22"/>
      <c r="C3869" s="22"/>
      <c r="D3869" s="22"/>
      <c r="E3869" s="15"/>
      <c r="F3869" s="15"/>
      <c r="G3869" s="15"/>
      <c r="H3869" s="15"/>
      <c r="I3869" s="15"/>
      <c r="J3869" s="15"/>
      <c r="K3869" s="15"/>
      <c r="L3869" s="15"/>
      <c r="M3869" s="16"/>
      <c r="N3869" s="16"/>
      <c r="O3869" s="15"/>
      <c r="P3869" s="15"/>
    </row>
    <row r="3870">
      <c r="A3870" s="15"/>
      <c r="B3870" s="22"/>
      <c r="C3870" s="22"/>
      <c r="D3870" s="22"/>
      <c r="E3870" s="15"/>
      <c r="F3870" s="15"/>
      <c r="G3870" s="15"/>
      <c r="H3870" s="15"/>
      <c r="I3870" s="15"/>
      <c r="J3870" s="15"/>
      <c r="K3870" s="15"/>
      <c r="L3870" s="15"/>
      <c r="M3870" s="16"/>
      <c r="N3870" s="16"/>
      <c r="O3870" s="15"/>
      <c r="P3870" s="15"/>
    </row>
    <row r="3871">
      <c r="A3871" s="15"/>
      <c r="B3871" s="22"/>
      <c r="C3871" s="22"/>
      <c r="D3871" s="22"/>
      <c r="E3871" s="15"/>
      <c r="F3871" s="15"/>
      <c r="G3871" s="15"/>
      <c r="H3871" s="15"/>
      <c r="I3871" s="15"/>
      <c r="J3871" s="15"/>
      <c r="K3871" s="15"/>
      <c r="L3871" s="15"/>
      <c r="M3871" s="16"/>
      <c r="N3871" s="16"/>
      <c r="O3871" s="15"/>
      <c r="P3871" s="15"/>
    </row>
    <row r="3872">
      <c r="A3872" s="15"/>
      <c r="B3872" s="22"/>
      <c r="C3872" s="22"/>
      <c r="D3872" s="22"/>
      <c r="E3872" s="15"/>
      <c r="F3872" s="15"/>
      <c r="G3872" s="15"/>
      <c r="H3872" s="15"/>
      <c r="I3872" s="15"/>
      <c r="J3872" s="15"/>
      <c r="K3872" s="15"/>
      <c r="L3872" s="15"/>
      <c r="M3872" s="16"/>
      <c r="N3872" s="16"/>
      <c r="O3872" s="15"/>
      <c r="P3872" s="15"/>
    </row>
    <row r="3873">
      <c r="A3873" s="15"/>
      <c r="B3873" s="22"/>
      <c r="C3873" s="22"/>
      <c r="D3873" s="22"/>
      <c r="E3873" s="15"/>
      <c r="F3873" s="15"/>
      <c r="G3873" s="15"/>
      <c r="H3873" s="15"/>
      <c r="I3873" s="15"/>
      <c r="J3873" s="15"/>
      <c r="K3873" s="15"/>
      <c r="L3873" s="15"/>
      <c r="M3873" s="16"/>
      <c r="N3873" s="16"/>
      <c r="O3873" s="15"/>
      <c r="P3873" s="15"/>
    </row>
    <row r="3874">
      <c r="A3874" s="15"/>
      <c r="B3874" s="22"/>
      <c r="C3874" s="22"/>
      <c r="D3874" s="22"/>
      <c r="E3874" s="15"/>
      <c r="F3874" s="15"/>
      <c r="G3874" s="15"/>
      <c r="H3874" s="15"/>
      <c r="I3874" s="15"/>
      <c r="J3874" s="15"/>
      <c r="K3874" s="15"/>
      <c r="L3874" s="15"/>
      <c r="M3874" s="16"/>
      <c r="N3874" s="16"/>
      <c r="O3874" s="15"/>
      <c r="P3874" s="15"/>
    </row>
    <row r="3875">
      <c r="A3875" s="15"/>
      <c r="B3875" s="22"/>
      <c r="C3875" s="22"/>
      <c r="D3875" s="22"/>
      <c r="E3875" s="15"/>
      <c r="F3875" s="15"/>
      <c r="G3875" s="15"/>
      <c r="H3875" s="15"/>
      <c r="I3875" s="15"/>
      <c r="J3875" s="15"/>
      <c r="K3875" s="15"/>
      <c r="L3875" s="15"/>
      <c r="M3875" s="16"/>
      <c r="N3875" s="16"/>
      <c r="O3875" s="15"/>
      <c r="P3875" s="15"/>
    </row>
    <row r="3876">
      <c r="A3876" s="15"/>
      <c r="B3876" s="22"/>
      <c r="C3876" s="22"/>
      <c r="D3876" s="22"/>
      <c r="E3876" s="15"/>
      <c r="F3876" s="15"/>
      <c r="G3876" s="15"/>
      <c r="H3876" s="15"/>
      <c r="I3876" s="15"/>
      <c r="J3876" s="15"/>
      <c r="K3876" s="15"/>
      <c r="L3876" s="15"/>
      <c r="M3876" s="16"/>
      <c r="N3876" s="16"/>
      <c r="O3876" s="15"/>
      <c r="P3876" s="15"/>
    </row>
    <row r="3877">
      <c r="A3877" s="15"/>
      <c r="B3877" s="22"/>
      <c r="C3877" s="22"/>
      <c r="D3877" s="22"/>
      <c r="E3877" s="15"/>
      <c r="F3877" s="15"/>
      <c r="G3877" s="15"/>
      <c r="H3877" s="15"/>
      <c r="I3877" s="15"/>
      <c r="J3877" s="15"/>
      <c r="K3877" s="15"/>
      <c r="L3877" s="15"/>
      <c r="M3877" s="16"/>
      <c r="N3877" s="16"/>
      <c r="O3877" s="15"/>
      <c r="P3877" s="15"/>
    </row>
    <row r="3878">
      <c r="A3878" s="15"/>
      <c r="B3878" s="22"/>
      <c r="C3878" s="22"/>
      <c r="D3878" s="22"/>
      <c r="E3878" s="15"/>
      <c r="F3878" s="15"/>
      <c r="G3878" s="15"/>
      <c r="H3878" s="15"/>
      <c r="I3878" s="15"/>
      <c r="J3878" s="15"/>
      <c r="K3878" s="15"/>
      <c r="L3878" s="15"/>
      <c r="M3878" s="16"/>
      <c r="N3878" s="16"/>
      <c r="O3878" s="15"/>
      <c r="P3878" s="15"/>
    </row>
    <row r="3879">
      <c r="A3879" s="15"/>
      <c r="B3879" s="22"/>
      <c r="C3879" s="22"/>
      <c r="D3879" s="22"/>
      <c r="E3879" s="15"/>
      <c r="F3879" s="15"/>
      <c r="G3879" s="15"/>
      <c r="H3879" s="15"/>
      <c r="I3879" s="15"/>
      <c r="J3879" s="15"/>
      <c r="K3879" s="15"/>
      <c r="L3879" s="15"/>
      <c r="M3879" s="16"/>
      <c r="N3879" s="16"/>
      <c r="O3879" s="15"/>
      <c r="P3879" s="15"/>
    </row>
    <row r="3880">
      <c r="A3880" s="15"/>
      <c r="B3880" s="22"/>
      <c r="C3880" s="22"/>
      <c r="D3880" s="22"/>
      <c r="E3880" s="15"/>
      <c r="F3880" s="15"/>
      <c r="G3880" s="15"/>
      <c r="H3880" s="15"/>
      <c r="I3880" s="15"/>
      <c r="J3880" s="15"/>
      <c r="K3880" s="15"/>
      <c r="L3880" s="15"/>
      <c r="M3880" s="16"/>
      <c r="N3880" s="16"/>
      <c r="O3880" s="15"/>
      <c r="P3880" s="15"/>
    </row>
    <row r="3881">
      <c r="A3881" s="15"/>
      <c r="B3881" s="22"/>
      <c r="C3881" s="22"/>
      <c r="D3881" s="22"/>
      <c r="E3881" s="15"/>
      <c r="F3881" s="15"/>
      <c r="G3881" s="15"/>
      <c r="H3881" s="15"/>
      <c r="I3881" s="15"/>
      <c r="J3881" s="15"/>
      <c r="K3881" s="15"/>
      <c r="L3881" s="15"/>
      <c r="M3881" s="16"/>
      <c r="N3881" s="16"/>
      <c r="O3881" s="15"/>
      <c r="P3881" s="15"/>
    </row>
    <row r="3882">
      <c r="A3882" s="15"/>
      <c r="B3882" s="22"/>
      <c r="C3882" s="22"/>
      <c r="D3882" s="22"/>
      <c r="E3882" s="15"/>
      <c r="F3882" s="15"/>
      <c r="G3882" s="15"/>
      <c r="H3882" s="15"/>
      <c r="I3882" s="15"/>
      <c r="J3882" s="15"/>
      <c r="K3882" s="15"/>
      <c r="L3882" s="15"/>
      <c r="M3882" s="16"/>
      <c r="N3882" s="16"/>
      <c r="O3882" s="15"/>
      <c r="P3882" s="15"/>
    </row>
    <row r="3883">
      <c r="A3883" s="15"/>
      <c r="B3883" s="22"/>
      <c r="C3883" s="22"/>
      <c r="D3883" s="22"/>
      <c r="E3883" s="15"/>
      <c r="F3883" s="15"/>
      <c r="G3883" s="15"/>
      <c r="H3883" s="15"/>
      <c r="I3883" s="15"/>
      <c r="J3883" s="15"/>
      <c r="K3883" s="15"/>
      <c r="L3883" s="15"/>
      <c r="M3883" s="16"/>
      <c r="N3883" s="16"/>
      <c r="O3883" s="15"/>
      <c r="P3883" s="15"/>
    </row>
    <row r="3884">
      <c r="A3884" s="15"/>
      <c r="B3884" s="22"/>
      <c r="C3884" s="22"/>
      <c r="D3884" s="22"/>
      <c r="E3884" s="15"/>
      <c r="F3884" s="15"/>
      <c r="G3884" s="15"/>
      <c r="H3884" s="15"/>
      <c r="I3884" s="15"/>
      <c r="J3884" s="15"/>
      <c r="K3884" s="15"/>
      <c r="L3884" s="15"/>
      <c r="M3884" s="16"/>
      <c r="N3884" s="16"/>
      <c r="O3884" s="15"/>
      <c r="P3884" s="15"/>
    </row>
    <row r="3885">
      <c r="A3885" s="15"/>
      <c r="B3885" s="22"/>
      <c r="C3885" s="22"/>
      <c r="D3885" s="22"/>
      <c r="E3885" s="15"/>
      <c r="F3885" s="15"/>
      <c r="G3885" s="15"/>
      <c r="H3885" s="15"/>
      <c r="I3885" s="15"/>
      <c r="J3885" s="15"/>
      <c r="K3885" s="15"/>
      <c r="L3885" s="15"/>
      <c r="M3885" s="16"/>
      <c r="N3885" s="16"/>
      <c r="O3885" s="15"/>
      <c r="P3885" s="15"/>
    </row>
    <row r="3886">
      <c r="A3886" s="15"/>
      <c r="B3886" s="22"/>
      <c r="C3886" s="22"/>
      <c r="D3886" s="22"/>
      <c r="E3886" s="15"/>
      <c r="F3886" s="15"/>
      <c r="G3886" s="15"/>
      <c r="H3886" s="15"/>
      <c r="I3886" s="15"/>
      <c r="J3886" s="15"/>
      <c r="K3886" s="15"/>
      <c r="L3886" s="15"/>
      <c r="M3886" s="16"/>
      <c r="N3886" s="16"/>
      <c r="O3886" s="15"/>
      <c r="P3886" s="15"/>
    </row>
    <row r="3887">
      <c r="A3887" s="15"/>
      <c r="B3887" s="22"/>
      <c r="C3887" s="22"/>
      <c r="D3887" s="22"/>
      <c r="E3887" s="15"/>
      <c r="F3887" s="15"/>
      <c r="G3887" s="15"/>
      <c r="H3887" s="15"/>
      <c r="I3887" s="15"/>
      <c r="J3887" s="15"/>
      <c r="K3887" s="15"/>
      <c r="L3887" s="15"/>
      <c r="M3887" s="16"/>
      <c r="N3887" s="16"/>
      <c r="O3887" s="15"/>
      <c r="P3887" s="15"/>
    </row>
    <row r="3888">
      <c r="A3888" s="15"/>
      <c r="B3888" s="22"/>
      <c r="C3888" s="22"/>
      <c r="D3888" s="22"/>
      <c r="E3888" s="15"/>
      <c r="F3888" s="15"/>
      <c r="G3888" s="15"/>
      <c r="H3888" s="15"/>
      <c r="I3888" s="15"/>
      <c r="J3888" s="15"/>
      <c r="K3888" s="15"/>
      <c r="L3888" s="15"/>
      <c r="M3888" s="16"/>
      <c r="N3888" s="16"/>
      <c r="O3888" s="15"/>
      <c r="P3888" s="15"/>
    </row>
    <row r="3889">
      <c r="A3889" s="15"/>
      <c r="B3889" s="22"/>
      <c r="C3889" s="22"/>
      <c r="D3889" s="22"/>
      <c r="E3889" s="15"/>
      <c r="F3889" s="15"/>
      <c r="G3889" s="15"/>
      <c r="H3889" s="15"/>
      <c r="I3889" s="15"/>
      <c r="J3889" s="15"/>
      <c r="K3889" s="15"/>
      <c r="L3889" s="15"/>
      <c r="M3889" s="16"/>
      <c r="N3889" s="16"/>
      <c r="O3889" s="15"/>
      <c r="P3889" s="15"/>
    </row>
    <row r="3890">
      <c r="A3890" s="15"/>
      <c r="B3890" s="22"/>
      <c r="C3890" s="22"/>
      <c r="D3890" s="22"/>
      <c r="E3890" s="15"/>
      <c r="F3890" s="15"/>
      <c r="G3890" s="15"/>
      <c r="H3890" s="15"/>
      <c r="I3890" s="15"/>
      <c r="J3890" s="15"/>
      <c r="K3890" s="15"/>
      <c r="L3890" s="15"/>
      <c r="M3890" s="16"/>
      <c r="N3890" s="16"/>
      <c r="O3890" s="15"/>
      <c r="P3890" s="15"/>
    </row>
    <row r="3891">
      <c r="A3891" s="15"/>
      <c r="B3891" s="22"/>
      <c r="C3891" s="22"/>
      <c r="D3891" s="22"/>
      <c r="E3891" s="15"/>
      <c r="F3891" s="15"/>
      <c r="G3891" s="15"/>
      <c r="H3891" s="15"/>
      <c r="I3891" s="15"/>
      <c r="J3891" s="15"/>
      <c r="K3891" s="15"/>
      <c r="L3891" s="15"/>
      <c r="M3891" s="16"/>
      <c r="N3891" s="16"/>
      <c r="O3891" s="15"/>
      <c r="P3891" s="15"/>
    </row>
    <row r="3892">
      <c r="A3892" s="15"/>
      <c r="B3892" s="22"/>
      <c r="C3892" s="22"/>
      <c r="D3892" s="22"/>
      <c r="E3892" s="15"/>
      <c r="F3892" s="15"/>
      <c r="G3892" s="15"/>
      <c r="H3892" s="15"/>
      <c r="I3892" s="15"/>
      <c r="J3892" s="15"/>
      <c r="K3892" s="15"/>
      <c r="L3892" s="15"/>
      <c r="M3892" s="16"/>
      <c r="N3892" s="16"/>
      <c r="O3892" s="15"/>
      <c r="P3892" s="15"/>
    </row>
    <row r="3893">
      <c r="A3893" s="15"/>
      <c r="B3893" s="22"/>
      <c r="C3893" s="22"/>
      <c r="D3893" s="22"/>
      <c r="E3893" s="15"/>
      <c r="F3893" s="15"/>
      <c r="G3893" s="15"/>
      <c r="H3893" s="15"/>
      <c r="I3893" s="15"/>
      <c r="J3893" s="15"/>
      <c r="K3893" s="15"/>
      <c r="L3893" s="15"/>
      <c r="M3893" s="16"/>
      <c r="N3893" s="16"/>
      <c r="O3893" s="15"/>
      <c r="P3893" s="15"/>
    </row>
    <row r="3894">
      <c r="A3894" s="15"/>
      <c r="B3894" s="22"/>
      <c r="C3894" s="22"/>
      <c r="D3894" s="22"/>
      <c r="E3894" s="15"/>
      <c r="F3894" s="15"/>
      <c r="G3894" s="15"/>
      <c r="H3894" s="15"/>
      <c r="I3894" s="15"/>
      <c r="J3894" s="15"/>
      <c r="K3894" s="15"/>
      <c r="L3894" s="15"/>
      <c r="M3894" s="16"/>
      <c r="N3894" s="16"/>
      <c r="O3894" s="15"/>
      <c r="P3894" s="15"/>
    </row>
    <row r="3895">
      <c r="A3895" s="15"/>
      <c r="B3895" s="22"/>
      <c r="C3895" s="22"/>
      <c r="D3895" s="22"/>
      <c r="E3895" s="15"/>
      <c r="F3895" s="15"/>
      <c r="G3895" s="15"/>
      <c r="H3895" s="15"/>
      <c r="I3895" s="15"/>
      <c r="J3895" s="15"/>
      <c r="K3895" s="15"/>
      <c r="L3895" s="15"/>
      <c r="M3895" s="16"/>
      <c r="N3895" s="16"/>
      <c r="O3895" s="15"/>
      <c r="P3895" s="15"/>
    </row>
    <row r="3896">
      <c r="A3896" s="15"/>
      <c r="B3896" s="22"/>
      <c r="C3896" s="22"/>
      <c r="D3896" s="22"/>
      <c r="E3896" s="15"/>
      <c r="F3896" s="15"/>
      <c r="G3896" s="15"/>
      <c r="H3896" s="15"/>
      <c r="I3896" s="15"/>
      <c r="J3896" s="15"/>
      <c r="K3896" s="15"/>
      <c r="L3896" s="15"/>
      <c r="M3896" s="16"/>
      <c r="N3896" s="16"/>
      <c r="O3896" s="15"/>
      <c r="P3896" s="15"/>
    </row>
    <row r="3897">
      <c r="A3897" s="15"/>
      <c r="B3897" s="22"/>
      <c r="C3897" s="22"/>
      <c r="D3897" s="22"/>
      <c r="E3897" s="15"/>
      <c r="F3897" s="15"/>
      <c r="G3897" s="15"/>
      <c r="H3897" s="15"/>
      <c r="I3897" s="15"/>
      <c r="J3897" s="15"/>
      <c r="K3897" s="15"/>
      <c r="L3897" s="15"/>
      <c r="M3897" s="16"/>
      <c r="N3897" s="16"/>
      <c r="O3897" s="15"/>
      <c r="P3897" s="15"/>
    </row>
    <row r="3898">
      <c r="A3898" s="15"/>
      <c r="B3898" s="22"/>
      <c r="C3898" s="22"/>
      <c r="D3898" s="22"/>
      <c r="E3898" s="15"/>
      <c r="F3898" s="15"/>
      <c r="G3898" s="15"/>
      <c r="H3898" s="15"/>
      <c r="I3898" s="15"/>
      <c r="J3898" s="15"/>
      <c r="K3898" s="15"/>
      <c r="L3898" s="15"/>
      <c r="M3898" s="16"/>
      <c r="N3898" s="16"/>
      <c r="O3898" s="15"/>
      <c r="P3898" s="15"/>
    </row>
    <row r="3899">
      <c r="A3899" s="15"/>
      <c r="B3899" s="22"/>
      <c r="C3899" s="22"/>
      <c r="D3899" s="22"/>
      <c r="E3899" s="15"/>
      <c r="F3899" s="15"/>
      <c r="G3899" s="15"/>
      <c r="H3899" s="15"/>
      <c r="I3899" s="15"/>
      <c r="J3899" s="15"/>
      <c r="K3899" s="15"/>
      <c r="L3899" s="15"/>
      <c r="M3899" s="16"/>
      <c r="N3899" s="16"/>
      <c r="O3899" s="15"/>
      <c r="P3899" s="15"/>
    </row>
    <row r="3900">
      <c r="A3900" s="15"/>
      <c r="B3900" s="22"/>
      <c r="C3900" s="22"/>
      <c r="D3900" s="22"/>
      <c r="E3900" s="15"/>
      <c r="F3900" s="15"/>
      <c r="G3900" s="15"/>
      <c r="H3900" s="15"/>
      <c r="I3900" s="15"/>
      <c r="J3900" s="15"/>
      <c r="K3900" s="15"/>
      <c r="L3900" s="15"/>
      <c r="M3900" s="16"/>
      <c r="N3900" s="16"/>
      <c r="O3900" s="15"/>
      <c r="P3900" s="15"/>
    </row>
    <row r="3901">
      <c r="A3901" s="15"/>
      <c r="B3901" s="22"/>
      <c r="C3901" s="22"/>
      <c r="D3901" s="22"/>
      <c r="E3901" s="15"/>
      <c r="F3901" s="15"/>
      <c r="G3901" s="15"/>
      <c r="H3901" s="15"/>
      <c r="I3901" s="15"/>
      <c r="J3901" s="15"/>
      <c r="K3901" s="15"/>
      <c r="L3901" s="15"/>
      <c r="M3901" s="16"/>
      <c r="N3901" s="16"/>
      <c r="O3901" s="15"/>
      <c r="P3901" s="15"/>
    </row>
    <row r="3902">
      <c r="A3902" s="15"/>
      <c r="B3902" s="22"/>
      <c r="C3902" s="22"/>
      <c r="D3902" s="22"/>
      <c r="E3902" s="15"/>
      <c r="F3902" s="15"/>
      <c r="G3902" s="15"/>
      <c r="H3902" s="15"/>
      <c r="I3902" s="15"/>
      <c r="J3902" s="15"/>
      <c r="K3902" s="15"/>
      <c r="L3902" s="15"/>
      <c r="M3902" s="16"/>
      <c r="N3902" s="16"/>
      <c r="O3902" s="15"/>
      <c r="P3902" s="15"/>
    </row>
    <row r="3903">
      <c r="A3903" s="15"/>
      <c r="B3903" s="22"/>
      <c r="C3903" s="22"/>
      <c r="D3903" s="22"/>
      <c r="E3903" s="15"/>
      <c r="F3903" s="15"/>
      <c r="G3903" s="15"/>
      <c r="H3903" s="15"/>
      <c r="I3903" s="15"/>
      <c r="J3903" s="15"/>
      <c r="K3903" s="15"/>
      <c r="L3903" s="15"/>
      <c r="M3903" s="16"/>
      <c r="N3903" s="16"/>
      <c r="O3903" s="15"/>
      <c r="P3903" s="15"/>
    </row>
    <row r="3904">
      <c r="A3904" s="15"/>
      <c r="B3904" s="22"/>
      <c r="C3904" s="22"/>
      <c r="D3904" s="22"/>
      <c r="E3904" s="15"/>
      <c r="F3904" s="15"/>
      <c r="G3904" s="15"/>
      <c r="H3904" s="15"/>
      <c r="I3904" s="15"/>
      <c r="J3904" s="15"/>
      <c r="K3904" s="15"/>
      <c r="L3904" s="15"/>
      <c r="M3904" s="16"/>
      <c r="N3904" s="16"/>
      <c r="O3904" s="15"/>
      <c r="P3904" s="15"/>
    </row>
    <row r="3905">
      <c r="A3905" s="15"/>
      <c r="B3905" s="22"/>
      <c r="C3905" s="22"/>
      <c r="D3905" s="22"/>
      <c r="E3905" s="15"/>
      <c r="F3905" s="15"/>
      <c r="G3905" s="15"/>
      <c r="H3905" s="15"/>
      <c r="I3905" s="15"/>
      <c r="J3905" s="15"/>
      <c r="K3905" s="15"/>
      <c r="L3905" s="15"/>
      <c r="M3905" s="16"/>
      <c r="N3905" s="16"/>
      <c r="O3905" s="15"/>
      <c r="P3905" s="15"/>
    </row>
    <row r="3906">
      <c r="A3906" s="15"/>
      <c r="B3906" s="22"/>
      <c r="C3906" s="22"/>
      <c r="D3906" s="22"/>
      <c r="E3906" s="15"/>
      <c r="F3906" s="15"/>
      <c r="G3906" s="15"/>
      <c r="H3906" s="15"/>
      <c r="I3906" s="15"/>
      <c r="J3906" s="15"/>
      <c r="K3906" s="15"/>
      <c r="L3906" s="15"/>
      <c r="M3906" s="16"/>
      <c r="N3906" s="16"/>
      <c r="O3906" s="15"/>
      <c r="P3906" s="15"/>
    </row>
    <row r="3907">
      <c r="A3907" s="15"/>
      <c r="B3907" s="22"/>
      <c r="C3907" s="22"/>
      <c r="D3907" s="22"/>
      <c r="E3907" s="15"/>
      <c r="F3907" s="15"/>
      <c r="G3907" s="15"/>
      <c r="H3907" s="15"/>
      <c r="I3907" s="15"/>
      <c r="J3907" s="15"/>
      <c r="K3907" s="15"/>
      <c r="L3907" s="15"/>
      <c r="M3907" s="16"/>
      <c r="N3907" s="16"/>
      <c r="O3907" s="15"/>
      <c r="P3907" s="15"/>
    </row>
    <row r="3908">
      <c r="A3908" s="15"/>
      <c r="B3908" s="22"/>
      <c r="C3908" s="22"/>
      <c r="D3908" s="22"/>
      <c r="E3908" s="15"/>
      <c r="F3908" s="15"/>
      <c r="G3908" s="15"/>
      <c r="H3908" s="15"/>
      <c r="I3908" s="15"/>
      <c r="J3908" s="15"/>
      <c r="K3908" s="15"/>
      <c r="L3908" s="15"/>
      <c r="M3908" s="16"/>
      <c r="N3908" s="16"/>
      <c r="O3908" s="15"/>
      <c r="P3908" s="15"/>
    </row>
    <row r="3909">
      <c r="A3909" s="15"/>
      <c r="B3909" s="22"/>
      <c r="C3909" s="22"/>
      <c r="D3909" s="22"/>
      <c r="E3909" s="15"/>
      <c r="F3909" s="15"/>
      <c r="G3909" s="15"/>
      <c r="H3909" s="15"/>
      <c r="I3909" s="15"/>
      <c r="J3909" s="15"/>
      <c r="K3909" s="15"/>
      <c r="L3909" s="15"/>
      <c r="M3909" s="16"/>
      <c r="N3909" s="16"/>
      <c r="O3909" s="15"/>
      <c r="P3909" s="15"/>
    </row>
    <row r="3910">
      <c r="A3910" s="15"/>
      <c r="B3910" s="22"/>
      <c r="C3910" s="22"/>
      <c r="D3910" s="22"/>
      <c r="E3910" s="15"/>
      <c r="F3910" s="15"/>
      <c r="G3910" s="15"/>
      <c r="H3910" s="15"/>
      <c r="I3910" s="15"/>
      <c r="J3910" s="15"/>
      <c r="K3910" s="15"/>
      <c r="L3910" s="15"/>
      <c r="M3910" s="16"/>
      <c r="N3910" s="16"/>
      <c r="O3910" s="15"/>
      <c r="P3910" s="15"/>
    </row>
    <row r="3911">
      <c r="A3911" s="15"/>
      <c r="B3911" s="22"/>
      <c r="C3911" s="22"/>
      <c r="D3911" s="22"/>
      <c r="E3911" s="15"/>
      <c r="F3911" s="15"/>
      <c r="G3911" s="15"/>
      <c r="H3911" s="15"/>
      <c r="I3911" s="15"/>
      <c r="J3911" s="15"/>
      <c r="K3911" s="15"/>
      <c r="L3911" s="15"/>
      <c r="M3911" s="16"/>
      <c r="N3911" s="16"/>
      <c r="O3911" s="15"/>
      <c r="P3911" s="15"/>
    </row>
    <row r="3912">
      <c r="A3912" s="15"/>
      <c r="B3912" s="22"/>
      <c r="C3912" s="22"/>
      <c r="D3912" s="22"/>
      <c r="E3912" s="15"/>
      <c r="F3912" s="15"/>
      <c r="G3912" s="15"/>
      <c r="H3912" s="15"/>
      <c r="I3912" s="15"/>
      <c r="J3912" s="15"/>
      <c r="K3912" s="15"/>
      <c r="L3912" s="15"/>
      <c r="M3912" s="16"/>
      <c r="N3912" s="16"/>
      <c r="O3912" s="15"/>
      <c r="P3912" s="15"/>
    </row>
    <row r="3913">
      <c r="A3913" s="15"/>
      <c r="B3913" s="22"/>
      <c r="C3913" s="22"/>
      <c r="D3913" s="22"/>
      <c r="E3913" s="15"/>
      <c r="F3913" s="15"/>
      <c r="G3913" s="15"/>
      <c r="H3913" s="15"/>
      <c r="I3913" s="15"/>
      <c r="J3913" s="15"/>
      <c r="K3913" s="15"/>
      <c r="L3913" s="15"/>
      <c r="M3913" s="16"/>
      <c r="N3913" s="16"/>
      <c r="O3913" s="15"/>
      <c r="P3913" s="15"/>
    </row>
    <row r="3914">
      <c r="A3914" s="15"/>
      <c r="B3914" s="22"/>
      <c r="C3914" s="22"/>
      <c r="D3914" s="22"/>
      <c r="E3914" s="15"/>
      <c r="F3914" s="15"/>
      <c r="G3914" s="15"/>
      <c r="H3914" s="15"/>
      <c r="I3914" s="15"/>
      <c r="J3914" s="15"/>
      <c r="K3914" s="15"/>
      <c r="L3914" s="15"/>
      <c r="M3914" s="16"/>
      <c r="N3914" s="16"/>
      <c r="O3914" s="15"/>
      <c r="P3914" s="15"/>
    </row>
    <row r="3915">
      <c r="A3915" s="15"/>
      <c r="B3915" s="22"/>
      <c r="C3915" s="22"/>
      <c r="D3915" s="22"/>
      <c r="E3915" s="15"/>
      <c r="F3915" s="15"/>
      <c r="G3915" s="15"/>
      <c r="H3915" s="15"/>
      <c r="I3915" s="15"/>
      <c r="J3915" s="15"/>
      <c r="K3915" s="15"/>
      <c r="L3915" s="15"/>
      <c r="M3915" s="16"/>
      <c r="N3915" s="16"/>
      <c r="O3915" s="15"/>
      <c r="P3915" s="15"/>
    </row>
    <row r="3916">
      <c r="A3916" s="15"/>
      <c r="B3916" s="22"/>
      <c r="C3916" s="22"/>
      <c r="D3916" s="22"/>
      <c r="E3916" s="15"/>
      <c r="F3916" s="15"/>
      <c r="G3916" s="15"/>
      <c r="H3916" s="15"/>
      <c r="I3916" s="15"/>
      <c r="J3916" s="15"/>
      <c r="K3916" s="15"/>
      <c r="L3916" s="15"/>
      <c r="M3916" s="16"/>
      <c r="N3916" s="16"/>
      <c r="O3916" s="15"/>
      <c r="P3916" s="15"/>
    </row>
    <row r="3917">
      <c r="A3917" s="15"/>
      <c r="B3917" s="22"/>
      <c r="C3917" s="22"/>
      <c r="D3917" s="22"/>
      <c r="E3917" s="15"/>
      <c r="F3917" s="15"/>
      <c r="G3917" s="15"/>
      <c r="H3917" s="15"/>
      <c r="I3917" s="15"/>
      <c r="J3917" s="15"/>
      <c r="K3917" s="15"/>
      <c r="L3917" s="15"/>
      <c r="M3917" s="16"/>
      <c r="N3917" s="16"/>
      <c r="O3917" s="15"/>
      <c r="P3917" s="15"/>
    </row>
    <row r="3918">
      <c r="A3918" s="15"/>
      <c r="B3918" s="22"/>
      <c r="C3918" s="22"/>
      <c r="D3918" s="22"/>
      <c r="E3918" s="15"/>
      <c r="F3918" s="15"/>
      <c r="G3918" s="15"/>
      <c r="H3918" s="15"/>
      <c r="I3918" s="15"/>
      <c r="J3918" s="15"/>
      <c r="K3918" s="15"/>
      <c r="L3918" s="15"/>
      <c r="M3918" s="16"/>
      <c r="N3918" s="16"/>
      <c r="O3918" s="15"/>
      <c r="P3918" s="15"/>
    </row>
    <row r="3919">
      <c r="A3919" s="15"/>
      <c r="B3919" s="22"/>
      <c r="C3919" s="22"/>
      <c r="D3919" s="22"/>
      <c r="E3919" s="15"/>
      <c r="F3919" s="15"/>
      <c r="G3919" s="15"/>
      <c r="H3919" s="15"/>
      <c r="I3919" s="15"/>
      <c r="J3919" s="15"/>
      <c r="K3919" s="15"/>
      <c r="L3919" s="15"/>
      <c r="M3919" s="16"/>
      <c r="N3919" s="16"/>
      <c r="O3919" s="15"/>
      <c r="P3919" s="15"/>
    </row>
    <row r="3920">
      <c r="A3920" s="15"/>
      <c r="B3920" s="22"/>
      <c r="C3920" s="22"/>
      <c r="D3920" s="22"/>
      <c r="E3920" s="15"/>
      <c r="F3920" s="15"/>
      <c r="G3920" s="15"/>
      <c r="H3920" s="15"/>
      <c r="I3920" s="15"/>
      <c r="J3920" s="15"/>
      <c r="K3920" s="15"/>
      <c r="L3920" s="15"/>
      <c r="M3920" s="16"/>
      <c r="N3920" s="16"/>
      <c r="O3920" s="15"/>
      <c r="P3920" s="15"/>
    </row>
    <row r="3921">
      <c r="A3921" s="15"/>
      <c r="B3921" s="22"/>
      <c r="C3921" s="22"/>
      <c r="D3921" s="22"/>
      <c r="E3921" s="15"/>
      <c r="F3921" s="15"/>
      <c r="G3921" s="15"/>
      <c r="H3921" s="15"/>
      <c r="I3921" s="15"/>
      <c r="J3921" s="15"/>
      <c r="K3921" s="15"/>
      <c r="L3921" s="15"/>
      <c r="M3921" s="16"/>
      <c r="N3921" s="16"/>
      <c r="O3921" s="15"/>
      <c r="P3921" s="15"/>
    </row>
    <row r="3922">
      <c r="A3922" s="15"/>
      <c r="B3922" s="22"/>
      <c r="C3922" s="22"/>
      <c r="D3922" s="22"/>
      <c r="E3922" s="15"/>
      <c r="F3922" s="15"/>
      <c r="G3922" s="15"/>
      <c r="H3922" s="15"/>
      <c r="I3922" s="15"/>
      <c r="J3922" s="15"/>
      <c r="K3922" s="15"/>
      <c r="L3922" s="15"/>
      <c r="M3922" s="16"/>
      <c r="N3922" s="16"/>
      <c r="O3922" s="15"/>
      <c r="P3922" s="15"/>
    </row>
    <row r="3923">
      <c r="A3923" s="15"/>
      <c r="B3923" s="22"/>
      <c r="C3923" s="22"/>
      <c r="D3923" s="22"/>
      <c r="E3923" s="15"/>
      <c r="F3923" s="15"/>
      <c r="G3923" s="15"/>
      <c r="H3923" s="15"/>
      <c r="I3923" s="15"/>
      <c r="J3923" s="15"/>
      <c r="K3923" s="15"/>
      <c r="L3923" s="15"/>
      <c r="M3923" s="16"/>
      <c r="N3923" s="16"/>
      <c r="O3923" s="15"/>
      <c r="P3923" s="15"/>
    </row>
    <row r="3924">
      <c r="A3924" s="15"/>
      <c r="B3924" s="22"/>
      <c r="C3924" s="22"/>
      <c r="D3924" s="22"/>
      <c r="E3924" s="15"/>
      <c r="F3924" s="15"/>
      <c r="G3924" s="15"/>
      <c r="H3924" s="15"/>
      <c r="I3924" s="15"/>
      <c r="J3924" s="15"/>
      <c r="K3924" s="15"/>
      <c r="L3924" s="15"/>
      <c r="M3924" s="16"/>
      <c r="N3924" s="16"/>
      <c r="O3924" s="15"/>
      <c r="P3924" s="15"/>
    </row>
    <row r="3925">
      <c r="A3925" s="15"/>
      <c r="B3925" s="22"/>
      <c r="C3925" s="22"/>
      <c r="D3925" s="22"/>
      <c r="E3925" s="15"/>
      <c r="F3925" s="15"/>
      <c r="G3925" s="15"/>
      <c r="H3925" s="15"/>
      <c r="I3925" s="15"/>
      <c r="J3925" s="15"/>
      <c r="K3925" s="15"/>
      <c r="L3925" s="15"/>
      <c r="M3925" s="16"/>
      <c r="N3925" s="16"/>
      <c r="O3925" s="15"/>
      <c r="P3925" s="15"/>
    </row>
    <row r="3926">
      <c r="A3926" s="15"/>
      <c r="B3926" s="22"/>
      <c r="C3926" s="22"/>
      <c r="D3926" s="22"/>
      <c r="E3926" s="15"/>
      <c r="F3926" s="15"/>
      <c r="G3926" s="15"/>
      <c r="H3926" s="15"/>
      <c r="I3926" s="15"/>
      <c r="J3926" s="15"/>
      <c r="K3926" s="15"/>
      <c r="L3926" s="15"/>
      <c r="M3926" s="16"/>
      <c r="N3926" s="16"/>
      <c r="O3926" s="15"/>
      <c r="P3926" s="15"/>
    </row>
    <row r="3927">
      <c r="A3927" s="15"/>
      <c r="B3927" s="22"/>
      <c r="C3927" s="22"/>
      <c r="D3927" s="22"/>
      <c r="E3927" s="15"/>
      <c r="F3927" s="15"/>
      <c r="G3927" s="15"/>
      <c r="H3927" s="15"/>
      <c r="I3927" s="15"/>
      <c r="J3927" s="15"/>
      <c r="K3927" s="15"/>
      <c r="L3927" s="15"/>
      <c r="M3927" s="16"/>
      <c r="N3927" s="16"/>
      <c r="O3927" s="15"/>
      <c r="P3927" s="15"/>
    </row>
    <row r="3928">
      <c r="A3928" s="15"/>
      <c r="B3928" s="22"/>
      <c r="C3928" s="22"/>
      <c r="D3928" s="22"/>
      <c r="E3928" s="15"/>
      <c r="F3928" s="15"/>
      <c r="G3928" s="15"/>
      <c r="H3928" s="15"/>
      <c r="I3928" s="15"/>
      <c r="J3928" s="15"/>
      <c r="K3928" s="15"/>
      <c r="L3928" s="15"/>
      <c r="M3928" s="16"/>
      <c r="N3928" s="16"/>
      <c r="O3928" s="15"/>
      <c r="P3928" s="15"/>
    </row>
    <row r="3929">
      <c r="A3929" s="15"/>
      <c r="B3929" s="22"/>
      <c r="C3929" s="22"/>
      <c r="D3929" s="22"/>
      <c r="E3929" s="15"/>
      <c r="F3929" s="15"/>
      <c r="G3929" s="15"/>
      <c r="H3929" s="15"/>
      <c r="I3929" s="15"/>
      <c r="J3929" s="15"/>
      <c r="K3929" s="15"/>
      <c r="L3929" s="15"/>
      <c r="M3929" s="16"/>
      <c r="N3929" s="16"/>
      <c r="O3929" s="15"/>
      <c r="P3929" s="15"/>
    </row>
    <row r="3930">
      <c r="A3930" s="15"/>
      <c r="B3930" s="22"/>
      <c r="C3930" s="22"/>
      <c r="D3930" s="22"/>
      <c r="E3930" s="15"/>
      <c r="F3930" s="15"/>
      <c r="G3930" s="15"/>
      <c r="H3930" s="15"/>
      <c r="I3930" s="15"/>
      <c r="J3930" s="15"/>
      <c r="K3930" s="15"/>
      <c r="L3930" s="15"/>
      <c r="M3930" s="16"/>
      <c r="N3930" s="16"/>
      <c r="O3930" s="15"/>
      <c r="P3930" s="15"/>
    </row>
    <row r="3931">
      <c r="A3931" s="15"/>
      <c r="B3931" s="22"/>
      <c r="C3931" s="22"/>
      <c r="D3931" s="22"/>
      <c r="E3931" s="15"/>
      <c r="F3931" s="15"/>
      <c r="G3931" s="15"/>
      <c r="H3931" s="15"/>
      <c r="I3931" s="15"/>
      <c r="J3931" s="15"/>
      <c r="K3931" s="15"/>
      <c r="L3931" s="15"/>
      <c r="M3931" s="16"/>
      <c r="N3931" s="16"/>
      <c r="O3931" s="15"/>
      <c r="P3931" s="15"/>
    </row>
    <row r="3932">
      <c r="A3932" s="15"/>
      <c r="B3932" s="22"/>
      <c r="C3932" s="22"/>
      <c r="D3932" s="22"/>
      <c r="E3932" s="15"/>
      <c r="F3932" s="15"/>
      <c r="G3932" s="15"/>
      <c r="H3932" s="15"/>
      <c r="I3932" s="15"/>
      <c r="J3932" s="15"/>
      <c r="K3932" s="15"/>
      <c r="L3932" s="15"/>
      <c r="M3932" s="16"/>
      <c r="N3932" s="16"/>
      <c r="O3932" s="15"/>
      <c r="P3932" s="15"/>
    </row>
    <row r="3933">
      <c r="A3933" s="15"/>
      <c r="B3933" s="22"/>
      <c r="C3933" s="22"/>
      <c r="D3933" s="22"/>
      <c r="E3933" s="15"/>
      <c r="F3933" s="15"/>
      <c r="G3933" s="15"/>
      <c r="H3933" s="15"/>
      <c r="I3933" s="15"/>
      <c r="J3933" s="15"/>
      <c r="K3933" s="15"/>
      <c r="L3933" s="15"/>
      <c r="M3933" s="16"/>
      <c r="N3933" s="16"/>
      <c r="O3933" s="15"/>
      <c r="P3933" s="15"/>
    </row>
    <row r="3934">
      <c r="A3934" s="15"/>
      <c r="B3934" s="22"/>
      <c r="C3934" s="22"/>
      <c r="D3934" s="22"/>
      <c r="E3934" s="15"/>
      <c r="F3934" s="15"/>
      <c r="G3934" s="15"/>
      <c r="H3934" s="15"/>
      <c r="I3934" s="15"/>
      <c r="J3934" s="15"/>
      <c r="K3934" s="15"/>
      <c r="L3934" s="15"/>
      <c r="M3934" s="16"/>
      <c r="N3934" s="16"/>
      <c r="O3934" s="15"/>
      <c r="P3934" s="15"/>
    </row>
    <row r="3935">
      <c r="A3935" s="15"/>
      <c r="B3935" s="22"/>
      <c r="C3935" s="22"/>
      <c r="D3935" s="22"/>
      <c r="E3935" s="15"/>
      <c r="F3935" s="15"/>
      <c r="G3935" s="15"/>
      <c r="H3935" s="15"/>
      <c r="I3935" s="15"/>
      <c r="J3935" s="15"/>
      <c r="K3935" s="15"/>
      <c r="L3935" s="15"/>
      <c r="M3935" s="16"/>
      <c r="N3935" s="16"/>
      <c r="O3935" s="15"/>
      <c r="P3935" s="15"/>
    </row>
    <row r="3936">
      <c r="A3936" s="15"/>
      <c r="B3936" s="22"/>
      <c r="C3936" s="22"/>
      <c r="D3936" s="22"/>
      <c r="E3936" s="15"/>
      <c r="F3936" s="15"/>
      <c r="G3936" s="15"/>
      <c r="H3936" s="15"/>
      <c r="I3936" s="15"/>
      <c r="J3936" s="15"/>
      <c r="K3936" s="15"/>
      <c r="L3936" s="15"/>
      <c r="M3936" s="16"/>
      <c r="N3936" s="16"/>
      <c r="O3936" s="15"/>
      <c r="P3936" s="15"/>
    </row>
    <row r="3937">
      <c r="A3937" s="15"/>
      <c r="B3937" s="22"/>
      <c r="C3937" s="22"/>
      <c r="D3937" s="22"/>
      <c r="E3937" s="15"/>
      <c r="F3937" s="15"/>
      <c r="G3937" s="15"/>
      <c r="H3937" s="15"/>
      <c r="I3937" s="15"/>
      <c r="J3937" s="15"/>
      <c r="K3937" s="15"/>
      <c r="L3937" s="15"/>
      <c r="M3937" s="16"/>
      <c r="N3937" s="16"/>
      <c r="O3937" s="15"/>
      <c r="P3937" s="15"/>
    </row>
    <row r="3938">
      <c r="A3938" s="15"/>
      <c r="B3938" s="22"/>
      <c r="C3938" s="22"/>
      <c r="D3938" s="22"/>
      <c r="E3938" s="15"/>
      <c r="F3938" s="15"/>
      <c r="G3938" s="15"/>
      <c r="H3938" s="15"/>
      <c r="I3938" s="15"/>
      <c r="J3938" s="15"/>
      <c r="K3938" s="15"/>
      <c r="L3938" s="15"/>
      <c r="M3938" s="16"/>
      <c r="N3938" s="16"/>
      <c r="O3938" s="15"/>
      <c r="P3938" s="15"/>
    </row>
    <row r="3939">
      <c r="A3939" s="15"/>
      <c r="B3939" s="22"/>
      <c r="C3939" s="22"/>
      <c r="D3939" s="22"/>
      <c r="E3939" s="15"/>
      <c r="F3939" s="15"/>
      <c r="G3939" s="15"/>
      <c r="H3939" s="15"/>
      <c r="I3939" s="15"/>
      <c r="J3939" s="15"/>
      <c r="K3939" s="15"/>
      <c r="L3939" s="15"/>
      <c r="M3939" s="16"/>
      <c r="N3939" s="16"/>
      <c r="O3939" s="15"/>
      <c r="P3939" s="15"/>
    </row>
    <row r="3940">
      <c r="A3940" s="15"/>
      <c r="B3940" s="22"/>
      <c r="C3940" s="22"/>
      <c r="D3940" s="22"/>
      <c r="E3940" s="15"/>
      <c r="F3940" s="15"/>
      <c r="G3940" s="15"/>
      <c r="H3940" s="15"/>
      <c r="I3940" s="15"/>
      <c r="J3940" s="15"/>
      <c r="K3940" s="15"/>
      <c r="L3940" s="15"/>
      <c r="M3940" s="16"/>
      <c r="N3940" s="16"/>
      <c r="O3940" s="15"/>
      <c r="P3940" s="15"/>
    </row>
    <row r="3941">
      <c r="A3941" s="15"/>
      <c r="B3941" s="22"/>
      <c r="C3941" s="22"/>
      <c r="D3941" s="22"/>
      <c r="E3941" s="15"/>
      <c r="F3941" s="15"/>
      <c r="G3941" s="15"/>
      <c r="H3941" s="15"/>
      <c r="I3941" s="15"/>
      <c r="J3941" s="15"/>
      <c r="K3941" s="15"/>
      <c r="L3941" s="15"/>
      <c r="M3941" s="16"/>
      <c r="N3941" s="16"/>
      <c r="O3941" s="15"/>
      <c r="P3941" s="15"/>
    </row>
    <row r="3942">
      <c r="A3942" s="15"/>
      <c r="B3942" s="22"/>
      <c r="C3942" s="22"/>
      <c r="D3942" s="22"/>
      <c r="E3942" s="15"/>
      <c r="F3942" s="15"/>
      <c r="G3942" s="15"/>
      <c r="H3942" s="15"/>
      <c r="I3942" s="15"/>
      <c r="J3942" s="15"/>
      <c r="K3942" s="15"/>
      <c r="L3942" s="15"/>
      <c r="M3942" s="16"/>
      <c r="N3942" s="16"/>
      <c r="O3942" s="15"/>
      <c r="P3942" s="15"/>
    </row>
    <row r="3943">
      <c r="A3943" s="15"/>
      <c r="B3943" s="22"/>
      <c r="C3943" s="22"/>
      <c r="D3943" s="22"/>
      <c r="E3943" s="15"/>
      <c r="F3943" s="15"/>
      <c r="G3943" s="15"/>
      <c r="H3943" s="15"/>
      <c r="I3943" s="15"/>
      <c r="J3943" s="15"/>
      <c r="K3943" s="15"/>
      <c r="L3943" s="15"/>
      <c r="M3943" s="16"/>
      <c r="N3943" s="16"/>
      <c r="O3943" s="15"/>
      <c r="P3943" s="15"/>
    </row>
    <row r="3944">
      <c r="A3944" s="15"/>
      <c r="B3944" s="22"/>
      <c r="C3944" s="22"/>
      <c r="D3944" s="22"/>
      <c r="E3944" s="15"/>
      <c r="F3944" s="15"/>
      <c r="G3944" s="15"/>
      <c r="H3944" s="15"/>
      <c r="I3944" s="15"/>
      <c r="J3944" s="15"/>
      <c r="K3944" s="15"/>
      <c r="L3944" s="15"/>
      <c r="M3944" s="16"/>
      <c r="N3944" s="16"/>
      <c r="O3944" s="15"/>
      <c r="P3944" s="15"/>
    </row>
    <row r="3945">
      <c r="A3945" s="15"/>
      <c r="B3945" s="22"/>
      <c r="C3945" s="22"/>
      <c r="D3945" s="22"/>
      <c r="E3945" s="15"/>
      <c r="F3945" s="15"/>
      <c r="G3945" s="15"/>
      <c r="H3945" s="15"/>
      <c r="I3945" s="15"/>
      <c r="J3945" s="15"/>
      <c r="K3945" s="15"/>
      <c r="L3945" s="15"/>
      <c r="M3945" s="16"/>
      <c r="N3945" s="16"/>
      <c r="O3945" s="15"/>
      <c r="P3945" s="15"/>
    </row>
    <row r="3946">
      <c r="A3946" s="15"/>
      <c r="B3946" s="22"/>
      <c r="C3946" s="22"/>
      <c r="D3946" s="22"/>
      <c r="E3946" s="15"/>
      <c r="F3946" s="15"/>
      <c r="G3946" s="15"/>
      <c r="H3946" s="15"/>
      <c r="I3946" s="15"/>
      <c r="J3946" s="15"/>
      <c r="K3946" s="15"/>
      <c r="L3946" s="15"/>
      <c r="M3946" s="16"/>
      <c r="N3946" s="16"/>
      <c r="O3946" s="15"/>
      <c r="P3946" s="15"/>
    </row>
    <row r="3947">
      <c r="A3947" s="15"/>
      <c r="B3947" s="22"/>
      <c r="C3947" s="22"/>
      <c r="D3947" s="22"/>
      <c r="E3947" s="15"/>
      <c r="F3947" s="15"/>
      <c r="G3947" s="15"/>
      <c r="H3947" s="15"/>
      <c r="I3947" s="15"/>
      <c r="J3947" s="15"/>
      <c r="K3947" s="15"/>
      <c r="L3947" s="15"/>
      <c r="M3947" s="16"/>
      <c r="N3947" s="16"/>
      <c r="O3947" s="15"/>
      <c r="P3947" s="15"/>
    </row>
    <row r="3948">
      <c r="A3948" s="15"/>
      <c r="B3948" s="22"/>
      <c r="C3948" s="22"/>
      <c r="D3948" s="22"/>
      <c r="E3948" s="15"/>
      <c r="F3948" s="15"/>
      <c r="G3948" s="15"/>
      <c r="H3948" s="15"/>
      <c r="I3948" s="15"/>
      <c r="J3948" s="15"/>
      <c r="K3948" s="15"/>
      <c r="L3948" s="15"/>
      <c r="M3948" s="16"/>
      <c r="N3948" s="16"/>
      <c r="O3948" s="15"/>
      <c r="P3948" s="15"/>
    </row>
    <row r="3949">
      <c r="A3949" s="15"/>
      <c r="B3949" s="22"/>
      <c r="C3949" s="22"/>
      <c r="D3949" s="22"/>
      <c r="E3949" s="15"/>
      <c r="F3949" s="15"/>
      <c r="G3949" s="15"/>
      <c r="H3949" s="15"/>
      <c r="I3949" s="15"/>
      <c r="J3949" s="15"/>
      <c r="K3949" s="15"/>
      <c r="L3949" s="15"/>
      <c r="M3949" s="16"/>
      <c r="N3949" s="16"/>
      <c r="O3949" s="15"/>
      <c r="P3949" s="15"/>
    </row>
    <row r="3950">
      <c r="A3950" s="15"/>
      <c r="B3950" s="22"/>
      <c r="C3950" s="22"/>
      <c r="D3950" s="22"/>
      <c r="E3950" s="15"/>
      <c r="F3950" s="15"/>
      <c r="G3950" s="15"/>
      <c r="H3950" s="15"/>
      <c r="I3950" s="15"/>
      <c r="J3950" s="15"/>
      <c r="K3950" s="15"/>
      <c r="L3950" s="15"/>
      <c r="M3950" s="16"/>
      <c r="N3950" s="16"/>
      <c r="O3950" s="15"/>
      <c r="P3950" s="15"/>
    </row>
    <row r="3951">
      <c r="A3951" s="15"/>
      <c r="B3951" s="22"/>
      <c r="C3951" s="22"/>
      <c r="D3951" s="22"/>
      <c r="E3951" s="15"/>
      <c r="F3951" s="15"/>
      <c r="G3951" s="15"/>
      <c r="H3951" s="15"/>
      <c r="I3951" s="15"/>
      <c r="J3951" s="15"/>
      <c r="K3951" s="15"/>
      <c r="L3951" s="15"/>
      <c r="M3951" s="16"/>
      <c r="N3951" s="16"/>
      <c r="O3951" s="15"/>
      <c r="P3951" s="15"/>
    </row>
    <row r="3952">
      <c r="A3952" s="15"/>
      <c r="B3952" s="22"/>
      <c r="C3952" s="22"/>
      <c r="D3952" s="22"/>
      <c r="E3952" s="15"/>
      <c r="F3952" s="15"/>
      <c r="G3952" s="15"/>
      <c r="H3952" s="15"/>
      <c r="I3952" s="15"/>
      <c r="J3952" s="15"/>
      <c r="K3952" s="15"/>
      <c r="L3952" s="15"/>
      <c r="M3952" s="16"/>
      <c r="N3952" s="16"/>
      <c r="O3952" s="15"/>
      <c r="P3952" s="15"/>
    </row>
    <row r="3953">
      <c r="A3953" s="15"/>
      <c r="B3953" s="22"/>
      <c r="C3953" s="22"/>
      <c r="D3953" s="22"/>
      <c r="E3953" s="15"/>
      <c r="F3953" s="15"/>
      <c r="G3953" s="15"/>
      <c r="H3953" s="15"/>
      <c r="I3953" s="15"/>
      <c r="J3953" s="15"/>
      <c r="K3953" s="15"/>
      <c r="L3953" s="15"/>
      <c r="M3953" s="16"/>
      <c r="N3953" s="16"/>
      <c r="O3953" s="15"/>
      <c r="P3953" s="15"/>
    </row>
    <row r="3954">
      <c r="A3954" s="15"/>
      <c r="B3954" s="22"/>
      <c r="C3954" s="22"/>
      <c r="D3954" s="22"/>
      <c r="E3954" s="15"/>
      <c r="F3954" s="15"/>
      <c r="G3954" s="15"/>
      <c r="H3954" s="15"/>
      <c r="I3954" s="15"/>
      <c r="J3954" s="15"/>
      <c r="K3954" s="15"/>
      <c r="L3954" s="15"/>
      <c r="M3954" s="16"/>
      <c r="N3954" s="16"/>
      <c r="O3954" s="15"/>
      <c r="P3954" s="15"/>
    </row>
    <row r="3955">
      <c r="A3955" s="15"/>
      <c r="B3955" s="22"/>
      <c r="C3955" s="22"/>
      <c r="D3955" s="22"/>
      <c r="E3955" s="15"/>
      <c r="F3955" s="15"/>
      <c r="G3955" s="15"/>
      <c r="H3955" s="15"/>
      <c r="I3955" s="15"/>
      <c r="J3955" s="15"/>
      <c r="K3955" s="15"/>
      <c r="L3955" s="15"/>
      <c r="M3955" s="16"/>
      <c r="N3955" s="16"/>
      <c r="O3955" s="15"/>
      <c r="P3955" s="15"/>
    </row>
    <row r="3956">
      <c r="A3956" s="15"/>
      <c r="B3956" s="22"/>
      <c r="C3956" s="22"/>
      <c r="D3956" s="22"/>
      <c r="E3956" s="15"/>
      <c r="F3956" s="15"/>
      <c r="G3956" s="15"/>
      <c r="H3956" s="15"/>
      <c r="I3956" s="15"/>
      <c r="J3956" s="15"/>
      <c r="K3956" s="15"/>
      <c r="L3956" s="15"/>
      <c r="M3956" s="16"/>
      <c r="N3956" s="16"/>
      <c r="O3956" s="15"/>
      <c r="P3956" s="15"/>
    </row>
    <row r="3957">
      <c r="A3957" s="15"/>
      <c r="B3957" s="22"/>
      <c r="C3957" s="22"/>
      <c r="D3957" s="22"/>
      <c r="E3957" s="15"/>
      <c r="F3957" s="15"/>
      <c r="G3957" s="15"/>
      <c r="H3957" s="15"/>
      <c r="I3957" s="15"/>
      <c r="J3957" s="15"/>
      <c r="K3957" s="15"/>
      <c r="L3957" s="15"/>
      <c r="M3957" s="16"/>
      <c r="N3957" s="16"/>
      <c r="O3957" s="15"/>
      <c r="P3957" s="15"/>
    </row>
    <row r="3958">
      <c r="A3958" s="15"/>
      <c r="B3958" s="22"/>
      <c r="C3958" s="22"/>
      <c r="D3958" s="22"/>
      <c r="E3958" s="15"/>
      <c r="F3958" s="15"/>
      <c r="G3958" s="15"/>
      <c r="H3958" s="15"/>
      <c r="I3958" s="15"/>
      <c r="J3958" s="15"/>
      <c r="K3958" s="15"/>
      <c r="L3958" s="15"/>
      <c r="M3958" s="16"/>
      <c r="N3958" s="16"/>
      <c r="O3958" s="15"/>
      <c r="P3958" s="15"/>
    </row>
    <row r="3959">
      <c r="A3959" s="15"/>
      <c r="B3959" s="22"/>
      <c r="C3959" s="22"/>
      <c r="D3959" s="22"/>
      <c r="E3959" s="15"/>
      <c r="F3959" s="15"/>
      <c r="G3959" s="15"/>
      <c r="H3959" s="15"/>
      <c r="I3959" s="15"/>
      <c r="J3959" s="15"/>
      <c r="K3959" s="15"/>
      <c r="L3959" s="15"/>
      <c r="M3959" s="16"/>
      <c r="N3959" s="16"/>
      <c r="O3959" s="15"/>
      <c r="P3959" s="15"/>
    </row>
    <row r="3960">
      <c r="A3960" s="15"/>
      <c r="B3960" s="22"/>
      <c r="C3960" s="22"/>
      <c r="D3960" s="22"/>
      <c r="E3960" s="15"/>
      <c r="F3960" s="15"/>
      <c r="G3960" s="15"/>
      <c r="H3960" s="15"/>
      <c r="I3960" s="15"/>
      <c r="J3960" s="15"/>
      <c r="K3960" s="15"/>
      <c r="L3960" s="15"/>
      <c r="M3960" s="16"/>
      <c r="N3960" s="16"/>
      <c r="O3960" s="15"/>
      <c r="P3960" s="15"/>
    </row>
    <row r="3961">
      <c r="A3961" s="15"/>
      <c r="B3961" s="22"/>
      <c r="C3961" s="22"/>
      <c r="D3961" s="22"/>
      <c r="E3961" s="15"/>
      <c r="F3961" s="15"/>
      <c r="G3961" s="15"/>
      <c r="H3961" s="15"/>
      <c r="I3961" s="15"/>
      <c r="J3961" s="15"/>
      <c r="K3961" s="15"/>
      <c r="L3961" s="15"/>
      <c r="M3961" s="16"/>
      <c r="N3961" s="16"/>
      <c r="O3961" s="15"/>
      <c r="P3961" s="15"/>
    </row>
    <row r="3962">
      <c r="A3962" s="15"/>
      <c r="B3962" s="22"/>
      <c r="C3962" s="22"/>
      <c r="D3962" s="22"/>
      <c r="E3962" s="15"/>
      <c r="F3962" s="15"/>
      <c r="G3962" s="15"/>
      <c r="H3962" s="15"/>
      <c r="I3962" s="15"/>
      <c r="J3962" s="15"/>
      <c r="K3962" s="15"/>
      <c r="L3962" s="15"/>
      <c r="M3962" s="16"/>
      <c r="N3962" s="16"/>
      <c r="O3962" s="15"/>
      <c r="P3962" s="15"/>
    </row>
    <row r="3963">
      <c r="A3963" s="15"/>
      <c r="B3963" s="22"/>
      <c r="C3963" s="22"/>
      <c r="D3963" s="22"/>
      <c r="E3963" s="15"/>
      <c r="F3963" s="15"/>
      <c r="G3963" s="15"/>
      <c r="H3963" s="15"/>
      <c r="I3963" s="15"/>
      <c r="J3963" s="15"/>
      <c r="K3963" s="15"/>
      <c r="L3963" s="15"/>
      <c r="M3963" s="16"/>
      <c r="N3963" s="16"/>
      <c r="O3963" s="15"/>
      <c r="P3963" s="15"/>
    </row>
    <row r="3964">
      <c r="A3964" s="15"/>
      <c r="B3964" s="22"/>
      <c r="C3964" s="22"/>
      <c r="D3964" s="22"/>
      <c r="E3964" s="15"/>
      <c r="F3964" s="15"/>
      <c r="G3964" s="15"/>
      <c r="H3964" s="15"/>
      <c r="I3964" s="15"/>
      <c r="J3964" s="15"/>
      <c r="K3964" s="15"/>
      <c r="L3964" s="15"/>
      <c r="M3964" s="16"/>
      <c r="N3964" s="16"/>
      <c r="O3964" s="15"/>
      <c r="P3964" s="15"/>
    </row>
    <row r="3965">
      <c r="A3965" s="15"/>
      <c r="B3965" s="22"/>
      <c r="C3965" s="22"/>
      <c r="D3965" s="22"/>
      <c r="E3965" s="15"/>
      <c r="F3965" s="15"/>
      <c r="G3965" s="15"/>
      <c r="H3965" s="15"/>
      <c r="I3965" s="15"/>
      <c r="J3965" s="15"/>
      <c r="K3965" s="15"/>
      <c r="L3965" s="15"/>
      <c r="M3965" s="16"/>
      <c r="N3965" s="16"/>
      <c r="O3965" s="15"/>
      <c r="P3965" s="15"/>
    </row>
    <row r="3966">
      <c r="A3966" s="15"/>
      <c r="B3966" s="22"/>
      <c r="C3966" s="22"/>
      <c r="D3966" s="22"/>
      <c r="E3966" s="15"/>
      <c r="F3966" s="15"/>
      <c r="G3966" s="15"/>
      <c r="H3966" s="15"/>
      <c r="I3966" s="15"/>
      <c r="J3966" s="15"/>
      <c r="K3966" s="15"/>
      <c r="L3966" s="15"/>
      <c r="M3966" s="16"/>
      <c r="N3966" s="16"/>
      <c r="O3966" s="15"/>
      <c r="P3966" s="15"/>
    </row>
    <row r="3967">
      <c r="A3967" s="15"/>
      <c r="B3967" s="22"/>
      <c r="C3967" s="22"/>
      <c r="D3967" s="22"/>
      <c r="E3967" s="15"/>
      <c r="F3967" s="15"/>
      <c r="G3967" s="15"/>
      <c r="H3967" s="15"/>
      <c r="I3967" s="15"/>
      <c r="J3967" s="15"/>
      <c r="K3967" s="15"/>
      <c r="L3967" s="15"/>
      <c r="M3967" s="16"/>
      <c r="N3967" s="16"/>
      <c r="O3967" s="15"/>
      <c r="P3967" s="15"/>
    </row>
    <row r="3968">
      <c r="A3968" s="15"/>
      <c r="B3968" s="22"/>
      <c r="C3968" s="22"/>
      <c r="D3968" s="22"/>
      <c r="E3968" s="15"/>
      <c r="F3968" s="15"/>
      <c r="G3968" s="15"/>
      <c r="H3968" s="15"/>
      <c r="I3968" s="15"/>
      <c r="J3968" s="15"/>
      <c r="K3968" s="15"/>
      <c r="L3968" s="15"/>
      <c r="M3968" s="16"/>
      <c r="N3968" s="16"/>
      <c r="O3968" s="15"/>
      <c r="P3968" s="15"/>
    </row>
    <row r="3969">
      <c r="A3969" s="15"/>
      <c r="B3969" s="22"/>
      <c r="C3969" s="22"/>
      <c r="D3969" s="22"/>
      <c r="E3969" s="15"/>
      <c r="F3969" s="15"/>
      <c r="G3969" s="15"/>
      <c r="H3969" s="15"/>
      <c r="I3969" s="15"/>
      <c r="J3969" s="15"/>
      <c r="K3969" s="15"/>
      <c r="L3969" s="15"/>
      <c r="M3969" s="16"/>
      <c r="N3969" s="16"/>
      <c r="O3969" s="15"/>
      <c r="P3969" s="15"/>
    </row>
    <row r="3970">
      <c r="A3970" s="15"/>
      <c r="B3970" s="22"/>
      <c r="C3970" s="22"/>
      <c r="D3970" s="22"/>
      <c r="E3970" s="15"/>
      <c r="F3970" s="15"/>
      <c r="G3970" s="15"/>
      <c r="H3970" s="15"/>
      <c r="I3970" s="15"/>
      <c r="J3970" s="15"/>
      <c r="K3970" s="15"/>
      <c r="L3970" s="15"/>
      <c r="M3970" s="16"/>
      <c r="N3970" s="16"/>
      <c r="O3970" s="15"/>
      <c r="P3970" s="15"/>
    </row>
    <row r="3971">
      <c r="A3971" s="15"/>
      <c r="B3971" s="22"/>
      <c r="C3971" s="22"/>
      <c r="D3971" s="22"/>
      <c r="E3971" s="15"/>
      <c r="F3971" s="15"/>
      <c r="G3971" s="15"/>
      <c r="H3971" s="15"/>
      <c r="I3971" s="15"/>
      <c r="J3971" s="15"/>
      <c r="K3971" s="15"/>
      <c r="L3971" s="15"/>
      <c r="M3971" s="16"/>
      <c r="N3971" s="16"/>
      <c r="O3971" s="15"/>
      <c r="P3971" s="15"/>
    </row>
    <row r="3972">
      <c r="A3972" s="15"/>
      <c r="B3972" s="22"/>
      <c r="C3972" s="22"/>
      <c r="D3972" s="22"/>
      <c r="E3972" s="15"/>
      <c r="F3972" s="15"/>
      <c r="G3972" s="15"/>
      <c r="H3972" s="15"/>
      <c r="I3972" s="15"/>
      <c r="J3972" s="15"/>
      <c r="K3972" s="15"/>
      <c r="L3972" s="15"/>
      <c r="M3972" s="16"/>
      <c r="N3972" s="16"/>
      <c r="O3972" s="15"/>
      <c r="P3972" s="15"/>
    </row>
    <row r="3973">
      <c r="A3973" s="15"/>
      <c r="B3973" s="22"/>
      <c r="C3973" s="22"/>
      <c r="D3973" s="22"/>
      <c r="E3973" s="15"/>
      <c r="F3973" s="15"/>
      <c r="G3973" s="15"/>
      <c r="H3973" s="15"/>
      <c r="I3973" s="15"/>
      <c r="J3973" s="15"/>
      <c r="K3973" s="15"/>
      <c r="L3973" s="15"/>
      <c r="M3973" s="16"/>
      <c r="N3973" s="16"/>
      <c r="O3973" s="15"/>
      <c r="P3973" s="15"/>
    </row>
    <row r="3974">
      <c r="A3974" s="15"/>
      <c r="B3974" s="22"/>
      <c r="C3974" s="22"/>
      <c r="D3974" s="22"/>
      <c r="E3974" s="15"/>
      <c r="F3974" s="15"/>
      <c r="G3974" s="15"/>
      <c r="H3974" s="15"/>
      <c r="I3974" s="15"/>
      <c r="J3974" s="15"/>
      <c r="K3974" s="15"/>
      <c r="L3974" s="15"/>
      <c r="M3974" s="16"/>
      <c r="N3974" s="16"/>
      <c r="O3974" s="15"/>
      <c r="P3974" s="15"/>
    </row>
    <row r="3975">
      <c r="A3975" s="15"/>
      <c r="B3975" s="22"/>
      <c r="C3975" s="22"/>
      <c r="D3975" s="22"/>
      <c r="E3975" s="15"/>
      <c r="F3975" s="15"/>
      <c r="G3975" s="15"/>
      <c r="H3975" s="15"/>
      <c r="I3975" s="15"/>
      <c r="J3975" s="15"/>
      <c r="K3975" s="15"/>
      <c r="L3975" s="15"/>
      <c r="M3975" s="16"/>
      <c r="N3975" s="16"/>
      <c r="O3975" s="15"/>
      <c r="P3975" s="15"/>
    </row>
    <row r="3976">
      <c r="A3976" s="15"/>
      <c r="B3976" s="22"/>
      <c r="C3976" s="22"/>
      <c r="D3976" s="22"/>
      <c r="E3976" s="15"/>
      <c r="F3976" s="15"/>
      <c r="G3976" s="15"/>
      <c r="H3976" s="15"/>
      <c r="I3976" s="15"/>
      <c r="J3976" s="15"/>
      <c r="K3976" s="15"/>
      <c r="L3976" s="15"/>
      <c r="M3976" s="16"/>
      <c r="N3976" s="16"/>
      <c r="O3976" s="15"/>
      <c r="P3976" s="15"/>
    </row>
    <row r="3977">
      <c r="A3977" s="15"/>
      <c r="B3977" s="22"/>
      <c r="C3977" s="22"/>
      <c r="D3977" s="22"/>
      <c r="E3977" s="15"/>
      <c r="F3977" s="15"/>
      <c r="G3977" s="15"/>
      <c r="H3977" s="15"/>
      <c r="I3977" s="15"/>
      <c r="J3977" s="15"/>
      <c r="K3977" s="15"/>
      <c r="L3977" s="15"/>
      <c r="M3977" s="16"/>
      <c r="N3977" s="16"/>
      <c r="O3977" s="15"/>
      <c r="P3977" s="15"/>
    </row>
    <row r="3978">
      <c r="A3978" s="15"/>
      <c r="B3978" s="22"/>
      <c r="C3978" s="22"/>
      <c r="D3978" s="22"/>
      <c r="E3978" s="15"/>
      <c r="F3978" s="15"/>
      <c r="G3978" s="15"/>
      <c r="H3978" s="15"/>
      <c r="I3978" s="15"/>
      <c r="J3978" s="15"/>
      <c r="K3978" s="15"/>
      <c r="L3978" s="15"/>
      <c r="M3978" s="16"/>
      <c r="N3978" s="16"/>
      <c r="O3978" s="15"/>
      <c r="P3978" s="15"/>
    </row>
    <row r="3979">
      <c r="A3979" s="15"/>
      <c r="B3979" s="22"/>
      <c r="C3979" s="22"/>
      <c r="D3979" s="22"/>
      <c r="E3979" s="15"/>
      <c r="F3979" s="15"/>
      <c r="G3979" s="15"/>
      <c r="H3979" s="15"/>
      <c r="I3979" s="15"/>
      <c r="J3979" s="15"/>
      <c r="K3979" s="15"/>
      <c r="L3979" s="15"/>
      <c r="M3979" s="16"/>
      <c r="N3979" s="16"/>
      <c r="O3979" s="15"/>
      <c r="P3979" s="15"/>
    </row>
    <row r="3980">
      <c r="A3980" s="15"/>
      <c r="B3980" s="22"/>
      <c r="C3980" s="22"/>
      <c r="D3980" s="22"/>
      <c r="E3980" s="15"/>
      <c r="F3980" s="15"/>
      <c r="G3980" s="15"/>
      <c r="H3980" s="15"/>
      <c r="I3980" s="15"/>
      <c r="J3980" s="15"/>
      <c r="K3980" s="15"/>
      <c r="L3980" s="15"/>
      <c r="M3980" s="16"/>
      <c r="N3980" s="16"/>
      <c r="O3980" s="15"/>
      <c r="P3980" s="15"/>
    </row>
    <row r="3981">
      <c r="A3981" s="15"/>
      <c r="B3981" s="22"/>
      <c r="C3981" s="22"/>
      <c r="D3981" s="22"/>
      <c r="E3981" s="15"/>
      <c r="F3981" s="15"/>
      <c r="G3981" s="15"/>
      <c r="H3981" s="15"/>
      <c r="I3981" s="15"/>
      <c r="J3981" s="15"/>
      <c r="K3981" s="15"/>
      <c r="L3981" s="15"/>
      <c r="M3981" s="16"/>
      <c r="N3981" s="16"/>
      <c r="O3981" s="15"/>
      <c r="P3981" s="15"/>
    </row>
    <row r="3982">
      <c r="A3982" s="15"/>
      <c r="B3982" s="22"/>
      <c r="C3982" s="22"/>
      <c r="D3982" s="22"/>
      <c r="E3982" s="15"/>
      <c r="F3982" s="15"/>
      <c r="G3982" s="15"/>
      <c r="H3982" s="15"/>
      <c r="I3982" s="15"/>
      <c r="J3982" s="15"/>
      <c r="K3982" s="15"/>
      <c r="L3982" s="15"/>
      <c r="M3982" s="16"/>
      <c r="N3982" s="16"/>
      <c r="O3982" s="15"/>
      <c r="P3982" s="15"/>
    </row>
    <row r="3983">
      <c r="A3983" s="15"/>
      <c r="B3983" s="22"/>
      <c r="C3983" s="22"/>
      <c r="D3983" s="22"/>
      <c r="E3983" s="15"/>
      <c r="F3983" s="15"/>
      <c r="G3983" s="15"/>
      <c r="H3983" s="15"/>
      <c r="I3983" s="15"/>
      <c r="J3983" s="15"/>
      <c r="K3983" s="15"/>
      <c r="L3983" s="15"/>
      <c r="M3983" s="16"/>
      <c r="N3983" s="16"/>
      <c r="O3983" s="15"/>
      <c r="P3983" s="15"/>
    </row>
    <row r="3984">
      <c r="A3984" s="15"/>
      <c r="B3984" s="22"/>
      <c r="C3984" s="22"/>
      <c r="D3984" s="22"/>
      <c r="E3984" s="15"/>
      <c r="F3984" s="15"/>
      <c r="G3984" s="15"/>
      <c r="H3984" s="15"/>
      <c r="I3984" s="15"/>
      <c r="J3984" s="15"/>
      <c r="K3984" s="15"/>
      <c r="L3984" s="15"/>
      <c r="M3984" s="16"/>
      <c r="N3984" s="16"/>
      <c r="O3984" s="15"/>
      <c r="P3984" s="15"/>
    </row>
    <row r="3985">
      <c r="A3985" s="15"/>
      <c r="B3985" s="22"/>
      <c r="C3985" s="22"/>
      <c r="D3985" s="22"/>
      <c r="E3985" s="15"/>
      <c r="F3985" s="15"/>
      <c r="G3985" s="15"/>
      <c r="H3985" s="15"/>
      <c r="I3985" s="15"/>
      <c r="J3985" s="15"/>
      <c r="K3985" s="15"/>
      <c r="L3985" s="15"/>
      <c r="M3985" s="16"/>
      <c r="N3985" s="16"/>
      <c r="O3985" s="15"/>
      <c r="P3985" s="15"/>
    </row>
    <row r="3986">
      <c r="A3986" s="15"/>
      <c r="B3986" s="22"/>
      <c r="C3986" s="22"/>
      <c r="D3986" s="22"/>
      <c r="E3986" s="15"/>
      <c r="F3986" s="15"/>
      <c r="G3986" s="15"/>
      <c r="H3986" s="15"/>
      <c r="I3986" s="15"/>
      <c r="J3986" s="15"/>
      <c r="K3986" s="15"/>
      <c r="L3986" s="15"/>
      <c r="M3986" s="16"/>
      <c r="N3986" s="16"/>
      <c r="O3986" s="15"/>
      <c r="P3986" s="15"/>
    </row>
    <row r="3987">
      <c r="A3987" s="15"/>
      <c r="B3987" s="22"/>
      <c r="C3987" s="22"/>
      <c r="D3987" s="22"/>
      <c r="E3987" s="15"/>
      <c r="F3987" s="15"/>
      <c r="G3987" s="15"/>
      <c r="H3987" s="15"/>
      <c r="I3987" s="15"/>
      <c r="J3987" s="15"/>
      <c r="K3987" s="15"/>
      <c r="L3987" s="15"/>
      <c r="M3987" s="16"/>
      <c r="N3987" s="16"/>
      <c r="O3987" s="15"/>
      <c r="P3987" s="15"/>
    </row>
    <row r="3988">
      <c r="A3988" s="15"/>
      <c r="B3988" s="22"/>
      <c r="C3988" s="22"/>
      <c r="D3988" s="22"/>
      <c r="E3988" s="15"/>
      <c r="F3988" s="15"/>
      <c r="G3988" s="15"/>
      <c r="H3988" s="15"/>
      <c r="I3988" s="15"/>
      <c r="J3988" s="15"/>
      <c r="K3988" s="15"/>
      <c r="L3988" s="15"/>
      <c r="M3988" s="16"/>
      <c r="N3988" s="16"/>
      <c r="O3988" s="15"/>
      <c r="P3988" s="15"/>
    </row>
    <row r="3989">
      <c r="A3989" s="15"/>
      <c r="B3989" s="22"/>
      <c r="C3989" s="22"/>
      <c r="D3989" s="22"/>
      <c r="E3989" s="15"/>
      <c r="F3989" s="15"/>
      <c r="G3989" s="15"/>
      <c r="H3989" s="15"/>
      <c r="I3989" s="15"/>
      <c r="J3989" s="15"/>
      <c r="K3989" s="15"/>
      <c r="L3989" s="15"/>
      <c r="M3989" s="16"/>
      <c r="N3989" s="16"/>
      <c r="O3989" s="15"/>
      <c r="P3989" s="15"/>
    </row>
    <row r="3990">
      <c r="A3990" s="15"/>
      <c r="B3990" s="22"/>
      <c r="C3990" s="22"/>
      <c r="D3990" s="22"/>
      <c r="E3990" s="15"/>
      <c r="F3990" s="15"/>
      <c r="G3990" s="15"/>
      <c r="H3990" s="15"/>
      <c r="I3990" s="15"/>
      <c r="J3990" s="15"/>
      <c r="K3990" s="15"/>
      <c r="L3990" s="15"/>
      <c r="M3990" s="16"/>
      <c r="N3990" s="16"/>
      <c r="O3990" s="15"/>
      <c r="P3990" s="15"/>
    </row>
    <row r="3991">
      <c r="A3991" s="15"/>
      <c r="B3991" s="22"/>
      <c r="C3991" s="22"/>
      <c r="D3991" s="22"/>
      <c r="E3991" s="15"/>
      <c r="F3991" s="15"/>
      <c r="G3991" s="15"/>
      <c r="H3991" s="15"/>
      <c r="I3991" s="15"/>
      <c r="J3991" s="15"/>
      <c r="K3991" s="15"/>
      <c r="L3991" s="15"/>
      <c r="M3991" s="16"/>
      <c r="N3991" s="16"/>
      <c r="O3991" s="15"/>
      <c r="P3991" s="15"/>
    </row>
    <row r="3992">
      <c r="A3992" s="15"/>
      <c r="B3992" s="22"/>
      <c r="C3992" s="22"/>
      <c r="D3992" s="22"/>
      <c r="E3992" s="15"/>
      <c r="F3992" s="15"/>
      <c r="G3992" s="15"/>
      <c r="H3992" s="15"/>
      <c r="I3992" s="15"/>
      <c r="J3992" s="15"/>
      <c r="K3992" s="15"/>
      <c r="L3992" s="15"/>
      <c r="M3992" s="16"/>
      <c r="N3992" s="16"/>
      <c r="O3992" s="15"/>
      <c r="P3992" s="15"/>
    </row>
    <row r="3993">
      <c r="A3993" s="15"/>
      <c r="B3993" s="22"/>
      <c r="C3993" s="22"/>
      <c r="D3993" s="22"/>
      <c r="E3993" s="15"/>
      <c r="F3993" s="15"/>
      <c r="G3993" s="15"/>
      <c r="H3993" s="15"/>
      <c r="I3993" s="15"/>
      <c r="J3993" s="15"/>
      <c r="K3993" s="15"/>
      <c r="L3993" s="15"/>
      <c r="M3993" s="16"/>
      <c r="N3993" s="16"/>
      <c r="O3993" s="15"/>
      <c r="P3993" s="15"/>
    </row>
    <row r="3994">
      <c r="A3994" s="15"/>
      <c r="B3994" s="22"/>
      <c r="C3994" s="22"/>
      <c r="D3994" s="22"/>
      <c r="E3994" s="15"/>
      <c r="F3994" s="15"/>
      <c r="G3994" s="15"/>
      <c r="H3994" s="15"/>
      <c r="I3994" s="15"/>
      <c r="J3994" s="15"/>
      <c r="K3994" s="15"/>
      <c r="L3994" s="15"/>
      <c r="M3994" s="16"/>
      <c r="N3994" s="16"/>
      <c r="O3994" s="15"/>
      <c r="P3994" s="15"/>
    </row>
    <row r="3995">
      <c r="A3995" s="15"/>
      <c r="B3995" s="22"/>
      <c r="C3995" s="22"/>
      <c r="D3995" s="22"/>
      <c r="E3995" s="15"/>
      <c r="F3995" s="15"/>
      <c r="G3995" s="15"/>
      <c r="H3995" s="15"/>
      <c r="I3995" s="15"/>
      <c r="J3995" s="15"/>
      <c r="K3995" s="15"/>
      <c r="L3995" s="15"/>
      <c r="M3995" s="16"/>
      <c r="N3995" s="16"/>
      <c r="O3995" s="15"/>
      <c r="P3995" s="15"/>
    </row>
    <row r="3996">
      <c r="A3996" s="15"/>
      <c r="B3996" s="22"/>
      <c r="C3996" s="22"/>
      <c r="D3996" s="22"/>
      <c r="E3996" s="15"/>
      <c r="F3996" s="15"/>
      <c r="G3996" s="15"/>
      <c r="H3996" s="15"/>
      <c r="I3996" s="15"/>
      <c r="J3996" s="15"/>
      <c r="K3996" s="15"/>
      <c r="L3996" s="15"/>
      <c r="M3996" s="16"/>
      <c r="N3996" s="16"/>
      <c r="O3996" s="15"/>
      <c r="P3996" s="15"/>
    </row>
    <row r="3997">
      <c r="A3997" s="15"/>
      <c r="B3997" s="22"/>
      <c r="C3997" s="22"/>
      <c r="D3997" s="22"/>
      <c r="E3997" s="15"/>
      <c r="F3997" s="15"/>
      <c r="G3997" s="15"/>
      <c r="H3997" s="15"/>
      <c r="I3997" s="15"/>
      <c r="J3997" s="15"/>
      <c r="K3997" s="15"/>
      <c r="L3997" s="15"/>
      <c r="M3997" s="16"/>
      <c r="N3997" s="16"/>
      <c r="O3997" s="15"/>
      <c r="P3997" s="15"/>
    </row>
    <row r="3998">
      <c r="A3998" s="15"/>
      <c r="B3998" s="22"/>
      <c r="C3998" s="22"/>
      <c r="D3998" s="22"/>
      <c r="E3998" s="15"/>
      <c r="F3998" s="15"/>
      <c r="G3998" s="15"/>
      <c r="H3998" s="15"/>
      <c r="I3998" s="15"/>
      <c r="J3998" s="15"/>
      <c r="K3998" s="15"/>
      <c r="L3998" s="15"/>
      <c r="M3998" s="16"/>
      <c r="N3998" s="16"/>
      <c r="O3998" s="15"/>
      <c r="P3998" s="15"/>
    </row>
    <row r="3999">
      <c r="A3999" s="15"/>
      <c r="B3999" s="22"/>
      <c r="C3999" s="22"/>
      <c r="D3999" s="22"/>
      <c r="E3999" s="15"/>
      <c r="F3999" s="15"/>
      <c r="G3999" s="15"/>
      <c r="H3999" s="15"/>
      <c r="I3999" s="15"/>
      <c r="J3999" s="15"/>
      <c r="K3999" s="15"/>
      <c r="L3999" s="15"/>
      <c r="M3999" s="16"/>
      <c r="N3999" s="16"/>
      <c r="O3999" s="15"/>
      <c r="P3999" s="15"/>
    </row>
    <row r="4000">
      <c r="A4000" s="15"/>
      <c r="B4000" s="22"/>
      <c r="C4000" s="22"/>
      <c r="D4000" s="22"/>
      <c r="E4000" s="15"/>
      <c r="F4000" s="15"/>
      <c r="G4000" s="15"/>
      <c r="H4000" s="15"/>
      <c r="I4000" s="15"/>
      <c r="J4000" s="15"/>
      <c r="K4000" s="15"/>
      <c r="L4000" s="15"/>
      <c r="M4000" s="16"/>
      <c r="N4000" s="16"/>
      <c r="O4000" s="15"/>
      <c r="P4000" s="15"/>
    </row>
    <row r="4001">
      <c r="A4001" s="15"/>
      <c r="B4001" s="22"/>
      <c r="C4001" s="22"/>
      <c r="D4001" s="22"/>
      <c r="E4001" s="15"/>
      <c r="F4001" s="15"/>
      <c r="G4001" s="15"/>
      <c r="H4001" s="15"/>
      <c r="I4001" s="15"/>
      <c r="J4001" s="15"/>
      <c r="K4001" s="15"/>
      <c r="L4001" s="15"/>
      <c r="M4001" s="16"/>
      <c r="N4001" s="16"/>
      <c r="O4001" s="15"/>
      <c r="P4001" s="15"/>
    </row>
    <row r="4002">
      <c r="A4002" s="15"/>
      <c r="B4002" s="22"/>
      <c r="C4002" s="22"/>
      <c r="D4002" s="22"/>
      <c r="E4002" s="15"/>
      <c r="F4002" s="15"/>
      <c r="G4002" s="15"/>
      <c r="H4002" s="15"/>
      <c r="I4002" s="15"/>
      <c r="J4002" s="15"/>
      <c r="K4002" s="15"/>
      <c r="L4002" s="15"/>
      <c r="M4002" s="16"/>
      <c r="N4002" s="16"/>
      <c r="O4002" s="15"/>
      <c r="P4002" s="15"/>
    </row>
    <row r="4003">
      <c r="A4003" s="15"/>
      <c r="B4003" s="22"/>
      <c r="C4003" s="22"/>
      <c r="D4003" s="22"/>
      <c r="E4003" s="15"/>
      <c r="F4003" s="15"/>
      <c r="G4003" s="15"/>
      <c r="H4003" s="15"/>
      <c r="I4003" s="15"/>
      <c r="J4003" s="15"/>
      <c r="K4003" s="15"/>
      <c r="L4003" s="15"/>
      <c r="M4003" s="16"/>
      <c r="N4003" s="16"/>
      <c r="O4003" s="15"/>
      <c r="P4003" s="15"/>
    </row>
    <row r="4004">
      <c r="A4004" s="15"/>
      <c r="B4004" s="22"/>
      <c r="C4004" s="22"/>
      <c r="D4004" s="22"/>
      <c r="E4004" s="15"/>
      <c r="F4004" s="15"/>
      <c r="G4004" s="15"/>
      <c r="H4004" s="15"/>
      <c r="I4004" s="15"/>
      <c r="J4004" s="15"/>
      <c r="K4004" s="15"/>
      <c r="L4004" s="15"/>
      <c r="M4004" s="16"/>
      <c r="N4004" s="16"/>
      <c r="O4004" s="15"/>
      <c r="P4004" s="15"/>
    </row>
    <row r="4005">
      <c r="A4005" s="15"/>
      <c r="B4005" s="22"/>
      <c r="C4005" s="22"/>
      <c r="D4005" s="22"/>
      <c r="E4005" s="15"/>
      <c r="F4005" s="15"/>
      <c r="G4005" s="15"/>
      <c r="H4005" s="15"/>
      <c r="I4005" s="15"/>
      <c r="J4005" s="15"/>
      <c r="K4005" s="15"/>
      <c r="L4005" s="15"/>
      <c r="M4005" s="16"/>
      <c r="N4005" s="16"/>
      <c r="O4005" s="15"/>
      <c r="P4005" s="15"/>
    </row>
    <row r="4006">
      <c r="A4006" s="15"/>
      <c r="B4006" s="22"/>
      <c r="C4006" s="22"/>
      <c r="D4006" s="22"/>
      <c r="E4006" s="15"/>
      <c r="F4006" s="15"/>
      <c r="G4006" s="15"/>
      <c r="H4006" s="15"/>
      <c r="I4006" s="15"/>
      <c r="J4006" s="15"/>
      <c r="K4006" s="15"/>
      <c r="L4006" s="15"/>
      <c r="M4006" s="16"/>
      <c r="N4006" s="16"/>
      <c r="O4006" s="15"/>
      <c r="P4006" s="15"/>
    </row>
    <row r="4007">
      <c r="A4007" s="15"/>
      <c r="B4007" s="22"/>
      <c r="C4007" s="22"/>
      <c r="D4007" s="22"/>
      <c r="E4007" s="15"/>
      <c r="F4007" s="15"/>
      <c r="G4007" s="15"/>
      <c r="H4007" s="15"/>
      <c r="I4007" s="15"/>
      <c r="J4007" s="15"/>
      <c r="K4007" s="15"/>
      <c r="L4007" s="15"/>
      <c r="M4007" s="16"/>
      <c r="N4007" s="16"/>
      <c r="O4007" s="15"/>
      <c r="P4007" s="15"/>
    </row>
    <row r="4008">
      <c r="A4008" s="15"/>
      <c r="B4008" s="22"/>
      <c r="C4008" s="22"/>
      <c r="D4008" s="22"/>
      <c r="E4008" s="15"/>
      <c r="F4008" s="15"/>
      <c r="G4008" s="15"/>
      <c r="H4008" s="15"/>
      <c r="I4008" s="15"/>
      <c r="J4008" s="15"/>
      <c r="K4008" s="15"/>
      <c r="L4008" s="15"/>
      <c r="M4008" s="16"/>
      <c r="N4008" s="16"/>
      <c r="O4008" s="15"/>
      <c r="P4008" s="15"/>
    </row>
    <row r="4009">
      <c r="A4009" s="15"/>
      <c r="B4009" s="22"/>
      <c r="C4009" s="22"/>
      <c r="D4009" s="22"/>
      <c r="E4009" s="15"/>
      <c r="F4009" s="15"/>
      <c r="G4009" s="15"/>
      <c r="H4009" s="15"/>
      <c r="I4009" s="15"/>
      <c r="J4009" s="15"/>
      <c r="K4009" s="15"/>
      <c r="L4009" s="15"/>
      <c r="M4009" s="16"/>
      <c r="N4009" s="16"/>
      <c r="O4009" s="15"/>
      <c r="P4009" s="15"/>
    </row>
    <row r="4010">
      <c r="A4010" s="15"/>
      <c r="B4010" s="22"/>
      <c r="C4010" s="22"/>
      <c r="D4010" s="22"/>
      <c r="E4010" s="15"/>
      <c r="F4010" s="15"/>
      <c r="G4010" s="15"/>
      <c r="H4010" s="15"/>
      <c r="I4010" s="15"/>
      <c r="J4010" s="15"/>
      <c r="K4010" s="15"/>
      <c r="L4010" s="15"/>
      <c r="M4010" s="16"/>
      <c r="N4010" s="16"/>
      <c r="O4010" s="15"/>
      <c r="P4010" s="15"/>
    </row>
    <row r="4011">
      <c r="A4011" s="15"/>
      <c r="B4011" s="22"/>
      <c r="C4011" s="22"/>
      <c r="D4011" s="22"/>
      <c r="E4011" s="15"/>
      <c r="F4011" s="15"/>
      <c r="G4011" s="15"/>
      <c r="H4011" s="15"/>
      <c r="I4011" s="15"/>
      <c r="J4011" s="15"/>
      <c r="K4011" s="15"/>
      <c r="L4011" s="15"/>
      <c r="M4011" s="16"/>
      <c r="N4011" s="16"/>
      <c r="O4011" s="15"/>
      <c r="P4011" s="15"/>
    </row>
    <row r="4012">
      <c r="A4012" s="15"/>
      <c r="B4012" s="22"/>
      <c r="C4012" s="22"/>
      <c r="D4012" s="22"/>
      <c r="E4012" s="15"/>
      <c r="F4012" s="15"/>
      <c r="G4012" s="15"/>
      <c r="H4012" s="15"/>
      <c r="I4012" s="15"/>
      <c r="J4012" s="15"/>
      <c r="K4012" s="15"/>
      <c r="L4012" s="15"/>
      <c r="M4012" s="16"/>
      <c r="N4012" s="16"/>
      <c r="O4012" s="15"/>
      <c r="P4012" s="15"/>
    </row>
    <row r="4013">
      <c r="A4013" s="15"/>
      <c r="B4013" s="22"/>
      <c r="C4013" s="22"/>
      <c r="D4013" s="22"/>
      <c r="E4013" s="15"/>
      <c r="F4013" s="15"/>
      <c r="G4013" s="15"/>
      <c r="H4013" s="15"/>
      <c r="I4013" s="15"/>
      <c r="J4013" s="15"/>
      <c r="K4013" s="15"/>
      <c r="L4013" s="15"/>
      <c r="M4013" s="16"/>
      <c r="N4013" s="16"/>
      <c r="O4013" s="15"/>
      <c r="P4013" s="15"/>
    </row>
    <row r="4014">
      <c r="A4014" s="15"/>
      <c r="B4014" s="22"/>
      <c r="C4014" s="22"/>
      <c r="D4014" s="22"/>
      <c r="E4014" s="15"/>
      <c r="F4014" s="15"/>
      <c r="G4014" s="15"/>
      <c r="H4014" s="15"/>
      <c r="I4014" s="15"/>
      <c r="J4014" s="15"/>
      <c r="K4014" s="15"/>
      <c r="L4014" s="15"/>
      <c r="M4014" s="16"/>
      <c r="N4014" s="16"/>
      <c r="O4014" s="15"/>
      <c r="P4014" s="15"/>
    </row>
    <row r="4015">
      <c r="A4015" s="15"/>
      <c r="B4015" s="22"/>
      <c r="C4015" s="22"/>
      <c r="D4015" s="22"/>
      <c r="E4015" s="15"/>
      <c r="F4015" s="15"/>
      <c r="G4015" s="15"/>
      <c r="H4015" s="15"/>
      <c r="I4015" s="15"/>
      <c r="J4015" s="15"/>
      <c r="K4015" s="15"/>
      <c r="L4015" s="15"/>
      <c r="M4015" s="16"/>
      <c r="N4015" s="16"/>
      <c r="O4015" s="15"/>
      <c r="P4015" s="15"/>
    </row>
    <row r="4016">
      <c r="A4016" s="15"/>
      <c r="B4016" s="22"/>
      <c r="C4016" s="22"/>
      <c r="D4016" s="22"/>
      <c r="E4016" s="15"/>
      <c r="F4016" s="15"/>
      <c r="G4016" s="15"/>
      <c r="H4016" s="15"/>
      <c r="I4016" s="15"/>
      <c r="J4016" s="15"/>
      <c r="K4016" s="15"/>
      <c r="L4016" s="15"/>
      <c r="M4016" s="16"/>
      <c r="N4016" s="16"/>
      <c r="O4016" s="15"/>
      <c r="P4016" s="15"/>
    </row>
    <row r="4017">
      <c r="A4017" s="15"/>
      <c r="B4017" s="22"/>
      <c r="C4017" s="22"/>
      <c r="D4017" s="22"/>
      <c r="E4017" s="15"/>
      <c r="F4017" s="15"/>
      <c r="G4017" s="15"/>
      <c r="H4017" s="15"/>
      <c r="I4017" s="15"/>
      <c r="J4017" s="15"/>
      <c r="K4017" s="15"/>
      <c r="L4017" s="15"/>
      <c r="M4017" s="16"/>
      <c r="N4017" s="16"/>
      <c r="O4017" s="15"/>
      <c r="P4017" s="15"/>
    </row>
    <row r="4018">
      <c r="A4018" s="15"/>
      <c r="B4018" s="22"/>
      <c r="C4018" s="22"/>
      <c r="D4018" s="22"/>
      <c r="E4018" s="15"/>
      <c r="F4018" s="15"/>
      <c r="G4018" s="15"/>
      <c r="H4018" s="15"/>
      <c r="I4018" s="15"/>
      <c r="J4018" s="15"/>
      <c r="K4018" s="15"/>
      <c r="L4018" s="15"/>
      <c r="M4018" s="16"/>
      <c r="N4018" s="16"/>
      <c r="O4018" s="15"/>
      <c r="P4018" s="15"/>
    </row>
    <row r="4019">
      <c r="A4019" s="15"/>
      <c r="B4019" s="22"/>
      <c r="C4019" s="22"/>
      <c r="D4019" s="22"/>
      <c r="E4019" s="15"/>
      <c r="F4019" s="15"/>
      <c r="G4019" s="15"/>
      <c r="H4019" s="15"/>
      <c r="I4019" s="15"/>
      <c r="J4019" s="15"/>
      <c r="K4019" s="15"/>
      <c r="L4019" s="15"/>
      <c r="M4019" s="16"/>
      <c r="N4019" s="16"/>
      <c r="O4019" s="15"/>
      <c r="P4019" s="15"/>
    </row>
    <row r="4020">
      <c r="A4020" s="15"/>
      <c r="B4020" s="22"/>
      <c r="C4020" s="22"/>
      <c r="D4020" s="22"/>
      <c r="E4020" s="15"/>
      <c r="F4020" s="15"/>
      <c r="G4020" s="15"/>
      <c r="H4020" s="15"/>
      <c r="I4020" s="15"/>
      <c r="J4020" s="15"/>
      <c r="K4020" s="15"/>
      <c r="L4020" s="15"/>
      <c r="M4020" s="16"/>
      <c r="N4020" s="16"/>
      <c r="O4020" s="15"/>
      <c r="P4020" s="15"/>
    </row>
    <row r="4021">
      <c r="A4021" s="15"/>
      <c r="B4021" s="22"/>
      <c r="C4021" s="22"/>
      <c r="D4021" s="22"/>
      <c r="E4021" s="15"/>
      <c r="F4021" s="15"/>
      <c r="G4021" s="15"/>
      <c r="H4021" s="15"/>
      <c r="I4021" s="15"/>
      <c r="J4021" s="15"/>
      <c r="K4021" s="15"/>
      <c r="L4021" s="15"/>
      <c r="M4021" s="16"/>
      <c r="N4021" s="16"/>
      <c r="O4021" s="15"/>
      <c r="P4021" s="15"/>
    </row>
    <row r="4022">
      <c r="A4022" s="15"/>
      <c r="B4022" s="22"/>
      <c r="C4022" s="22"/>
      <c r="D4022" s="22"/>
      <c r="E4022" s="15"/>
      <c r="F4022" s="15"/>
      <c r="G4022" s="15"/>
      <c r="H4022" s="15"/>
      <c r="I4022" s="15"/>
      <c r="J4022" s="15"/>
      <c r="K4022" s="15"/>
      <c r="L4022" s="15"/>
      <c r="M4022" s="16"/>
      <c r="N4022" s="16"/>
      <c r="O4022" s="15"/>
      <c r="P4022" s="15"/>
    </row>
    <row r="4023">
      <c r="A4023" s="15"/>
      <c r="B4023" s="22"/>
      <c r="C4023" s="22"/>
      <c r="D4023" s="22"/>
      <c r="E4023" s="15"/>
      <c r="F4023" s="15"/>
      <c r="G4023" s="15"/>
      <c r="H4023" s="15"/>
      <c r="I4023" s="15"/>
      <c r="J4023" s="15"/>
      <c r="K4023" s="15"/>
      <c r="L4023" s="15"/>
      <c r="M4023" s="16"/>
      <c r="N4023" s="16"/>
      <c r="O4023" s="15"/>
      <c r="P4023" s="15"/>
    </row>
    <row r="4024">
      <c r="A4024" s="15"/>
      <c r="B4024" s="22"/>
      <c r="C4024" s="22"/>
      <c r="D4024" s="22"/>
      <c r="E4024" s="15"/>
      <c r="F4024" s="15"/>
      <c r="G4024" s="15"/>
      <c r="H4024" s="15"/>
      <c r="I4024" s="15"/>
      <c r="J4024" s="15"/>
      <c r="K4024" s="15"/>
      <c r="L4024" s="15"/>
      <c r="M4024" s="16"/>
      <c r="N4024" s="16"/>
      <c r="O4024" s="15"/>
      <c r="P4024" s="15"/>
    </row>
    <row r="4025">
      <c r="A4025" s="15"/>
      <c r="B4025" s="22"/>
      <c r="C4025" s="22"/>
      <c r="D4025" s="22"/>
      <c r="E4025" s="15"/>
      <c r="F4025" s="15"/>
      <c r="G4025" s="15"/>
      <c r="H4025" s="15"/>
      <c r="I4025" s="15"/>
      <c r="J4025" s="15"/>
      <c r="K4025" s="15"/>
      <c r="L4025" s="15"/>
      <c r="M4025" s="16"/>
      <c r="N4025" s="16"/>
      <c r="O4025" s="15"/>
      <c r="P4025" s="15"/>
    </row>
    <row r="4026">
      <c r="A4026" s="15"/>
      <c r="B4026" s="22"/>
      <c r="C4026" s="22"/>
      <c r="D4026" s="22"/>
      <c r="E4026" s="15"/>
      <c r="F4026" s="15"/>
      <c r="G4026" s="15"/>
      <c r="H4026" s="15"/>
      <c r="I4026" s="15"/>
      <c r="J4026" s="15"/>
      <c r="K4026" s="15"/>
      <c r="L4026" s="15"/>
      <c r="M4026" s="16"/>
      <c r="N4026" s="16"/>
      <c r="O4026" s="15"/>
      <c r="P4026" s="15"/>
    </row>
    <row r="4027">
      <c r="A4027" s="15"/>
      <c r="B4027" s="22"/>
      <c r="C4027" s="22"/>
      <c r="D4027" s="22"/>
      <c r="E4027" s="15"/>
      <c r="F4027" s="15"/>
      <c r="G4027" s="15"/>
      <c r="H4027" s="15"/>
      <c r="I4027" s="15"/>
      <c r="J4027" s="15"/>
      <c r="K4027" s="15"/>
      <c r="L4027" s="15"/>
      <c r="M4027" s="16"/>
      <c r="N4027" s="16"/>
      <c r="O4027" s="15"/>
      <c r="P4027" s="15"/>
    </row>
    <row r="4028">
      <c r="A4028" s="15"/>
      <c r="B4028" s="22"/>
      <c r="C4028" s="22"/>
      <c r="D4028" s="22"/>
      <c r="E4028" s="15"/>
      <c r="F4028" s="15"/>
      <c r="G4028" s="15"/>
      <c r="H4028" s="15"/>
      <c r="I4028" s="15"/>
      <c r="J4028" s="15"/>
      <c r="K4028" s="15"/>
      <c r="L4028" s="15"/>
      <c r="M4028" s="16"/>
      <c r="N4028" s="16"/>
      <c r="O4028" s="15"/>
      <c r="P4028" s="15"/>
    </row>
    <row r="4029">
      <c r="A4029" s="15"/>
      <c r="B4029" s="22"/>
      <c r="C4029" s="22"/>
      <c r="D4029" s="22"/>
      <c r="E4029" s="15"/>
      <c r="F4029" s="15"/>
      <c r="G4029" s="15"/>
      <c r="H4029" s="15"/>
      <c r="I4029" s="15"/>
      <c r="J4029" s="15"/>
      <c r="K4029" s="15"/>
      <c r="L4029" s="15"/>
      <c r="M4029" s="16"/>
      <c r="N4029" s="16"/>
      <c r="O4029" s="15"/>
      <c r="P4029" s="15"/>
    </row>
    <row r="4030">
      <c r="A4030" s="15"/>
      <c r="B4030" s="22"/>
      <c r="C4030" s="22"/>
      <c r="D4030" s="22"/>
      <c r="E4030" s="15"/>
      <c r="F4030" s="15"/>
      <c r="G4030" s="15"/>
      <c r="H4030" s="15"/>
      <c r="I4030" s="15"/>
      <c r="J4030" s="15"/>
      <c r="K4030" s="15"/>
      <c r="L4030" s="15"/>
      <c r="M4030" s="16"/>
      <c r="N4030" s="16"/>
      <c r="O4030" s="15"/>
      <c r="P4030" s="15"/>
    </row>
    <row r="4031">
      <c r="A4031" s="15"/>
      <c r="B4031" s="22"/>
      <c r="C4031" s="22"/>
      <c r="D4031" s="22"/>
      <c r="E4031" s="15"/>
      <c r="F4031" s="15"/>
      <c r="G4031" s="15"/>
      <c r="H4031" s="15"/>
      <c r="I4031" s="15"/>
      <c r="J4031" s="15"/>
      <c r="K4031" s="15"/>
      <c r="L4031" s="15"/>
      <c r="M4031" s="16"/>
      <c r="N4031" s="16"/>
      <c r="O4031" s="15"/>
      <c r="P4031" s="15"/>
    </row>
    <row r="4032">
      <c r="A4032" s="15"/>
      <c r="B4032" s="22"/>
      <c r="C4032" s="22"/>
      <c r="D4032" s="22"/>
      <c r="E4032" s="15"/>
      <c r="F4032" s="15"/>
      <c r="G4032" s="15"/>
      <c r="H4032" s="15"/>
      <c r="I4032" s="15"/>
      <c r="J4032" s="15"/>
      <c r="K4032" s="15"/>
      <c r="L4032" s="15"/>
      <c r="M4032" s="16"/>
      <c r="N4032" s="16"/>
      <c r="O4032" s="15"/>
      <c r="P4032" s="15"/>
    </row>
    <row r="4033">
      <c r="A4033" s="15"/>
      <c r="B4033" s="22"/>
      <c r="C4033" s="22"/>
      <c r="D4033" s="22"/>
      <c r="E4033" s="15"/>
      <c r="F4033" s="15"/>
      <c r="G4033" s="15"/>
      <c r="H4033" s="15"/>
      <c r="I4033" s="15"/>
      <c r="J4033" s="15"/>
      <c r="K4033" s="15"/>
      <c r="L4033" s="15"/>
      <c r="M4033" s="16"/>
      <c r="N4033" s="16"/>
      <c r="O4033" s="15"/>
      <c r="P4033" s="15"/>
    </row>
    <row r="4034">
      <c r="A4034" s="15"/>
      <c r="B4034" s="22"/>
      <c r="C4034" s="22"/>
      <c r="D4034" s="22"/>
      <c r="E4034" s="15"/>
      <c r="F4034" s="15"/>
      <c r="G4034" s="15"/>
      <c r="H4034" s="15"/>
      <c r="I4034" s="15"/>
      <c r="J4034" s="15"/>
      <c r="K4034" s="15"/>
      <c r="L4034" s="15"/>
      <c r="M4034" s="16"/>
      <c r="N4034" s="16"/>
      <c r="O4034" s="15"/>
      <c r="P4034" s="15"/>
    </row>
    <row r="4035">
      <c r="A4035" s="15"/>
      <c r="B4035" s="22"/>
      <c r="C4035" s="22"/>
      <c r="D4035" s="22"/>
      <c r="E4035" s="15"/>
      <c r="F4035" s="15"/>
      <c r="G4035" s="15"/>
      <c r="H4035" s="15"/>
      <c r="I4035" s="15"/>
      <c r="J4035" s="15"/>
      <c r="K4035" s="15"/>
      <c r="L4035" s="15"/>
      <c r="M4035" s="16"/>
      <c r="N4035" s="16"/>
      <c r="O4035" s="15"/>
      <c r="P4035" s="15"/>
    </row>
    <row r="4036">
      <c r="A4036" s="15"/>
      <c r="B4036" s="22"/>
      <c r="C4036" s="22"/>
      <c r="D4036" s="22"/>
      <c r="E4036" s="15"/>
      <c r="F4036" s="15"/>
      <c r="G4036" s="15"/>
      <c r="H4036" s="15"/>
      <c r="I4036" s="15"/>
      <c r="J4036" s="15"/>
      <c r="K4036" s="15"/>
      <c r="L4036" s="15"/>
      <c r="M4036" s="16"/>
      <c r="N4036" s="16"/>
      <c r="O4036" s="15"/>
      <c r="P4036" s="15"/>
    </row>
    <row r="4037">
      <c r="A4037" s="15"/>
      <c r="B4037" s="22"/>
      <c r="C4037" s="22"/>
      <c r="D4037" s="22"/>
      <c r="E4037" s="15"/>
      <c r="F4037" s="15"/>
      <c r="G4037" s="15"/>
      <c r="H4037" s="15"/>
      <c r="I4037" s="15"/>
      <c r="J4037" s="15"/>
      <c r="K4037" s="15"/>
      <c r="L4037" s="15"/>
      <c r="M4037" s="16"/>
      <c r="N4037" s="16"/>
      <c r="O4037" s="15"/>
      <c r="P4037" s="15"/>
    </row>
    <row r="4038">
      <c r="A4038" s="15"/>
      <c r="B4038" s="22"/>
      <c r="C4038" s="22"/>
      <c r="D4038" s="22"/>
      <c r="E4038" s="15"/>
      <c r="F4038" s="15"/>
      <c r="G4038" s="15"/>
      <c r="H4038" s="15"/>
      <c r="I4038" s="15"/>
      <c r="J4038" s="15"/>
      <c r="K4038" s="15"/>
      <c r="L4038" s="15"/>
      <c r="M4038" s="16"/>
      <c r="N4038" s="16"/>
      <c r="O4038" s="15"/>
      <c r="P4038" s="15"/>
    </row>
    <row r="4039">
      <c r="A4039" s="15"/>
      <c r="B4039" s="22"/>
      <c r="C4039" s="22"/>
      <c r="D4039" s="22"/>
      <c r="E4039" s="15"/>
      <c r="F4039" s="15"/>
      <c r="G4039" s="15"/>
      <c r="H4039" s="15"/>
      <c r="I4039" s="15"/>
      <c r="J4039" s="15"/>
      <c r="K4039" s="15"/>
      <c r="L4039" s="15"/>
      <c r="M4039" s="16"/>
      <c r="N4039" s="16"/>
      <c r="O4039" s="15"/>
      <c r="P4039" s="15"/>
    </row>
    <row r="4040">
      <c r="A4040" s="15"/>
      <c r="B4040" s="22"/>
      <c r="C4040" s="22"/>
      <c r="D4040" s="22"/>
      <c r="E4040" s="15"/>
      <c r="F4040" s="15"/>
      <c r="G4040" s="15"/>
      <c r="H4040" s="15"/>
      <c r="I4040" s="15"/>
      <c r="J4040" s="15"/>
      <c r="K4040" s="15"/>
      <c r="L4040" s="15"/>
      <c r="M4040" s="16"/>
      <c r="N4040" s="16"/>
      <c r="O4040" s="15"/>
      <c r="P4040" s="15"/>
    </row>
    <row r="4041">
      <c r="A4041" s="15"/>
      <c r="B4041" s="22"/>
      <c r="C4041" s="22"/>
      <c r="D4041" s="22"/>
      <c r="E4041" s="15"/>
      <c r="F4041" s="15"/>
      <c r="G4041" s="15"/>
      <c r="H4041" s="15"/>
      <c r="I4041" s="15"/>
      <c r="J4041" s="15"/>
      <c r="K4041" s="15"/>
      <c r="L4041" s="15"/>
      <c r="M4041" s="16"/>
      <c r="N4041" s="16"/>
      <c r="O4041" s="15"/>
      <c r="P4041" s="15"/>
    </row>
    <row r="4042">
      <c r="A4042" s="15"/>
      <c r="B4042" s="22"/>
      <c r="C4042" s="22"/>
      <c r="D4042" s="22"/>
      <c r="E4042" s="15"/>
      <c r="F4042" s="15"/>
      <c r="G4042" s="15"/>
      <c r="H4042" s="15"/>
      <c r="I4042" s="15"/>
      <c r="J4042" s="15"/>
      <c r="K4042" s="15"/>
      <c r="L4042" s="15"/>
      <c r="M4042" s="16"/>
      <c r="N4042" s="16"/>
      <c r="O4042" s="15"/>
      <c r="P4042" s="15"/>
    </row>
    <row r="4043">
      <c r="A4043" s="15"/>
      <c r="B4043" s="22"/>
      <c r="C4043" s="22"/>
      <c r="D4043" s="22"/>
      <c r="E4043" s="15"/>
      <c r="F4043" s="15"/>
      <c r="G4043" s="15"/>
      <c r="H4043" s="15"/>
      <c r="I4043" s="15"/>
      <c r="J4043" s="15"/>
      <c r="K4043" s="15"/>
      <c r="L4043" s="15"/>
      <c r="M4043" s="16"/>
      <c r="N4043" s="16"/>
      <c r="O4043" s="15"/>
      <c r="P4043" s="15"/>
    </row>
    <row r="4044">
      <c r="A4044" s="15"/>
      <c r="B4044" s="22"/>
      <c r="C4044" s="22"/>
      <c r="D4044" s="22"/>
      <c r="E4044" s="15"/>
      <c r="F4044" s="15"/>
      <c r="G4044" s="15"/>
      <c r="H4044" s="15"/>
      <c r="I4044" s="15"/>
      <c r="J4044" s="15"/>
      <c r="K4044" s="15"/>
      <c r="L4044" s="15"/>
      <c r="M4044" s="16"/>
      <c r="N4044" s="16"/>
      <c r="O4044" s="15"/>
      <c r="P4044" s="15"/>
    </row>
    <row r="4045">
      <c r="A4045" s="15"/>
      <c r="B4045" s="22"/>
      <c r="C4045" s="22"/>
      <c r="D4045" s="22"/>
      <c r="E4045" s="15"/>
      <c r="F4045" s="15"/>
      <c r="G4045" s="15"/>
      <c r="H4045" s="15"/>
      <c r="I4045" s="15"/>
      <c r="J4045" s="15"/>
      <c r="K4045" s="15"/>
      <c r="L4045" s="15"/>
      <c r="M4045" s="16"/>
      <c r="N4045" s="16"/>
      <c r="O4045" s="15"/>
      <c r="P4045" s="15"/>
    </row>
    <row r="4046">
      <c r="A4046" s="15"/>
      <c r="B4046" s="22"/>
      <c r="C4046" s="22"/>
      <c r="D4046" s="22"/>
      <c r="E4046" s="15"/>
      <c r="F4046" s="15"/>
      <c r="G4046" s="15"/>
      <c r="H4046" s="15"/>
      <c r="I4046" s="15"/>
      <c r="J4046" s="15"/>
      <c r="K4046" s="15"/>
      <c r="L4046" s="15"/>
      <c r="M4046" s="16"/>
      <c r="N4046" s="16"/>
      <c r="O4046" s="15"/>
      <c r="P4046" s="15"/>
    </row>
    <row r="4047">
      <c r="A4047" s="15"/>
      <c r="B4047" s="22"/>
      <c r="C4047" s="22"/>
      <c r="D4047" s="22"/>
      <c r="E4047" s="15"/>
      <c r="F4047" s="15"/>
      <c r="G4047" s="15"/>
      <c r="H4047" s="15"/>
      <c r="I4047" s="15"/>
      <c r="J4047" s="15"/>
      <c r="K4047" s="15"/>
      <c r="L4047" s="15"/>
      <c r="M4047" s="16"/>
      <c r="N4047" s="16"/>
      <c r="O4047" s="15"/>
      <c r="P4047" s="15"/>
    </row>
    <row r="4048">
      <c r="A4048" s="15"/>
      <c r="B4048" s="22"/>
      <c r="C4048" s="22"/>
      <c r="D4048" s="22"/>
      <c r="E4048" s="15"/>
      <c r="F4048" s="15"/>
      <c r="G4048" s="15"/>
      <c r="H4048" s="15"/>
      <c r="I4048" s="15"/>
      <c r="J4048" s="15"/>
      <c r="K4048" s="15"/>
      <c r="L4048" s="15"/>
      <c r="M4048" s="16"/>
      <c r="N4048" s="16"/>
      <c r="O4048" s="15"/>
      <c r="P4048" s="15"/>
    </row>
    <row r="4049">
      <c r="A4049" s="15"/>
      <c r="B4049" s="22"/>
      <c r="C4049" s="22"/>
      <c r="D4049" s="22"/>
      <c r="E4049" s="15"/>
      <c r="F4049" s="15"/>
      <c r="G4049" s="15"/>
      <c r="H4049" s="15"/>
      <c r="I4049" s="15"/>
      <c r="J4049" s="15"/>
      <c r="K4049" s="15"/>
      <c r="L4049" s="15"/>
      <c r="M4049" s="16"/>
      <c r="N4049" s="16"/>
      <c r="O4049" s="15"/>
      <c r="P4049" s="15"/>
    </row>
    <row r="4050">
      <c r="A4050" s="15"/>
      <c r="B4050" s="22"/>
      <c r="C4050" s="22"/>
      <c r="D4050" s="22"/>
      <c r="E4050" s="15"/>
      <c r="F4050" s="15"/>
      <c r="G4050" s="15"/>
      <c r="H4050" s="15"/>
      <c r="I4050" s="15"/>
      <c r="J4050" s="15"/>
      <c r="K4050" s="15"/>
      <c r="L4050" s="15"/>
      <c r="M4050" s="16"/>
      <c r="N4050" s="16"/>
      <c r="O4050" s="15"/>
      <c r="P4050" s="15"/>
    </row>
    <row r="4051">
      <c r="A4051" s="15"/>
      <c r="B4051" s="22"/>
      <c r="C4051" s="22"/>
      <c r="D4051" s="22"/>
      <c r="E4051" s="15"/>
      <c r="F4051" s="15"/>
      <c r="G4051" s="15"/>
      <c r="H4051" s="15"/>
      <c r="I4051" s="15"/>
      <c r="J4051" s="15"/>
      <c r="K4051" s="15"/>
      <c r="L4051" s="15"/>
      <c r="M4051" s="16"/>
      <c r="N4051" s="16"/>
      <c r="O4051" s="15"/>
      <c r="P4051" s="15"/>
    </row>
    <row r="4052">
      <c r="A4052" s="15"/>
      <c r="B4052" s="22"/>
      <c r="C4052" s="22"/>
      <c r="D4052" s="22"/>
      <c r="E4052" s="15"/>
      <c r="F4052" s="15"/>
      <c r="G4052" s="15"/>
      <c r="H4052" s="15"/>
      <c r="I4052" s="15"/>
      <c r="J4052" s="15"/>
      <c r="K4052" s="15"/>
      <c r="L4052" s="15"/>
      <c r="M4052" s="16"/>
      <c r="N4052" s="16"/>
      <c r="O4052" s="15"/>
      <c r="P4052" s="15"/>
    </row>
    <row r="4053">
      <c r="A4053" s="15"/>
      <c r="B4053" s="22"/>
      <c r="C4053" s="22"/>
      <c r="D4053" s="22"/>
      <c r="E4053" s="15"/>
      <c r="F4053" s="15"/>
      <c r="G4053" s="15"/>
      <c r="H4053" s="15"/>
      <c r="I4053" s="15"/>
      <c r="J4053" s="15"/>
      <c r="K4053" s="15"/>
      <c r="L4053" s="15"/>
      <c r="M4053" s="16"/>
      <c r="N4053" s="16"/>
      <c r="O4053" s="15"/>
      <c r="P4053" s="15"/>
    </row>
    <row r="4054">
      <c r="A4054" s="15"/>
      <c r="B4054" s="22"/>
      <c r="C4054" s="22"/>
      <c r="D4054" s="22"/>
      <c r="E4054" s="15"/>
      <c r="F4054" s="15"/>
      <c r="G4054" s="15"/>
      <c r="H4054" s="15"/>
      <c r="I4054" s="15"/>
      <c r="J4054" s="15"/>
      <c r="K4054" s="15"/>
      <c r="L4054" s="15"/>
      <c r="M4054" s="16"/>
      <c r="N4054" s="16"/>
      <c r="O4054" s="15"/>
      <c r="P4054" s="15"/>
    </row>
    <row r="4055">
      <c r="A4055" s="15"/>
      <c r="B4055" s="22"/>
      <c r="C4055" s="22"/>
      <c r="D4055" s="22"/>
      <c r="E4055" s="15"/>
      <c r="F4055" s="15"/>
      <c r="G4055" s="15"/>
      <c r="H4055" s="15"/>
      <c r="I4055" s="15"/>
      <c r="J4055" s="15"/>
      <c r="K4055" s="15"/>
      <c r="L4055" s="15"/>
      <c r="M4055" s="16"/>
      <c r="N4055" s="16"/>
      <c r="O4055" s="15"/>
      <c r="P4055" s="15"/>
    </row>
    <row r="4056">
      <c r="A4056" s="15"/>
      <c r="B4056" s="22"/>
      <c r="C4056" s="22"/>
      <c r="D4056" s="22"/>
      <c r="E4056" s="15"/>
      <c r="F4056" s="15"/>
      <c r="G4056" s="15"/>
      <c r="H4056" s="15"/>
      <c r="I4056" s="15"/>
      <c r="J4056" s="15"/>
      <c r="K4056" s="15"/>
      <c r="L4056" s="15"/>
      <c r="M4056" s="16"/>
      <c r="N4056" s="16"/>
      <c r="O4056" s="15"/>
      <c r="P4056" s="15"/>
    </row>
    <row r="4057">
      <c r="A4057" s="15"/>
      <c r="B4057" s="22"/>
      <c r="C4057" s="22"/>
      <c r="D4057" s="22"/>
      <c r="E4057" s="15"/>
      <c r="F4057" s="15"/>
      <c r="G4057" s="15"/>
      <c r="H4057" s="15"/>
      <c r="I4057" s="15"/>
      <c r="J4057" s="15"/>
      <c r="K4057" s="15"/>
      <c r="L4057" s="15"/>
      <c r="M4057" s="16"/>
      <c r="N4057" s="16"/>
      <c r="O4057" s="15"/>
      <c r="P4057" s="15"/>
    </row>
    <row r="4058">
      <c r="A4058" s="15"/>
      <c r="B4058" s="22"/>
      <c r="C4058" s="22"/>
      <c r="D4058" s="22"/>
      <c r="E4058" s="15"/>
      <c r="F4058" s="15"/>
      <c r="G4058" s="15"/>
      <c r="H4058" s="15"/>
      <c r="I4058" s="15"/>
      <c r="J4058" s="15"/>
      <c r="K4058" s="15"/>
      <c r="L4058" s="15"/>
      <c r="M4058" s="16"/>
      <c r="N4058" s="16"/>
      <c r="O4058" s="15"/>
      <c r="P4058" s="15"/>
    </row>
    <row r="4059">
      <c r="A4059" s="15"/>
      <c r="B4059" s="22"/>
      <c r="C4059" s="22"/>
      <c r="D4059" s="22"/>
      <c r="E4059" s="15"/>
      <c r="F4059" s="15"/>
      <c r="G4059" s="15"/>
      <c r="H4059" s="15"/>
      <c r="I4059" s="15"/>
      <c r="J4059" s="15"/>
      <c r="K4059" s="15"/>
      <c r="L4059" s="15"/>
      <c r="M4059" s="16"/>
      <c r="N4059" s="16"/>
      <c r="O4059" s="15"/>
      <c r="P4059" s="15"/>
    </row>
  </sheetData>
  <mergeCells count="2">
    <mergeCell ref="G1:O1"/>
    <mergeCell ref="A1:F1"/>
  </mergeCells>
  <hyperlinks>
    <hyperlink r:id="rId1" ref="B3"/>
    <hyperlink r:id="rId2" ref="C3"/>
    <hyperlink r:id="rId3" ref="E3"/>
    <hyperlink r:id="rId4" ref="O3"/>
    <hyperlink r:id="rId5" ref="B4"/>
    <hyperlink r:id="rId6" ref="E4"/>
    <hyperlink r:id="rId7" ref="O4"/>
    <hyperlink r:id="rId8" ref="B5"/>
    <hyperlink r:id="rId9" ref="E5"/>
    <hyperlink r:id="rId10" ref="O5"/>
    <hyperlink r:id="rId11" ref="B6"/>
    <hyperlink r:id="rId12" ref="E6"/>
    <hyperlink r:id="rId13" ref="O6"/>
    <hyperlink r:id="rId14" ref="B7"/>
    <hyperlink r:id="rId15" ref="E7"/>
    <hyperlink r:id="rId16" ref="O7"/>
    <hyperlink r:id="rId17" ref="B8"/>
    <hyperlink r:id="rId18" ref="E8"/>
    <hyperlink r:id="rId19" ref="O8"/>
    <hyperlink r:id="rId20" ref="B9"/>
    <hyperlink r:id="rId21" ref="E9"/>
    <hyperlink r:id="rId22" ref="O9"/>
    <hyperlink r:id="rId23" ref="B10"/>
    <hyperlink r:id="rId24" ref="E10"/>
    <hyperlink r:id="rId25" ref="O10"/>
    <hyperlink r:id="rId26" ref="B11"/>
    <hyperlink r:id="rId27" ref="E11"/>
    <hyperlink r:id="rId28" ref="O11"/>
    <hyperlink r:id="rId29" ref="B12"/>
    <hyperlink r:id="rId30" ref="E12"/>
    <hyperlink r:id="rId31" ref="O12"/>
    <hyperlink r:id="rId32" ref="B13"/>
    <hyperlink r:id="rId33" ref="E13"/>
    <hyperlink r:id="rId34" ref="O13"/>
    <hyperlink r:id="rId35" ref="B14"/>
    <hyperlink r:id="rId36" ref="E14"/>
    <hyperlink r:id="rId37" ref="O14"/>
    <hyperlink r:id="rId38" ref="B15"/>
    <hyperlink r:id="rId39" ref="E15"/>
    <hyperlink r:id="rId40" ref="O15"/>
    <hyperlink r:id="rId41" ref="B16"/>
    <hyperlink r:id="rId42" ref="E16"/>
    <hyperlink r:id="rId43" ref="F16"/>
    <hyperlink r:id="rId44" ref="O16"/>
    <hyperlink r:id="rId45" ref="B17"/>
    <hyperlink r:id="rId46" ref="E17"/>
    <hyperlink r:id="rId47" ref="F17"/>
    <hyperlink r:id="rId48" ref="O17"/>
    <hyperlink r:id="rId49" ref="B18"/>
    <hyperlink r:id="rId50" ref="E18"/>
    <hyperlink r:id="rId51" ref="O18"/>
    <hyperlink r:id="rId52" ref="B19"/>
    <hyperlink r:id="rId53" ref="E19"/>
    <hyperlink r:id="rId54" ref="O19"/>
    <hyperlink r:id="rId55" ref="B20"/>
    <hyperlink r:id="rId56" ref="E20"/>
    <hyperlink r:id="rId57" ref="F20"/>
    <hyperlink r:id="rId58" ref="O20"/>
    <hyperlink r:id="rId59" ref="B21"/>
    <hyperlink r:id="rId60" ref="E21"/>
    <hyperlink r:id="rId61" ref="O21"/>
    <hyperlink r:id="rId62" ref="B22"/>
    <hyperlink r:id="rId63" ref="E22"/>
    <hyperlink r:id="rId64" ref="O22"/>
    <hyperlink r:id="rId65" ref="B23"/>
    <hyperlink r:id="rId66" ref="E23"/>
    <hyperlink r:id="rId67" ref="O23"/>
    <hyperlink r:id="rId68" ref="B24"/>
    <hyperlink r:id="rId69" ref="E24"/>
    <hyperlink r:id="rId70" ref="O24"/>
    <hyperlink r:id="rId71" ref="B25"/>
    <hyperlink r:id="rId72" ref="E25"/>
    <hyperlink r:id="rId73" ref="O25"/>
    <hyperlink r:id="rId74" ref="B26"/>
    <hyperlink r:id="rId75" ref="E26"/>
    <hyperlink r:id="rId76" ref="O26"/>
    <hyperlink r:id="rId77" ref="B27"/>
    <hyperlink r:id="rId78" ref="E27"/>
    <hyperlink r:id="rId79" ref="O27"/>
    <hyperlink r:id="rId80" ref="B28"/>
    <hyperlink r:id="rId81" ref="E28"/>
    <hyperlink r:id="rId82" ref="O28"/>
    <hyperlink r:id="rId83" ref="B29"/>
    <hyperlink r:id="rId84" ref="E29"/>
    <hyperlink r:id="rId85" ref="O29"/>
    <hyperlink r:id="rId86" ref="B30"/>
    <hyperlink r:id="rId87" ref="E30"/>
    <hyperlink r:id="rId88" ref="O30"/>
    <hyperlink r:id="rId89" ref="B31"/>
    <hyperlink r:id="rId90" ref="E31"/>
    <hyperlink r:id="rId91" ref="O31"/>
    <hyperlink r:id="rId92" ref="B32"/>
    <hyperlink r:id="rId93" ref="E32"/>
    <hyperlink r:id="rId94" ref="O32"/>
    <hyperlink r:id="rId95" ref="B33"/>
    <hyperlink r:id="rId96" ref="E33"/>
    <hyperlink r:id="rId97" ref="O33"/>
    <hyperlink r:id="rId98" ref="B34"/>
    <hyperlink r:id="rId99" ref="E34"/>
    <hyperlink r:id="rId100" ref="O34"/>
    <hyperlink r:id="rId101" ref="B35"/>
    <hyperlink r:id="rId102" ref="E35"/>
    <hyperlink r:id="rId103" ref="O35"/>
    <hyperlink r:id="rId104" ref="B36"/>
    <hyperlink r:id="rId105" ref="E36"/>
    <hyperlink r:id="rId106" ref="O36"/>
    <hyperlink r:id="rId107" ref="B37"/>
    <hyperlink r:id="rId108" ref="E37"/>
    <hyperlink r:id="rId109" ref="O37"/>
    <hyperlink r:id="rId110" ref="B38"/>
    <hyperlink r:id="rId111" ref="E38"/>
    <hyperlink r:id="rId112" ref="O38"/>
    <hyperlink r:id="rId113" ref="B39"/>
    <hyperlink r:id="rId114" ref="E39"/>
    <hyperlink r:id="rId115" ref="O39"/>
    <hyperlink r:id="rId116" ref="B40"/>
    <hyperlink r:id="rId117" ref="E40"/>
    <hyperlink r:id="rId118" ref="O40"/>
    <hyperlink r:id="rId119" ref="B41"/>
    <hyperlink r:id="rId120" ref="E41"/>
    <hyperlink r:id="rId121" ref="O41"/>
    <hyperlink r:id="rId122" ref="B42"/>
    <hyperlink r:id="rId123" ref="E42"/>
    <hyperlink r:id="rId124" ref="O42"/>
    <hyperlink r:id="rId125" ref="B43"/>
    <hyperlink r:id="rId126" ref="E43"/>
    <hyperlink r:id="rId127" ref="O43"/>
    <hyperlink r:id="rId128" ref="B44"/>
    <hyperlink r:id="rId129" ref="E44"/>
    <hyperlink r:id="rId130" ref="O44"/>
    <hyperlink r:id="rId131" ref="B45"/>
    <hyperlink r:id="rId132" ref="E45"/>
    <hyperlink r:id="rId133" ref="O45"/>
    <hyperlink r:id="rId134" ref="B46"/>
    <hyperlink r:id="rId135" ref="E46"/>
    <hyperlink r:id="rId136" ref="O46"/>
    <hyperlink r:id="rId137" ref="B47"/>
    <hyperlink r:id="rId138" ref="E47"/>
    <hyperlink r:id="rId139" ref="O47"/>
    <hyperlink r:id="rId140" ref="B48"/>
    <hyperlink r:id="rId141" ref="E48"/>
    <hyperlink r:id="rId142" ref="O48"/>
    <hyperlink r:id="rId143" ref="B49"/>
    <hyperlink r:id="rId144" ref="E49"/>
    <hyperlink r:id="rId145" ref="O49"/>
    <hyperlink r:id="rId146" ref="B50"/>
    <hyperlink r:id="rId147" ref="E50"/>
    <hyperlink r:id="rId148" ref="O50"/>
    <hyperlink r:id="rId149" ref="B51"/>
    <hyperlink r:id="rId150" ref="E51"/>
    <hyperlink r:id="rId151" ref="O51"/>
    <hyperlink r:id="rId152" ref="B52"/>
    <hyperlink r:id="rId153" ref="E52"/>
    <hyperlink r:id="rId154" ref="O52"/>
    <hyperlink r:id="rId155" ref="B53"/>
    <hyperlink r:id="rId156" ref="E53"/>
    <hyperlink r:id="rId157" ref="O53"/>
    <hyperlink r:id="rId158" ref="B54"/>
    <hyperlink r:id="rId159" ref="E54"/>
    <hyperlink r:id="rId160" ref="F54"/>
    <hyperlink r:id="rId161" ref="O54"/>
    <hyperlink r:id="rId162" ref="B55"/>
    <hyperlink r:id="rId163" ref="E55"/>
    <hyperlink r:id="rId164" ref="F55"/>
    <hyperlink r:id="rId165" ref="O55"/>
    <hyperlink r:id="rId166" ref="B56"/>
    <hyperlink r:id="rId167" ref="E56"/>
    <hyperlink r:id="rId168" ref="F56"/>
    <hyperlink r:id="rId169" ref="O56"/>
    <hyperlink r:id="rId170" ref="B57"/>
    <hyperlink r:id="rId171" ref="E57"/>
    <hyperlink r:id="rId172" ref="F57"/>
    <hyperlink r:id="rId173" ref="O57"/>
    <hyperlink r:id="rId174" ref="B58"/>
    <hyperlink r:id="rId175" ref="E58"/>
    <hyperlink r:id="rId176" ref="F58"/>
    <hyperlink r:id="rId177" ref="O58"/>
    <hyperlink r:id="rId178" ref="B59"/>
    <hyperlink r:id="rId179" ref="E59"/>
    <hyperlink r:id="rId180" ref="F59"/>
    <hyperlink r:id="rId181" ref="O59"/>
    <hyperlink r:id="rId182" ref="B60"/>
    <hyperlink r:id="rId183" ref="E60"/>
    <hyperlink r:id="rId184" ref="F60"/>
    <hyperlink r:id="rId185" ref="O60"/>
    <hyperlink r:id="rId186" ref="B61"/>
    <hyperlink r:id="rId187" ref="E61"/>
    <hyperlink r:id="rId188" ref="F61"/>
    <hyperlink r:id="rId189" ref="O61"/>
    <hyperlink r:id="rId190" ref="B62"/>
    <hyperlink r:id="rId191" ref="E62"/>
    <hyperlink r:id="rId192" ref="O62"/>
    <hyperlink r:id="rId193" ref="B63"/>
    <hyperlink r:id="rId194" ref="E63"/>
    <hyperlink r:id="rId195" ref="O63"/>
    <hyperlink r:id="rId196" ref="B64"/>
    <hyperlink r:id="rId197" ref="E64"/>
    <hyperlink r:id="rId198" ref="O64"/>
    <hyperlink r:id="rId199" ref="B65"/>
    <hyperlink r:id="rId200" ref="E65"/>
    <hyperlink r:id="rId201" ref="O65"/>
    <hyperlink r:id="rId202" ref="B66"/>
    <hyperlink r:id="rId203" ref="E66"/>
    <hyperlink r:id="rId204" ref="O66"/>
    <hyperlink r:id="rId205" ref="B67"/>
    <hyperlink r:id="rId206" ref="E67"/>
    <hyperlink r:id="rId207" ref="O67"/>
    <hyperlink r:id="rId208" ref="B68"/>
    <hyperlink r:id="rId209" ref="E68"/>
    <hyperlink r:id="rId210" ref="O68"/>
    <hyperlink r:id="rId211" ref="B69"/>
    <hyperlink r:id="rId212" ref="E69"/>
    <hyperlink r:id="rId213" ref="O69"/>
    <hyperlink r:id="rId214" ref="B70"/>
    <hyperlink r:id="rId215" ref="E70"/>
    <hyperlink r:id="rId216" ref="O70"/>
    <hyperlink r:id="rId217" ref="B71"/>
    <hyperlink r:id="rId218" ref="E71"/>
    <hyperlink r:id="rId219" ref="O71"/>
    <hyperlink r:id="rId220" ref="B72"/>
    <hyperlink r:id="rId221" ref="E72"/>
    <hyperlink r:id="rId222" ref="O72"/>
    <hyperlink r:id="rId223" ref="B73"/>
    <hyperlink r:id="rId224" ref="E73"/>
    <hyperlink r:id="rId225" ref="O73"/>
    <hyperlink r:id="rId226" ref="B74"/>
    <hyperlink r:id="rId227" ref="E74"/>
    <hyperlink r:id="rId228" ref="O74"/>
    <hyperlink r:id="rId229" ref="B75"/>
    <hyperlink r:id="rId230" ref="E75"/>
    <hyperlink r:id="rId231" ref="O75"/>
    <hyperlink r:id="rId232" ref="B76"/>
    <hyperlink r:id="rId233" ref="E76"/>
    <hyperlink r:id="rId234" ref="O76"/>
    <hyperlink r:id="rId235" ref="B77"/>
    <hyperlink r:id="rId236" ref="E77"/>
    <hyperlink r:id="rId237" ref="O77"/>
    <hyperlink r:id="rId238" ref="B78"/>
    <hyperlink r:id="rId239" ref="E78"/>
    <hyperlink r:id="rId240" ref="O78"/>
    <hyperlink r:id="rId241" ref="B79"/>
    <hyperlink r:id="rId242" ref="E79"/>
    <hyperlink r:id="rId243" ref="O79"/>
    <hyperlink r:id="rId244" ref="B80"/>
    <hyperlink r:id="rId245" ref="E80"/>
    <hyperlink r:id="rId246" ref="O80"/>
    <hyperlink r:id="rId247" ref="B81"/>
    <hyperlink r:id="rId248" ref="E81"/>
    <hyperlink r:id="rId249" ref="O81"/>
    <hyperlink r:id="rId250" ref="B82"/>
    <hyperlink r:id="rId251" ref="E82"/>
    <hyperlink r:id="rId252" ref="O82"/>
    <hyperlink r:id="rId253" ref="B83"/>
    <hyperlink r:id="rId254" ref="E83"/>
    <hyperlink r:id="rId255" ref="O83"/>
    <hyperlink r:id="rId256" ref="B84"/>
    <hyperlink r:id="rId257" ref="E84"/>
    <hyperlink r:id="rId258" ref="O84"/>
    <hyperlink r:id="rId259" ref="B85"/>
    <hyperlink r:id="rId260" ref="E85"/>
    <hyperlink r:id="rId261" ref="O85"/>
    <hyperlink r:id="rId262" ref="B86"/>
    <hyperlink r:id="rId263" ref="E86"/>
    <hyperlink r:id="rId264" ref="O86"/>
    <hyperlink r:id="rId265" ref="B87"/>
    <hyperlink r:id="rId266" ref="E87"/>
    <hyperlink r:id="rId267" ref="F87"/>
    <hyperlink r:id="rId268" ref="O87"/>
    <hyperlink r:id="rId269" ref="B88"/>
    <hyperlink r:id="rId270" ref="E88"/>
    <hyperlink r:id="rId271" ref="F88"/>
    <hyperlink r:id="rId272" ref="O88"/>
    <hyperlink r:id="rId273" ref="B89"/>
    <hyperlink r:id="rId274" ref="E89"/>
    <hyperlink r:id="rId275" ref="F89"/>
    <hyperlink r:id="rId276" ref="O89"/>
    <hyperlink r:id="rId277" ref="B90"/>
    <hyperlink r:id="rId278" ref="E90"/>
    <hyperlink r:id="rId279" ref="O90"/>
    <hyperlink r:id="rId280" ref="B91"/>
    <hyperlink r:id="rId281" ref="E91"/>
    <hyperlink r:id="rId282" ref="O91"/>
    <hyperlink r:id="rId283" ref="B92"/>
    <hyperlink r:id="rId284" ref="E92"/>
    <hyperlink r:id="rId285" ref="O92"/>
    <hyperlink r:id="rId286" ref="B93"/>
    <hyperlink r:id="rId287" ref="C93"/>
    <hyperlink r:id="rId288" ref="E93"/>
    <hyperlink r:id="rId289" ref="O93"/>
    <hyperlink r:id="rId290" ref="B94"/>
    <hyperlink r:id="rId291" ref="E94"/>
    <hyperlink r:id="rId292" ref="O94"/>
    <hyperlink r:id="rId293" ref="B95"/>
    <hyperlink r:id="rId294" ref="E95"/>
    <hyperlink r:id="rId295" ref="O95"/>
    <hyperlink r:id="rId296" ref="B96"/>
    <hyperlink r:id="rId297" ref="E96"/>
    <hyperlink r:id="rId298" ref="O96"/>
    <hyperlink r:id="rId299" ref="B97"/>
    <hyperlink r:id="rId300" ref="E97"/>
    <hyperlink r:id="rId301" ref="O97"/>
    <hyperlink r:id="rId302" ref="B98"/>
    <hyperlink r:id="rId303" ref="E98"/>
    <hyperlink r:id="rId304" ref="O98"/>
    <hyperlink r:id="rId305" ref="B99"/>
    <hyperlink r:id="rId306" ref="E99"/>
    <hyperlink r:id="rId307" ref="O99"/>
    <hyperlink r:id="rId308" ref="B100"/>
    <hyperlink r:id="rId309" ref="E100"/>
    <hyperlink r:id="rId310" ref="O100"/>
    <hyperlink r:id="rId311" ref="B101"/>
    <hyperlink r:id="rId312" ref="E101"/>
    <hyperlink r:id="rId313" ref="O101"/>
    <hyperlink r:id="rId314" ref="B102"/>
    <hyperlink r:id="rId315" ref="E102"/>
    <hyperlink r:id="rId316" ref="F102"/>
    <hyperlink r:id="rId317" ref="O102"/>
    <hyperlink r:id="rId318" ref="B103"/>
    <hyperlink r:id="rId319" ref="C103"/>
    <hyperlink r:id="rId320" ref="E103"/>
    <hyperlink r:id="rId321" ref="O103"/>
    <hyperlink r:id="rId322" ref="B104"/>
    <hyperlink r:id="rId323" ref="E104"/>
    <hyperlink r:id="rId324" ref="O104"/>
    <hyperlink r:id="rId325" ref="B105"/>
    <hyperlink r:id="rId326" ref="E105"/>
    <hyperlink r:id="rId327" ref="O105"/>
    <hyperlink r:id="rId328" ref="B106"/>
    <hyperlink r:id="rId329" ref="E106"/>
    <hyperlink r:id="rId330" ref="O106"/>
    <hyperlink r:id="rId331" ref="B107"/>
    <hyperlink r:id="rId332" ref="E107"/>
    <hyperlink r:id="rId333" ref="O107"/>
    <hyperlink r:id="rId334" ref="B108"/>
    <hyperlink r:id="rId335" ref="E108"/>
    <hyperlink r:id="rId336" ref="O108"/>
    <hyperlink r:id="rId337" ref="B109"/>
    <hyperlink r:id="rId338" ref="E109"/>
    <hyperlink r:id="rId339" ref="O109"/>
    <hyperlink r:id="rId340" ref="B110"/>
    <hyperlink r:id="rId341" ref="E110"/>
    <hyperlink r:id="rId342" ref="O110"/>
    <hyperlink r:id="rId343" ref="B111"/>
    <hyperlink r:id="rId344" ref="E111"/>
    <hyperlink r:id="rId345" ref="O111"/>
    <hyperlink r:id="rId346" ref="B112"/>
    <hyperlink r:id="rId347" ref="E112"/>
    <hyperlink r:id="rId348" ref="O112"/>
    <hyperlink r:id="rId349" ref="B113"/>
    <hyperlink r:id="rId350" ref="E113"/>
    <hyperlink r:id="rId351" ref="O113"/>
    <hyperlink r:id="rId352" ref="B114"/>
    <hyperlink r:id="rId353" ref="E114"/>
    <hyperlink r:id="rId354" ref="F114"/>
    <hyperlink r:id="rId355" ref="O114"/>
    <hyperlink r:id="rId356" ref="B115"/>
    <hyperlink r:id="rId357" ref="E115"/>
    <hyperlink r:id="rId358" ref="O115"/>
    <hyperlink r:id="rId359" ref="B116"/>
    <hyperlink r:id="rId360" ref="E116"/>
    <hyperlink r:id="rId361" ref="O116"/>
    <hyperlink r:id="rId362" ref="B117"/>
    <hyperlink r:id="rId363" ref="E117"/>
    <hyperlink r:id="rId364" ref="F117"/>
    <hyperlink r:id="rId365" ref="O117"/>
    <hyperlink r:id="rId366" ref="B118"/>
    <hyperlink r:id="rId367" ref="E118"/>
    <hyperlink r:id="rId368" ref="F118"/>
    <hyperlink r:id="rId369" ref="O118"/>
    <hyperlink r:id="rId370" ref="B119"/>
    <hyperlink r:id="rId371" ref="E119"/>
    <hyperlink r:id="rId372" ref="F119"/>
    <hyperlink r:id="rId373" ref="O119"/>
    <hyperlink r:id="rId374" ref="B120"/>
    <hyperlink r:id="rId375" ref="E120"/>
    <hyperlink r:id="rId376" ref="F120"/>
    <hyperlink r:id="rId377" ref="O120"/>
    <hyperlink r:id="rId378" ref="B121"/>
    <hyperlink r:id="rId379" ref="E121"/>
    <hyperlink r:id="rId380" ref="F121"/>
    <hyperlink r:id="rId381" ref="O121"/>
    <hyperlink r:id="rId382" ref="B122"/>
    <hyperlink r:id="rId383" ref="E122"/>
    <hyperlink r:id="rId384" ref="F122"/>
    <hyperlink r:id="rId385" ref="O122"/>
    <hyperlink r:id="rId386" ref="B123"/>
    <hyperlink r:id="rId387" ref="E123"/>
    <hyperlink r:id="rId388" ref="F123"/>
    <hyperlink r:id="rId389" ref="O123"/>
    <hyperlink r:id="rId390" ref="B124"/>
    <hyperlink r:id="rId391" ref="E124"/>
    <hyperlink r:id="rId392" ref="F124"/>
    <hyperlink r:id="rId393" ref="O124"/>
    <hyperlink r:id="rId394" ref="B125"/>
    <hyperlink r:id="rId395" ref="E125"/>
    <hyperlink r:id="rId396" ref="F125"/>
    <hyperlink r:id="rId397" ref="O125"/>
    <hyperlink r:id="rId398" ref="B126"/>
    <hyperlink r:id="rId399" ref="E126"/>
    <hyperlink r:id="rId400" ref="F126"/>
    <hyperlink r:id="rId401" ref="O126"/>
    <hyperlink r:id="rId402" ref="B127"/>
    <hyperlink r:id="rId403" ref="E127"/>
    <hyperlink r:id="rId404" ref="O127"/>
    <hyperlink r:id="rId405" ref="B128"/>
    <hyperlink r:id="rId406" ref="E128"/>
    <hyperlink r:id="rId407" ref="O128"/>
    <hyperlink r:id="rId408" ref="B129"/>
    <hyperlink r:id="rId409" ref="E129"/>
    <hyperlink r:id="rId410" ref="O129"/>
    <hyperlink r:id="rId411" ref="B130"/>
    <hyperlink r:id="rId412" ref="E130"/>
    <hyperlink r:id="rId413" ref="O130"/>
    <hyperlink r:id="rId414" ref="B131"/>
    <hyperlink r:id="rId415" ref="E131"/>
    <hyperlink r:id="rId416" ref="O131"/>
    <hyperlink r:id="rId417" ref="B132"/>
    <hyperlink r:id="rId418" ref="E132"/>
    <hyperlink r:id="rId419" ref="O132"/>
    <hyperlink r:id="rId420" ref="B133"/>
    <hyperlink r:id="rId421" ref="E133"/>
    <hyperlink r:id="rId422" ref="O133"/>
    <hyperlink r:id="rId423" ref="B134"/>
    <hyperlink r:id="rId424" ref="E134"/>
    <hyperlink r:id="rId425" ref="O134"/>
    <hyperlink r:id="rId426" ref="B135"/>
    <hyperlink r:id="rId427" ref="E135"/>
    <hyperlink r:id="rId428" ref="O135"/>
    <hyperlink r:id="rId429" ref="B136"/>
    <hyperlink r:id="rId430" ref="E136"/>
    <hyperlink r:id="rId431" ref="O136"/>
    <hyperlink r:id="rId432" ref="B137"/>
    <hyperlink r:id="rId433" ref="E137"/>
    <hyperlink r:id="rId434" ref="O137"/>
    <hyperlink r:id="rId435" ref="B138"/>
    <hyperlink r:id="rId436" ref="E138"/>
    <hyperlink r:id="rId437" ref="O138"/>
    <hyperlink r:id="rId438" ref="B139"/>
    <hyperlink r:id="rId439" ref="E139"/>
    <hyperlink r:id="rId440" ref="O139"/>
    <hyperlink r:id="rId441" ref="B140"/>
    <hyperlink r:id="rId442" ref="E140"/>
    <hyperlink r:id="rId443" ref="O140"/>
    <hyperlink r:id="rId444" ref="B141"/>
    <hyperlink r:id="rId445" ref="E141"/>
    <hyperlink r:id="rId446" ref="O141"/>
    <hyperlink r:id="rId447" ref="B142"/>
    <hyperlink r:id="rId448" ref="E142"/>
    <hyperlink r:id="rId449" ref="O142"/>
    <hyperlink r:id="rId450" ref="B143"/>
    <hyperlink r:id="rId451" ref="E143"/>
    <hyperlink r:id="rId452" ref="O143"/>
    <hyperlink r:id="rId453" ref="B144"/>
    <hyperlink r:id="rId454" ref="E144"/>
    <hyperlink r:id="rId455" ref="O144"/>
    <hyperlink r:id="rId456" ref="B145"/>
    <hyperlink r:id="rId457" ref="E145"/>
    <hyperlink r:id="rId458" ref="O145"/>
    <hyperlink r:id="rId459" ref="B146"/>
    <hyperlink r:id="rId460" ref="E146"/>
    <hyperlink r:id="rId461" ref="O146"/>
    <hyperlink r:id="rId462" ref="B147"/>
    <hyperlink r:id="rId463" ref="E147"/>
    <hyperlink r:id="rId464" ref="O147"/>
    <hyperlink r:id="rId465" ref="B148"/>
    <hyperlink r:id="rId466" ref="E148"/>
    <hyperlink r:id="rId467" ref="O148"/>
    <hyperlink r:id="rId468" ref="B149"/>
    <hyperlink r:id="rId469" ref="E149"/>
    <hyperlink r:id="rId470" ref="O149"/>
    <hyperlink r:id="rId471" location="37.8604672,27.25711472" ref="P149"/>
    <hyperlink r:id="rId472" ref="B150"/>
    <hyperlink r:id="rId473" ref="E150"/>
    <hyperlink r:id="rId474" ref="O150"/>
    <hyperlink r:id="rId475" ref="B151"/>
    <hyperlink r:id="rId476" ref="E151"/>
    <hyperlink r:id="rId477" ref="O151"/>
    <hyperlink r:id="rId478" ref="B152"/>
    <hyperlink r:id="rId479" ref="E152"/>
    <hyperlink r:id="rId480" ref="O152"/>
    <hyperlink r:id="rId481" ref="B153"/>
    <hyperlink r:id="rId482" ref="E153"/>
    <hyperlink r:id="rId483" ref="O153"/>
    <hyperlink r:id="rId484" ref="B154"/>
    <hyperlink r:id="rId485" ref="E154"/>
    <hyperlink r:id="rId486" ref="O154"/>
    <hyperlink r:id="rId487" ref="B155"/>
    <hyperlink r:id="rId488" ref="E155"/>
    <hyperlink r:id="rId489" ref="O155"/>
    <hyperlink r:id="rId490" ref="B156"/>
    <hyperlink r:id="rId491" ref="E156"/>
    <hyperlink r:id="rId492" ref="O156"/>
    <hyperlink r:id="rId493" ref="B157"/>
    <hyperlink r:id="rId494" ref="E157"/>
    <hyperlink r:id="rId495" ref="O157"/>
    <hyperlink r:id="rId496" ref="B158"/>
    <hyperlink r:id="rId497" ref="E158"/>
    <hyperlink r:id="rId498" ref="O158"/>
    <hyperlink r:id="rId499" ref="B159"/>
    <hyperlink r:id="rId500" ref="E159"/>
    <hyperlink r:id="rId501" ref="O159"/>
    <hyperlink r:id="rId502" ref="B160"/>
    <hyperlink r:id="rId503" ref="E160"/>
    <hyperlink r:id="rId504" ref="O160"/>
    <hyperlink r:id="rId505" ref="B161"/>
    <hyperlink r:id="rId506" ref="E161"/>
    <hyperlink r:id="rId507" ref="F161"/>
    <hyperlink r:id="rId508" ref="O161"/>
    <hyperlink r:id="rId509" ref="B162"/>
    <hyperlink r:id="rId510" ref="E162"/>
    <hyperlink r:id="rId511" ref="O162"/>
    <hyperlink r:id="rId512" ref="B163"/>
    <hyperlink r:id="rId513" ref="E163"/>
    <hyperlink r:id="rId514" ref="F163"/>
    <hyperlink r:id="rId515" ref="O163"/>
    <hyperlink r:id="rId516" ref="B164"/>
    <hyperlink r:id="rId517" ref="E164"/>
    <hyperlink r:id="rId518" ref="O164"/>
    <hyperlink r:id="rId519" ref="B165"/>
    <hyperlink r:id="rId520" ref="E165"/>
    <hyperlink r:id="rId521" ref="O165"/>
    <hyperlink r:id="rId522" ref="B166"/>
    <hyperlink r:id="rId523" ref="E166"/>
    <hyperlink r:id="rId524" ref="O166"/>
    <hyperlink r:id="rId525" ref="B167"/>
    <hyperlink r:id="rId526" ref="E167"/>
    <hyperlink r:id="rId527" ref="F167"/>
    <hyperlink r:id="rId528" ref="O167"/>
    <hyperlink r:id="rId529" ref="B168"/>
    <hyperlink r:id="rId530" ref="C168"/>
    <hyperlink r:id="rId531" ref="E168"/>
    <hyperlink r:id="rId532" ref="O168"/>
    <hyperlink r:id="rId533" ref="B169"/>
    <hyperlink r:id="rId534" ref="E169"/>
    <hyperlink r:id="rId535" ref="F169"/>
    <hyperlink r:id="rId536" ref="O169"/>
    <hyperlink r:id="rId537" ref="B170"/>
    <hyperlink r:id="rId538" ref="E170"/>
    <hyperlink r:id="rId539" ref="F170"/>
    <hyperlink r:id="rId540" ref="O170"/>
    <hyperlink r:id="rId541" ref="B171"/>
    <hyperlink r:id="rId542" ref="E171"/>
    <hyperlink r:id="rId543" ref="F171"/>
    <hyperlink r:id="rId544" ref="O171"/>
    <hyperlink r:id="rId545" ref="B172"/>
    <hyperlink r:id="rId546" ref="E172"/>
    <hyperlink r:id="rId547" ref="F172"/>
    <hyperlink r:id="rId548" ref="O172"/>
    <hyperlink r:id="rId549" ref="B173"/>
    <hyperlink r:id="rId550" ref="E173"/>
    <hyperlink r:id="rId551" ref="F173"/>
    <hyperlink r:id="rId552" ref="O173"/>
    <hyperlink r:id="rId553" ref="B174"/>
    <hyperlink r:id="rId554" ref="E174"/>
    <hyperlink r:id="rId555" ref="F174"/>
    <hyperlink r:id="rId556" ref="O174"/>
    <hyperlink r:id="rId557" ref="B175"/>
    <hyperlink r:id="rId558" ref="E175"/>
    <hyperlink r:id="rId559" ref="F175"/>
    <hyperlink r:id="rId560" ref="O175"/>
    <hyperlink r:id="rId561" ref="B176"/>
    <hyperlink r:id="rId562" ref="E176"/>
    <hyperlink r:id="rId563" ref="F176"/>
    <hyperlink r:id="rId564" ref="O176"/>
    <hyperlink r:id="rId565" ref="B177"/>
    <hyperlink r:id="rId566" ref="E177"/>
    <hyperlink r:id="rId567" ref="F177"/>
    <hyperlink r:id="rId568" ref="O177"/>
    <hyperlink r:id="rId569" ref="B178"/>
    <hyperlink r:id="rId570" ref="E178"/>
    <hyperlink r:id="rId571" ref="O178"/>
    <hyperlink r:id="rId572" ref="B179"/>
    <hyperlink r:id="rId573" ref="E179"/>
    <hyperlink r:id="rId574" ref="O179"/>
    <hyperlink r:id="rId575" ref="B180"/>
    <hyperlink r:id="rId576" ref="E180"/>
    <hyperlink r:id="rId577" ref="O180"/>
    <hyperlink r:id="rId578" ref="B181"/>
    <hyperlink r:id="rId579" ref="E181"/>
    <hyperlink r:id="rId580" ref="O181"/>
    <hyperlink r:id="rId581" ref="B182"/>
    <hyperlink r:id="rId582" ref="E182"/>
    <hyperlink r:id="rId583" ref="O182"/>
    <hyperlink r:id="rId584" ref="B183"/>
    <hyperlink r:id="rId585" ref="E183"/>
    <hyperlink r:id="rId586" ref="O183"/>
    <hyperlink r:id="rId587" ref="B184"/>
    <hyperlink r:id="rId588" ref="E184"/>
    <hyperlink r:id="rId589" ref="M184"/>
    <hyperlink r:id="rId590" ref="O184"/>
    <hyperlink r:id="rId591" ref="B185"/>
    <hyperlink r:id="rId592" ref="E185"/>
    <hyperlink r:id="rId593" ref="O185"/>
    <hyperlink r:id="rId594" ref="B186"/>
    <hyperlink r:id="rId595" ref="E186"/>
    <hyperlink r:id="rId596" ref="O186"/>
    <hyperlink r:id="rId597" ref="B187"/>
    <hyperlink r:id="rId598" ref="E187"/>
    <hyperlink r:id="rId599" ref="O187"/>
    <hyperlink r:id="rId600" ref="B188"/>
    <hyperlink r:id="rId601" ref="E188"/>
    <hyperlink r:id="rId602" ref="O188"/>
    <hyperlink r:id="rId603" ref="B189"/>
    <hyperlink r:id="rId604" ref="E189"/>
    <hyperlink r:id="rId605" ref="O189"/>
    <hyperlink r:id="rId606" ref="B190"/>
    <hyperlink r:id="rId607" ref="E190"/>
    <hyperlink r:id="rId608" ref="O190"/>
    <hyperlink r:id="rId609" ref="B191"/>
    <hyperlink r:id="rId610" ref="E191"/>
    <hyperlink r:id="rId611" ref="O191"/>
    <hyperlink r:id="rId612" ref="B192"/>
    <hyperlink r:id="rId613" ref="E192"/>
    <hyperlink r:id="rId614" ref="O192"/>
    <hyperlink r:id="rId615" ref="B193"/>
    <hyperlink r:id="rId616" ref="E193"/>
    <hyperlink r:id="rId617" ref="O193"/>
    <hyperlink r:id="rId618" ref="B194"/>
    <hyperlink r:id="rId619" ref="E194"/>
    <hyperlink r:id="rId620" ref="O194"/>
    <hyperlink r:id="rId621" ref="B195"/>
    <hyperlink r:id="rId622" ref="E195"/>
    <hyperlink r:id="rId623" ref="O195"/>
    <hyperlink r:id="rId624" ref="B196"/>
    <hyperlink r:id="rId625" ref="E196"/>
    <hyperlink r:id="rId626" ref="O196"/>
    <hyperlink r:id="rId627" ref="B197"/>
    <hyperlink r:id="rId628" ref="E197"/>
    <hyperlink r:id="rId629" ref="O197"/>
    <hyperlink r:id="rId630" ref="B198"/>
    <hyperlink r:id="rId631" ref="E198"/>
    <hyperlink r:id="rId632" ref="O198"/>
    <hyperlink r:id="rId633" ref="B199"/>
    <hyperlink r:id="rId634" ref="E199"/>
    <hyperlink r:id="rId635" ref="O199"/>
    <hyperlink r:id="rId636" ref="B200"/>
    <hyperlink r:id="rId637" ref="E200"/>
    <hyperlink r:id="rId638" ref="O200"/>
    <hyperlink r:id="rId639" ref="B201"/>
    <hyperlink r:id="rId640" ref="E201"/>
    <hyperlink r:id="rId641" ref="O201"/>
    <hyperlink r:id="rId642" ref="B202"/>
    <hyperlink r:id="rId643" ref="E202"/>
    <hyperlink r:id="rId644" ref="O202"/>
    <hyperlink r:id="rId645" ref="B203"/>
    <hyperlink r:id="rId646" ref="E203"/>
    <hyperlink r:id="rId647" ref="O203"/>
    <hyperlink r:id="rId648" ref="B204"/>
    <hyperlink r:id="rId649" ref="E204"/>
    <hyperlink r:id="rId650" ref="O204"/>
    <hyperlink r:id="rId651" ref="B205"/>
    <hyperlink r:id="rId652" ref="E205"/>
    <hyperlink r:id="rId653" ref="O205"/>
    <hyperlink r:id="rId654" ref="B206"/>
    <hyperlink r:id="rId655" ref="E206"/>
    <hyperlink r:id="rId656" ref="O206"/>
    <hyperlink r:id="rId657" ref="B207"/>
    <hyperlink r:id="rId658" ref="E207"/>
    <hyperlink r:id="rId659" ref="O207"/>
    <hyperlink r:id="rId660" ref="B208"/>
    <hyperlink r:id="rId661" ref="E208"/>
    <hyperlink r:id="rId662" ref="O208"/>
    <hyperlink r:id="rId663" ref="B209"/>
    <hyperlink r:id="rId664" ref="E209"/>
    <hyperlink r:id="rId665" ref="O209"/>
    <hyperlink r:id="rId666" ref="B210"/>
    <hyperlink r:id="rId667" ref="C210"/>
    <hyperlink r:id="rId668" ref="E210"/>
    <hyperlink r:id="rId669" ref="F210"/>
    <hyperlink r:id="rId670" ref="O210"/>
    <hyperlink r:id="rId671" ref="B211"/>
    <hyperlink r:id="rId672" ref="E211"/>
    <hyperlink r:id="rId673" ref="O211"/>
    <hyperlink r:id="rId674" ref="B212"/>
    <hyperlink r:id="rId675" ref="E212"/>
    <hyperlink r:id="rId676" ref="O212"/>
    <hyperlink r:id="rId677" ref="B213"/>
    <hyperlink r:id="rId678" ref="E213"/>
    <hyperlink r:id="rId679" ref="O213"/>
    <hyperlink r:id="rId680" ref="B214"/>
    <hyperlink r:id="rId681" ref="E214"/>
    <hyperlink r:id="rId682" ref="O214"/>
    <hyperlink r:id="rId683" ref="B215"/>
    <hyperlink r:id="rId684" ref="E215"/>
    <hyperlink r:id="rId685" ref="O215"/>
    <hyperlink r:id="rId686" ref="B216"/>
    <hyperlink r:id="rId687" ref="E216"/>
    <hyperlink r:id="rId688" ref="O216"/>
    <hyperlink r:id="rId689" ref="B217"/>
    <hyperlink r:id="rId690" ref="E217"/>
    <hyperlink r:id="rId691" ref="O217"/>
    <hyperlink r:id="rId692" ref="B218"/>
    <hyperlink r:id="rId693" ref="E218"/>
    <hyperlink r:id="rId694" ref="O218"/>
    <hyperlink r:id="rId695" ref="B219"/>
    <hyperlink r:id="rId696" ref="E219"/>
    <hyperlink r:id="rId697" ref="O219"/>
    <hyperlink r:id="rId698" ref="B220"/>
    <hyperlink r:id="rId699" ref="E220"/>
    <hyperlink r:id="rId700" ref="O220"/>
    <hyperlink r:id="rId701" ref="B221"/>
    <hyperlink r:id="rId702" ref="E221"/>
    <hyperlink r:id="rId703" ref="O221"/>
    <hyperlink r:id="rId704" ref="B222"/>
    <hyperlink r:id="rId705" ref="E222"/>
    <hyperlink r:id="rId706" ref="O222"/>
    <hyperlink r:id="rId707" ref="B223"/>
    <hyperlink r:id="rId708" ref="E223"/>
    <hyperlink r:id="rId709" ref="O223"/>
    <hyperlink r:id="rId710" ref="B224"/>
    <hyperlink r:id="rId711" ref="E224"/>
    <hyperlink r:id="rId712" ref="O224"/>
    <hyperlink r:id="rId713" ref="B225"/>
    <hyperlink r:id="rId714" ref="E225"/>
    <hyperlink r:id="rId715" ref="O225"/>
    <hyperlink r:id="rId716" ref="B226"/>
    <hyperlink r:id="rId717" ref="E226"/>
    <hyperlink r:id="rId718" ref="O226"/>
    <hyperlink r:id="rId719" ref="B227"/>
    <hyperlink r:id="rId720" ref="E227"/>
    <hyperlink r:id="rId721" ref="O227"/>
    <hyperlink r:id="rId722" ref="B228"/>
    <hyperlink r:id="rId723" ref="E228"/>
    <hyperlink r:id="rId724" ref="O228"/>
    <hyperlink r:id="rId725" ref="B229"/>
    <hyperlink r:id="rId726" ref="E229"/>
    <hyperlink r:id="rId727" ref="O229"/>
    <hyperlink r:id="rId728" ref="B230"/>
    <hyperlink r:id="rId729" ref="E230"/>
    <hyperlink r:id="rId730" ref="O230"/>
    <hyperlink r:id="rId731" ref="B231"/>
    <hyperlink r:id="rId732" ref="E231"/>
    <hyperlink r:id="rId733" ref="O231"/>
    <hyperlink r:id="rId734" ref="B232"/>
    <hyperlink r:id="rId735" ref="E232"/>
    <hyperlink r:id="rId736" ref="F232"/>
    <hyperlink r:id="rId737" ref="O232"/>
    <hyperlink r:id="rId738" ref="B233"/>
    <hyperlink r:id="rId739" ref="E233"/>
    <hyperlink r:id="rId740" ref="F233"/>
    <hyperlink r:id="rId741" ref="O233"/>
    <hyperlink r:id="rId742" ref="B234"/>
    <hyperlink r:id="rId743" ref="E234"/>
    <hyperlink r:id="rId744" ref="F234"/>
    <hyperlink r:id="rId745" ref="O234"/>
    <hyperlink r:id="rId746" ref="B235"/>
    <hyperlink r:id="rId747" ref="E235"/>
    <hyperlink r:id="rId748" ref="F235"/>
    <hyperlink r:id="rId749" ref="O235"/>
    <hyperlink r:id="rId750" ref="B236"/>
    <hyperlink r:id="rId751" ref="E236"/>
    <hyperlink r:id="rId752" ref="F236"/>
    <hyperlink r:id="rId753" ref="O236"/>
    <hyperlink r:id="rId754" ref="B237"/>
    <hyperlink r:id="rId755" ref="E237"/>
    <hyperlink r:id="rId756" ref="F237"/>
    <hyperlink r:id="rId757" ref="O237"/>
    <hyperlink r:id="rId758" ref="B238"/>
    <hyperlink r:id="rId759" ref="E238"/>
    <hyperlink r:id="rId760" ref="F238"/>
    <hyperlink r:id="rId761" ref="O238"/>
    <hyperlink r:id="rId762" ref="B239"/>
    <hyperlink r:id="rId763" ref="E239"/>
    <hyperlink r:id="rId764" ref="F239"/>
    <hyperlink r:id="rId765" ref="O239"/>
    <hyperlink r:id="rId766" ref="B240"/>
    <hyperlink r:id="rId767" ref="E240"/>
    <hyperlink r:id="rId768" ref="F240"/>
    <hyperlink r:id="rId769" ref="O240"/>
    <hyperlink r:id="rId770" ref="B241"/>
    <hyperlink r:id="rId771" ref="E241"/>
    <hyperlink r:id="rId772" ref="O241"/>
    <hyperlink r:id="rId773" ref="B242"/>
    <hyperlink r:id="rId774" ref="E242"/>
    <hyperlink r:id="rId775" ref="O242"/>
    <hyperlink r:id="rId776" ref="B243"/>
    <hyperlink r:id="rId777" ref="E243"/>
    <hyperlink r:id="rId778" ref="O243"/>
    <hyperlink r:id="rId779" ref="B244"/>
    <hyperlink r:id="rId780" ref="E244"/>
    <hyperlink r:id="rId781" ref="O244"/>
    <hyperlink r:id="rId782" ref="B245"/>
    <hyperlink r:id="rId783" ref="E245"/>
    <hyperlink r:id="rId784" ref="F245"/>
    <hyperlink r:id="rId785" ref="O245"/>
    <hyperlink r:id="rId786" ref="B246"/>
    <hyperlink r:id="rId787" ref="E246"/>
    <hyperlink r:id="rId788" ref="O246"/>
    <hyperlink r:id="rId789" ref="B247"/>
    <hyperlink r:id="rId790" ref="E247"/>
    <hyperlink r:id="rId791" ref="O247"/>
    <hyperlink r:id="rId792" ref="B248"/>
    <hyperlink r:id="rId793" ref="E248"/>
    <hyperlink r:id="rId794" ref="O248"/>
    <hyperlink r:id="rId795" ref="B249"/>
    <hyperlink r:id="rId796" ref="E249"/>
    <hyperlink r:id="rId797" ref="O249"/>
    <hyperlink r:id="rId798" ref="B250"/>
    <hyperlink r:id="rId799" ref="E250"/>
    <hyperlink r:id="rId800" ref="O250"/>
    <hyperlink r:id="rId801" ref="B251"/>
    <hyperlink r:id="rId802" ref="E251"/>
    <hyperlink r:id="rId803" ref="O251"/>
    <hyperlink r:id="rId804" ref="B252"/>
    <hyperlink r:id="rId805" ref="E252"/>
    <hyperlink r:id="rId806" ref="O252"/>
    <hyperlink r:id="rId807" ref="B253"/>
    <hyperlink r:id="rId808" ref="E253"/>
    <hyperlink r:id="rId809" ref="O253"/>
    <hyperlink r:id="rId810" ref="B254"/>
    <hyperlink r:id="rId811" ref="E254"/>
    <hyperlink r:id="rId812" ref="O254"/>
    <hyperlink r:id="rId813" ref="B255"/>
    <hyperlink r:id="rId814" ref="E255"/>
    <hyperlink r:id="rId815" ref="O255"/>
    <hyperlink r:id="rId816" ref="B256"/>
    <hyperlink r:id="rId817" ref="E256"/>
    <hyperlink r:id="rId818" ref="O256"/>
    <hyperlink r:id="rId819" ref="B257"/>
    <hyperlink r:id="rId820" ref="E257"/>
    <hyperlink r:id="rId821" ref="O257"/>
    <hyperlink r:id="rId822" ref="B258"/>
    <hyperlink r:id="rId823" ref="E258"/>
    <hyperlink r:id="rId824" ref="O258"/>
    <hyperlink r:id="rId825" ref="B259"/>
    <hyperlink r:id="rId826" ref="E259"/>
    <hyperlink r:id="rId827" ref="O259"/>
    <hyperlink r:id="rId828" ref="B260"/>
    <hyperlink r:id="rId829" ref="E260"/>
    <hyperlink r:id="rId830" ref="O260"/>
    <hyperlink r:id="rId831" ref="B261"/>
    <hyperlink r:id="rId832" ref="E261"/>
    <hyperlink r:id="rId833" ref="O261"/>
    <hyperlink r:id="rId834" ref="B262"/>
    <hyperlink r:id="rId835" ref="E262"/>
    <hyperlink r:id="rId836" ref="O262"/>
    <hyperlink r:id="rId837" ref="B263"/>
    <hyperlink r:id="rId838" ref="E263"/>
    <hyperlink r:id="rId839" ref="O263"/>
    <hyperlink r:id="rId840" ref="B264"/>
    <hyperlink r:id="rId841" ref="E264"/>
    <hyperlink r:id="rId842" ref="O264"/>
    <hyperlink r:id="rId843" ref="B265"/>
    <hyperlink r:id="rId844" ref="E265"/>
    <hyperlink r:id="rId845" ref="O265"/>
    <hyperlink r:id="rId846" ref="B266"/>
    <hyperlink r:id="rId847" ref="E266"/>
    <hyperlink r:id="rId848" ref="O266"/>
    <hyperlink r:id="rId849" ref="B267"/>
    <hyperlink r:id="rId850" ref="E267"/>
    <hyperlink r:id="rId851" ref="O267"/>
    <hyperlink r:id="rId852" ref="B268"/>
    <hyperlink r:id="rId853" ref="E268"/>
    <hyperlink r:id="rId854" ref="O268"/>
    <hyperlink r:id="rId855" ref="B269"/>
    <hyperlink r:id="rId856" ref="E269"/>
    <hyperlink r:id="rId857" ref="O269"/>
    <hyperlink r:id="rId858" ref="B270"/>
    <hyperlink r:id="rId859" ref="E270"/>
    <hyperlink r:id="rId860" ref="O270"/>
    <hyperlink r:id="rId861" ref="B271"/>
    <hyperlink r:id="rId862" ref="E271"/>
    <hyperlink r:id="rId863" ref="F271"/>
    <hyperlink r:id="rId864" ref="O271"/>
    <hyperlink r:id="rId865" ref="B272"/>
    <hyperlink r:id="rId866" ref="E272"/>
    <hyperlink r:id="rId867" ref="F272"/>
    <hyperlink r:id="rId868" ref="O272"/>
    <hyperlink r:id="rId869" ref="B273"/>
    <hyperlink r:id="rId870" ref="E273"/>
    <hyperlink r:id="rId871" ref="F273"/>
    <hyperlink r:id="rId872" ref="O273"/>
    <hyperlink r:id="rId873" ref="B274"/>
    <hyperlink r:id="rId874" ref="E274"/>
    <hyperlink r:id="rId875" ref="F274"/>
    <hyperlink r:id="rId876" ref="O274"/>
    <hyperlink r:id="rId877" ref="B275"/>
    <hyperlink r:id="rId878" ref="E275"/>
    <hyperlink r:id="rId879" ref="F275"/>
    <hyperlink r:id="rId880" ref="O275"/>
    <hyperlink r:id="rId881" ref="B276"/>
    <hyperlink r:id="rId882" ref="E276"/>
    <hyperlink r:id="rId883" ref="F276"/>
    <hyperlink r:id="rId884" ref="O276"/>
    <hyperlink r:id="rId885" ref="B277"/>
    <hyperlink r:id="rId886" ref="E277"/>
    <hyperlink r:id="rId887" ref="O277"/>
    <hyperlink r:id="rId888" ref="B278"/>
    <hyperlink r:id="rId889" ref="E278"/>
    <hyperlink r:id="rId890" ref="O278"/>
    <hyperlink r:id="rId891" ref="B279"/>
    <hyperlink r:id="rId892" ref="E279"/>
    <hyperlink r:id="rId893" ref="O279"/>
    <hyperlink r:id="rId894" ref="B280"/>
    <hyperlink r:id="rId895" ref="E280"/>
    <hyperlink r:id="rId896" ref="O280"/>
    <hyperlink r:id="rId897" ref="B281"/>
    <hyperlink r:id="rId898" ref="E281"/>
    <hyperlink r:id="rId899" ref="O281"/>
    <hyperlink r:id="rId900" ref="B282"/>
    <hyperlink r:id="rId901" ref="E282"/>
    <hyperlink r:id="rId902" ref="O282"/>
    <hyperlink r:id="rId903" ref="B283"/>
    <hyperlink r:id="rId904" ref="E283"/>
    <hyperlink r:id="rId905" ref="O283"/>
    <hyperlink r:id="rId906" ref="B284"/>
    <hyperlink r:id="rId907" ref="E284"/>
    <hyperlink r:id="rId908" ref="O284"/>
    <hyperlink r:id="rId909" ref="B285"/>
    <hyperlink r:id="rId910" ref="E285"/>
    <hyperlink r:id="rId911" ref="O285"/>
    <hyperlink r:id="rId912" ref="B286"/>
    <hyperlink r:id="rId913" ref="E286"/>
    <hyperlink r:id="rId914" ref="O286"/>
    <hyperlink r:id="rId915" ref="B287"/>
    <hyperlink r:id="rId916" ref="E287"/>
    <hyperlink r:id="rId917" ref="O287"/>
    <hyperlink r:id="rId918" ref="B288"/>
    <hyperlink r:id="rId919" ref="E288"/>
    <hyperlink r:id="rId920" ref="O288"/>
    <hyperlink r:id="rId921" ref="B289"/>
    <hyperlink r:id="rId922" ref="E289"/>
    <hyperlink r:id="rId923" ref="O289"/>
    <hyperlink r:id="rId924" ref="B290"/>
    <hyperlink r:id="rId925" ref="E290"/>
    <hyperlink r:id="rId926" ref="O290"/>
    <hyperlink r:id="rId927" ref="B291"/>
    <hyperlink r:id="rId928" ref="E291"/>
    <hyperlink r:id="rId929" ref="O291"/>
    <hyperlink r:id="rId930" ref="B292"/>
    <hyperlink r:id="rId931" ref="E292"/>
    <hyperlink r:id="rId932" ref="O292"/>
    <hyperlink r:id="rId933" ref="B293"/>
    <hyperlink r:id="rId934" ref="E293"/>
    <hyperlink r:id="rId935" ref="O293"/>
    <hyperlink r:id="rId936" ref="B294"/>
    <hyperlink r:id="rId937" ref="E294"/>
    <hyperlink r:id="rId938" ref="O294"/>
    <hyperlink r:id="rId939" ref="B295"/>
    <hyperlink r:id="rId940" ref="E295"/>
    <hyperlink r:id="rId941" ref="O295"/>
    <hyperlink r:id="rId942" ref="B296"/>
    <hyperlink r:id="rId943" ref="E296"/>
    <hyperlink r:id="rId944" ref="O296"/>
    <hyperlink r:id="rId945" ref="B297"/>
    <hyperlink r:id="rId946" ref="E297"/>
    <hyperlink r:id="rId947" ref="O297"/>
    <hyperlink r:id="rId948" ref="B298"/>
    <hyperlink r:id="rId949" ref="E298"/>
    <hyperlink r:id="rId950" ref="O298"/>
    <hyperlink r:id="rId951" ref="B299"/>
    <hyperlink r:id="rId952" ref="E299"/>
    <hyperlink r:id="rId953" ref="O299"/>
    <hyperlink r:id="rId954" ref="B300"/>
    <hyperlink r:id="rId955" ref="E300"/>
    <hyperlink r:id="rId956" ref="F300"/>
    <hyperlink r:id="rId957" ref="O300"/>
    <hyperlink r:id="rId958" ref="B301"/>
    <hyperlink r:id="rId959" ref="E301"/>
    <hyperlink r:id="rId960" ref="F301"/>
    <hyperlink r:id="rId961" ref="O301"/>
    <hyperlink r:id="rId962" ref="B302"/>
    <hyperlink r:id="rId963" ref="E302"/>
    <hyperlink r:id="rId964" ref="F302"/>
    <hyperlink r:id="rId965" ref="O302"/>
    <hyperlink r:id="rId966" ref="B303"/>
    <hyperlink r:id="rId967" ref="E303"/>
    <hyperlink r:id="rId968" ref="F303"/>
    <hyperlink r:id="rId969" ref="O303"/>
    <hyperlink r:id="rId970" ref="B304"/>
    <hyperlink r:id="rId971" ref="E304"/>
    <hyperlink r:id="rId972" ref="F304"/>
    <hyperlink r:id="rId973" ref="O304"/>
    <hyperlink r:id="rId974" ref="B305"/>
    <hyperlink r:id="rId975" ref="E305"/>
    <hyperlink r:id="rId976" ref="F305"/>
    <hyperlink r:id="rId977" ref="O305"/>
    <hyperlink r:id="rId978" ref="B306"/>
    <hyperlink r:id="rId979" ref="E306"/>
    <hyperlink r:id="rId980" ref="F306"/>
    <hyperlink r:id="rId981" ref="O306"/>
    <hyperlink r:id="rId982" ref="B307"/>
    <hyperlink r:id="rId983" ref="E307"/>
    <hyperlink r:id="rId984" ref="F307"/>
    <hyperlink r:id="rId985" ref="O307"/>
    <hyperlink r:id="rId986" ref="B308"/>
    <hyperlink r:id="rId987" ref="E308"/>
    <hyperlink r:id="rId988" ref="F308"/>
    <hyperlink r:id="rId989" ref="O308"/>
    <hyperlink r:id="rId990" ref="B309"/>
    <hyperlink r:id="rId991" ref="E309"/>
    <hyperlink r:id="rId992" ref="F309"/>
    <hyperlink r:id="rId993" ref="O309"/>
    <hyperlink r:id="rId994" ref="B310"/>
    <hyperlink r:id="rId995" ref="E310"/>
    <hyperlink r:id="rId996" ref="O310"/>
    <hyperlink r:id="rId997" ref="B311"/>
    <hyperlink r:id="rId998" ref="E311"/>
    <hyperlink r:id="rId999" ref="O311"/>
    <hyperlink r:id="rId1000" ref="B312"/>
    <hyperlink r:id="rId1001" ref="E312"/>
    <hyperlink r:id="rId1002" ref="O312"/>
    <hyperlink r:id="rId1003" ref="B313"/>
    <hyperlink r:id="rId1004" ref="E313"/>
    <hyperlink r:id="rId1005" ref="O313"/>
    <hyperlink r:id="rId1006" ref="B314"/>
    <hyperlink r:id="rId1007" ref="E314"/>
    <hyperlink r:id="rId1008" ref="O314"/>
    <hyperlink r:id="rId1009" ref="B315"/>
    <hyperlink r:id="rId1010" ref="E315"/>
    <hyperlink r:id="rId1011" ref="O315"/>
    <hyperlink r:id="rId1012" ref="B316"/>
    <hyperlink r:id="rId1013" ref="E316"/>
    <hyperlink r:id="rId1014" ref="O316"/>
    <hyperlink r:id="rId1015" ref="B317"/>
    <hyperlink r:id="rId1016" ref="E317"/>
    <hyperlink r:id="rId1017" ref="O317"/>
    <hyperlink r:id="rId1018" ref="B318"/>
    <hyperlink r:id="rId1019" ref="E318"/>
    <hyperlink r:id="rId1020" ref="O318"/>
    <hyperlink r:id="rId1021" ref="B319"/>
    <hyperlink r:id="rId1022" ref="E319"/>
    <hyperlink r:id="rId1023" ref="O319"/>
    <hyperlink r:id="rId1024" ref="B320"/>
    <hyperlink r:id="rId1025" ref="E320"/>
    <hyperlink r:id="rId1026" ref="O320"/>
    <hyperlink r:id="rId1027" ref="B321"/>
    <hyperlink r:id="rId1028" ref="E321"/>
    <hyperlink r:id="rId1029" ref="O321"/>
    <hyperlink r:id="rId1030" ref="B322"/>
    <hyperlink r:id="rId1031" ref="E322"/>
    <hyperlink r:id="rId1032" ref="O322"/>
    <hyperlink r:id="rId1033" ref="B323"/>
    <hyperlink r:id="rId1034" ref="E323"/>
    <hyperlink r:id="rId1035" ref="O323"/>
    <hyperlink r:id="rId1036" ref="B324"/>
    <hyperlink r:id="rId1037" ref="E324"/>
    <hyperlink r:id="rId1038" ref="O324"/>
    <hyperlink r:id="rId1039" ref="B325"/>
    <hyperlink r:id="rId1040" ref="E325"/>
    <hyperlink r:id="rId1041" ref="O325"/>
    <hyperlink r:id="rId1042" ref="B326"/>
    <hyperlink r:id="rId1043" ref="E326"/>
    <hyperlink r:id="rId1044" ref="O326"/>
    <hyperlink r:id="rId1045" ref="B327"/>
    <hyperlink r:id="rId1046" ref="E327"/>
    <hyperlink r:id="rId1047" ref="O327"/>
    <hyperlink r:id="rId1048" ref="B328"/>
    <hyperlink r:id="rId1049" ref="E328"/>
    <hyperlink r:id="rId1050" ref="O328"/>
    <hyperlink r:id="rId1051" ref="B329"/>
    <hyperlink r:id="rId1052" ref="E329"/>
    <hyperlink r:id="rId1053" ref="F329"/>
    <hyperlink r:id="rId1054" ref="O329"/>
    <hyperlink r:id="rId1055" ref="B330"/>
    <hyperlink r:id="rId1056" ref="E330"/>
    <hyperlink r:id="rId1057" ref="O330"/>
    <hyperlink r:id="rId1058" ref="B331"/>
    <hyperlink r:id="rId1059" ref="E331"/>
    <hyperlink r:id="rId1060" ref="O331"/>
    <hyperlink r:id="rId1061" ref="B332"/>
    <hyperlink r:id="rId1062" ref="E332"/>
    <hyperlink r:id="rId1063" ref="O332"/>
    <hyperlink r:id="rId1064" ref="B333"/>
    <hyperlink r:id="rId1065" ref="E333"/>
    <hyperlink r:id="rId1066" ref="O333"/>
    <hyperlink r:id="rId1067" ref="B334"/>
    <hyperlink r:id="rId1068" ref="E334"/>
    <hyperlink r:id="rId1069" ref="O334"/>
    <hyperlink r:id="rId1070" ref="B335"/>
    <hyperlink r:id="rId1071" ref="E335"/>
    <hyperlink r:id="rId1072" ref="O335"/>
    <hyperlink r:id="rId1073" ref="B336"/>
    <hyperlink r:id="rId1074" ref="E336"/>
    <hyperlink r:id="rId1075" ref="O336"/>
    <hyperlink r:id="rId1076" ref="B337"/>
    <hyperlink r:id="rId1077" ref="E337"/>
    <hyperlink r:id="rId1078" ref="O337"/>
    <hyperlink r:id="rId1079" ref="B338"/>
    <hyperlink r:id="rId1080" ref="E338"/>
    <hyperlink r:id="rId1081" ref="O338"/>
    <hyperlink r:id="rId1082" ref="B339"/>
    <hyperlink r:id="rId1083" ref="E339"/>
    <hyperlink r:id="rId1084" ref="O339"/>
    <hyperlink r:id="rId1085" ref="B340"/>
    <hyperlink r:id="rId1086" ref="E340"/>
    <hyperlink r:id="rId1087" ref="O340"/>
    <hyperlink r:id="rId1088" ref="B341"/>
    <hyperlink r:id="rId1089" ref="E341"/>
    <hyperlink r:id="rId1090" ref="O341"/>
    <hyperlink r:id="rId1091" ref="B342"/>
    <hyperlink r:id="rId1092" ref="E342"/>
    <hyperlink r:id="rId1093" ref="O342"/>
    <hyperlink r:id="rId1094" ref="B343"/>
    <hyperlink r:id="rId1095" ref="E343"/>
    <hyperlink r:id="rId1096" ref="O343"/>
    <hyperlink r:id="rId1097" ref="B344"/>
    <hyperlink r:id="rId1098" ref="E344"/>
    <hyperlink r:id="rId1099" ref="O344"/>
    <hyperlink r:id="rId1100" ref="B345"/>
    <hyperlink r:id="rId1101" ref="E345"/>
    <hyperlink r:id="rId1102" ref="O345"/>
    <hyperlink r:id="rId1103" ref="B346"/>
    <hyperlink r:id="rId1104" ref="E346"/>
    <hyperlink r:id="rId1105" ref="O346"/>
    <hyperlink r:id="rId1106" ref="B347"/>
    <hyperlink r:id="rId1107" ref="E347"/>
    <hyperlink r:id="rId1108" ref="O347"/>
    <hyperlink r:id="rId1109" ref="B348"/>
    <hyperlink r:id="rId1110" ref="E348"/>
    <hyperlink r:id="rId1111" ref="O348"/>
    <hyperlink r:id="rId1112" ref="B349"/>
    <hyperlink r:id="rId1113" ref="E349"/>
    <hyperlink r:id="rId1114" ref="O349"/>
    <hyperlink r:id="rId1115" ref="B350"/>
    <hyperlink r:id="rId1116" ref="C350"/>
    <hyperlink r:id="rId1117" ref="E350"/>
    <hyperlink r:id="rId1118" ref="O350"/>
    <hyperlink r:id="rId1119" ref="B351"/>
    <hyperlink r:id="rId1120" ref="E351"/>
    <hyperlink r:id="rId1121" ref="O351"/>
    <hyperlink r:id="rId1122" ref="B352"/>
    <hyperlink r:id="rId1123" ref="E352"/>
    <hyperlink r:id="rId1124" ref="F352"/>
    <hyperlink r:id="rId1125" ref="O352"/>
    <hyperlink r:id="rId1126" ref="B353"/>
    <hyperlink r:id="rId1127" ref="E353"/>
    <hyperlink r:id="rId1128" ref="F353"/>
    <hyperlink r:id="rId1129" ref="O353"/>
    <hyperlink r:id="rId1130" ref="B354"/>
    <hyperlink r:id="rId1131" ref="E354"/>
    <hyperlink r:id="rId1132" ref="F354"/>
    <hyperlink r:id="rId1133" ref="O354"/>
    <hyperlink r:id="rId1134" ref="B355"/>
    <hyperlink r:id="rId1135" ref="E355"/>
    <hyperlink r:id="rId1136" ref="F355"/>
    <hyperlink r:id="rId1137" ref="O355"/>
    <hyperlink r:id="rId1138" ref="B356"/>
    <hyperlink r:id="rId1139" ref="E356"/>
    <hyperlink r:id="rId1140" ref="F356"/>
    <hyperlink r:id="rId1141" ref="O356"/>
    <hyperlink r:id="rId1142" ref="B357"/>
    <hyperlink r:id="rId1143" ref="E357"/>
    <hyperlink r:id="rId1144" ref="F357"/>
    <hyperlink r:id="rId1145" ref="O357"/>
    <hyperlink r:id="rId1146" ref="B358"/>
    <hyperlink r:id="rId1147" ref="E358"/>
    <hyperlink r:id="rId1148" ref="F358"/>
    <hyperlink r:id="rId1149" ref="O358"/>
    <hyperlink r:id="rId1150" ref="B359"/>
    <hyperlink r:id="rId1151" ref="E359"/>
    <hyperlink r:id="rId1152" ref="F359"/>
    <hyperlink r:id="rId1153" ref="O359"/>
    <hyperlink r:id="rId1154" ref="B360"/>
    <hyperlink r:id="rId1155" ref="E360"/>
    <hyperlink r:id="rId1156" ref="F360"/>
    <hyperlink r:id="rId1157" ref="O360"/>
    <hyperlink r:id="rId1158" ref="B361"/>
    <hyperlink r:id="rId1159" ref="E361"/>
    <hyperlink r:id="rId1160" ref="F361"/>
    <hyperlink r:id="rId1161" ref="O361"/>
    <hyperlink r:id="rId1162" ref="B362"/>
    <hyperlink r:id="rId1163" ref="E362"/>
    <hyperlink r:id="rId1164" ref="O362"/>
    <hyperlink r:id="rId1165" ref="B363"/>
    <hyperlink r:id="rId1166" ref="E363"/>
    <hyperlink r:id="rId1167" ref="O363"/>
    <hyperlink r:id="rId1168" ref="B364"/>
    <hyperlink r:id="rId1169" ref="E364"/>
    <hyperlink r:id="rId1170" ref="O364"/>
    <hyperlink r:id="rId1171" ref="B365"/>
    <hyperlink r:id="rId1172" ref="E365"/>
    <hyperlink r:id="rId1173" ref="O365"/>
    <hyperlink r:id="rId1174" ref="B366"/>
    <hyperlink r:id="rId1175" ref="E366"/>
    <hyperlink r:id="rId1176" ref="O366"/>
    <hyperlink r:id="rId1177" ref="B367"/>
    <hyperlink r:id="rId1178" ref="E367"/>
    <hyperlink r:id="rId1179" ref="O367"/>
    <hyperlink r:id="rId1180" ref="B368"/>
    <hyperlink r:id="rId1181" ref="E368"/>
    <hyperlink r:id="rId1182" ref="O368"/>
    <hyperlink r:id="rId1183" ref="B369"/>
    <hyperlink r:id="rId1184" ref="E369"/>
    <hyperlink r:id="rId1185" ref="O369"/>
    <hyperlink r:id="rId1186" ref="B370"/>
    <hyperlink r:id="rId1187" ref="E370"/>
    <hyperlink r:id="rId1188" ref="O370"/>
    <hyperlink r:id="rId1189" ref="B371"/>
    <hyperlink r:id="rId1190" ref="E371"/>
    <hyperlink r:id="rId1191" ref="O371"/>
    <hyperlink r:id="rId1192" ref="B372"/>
    <hyperlink r:id="rId1193" ref="E372"/>
    <hyperlink r:id="rId1194" ref="O372"/>
    <hyperlink r:id="rId1195" ref="B373"/>
    <hyperlink r:id="rId1196" ref="E373"/>
    <hyperlink r:id="rId1197" ref="O373"/>
    <hyperlink r:id="rId1198" ref="B374"/>
    <hyperlink r:id="rId1199" ref="E374"/>
    <hyperlink r:id="rId1200" ref="O374"/>
    <hyperlink r:id="rId1201" ref="B375"/>
    <hyperlink r:id="rId1202" ref="E375"/>
    <hyperlink r:id="rId1203" ref="O375"/>
    <hyperlink r:id="rId1204" location="52.4946,13.3427" ref="P375"/>
    <hyperlink r:id="rId1205" ref="B376"/>
    <hyperlink r:id="rId1206" ref="E376"/>
    <hyperlink r:id="rId1207" ref="O376"/>
    <hyperlink r:id="rId1208" ref="B377"/>
    <hyperlink r:id="rId1209" ref="E377"/>
    <hyperlink r:id="rId1210" ref="O377"/>
    <hyperlink r:id="rId1211" ref="B378"/>
    <hyperlink r:id="rId1212" ref="E378"/>
    <hyperlink r:id="rId1213" ref="O378"/>
    <hyperlink r:id="rId1214" ref="B379"/>
    <hyperlink r:id="rId1215" ref="E379"/>
    <hyperlink r:id="rId1216" ref="O379"/>
    <hyperlink r:id="rId1217" ref="B380"/>
    <hyperlink r:id="rId1218" ref="E380"/>
    <hyperlink r:id="rId1219" ref="O380"/>
    <hyperlink r:id="rId1220" ref="B381"/>
    <hyperlink r:id="rId1221" ref="E381"/>
    <hyperlink r:id="rId1222" ref="O381"/>
    <hyperlink r:id="rId1223" ref="B382"/>
    <hyperlink r:id="rId1224" ref="E382"/>
    <hyperlink r:id="rId1225" ref="O382"/>
    <hyperlink r:id="rId1226" ref="B383"/>
    <hyperlink r:id="rId1227" ref="E383"/>
    <hyperlink r:id="rId1228" ref="O383"/>
    <hyperlink r:id="rId1229" ref="B384"/>
    <hyperlink r:id="rId1230" ref="C384"/>
    <hyperlink r:id="rId1231" ref="E384"/>
    <hyperlink r:id="rId1232" ref="O384"/>
    <hyperlink r:id="rId1233" ref="B385"/>
    <hyperlink r:id="rId1234" ref="C385"/>
    <hyperlink r:id="rId1235" ref="E385"/>
    <hyperlink r:id="rId1236" ref="O385"/>
    <hyperlink r:id="rId1237" ref="B386"/>
    <hyperlink r:id="rId1238" ref="E386"/>
    <hyperlink r:id="rId1239" ref="F386"/>
    <hyperlink r:id="rId1240" ref="O386"/>
    <hyperlink r:id="rId1241" ref="B387"/>
    <hyperlink r:id="rId1242" ref="E387"/>
    <hyperlink r:id="rId1243" ref="O387"/>
    <hyperlink r:id="rId1244" ref="B388"/>
    <hyperlink r:id="rId1245" ref="E388"/>
    <hyperlink r:id="rId1246" ref="O388"/>
    <hyperlink r:id="rId1247" ref="B389"/>
    <hyperlink r:id="rId1248" ref="E389"/>
    <hyperlink r:id="rId1249" ref="O389"/>
    <hyperlink r:id="rId1250" ref="B390"/>
    <hyperlink r:id="rId1251" ref="E390"/>
    <hyperlink r:id="rId1252" ref="O390"/>
    <hyperlink r:id="rId1253" ref="B391"/>
    <hyperlink r:id="rId1254" ref="E391"/>
    <hyperlink r:id="rId1255" ref="O391"/>
    <hyperlink r:id="rId1256" ref="B392"/>
    <hyperlink r:id="rId1257" ref="E392"/>
    <hyperlink r:id="rId1258" ref="M392"/>
    <hyperlink r:id="rId1259" ref="O392"/>
    <hyperlink r:id="rId1260" ref="B393"/>
    <hyperlink r:id="rId1261" ref="E393"/>
    <hyperlink r:id="rId1262" ref="O393"/>
    <hyperlink r:id="rId1263" ref="B394"/>
    <hyperlink r:id="rId1264" ref="E394"/>
    <hyperlink r:id="rId1265" ref="O394"/>
    <hyperlink r:id="rId1266" ref="B395"/>
    <hyperlink r:id="rId1267" ref="E395"/>
    <hyperlink r:id="rId1268" ref="O395"/>
    <hyperlink r:id="rId1269" ref="B396"/>
    <hyperlink r:id="rId1270" ref="E396"/>
    <hyperlink r:id="rId1271" ref="O396"/>
    <hyperlink r:id="rId1272" ref="B397"/>
    <hyperlink r:id="rId1273" ref="E397"/>
    <hyperlink r:id="rId1274" ref="O397"/>
    <hyperlink r:id="rId1275" ref="B398"/>
    <hyperlink r:id="rId1276" ref="E398"/>
    <hyperlink r:id="rId1277" ref="O398"/>
    <hyperlink r:id="rId1278" ref="B399"/>
    <hyperlink r:id="rId1279" ref="E399"/>
    <hyperlink r:id="rId1280" ref="O399"/>
    <hyperlink r:id="rId1281" ref="B400"/>
    <hyperlink r:id="rId1282" ref="E400"/>
    <hyperlink r:id="rId1283" ref="O400"/>
    <hyperlink r:id="rId1284" ref="B401"/>
    <hyperlink r:id="rId1285" ref="E401"/>
    <hyperlink r:id="rId1286" ref="O401"/>
    <hyperlink r:id="rId1287" ref="B402"/>
    <hyperlink r:id="rId1288" ref="E402"/>
    <hyperlink r:id="rId1289" ref="O402"/>
    <hyperlink r:id="rId1290" ref="B403"/>
    <hyperlink r:id="rId1291" ref="E403"/>
    <hyperlink r:id="rId1292" ref="O403"/>
    <hyperlink r:id="rId1293" ref="B404"/>
    <hyperlink r:id="rId1294" ref="E404"/>
    <hyperlink r:id="rId1295" ref="O404"/>
    <hyperlink r:id="rId1296" ref="B405"/>
    <hyperlink r:id="rId1297" ref="E405"/>
    <hyperlink r:id="rId1298" ref="F405"/>
    <hyperlink r:id="rId1299" ref="O405"/>
    <hyperlink r:id="rId1300" ref="B406"/>
    <hyperlink r:id="rId1301" ref="E406"/>
    <hyperlink r:id="rId1302" ref="O406"/>
    <hyperlink r:id="rId1303" ref="B407"/>
    <hyperlink r:id="rId1304" ref="E407"/>
    <hyperlink r:id="rId1305" ref="O407"/>
    <hyperlink r:id="rId1306" ref="B408"/>
    <hyperlink r:id="rId1307" ref="E408"/>
    <hyperlink r:id="rId1308" ref="O408"/>
    <hyperlink r:id="rId1309" ref="B409"/>
    <hyperlink r:id="rId1310" ref="C409"/>
    <hyperlink r:id="rId1311" ref="E409"/>
    <hyperlink r:id="rId1312" ref="O409"/>
    <hyperlink r:id="rId1313" ref="B410"/>
    <hyperlink r:id="rId1314" ref="E410"/>
    <hyperlink r:id="rId1315" ref="O410"/>
    <hyperlink r:id="rId1316" location="33.6893349,-117.9538956" ref="P410"/>
    <hyperlink r:id="rId1317" ref="B411"/>
    <hyperlink r:id="rId1318" ref="E411"/>
    <hyperlink r:id="rId1319" ref="O411"/>
    <hyperlink r:id="rId1320" ref="B412"/>
    <hyperlink r:id="rId1321" ref="E412"/>
    <hyperlink r:id="rId1322" ref="O412"/>
    <hyperlink r:id="rId1323" ref="B413"/>
    <hyperlink r:id="rId1324" ref="E413"/>
    <hyperlink r:id="rId1325" ref="O413"/>
    <hyperlink r:id="rId1326" ref="B414"/>
    <hyperlink r:id="rId1327" ref="E414"/>
    <hyperlink r:id="rId1328" ref="F414"/>
    <hyperlink r:id="rId1329" ref="O414"/>
    <hyperlink r:id="rId1330" ref="B415"/>
    <hyperlink r:id="rId1331" ref="E415"/>
    <hyperlink r:id="rId1332" ref="F415"/>
    <hyperlink r:id="rId1333" ref="O415"/>
    <hyperlink r:id="rId1334" ref="B416"/>
    <hyperlink r:id="rId1335" ref="E416"/>
    <hyperlink r:id="rId1336" ref="O416"/>
    <hyperlink r:id="rId1337" ref="B417"/>
    <hyperlink r:id="rId1338" ref="E417"/>
    <hyperlink r:id="rId1339" ref="O417"/>
    <hyperlink r:id="rId1340" ref="B418"/>
    <hyperlink r:id="rId1341" ref="C418"/>
    <hyperlink r:id="rId1342" ref="E418"/>
    <hyperlink r:id="rId1343" ref="O418"/>
    <hyperlink r:id="rId1344" ref="B419"/>
    <hyperlink r:id="rId1345" ref="E419"/>
    <hyperlink r:id="rId1346" ref="O419"/>
    <hyperlink r:id="rId1347" ref="B420"/>
    <hyperlink r:id="rId1348" ref="E420"/>
    <hyperlink r:id="rId1349" ref="O420"/>
    <hyperlink r:id="rId1350" ref="B421"/>
    <hyperlink r:id="rId1351" ref="E421"/>
    <hyperlink r:id="rId1352" ref="O421"/>
    <hyperlink r:id="rId1353" ref="B422"/>
    <hyperlink r:id="rId1354" ref="E422"/>
    <hyperlink r:id="rId1355" ref="O422"/>
    <hyperlink r:id="rId1356" ref="B423"/>
    <hyperlink r:id="rId1357" ref="E423"/>
    <hyperlink r:id="rId1358" ref="O423"/>
    <hyperlink r:id="rId1359" ref="B424"/>
    <hyperlink r:id="rId1360" ref="E424"/>
    <hyperlink r:id="rId1361" ref="O424"/>
    <hyperlink r:id="rId1362" ref="B425"/>
    <hyperlink r:id="rId1363" ref="E425"/>
    <hyperlink r:id="rId1364" ref="O425"/>
    <hyperlink r:id="rId1365" ref="B426"/>
    <hyperlink r:id="rId1366" ref="E426"/>
    <hyperlink r:id="rId1367" ref="O426"/>
    <hyperlink r:id="rId1368" ref="B427"/>
    <hyperlink r:id="rId1369" ref="E427"/>
    <hyperlink r:id="rId1370" ref="O427"/>
    <hyperlink r:id="rId1371" ref="B428"/>
    <hyperlink r:id="rId1372" ref="E428"/>
    <hyperlink r:id="rId1373" ref="O428"/>
    <hyperlink r:id="rId1374" ref="B429"/>
    <hyperlink r:id="rId1375" ref="E429"/>
    <hyperlink r:id="rId1376" ref="O429"/>
    <hyperlink r:id="rId1377" ref="B430"/>
    <hyperlink r:id="rId1378" ref="E430"/>
    <hyperlink r:id="rId1379" ref="O430"/>
    <hyperlink r:id="rId1380" ref="B431"/>
    <hyperlink r:id="rId1381" ref="E431"/>
    <hyperlink r:id="rId1382" ref="O431"/>
    <hyperlink r:id="rId1383" ref="B432"/>
    <hyperlink r:id="rId1384" ref="E432"/>
    <hyperlink r:id="rId1385" ref="O432"/>
    <hyperlink r:id="rId1386" ref="B433"/>
    <hyperlink r:id="rId1387" ref="E433"/>
    <hyperlink r:id="rId1388" ref="O433"/>
    <hyperlink r:id="rId1389" ref="B434"/>
    <hyperlink r:id="rId1390" ref="E434"/>
    <hyperlink r:id="rId1391" ref="O434"/>
    <hyperlink r:id="rId1392" ref="B435"/>
    <hyperlink r:id="rId1393" ref="E435"/>
    <hyperlink r:id="rId1394" ref="O435"/>
    <hyperlink r:id="rId1395" ref="B436"/>
    <hyperlink r:id="rId1396" ref="E436"/>
    <hyperlink r:id="rId1397" ref="O436"/>
    <hyperlink r:id="rId1398" ref="B437"/>
    <hyperlink r:id="rId1399" ref="E437"/>
    <hyperlink r:id="rId1400" ref="O437"/>
    <hyperlink r:id="rId1401" ref="B438"/>
    <hyperlink r:id="rId1402" ref="E438"/>
    <hyperlink r:id="rId1403" ref="O438"/>
    <hyperlink r:id="rId1404" ref="B439"/>
    <hyperlink r:id="rId1405" ref="E439"/>
    <hyperlink r:id="rId1406" ref="O439"/>
    <hyperlink r:id="rId1407" ref="B440"/>
    <hyperlink r:id="rId1408" ref="E440"/>
    <hyperlink r:id="rId1409" ref="O440"/>
    <hyperlink r:id="rId1410" ref="B441"/>
    <hyperlink r:id="rId1411" ref="E441"/>
    <hyperlink r:id="rId1412" ref="O441"/>
    <hyperlink r:id="rId1413" ref="B442"/>
    <hyperlink r:id="rId1414" ref="E442"/>
    <hyperlink r:id="rId1415" ref="O442"/>
    <hyperlink r:id="rId1416" ref="B443"/>
    <hyperlink r:id="rId1417" ref="C443"/>
    <hyperlink r:id="rId1418" ref="E443"/>
    <hyperlink r:id="rId1419" ref="O443"/>
    <hyperlink r:id="rId1420" ref="B444"/>
    <hyperlink r:id="rId1421" ref="E444"/>
    <hyperlink r:id="rId1422" ref="O444"/>
    <hyperlink r:id="rId1423" ref="B445"/>
    <hyperlink r:id="rId1424" ref="E445"/>
    <hyperlink r:id="rId1425" ref="O445"/>
    <hyperlink r:id="rId1426" ref="B446"/>
    <hyperlink r:id="rId1427" ref="E446"/>
    <hyperlink r:id="rId1428" ref="O446"/>
    <hyperlink r:id="rId1429" ref="B447"/>
    <hyperlink r:id="rId1430" ref="E447"/>
    <hyperlink r:id="rId1431" ref="O447"/>
    <hyperlink r:id="rId1432" ref="B448"/>
    <hyperlink r:id="rId1433" ref="E448"/>
    <hyperlink r:id="rId1434" ref="O448"/>
    <hyperlink r:id="rId1435" ref="B449"/>
    <hyperlink r:id="rId1436" ref="E449"/>
    <hyperlink r:id="rId1437" ref="O449"/>
    <hyperlink r:id="rId1438" ref="B450"/>
    <hyperlink r:id="rId1439" ref="E450"/>
    <hyperlink r:id="rId1440" ref="O450"/>
    <hyperlink r:id="rId1441" ref="B451"/>
    <hyperlink r:id="rId1442" ref="E451"/>
    <hyperlink r:id="rId1443" ref="O451"/>
    <hyperlink r:id="rId1444" ref="B452"/>
    <hyperlink r:id="rId1445" ref="E452"/>
    <hyperlink r:id="rId1446" ref="F452"/>
    <hyperlink r:id="rId1447" ref="O452"/>
    <hyperlink r:id="rId1448" ref="B453"/>
    <hyperlink r:id="rId1449" ref="E453"/>
    <hyperlink r:id="rId1450" ref="O453"/>
    <hyperlink r:id="rId1451" ref="B454"/>
    <hyperlink r:id="rId1452" ref="E454"/>
    <hyperlink r:id="rId1453" ref="O454"/>
    <hyperlink r:id="rId1454" ref="B455"/>
    <hyperlink r:id="rId1455" ref="E455"/>
    <hyperlink r:id="rId1456" ref="O455"/>
    <hyperlink r:id="rId1457" ref="B456"/>
    <hyperlink r:id="rId1458" ref="E456"/>
    <hyperlink r:id="rId1459" ref="O456"/>
    <hyperlink r:id="rId1460" ref="B457"/>
    <hyperlink r:id="rId1461" ref="E457"/>
    <hyperlink r:id="rId1462" ref="O457"/>
    <hyperlink r:id="rId1463" ref="B458"/>
    <hyperlink r:id="rId1464" ref="E458"/>
    <hyperlink r:id="rId1465" ref="O458"/>
    <hyperlink r:id="rId1466" ref="B459"/>
    <hyperlink r:id="rId1467" ref="E459"/>
    <hyperlink r:id="rId1468" ref="O459"/>
    <hyperlink r:id="rId1469" ref="B460"/>
    <hyperlink r:id="rId1470" ref="E460"/>
    <hyperlink r:id="rId1471" ref="O460"/>
    <hyperlink r:id="rId1472" ref="B461"/>
    <hyperlink r:id="rId1473" ref="E461"/>
    <hyperlink r:id="rId1474" ref="O461"/>
    <hyperlink r:id="rId1475" ref="B462"/>
    <hyperlink r:id="rId1476" ref="E462"/>
    <hyperlink r:id="rId1477" ref="O462"/>
    <hyperlink r:id="rId1478" ref="B463"/>
    <hyperlink r:id="rId1479" ref="E463"/>
    <hyperlink r:id="rId1480" ref="O463"/>
    <hyperlink r:id="rId1481" ref="B464"/>
    <hyperlink r:id="rId1482" ref="E464"/>
    <hyperlink r:id="rId1483" ref="O464"/>
    <hyperlink r:id="rId1484" ref="B465"/>
    <hyperlink r:id="rId1485" ref="E465"/>
    <hyperlink r:id="rId1486" ref="O465"/>
    <hyperlink r:id="rId1487" ref="B466"/>
    <hyperlink r:id="rId1488" ref="E466"/>
    <hyperlink r:id="rId1489" ref="O466"/>
    <hyperlink r:id="rId1490" ref="B467"/>
    <hyperlink r:id="rId1491" ref="E467"/>
    <hyperlink r:id="rId1492" ref="O467"/>
    <hyperlink r:id="rId1493" ref="B468"/>
    <hyperlink r:id="rId1494" ref="E468"/>
    <hyperlink r:id="rId1495" ref="O468"/>
    <hyperlink r:id="rId1496" ref="B469"/>
    <hyperlink r:id="rId1497" ref="E469"/>
    <hyperlink r:id="rId1498" ref="O469"/>
    <hyperlink r:id="rId1499" ref="B470"/>
    <hyperlink r:id="rId1500" ref="E470"/>
    <hyperlink r:id="rId1501" ref="O470"/>
    <hyperlink r:id="rId1502" ref="B471"/>
    <hyperlink r:id="rId1503" ref="E471"/>
    <hyperlink r:id="rId1504" ref="O471"/>
    <hyperlink r:id="rId1505" ref="B472"/>
    <hyperlink r:id="rId1506" ref="E472"/>
    <hyperlink r:id="rId1507" ref="O472"/>
    <hyperlink r:id="rId1508" ref="B473"/>
    <hyperlink r:id="rId1509" ref="E473"/>
    <hyperlink r:id="rId1510" ref="O473"/>
    <hyperlink r:id="rId1511" ref="B474"/>
    <hyperlink r:id="rId1512" ref="E474"/>
    <hyperlink r:id="rId1513" ref="O474"/>
    <hyperlink r:id="rId1514" ref="B475"/>
    <hyperlink r:id="rId1515" ref="E475"/>
    <hyperlink r:id="rId1516" ref="O475"/>
    <hyperlink r:id="rId1517" ref="B476"/>
    <hyperlink r:id="rId1518" ref="E476"/>
    <hyperlink r:id="rId1519" ref="O476"/>
    <hyperlink r:id="rId1520" ref="B477"/>
    <hyperlink r:id="rId1521" ref="E477"/>
    <hyperlink r:id="rId1522" ref="O477"/>
    <hyperlink r:id="rId1523" ref="B478"/>
    <hyperlink r:id="rId1524" ref="E478"/>
    <hyperlink r:id="rId1525" ref="O478"/>
    <hyperlink r:id="rId1526" ref="B479"/>
    <hyperlink r:id="rId1527" ref="E479"/>
    <hyperlink r:id="rId1528" ref="O479"/>
    <hyperlink r:id="rId1529" ref="B480"/>
    <hyperlink r:id="rId1530" ref="E480"/>
    <hyperlink r:id="rId1531" ref="O480"/>
    <hyperlink r:id="rId1532" ref="B481"/>
    <hyperlink r:id="rId1533" ref="E481"/>
    <hyperlink r:id="rId1534" ref="O481"/>
    <hyperlink r:id="rId1535" ref="B482"/>
    <hyperlink r:id="rId1536" ref="E482"/>
    <hyperlink r:id="rId1537" ref="O482"/>
    <hyperlink r:id="rId1538" ref="B483"/>
    <hyperlink r:id="rId1539" ref="E483"/>
    <hyperlink r:id="rId1540" ref="F483"/>
    <hyperlink r:id="rId1541" ref="O483"/>
    <hyperlink r:id="rId1542" ref="B484"/>
    <hyperlink r:id="rId1543" ref="E484"/>
    <hyperlink r:id="rId1544" ref="O484"/>
    <hyperlink r:id="rId1545" ref="B485"/>
    <hyperlink r:id="rId1546" ref="E485"/>
    <hyperlink r:id="rId1547" ref="F485"/>
    <hyperlink r:id="rId1548" ref="O485"/>
    <hyperlink r:id="rId1549" ref="B486"/>
    <hyperlink r:id="rId1550" ref="E486"/>
    <hyperlink r:id="rId1551" ref="F486"/>
    <hyperlink r:id="rId1552" ref="O486"/>
    <hyperlink r:id="rId1553" ref="B487"/>
    <hyperlink r:id="rId1554" ref="E487"/>
    <hyperlink r:id="rId1555" ref="F487"/>
    <hyperlink r:id="rId1556" ref="O487"/>
    <hyperlink r:id="rId1557" ref="B488"/>
    <hyperlink r:id="rId1558" ref="E488"/>
    <hyperlink r:id="rId1559" ref="F488"/>
    <hyperlink r:id="rId1560" ref="O488"/>
    <hyperlink r:id="rId1561" ref="B489"/>
    <hyperlink r:id="rId1562" ref="E489"/>
    <hyperlink r:id="rId1563" ref="F489"/>
    <hyperlink r:id="rId1564" ref="O489"/>
    <hyperlink r:id="rId1565" ref="B490"/>
    <hyperlink r:id="rId1566" ref="E490"/>
    <hyperlink r:id="rId1567" ref="F490"/>
    <hyperlink r:id="rId1568" ref="O490"/>
    <hyperlink r:id="rId1569" ref="B491"/>
    <hyperlink r:id="rId1570" ref="E491"/>
    <hyperlink r:id="rId1571" ref="F491"/>
    <hyperlink r:id="rId1572" ref="O491"/>
    <hyperlink r:id="rId1573" ref="B492"/>
    <hyperlink r:id="rId1574" ref="E492"/>
    <hyperlink r:id="rId1575" ref="F492"/>
    <hyperlink r:id="rId1576" ref="O492"/>
    <hyperlink r:id="rId1577" ref="B493"/>
    <hyperlink r:id="rId1578" ref="E493"/>
    <hyperlink r:id="rId1579" ref="F493"/>
    <hyperlink r:id="rId1580" ref="O493"/>
    <hyperlink r:id="rId1581" ref="B494"/>
    <hyperlink r:id="rId1582" ref="E494"/>
    <hyperlink r:id="rId1583" ref="O494"/>
    <hyperlink r:id="rId1584" ref="B495"/>
    <hyperlink r:id="rId1585" ref="E495"/>
    <hyperlink r:id="rId1586" ref="O495"/>
    <hyperlink r:id="rId1587" ref="B496"/>
    <hyperlink r:id="rId1588" ref="E496"/>
    <hyperlink r:id="rId1589" ref="O496"/>
    <hyperlink r:id="rId1590" ref="B497"/>
    <hyperlink r:id="rId1591" ref="C497"/>
    <hyperlink r:id="rId1592" ref="E497"/>
    <hyperlink r:id="rId1593" ref="O497"/>
    <hyperlink r:id="rId1594" ref="B498"/>
    <hyperlink r:id="rId1595" ref="E498"/>
    <hyperlink r:id="rId1596" ref="O498"/>
    <hyperlink r:id="rId1597" ref="B499"/>
    <hyperlink r:id="rId1598" ref="E499"/>
    <hyperlink r:id="rId1599" ref="O499"/>
    <hyperlink r:id="rId1600" ref="B500"/>
    <hyperlink r:id="rId1601" ref="E500"/>
    <hyperlink r:id="rId1602" ref="O500"/>
    <hyperlink r:id="rId1603" ref="B501"/>
    <hyperlink r:id="rId1604" ref="E501"/>
    <hyperlink r:id="rId1605" ref="O501"/>
    <hyperlink r:id="rId1606" ref="B502"/>
    <hyperlink r:id="rId1607" ref="E502"/>
    <hyperlink r:id="rId1608" ref="O502"/>
    <hyperlink r:id="rId1609" ref="B503"/>
    <hyperlink r:id="rId1610" ref="E503"/>
    <hyperlink r:id="rId1611" ref="O503"/>
    <hyperlink r:id="rId1612" ref="B504"/>
    <hyperlink r:id="rId1613" ref="E504"/>
    <hyperlink r:id="rId1614" ref="O504"/>
    <hyperlink r:id="rId1615" ref="B505"/>
    <hyperlink r:id="rId1616" ref="E505"/>
    <hyperlink r:id="rId1617" ref="O505"/>
    <hyperlink r:id="rId1618" ref="B506"/>
    <hyperlink r:id="rId1619" ref="E506"/>
    <hyperlink r:id="rId1620" ref="O506"/>
    <hyperlink r:id="rId1621" ref="B507"/>
    <hyperlink r:id="rId1622" ref="E507"/>
    <hyperlink r:id="rId1623" ref="O507"/>
    <hyperlink r:id="rId1624" ref="B508"/>
    <hyperlink r:id="rId1625" ref="E508"/>
    <hyperlink r:id="rId1626" ref="O508"/>
    <hyperlink r:id="rId1627" ref="B509"/>
    <hyperlink r:id="rId1628" ref="E509"/>
    <hyperlink r:id="rId1629" ref="O509"/>
    <hyperlink r:id="rId1630" ref="B510"/>
    <hyperlink r:id="rId1631" ref="E510"/>
    <hyperlink r:id="rId1632" ref="O510"/>
    <hyperlink r:id="rId1633" ref="B511"/>
    <hyperlink r:id="rId1634" ref="C511"/>
    <hyperlink r:id="rId1635" ref="E511"/>
    <hyperlink r:id="rId1636" ref="O511"/>
    <hyperlink r:id="rId1637" ref="B512"/>
    <hyperlink r:id="rId1638" ref="E512"/>
    <hyperlink r:id="rId1639" ref="O512"/>
    <hyperlink r:id="rId1640" ref="B513"/>
    <hyperlink r:id="rId1641" ref="E513"/>
    <hyperlink r:id="rId1642" ref="O513"/>
    <hyperlink r:id="rId1643" ref="B514"/>
    <hyperlink r:id="rId1644" ref="E514"/>
    <hyperlink r:id="rId1645" ref="O514"/>
    <hyperlink r:id="rId1646" ref="B515"/>
    <hyperlink r:id="rId1647" ref="E515"/>
    <hyperlink r:id="rId1648" ref="O515"/>
    <hyperlink r:id="rId1649" ref="B516"/>
    <hyperlink r:id="rId1650" ref="E516"/>
    <hyperlink r:id="rId1651" ref="O516"/>
    <hyperlink r:id="rId1652" ref="B517"/>
    <hyperlink r:id="rId1653" ref="E517"/>
    <hyperlink r:id="rId1654" ref="O517"/>
    <hyperlink r:id="rId1655" ref="B518"/>
    <hyperlink r:id="rId1656" ref="E518"/>
    <hyperlink r:id="rId1657" ref="O518"/>
    <hyperlink r:id="rId1658" ref="B519"/>
    <hyperlink r:id="rId1659" ref="E519"/>
    <hyperlink r:id="rId1660" ref="O519"/>
    <hyperlink r:id="rId1661" ref="B520"/>
    <hyperlink r:id="rId1662" ref="C520"/>
    <hyperlink r:id="rId1663" ref="E520"/>
    <hyperlink r:id="rId1664" ref="O520"/>
    <hyperlink r:id="rId1665" ref="B521"/>
    <hyperlink r:id="rId1666" ref="E521"/>
    <hyperlink r:id="rId1667" ref="O521"/>
    <hyperlink r:id="rId1668" ref="B522"/>
    <hyperlink r:id="rId1669" ref="E522"/>
    <hyperlink r:id="rId1670" ref="O522"/>
    <hyperlink r:id="rId1671" ref="B523"/>
    <hyperlink r:id="rId1672" ref="E523"/>
    <hyperlink r:id="rId1673" ref="O523"/>
    <hyperlink r:id="rId1674" ref="B524"/>
    <hyperlink r:id="rId1675" ref="E524"/>
    <hyperlink r:id="rId1676" ref="O524"/>
    <hyperlink r:id="rId1677" ref="B525"/>
    <hyperlink r:id="rId1678" ref="E525"/>
    <hyperlink r:id="rId1679" ref="O525"/>
    <hyperlink r:id="rId1680" ref="B526"/>
    <hyperlink r:id="rId1681" ref="E526"/>
    <hyperlink r:id="rId1682" ref="O526"/>
    <hyperlink r:id="rId1683" ref="B527"/>
    <hyperlink r:id="rId1684" ref="E527"/>
    <hyperlink r:id="rId1685" ref="O527"/>
    <hyperlink r:id="rId1686" ref="B528"/>
    <hyperlink r:id="rId1687" ref="E528"/>
    <hyperlink r:id="rId1688" ref="O528"/>
    <hyperlink r:id="rId1689" ref="B529"/>
    <hyperlink r:id="rId1690" ref="E529"/>
    <hyperlink r:id="rId1691" ref="O529"/>
    <hyperlink r:id="rId1692" ref="B530"/>
    <hyperlink r:id="rId1693" ref="E530"/>
    <hyperlink r:id="rId1694" ref="O530"/>
    <hyperlink r:id="rId1695" ref="B531"/>
    <hyperlink r:id="rId1696" ref="E531"/>
    <hyperlink r:id="rId1697" ref="O531"/>
    <hyperlink r:id="rId1698" ref="B532"/>
    <hyperlink r:id="rId1699" ref="E532"/>
    <hyperlink r:id="rId1700" ref="O532"/>
    <hyperlink r:id="rId1701" ref="B533"/>
    <hyperlink r:id="rId1702" ref="E533"/>
    <hyperlink r:id="rId1703" ref="O533"/>
    <hyperlink r:id="rId1704" ref="B534"/>
    <hyperlink r:id="rId1705" ref="E534"/>
    <hyperlink r:id="rId1706" ref="O534"/>
    <hyperlink r:id="rId1707" ref="B535"/>
    <hyperlink r:id="rId1708" ref="E535"/>
    <hyperlink r:id="rId1709" ref="O535"/>
    <hyperlink r:id="rId1710" location="51.5110512,-0.1445648" ref="P535"/>
    <hyperlink r:id="rId1711" ref="B536"/>
    <hyperlink r:id="rId1712" ref="E536"/>
    <hyperlink r:id="rId1713" ref="O536"/>
    <hyperlink r:id="rId1714" ref="B537"/>
    <hyperlink r:id="rId1715" ref="E537"/>
    <hyperlink r:id="rId1716" ref="O537"/>
    <hyperlink r:id="rId1717" ref="B538"/>
    <hyperlink r:id="rId1718" ref="E538"/>
    <hyperlink r:id="rId1719" ref="O538"/>
    <hyperlink r:id="rId1720" ref="B539"/>
    <hyperlink r:id="rId1721" ref="C539"/>
    <hyperlink r:id="rId1722" ref="E539"/>
    <hyperlink r:id="rId1723" ref="O539"/>
    <hyperlink r:id="rId1724" ref="B540"/>
    <hyperlink r:id="rId1725" ref="E540"/>
    <hyperlink r:id="rId1726" ref="O540"/>
    <hyperlink r:id="rId1727" ref="B541"/>
    <hyperlink r:id="rId1728" ref="E541"/>
    <hyperlink r:id="rId1729" ref="O541"/>
    <hyperlink r:id="rId1730" ref="B542"/>
    <hyperlink r:id="rId1731" ref="E542"/>
    <hyperlink r:id="rId1732" ref="O542"/>
    <hyperlink r:id="rId1733" ref="B543"/>
    <hyperlink r:id="rId1734" ref="E543"/>
    <hyperlink r:id="rId1735" ref="O543"/>
    <hyperlink r:id="rId1736" ref="B544"/>
    <hyperlink r:id="rId1737" ref="E544"/>
    <hyperlink r:id="rId1738" ref="O544"/>
    <hyperlink r:id="rId1739" ref="B545"/>
    <hyperlink r:id="rId1740" ref="E545"/>
    <hyperlink r:id="rId1741" ref="O545"/>
    <hyperlink r:id="rId1742" ref="B546"/>
    <hyperlink r:id="rId1743" ref="E546"/>
    <hyperlink r:id="rId1744" ref="O546"/>
    <hyperlink r:id="rId1745" ref="B547"/>
    <hyperlink r:id="rId1746" ref="C547"/>
    <hyperlink r:id="rId1747" ref="E547"/>
    <hyperlink r:id="rId1748" ref="O547"/>
    <hyperlink r:id="rId1749" ref="B548"/>
    <hyperlink r:id="rId1750" ref="E548"/>
    <hyperlink r:id="rId1751" ref="O548"/>
    <hyperlink r:id="rId1752" ref="B549"/>
    <hyperlink r:id="rId1753" ref="E549"/>
    <hyperlink r:id="rId1754" ref="O549"/>
    <hyperlink r:id="rId1755" ref="B550"/>
    <hyperlink r:id="rId1756" ref="E550"/>
    <hyperlink r:id="rId1757" ref="O550"/>
    <hyperlink r:id="rId1758" ref="B551"/>
    <hyperlink r:id="rId1759" ref="E551"/>
    <hyperlink r:id="rId1760" ref="O551"/>
    <hyperlink r:id="rId1761" ref="B552"/>
    <hyperlink r:id="rId1762" ref="E552"/>
    <hyperlink r:id="rId1763" ref="O552"/>
    <hyperlink r:id="rId1764" ref="B553"/>
    <hyperlink r:id="rId1765" ref="E553"/>
    <hyperlink r:id="rId1766" ref="O553"/>
    <hyperlink r:id="rId1767" ref="B554"/>
    <hyperlink r:id="rId1768" ref="E554"/>
    <hyperlink r:id="rId1769" ref="O554"/>
    <hyperlink r:id="rId1770" ref="B555"/>
    <hyperlink r:id="rId1771" ref="E555"/>
    <hyperlink r:id="rId1772" ref="O555"/>
    <hyperlink r:id="rId1773" ref="B556"/>
    <hyperlink r:id="rId1774" ref="E556"/>
    <hyperlink r:id="rId1775" ref="O556"/>
    <hyperlink r:id="rId1776" ref="B557"/>
    <hyperlink r:id="rId1777" ref="E557"/>
    <hyperlink r:id="rId1778" ref="O557"/>
    <hyperlink r:id="rId1779" ref="B558"/>
    <hyperlink r:id="rId1780" ref="E558"/>
    <hyperlink r:id="rId1781" ref="O558"/>
    <hyperlink r:id="rId1782" ref="B559"/>
    <hyperlink r:id="rId1783" ref="E559"/>
    <hyperlink r:id="rId1784" ref="F559"/>
    <hyperlink r:id="rId1785" ref="O559"/>
    <hyperlink r:id="rId1786" ref="B560"/>
    <hyperlink r:id="rId1787" ref="E560"/>
    <hyperlink r:id="rId1788" ref="F560"/>
    <hyperlink r:id="rId1789" ref="O560"/>
    <hyperlink r:id="rId1790" ref="B561"/>
    <hyperlink r:id="rId1791" ref="E561"/>
    <hyperlink r:id="rId1792" ref="F561"/>
    <hyperlink r:id="rId1793" ref="O561"/>
    <hyperlink r:id="rId1794" ref="B562"/>
    <hyperlink r:id="rId1795" ref="E562"/>
    <hyperlink r:id="rId1796" ref="F562"/>
    <hyperlink r:id="rId1797" ref="O562"/>
    <hyperlink r:id="rId1798" ref="B563"/>
    <hyperlink r:id="rId1799" ref="E563"/>
    <hyperlink r:id="rId1800" ref="F563"/>
    <hyperlink r:id="rId1801" ref="O563"/>
    <hyperlink r:id="rId1802" ref="B564"/>
    <hyperlink r:id="rId1803" ref="E564"/>
    <hyperlink r:id="rId1804" ref="O564"/>
    <hyperlink r:id="rId1805" ref="B565"/>
    <hyperlink r:id="rId1806" ref="E565"/>
    <hyperlink r:id="rId1807" ref="O565"/>
    <hyperlink r:id="rId1808" ref="B566"/>
    <hyperlink r:id="rId1809" ref="E566"/>
    <hyperlink r:id="rId1810" ref="O566"/>
    <hyperlink r:id="rId1811" ref="B567"/>
    <hyperlink r:id="rId1812" ref="E567"/>
    <hyperlink r:id="rId1813" ref="O567"/>
    <hyperlink r:id="rId1814" ref="B568"/>
    <hyperlink r:id="rId1815" ref="E568"/>
    <hyperlink r:id="rId1816" ref="O568"/>
    <hyperlink r:id="rId1817" ref="B569"/>
    <hyperlink r:id="rId1818" ref="E569"/>
    <hyperlink r:id="rId1819" ref="O569"/>
    <hyperlink r:id="rId1820" ref="B570"/>
    <hyperlink r:id="rId1821" ref="E570"/>
    <hyperlink r:id="rId1822" ref="O570"/>
    <hyperlink r:id="rId1823" ref="B571"/>
    <hyperlink r:id="rId1824" ref="E571"/>
    <hyperlink r:id="rId1825" ref="O571"/>
    <hyperlink r:id="rId1826" ref="B572"/>
    <hyperlink r:id="rId1827" ref="E572"/>
    <hyperlink r:id="rId1828" ref="O572"/>
    <hyperlink r:id="rId1829" ref="B573"/>
    <hyperlink r:id="rId1830" ref="E573"/>
    <hyperlink r:id="rId1831" ref="O573"/>
    <hyperlink r:id="rId1832" ref="B574"/>
    <hyperlink r:id="rId1833" ref="E574"/>
    <hyperlink r:id="rId1834" ref="O574"/>
    <hyperlink r:id="rId1835" ref="B575"/>
    <hyperlink r:id="rId1836" ref="E575"/>
    <hyperlink r:id="rId1837" ref="O575"/>
    <hyperlink r:id="rId1838" ref="B576"/>
    <hyperlink r:id="rId1839" ref="E576"/>
    <hyperlink r:id="rId1840" ref="O576"/>
    <hyperlink r:id="rId1841" ref="B577"/>
    <hyperlink r:id="rId1842" ref="E577"/>
    <hyperlink r:id="rId1843" ref="O577"/>
    <hyperlink r:id="rId1844" ref="B578"/>
    <hyperlink r:id="rId1845" ref="E578"/>
    <hyperlink r:id="rId1846" ref="O578"/>
    <hyperlink r:id="rId1847" ref="B579"/>
    <hyperlink r:id="rId1848" ref="E579"/>
    <hyperlink r:id="rId1849" ref="O579"/>
    <hyperlink r:id="rId1850" ref="B580"/>
    <hyperlink r:id="rId1851" ref="E580"/>
    <hyperlink r:id="rId1852" ref="O580"/>
    <hyperlink r:id="rId1853" ref="B581"/>
    <hyperlink r:id="rId1854" ref="E581"/>
    <hyperlink r:id="rId1855" ref="O581"/>
    <hyperlink r:id="rId1856" ref="B582"/>
    <hyperlink r:id="rId1857" ref="E582"/>
    <hyperlink r:id="rId1858" ref="O582"/>
    <hyperlink r:id="rId1859" ref="B583"/>
    <hyperlink r:id="rId1860" ref="E583"/>
    <hyperlink r:id="rId1861" ref="N583"/>
    <hyperlink r:id="rId1862" ref="O583"/>
    <hyperlink r:id="rId1863" ref="B584"/>
    <hyperlink r:id="rId1864" ref="E584"/>
    <hyperlink r:id="rId1865" ref="O584"/>
    <hyperlink r:id="rId1866" ref="B585"/>
    <hyperlink r:id="rId1867" ref="E585"/>
    <hyperlink r:id="rId1868" ref="O585"/>
    <hyperlink r:id="rId1869" ref="B586"/>
    <hyperlink r:id="rId1870" ref="E586"/>
    <hyperlink r:id="rId1871" ref="O586"/>
    <hyperlink r:id="rId1872" ref="B587"/>
    <hyperlink r:id="rId1873" ref="E587"/>
    <hyperlink r:id="rId1874" ref="O587"/>
    <hyperlink r:id="rId1875" ref="B588"/>
    <hyperlink r:id="rId1876" ref="E588"/>
    <hyperlink r:id="rId1877" ref="O588"/>
    <hyperlink r:id="rId1878" ref="B589"/>
    <hyperlink r:id="rId1879" ref="E589"/>
    <hyperlink r:id="rId1880" ref="O589"/>
    <hyperlink r:id="rId1881" ref="B590"/>
    <hyperlink r:id="rId1882" ref="E590"/>
    <hyperlink r:id="rId1883" ref="O590"/>
    <hyperlink r:id="rId1884" ref="B591"/>
    <hyperlink r:id="rId1885" ref="E591"/>
    <hyperlink r:id="rId1886" ref="O591"/>
    <hyperlink r:id="rId1887" ref="B592"/>
    <hyperlink r:id="rId1888" ref="E592"/>
    <hyperlink r:id="rId1889" ref="O592"/>
    <hyperlink r:id="rId1890" ref="B593"/>
    <hyperlink r:id="rId1891" ref="E593"/>
    <hyperlink r:id="rId1892" ref="O593"/>
    <hyperlink r:id="rId1893" ref="B594"/>
    <hyperlink r:id="rId1894" ref="E594"/>
    <hyperlink r:id="rId1895" ref="O594"/>
    <hyperlink r:id="rId1896" ref="B595"/>
    <hyperlink r:id="rId1897" ref="E595"/>
    <hyperlink r:id="rId1898" ref="O595"/>
    <hyperlink r:id="rId1899" ref="B596"/>
    <hyperlink r:id="rId1900" ref="E596"/>
    <hyperlink r:id="rId1901" ref="O596"/>
    <hyperlink r:id="rId1902" ref="B597"/>
    <hyperlink r:id="rId1903" ref="E597"/>
    <hyperlink r:id="rId1904" ref="O597"/>
    <hyperlink r:id="rId1905" ref="B598"/>
    <hyperlink r:id="rId1906" ref="E598"/>
    <hyperlink r:id="rId1907" ref="O598"/>
    <hyperlink r:id="rId1908" ref="B599"/>
    <hyperlink r:id="rId1909" ref="E599"/>
    <hyperlink r:id="rId1910" ref="F599"/>
    <hyperlink r:id="rId1911" ref="O599"/>
    <hyperlink r:id="rId1912" ref="B600"/>
    <hyperlink r:id="rId1913" ref="E600"/>
    <hyperlink r:id="rId1914" ref="O600"/>
    <hyperlink r:id="rId1915" ref="B601"/>
    <hyperlink r:id="rId1916" ref="E601"/>
    <hyperlink r:id="rId1917" ref="O601"/>
    <hyperlink r:id="rId1918" ref="B602"/>
    <hyperlink r:id="rId1919" ref="E602"/>
    <hyperlink r:id="rId1920" ref="O602"/>
    <hyperlink r:id="rId1921" ref="B603"/>
    <hyperlink r:id="rId1922" ref="E603"/>
    <hyperlink r:id="rId1923" ref="O603"/>
    <hyperlink r:id="rId1924" ref="B604"/>
    <hyperlink r:id="rId1925" ref="E604"/>
    <hyperlink r:id="rId1926" ref="O604"/>
    <hyperlink r:id="rId1927" ref="B605"/>
    <hyperlink r:id="rId1928" ref="E605"/>
    <hyperlink r:id="rId1929" ref="O605"/>
    <hyperlink r:id="rId1930" ref="B606"/>
    <hyperlink r:id="rId1931" ref="C606"/>
    <hyperlink r:id="rId1932" ref="E606"/>
    <hyperlink r:id="rId1933" ref="O606"/>
    <hyperlink r:id="rId1934" ref="B607"/>
    <hyperlink r:id="rId1935" ref="E607"/>
    <hyperlink r:id="rId1936" ref="O607"/>
    <hyperlink r:id="rId1937" ref="B608"/>
    <hyperlink r:id="rId1938" ref="E608"/>
    <hyperlink r:id="rId1939" ref="O608"/>
    <hyperlink r:id="rId1940" ref="B609"/>
    <hyperlink r:id="rId1941" ref="E609"/>
    <hyperlink r:id="rId1942" ref="O609"/>
    <hyperlink r:id="rId1943" ref="B610"/>
    <hyperlink r:id="rId1944" ref="E610"/>
    <hyperlink r:id="rId1945" ref="O610"/>
    <hyperlink r:id="rId1946" ref="B611"/>
    <hyperlink r:id="rId1947" ref="E611"/>
    <hyperlink r:id="rId1948" ref="O611"/>
    <hyperlink r:id="rId1949" ref="B612"/>
    <hyperlink r:id="rId1950" ref="E612"/>
    <hyperlink r:id="rId1951" ref="O612"/>
    <hyperlink r:id="rId1952" ref="B613"/>
    <hyperlink r:id="rId1953" ref="E613"/>
    <hyperlink r:id="rId1954" ref="O613"/>
    <hyperlink r:id="rId1955" ref="B614"/>
    <hyperlink r:id="rId1956" ref="E614"/>
    <hyperlink r:id="rId1957" ref="O614"/>
    <hyperlink r:id="rId1958" ref="B615"/>
    <hyperlink r:id="rId1959" ref="E615"/>
    <hyperlink r:id="rId1960" ref="O615"/>
    <hyperlink r:id="rId1961" ref="B616"/>
    <hyperlink r:id="rId1962" ref="E616"/>
    <hyperlink r:id="rId1963" ref="O616"/>
    <hyperlink r:id="rId1964" ref="B617"/>
    <hyperlink r:id="rId1965" ref="E617"/>
    <hyperlink r:id="rId1966" ref="O617"/>
    <hyperlink r:id="rId1967" ref="B618"/>
    <hyperlink r:id="rId1968" ref="E618"/>
    <hyperlink r:id="rId1969" ref="O618"/>
    <hyperlink r:id="rId1970" ref="B619"/>
    <hyperlink r:id="rId1971" ref="E619"/>
    <hyperlink r:id="rId1972" ref="O619"/>
    <hyperlink r:id="rId1973" ref="B620"/>
    <hyperlink r:id="rId1974" ref="E620"/>
    <hyperlink r:id="rId1975" ref="O620"/>
    <hyperlink r:id="rId1976" ref="B621"/>
    <hyperlink r:id="rId1977" ref="E621"/>
    <hyperlink r:id="rId1978" ref="O621"/>
    <hyperlink r:id="rId1979" ref="B622"/>
    <hyperlink r:id="rId1980" ref="E622"/>
    <hyperlink r:id="rId1981" ref="O622"/>
    <hyperlink r:id="rId1982" ref="B623"/>
    <hyperlink r:id="rId1983" ref="E623"/>
    <hyperlink r:id="rId1984" ref="O623"/>
    <hyperlink r:id="rId1985" ref="B624"/>
    <hyperlink r:id="rId1986" ref="E624"/>
    <hyperlink r:id="rId1987" ref="O624"/>
    <hyperlink r:id="rId1988" ref="B625"/>
    <hyperlink r:id="rId1989" ref="E625"/>
    <hyperlink r:id="rId1990" ref="O625"/>
    <hyperlink r:id="rId1991" ref="B626"/>
    <hyperlink r:id="rId1992" ref="E626"/>
    <hyperlink r:id="rId1993" ref="O626"/>
    <hyperlink r:id="rId1994" ref="B627"/>
    <hyperlink r:id="rId1995" ref="E627"/>
    <hyperlink r:id="rId1996" ref="O627"/>
    <hyperlink r:id="rId1997" ref="B628"/>
    <hyperlink r:id="rId1998" ref="E628"/>
    <hyperlink r:id="rId1999" ref="O628"/>
    <hyperlink r:id="rId2000" ref="B629"/>
    <hyperlink r:id="rId2001" ref="E629"/>
    <hyperlink r:id="rId2002" ref="O629"/>
    <hyperlink r:id="rId2003" ref="B630"/>
    <hyperlink r:id="rId2004" ref="E630"/>
    <hyperlink r:id="rId2005" ref="O630"/>
    <hyperlink r:id="rId2006" ref="B631"/>
    <hyperlink r:id="rId2007" ref="E631"/>
    <hyperlink r:id="rId2008" ref="O631"/>
    <hyperlink r:id="rId2009" ref="B632"/>
    <hyperlink r:id="rId2010" ref="E632"/>
    <hyperlink r:id="rId2011" ref="O632"/>
    <hyperlink r:id="rId2012" ref="B633"/>
    <hyperlink r:id="rId2013" ref="E633"/>
    <hyperlink r:id="rId2014" ref="O633"/>
    <hyperlink r:id="rId2015" ref="B634"/>
    <hyperlink r:id="rId2016" ref="E634"/>
    <hyperlink r:id="rId2017" ref="O634"/>
    <hyperlink r:id="rId2018" ref="B635"/>
    <hyperlink r:id="rId2019" ref="E635"/>
    <hyperlink r:id="rId2020" ref="O635"/>
    <hyperlink r:id="rId2021" ref="B636"/>
    <hyperlink r:id="rId2022" ref="E636"/>
    <hyperlink r:id="rId2023" ref="O636"/>
    <hyperlink r:id="rId2024" ref="B637"/>
    <hyperlink r:id="rId2025" ref="E637"/>
    <hyperlink r:id="rId2026" ref="O637"/>
    <hyperlink r:id="rId2027" ref="B638"/>
    <hyperlink r:id="rId2028" ref="E638"/>
    <hyperlink r:id="rId2029" ref="O638"/>
    <hyperlink r:id="rId2030" ref="B639"/>
    <hyperlink r:id="rId2031" ref="E639"/>
    <hyperlink r:id="rId2032" ref="O639"/>
    <hyperlink r:id="rId2033" ref="B640"/>
    <hyperlink r:id="rId2034" ref="E640"/>
    <hyperlink r:id="rId2035" ref="O640"/>
    <hyperlink r:id="rId2036" ref="B641"/>
    <hyperlink r:id="rId2037" ref="E641"/>
    <hyperlink r:id="rId2038" ref="O641"/>
    <hyperlink r:id="rId2039" ref="B642"/>
    <hyperlink r:id="rId2040" ref="E642"/>
    <hyperlink r:id="rId2041" ref="O642"/>
    <hyperlink r:id="rId2042" ref="B643"/>
    <hyperlink r:id="rId2043" ref="C643"/>
    <hyperlink r:id="rId2044" ref="E643"/>
    <hyperlink r:id="rId2045" ref="O643"/>
    <hyperlink r:id="rId2046" ref="B644"/>
    <hyperlink r:id="rId2047" ref="E644"/>
    <hyperlink r:id="rId2048" ref="O644"/>
    <hyperlink r:id="rId2049" ref="B645"/>
    <hyperlink r:id="rId2050" ref="E645"/>
    <hyperlink r:id="rId2051" ref="O645"/>
    <hyperlink r:id="rId2052" ref="B646"/>
    <hyperlink r:id="rId2053" ref="E646"/>
    <hyperlink r:id="rId2054" ref="O646"/>
    <hyperlink r:id="rId2055" ref="B647"/>
    <hyperlink r:id="rId2056" ref="C647"/>
    <hyperlink r:id="rId2057" ref="E647"/>
    <hyperlink r:id="rId2058" ref="O647"/>
    <hyperlink r:id="rId2059" ref="B648"/>
    <hyperlink r:id="rId2060" ref="E648"/>
    <hyperlink r:id="rId2061" ref="O648"/>
    <hyperlink r:id="rId2062" ref="B649"/>
    <hyperlink r:id="rId2063" ref="E649"/>
    <hyperlink r:id="rId2064" ref="O649"/>
    <hyperlink r:id="rId2065" ref="B650"/>
    <hyperlink r:id="rId2066" ref="E650"/>
    <hyperlink r:id="rId2067" ref="O650"/>
    <hyperlink r:id="rId2068" ref="B651"/>
    <hyperlink r:id="rId2069" ref="E651"/>
    <hyperlink r:id="rId2070" ref="O651"/>
    <hyperlink r:id="rId2071" ref="B652"/>
    <hyperlink r:id="rId2072" ref="E652"/>
    <hyperlink r:id="rId2073" ref="O652"/>
    <hyperlink r:id="rId2074" ref="B653"/>
    <hyperlink r:id="rId2075" ref="E653"/>
    <hyperlink r:id="rId2076" ref="O653"/>
    <hyperlink r:id="rId2077" ref="B654"/>
    <hyperlink r:id="rId2078" ref="E654"/>
    <hyperlink r:id="rId2079" ref="O654"/>
    <hyperlink r:id="rId2080" ref="B655"/>
    <hyperlink r:id="rId2081" ref="E655"/>
    <hyperlink r:id="rId2082" ref="O655"/>
    <hyperlink r:id="rId2083" ref="B656"/>
    <hyperlink r:id="rId2084" ref="E656"/>
    <hyperlink r:id="rId2085" ref="O656"/>
    <hyperlink r:id="rId2086" ref="B657"/>
    <hyperlink r:id="rId2087" ref="E657"/>
    <hyperlink r:id="rId2088" ref="O657"/>
    <hyperlink r:id="rId2089" ref="B658"/>
    <hyperlink r:id="rId2090" ref="E658"/>
    <hyperlink r:id="rId2091" ref="O658"/>
    <hyperlink r:id="rId2092" ref="B659"/>
    <hyperlink r:id="rId2093" ref="C659"/>
    <hyperlink r:id="rId2094" ref="E659"/>
    <hyperlink r:id="rId2095" ref="O659"/>
    <hyperlink r:id="rId2096" ref="B660"/>
    <hyperlink r:id="rId2097" ref="E660"/>
    <hyperlink r:id="rId2098" ref="O660"/>
    <hyperlink r:id="rId2099" ref="B661"/>
    <hyperlink r:id="rId2100" ref="C661"/>
    <hyperlink r:id="rId2101" ref="E661"/>
    <hyperlink r:id="rId2102" ref="O661"/>
    <hyperlink r:id="rId2103" ref="B662"/>
    <hyperlink r:id="rId2104" ref="E662"/>
    <hyperlink r:id="rId2105" ref="O662"/>
    <hyperlink r:id="rId2106" ref="B663"/>
    <hyperlink r:id="rId2107" ref="E663"/>
    <hyperlink r:id="rId2108" ref="O663"/>
    <hyperlink r:id="rId2109" ref="B664"/>
    <hyperlink r:id="rId2110" ref="E664"/>
    <hyperlink r:id="rId2111" ref="O664"/>
    <hyperlink r:id="rId2112" ref="B665"/>
    <hyperlink r:id="rId2113" ref="E665"/>
    <hyperlink r:id="rId2114" ref="O665"/>
    <hyperlink r:id="rId2115" ref="B666"/>
    <hyperlink r:id="rId2116" ref="E666"/>
    <hyperlink r:id="rId2117" ref="O666"/>
    <hyperlink r:id="rId2118" ref="B667"/>
    <hyperlink r:id="rId2119" ref="E667"/>
    <hyperlink r:id="rId2120" ref="O667"/>
    <hyperlink r:id="rId2121" ref="B668"/>
    <hyperlink r:id="rId2122" ref="E668"/>
    <hyperlink r:id="rId2123" ref="O668"/>
    <hyperlink r:id="rId2124" ref="B669"/>
    <hyperlink r:id="rId2125" ref="E669"/>
    <hyperlink r:id="rId2126" ref="O669"/>
    <hyperlink r:id="rId2127" ref="B670"/>
    <hyperlink r:id="rId2128" ref="E670"/>
    <hyperlink r:id="rId2129" ref="O670"/>
    <hyperlink r:id="rId2130" ref="B671"/>
    <hyperlink r:id="rId2131" ref="E671"/>
    <hyperlink r:id="rId2132" ref="O671"/>
    <hyperlink r:id="rId2133" ref="B672"/>
    <hyperlink r:id="rId2134" ref="E672"/>
    <hyperlink r:id="rId2135" ref="O672"/>
    <hyperlink r:id="rId2136" ref="B673"/>
    <hyperlink r:id="rId2137" ref="E673"/>
    <hyperlink r:id="rId2138" ref="O673"/>
    <hyperlink r:id="rId2139" ref="B674"/>
    <hyperlink r:id="rId2140" ref="E674"/>
    <hyperlink r:id="rId2141" ref="O674"/>
    <hyperlink r:id="rId2142" ref="B675"/>
    <hyperlink r:id="rId2143" ref="E675"/>
    <hyperlink r:id="rId2144" ref="O675"/>
    <hyperlink r:id="rId2145" ref="B676"/>
    <hyperlink r:id="rId2146" ref="E676"/>
    <hyperlink r:id="rId2147" ref="O676"/>
    <hyperlink r:id="rId2148" ref="B677"/>
    <hyperlink r:id="rId2149" ref="E677"/>
    <hyperlink r:id="rId2150" ref="O677"/>
    <hyperlink r:id="rId2151" ref="B678"/>
    <hyperlink r:id="rId2152" ref="E678"/>
    <hyperlink r:id="rId2153" ref="O678"/>
    <hyperlink r:id="rId2154" ref="B679"/>
    <hyperlink r:id="rId2155" ref="E679"/>
    <hyperlink r:id="rId2156" ref="O679"/>
    <hyperlink r:id="rId2157" ref="B680"/>
    <hyperlink r:id="rId2158" ref="E680"/>
    <hyperlink r:id="rId2159" ref="O680"/>
    <hyperlink r:id="rId2160" ref="B681"/>
    <hyperlink r:id="rId2161" ref="E681"/>
    <hyperlink r:id="rId2162" ref="O681"/>
    <hyperlink r:id="rId2163" ref="B682"/>
    <hyperlink r:id="rId2164" ref="E682"/>
    <hyperlink r:id="rId2165" ref="O682"/>
    <hyperlink r:id="rId2166" ref="B683"/>
    <hyperlink r:id="rId2167" ref="E683"/>
    <hyperlink r:id="rId2168" ref="F683"/>
    <hyperlink r:id="rId2169" ref="O683"/>
    <hyperlink r:id="rId2170" ref="B684"/>
    <hyperlink r:id="rId2171" ref="E684"/>
    <hyperlink r:id="rId2172" ref="F684"/>
    <hyperlink r:id="rId2173" ref="O684"/>
    <hyperlink r:id="rId2174" ref="B685"/>
    <hyperlink r:id="rId2175" ref="E685"/>
    <hyperlink r:id="rId2176" ref="F685"/>
    <hyperlink r:id="rId2177" ref="O685"/>
    <hyperlink r:id="rId2178" ref="B686"/>
    <hyperlink r:id="rId2179" ref="E686"/>
    <hyperlink r:id="rId2180" ref="F686"/>
    <hyperlink r:id="rId2181" ref="O686"/>
    <hyperlink r:id="rId2182" ref="B687"/>
    <hyperlink r:id="rId2183" ref="E687"/>
    <hyperlink r:id="rId2184" ref="F687"/>
    <hyperlink r:id="rId2185" ref="O687"/>
    <hyperlink r:id="rId2186" ref="B688"/>
    <hyperlink r:id="rId2187" ref="E688"/>
    <hyperlink r:id="rId2188" ref="F688"/>
    <hyperlink r:id="rId2189" ref="O688"/>
    <hyperlink r:id="rId2190" ref="B689"/>
    <hyperlink r:id="rId2191" ref="E689"/>
    <hyperlink r:id="rId2192" ref="F689"/>
    <hyperlink r:id="rId2193" ref="O689"/>
    <hyperlink r:id="rId2194" ref="B690"/>
    <hyperlink r:id="rId2195" ref="E690"/>
    <hyperlink r:id="rId2196" ref="F690"/>
    <hyperlink r:id="rId2197" ref="O690"/>
    <hyperlink r:id="rId2198" ref="B691"/>
    <hyperlink r:id="rId2199" ref="E691"/>
    <hyperlink r:id="rId2200" ref="F691"/>
    <hyperlink r:id="rId2201" ref="O691"/>
    <hyperlink r:id="rId2202" ref="B692"/>
    <hyperlink r:id="rId2203" ref="E692"/>
    <hyperlink r:id="rId2204" ref="O692"/>
    <hyperlink r:id="rId2205" ref="B693"/>
    <hyperlink r:id="rId2206" ref="E693"/>
    <hyperlink r:id="rId2207" ref="O693"/>
    <hyperlink r:id="rId2208" ref="B694"/>
    <hyperlink r:id="rId2209" ref="E694"/>
    <hyperlink r:id="rId2210" ref="O694"/>
    <hyperlink r:id="rId2211" ref="B695"/>
    <hyperlink r:id="rId2212" ref="E695"/>
    <hyperlink r:id="rId2213" ref="O695"/>
    <hyperlink r:id="rId2214" ref="B696"/>
    <hyperlink r:id="rId2215" ref="E696"/>
    <hyperlink r:id="rId2216" ref="O696"/>
    <hyperlink r:id="rId2217" ref="B697"/>
    <hyperlink r:id="rId2218" ref="E697"/>
    <hyperlink r:id="rId2219" ref="O697"/>
    <hyperlink r:id="rId2220" ref="B698"/>
    <hyperlink r:id="rId2221" ref="E698"/>
    <hyperlink r:id="rId2222" ref="O698"/>
    <hyperlink r:id="rId2223" ref="B699"/>
    <hyperlink r:id="rId2224" ref="E699"/>
    <hyperlink r:id="rId2225" ref="O699"/>
    <hyperlink r:id="rId2226" ref="B700"/>
    <hyperlink r:id="rId2227" ref="E700"/>
    <hyperlink r:id="rId2228" ref="O700"/>
    <hyperlink r:id="rId2229" ref="B701"/>
    <hyperlink r:id="rId2230" ref="E701"/>
    <hyperlink r:id="rId2231" ref="O701"/>
    <hyperlink r:id="rId2232" ref="B702"/>
    <hyperlink r:id="rId2233" ref="E702"/>
    <hyperlink r:id="rId2234" ref="O702"/>
    <hyperlink r:id="rId2235" ref="B703"/>
    <hyperlink r:id="rId2236" ref="E703"/>
    <hyperlink r:id="rId2237" ref="O703"/>
    <hyperlink r:id="rId2238" ref="B704"/>
    <hyperlink r:id="rId2239" ref="E704"/>
    <hyperlink r:id="rId2240" ref="O704"/>
    <hyperlink r:id="rId2241" ref="B705"/>
    <hyperlink r:id="rId2242" ref="E705"/>
    <hyperlink r:id="rId2243" ref="O705"/>
    <hyperlink r:id="rId2244" ref="B706"/>
    <hyperlink r:id="rId2245" ref="E706"/>
    <hyperlink r:id="rId2246" ref="O706"/>
    <hyperlink r:id="rId2247" ref="B707"/>
    <hyperlink r:id="rId2248" ref="E707"/>
    <hyperlink r:id="rId2249" ref="O707"/>
    <hyperlink r:id="rId2250" ref="B708"/>
    <hyperlink r:id="rId2251" ref="E708"/>
    <hyperlink r:id="rId2252" ref="O708"/>
    <hyperlink r:id="rId2253" ref="B709"/>
    <hyperlink r:id="rId2254" ref="E709"/>
    <hyperlink r:id="rId2255" ref="O709"/>
    <hyperlink r:id="rId2256" ref="B710"/>
    <hyperlink r:id="rId2257" ref="E710"/>
    <hyperlink r:id="rId2258" ref="O710"/>
    <hyperlink r:id="rId2259" ref="B711"/>
    <hyperlink r:id="rId2260" ref="E711"/>
    <hyperlink r:id="rId2261" ref="O711"/>
    <hyperlink r:id="rId2262" ref="B712"/>
    <hyperlink r:id="rId2263" ref="E712"/>
    <hyperlink r:id="rId2264" ref="O712"/>
    <hyperlink r:id="rId2265" ref="B713"/>
    <hyperlink r:id="rId2266" ref="E713"/>
    <hyperlink r:id="rId2267" ref="O713"/>
    <hyperlink r:id="rId2268" ref="B714"/>
    <hyperlink r:id="rId2269" ref="E714"/>
    <hyperlink r:id="rId2270" ref="O714"/>
    <hyperlink r:id="rId2271" ref="B715"/>
    <hyperlink r:id="rId2272" ref="E715"/>
    <hyperlink r:id="rId2273" ref="O715"/>
    <hyperlink r:id="rId2274" ref="B716"/>
    <hyperlink r:id="rId2275" ref="E716"/>
    <hyperlink r:id="rId2276" ref="O716"/>
    <hyperlink r:id="rId2277" ref="B717"/>
    <hyperlink r:id="rId2278" ref="E717"/>
    <hyperlink r:id="rId2279" ref="O717"/>
    <hyperlink r:id="rId2280" ref="B718"/>
    <hyperlink r:id="rId2281" ref="E718"/>
    <hyperlink r:id="rId2282" ref="O718"/>
    <hyperlink r:id="rId2283" ref="B719"/>
    <hyperlink r:id="rId2284" ref="E719"/>
    <hyperlink r:id="rId2285" ref="O719"/>
    <hyperlink r:id="rId2286" ref="B720"/>
    <hyperlink r:id="rId2287" ref="E720"/>
    <hyperlink r:id="rId2288" ref="O720"/>
    <hyperlink r:id="rId2289" ref="B721"/>
    <hyperlink r:id="rId2290" ref="E721"/>
    <hyperlink r:id="rId2291" ref="O721"/>
    <hyperlink r:id="rId2292" ref="B722"/>
    <hyperlink r:id="rId2293" ref="E722"/>
    <hyperlink r:id="rId2294" ref="O722"/>
    <hyperlink r:id="rId2295" ref="B723"/>
    <hyperlink r:id="rId2296" ref="E723"/>
    <hyperlink r:id="rId2297" ref="O723"/>
    <hyperlink r:id="rId2298" ref="B724"/>
    <hyperlink r:id="rId2299" ref="E724"/>
    <hyperlink r:id="rId2300" ref="O724"/>
    <hyperlink r:id="rId2301" ref="B725"/>
    <hyperlink r:id="rId2302" ref="E725"/>
    <hyperlink r:id="rId2303" ref="O725"/>
    <hyperlink r:id="rId2304" ref="B726"/>
    <hyperlink r:id="rId2305" ref="E726"/>
    <hyperlink r:id="rId2306" ref="O726"/>
    <hyperlink r:id="rId2307" ref="B727"/>
    <hyperlink r:id="rId2308" ref="E727"/>
    <hyperlink r:id="rId2309" ref="O727"/>
    <hyperlink r:id="rId2310" ref="B728"/>
    <hyperlink r:id="rId2311" ref="E728"/>
    <hyperlink r:id="rId2312" ref="O728"/>
    <hyperlink r:id="rId2313" ref="B729"/>
    <hyperlink r:id="rId2314" ref="E729"/>
    <hyperlink r:id="rId2315" ref="O729"/>
    <hyperlink r:id="rId2316" ref="B730"/>
    <hyperlink r:id="rId2317" ref="E730"/>
    <hyperlink r:id="rId2318" ref="F730"/>
    <hyperlink r:id="rId2319" ref="O730"/>
    <hyperlink r:id="rId2320" ref="B731"/>
    <hyperlink r:id="rId2321" ref="E731"/>
    <hyperlink r:id="rId2322" ref="F731"/>
    <hyperlink r:id="rId2323" ref="O731"/>
    <hyperlink r:id="rId2324" ref="B732"/>
    <hyperlink r:id="rId2325" ref="E732"/>
    <hyperlink r:id="rId2326" ref="F732"/>
    <hyperlink r:id="rId2327" ref="O732"/>
    <hyperlink r:id="rId2328" ref="B733"/>
    <hyperlink r:id="rId2329" ref="E733"/>
    <hyperlink r:id="rId2330" ref="O733"/>
    <hyperlink r:id="rId2331" ref="B734"/>
    <hyperlink r:id="rId2332" ref="E734"/>
    <hyperlink r:id="rId2333" ref="O734"/>
    <hyperlink r:id="rId2334" ref="B735"/>
    <hyperlink r:id="rId2335" ref="E735"/>
    <hyperlink r:id="rId2336" ref="O735"/>
    <hyperlink r:id="rId2337" ref="B736"/>
    <hyperlink r:id="rId2338" ref="E736"/>
    <hyperlink r:id="rId2339" ref="O736"/>
    <hyperlink r:id="rId2340" ref="B737"/>
    <hyperlink r:id="rId2341" ref="E737"/>
    <hyperlink r:id="rId2342" ref="O737"/>
    <hyperlink r:id="rId2343" ref="B738"/>
    <hyperlink r:id="rId2344" ref="E738"/>
    <hyperlink r:id="rId2345" ref="O738"/>
    <hyperlink r:id="rId2346" ref="B739"/>
    <hyperlink r:id="rId2347" ref="E739"/>
    <hyperlink r:id="rId2348" ref="O739"/>
    <hyperlink r:id="rId2349" ref="B740"/>
    <hyperlink r:id="rId2350" ref="E740"/>
    <hyperlink r:id="rId2351" ref="O740"/>
    <hyperlink r:id="rId2352" ref="B741"/>
    <hyperlink r:id="rId2353" ref="E741"/>
    <hyperlink r:id="rId2354" ref="O741"/>
    <hyperlink r:id="rId2355" ref="B742"/>
    <hyperlink r:id="rId2356" ref="E742"/>
    <hyperlink r:id="rId2357" ref="O742"/>
    <hyperlink r:id="rId2358" ref="B743"/>
    <hyperlink r:id="rId2359" ref="E743"/>
    <hyperlink r:id="rId2360" ref="O743"/>
    <hyperlink r:id="rId2361" ref="B744"/>
    <hyperlink r:id="rId2362" ref="E744"/>
    <hyperlink r:id="rId2363" ref="O744"/>
    <hyperlink r:id="rId2364" ref="B745"/>
    <hyperlink r:id="rId2365" ref="E745"/>
    <hyperlink r:id="rId2366" ref="O745"/>
    <hyperlink r:id="rId2367" ref="B746"/>
    <hyperlink r:id="rId2368" ref="E746"/>
    <hyperlink r:id="rId2369" ref="O746"/>
    <hyperlink r:id="rId2370" ref="B747"/>
    <hyperlink r:id="rId2371" ref="E747"/>
    <hyperlink r:id="rId2372" ref="F747"/>
    <hyperlink r:id="rId2373" ref="O747"/>
    <hyperlink r:id="rId2374" ref="B748"/>
    <hyperlink r:id="rId2375" ref="E748"/>
    <hyperlink r:id="rId2376" ref="F748"/>
    <hyperlink r:id="rId2377" ref="O748"/>
    <hyperlink r:id="rId2378" ref="B749"/>
    <hyperlink r:id="rId2379" ref="E749"/>
    <hyperlink r:id="rId2380" ref="F749"/>
    <hyperlink r:id="rId2381" ref="O749"/>
    <hyperlink r:id="rId2382" ref="B750"/>
    <hyperlink r:id="rId2383" ref="E750"/>
    <hyperlink r:id="rId2384" ref="F750"/>
    <hyperlink r:id="rId2385" ref="O750"/>
    <hyperlink r:id="rId2386" ref="B751"/>
    <hyperlink r:id="rId2387" ref="E751"/>
    <hyperlink r:id="rId2388" ref="F751"/>
    <hyperlink r:id="rId2389" ref="O751"/>
    <hyperlink r:id="rId2390" ref="B752"/>
    <hyperlink r:id="rId2391" ref="E752"/>
    <hyperlink r:id="rId2392" ref="F752"/>
    <hyperlink r:id="rId2393" ref="O752"/>
    <hyperlink r:id="rId2394" ref="B753"/>
    <hyperlink r:id="rId2395" ref="E753"/>
    <hyperlink r:id="rId2396" ref="F753"/>
    <hyperlink r:id="rId2397" ref="O753"/>
    <hyperlink r:id="rId2398" ref="B754"/>
    <hyperlink r:id="rId2399" ref="E754"/>
    <hyperlink r:id="rId2400" ref="F754"/>
    <hyperlink r:id="rId2401" ref="O754"/>
    <hyperlink r:id="rId2402" ref="B755"/>
    <hyperlink r:id="rId2403" ref="E755"/>
    <hyperlink r:id="rId2404" ref="F755"/>
    <hyperlink r:id="rId2405" ref="O755"/>
    <hyperlink r:id="rId2406" ref="B756"/>
    <hyperlink r:id="rId2407" ref="E756"/>
    <hyperlink r:id="rId2408" ref="F756"/>
    <hyperlink r:id="rId2409" ref="O756"/>
    <hyperlink r:id="rId2410" ref="B757"/>
    <hyperlink r:id="rId2411" ref="E757"/>
    <hyperlink r:id="rId2412" ref="O757"/>
    <hyperlink r:id="rId2413" ref="B758"/>
    <hyperlink r:id="rId2414" ref="E758"/>
    <hyperlink r:id="rId2415" ref="O758"/>
    <hyperlink r:id="rId2416" ref="B759"/>
    <hyperlink r:id="rId2417" ref="E759"/>
    <hyperlink r:id="rId2418" ref="O759"/>
    <hyperlink r:id="rId2419" ref="B760"/>
    <hyperlink r:id="rId2420" ref="E760"/>
    <hyperlink r:id="rId2421" ref="O760"/>
    <hyperlink r:id="rId2422" ref="B761"/>
    <hyperlink r:id="rId2423" ref="E761"/>
    <hyperlink r:id="rId2424" ref="O761"/>
    <hyperlink r:id="rId2425" ref="B762"/>
    <hyperlink r:id="rId2426" ref="E762"/>
    <hyperlink r:id="rId2427" ref="O762"/>
    <hyperlink r:id="rId2428" ref="B763"/>
    <hyperlink r:id="rId2429" ref="E763"/>
    <hyperlink r:id="rId2430" ref="O763"/>
    <hyperlink r:id="rId2431" ref="B764"/>
    <hyperlink r:id="rId2432" ref="E764"/>
    <hyperlink r:id="rId2433" ref="O764"/>
    <hyperlink r:id="rId2434" ref="B765"/>
    <hyperlink r:id="rId2435" ref="E765"/>
    <hyperlink r:id="rId2436" ref="O765"/>
    <hyperlink r:id="rId2437" ref="B766"/>
    <hyperlink r:id="rId2438" ref="E766"/>
    <hyperlink r:id="rId2439" ref="O766"/>
    <hyperlink r:id="rId2440" ref="B767"/>
    <hyperlink r:id="rId2441" ref="E767"/>
    <hyperlink r:id="rId2442" ref="O767"/>
    <hyperlink r:id="rId2443" ref="B768"/>
    <hyperlink r:id="rId2444" ref="E768"/>
    <hyperlink r:id="rId2445" ref="O768"/>
    <hyperlink r:id="rId2446" ref="B769"/>
    <hyperlink r:id="rId2447" ref="E769"/>
    <hyperlink r:id="rId2448" ref="O769"/>
    <hyperlink r:id="rId2449" ref="B770"/>
    <hyperlink r:id="rId2450" ref="E770"/>
    <hyperlink r:id="rId2451" ref="O770"/>
    <hyperlink r:id="rId2452" ref="B771"/>
    <hyperlink r:id="rId2453" ref="E771"/>
    <hyperlink r:id="rId2454" ref="O771"/>
    <hyperlink r:id="rId2455" ref="B772"/>
    <hyperlink r:id="rId2456" ref="E772"/>
    <hyperlink r:id="rId2457" ref="O772"/>
    <hyperlink r:id="rId2458" ref="B773"/>
    <hyperlink r:id="rId2459" ref="E773"/>
    <hyperlink r:id="rId2460" ref="O773"/>
    <hyperlink r:id="rId2461" ref="B774"/>
    <hyperlink r:id="rId2462" ref="E774"/>
    <hyperlink r:id="rId2463" ref="O774"/>
    <hyperlink r:id="rId2464" ref="B775"/>
    <hyperlink r:id="rId2465" ref="E775"/>
    <hyperlink r:id="rId2466" ref="O775"/>
    <hyperlink r:id="rId2467" ref="B776"/>
    <hyperlink r:id="rId2468" ref="E776"/>
    <hyperlink r:id="rId2469" ref="O776"/>
    <hyperlink r:id="rId2470" ref="B777"/>
    <hyperlink r:id="rId2471" ref="E777"/>
    <hyperlink r:id="rId2472" ref="O777"/>
    <hyperlink r:id="rId2473" ref="B778"/>
    <hyperlink r:id="rId2474" ref="E778"/>
    <hyperlink r:id="rId2475" ref="O778"/>
    <hyperlink r:id="rId2476" ref="B779"/>
    <hyperlink r:id="rId2477" ref="E779"/>
    <hyperlink r:id="rId2478" ref="O779"/>
    <hyperlink r:id="rId2479" ref="B780"/>
    <hyperlink r:id="rId2480" ref="E780"/>
    <hyperlink r:id="rId2481" ref="O780"/>
    <hyperlink r:id="rId2482" ref="B781"/>
    <hyperlink r:id="rId2483" ref="E781"/>
    <hyperlink r:id="rId2484" ref="O781"/>
    <hyperlink r:id="rId2485" ref="B782"/>
    <hyperlink r:id="rId2486" ref="E782"/>
    <hyperlink r:id="rId2487" ref="O782"/>
    <hyperlink r:id="rId2488" ref="B783"/>
    <hyperlink r:id="rId2489" ref="E783"/>
    <hyperlink r:id="rId2490" ref="O783"/>
    <hyperlink r:id="rId2491" ref="B784"/>
    <hyperlink r:id="rId2492" ref="E784"/>
    <hyperlink r:id="rId2493" ref="O784"/>
    <hyperlink r:id="rId2494" ref="B785"/>
    <hyperlink r:id="rId2495" ref="E785"/>
    <hyperlink r:id="rId2496" ref="O785"/>
    <hyperlink r:id="rId2497" ref="B786"/>
    <hyperlink r:id="rId2498" ref="E786"/>
    <hyperlink r:id="rId2499" ref="O786"/>
    <hyperlink r:id="rId2500" ref="B787"/>
    <hyperlink r:id="rId2501" ref="E787"/>
    <hyperlink r:id="rId2502" ref="O787"/>
    <hyperlink r:id="rId2503" ref="B788"/>
    <hyperlink r:id="rId2504" ref="E788"/>
    <hyperlink r:id="rId2505" ref="O788"/>
    <hyperlink r:id="rId2506" ref="B789"/>
    <hyperlink r:id="rId2507" ref="E789"/>
    <hyperlink r:id="rId2508" ref="O789"/>
    <hyperlink r:id="rId2509" ref="B790"/>
    <hyperlink r:id="rId2510" ref="E790"/>
    <hyperlink r:id="rId2511" ref="O790"/>
    <hyperlink r:id="rId2512" ref="B791"/>
    <hyperlink r:id="rId2513" ref="E791"/>
    <hyperlink r:id="rId2514" ref="O791"/>
    <hyperlink r:id="rId2515" ref="B792"/>
    <hyperlink r:id="rId2516" ref="E792"/>
    <hyperlink r:id="rId2517" ref="O792"/>
    <hyperlink r:id="rId2518" ref="B793"/>
    <hyperlink r:id="rId2519" ref="E793"/>
    <hyperlink r:id="rId2520" ref="O793"/>
    <hyperlink r:id="rId2521" ref="B794"/>
    <hyperlink r:id="rId2522" ref="E794"/>
    <hyperlink r:id="rId2523" ref="O794"/>
    <hyperlink r:id="rId2524" ref="B795"/>
    <hyperlink r:id="rId2525" ref="E795"/>
    <hyperlink r:id="rId2526" ref="O795"/>
    <hyperlink r:id="rId2527" ref="B796"/>
    <hyperlink r:id="rId2528" ref="E796"/>
    <hyperlink r:id="rId2529" ref="F796"/>
    <hyperlink r:id="rId2530" ref="O796"/>
    <hyperlink r:id="rId2531" ref="B797"/>
    <hyperlink r:id="rId2532" ref="E797"/>
    <hyperlink r:id="rId2533" ref="O797"/>
    <hyperlink r:id="rId2534" ref="B798"/>
    <hyperlink r:id="rId2535" ref="E798"/>
    <hyperlink r:id="rId2536" ref="O798"/>
    <hyperlink r:id="rId2537" ref="B799"/>
    <hyperlink r:id="rId2538" ref="E799"/>
    <hyperlink r:id="rId2539" ref="O799"/>
    <hyperlink r:id="rId2540" ref="B800"/>
    <hyperlink r:id="rId2541" ref="E800"/>
    <hyperlink r:id="rId2542" ref="O800"/>
    <hyperlink r:id="rId2543" ref="B801"/>
    <hyperlink r:id="rId2544" ref="E801"/>
    <hyperlink r:id="rId2545" ref="O801"/>
    <hyperlink r:id="rId2546" ref="B802"/>
    <hyperlink r:id="rId2547" ref="E802"/>
    <hyperlink r:id="rId2548" ref="O802"/>
    <hyperlink r:id="rId2549" ref="B803"/>
    <hyperlink r:id="rId2550" ref="E803"/>
    <hyperlink r:id="rId2551" ref="O803"/>
    <hyperlink r:id="rId2552" ref="B804"/>
    <hyperlink r:id="rId2553" ref="E804"/>
    <hyperlink r:id="rId2554" ref="O804"/>
    <hyperlink r:id="rId2555" ref="B805"/>
    <hyperlink r:id="rId2556" ref="E805"/>
    <hyperlink r:id="rId2557" ref="O805"/>
    <hyperlink r:id="rId2558" ref="B806"/>
    <hyperlink r:id="rId2559" ref="E806"/>
    <hyperlink r:id="rId2560" ref="O806"/>
    <hyperlink r:id="rId2561" ref="B807"/>
    <hyperlink r:id="rId2562" ref="E807"/>
    <hyperlink r:id="rId2563" ref="O807"/>
    <hyperlink r:id="rId2564" ref="B808"/>
    <hyperlink r:id="rId2565" ref="E808"/>
    <hyperlink r:id="rId2566" ref="O808"/>
    <hyperlink r:id="rId2567" ref="B809"/>
    <hyperlink r:id="rId2568" ref="E809"/>
    <hyperlink r:id="rId2569" ref="O809"/>
    <hyperlink r:id="rId2570" ref="B810"/>
    <hyperlink r:id="rId2571" ref="E810"/>
    <hyperlink r:id="rId2572" ref="O810"/>
    <hyperlink r:id="rId2573" ref="B811"/>
    <hyperlink r:id="rId2574" ref="E811"/>
    <hyperlink r:id="rId2575" ref="O811"/>
    <hyperlink r:id="rId2576" ref="B812"/>
    <hyperlink r:id="rId2577" ref="E812"/>
    <hyperlink r:id="rId2578" ref="O812"/>
    <hyperlink r:id="rId2579" ref="B813"/>
    <hyperlink r:id="rId2580" ref="E813"/>
    <hyperlink r:id="rId2581" ref="O813"/>
    <hyperlink r:id="rId2582" ref="B814"/>
    <hyperlink r:id="rId2583" ref="E814"/>
    <hyperlink r:id="rId2584" ref="O814"/>
    <hyperlink r:id="rId2585" ref="B815"/>
    <hyperlink r:id="rId2586" ref="E815"/>
    <hyperlink r:id="rId2587" ref="O815"/>
    <hyperlink r:id="rId2588" ref="B816"/>
    <hyperlink r:id="rId2589" ref="C816"/>
    <hyperlink r:id="rId2590" ref="E816"/>
    <hyperlink r:id="rId2591" ref="O816"/>
    <hyperlink r:id="rId2592" ref="B817"/>
    <hyperlink r:id="rId2593" ref="E817"/>
    <hyperlink r:id="rId2594" ref="O817"/>
    <hyperlink r:id="rId2595" ref="B818"/>
    <hyperlink r:id="rId2596" ref="E818"/>
    <hyperlink r:id="rId2597" ref="O818"/>
    <hyperlink r:id="rId2598" ref="B819"/>
    <hyperlink r:id="rId2599" ref="E819"/>
    <hyperlink r:id="rId2600" ref="O819"/>
    <hyperlink r:id="rId2601" ref="B820"/>
    <hyperlink r:id="rId2602" ref="E820"/>
    <hyperlink r:id="rId2603" ref="O820"/>
    <hyperlink r:id="rId2604" ref="B821"/>
    <hyperlink r:id="rId2605" ref="E821"/>
    <hyperlink r:id="rId2606" ref="O821"/>
    <hyperlink r:id="rId2607" ref="B822"/>
    <hyperlink r:id="rId2608" ref="E822"/>
    <hyperlink r:id="rId2609" ref="O822"/>
    <hyperlink r:id="rId2610" ref="B823"/>
    <hyperlink r:id="rId2611" ref="E823"/>
    <hyperlink r:id="rId2612" ref="O823"/>
    <hyperlink r:id="rId2613" ref="B824"/>
    <hyperlink r:id="rId2614" ref="E824"/>
    <hyperlink r:id="rId2615" ref="O824"/>
    <hyperlink r:id="rId2616" ref="B825"/>
    <hyperlink r:id="rId2617" ref="E825"/>
    <hyperlink r:id="rId2618" ref="O825"/>
    <hyperlink r:id="rId2619" ref="B826"/>
    <hyperlink r:id="rId2620" ref="E826"/>
    <hyperlink r:id="rId2621" ref="O826"/>
    <hyperlink r:id="rId2622" ref="B827"/>
    <hyperlink r:id="rId2623" ref="E827"/>
    <hyperlink r:id="rId2624" ref="O827"/>
    <hyperlink r:id="rId2625" ref="B828"/>
    <hyperlink r:id="rId2626" ref="E828"/>
    <hyperlink r:id="rId2627" ref="O828"/>
    <hyperlink r:id="rId2628" ref="B829"/>
    <hyperlink r:id="rId2629" ref="E829"/>
    <hyperlink r:id="rId2630" ref="O829"/>
    <hyperlink r:id="rId2631" ref="B830"/>
    <hyperlink r:id="rId2632" ref="E830"/>
    <hyperlink r:id="rId2633" ref="O830"/>
    <hyperlink r:id="rId2634" ref="B831"/>
    <hyperlink r:id="rId2635" ref="E831"/>
    <hyperlink r:id="rId2636" ref="O831"/>
    <hyperlink r:id="rId2637" ref="B832"/>
    <hyperlink r:id="rId2638" ref="E832"/>
    <hyperlink r:id="rId2639" ref="O832"/>
    <hyperlink r:id="rId2640" ref="B833"/>
    <hyperlink r:id="rId2641" ref="E833"/>
    <hyperlink r:id="rId2642" ref="O833"/>
    <hyperlink r:id="rId2643" ref="B834"/>
    <hyperlink r:id="rId2644" ref="E834"/>
    <hyperlink r:id="rId2645" ref="O834"/>
    <hyperlink r:id="rId2646" ref="B835"/>
    <hyperlink r:id="rId2647" ref="E835"/>
    <hyperlink r:id="rId2648" ref="O835"/>
    <hyperlink r:id="rId2649" ref="B836"/>
    <hyperlink r:id="rId2650" ref="E836"/>
    <hyperlink r:id="rId2651" ref="O836"/>
    <hyperlink r:id="rId2652" ref="B837"/>
    <hyperlink r:id="rId2653" ref="E837"/>
    <hyperlink r:id="rId2654" ref="O837"/>
    <hyperlink r:id="rId2655" ref="B838"/>
    <hyperlink r:id="rId2656" ref="E838"/>
    <hyperlink r:id="rId2657" ref="O838"/>
    <hyperlink r:id="rId2658" ref="B839"/>
    <hyperlink r:id="rId2659" ref="E839"/>
    <hyperlink r:id="rId2660" ref="O839"/>
    <hyperlink r:id="rId2661" ref="B840"/>
    <hyperlink r:id="rId2662" ref="E840"/>
    <hyperlink r:id="rId2663" ref="O840"/>
    <hyperlink r:id="rId2664" ref="B841"/>
    <hyperlink r:id="rId2665" ref="E841"/>
    <hyperlink r:id="rId2666" ref="O841"/>
    <hyperlink r:id="rId2667" ref="B842"/>
    <hyperlink r:id="rId2668" ref="E842"/>
    <hyperlink r:id="rId2669" ref="O842"/>
    <hyperlink r:id="rId2670" ref="B843"/>
    <hyperlink r:id="rId2671" ref="E843"/>
    <hyperlink r:id="rId2672" ref="O843"/>
    <hyperlink r:id="rId2673" ref="B844"/>
    <hyperlink r:id="rId2674" ref="E844"/>
    <hyperlink r:id="rId2675" ref="F844"/>
    <hyperlink r:id="rId2676" ref="O844"/>
    <hyperlink r:id="rId2677" ref="B845"/>
    <hyperlink r:id="rId2678" ref="E845"/>
    <hyperlink r:id="rId2679" ref="F845"/>
    <hyperlink r:id="rId2680" ref="O845"/>
    <hyperlink r:id="rId2681" ref="B846"/>
    <hyperlink r:id="rId2682" ref="E846"/>
    <hyperlink r:id="rId2683" ref="O846"/>
    <hyperlink r:id="rId2684" ref="B847"/>
    <hyperlink r:id="rId2685" ref="E847"/>
    <hyperlink r:id="rId2686" ref="F847"/>
    <hyperlink r:id="rId2687" ref="O847"/>
    <hyperlink r:id="rId2688" ref="B848"/>
    <hyperlink r:id="rId2689" ref="E848"/>
    <hyperlink r:id="rId2690" ref="F848"/>
    <hyperlink r:id="rId2691" ref="O848"/>
    <hyperlink r:id="rId2692" ref="B849"/>
    <hyperlink r:id="rId2693" ref="E849"/>
    <hyperlink r:id="rId2694" ref="F849"/>
    <hyperlink r:id="rId2695" ref="O849"/>
    <hyperlink r:id="rId2696" ref="B850"/>
    <hyperlink r:id="rId2697" ref="E850"/>
    <hyperlink r:id="rId2698" ref="F850"/>
    <hyperlink r:id="rId2699" ref="O850"/>
    <hyperlink r:id="rId2700" ref="B851"/>
    <hyperlink r:id="rId2701" ref="E851"/>
    <hyperlink r:id="rId2702" ref="F851"/>
    <hyperlink r:id="rId2703" ref="O851"/>
    <hyperlink r:id="rId2704" ref="B852"/>
    <hyperlink r:id="rId2705" ref="E852"/>
    <hyperlink r:id="rId2706" ref="F852"/>
    <hyperlink r:id="rId2707" ref="O852"/>
    <hyperlink r:id="rId2708" ref="B853"/>
    <hyperlink r:id="rId2709" ref="E853"/>
    <hyperlink r:id="rId2710" ref="O853"/>
    <hyperlink r:id="rId2711" ref="B854"/>
    <hyperlink r:id="rId2712" ref="E854"/>
    <hyperlink r:id="rId2713" ref="F854"/>
    <hyperlink r:id="rId2714" ref="O854"/>
    <hyperlink r:id="rId2715" ref="B855"/>
    <hyperlink r:id="rId2716" ref="E855"/>
    <hyperlink r:id="rId2717" ref="F855"/>
    <hyperlink r:id="rId2718" ref="O855"/>
    <hyperlink r:id="rId2719" ref="B856"/>
    <hyperlink r:id="rId2720" ref="E856"/>
    <hyperlink r:id="rId2721" ref="O856"/>
    <hyperlink r:id="rId2722" ref="B857"/>
    <hyperlink r:id="rId2723" ref="E857"/>
    <hyperlink r:id="rId2724" ref="O857"/>
    <hyperlink r:id="rId2725" ref="B858"/>
    <hyperlink r:id="rId2726" ref="E858"/>
    <hyperlink r:id="rId2727" ref="O858"/>
    <hyperlink r:id="rId2728" ref="B859"/>
    <hyperlink r:id="rId2729" ref="E859"/>
    <hyperlink r:id="rId2730" ref="O859"/>
    <hyperlink r:id="rId2731" ref="B860"/>
    <hyperlink r:id="rId2732" ref="E860"/>
    <hyperlink r:id="rId2733" ref="O860"/>
    <hyperlink r:id="rId2734" ref="B861"/>
    <hyperlink r:id="rId2735" ref="E861"/>
    <hyperlink r:id="rId2736" ref="O861"/>
    <hyperlink r:id="rId2737" ref="B862"/>
    <hyperlink r:id="rId2738" ref="E862"/>
    <hyperlink r:id="rId2739" ref="O862"/>
    <hyperlink r:id="rId2740" ref="B863"/>
    <hyperlink r:id="rId2741" ref="C863"/>
    <hyperlink r:id="rId2742" ref="E863"/>
    <hyperlink r:id="rId2743" ref="O863"/>
    <hyperlink r:id="rId2744" ref="B864"/>
    <hyperlink r:id="rId2745" ref="E864"/>
    <hyperlink r:id="rId2746" ref="O864"/>
    <hyperlink r:id="rId2747" ref="B865"/>
    <hyperlink r:id="rId2748" ref="E865"/>
    <hyperlink r:id="rId2749" ref="O865"/>
    <hyperlink r:id="rId2750" ref="B866"/>
    <hyperlink r:id="rId2751" ref="E866"/>
    <hyperlink r:id="rId2752" ref="O866"/>
    <hyperlink r:id="rId2753" ref="B867"/>
    <hyperlink r:id="rId2754" ref="E867"/>
    <hyperlink r:id="rId2755" ref="O867"/>
    <hyperlink r:id="rId2756" ref="B868"/>
    <hyperlink r:id="rId2757" ref="E868"/>
    <hyperlink r:id="rId2758" ref="O868"/>
    <hyperlink r:id="rId2759" ref="B869"/>
    <hyperlink r:id="rId2760" ref="E869"/>
    <hyperlink r:id="rId2761" ref="O869"/>
    <hyperlink r:id="rId2762" ref="B870"/>
    <hyperlink r:id="rId2763" ref="E870"/>
    <hyperlink r:id="rId2764" ref="O870"/>
    <hyperlink r:id="rId2765" ref="B871"/>
    <hyperlink r:id="rId2766" ref="E871"/>
    <hyperlink r:id="rId2767" ref="O871"/>
    <hyperlink r:id="rId2768" ref="B872"/>
    <hyperlink r:id="rId2769" ref="E872"/>
    <hyperlink r:id="rId2770" ref="O872"/>
    <hyperlink r:id="rId2771" ref="B873"/>
    <hyperlink r:id="rId2772" ref="E873"/>
    <hyperlink r:id="rId2773" ref="O873"/>
    <hyperlink r:id="rId2774" location="30.3073063,-97.7496033" ref="P873"/>
    <hyperlink r:id="rId2775" ref="B874"/>
    <hyperlink r:id="rId2776" ref="E874"/>
    <hyperlink r:id="rId2777" ref="O874"/>
    <hyperlink r:id="rId2778" ref="B875"/>
    <hyperlink r:id="rId2779" ref="E875"/>
    <hyperlink r:id="rId2780" ref="O875"/>
    <hyperlink r:id="rId2781" ref="B876"/>
    <hyperlink r:id="rId2782" ref="C876"/>
    <hyperlink r:id="rId2783" ref="E876"/>
    <hyperlink r:id="rId2784" ref="O876"/>
    <hyperlink r:id="rId2785" ref="B877"/>
    <hyperlink r:id="rId2786" ref="E877"/>
    <hyperlink r:id="rId2787" ref="O877"/>
    <hyperlink r:id="rId2788" ref="B878"/>
    <hyperlink r:id="rId2789" ref="E878"/>
    <hyperlink r:id="rId2790" ref="O878"/>
    <hyperlink r:id="rId2791" ref="B879"/>
    <hyperlink r:id="rId2792" ref="E879"/>
    <hyperlink r:id="rId2793" ref="O879"/>
    <hyperlink r:id="rId2794" ref="B880"/>
    <hyperlink r:id="rId2795" ref="E880"/>
    <hyperlink r:id="rId2796" ref="O880"/>
    <hyperlink r:id="rId2797" ref="B881"/>
    <hyperlink r:id="rId2798" ref="E881"/>
    <hyperlink r:id="rId2799" ref="O881"/>
    <hyperlink r:id="rId2800" ref="B882"/>
    <hyperlink r:id="rId2801" ref="E882"/>
    <hyperlink r:id="rId2802" ref="O882"/>
    <hyperlink r:id="rId2803" ref="B883"/>
    <hyperlink r:id="rId2804" ref="E883"/>
    <hyperlink r:id="rId2805" ref="O883"/>
    <hyperlink r:id="rId2806" ref="B884"/>
    <hyperlink r:id="rId2807" ref="E884"/>
    <hyperlink r:id="rId2808" ref="O884"/>
    <hyperlink r:id="rId2809" ref="B885"/>
    <hyperlink r:id="rId2810" ref="E885"/>
    <hyperlink r:id="rId2811" ref="O885"/>
    <hyperlink r:id="rId2812" ref="B886"/>
    <hyperlink r:id="rId2813" ref="E886"/>
    <hyperlink r:id="rId2814" ref="O886"/>
    <hyperlink r:id="rId2815" ref="B887"/>
    <hyperlink r:id="rId2816" ref="E887"/>
    <hyperlink r:id="rId2817" ref="O887"/>
    <hyperlink r:id="rId2818" ref="B888"/>
    <hyperlink r:id="rId2819" ref="E888"/>
    <hyperlink r:id="rId2820" ref="O888"/>
    <hyperlink r:id="rId2821" ref="B889"/>
    <hyperlink r:id="rId2822" ref="E889"/>
    <hyperlink r:id="rId2823" ref="O889"/>
    <hyperlink r:id="rId2824" ref="B890"/>
    <hyperlink r:id="rId2825" ref="E890"/>
    <hyperlink r:id="rId2826" ref="O890"/>
    <hyperlink r:id="rId2827" ref="B891"/>
    <hyperlink r:id="rId2828" ref="E891"/>
    <hyperlink r:id="rId2829" ref="O891"/>
    <hyperlink r:id="rId2830" ref="B892"/>
    <hyperlink r:id="rId2831" ref="E892"/>
    <hyperlink r:id="rId2832" ref="O892"/>
    <hyperlink r:id="rId2833" ref="B893"/>
    <hyperlink r:id="rId2834" ref="E893"/>
    <hyperlink r:id="rId2835" ref="F893"/>
    <hyperlink r:id="rId2836" ref="O893"/>
    <hyperlink r:id="rId2837" ref="B894"/>
    <hyperlink r:id="rId2838" ref="E894"/>
    <hyperlink r:id="rId2839" ref="O894"/>
    <hyperlink r:id="rId2840" ref="B895"/>
    <hyperlink r:id="rId2841" ref="E895"/>
    <hyperlink r:id="rId2842" ref="O895"/>
    <hyperlink r:id="rId2843" ref="B896"/>
    <hyperlink r:id="rId2844" ref="E896"/>
    <hyperlink r:id="rId2845" ref="O896"/>
    <hyperlink r:id="rId2846" ref="B897"/>
    <hyperlink r:id="rId2847" ref="E897"/>
    <hyperlink r:id="rId2848" ref="O897"/>
    <hyperlink r:id="rId2849" ref="B898"/>
    <hyperlink r:id="rId2850" ref="E898"/>
    <hyperlink r:id="rId2851" ref="O898"/>
    <hyperlink r:id="rId2852" ref="B899"/>
    <hyperlink r:id="rId2853" ref="E899"/>
    <hyperlink r:id="rId2854" ref="O899"/>
    <hyperlink r:id="rId2855" ref="B900"/>
    <hyperlink r:id="rId2856" ref="E900"/>
    <hyperlink r:id="rId2857" ref="O900"/>
    <hyperlink r:id="rId2858" ref="B901"/>
    <hyperlink r:id="rId2859" ref="E901"/>
    <hyperlink r:id="rId2860" ref="O901"/>
    <hyperlink r:id="rId2861" ref="B902"/>
    <hyperlink r:id="rId2862" ref="E902"/>
    <hyperlink r:id="rId2863" ref="O902"/>
    <hyperlink r:id="rId2864" ref="B903"/>
    <hyperlink r:id="rId2865" ref="E903"/>
    <hyperlink r:id="rId2866" ref="O903"/>
    <hyperlink r:id="rId2867" ref="B904"/>
    <hyperlink r:id="rId2868" ref="E904"/>
    <hyperlink r:id="rId2869" ref="O904"/>
    <hyperlink r:id="rId2870" ref="B905"/>
    <hyperlink r:id="rId2871" ref="E905"/>
    <hyperlink r:id="rId2872" ref="O905"/>
    <hyperlink r:id="rId2873" ref="B906"/>
    <hyperlink r:id="rId2874" ref="E906"/>
    <hyperlink r:id="rId2875" ref="O906"/>
    <hyperlink r:id="rId2876" ref="B907"/>
    <hyperlink r:id="rId2877" ref="E907"/>
    <hyperlink r:id="rId2878" ref="O907"/>
    <hyperlink r:id="rId2879" ref="B908"/>
    <hyperlink r:id="rId2880" ref="E908"/>
    <hyperlink r:id="rId2881" ref="O908"/>
    <hyperlink r:id="rId2882" ref="B909"/>
    <hyperlink r:id="rId2883" ref="E909"/>
    <hyperlink r:id="rId2884" ref="O909"/>
    <hyperlink r:id="rId2885" ref="B910"/>
    <hyperlink r:id="rId2886" ref="E910"/>
    <hyperlink r:id="rId2887" ref="O910"/>
    <hyperlink r:id="rId2888" ref="B911"/>
    <hyperlink r:id="rId2889" ref="E911"/>
    <hyperlink r:id="rId2890" ref="O911"/>
    <hyperlink r:id="rId2891" ref="B912"/>
    <hyperlink r:id="rId2892" ref="E912"/>
    <hyperlink r:id="rId2893" ref="O912"/>
    <hyperlink r:id="rId2894" ref="B913"/>
    <hyperlink r:id="rId2895" ref="E913"/>
    <hyperlink r:id="rId2896" ref="F913"/>
    <hyperlink r:id="rId2897" ref="O913"/>
    <hyperlink r:id="rId2898" ref="B914"/>
    <hyperlink r:id="rId2899" ref="E914"/>
    <hyperlink r:id="rId2900" ref="F914"/>
    <hyperlink r:id="rId2901" ref="O914"/>
    <hyperlink r:id="rId2902" ref="B915"/>
    <hyperlink r:id="rId2903" ref="E915"/>
    <hyperlink r:id="rId2904" ref="F915"/>
    <hyperlink r:id="rId2905" ref="O915"/>
    <hyperlink r:id="rId2906" ref="B916"/>
    <hyperlink r:id="rId2907" ref="E916"/>
    <hyperlink r:id="rId2908" ref="F916"/>
    <hyperlink r:id="rId2909" ref="O916"/>
    <hyperlink r:id="rId2910" ref="B917"/>
    <hyperlink r:id="rId2911" ref="E917"/>
    <hyperlink r:id="rId2912" ref="O917"/>
    <hyperlink r:id="rId2913" ref="B918"/>
    <hyperlink r:id="rId2914" ref="E918"/>
    <hyperlink r:id="rId2915" ref="O918"/>
    <hyperlink r:id="rId2916" ref="B919"/>
    <hyperlink r:id="rId2917" ref="E919"/>
    <hyperlink r:id="rId2918" ref="O919"/>
    <hyperlink r:id="rId2919" ref="B920"/>
    <hyperlink r:id="rId2920" ref="E920"/>
    <hyperlink r:id="rId2921" ref="O920"/>
    <hyperlink r:id="rId2922" ref="B921"/>
    <hyperlink r:id="rId2923" ref="E921"/>
    <hyperlink r:id="rId2924" ref="O921"/>
    <hyperlink r:id="rId2925" ref="B922"/>
    <hyperlink r:id="rId2926" ref="E922"/>
    <hyperlink r:id="rId2927" ref="O922"/>
    <hyperlink r:id="rId2928" ref="B923"/>
    <hyperlink r:id="rId2929" ref="E923"/>
    <hyperlink r:id="rId2930" ref="O923"/>
    <hyperlink r:id="rId2931" ref="B924"/>
    <hyperlink r:id="rId2932" ref="E924"/>
    <hyperlink r:id="rId2933" ref="O924"/>
    <hyperlink r:id="rId2934" ref="B925"/>
    <hyperlink r:id="rId2935" ref="E925"/>
    <hyperlink r:id="rId2936" ref="O925"/>
    <hyperlink r:id="rId2937" ref="B926"/>
    <hyperlink r:id="rId2938" ref="E926"/>
    <hyperlink r:id="rId2939" ref="O926"/>
    <hyperlink r:id="rId2940" ref="B927"/>
    <hyperlink r:id="rId2941" ref="E927"/>
    <hyperlink r:id="rId2942" ref="O927"/>
    <hyperlink r:id="rId2943" ref="B928"/>
    <hyperlink r:id="rId2944" ref="E928"/>
    <hyperlink r:id="rId2945" ref="O928"/>
    <hyperlink r:id="rId2946" ref="B929"/>
    <hyperlink r:id="rId2947" ref="E929"/>
    <hyperlink r:id="rId2948" ref="O929"/>
    <hyperlink r:id="rId2949" ref="B930"/>
    <hyperlink r:id="rId2950" ref="E930"/>
    <hyperlink r:id="rId2951" ref="O930"/>
    <hyperlink r:id="rId2952" ref="B931"/>
    <hyperlink r:id="rId2953" ref="E931"/>
    <hyperlink r:id="rId2954" ref="O931"/>
    <hyperlink r:id="rId2955" ref="B932"/>
    <hyperlink r:id="rId2956" ref="E932"/>
    <hyperlink r:id="rId2957" ref="O932"/>
    <hyperlink r:id="rId2958" ref="B933"/>
    <hyperlink r:id="rId2959" ref="E933"/>
    <hyperlink r:id="rId2960" ref="O933"/>
    <hyperlink r:id="rId2961" ref="B934"/>
    <hyperlink r:id="rId2962" ref="E934"/>
    <hyperlink r:id="rId2963" ref="O934"/>
    <hyperlink r:id="rId2964" ref="B935"/>
    <hyperlink r:id="rId2965" ref="E935"/>
    <hyperlink r:id="rId2966" ref="O935"/>
    <hyperlink r:id="rId2967" ref="B936"/>
    <hyperlink r:id="rId2968" ref="E936"/>
    <hyperlink r:id="rId2969" ref="O936"/>
    <hyperlink r:id="rId2970" ref="B937"/>
    <hyperlink r:id="rId2971" ref="E937"/>
    <hyperlink r:id="rId2972" ref="O937"/>
    <hyperlink r:id="rId2973" ref="B938"/>
    <hyperlink r:id="rId2974" ref="E938"/>
    <hyperlink r:id="rId2975" ref="O938"/>
    <hyperlink r:id="rId2976" ref="B939"/>
    <hyperlink r:id="rId2977" ref="E939"/>
    <hyperlink r:id="rId2978" ref="O939"/>
    <hyperlink r:id="rId2979" ref="B940"/>
    <hyperlink r:id="rId2980" ref="E940"/>
    <hyperlink r:id="rId2981" ref="O940"/>
    <hyperlink r:id="rId2982" ref="B941"/>
    <hyperlink r:id="rId2983" ref="E941"/>
    <hyperlink r:id="rId2984" ref="O941"/>
    <hyperlink r:id="rId2985" ref="B942"/>
    <hyperlink r:id="rId2986" ref="E942"/>
    <hyperlink r:id="rId2987" ref="O942"/>
    <hyperlink r:id="rId2988" ref="B943"/>
    <hyperlink r:id="rId2989" ref="E943"/>
    <hyperlink r:id="rId2990" ref="O943"/>
    <hyperlink r:id="rId2991" ref="B944"/>
    <hyperlink r:id="rId2992" ref="E944"/>
    <hyperlink r:id="rId2993" ref="O944"/>
    <hyperlink r:id="rId2994" ref="B945"/>
    <hyperlink r:id="rId2995" ref="E945"/>
    <hyperlink r:id="rId2996" ref="O945"/>
    <hyperlink r:id="rId2997" ref="B946"/>
    <hyperlink r:id="rId2998" ref="E946"/>
    <hyperlink r:id="rId2999" ref="O946"/>
    <hyperlink r:id="rId3000" ref="B947"/>
    <hyperlink r:id="rId3001" ref="E947"/>
    <hyperlink r:id="rId3002" ref="O947"/>
    <hyperlink r:id="rId3003" ref="B948"/>
    <hyperlink r:id="rId3004" ref="E948"/>
    <hyperlink r:id="rId3005" ref="O948"/>
    <hyperlink r:id="rId3006" ref="B949"/>
    <hyperlink r:id="rId3007" ref="E949"/>
    <hyperlink r:id="rId3008" ref="O949"/>
    <hyperlink r:id="rId3009" ref="B950"/>
    <hyperlink r:id="rId3010" ref="E950"/>
    <hyperlink r:id="rId3011" ref="O950"/>
    <hyperlink r:id="rId3012" ref="B951"/>
    <hyperlink r:id="rId3013" ref="E951"/>
    <hyperlink r:id="rId3014" ref="O951"/>
    <hyperlink r:id="rId3015" ref="B952"/>
    <hyperlink r:id="rId3016" ref="E952"/>
    <hyperlink r:id="rId3017" ref="O952"/>
    <hyperlink r:id="rId3018" ref="B953"/>
    <hyperlink r:id="rId3019" ref="E953"/>
    <hyperlink r:id="rId3020" ref="O953"/>
    <hyperlink r:id="rId3021" ref="B954"/>
    <hyperlink r:id="rId3022" ref="E954"/>
    <hyperlink r:id="rId3023" ref="O954"/>
    <hyperlink r:id="rId3024" ref="B955"/>
    <hyperlink r:id="rId3025" ref="E955"/>
    <hyperlink r:id="rId3026" ref="O955"/>
    <hyperlink r:id="rId3027" ref="B956"/>
    <hyperlink r:id="rId3028" ref="E956"/>
    <hyperlink r:id="rId3029" ref="O956"/>
    <hyperlink r:id="rId3030" ref="B957"/>
    <hyperlink r:id="rId3031" ref="E957"/>
    <hyperlink r:id="rId3032" ref="O957"/>
    <hyperlink r:id="rId3033" ref="B958"/>
    <hyperlink r:id="rId3034" ref="E958"/>
    <hyperlink r:id="rId3035" ref="O958"/>
    <hyperlink r:id="rId3036" ref="B959"/>
    <hyperlink r:id="rId3037" ref="E959"/>
    <hyperlink r:id="rId3038" ref="O959"/>
    <hyperlink r:id="rId3039" ref="B960"/>
    <hyperlink r:id="rId3040" ref="E960"/>
    <hyperlink r:id="rId3041" ref="O960"/>
    <hyperlink r:id="rId3042" ref="B961"/>
    <hyperlink r:id="rId3043" ref="E961"/>
    <hyperlink r:id="rId3044" ref="O961"/>
    <hyperlink r:id="rId3045" ref="B962"/>
    <hyperlink r:id="rId3046" ref="E962"/>
    <hyperlink r:id="rId3047" ref="O962"/>
    <hyperlink r:id="rId3048" ref="B963"/>
    <hyperlink r:id="rId3049" ref="E963"/>
    <hyperlink r:id="rId3050" ref="O963"/>
    <hyperlink r:id="rId3051" ref="B964"/>
    <hyperlink r:id="rId3052" ref="E964"/>
    <hyperlink r:id="rId3053" ref="O964"/>
    <hyperlink r:id="rId3054" ref="B965"/>
    <hyperlink r:id="rId3055" ref="E965"/>
    <hyperlink r:id="rId3056" ref="O965"/>
    <hyperlink r:id="rId3057" ref="B966"/>
    <hyperlink r:id="rId3058" ref="E966"/>
    <hyperlink r:id="rId3059" ref="O966"/>
    <hyperlink r:id="rId3060" ref="B967"/>
    <hyperlink r:id="rId3061" ref="E967"/>
    <hyperlink r:id="rId3062" ref="O967"/>
    <hyperlink r:id="rId3063" ref="B968"/>
    <hyperlink r:id="rId3064" ref="E968"/>
    <hyperlink r:id="rId3065" ref="O968"/>
    <hyperlink r:id="rId3066" ref="B969"/>
    <hyperlink r:id="rId3067" ref="E969"/>
    <hyperlink r:id="rId3068" ref="O969"/>
    <hyperlink r:id="rId3069" ref="B970"/>
    <hyperlink r:id="rId3070" ref="E970"/>
    <hyperlink r:id="rId3071" ref="O970"/>
    <hyperlink r:id="rId3072" ref="B971"/>
    <hyperlink r:id="rId3073" ref="E971"/>
    <hyperlink r:id="rId3074" ref="O971"/>
    <hyperlink r:id="rId3075" ref="B972"/>
    <hyperlink r:id="rId3076" ref="E972"/>
    <hyperlink r:id="rId3077" ref="O972"/>
    <hyperlink r:id="rId3078" ref="B973"/>
    <hyperlink r:id="rId3079" ref="E973"/>
    <hyperlink r:id="rId3080" ref="O973"/>
    <hyperlink r:id="rId3081" ref="B974"/>
    <hyperlink r:id="rId3082" ref="E974"/>
    <hyperlink r:id="rId3083" ref="O974"/>
    <hyperlink r:id="rId3084" ref="B975"/>
    <hyperlink r:id="rId3085" ref="E975"/>
    <hyperlink r:id="rId3086" ref="O975"/>
    <hyperlink r:id="rId3087" ref="B976"/>
    <hyperlink r:id="rId3088" ref="E976"/>
    <hyperlink r:id="rId3089" ref="O976"/>
    <hyperlink r:id="rId3090" ref="B977"/>
    <hyperlink r:id="rId3091" ref="E977"/>
    <hyperlink r:id="rId3092" ref="O977"/>
    <hyperlink r:id="rId3093" ref="B978"/>
    <hyperlink r:id="rId3094" ref="E978"/>
    <hyperlink r:id="rId3095" ref="O978"/>
    <hyperlink r:id="rId3096" ref="B979"/>
    <hyperlink r:id="rId3097" ref="E979"/>
    <hyperlink r:id="rId3098" ref="O979"/>
    <hyperlink r:id="rId3099" ref="B980"/>
    <hyperlink r:id="rId3100" ref="E980"/>
    <hyperlink r:id="rId3101" ref="O980"/>
    <hyperlink r:id="rId3102" ref="B981"/>
    <hyperlink r:id="rId3103" ref="E981"/>
    <hyperlink r:id="rId3104" ref="O981"/>
    <hyperlink r:id="rId3105" ref="B982"/>
    <hyperlink r:id="rId3106" ref="E982"/>
    <hyperlink r:id="rId3107" ref="O982"/>
    <hyperlink r:id="rId3108" ref="B983"/>
    <hyperlink r:id="rId3109" ref="E983"/>
    <hyperlink r:id="rId3110" ref="O983"/>
    <hyperlink r:id="rId3111" ref="B984"/>
    <hyperlink r:id="rId3112" ref="E984"/>
    <hyperlink r:id="rId3113" ref="O984"/>
    <hyperlink r:id="rId3114" ref="B985"/>
    <hyperlink r:id="rId3115" ref="E985"/>
    <hyperlink r:id="rId3116" ref="O985"/>
    <hyperlink r:id="rId3117" ref="B986"/>
    <hyperlink r:id="rId3118" ref="E986"/>
    <hyperlink r:id="rId3119" ref="O986"/>
    <hyperlink r:id="rId3120" ref="B987"/>
    <hyperlink r:id="rId3121" ref="E987"/>
    <hyperlink r:id="rId3122" ref="O987"/>
    <hyperlink r:id="rId3123" ref="B988"/>
    <hyperlink r:id="rId3124" ref="E988"/>
    <hyperlink r:id="rId3125" ref="O988"/>
    <hyperlink r:id="rId3126" ref="B989"/>
    <hyperlink r:id="rId3127" ref="E989"/>
    <hyperlink r:id="rId3128" ref="O989"/>
    <hyperlink r:id="rId3129" ref="B990"/>
    <hyperlink r:id="rId3130" ref="E990"/>
    <hyperlink r:id="rId3131" ref="O990"/>
    <hyperlink r:id="rId3132" ref="B991"/>
    <hyperlink r:id="rId3133" ref="E991"/>
    <hyperlink r:id="rId3134" ref="O991"/>
    <hyperlink r:id="rId3135" ref="B992"/>
    <hyperlink r:id="rId3136" ref="E992"/>
    <hyperlink r:id="rId3137" ref="O992"/>
    <hyperlink r:id="rId3138" ref="B993"/>
    <hyperlink r:id="rId3139" ref="E993"/>
    <hyperlink r:id="rId3140" ref="O993"/>
    <hyperlink r:id="rId3141" ref="B994"/>
    <hyperlink r:id="rId3142" ref="E994"/>
    <hyperlink r:id="rId3143" ref="O994"/>
    <hyperlink r:id="rId3144" ref="B995"/>
    <hyperlink r:id="rId3145" ref="E995"/>
    <hyperlink r:id="rId3146" ref="O995"/>
    <hyperlink r:id="rId3147" ref="B996"/>
    <hyperlink r:id="rId3148" ref="E996"/>
    <hyperlink r:id="rId3149" ref="O996"/>
    <hyperlink r:id="rId3150" ref="B997"/>
    <hyperlink r:id="rId3151" ref="E997"/>
    <hyperlink r:id="rId3152" ref="O997"/>
    <hyperlink r:id="rId3153" ref="B998"/>
    <hyperlink r:id="rId3154" ref="E998"/>
    <hyperlink r:id="rId3155" ref="O998"/>
    <hyperlink r:id="rId3156" ref="B999"/>
    <hyperlink r:id="rId3157" ref="E999"/>
    <hyperlink r:id="rId3158" ref="O999"/>
    <hyperlink r:id="rId3159" ref="B1000"/>
    <hyperlink r:id="rId3160" ref="E1000"/>
    <hyperlink r:id="rId3161" ref="O1000"/>
    <hyperlink r:id="rId3162" ref="B1001"/>
    <hyperlink r:id="rId3163" ref="E1001"/>
    <hyperlink r:id="rId3164" ref="O1001"/>
    <hyperlink r:id="rId3165" ref="B1002"/>
    <hyperlink r:id="rId3166" ref="E1002"/>
    <hyperlink r:id="rId3167" ref="O1002"/>
    <hyperlink r:id="rId3168" ref="B1003"/>
    <hyperlink r:id="rId3169" ref="E1003"/>
    <hyperlink r:id="rId3170" ref="O1003"/>
    <hyperlink r:id="rId3171" ref="B1004"/>
    <hyperlink r:id="rId3172" ref="E1004"/>
    <hyperlink r:id="rId3173" ref="O1004"/>
    <hyperlink r:id="rId3174" ref="B1005"/>
    <hyperlink r:id="rId3175" ref="E1005"/>
    <hyperlink r:id="rId3176" ref="O1005"/>
    <hyperlink r:id="rId3177" ref="B1006"/>
    <hyperlink r:id="rId3178" ref="E1006"/>
    <hyperlink r:id="rId3179" ref="O1006"/>
    <hyperlink r:id="rId3180" ref="B1007"/>
    <hyperlink r:id="rId3181" ref="E1007"/>
    <hyperlink r:id="rId3182" ref="O1007"/>
    <hyperlink r:id="rId3183" ref="B1008"/>
    <hyperlink r:id="rId3184" ref="E1008"/>
    <hyperlink r:id="rId3185" ref="O1008"/>
    <hyperlink r:id="rId3186" ref="B1009"/>
    <hyperlink r:id="rId3187" ref="E1009"/>
    <hyperlink r:id="rId3188" ref="O1009"/>
    <hyperlink r:id="rId3189" ref="B1010"/>
    <hyperlink r:id="rId3190" ref="E1010"/>
    <hyperlink r:id="rId3191" ref="O1010"/>
    <hyperlink r:id="rId3192" ref="B1011"/>
    <hyperlink r:id="rId3193" ref="E1011"/>
    <hyperlink r:id="rId3194" ref="O1011"/>
    <hyperlink r:id="rId3195" ref="B1012"/>
    <hyperlink r:id="rId3196" ref="E1012"/>
    <hyperlink r:id="rId3197" ref="O1012"/>
    <hyperlink r:id="rId3198" ref="B1013"/>
    <hyperlink r:id="rId3199" ref="E1013"/>
    <hyperlink r:id="rId3200" ref="O1013"/>
    <hyperlink r:id="rId3201" ref="B1014"/>
    <hyperlink r:id="rId3202" ref="E1014"/>
    <hyperlink r:id="rId3203" ref="O1014"/>
    <hyperlink r:id="rId3204" ref="B1015"/>
    <hyperlink r:id="rId3205" ref="E1015"/>
    <hyperlink r:id="rId3206" ref="O1015"/>
    <hyperlink r:id="rId3207" ref="B1016"/>
    <hyperlink r:id="rId3208" ref="E1016"/>
    <hyperlink r:id="rId3209" ref="F1016"/>
    <hyperlink r:id="rId3210" ref="O1016"/>
    <hyperlink r:id="rId3211" ref="B1017"/>
    <hyperlink r:id="rId3212" ref="E1017"/>
    <hyperlink r:id="rId3213" ref="F1017"/>
    <hyperlink r:id="rId3214" ref="O1017"/>
    <hyperlink r:id="rId3215" ref="B1018"/>
    <hyperlink r:id="rId3216" ref="E1018"/>
    <hyperlink r:id="rId3217" ref="F1018"/>
    <hyperlink r:id="rId3218" ref="O1018"/>
    <hyperlink r:id="rId3219" ref="B1019"/>
    <hyperlink r:id="rId3220" ref="E1019"/>
    <hyperlink r:id="rId3221" ref="F1019"/>
    <hyperlink r:id="rId3222" ref="O1019"/>
    <hyperlink r:id="rId3223" ref="B1020"/>
    <hyperlink r:id="rId3224" ref="E1020"/>
    <hyperlink r:id="rId3225" ref="F1020"/>
    <hyperlink r:id="rId3226" ref="O1020"/>
    <hyperlink r:id="rId3227" ref="B1021"/>
    <hyperlink r:id="rId3228" ref="E1021"/>
    <hyperlink r:id="rId3229" ref="F1021"/>
    <hyperlink r:id="rId3230" ref="O1021"/>
    <hyperlink r:id="rId3231" ref="B1022"/>
    <hyperlink r:id="rId3232" ref="E1022"/>
    <hyperlink r:id="rId3233" ref="F1022"/>
    <hyperlink r:id="rId3234" ref="O1022"/>
    <hyperlink r:id="rId3235" ref="B1023"/>
    <hyperlink r:id="rId3236" ref="E1023"/>
    <hyperlink r:id="rId3237" ref="F1023"/>
    <hyperlink r:id="rId3238" ref="O1023"/>
    <hyperlink r:id="rId3239" ref="B1024"/>
    <hyperlink r:id="rId3240" ref="E1024"/>
    <hyperlink r:id="rId3241" ref="F1024"/>
    <hyperlink r:id="rId3242" ref="O1024"/>
    <hyperlink r:id="rId3243" ref="B1025"/>
    <hyperlink r:id="rId3244" ref="E1025"/>
    <hyperlink r:id="rId3245" ref="F1025"/>
    <hyperlink r:id="rId3246" ref="O1025"/>
    <hyperlink r:id="rId3247" ref="B1026"/>
    <hyperlink r:id="rId3248" ref="E1026"/>
    <hyperlink r:id="rId3249" ref="O1026"/>
    <hyperlink r:id="rId3250" ref="B1027"/>
    <hyperlink r:id="rId3251" ref="E1027"/>
    <hyperlink r:id="rId3252" ref="O1027"/>
    <hyperlink r:id="rId3253" ref="B1028"/>
    <hyperlink r:id="rId3254" ref="E1028"/>
    <hyperlink r:id="rId3255" ref="O1028"/>
    <hyperlink r:id="rId3256" ref="B1029"/>
    <hyperlink r:id="rId3257" ref="E1029"/>
    <hyperlink r:id="rId3258" ref="O1029"/>
    <hyperlink r:id="rId3259" ref="B1030"/>
    <hyperlink r:id="rId3260" ref="E1030"/>
    <hyperlink r:id="rId3261" ref="O1030"/>
    <hyperlink r:id="rId3262" ref="B1031"/>
    <hyperlink r:id="rId3263" ref="E1031"/>
    <hyperlink r:id="rId3264" ref="O1031"/>
    <hyperlink r:id="rId3265" ref="B1032"/>
    <hyperlink r:id="rId3266" ref="E1032"/>
    <hyperlink r:id="rId3267" ref="O1032"/>
    <hyperlink r:id="rId3268" ref="B1033"/>
    <hyperlink r:id="rId3269" ref="E1033"/>
    <hyperlink r:id="rId3270" ref="O1033"/>
    <hyperlink r:id="rId3271" ref="B1034"/>
    <hyperlink r:id="rId3272" ref="E1034"/>
    <hyperlink r:id="rId3273" ref="O1034"/>
    <hyperlink r:id="rId3274" ref="B1035"/>
    <hyperlink r:id="rId3275" ref="E1035"/>
    <hyperlink r:id="rId3276" ref="O1035"/>
    <hyperlink r:id="rId3277" ref="B1036"/>
    <hyperlink r:id="rId3278" ref="E1036"/>
    <hyperlink r:id="rId3279" ref="O1036"/>
    <hyperlink r:id="rId3280" ref="B1037"/>
    <hyperlink r:id="rId3281" ref="E1037"/>
    <hyperlink r:id="rId3282" ref="O1037"/>
    <hyperlink r:id="rId3283" ref="B1038"/>
    <hyperlink r:id="rId3284" ref="E1038"/>
    <hyperlink r:id="rId3285" ref="O1038"/>
    <hyperlink r:id="rId3286" ref="B1039"/>
    <hyperlink r:id="rId3287" ref="E1039"/>
    <hyperlink r:id="rId3288" ref="O1039"/>
    <hyperlink r:id="rId3289" ref="B1040"/>
    <hyperlink r:id="rId3290" ref="E1040"/>
    <hyperlink r:id="rId3291" ref="O1040"/>
    <hyperlink r:id="rId3292" ref="B1041"/>
    <hyperlink r:id="rId3293" ref="E1041"/>
    <hyperlink r:id="rId3294" ref="O1041"/>
    <hyperlink r:id="rId3295" ref="B1042"/>
    <hyperlink r:id="rId3296" ref="E1042"/>
    <hyperlink r:id="rId3297" ref="O1042"/>
    <hyperlink r:id="rId3298" ref="B1043"/>
    <hyperlink r:id="rId3299" ref="E1043"/>
    <hyperlink r:id="rId3300" ref="O1043"/>
    <hyperlink r:id="rId3301" ref="B1044"/>
    <hyperlink r:id="rId3302" ref="E1044"/>
    <hyperlink r:id="rId3303" ref="O1044"/>
    <hyperlink r:id="rId3304" ref="B1045"/>
    <hyperlink r:id="rId3305" ref="E1045"/>
    <hyperlink r:id="rId3306" ref="O1045"/>
    <hyperlink r:id="rId3307" ref="B1046"/>
    <hyperlink r:id="rId3308" ref="E1046"/>
    <hyperlink r:id="rId3309" ref="O1046"/>
    <hyperlink r:id="rId3310" ref="B1047"/>
    <hyperlink r:id="rId3311" ref="E1047"/>
    <hyperlink r:id="rId3312" ref="O1047"/>
    <hyperlink r:id="rId3313" ref="B1048"/>
    <hyperlink r:id="rId3314" ref="E1048"/>
    <hyperlink r:id="rId3315" ref="O1048"/>
    <hyperlink r:id="rId3316" ref="B1049"/>
    <hyperlink r:id="rId3317" ref="E1049"/>
    <hyperlink r:id="rId3318" ref="O1049"/>
    <hyperlink r:id="rId3319" ref="B1050"/>
    <hyperlink r:id="rId3320" ref="E1050"/>
    <hyperlink r:id="rId3321" ref="O1050"/>
    <hyperlink r:id="rId3322" ref="B1051"/>
    <hyperlink r:id="rId3323" ref="E1051"/>
    <hyperlink r:id="rId3324" ref="O1051"/>
    <hyperlink r:id="rId3325" ref="B1052"/>
    <hyperlink r:id="rId3326" ref="E1052"/>
    <hyperlink r:id="rId3327" ref="O1052"/>
    <hyperlink r:id="rId3328" ref="B1053"/>
    <hyperlink r:id="rId3329" ref="E1053"/>
    <hyperlink r:id="rId3330" ref="O1053"/>
    <hyperlink r:id="rId3331" ref="B1054"/>
    <hyperlink r:id="rId3332" ref="E1054"/>
    <hyperlink r:id="rId3333" ref="O1054"/>
    <hyperlink r:id="rId3334" ref="B1055"/>
    <hyperlink r:id="rId3335" ref="E1055"/>
    <hyperlink r:id="rId3336" ref="O1055"/>
    <hyperlink r:id="rId3337" ref="B1056"/>
    <hyperlink r:id="rId3338" ref="E1056"/>
    <hyperlink r:id="rId3339" ref="O1056"/>
    <hyperlink r:id="rId3340" ref="B1057"/>
    <hyperlink r:id="rId3341" ref="E1057"/>
    <hyperlink r:id="rId3342" ref="O1057"/>
    <hyperlink r:id="rId3343" ref="B1058"/>
    <hyperlink r:id="rId3344" ref="E1058"/>
    <hyperlink r:id="rId3345" ref="O1058"/>
    <hyperlink r:id="rId3346" ref="B1059"/>
    <hyperlink r:id="rId3347" ref="E1059"/>
    <hyperlink r:id="rId3348" ref="O1059"/>
    <hyperlink r:id="rId3349" ref="B1060"/>
    <hyperlink r:id="rId3350" ref="E1060"/>
    <hyperlink r:id="rId3351" ref="O1060"/>
    <hyperlink r:id="rId3352" ref="B1061"/>
    <hyperlink r:id="rId3353" ref="E1061"/>
    <hyperlink r:id="rId3354" ref="O1061"/>
    <hyperlink r:id="rId3355" ref="B1062"/>
    <hyperlink r:id="rId3356" ref="E1062"/>
    <hyperlink r:id="rId3357" ref="O1062"/>
    <hyperlink r:id="rId3358" ref="B1063"/>
    <hyperlink r:id="rId3359" ref="E1063"/>
    <hyperlink r:id="rId3360" ref="O1063"/>
    <hyperlink r:id="rId3361" ref="B1064"/>
    <hyperlink r:id="rId3362" ref="E1064"/>
    <hyperlink r:id="rId3363" ref="O1064"/>
    <hyperlink r:id="rId3364" ref="B1065"/>
    <hyperlink r:id="rId3365" ref="E1065"/>
    <hyperlink r:id="rId3366" ref="O1065"/>
    <hyperlink r:id="rId3367" ref="B1066"/>
    <hyperlink r:id="rId3368" ref="E1066"/>
    <hyperlink r:id="rId3369" ref="O1066"/>
    <hyperlink r:id="rId3370" ref="B1067"/>
    <hyperlink r:id="rId3371" ref="E1067"/>
    <hyperlink r:id="rId3372" ref="O1067"/>
    <hyperlink r:id="rId3373" ref="B1068"/>
    <hyperlink r:id="rId3374" ref="E1068"/>
    <hyperlink r:id="rId3375" ref="O1068"/>
    <hyperlink r:id="rId3376" ref="B1069"/>
    <hyperlink r:id="rId3377" ref="E1069"/>
    <hyperlink r:id="rId3378" ref="O1069"/>
    <hyperlink r:id="rId3379" ref="B1070"/>
    <hyperlink r:id="rId3380" ref="E1070"/>
    <hyperlink r:id="rId3381" ref="O1070"/>
    <hyperlink r:id="rId3382" ref="B1071"/>
    <hyperlink r:id="rId3383" ref="E1071"/>
    <hyperlink r:id="rId3384" ref="O1071"/>
    <hyperlink r:id="rId3385" ref="B1072"/>
    <hyperlink r:id="rId3386" ref="E1072"/>
    <hyperlink r:id="rId3387" ref="F1072"/>
    <hyperlink r:id="rId3388" ref="O1072"/>
    <hyperlink r:id="rId3389" ref="B1073"/>
    <hyperlink r:id="rId3390" ref="E1073"/>
    <hyperlink r:id="rId3391" ref="F1073"/>
    <hyperlink r:id="rId3392" ref="O1073"/>
    <hyperlink r:id="rId3393" ref="B1074"/>
    <hyperlink r:id="rId3394" ref="E1074"/>
    <hyperlink r:id="rId3395" ref="O1074"/>
    <hyperlink r:id="rId3396" ref="B1075"/>
    <hyperlink r:id="rId3397" ref="E1075"/>
    <hyperlink r:id="rId3398" ref="F1075"/>
    <hyperlink r:id="rId3399" ref="O1075"/>
    <hyperlink r:id="rId3400" ref="B1076"/>
    <hyperlink r:id="rId3401" ref="E1076"/>
    <hyperlink r:id="rId3402" ref="O1076"/>
    <hyperlink r:id="rId3403" ref="B1077"/>
    <hyperlink r:id="rId3404" ref="E1077"/>
    <hyperlink r:id="rId3405" ref="O1077"/>
    <hyperlink r:id="rId3406" ref="B1078"/>
    <hyperlink r:id="rId3407" ref="E1078"/>
    <hyperlink r:id="rId3408" ref="O1078"/>
    <hyperlink r:id="rId3409" ref="B1079"/>
    <hyperlink r:id="rId3410" ref="E1079"/>
    <hyperlink r:id="rId3411" ref="O1079"/>
    <hyperlink r:id="rId3412" ref="B1080"/>
    <hyperlink r:id="rId3413" ref="E1080"/>
    <hyperlink r:id="rId3414" ref="O1080"/>
    <hyperlink r:id="rId3415" ref="B1081"/>
    <hyperlink r:id="rId3416" ref="E1081"/>
    <hyperlink r:id="rId3417" ref="O1081"/>
    <hyperlink r:id="rId3418" ref="B1082"/>
    <hyperlink r:id="rId3419" ref="E1082"/>
    <hyperlink r:id="rId3420" ref="O1082"/>
    <hyperlink r:id="rId3421" ref="B1083"/>
    <hyperlink r:id="rId3422" ref="E1083"/>
    <hyperlink r:id="rId3423" ref="O1083"/>
    <hyperlink r:id="rId3424" ref="B1084"/>
    <hyperlink r:id="rId3425" ref="E1084"/>
    <hyperlink r:id="rId3426" ref="O1084"/>
    <hyperlink r:id="rId3427" ref="B1085"/>
    <hyperlink r:id="rId3428" ref="E1085"/>
    <hyperlink r:id="rId3429" ref="O1085"/>
    <hyperlink r:id="rId3430" ref="B1086"/>
    <hyperlink r:id="rId3431" ref="E1086"/>
    <hyperlink r:id="rId3432" ref="O1086"/>
    <hyperlink r:id="rId3433" ref="B1087"/>
    <hyperlink r:id="rId3434" ref="E1087"/>
    <hyperlink r:id="rId3435" ref="O1087"/>
    <hyperlink r:id="rId3436" ref="B1088"/>
    <hyperlink r:id="rId3437" ref="E1088"/>
    <hyperlink r:id="rId3438" ref="F1088"/>
    <hyperlink r:id="rId3439" ref="O1088"/>
    <hyperlink r:id="rId3440" ref="B1089"/>
    <hyperlink r:id="rId3441" ref="E1089"/>
    <hyperlink r:id="rId3442" ref="F1089"/>
    <hyperlink r:id="rId3443" ref="O1089"/>
    <hyperlink r:id="rId3444" ref="B1090"/>
    <hyperlink r:id="rId3445" ref="E1090"/>
    <hyperlink r:id="rId3446" ref="F1090"/>
    <hyperlink r:id="rId3447" ref="O1090"/>
    <hyperlink r:id="rId3448" ref="B1091"/>
    <hyperlink r:id="rId3449" ref="E1091"/>
    <hyperlink r:id="rId3450" ref="F1091"/>
    <hyperlink r:id="rId3451" ref="O1091"/>
    <hyperlink r:id="rId3452" ref="B1092"/>
    <hyperlink r:id="rId3453" ref="E1092"/>
    <hyperlink r:id="rId3454" ref="F1092"/>
    <hyperlink r:id="rId3455" ref="O1092"/>
    <hyperlink r:id="rId3456" ref="B1093"/>
    <hyperlink r:id="rId3457" ref="E1093"/>
    <hyperlink r:id="rId3458" ref="F1093"/>
    <hyperlink r:id="rId3459" ref="O1093"/>
    <hyperlink r:id="rId3460" ref="B1094"/>
    <hyperlink r:id="rId3461" ref="E1094"/>
    <hyperlink r:id="rId3462" ref="F1094"/>
    <hyperlink r:id="rId3463" ref="O1094"/>
    <hyperlink r:id="rId3464" ref="B1095"/>
    <hyperlink r:id="rId3465" ref="E1095"/>
    <hyperlink r:id="rId3466" ref="F1095"/>
    <hyperlink r:id="rId3467" ref="O1095"/>
    <hyperlink r:id="rId3468" ref="B1096"/>
    <hyperlink r:id="rId3469" ref="E1096"/>
    <hyperlink r:id="rId3470" ref="F1096"/>
    <hyperlink r:id="rId3471" ref="O1096"/>
    <hyperlink r:id="rId3472" ref="B1097"/>
    <hyperlink r:id="rId3473" ref="E1097"/>
    <hyperlink r:id="rId3474" ref="F1097"/>
    <hyperlink r:id="rId3475" ref="O1097"/>
    <hyperlink r:id="rId3476" ref="B1098"/>
    <hyperlink r:id="rId3477" ref="E1098"/>
    <hyperlink r:id="rId3478" ref="O1098"/>
    <hyperlink r:id="rId3479" ref="B1099"/>
    <hyperlink r:id="rId3480" ref="E1099"/>
    <hyperlink r:id="rId3481" ref="O1099"/>
    <hyperlink r:id="rId3482" ref="B1100"/>
    <hyperlink r:id="rId3483" ref="E1100"/>
    <hyperlink r:id="rId3484" ref="O1100"/>
    <hyperlink r:id="rId3485" ref="B1101"/>
    <hyperlink r:id="rId3486" ref="E1101"/>
    <hyperlink r:id="rId3487" ref="O1101"/>
    <hyperlink r:id="rId3488" ref="B1102"/>
    <hyperlink r:id="rId3489" ref="E1102"/>
    <hyperlink r:id="rId3490" ref="O1102"/>
    <hyperlink r:id="rId3491" ref="B1103"/>
    <hyperlink r:id="rId3492" ref="E1103"/>
    <hyperlink r:id="rId3493" ref="O1103"/>
    <hyperlink r:id="rId3494" ref="B1104"/>
    <hyperlink r:id="rId3495" ref="E1104"/>
    <hyperlink r:id="rId3496" ref="O1104"/>
    <hyperlink r:id="rId3497" ref="B1105"/>
    <hyperlink r:id="rId3498" ref="E1105"/>
    <hyperlink r:id="rId3499" ref="O1105"/>
    <hyperlink r:id="rId3500" ref="B1106"/>
    <hyperlink r:id="rId3501" ref="E1106"/>
    <hyperlink r:id="rId3502" ref="O1106"/>
    <hyperlink r:id="rId3503" ref="B1107"/>
    <hyperlink r:id="rId3504" ref="E1107"/>
    <hyperlink r:id="rId3505" ref="O1107"/>
    <hyperlink r:id="rId3506" ref="B1108"/>
    <hyperlink r:id="rId3507" ref="E1108"/>
    <hyperlink r:id="rId3508" ref="O1108"/>
    <hyperlink r:id="rId3509" ref="B1109"/>
    <hyperlink r:id="rId3510" ref="E1109"/>
    <hyperlink r:id="rId3511" ref="O1109"/>
    <hyperlink r:id="rId3512" ref="B1110"/>
    <hyperlink r:id="rId3513" ref="E1110"/>
    <hyperlink r:id="rId3514" ref="O1110"/>
    <hyperlink r:id="rId3515" ref="B1111"/>
    <hyperlink r:id="rId3516" ref="E1111"/>
    <hyperlink r:id="rId3517" ref="O1111"/>
    <hyperlink r:id="rId3518" ref="B1112"/>
    <hyperlink r:id="rId3519" ref="E1112"/>
    <hyperlink r:id="rId3520" ref="O1112"/>
    <hyperlink r:id="rId3521" ref="B1113"/>
    <hyperlink r:id="rId3522" ref="E1113"/>
    <hyperlink r:id="rId3523" ref="O1113"/>
    <hyperlink r:id="rId3524" ref="B1114"/>
    <hyperlink r:id="rId3525" ref="E1114"/>
    <hyperlink r:id="rId3526" ref="O1114"/>
    <hyperlink r:id="rId3527" ref="B1115"/>
    <hyperlink r:id="rId3528" ref="E1115"/>
    <hyperlink r:id="rId3529" ref="O1115"/>
    <hyperlink r:id="rId3530" ref="B1116"/>
    <hyperlink r:id="rId3531" ref="E1116"/>
    <hyperlink r:id="rId3532" ref="O1116"/>
    <hyperlink r:id="rId3533" ref="B1117"/>
    <hyperlink r:id="rId3534" ref="E1117"/>
    <hyperlink r:id="rId3535" ref="O1117"/>
    <hyperlink r:id="rId3536" ref="B1118"/>
    <hyperlink r:id="rId3537" ref="E1118"/>
    <hyperlink r:id="rId3538" ref="O1118"/>
    <hyperlink r:id="rId3539" ref="B1119"/>
    <hyperlink r:id="rId3540" ref="E1119"/>
    <hyperlink r:id="rId3541" ref="O1119"/>
    <hyperlink r:id="rId3542" ref="B1120"/>
    <hyperlink r:id="rId3543" ref="E1120"/>
    <hyperlink r:id="rId3544" ref="O1120"/>
    <hyperlink r:id="rId3545" ref="B1121"/>
    <hyperlink r:id="rId3546" ref="E1121"/>
    <hyperlink r:id="rId3547" ref="O1121"/>
    <hyperlink r:id="rId3548" ref="B1122"/>
    <hyperlink r:id="rId3549" ref="E1122"/>
    <hyperlink r:id="rId3550" ref="O1122"/>
    <hyperlink r:id="rId3551" ref="B1123"/>
    <hyperlink r:id="rId3552" ref="E1123"/>
    <hyperlink r:id="rId3553" ref="O1123"/>
    <hyperlink r:id="rId3554" ref="B1124"/>
    <hyperlink r:id="rId3555" ref="E1124"/>
    <hyperlink r:id="rId3556" ref="O1124"/>
    <hyperlink r:id="rId3557" ref="B1125"/>
    <hyperlink r:id="rId3558" ref="E1125"/>
    <hyperlink r:id="rId3559" ref="O1125"/>
    <hyperlink r:id="rId3560" ref="B1126"/>
    <hyperlink r:id="rId3561" ref="E1126"/>
    <hyperlink r:id="rId3562" ref="O1126"/>
    <hyperlink r:id="rId3563" ref="B1127"/>
    <hyperlink r:id="rId3564" ref="E1127"/>
    <hyperlink r:id="rId3565" ref="O1127"/>
    <hyperlink r:id="rId3566" ref="B1128"/>
    <hyperlink r:id="rId3567" ref="E1128"/>
    <hyperlink r:id="rId3568" ref="O1128"/>
    <hyperlink r:id="rId3569" ref="B1129"/>
    <hyperlink r:id="rId3570" ref="E1129"/>
    <hyperlink r:id="rId3571" ref="O1129"/>
    <hyperlink r:id="rId3572" ref="B1130"/>
    <hyperlink r:id="rId3573" ref="E1130"/>
    <hyperlink r:id="rId3574" ref="O1130"/>
    <hyperlink r:id="rId3575" ref="B1131"/>
    <hyperlink r:id="rId3576" ref="E1131"/>
    <hyperlink r:id="rId3577" ref="O1131"/>
    <hyperlink r:id="rId3578" ref="B1132"/>
    <hyperlink r:id="rId3579" ref="E1132"/>
    <hyperlink r:id="rId3580" ref="O1132"/>
    <hyperlink r:id="rId3581" ref="B1133"/>
    <hyperlink r:id="rId3582" ref="E1133"/>
    <hyperlink r:id="rId3583" ref="O1133"/>
    <hyperlink r:id="rId3584" ref="B1134"/>
    <hyperlink r:id="rId3585" ref="E1134"/>
    <hyperlink r:id="rId3586" ref="O1134"/>
    <hyperlink r:id="rId3587" ref="B1135"/>
    <hyperlink r:id="rId3588" ref="E1135"/>
    <hyperlink r:id="rId3589" ref="O1135"/>
    <hyperlink r:id="rId3590" ref="B1136"/>
    <hyperlink r:id="rId3591" ref="E1136"/>
    <hyperlink r:id="rId3592" ref="O1136"/>
    <hyperlink r:id="rId3593" ref="B1137"/>
    <hyperlink r:id="rId3594" ref="E1137"/>
    <hyperlink r:id="rId3595" ref="O1137"/>
    <hyperlink r:id="rId3596" ref="B1138"/>
    <hyperlink r:id="rId3597" ref="E1138"/>
    <hyperlink r:id="rId3598" ref="O1138"/>
    <hyperlink r:id="rId3599" ref="B1139"/>
    <hyperlink r:id="rId3600" ref="E1139"/>
    <hyperlink r:id="rId3601" ref="O1139"/>
    <hyperlink r:id="rId3602" ref="B1140"/>
    <hyperlink r:id="rId3603" ref="E1140"/>
    <hyperlink r:id="rId3604" ref="O1140"/>
    <hyperlink r:id="rId3605" ref="B1141"/>
    <hyperlink r:id="rId3606" ref="E1141"/>
    <hyperlink r:id="rId3607" ref="O1141"/>
    <hyperlink r:id="rId3608" ref="B1142"/>
    <hyperlink r:id="rId3609" ref="E1142"/>
    <hyperlink r:id="rId3610" ref="O1142"/>
    <hyperlink r:id="rId3611" ref="B1143"/>
    <hyperlink r:id="rId3612" ref="E1143"/>
    <hyperlink r:id="rId3613" ref="O1143"/>
    <hyperlink r:id="rId3614" ref="B1144"/>
    <hyperlink r:id="rId3615" ref="E1144"/>
    <hyperlink r:id="rId3616" ref="O1144"/>
    <hyperlink r:id="rId3617" ref="B1145"/>
    <hyperlink r:id="rId3618" ref="E1145"/>
    <hyperlink r:id="rId3619" ref="O1145"/>
    <hyperlink r:id="rId3620" ref="B1146"/>
    <hyperlink r:id="rId3621" ref="E1146"/>
    <hyperlink r:id="rId3622" ref="O1146"/>
    <hyperlink r:id="rId3623" ref="B1147"/>
    <hyperlink r:id="rId3624" ref="E1147"/>
    <hyperlink r:id="rId3625" ref="O1147"/>
    <hyperlink r:id="rId3626" ref="B1148"/>
    <hyperlink r:id="rId3627" ref="E1148"/>
    <hyperlink r:id="rId3628" ref="O1148"/>
    <hyperlink r:id="rId3629" ref="B1149"/>
    <hyperlink r:id="rId3630" ref="E1149"/>
    <hyperlink r:id="rId3631" ref="O1149"/>
    <hyperlink r:id="rId3632" ref="B1150"/>
    <hyperlink r:id="rId3633" ref="E1150"/>
    <hyperlink r:id="rId3634" ref="O1150"/>
    <hyperlink r:id="rId3635" ref="B1151"/>
    <hyperlink r:id="rId3636" ref="E1151"/>
    <hyperlink r:id="rId3637" ref="O1151"/>
    <hyperlink r:id="rId3638" ref="B1152"/>
    <hyperlink r:id="rId3639" ref="E1152"/>
    <hyperlink r:id="rId3640" ref="O1152"/>
    <hyperlink r:id="rId3641" ref="B1153"/>
    <hyperlink r:id="rId3642" ref="C1153"/>
    <hyperlink r:id="rId3643" ref="E1153"/>
    <hyperlink r:id="rId3644" ref="O1153"/>
    <hyperlink r:id="rId3645" ref="B1154"/>
    <hyperlink r:id="rId3646" ref="E1154"/>
    <hyperlink r:id="rId3647" ref="O1154"/>
    <hyperlink r:id="rId3648" ref="B1155"/>
    <hyperlink r:id="rId3649" ref="E1155"/>
    <hyperlink r:id="rId3650" ref="O1155"/>
    <hyperlink r:id="rId3651" ref="B1156"/>
    <hyperlink r:id="rId3652" ref="E1156"/>
    <hyperlink r:id="rId3653" ref="F1156"/>
    <hyperlink r:id="rId3654" ref="O1156"/>
    <hyperlink r:id="rId3655" ref="B1157"/>
    <hyperlink r:id="rId3656" ref="C1157"/>
    <hyperlink r:id="rId3657" ref="E1157"/>
    <hyperlink r:id="rId3658" ref="F1157"/>
    <hyperlink r:id="rId3659" ref="O1157"/>
    <hyperlink r:id="rId3660" ref="B1158"/>
    <hyperlink r:id="rId3661" ref="E1158"/>
    <hyperlink r:id="rId3662" ref="O1158"/>
    <hyperlink r:id="rId3663" ref="B1159"/>
    <hyperlink r:id="rId3664" ref="E1159"/>
    <hyperlink r:id="rId3665" ref="O1159"/>
    <hyperlink r:id="rId3666" ref="B1160"/>
    <hyperlink r:id="rId3667" ref="E1160"/>
    <hyperlink r:id="rId3668" ref="O1160"/>
    <hyperlink r:id="rId3669" ref="B1161"/>
    <hyperlink r:id="rId3670" ref="E1161"/>
    <hyperlink r:id="rId3671" ref="O1161"/>
    <hyperlink r:id="rId3672" ref="B1162"/>
    <hyperlink r:id="rId3673" ref="E1162"/>
    <hyperlink r:id="rId3674" ref="F1162"/>
    <hyperlink r:id="rId3675" ref="O1162"/>
    <hyperlink r:id="rId3676" ref="B1163"/>
    <hyperlink r:id="rId3677" ref="E1163"/>
    <hyperlink r:id="rId3678" ref="O1163"/>
    <hyperlink r:id="rId3679" ref="B1164"/>
    <hyperlink r:id="rId3680" ref="E1164"/>
    <hyperlink r:id="rId3681" ref="O1164"/>
    <hyperlink r:id="rId3682" ref="B1165"/>
    <hyperlink r:id="rId3683" ref="E1165"/>
    <hyperlink r:id="rId3684" ref="O1165"/>
    <hyperlink r:id="rId3685" ref="B1166"/>
    <hyperlink r:id="rId3686" ref="E1166"/>
    <hyperlink r:id="rId3687" ref="O1166"/>
    <hyperlink r:id="rId3688" ref="B1167"/>
    <hyperlink r:id="rId3689" ref="E1167"/>
    <hyperlink r:id="rId3690" ref="O1167"/>
    <hyperlink r:id="rId3691" ref="B1168"/>
    <hyperlink r:id="rId3692" ref="E1168"/>
    <hyperlink r:id="rId3693" ref="O1168"/>
    <hyperlink r:id="rId3694" ref="B1169"/>
    <hyperlink r:id="rId3695" ref="E1169"/>
    <hyperlink r:id="rId3696" ref="O1169"/>
    <hyperlink r:id="rId3697" ref="B1170"/>
    <hyperlink r:id="rId3698" ref="E1170"/>
    <hyperlink r:id="rId3699" ref="O1170"/>
    <hyperlink r:id="rId3700" ref="B1171"/>
    <hyperlink r:id="rId3701" ref="E1171"/>
    <hyperlink r:id="rId3702" ref="O1171"/>
    <hyperlink r:id="rId3703" ref="B1172"/>
    <hyperlink r:id="rId3704" ref="E1172"/>
    <hyperlink r:id="rId3705" ref="O1172"/>
    <hyperlink r:id="rId3706" ref="B1173"/>
    <hyperlink r:id="rId3707" ref="E1173"/>
    <hyperlink r:id="rId3708" ref="O1173"/>
    <hyperlink r:id="rId3709" ref="B1174"/>
    <hyperlink r:id="rId3710" ref="E1174"/>
    <hyperlink r:id="rId3711" ref="O1174"/>
    <hyperlink r:id="rId3712" ref="B1175"/>
    <hyperlink r:id="rId3713" ref="E1175"/>
    <hyperlink r:id="rId3714" ref="O1175"/>
    <hyperlink r:id="rId3715" ref="B1176"/>
    <hyperlink r:id="rId3716" ref="C1176"/>
    <hyperlink r:id="rId3717" ref="E1176"/>
    <hyperlink r:id="rId3718" ref="O1176"/>
    <hyperlink r:id="rId3719" ref="B1177"/>
    <hyperlink r:id="rId3720" ref="E1177"/>
    <hyperlink r:id="rId3721" ref="F1177"/>
    <hyperlink r:id="rId3722" ref="O1177"/>
    <hyperlink r:id="rId3723" ref="B1178"/>
    <hyperlink r:id="rId3724" ref="E1178"/>
    <hyperlink r:id="rId3725" ref="F1178"/>
    <hyperlink r:id="rId3726" ref="O1178"/>
    <hyperlink r:id="rId3727" ref="B1179"/>
    <hyperlink r:id="rId3728" ref="E1179"/>
    <hyperlink r:id="rId3729" ref="F1179"/>
    <hyperlink r:id="rId3730" ref="O1179"/>
    <hyperlink r:id="rId3731" ref="B1180"/>
    <hyperlink r:id="rId3732" ref="E1180"/>
    <hyperlink r:id="rId3733" ref="F1180"/>
    <hyperlink r:id="rId3734" ref="O1180"/>
    <hyperlink r:id="rId3735" ref="B1181"/>
    <hyperlink r:id="rId3736" ref="E1181"/>
    <hyperlink r:id="rId3737" ref="O1181"/>
    <hyperlink r:id="rId3738" ref="B1182"/>
    <hyperlink r:id="rId3739" ref="E1182"/>
    <hyperlink r:id="rId3740" ref="O1182"/>
    <hyperlink r:id="rId3741" location="25.78973351,-80.26927912" ref="P1182"/>
    <hyperlink r:id="rId3742" ref="B1183"/>
    <hyperlink r:id="rId3743" ref="E1183"/>
    <hyperlink r:id="rId3744" ref="O1183"/>
    <hyperlink r:id="rId3745" ref="B1184"/>
    <hyperlink r:id="rId3746" ref="E1184"/>
    <hyperlink r:id="rId3747" ref="O1184"/>
    <hyperlink r:id="rId3748" ref="B1185"/>
    <hyperlink r:id="rId3749" ref="E1185"/>
    <hyperlink r:id="rId3750" ref="O1185"/>
    <hyperlink r:id="rId3751" ref="B1186"/>
    <hyperlink r:id="rId3752" ref="E1186"/>
    <hyperlink r:id="rId3753" ref="O1186"/>
    <hyperlink r:id="rId3754" ref="B1187"/>
    <hyperlink r:id="rId3755" ref="E1187"/>
    <hyperlink r:id="rId3756" ref="O1187"/>
    <hyperlink r:id="rId3757" ref="B1188"/>
    <hyperlink r:id="rId3758" ref="E1188"/>
    <hyperlink r:id="rId3759" ref="F1188"/>
    <hyperlink r:id="rId3760" ref="O1188"/>
    <hyperlink r:id="rId3761" ref="B1189"/>
    <hyperlink r:id="rId3762" ref="E1189"/>
    <hyperlink r:id="rId3763" ref="O1189"/>
    <hyperlink r:id="rId3764" ref="B1190"/>
    <hyperlink r:id="rId3765" ref="E1190"/>
    <hyperlink r:id="rId3766" ref="O1190"/>
    <hyperlink r:id="rId3767" ref="B1191"/>
    <hyperlink r:id="rId3768" ref="E1191"/>
    <hyperlink r:id="rId3769" ref="O1191"/>
    <hyperlink r:id="rId3770" ref="B1192"/>
    <hyperlink r:id="rId3771" ref="C1192"/>
    <hyperlink r:id="rId3772" ref="E1192"/>
    <hyperlink r:id="rId3773" ref="O1192"/>
    <hyperlink r:id="rId3774" ref="B1193"/>
    <hyperlink r:id="rId3775" ref="E1193"/>
    <hyperlink r:id="rId3776" ref="O1193"/>
    <hyperlink r:id="rId3777" ref="B1194"/>
    <hyperlink r:id="rId3778" ref="E1194"/>
    <hyperlink r:id="rId3779" ref="O1194"/>
    <hyperlink r:id="rId3780" ref="B1195"/>
    <hyperlink r:id="rId3781" ref="E1195"/>
    <hyperlink r:id="rId3782" ref="O1195"/>
    <hyperlink r:id="rId3783" ref="B1196"/>
    <hyperlink r:id="rId3784" ref="E1196"/>
    <hyperlink r:id="rId3785" ref="O1196"/>
    <hyperlink r:id="rId3786" ref="B1197"/>
    <hyperlink r:id="rId3787" ref="E1197"/>
    <hyperlink r:id="rId3788" ref="O1197"/>
    <hyperlink r:id="rId3789" ref="B1198"/>
    <hyperlink r:id="rId3790" ref="E1198"/>
    <hyperlink r:id="rId3791" ref="O1198"/>
    <hyperlink r:id="rId3792" ref="B1199"/>
    <hyperlink r:id="rId3793" ref="E1199"/>
    <hyperlink r:id="rId3794" ref="O1199"/>
    <hyperlink r:id="rId3795" ref="B1200"/>
    <hyperlink r:id="rId3796" ref="E1200"/>
    <hyperlink r:id="rId3797" ref="O1200"/>
    <hyperlink r:id="rId3798" ref="B1201"/>
    <hyperlink r:id="rId3799" ref="E1201"/>
    <hyperlink r:id="rId3800" ref="F1201"/>
    <hyperlink r:id="rId3801" ref="O1201"/>
    <hyperlink r:id="rId3802" ref="B1202"/>
    <hyperlink r:id="rId3803" ref="E1202"/>
    <hyperlink r:id="rId3804" ref="O1202"/>
    <hyperlink r:id="rId3805" ref="B1203"/>
    <hyperlink r:id="rId3806" ref="E1203"/>
    <hyperlink r:id="rId3807" ref="O1203"/>
    <hyperlink r:id="rId3808" ref="B1204"/>
    <hyperlink r:id="rId3809" ref="E1204"/>
    <hyperlink r:id="rId3810" ref="O1204"/>
    <hyperlink r:id="rId3811" ref="B1205"/>
    <hyperlink r:id="rId3812" ref="E1205"/>
    <hyperlink r:id="rId3813" ref="O1205"/>
    <hyperlink r:id="rId3814" ref="B1206"/>
    <hyperlink r:id="rId3815" ref="E1206"/>
    <hyperlink r:id="rId3816" ref="O1206"/>
    <hyperlink r:id="rId3817" ref="B1207"/>
    <hyperlink r:id="rId3818" ref="E1207"/>
    <hyperlink r:id="rId3819" ref="O1207"/>
    <hyperlink r:id="rId3820" ref="B1208"/>
    <hyperlink r:id="rId3821" ref="E1208"/>
    <hyperlink r:id="rId3822" ref="O1208"/>
    <hyperlink r:id="rId3823" ref="B1209"/>
    <hyperlink r:id="rId3824" ref="E1209"/>
    <hyperlink r:id="rId3825" ref="O1209"/>
    <hyperlink r:id="rId3826" ref="B1210"/>
    <hyperlink r:id="rId3827" ref="E1210"/>
    <hyperlink r:id="rId3828" ref="O1210"/>
    <hyperlink r:id="rId3829" ref="B1211"/>
    <hyperlink r:id="rId3830" ref="E1211"/>
    <hyperlink r:id="rId3831" ref="O1211"/>
    <hyperlink r:id="rId3832" ref="B1212"/>
    <hyperlink r:id="rId3833" ref="E1212"/>
    <hyperlink r:id="rId3834" ref="F1212"/>
    <hyperlink r:id="rId3835" ref="O1212"/>
    <hyperlink r:id="rId3836" ref="B1213"/>
    <hyperlink r:id="rId3837" ref="E1213"/>
    <hyperlink r:id="rId3838" ref="F1213"/>
    <hyperlink r:id="rId3839" ref="O1213"/>
    <hyperlink r:id="rId3840" ref="B1214"/>
    <hyperlink r:id="rId3841" ref="E1214"/>
    <hyperlink r:id="rId3842" ref="F1214"/>
    <hyperlink r:id="rId3843" ref="O1214"/>
    <hyperlink r:id="rId3844" ref="B1215"/>
    <hyperlink r:id="rId3845" ref="E1215"/>
    <hyperlink r:id="rId3846" ref="F1215"/>
    <hyperlink r:id="rId3847" ref="O1215"/>
    <hyperlink r:id="rId3848" ref="B1216"/>
    <hyperlink r:id="rId3849" ref="E1216"/>
    <hyperlink r:id="rId3850" ref="F1216"/>
    <hyperlink r:id="rId3851" ref="O1216"/>
    <hyperlink r:id="rId3852" ref="B1217"/>
    <hyperlink r:id="rId3853" ref="E1217"/>
    <hyperlink r:id="rId3854" ref="F1217"/>
    <hyperlink r:id="rId3855" ref="O1217"/>
    <hyperlink r:id="rId3856" ref="B1218"/>
    <hyperlink r:id="rId3857" ref="E1218"/>
    <hyperlink r:id="rId3858" ref="F1218"/>
    <hyperlink r:id="rId3859" ref="O1218"/>
    <hyperlink r:id="rId3860" ref="B1219"/>
    <hyperlink r:id="rId3861" ref="E1219"/>
    <hyperlink r:id="rId3862" ref="F1219"/>
    <hyperlink r:id="rId3863" ref="O1219"/>
    <hyperlink r:id="rId3864" ref="B1220"/>
    <hyperlink r:id="rId3865" ref="E1220"/>
    <hyperlink r:id="rId3866" ref="O1220"/>
    <hyperlink r:id="rId3867" ref="B1221"/>
    <hyperlink r:id="rId3868" ref="E1221"/>
    <hyperlink r:id="rId3869" ref="O1221"/>
    <hyperlink r:id="rId3870" ref="B1222"/>
    <hyperlink r:id="rId3871" ref="E1222"/>
    <hyperlink r:id="rId3872" ref="O1222"/>
    <hyperlink r:id="rId3873" ref="B1223"/>
    <hyperlink r:id="rId3874" ref="E1223"/>
    <hyperlink r:id="rId3875" ref="O1223"/>
    <hyperlink r:id="rId3876" ref="B1224"/>
    <hyperlink r:id="rId3877" ref="E1224"/>
    <hyperlink r:id="rId3878" ref="O1224"/>
    <hyperlink r:id="rId3879" ref="B1225"/>
    <hyperlink r:id="rId3880" ref="E1225"/>
    <hyperlink r:id="rId3881" ref="O1225"/>
    <hyperlink r:id="rId3882" ref="B1226"/>
    <hyperlink r:id="rId3883" ref="E1226"/>
    <hyperlink r:id="rId3884" ref="O1226"/>
    <hyperlink r:id="rId3885" ref="B1227"/>
    <hyperlink r:id="rId3886" ref="E1227"/>
    <hyperlink r:id="rId3887" ref="O1227"/>
    <hyperlink r:id="rId3888" ref="B1228"/>
    <hyperlink r:id="rId3889" ref="E1228"/>
    <hyperlink r:id="rId3890" ref="O1228"/>
    <hyperlink r:id="rId3891" ref="B1229"/>
    <hyperlink r:id="rId3892" ref="E1229"/>
    <hyperlink r:id="rId3893" ref="O1229"/>
    <hyperlink r:id="rId3894" ref="B1230"/>
    <hyperlink r:id="rId3895" ref="E1230"/>
    <hyperlink r:id="rId3896" ref="O1230"/>
    <hyperlink r:id="rId3897" ref="B1231"/>
    <hyperlink r:id="rId3898" ref="E1231"/>
    <hyperlink r:id="rId3899" ref="O1231"/>
    <hyperlink r:id="rId3900" ref="B1232"/>
    <hyperlink r:id="rId3901" ref="C1232"/>
    <hyperlink r:id="rId3902" ref="E1232"/>
    <hyperlink r:id="rId3903" ref="O1232"/>
    <hyperlink r:id="rId3904" ref="B1233"/>
    <hyperlink r:id="rId3905" ref="E1233"/>
    <hyperlink r:id="rId3906" ref="O1233"/>
    <hyperlink r:id="rId3907" ref="B1234"/>
    <hyperlink r:id="rId3908" ref="E1234"/>
    <hyperlink r:id="rId3909" ref="O1234"/>
    <hyperlink r:id="rId3910" ref="B1235"/>
    <hyperlink r:id="rId3911" ref="E1235"/>
    <hyperlink r:id="rId3912" ref="O1235"/>
    <hyperlink r:id="rId3913" ref="B1236"/>
    <hyperlink r:id="rId3914" ref="E1236"/>
    <hyperlink r:id="rId3915" ref="O1236"/>
    <hyperlink r:id="rId3916" ref="B1237"/>
    <hyperlink r:id="rId3917" ref="E1237"/>
    <hyperlink r:id="rId3918" ref="O1237"/>
    <hyperlink r:id="rId3919" ref="B1238"/>
    <hyperlink r:id="rId3920" ref="E1238"/>
    <hyperlink r:id="rId3921" ref="O1238"/>
    <hyperlink r:id="rId3922" ref="B1239"/>
    <hyperlink r:id="rId3923" ref="E1239"/>
    <hyperlink r:id="rId3924" ref="O1239"/>
    <hyperlink r:id="rId3925" ref="B1240"/>
    <hyperlink r:id="rId3926" ref="E1240"/>
    <hyperlink r:id="rId3927" ref="O1240"/>
    <hyperlink r:id="rId3928" ref="B1241"/>
    <hyperlink r:id="rId3929" ref="E1241"/>
    <hyperlink r:id="rId3930" ref="O1241"/>
    <hyperlink r:id="rId3931" ref="B1242"/>
    <hyperlink r:id="rId3932" ref="E1242"/>
    <hyperlink r:id="rId3933" ref="O1242"/>
    <hyperlink r:id="rId3934" ref="B1243"/>
    <hyperlink r:id="rId3935" ref="E1243"/>
    <hyperlink r:id="rId3936" ref="O1243"/>
    <hyperlink r:id="rId3937" ref="B1244"/>
    <hyperlink r:id="rId3938" ref="E1244"/>
    <hyperlink r:id="rId3939" ref="O1244"/>
    <hyperlink r:id="rId3940" ref="B1245"/>
    <hyperlink r:id="rId3941" ref="E1245"/>
    <hyperlink r:id="rId3942" ref="O1245"/>
    <hyperlink r:id="rId3943" ref="B1246"/>
    <hyperlink r:id="rId3944" ref="E1246"/>
    <hyperlink r:id="rId3945" ref="O1246"/>
    <hyperlink r:id="rId3946" ref="B1247"/>
    <hyperlink r:id="rId3947" ref="E1247"/>
    <hyperlink r:id="rId3948" ref="O1247"/>
    <hyperlink r:id="rId3949" ref="B1248"/>
    <hyperlink r:id="rId3950" ref="E1248"/>
    <hyperlink r:id="rId3951" ref="O1248"/>
    <hyperlink r:id="rId3952" ref="B1249"/>
    <hyperlink r:id="rId3953" ref="E1249"/>
    <hyperlink r:id="rId3954" ref="O1249"/>
    <hyperlink r:id="rId3955" ref="B1250"/>
    <hyperlink r:id="rId3956" ref="C1250"/>
    <hyperlink r:id="rId3957" ref="E1250"/>
    <hyperlink r:id="rId3958" ref="O1250"/>
    <hyperlink r:id="rId3959" ref="B1251"/>
    <hyperlink r:id="rId3960" ref="E1251"/>
    <hyperlink r:id="rId3961" ref="O1251"/>
    <hyperlink r:id="rId3962" ref="B1252"/>
    <hyperlink r:id="rId3963" ref="E1252"/>
    <hyperlink r:id="rId3964" ref="O1252"/>
    <hyperlink r:id="rId3965" ref="B1253"/>
    <hyperlink r:id="rId3966" ref="E1253"/>
    <hyperlink r:id="rId3967" ref="O1253"/>
    <hyperlink r:id="rId3968" ref="B1254"/>
    <hyperlink r:id="rId3969" ref="E1254"/>
    <hyperlink r:id="rId3970" ref="O1254"/>
    <hyperlink r:id="rId3971" ref="B1255"/>
    <hyperlink r:id="rId3972" ref="E1255"/>
    <hyperlink r:id="rId3973" ref="O1255"/>
    <hyperlink r:id="rId3974" ref="B1256"/>
    <hyperlink r:id="rId3975" ref="E1256"/>
    <hyperlink r:id="rId3976" ref="O1256"/>
    <hyperlink r:id="rId3977" ref="B1257"/>
    <hyperlink r:id="rId3978" ref="E1257"/>
    <hyperlink r:id="rId3979" ref="O1257"/>
    <hyperlink r:id="rId3980" ref="B1258"/>
    <hyperlink r:id="rId3981" ref="E1258"/>
    <hyperlink r:id="rId3982" ref="O1258"/>
    <hyperlink r:id="rId3983" ref="B1259"/>
    <hyperlink r:id="rId3984" ref="E1259"/>
    <hyperlink r:id="rId3985" ref="O1259"/>
    <hyperlink r:id="rId3986" ref="B1260"/>
    <hyperlink r:id="rId3987" ref="E1260"/>
    <hyperlink r:id="rId3988" ref="O1260"/>
    <hyperlink r:id="rId3989" ref="B1261"/>
    <hyperlink r:id="rId3990" ref="E1261"/>
    <hyperlink r:id="rId3991" ref="O1261"/>
    <hyperlink r:id="rId3992" ref="B1262"/>
    <hyperlink r:id="rId3993" ref="E1262"/>
    <hyperlink r:id="rId3994" ref="O1262"/>
    <hyperlink r:id="rId3995" ref="B1263"/>
    <hyperlink r:id="rId3996" ref="E1263"/>
    <hyperlink r:id="rId3997" ref="O1263"/>
    <hyperlink r:id="rId3998" ref="B1264"/>
    <hyperlink r:id="rId3999" ref="E1264"/>
    <hyperlink r:id="rId4000" ref="O1264"/>
    <hyperlink r:id="rId4001" ref="B1265"/>
    <hyperlink r:id="rId4002" ref="E1265"/>
    <hyperlink r:id="rId4003" ref="O1265"/>
    <hyperlink r:id="rId4004" ref="B1266"/>
    <hyperlink r:id="rId4005" ref="E1266"/>
    <hyperlink r:id="rId4006" ref="O1266"/>
    <hyperlink r:id="rId4007" ref="B1267"/>
    <hyperlink r:id="rId4008" ref="E1267"/>
    <hyperlink r:id="rId4009" ref="O1267"/>
    <hyperlink r:id="rId4010" ref="B1268"/>
    <hyperlink r:id="rId4011" ref="E1268"/>
    <hyperlink r:id="rId4012" ref="O1268"/>
    <hyperlink r:id="rId4013" ref="B1269"/>
    <hyperlink r:id="rId4014" ref="E1269"/>
    <hyperlink r:id="rId4015" ref="O1269"/>
    <hyperlink r:id="rId4016" ref="B1270"/>
    <hyperlink r:id="rId4017" ref="E1270"/>
    <hyperlink r:id="rId4018" ref="O1270"/>
    <hyperlink r:id="rId4019" ref="B1271"/>
    <hyperlink r:id="rId4020" ref="E1271"/>
    <hyperlink r:id="rId4021" ref="O1271"/>
    <hyperlink r:id="rId4022" ref="B1272"/>
    <hyperlink r:id="rId4023" ref="E1272"/>
    <hyperlink r:id="rId4024" ref="O1272"/>
    <hyperlink r:id="rId4025" ref="B1273"/>
    <hyperlink r:id="rId4026" ref="E1273"/>
    <hyperlink r:id="rId4027" ref="O1273"/>
    <hyperlink r:id="rId4028" ref="B1274"/>
    <hyperlink r:id="rId4029" ref="E1274"/>
    <hyperlink r:id="rId4030" ref="O1274"/>
    <hyperlink r:id="rId4031" ref="B1275"/>
    <hyperlink r:id="rId4032" ref="E1275"/>
    <hyperlink r:id="rId4033" ref="O1275"/>
    <hyperlink r:id="rId4034" ref="B1276"/>
    <hyperlink r:id="rId4035" ref="E1276"/>
    <hyperlink r:id="rId4036" ref="O1276"/>
    <hyperlink r:id="rId4037" ref="B1277"/>
    <hyperlink r:id="rId4038" ref="E1277"/>
    <hyperlink r:id="rId4039" ref="O1277"/>
    <hyperlink r:id="rId4040" ref="B1278"/>
    <hyperlink r:id="rId4041" ref="E1278"/>
    <hyperlink r:id="rId4042" ref="O1278"/>
    <hyperlink r:id="rId4043" ref="B1279"/>
    <hyperlink r:id="rId4044" ref="E1279"/>
    <hyperlink r:id="rId4045" ref="O1279"/>
    <hyperlink r:id="rId4046" ref="B1280"/>
    <hyperlink r:id="rId4047" ref="E1280"/>
    <hyperlink r:id="rId4048" ref="O1280"/>
    <hyperlink r:id="rId4049" ref="B1281"/>
    <hyperlink r:id="rId4050" ref="E1281"/>
    <hyperlink r:id="rId4051" ref="O1281"/>
    <hyperlink r:id="rId4052" ref="B1282"/>
    <hyperlink r:id="rId4053" ref="E1282"/>
    <hyperlink r:id="rId4054" ref="O1282"/>
    <hyperlink r:id="rId4055" ref="B1283"/>
    <hyperlink r:id="rId4056" ref="E1283"/>
    <hyperlink r:id="rId4057" ref="O1283"/>
    <hyperlink r:id="rId4058" ref="B1284"/>
    <hyperlink r:id="rId4059" ref="E1284"/>
    <hyperlink r:id="rId4060" ref="O1284"/>
    <hyperlink r:id="rId4061" ref="B1285"/>
    <hyperlink r:id="rId4062" ref="E1285"/>
    <hyperlink r:id="rId4063" ref="O1285"/>
    <hyperlink r:id="rId4064" ref="B1286"/>
    <hyperlink r:id="rId4065" ref="E1286"/>
    <hyperlink r:id="rId4066" ref="O1286"/>
    <hyperlink r:id="rId4067" ref="B1287"/>
    <hyperlink r:id="rId4068" ref="E1287"/>
    <hyperlink r:id="rId4069" ref="O1287"/>
    <hyperlink r:id="rId4070" ref="B1288"/>
    <hyperlink r:id="rId4071" ref="E1288"/>
    <hyperlink r:id="rId4072" ref="O1288"/>
    <hyperlink r:id="rId4073" ref="B1289"/>
    <hyperlink r:id="rId4074" ref="E1289"/>
    <hyperlink r:id="rId4075" ref="O1289"/>
    <hyperlink r:id="rId4076" ref="B1290"/>
    <hyperlink r:id="rId4077" ref="E1290"/>
    <hyperlink r:id="rId4078" ref="O1290"/>
    <hyperlink r:id="rId4079" ref="B1291"/>
    <hyperlink r:id="rId4080" ref="E1291"/>
    <hyperlink r:id="rId4081" ref="O1291"/>
    <hyperlink r:id="rId4082" ref="B1292"/>
    <hyperlink r:id="rId4083" ref="E1292"/>
    <hyperlink r:id="rId4084" ref="O1292"/>
    <hyperlink r:id="rId4085" ref="B1293"/>
    <hyperlink r:id="rId4086" ref="E1293"/>
    <hyperlink r:id="rId4087" ref="O1293"/>
    <hyperlink r:id="rId4088" ref="B1294"/>
    <hyperlink r:id="rId4089" ref="E1294"/>
    <hyperlink r:id="rId4090" ref="O1294"/>
    <hyperlink r:id="rId4091" ref="B1295"/>
    <hyperlink r:id="rId4092" ref="E1295"/>
    <hyperlink r:id="rId4093" ref="O1295"/>
    <hyperlink r:id="rId4094" ref="B1296"/>
    <hyperlink r:id="rId4095" ref="E1296"/>
    <hyperlink r:id="rId4096" ref="O1296"/>
    <hyperlink r:id="rId4097" ref="B1297"/>
    <hyperlink r:id="rId4098" ref="E1297"/>
    <hyperlink r:id="rId4099" ref="O1297"/>
    <hyperlink r:id="rId4100" ref="B1298"/>
    <hyperlink r:id="rId4101" ref="E1298"/>
    <hyperlink r:id="rId4102" ref="F1298"/>
    <hyperlink r:id="rId4103" ref="O1298"/>
    <hyperlink r:id="rId4104" ref="B1299"/>
    <hyperlink r:id="rId4105" ref="E1299"/>
    <hyperlink r:id="rId4106" ref="F1299"/>
    <hyperlink r:id="rId4107" ref="O1299"/>
    <hyperlink r:id="rId4108" ref="B1300"/>
    <hyperlink r:id="rId4109" ref="E1300"/>
    <hyperlink r:id="rId4110" ref="O1300"/>
    <hyperlink r:id="rId4111" ref="B1301"/>
    <hyperlink r:id="rId4112" ref="E1301"/>
    <hyperlink r:id="rId4113" ref="O1301"/>
    <hyperlink r:id="rId4114" ref="B1302"/>
    <hyperlink r:id="rId4115" ref="E1302"/>
    <hyperlink r:id="rId4116" ref="O1302"/>
    <hyperlink r:id="rId4117" ref="B1303"/>
    <hyperlink r:id="rId4118" ref="E1303"/>
    <hyperlink r:id="rId4119" ref="O1303"/>
    <hyperlink r:id="rId4120" ref="B1304"/>
    <hyperlink r:id="rId4121" ref="E1304"/>
    <hyperlink r:id="rId4122" ref="O1304"/>
    <hyperlink r:id="rId4123" ref="B1305"/>
    <hyperlink r:id="rId4124" ref="C1305"/>
    <hyperlink r:id="rId4125" ref="E1305"/>
    <hyperlink r:id="rId4126" ref="O1305"/>
    <hyperlink r:id="rId4127" ref="B1306"/>
    <hyperlink r:id="rId4128" ref="E1306"/>
    <hyperlink r:id="rId4129" ref="O1306"/>
    <hyperlink r:id="rId4130" ref="B1307"/>
    <hyperlink r:id="rId4131" ref="E1307"/>
    <hyperlink r:id="rId4132" ref="O1307"/>
    <hyperlink r:id="rId4133" ref="B1308"/>
    <hyperlink r:id="rId4134" ref="E1308"/>
    <hyperlink r:id="rId4135" ref="O1308"/>
    <hyperlink r:id="rId4136" ref="B1309"/>
    <hyperlink r:id="rId4137" ref="C1309"/>
    <hyperlink r:id="rId4138" ref="E1309"/>
    <hyperlink r:id="rId4139" ref="O1309"/>
    <hyperlink r:id="rId4140" ref="B1310"/>
    <hyperlink r:id="rId4141" ref="E1310"/>
    <hyperlink r:id="rId4142" ref="O1310"/>
    <hyperlink r:id="rId4143" ref="B1311"/>
    <hyperlink r:id="rId4144" ref="E1311"/>
    <hyperlink r:id="rId4145" ref="O1311"/>
    <hyperlink r:id="rId4146" ref="B1312"/>
    <hyperlink r:id="rId4147" ref="E1312"/>
    <hyperlink r:id="rId4148" ref="O1312"/>
    <hyperlink r:id="rId4149" ref="B1313"/>
    <hyperlink r:id="rId4150" ref="C1313"/>
    <hyperlink r:id="rId4151" ref="E1313"/>
    <hyperlink r:id="rId4152" ref="O1313"/>
    <hyperlink r:id="rId4153" ref="B1314"/>
    <hyperlink r:id="rId4154" ref="E1314"/>
    <hyperlink r:id="rId4155" ref="O1314"/>
    <hyperlink r:id="rId4156" ref="B1315"/>
    <hyperlink r:id="rId4157" ref="E1315"/>
    <hyperlink r:id="rId4158" ref="O1315"/>
    <hyperlink r:id="rId4159" ref="B1316"/>
    <hyperlink r:id="rId4160" ref="E1316"/>
    <hyperlink r:id="rId4161" ref="O1316"/>
    <hyperlink r:id="rId4162" ref="B1317"/>
    <hyperlink r:id="rId4163" ref="E1317"/>
    <hyperlink r:id="rId4164" ref="O1317"/>
    <hyperlink r:id="rId4165" ref="B1318"/>
    <hyperlink r:id="rId4166" ref="E1318"/>
    <hyperlink r:id="rId4167" ref="O1318"/>
    <hyperlink r:id="rId4168" ref="B1319"/>
    <hyperlink r:id="rId4169" ref="E1319"/>
    <hyperlink r:id="rId4170" ref="O1319"/>
    <hyperlink r:id="rId4171" ref="B1320"/>
    <hyperlink r:id="rId4172" ref="E1320"/>
    <hyperlink r:id="rId4173" ref="O1320"/>
    <hyperlink r:id="rId4174" ref="B1321"/>
    <hyperlink r:id="rId4175" ref="E1321"/>
    <hyperlink r:id="rId4176" ref="F1321"/>
    <hyperlink r:id="rId4177" ref="O1321"/>
    <hyperlink r:id="rId4178" ref="B1322"/>
    <hyperlink r:id="rId4179" ref="E1322"/>
    <hyperlink r:id="rId4180" ref="F1322"/>
    <hyperlink r:id="rId4181" ref="O1322"/>
    <hyperlink r:id="rId4182" ref="B1323"/>
    <hyperlink r:id="rId4183" ref="E1323"/>
    <hyperlink r:id="rId4184" ref="F1323"/>
    <hyperlink r:id="rId4185" ref="O1323"/>
    <hyperlink r:id="rId4186" ref="B1324"/>
    <hyperlink r:id="rId4187" ref="E1324"/>
    <hyperlink r:id="rId4188" ref="F1324"/>
    <hyperlink r:id="rId4189" ref="O1324"/>
    <hyperlink r:id="rId4190" ref="B1325"/>
    <hyperlink r:id="rId4191" ref="E1325"/>
    <hyperlink r:id="rId4192" ref="F1325"/>
    <hyperlink r:id="rId4193" ref="O1325"/>
    <hyperlink r:id="rId4194" ref="B1326"/>
    <hyperlink r:id="rId4195" ref="E1326"/>
    <hyperlink r:id="rId4196" ref="F1326"/>
    <hyperlink r:id="rId4197" ref="O1326"/>
    <hyperlink r:id="rId4198" ref="B1327"/>
    <hyperlink r:id="rId4199" ref="E1327"/>
    <hyperlink r:id="rId4200" ref="F1327"/>
    <hyperlink r:id="rId4201" ref="O1327"/>
    <hyperlink r:id="rId4202" ref="B1328"/>
    <hyperlink r:id="rId4203" ref="E1328"/>
    <hyperlink r:id="rId4204" ref="F1328"/>
    <hyperlink r:id="rId4205" ref="O1328"/>
    <hyperlink r:id="rId4206" ref="B1329"/>
    <hyperlink r:id="rId4207" ref="E1329"/>
    <hyperlink r:id="rId4208" ref="F1329"/>
    <hyperlink r:id="rId4209" ref="O1329"/>
    <hyperlink r:id="rId4210" ref="B1330"/>
    <hyperlink r:id="rId4211" ref="E1330"/>
    <hyperlink r:id="rId4212" ref="O1330"/>
    <hyperlink r:id="rId4213" ref="B1331"/>
    <hyperlink r:id="rId4214" ref="E1331"/>
    <hyperlink r:id="rId4215" ref="O1331"/>
    <hyperlink r:id="rId4216" ref="B1332"/>
    <hyperlink r:id="rId4217" ref="E1332"/>
    <hyperlink r:id="rId4218" ref="O1332"/>
    <hyperlink r:id="rId4219" ref="B1333"/>
    <hyperlink r:id="rId4220" ref="E1333"/>
    <hyperlink r:id="rId4221" ref="O1333"/>
    <hyperlink r:id="rId4222" ref="B1334"/>
    <hyperlink r:id="rId4223" ref="E1334"/>
    <hyperlink r:id="rId4224" ref="O1334"/>
    <hyperlink r:id="rId4225" ref="B1335"/>
    <hyperlink r:id="rId4226" ref="E1335"/>
    <hyperlink r:id="rId4227" ref="O1335"/>
    <hyperlink r:id="rId4228" ref="B1336"/>
    <hyperlink r:id="rId4229" ref="E1336"/>
    <hyperlink r:id="rId4230" ref="O1336"/>
    <hyperlink r:id="rId4231" ref="B1337"/>
    <hyperlink r:id="rId4232" ref="E1337"/>
    <hyperlink r:id="rId4233" ref="O1337"/>
    <hyperlink r:id="rId4234" ref="B1338"/>
    <hyperlink r:id="rId4235" ref="E1338"/>
    <hyperlink r:id="rId4236" ref="O1338"/>
    <hyperlink r:id="rId4237" ref="B1339"/>
    <hyperlink r:id="rId4238" ref="E1339"/>
    <hyperlink r:id="rId4239" ref="O1339"/>
    <hyperlink r:id="rId4240" ref="B1340"/>
    <hyperlink r:id="rId4241" ref="E1340"/>
    <hyperlink r:id="rId4242" ref="O1340"/>
    <hyperlink r:id="rId4243" ref="B1341"/>
    <hyperlink r:id="rId4244" ref="E1341"/>
    <hyperlink r:id="rId4245" ref="O1341"/>
    <hyperlink r:id="rId4246" ref="B1342"/>
    <hyperlink r:id="rId4247" ref="E1342"/>
    <hyperlink r:id="rId4248" ref="O1342"/>
    <hyperlink r:id="rId4249" ref="B1343"/>
    <hyperlink r:id="rId4250" ref="E1343"/>
    <hyperlink r:id="rId4251" ref="O1343"/>
    <hyperlink r:id="rId4252" ref="B1344"/>
    <hyperlink r:id="rId4253" ref="C1344"/>
    <hyperlink r:id="rId4254" ref="E1344"/>
    <hyperlink r:id="rId4255" ref="O1344"/>
    <hyperlink r:id="rId4256" ref="B1345"/>
    <hyperlink r:id="rId4257" ref="E1345"/>
    <hyperlink r:id="rId4258" ref="O1345"/>
    <hyperlink r:id="rId4259" ref="B1346"/>
    <hyperlink r:id="rId4260" ref="E1346"/>
    <hyperlink r:id="rId4261" ref="O1346"/>
    <hyperlink r:id="rId4262" ref="B1347"/>
    <hyperlink r:id="rId4263" ref="E1347"/>
    <hyperlink r:id="rId4264" ref="O1347"/>
    <hyperlink r:id="rId4265" ref="B1348"/>
    <hyperlink r:id="rId4266" ref="E1348"/>
    <hyperlink r:id="rId4267" ref="O1348"/>
    <hyperlink r:id="rId4268" ref="B1349"/>
    <hyperlink r:id="rId4269" ref="E1349"/>
    <hyperlink r:id="rId4270" ref="O1349"/>
    <hyperlink r:id="rId4271" ref="B1350"/>
    <hyperlink r:id="rId4272" ref="E1350"/>
    <hyperlink r:id="rId4273" ref="O1350"/>
    <hyperlink r:id="rId4274" ref="B1351"/>
    <hyperlink r:id="rId4275" ref="E1351"/>
    <hyperlink r:id="rId4276" ref="O1351"/>
    <hyperlink r:id="rId4277" ref="B1352"/>
    <hyperlink r:id="rId4278" ref="E1352"/>
    <hyperlink r:id="rId4279" ref="O1352"/>
    <hyperlink r:id="rId4280" ref="B1353"/>
    <hyperlink r:id="rId4281" ref="E1353"/>
    <hyperlink r:id="rId4282" ref="O1353"/>
    <hyperlink r:id="rId4283" ref="B1354"/>
    <hyperlink r:id="rId4284" ref="E1354"/>
    <hyperlink r:id="rId4285" ref="O1354"/>
    <hyperlink r:id="rId4286" ref="B1355"/>
    <hyperlink r:id="rId4287" ref="E1355"/>
    <hyperlink r:id="rId4288" ref="O1355"/>
    <hyperlink r:id="rId4289" ref="B1356"/>
    <hyperlink r:id="rId4290" ref="E1356"/>
    <hyperlink r:id="rId4291" ref="O1356"/>
    <hyperlink r:id="rId4292" ref="B1357"/>
    <hyperlink r:id="rId4293" ref="E1357"/>
    <hyperlink r:id="rId4294" ref="O1357"/>
    <hyperlink r:id="rId4295" ref="B1358"/>
    <hyperlink r:id="rId4296" ref="E1358"/>
    <hyperlink r:id="rId4297" ref="O1358"/>
    <hyperlink r:id="rId4298" ref="B1359"/>
    <hyperlink r:id="rId4299" ref="E1359"/>
    <hyperlink r:id="rId4300" ref="O1359"/>
    <hyperlink r:id="rId4301" ref="B1360"/>
    <hyperlink r:id="rId4302" ref="E1360"/>
    <hyperlink r:id="rId4303" ref="O1360"/>
    <hyperlink r:id="rId4304" ref="B1361"/>
    <hyperlink r:id="rId4305" ref="E1361"/>
    <hyperlink r:id="rId4306" ref="O1361"/>
    <hyperlink r:id="rId4307" ref="B1362"/>
    <hyperlink r:id="rId4308" ref="E1362"/>
    <hyperlink r:id="rId4309" ref="O1362"/>
    <hyperlink r:id="rId4310" ref="B1363"/>
    <hyperlink r:id="rId4311" ref="E1363"/>
    <hyperlink r:id="rId4312" ref="O1363"/>
    <hyperlink r:id="rId4313" ref="B1364"/>
    <hyperlink r:id="rId4314" ref="E1364"/>
    <hyperlink r:id="rId4315" ref="O1364"/>
    <hyperlink r:id="rId4316" ref="B1365"/>
    <hyperlink r:id="rId4317" ref="E1365"/>
    <hyperlink r:id="rId4318" ref="O1365"/>
    <hyperlink r:id="rId4319" ref="B1366"/>
    <hyperlink r:id="rId4320" ref="C1366"/>
    <hyperlink r:id="rId4321" ref="E1366"/>
    <hyperlink r:id="rId4322" ref="F1366"/>
    <hyperlink r:id="rId4323" ref="O1366"/>
    <hyperlink r:id="rId4324" ref="B1367"/>
    <hyperlink r:id="rId4325" ref="E1367"/>
    <hyperlink r:id="rId4326" ref="O1367"/>
    <hyperlink r:id="rId4327" ref="B1368"/>
    <hyperlink r:id="rId4328" ref="E1368"/>
    <hyperlink r:id="rId4329" ref="O1368"/>
    <hyperlink r:id="rId4330" ref="B1369"/>
    <hyperlink r:id="rId4331" ref="E1369"/>
    <hyperlink r:id="rId4332" ref="O1369"/>
    <hyperlink r:id="rId4333" ref="B1370"/>
    <hyperlink r:id="rId4334" ref="E1370"/>
    <hyperlink r:id="rId4335" ref="O1370"/>
    <hyperlink r:id="rId4336" ref="B1371"/>
    <hyperlink r:id="rId4337" ref="E1371"/>
    <hyperlink r:id="rId4338" ref="O1371"/>
    <hyperlink r:id="rId4339" ref="B1372"/>
    <hyperlink r:id="rId4340" ref="E1372"/>
    <hyperlink r:id="rId4341" ref="O1372"/>
    <hyperlink r:id="rId4342" ref="B1373"/>
    <hyperlink r:id="rId4343" ref="E1373"/>
    <hyperlink r:id="rId4344" ref="O1373"/>
    <hyperlink r:id="rId4345" ref="B1374"/>
    <hyperlink r:id="rId4346" ref="E1374"/>
    <hyperlink r:id="rId4347" ref="O1374"/>
    <hyperlink r:id="rId4348" ref="B1375"/>
    <hyperlink r:id="rId4349" ref="E1375"/>
    <hyperlink r:id="rId4350" ref="O1375"/>
    <hyperlink r:id="rId4351" ref="B1376"/>
    <hyperlink r:id="rId4352" ref="E1376"/>
    <hyperlink r:id="rId4353" ref="O1376"/>
    <hyperlink r:id="rId4354" ref="B1377"/>
    <hyperlink r:id="rId4355" ref="E1377"/>
    <hyperlink r:id="rId4356" ref="O1377"/>
    <hyperlink r:id="rId4357" ref="B1378"/>
    <hyperlink r:id="rId4358" ref="E1378"/>
    <hyperlink r:id="rId4359" ref="O1378"/>
    <hyperlink r:id="rId4360" ref="B1379"/>
    <hyperlink r:id="rId4361" ref="E1379"/>
    <hyperlink r:id="rId4362" ref="O1379"/>
    <hyperlink r:id="rId4363" ref="B1380"/>
    <hyperlink r:id="rId4364" ref="E1380"/>
    <hyperlink r:id="rId4365" ref="O1380"/>
    <hyperlink r:id="rId4366" ref="B1381"/>
    <hyperlink r:id="rId4367" ref="E1381"/>
    <hyperlink r:id="rId4368" ref="O1381"/>
    <hyperlink r:id="rId4369" ref="B1382"/>
    <hyperlink r:id="rId4370" ref="E1382"/>
    <hyperlink r:id="rId4371" ref="O1382"/>
    <hyperlink r:id="rId4372" ref="B1383"/>
    <hyperlink r:id="rId4373" ref="E1383"/>
    <hyperlink r:id="rId4374" ref="O1383"/>
    <hyperlink r:id="rId4375" ref="B1384"/>
    <hyperlink r:id="rId4376" ref="E1384"/>
    <hyperlink r:id="rId4377" ref="O1384"/>
    <hyperlink r:id="rId4378" ref="B1385"/>
    <hyperlink r:id="rId4379" ref="E1385"/>
    <hyperlink r:id="rId4380" ref="O1385"/>
    <hyperlink r:id="rId4381" ref="B1386"/>
    <hyperlink r:id="rId4382" ref="E1386"/>
    <hyperlink r:id="rId4383" ref="O1386"/>
    <hyperlink r:id="rId4384" ref="B1387"/>
    <hyperlink r:id="rId4385" ref="E1387"/>
    <hyperlink r:id="rId4386" ref="O1387"/>
    <hyperlink r:id="rId4387" ref="B1388"/>
    <hyperlink r:id="rId4388" ref="E1388"/>
    <hyperlink r:id="rId4389" ref="O1388"/>
    <hyperlink r:id="rId4390" ref="B1389"/>
    <hyperlink r:id="rId4391" ref="E1389"/>
    <hyperlink r:id="rId4392" ref="O1389"/>
    <hyperlink r:id="rId4393" ref="B1390"/>
    <hyperlink r:id="rId4394" ref="E1390"/>
    <hyperlink r:id="rId4395" ref="O1390"/>
    <hyperlink r:id="rId4396" ref="B1391"/>
    <hyperlink r:id="rId4397" ref="E1391"/>
    <hyperlink r:id="rId4398" ref="O1391"/>
    <hyperlink r:id="rId4399" ref="B1392"/>
    <hyperlink r:id="rId4400" ref="E1392"/>
    <hyperlink r:id="rId4401" ref="O1392"/>
    <hyperlink r:id="rId4402" ref="B1393"/>
    <hyperlink r:id="rId4403" ref="E1393"/>
    <hyperlink r:id="rId4404" ref="O1393"/>
    <hyperlink r:id="rId4405" ref="B1394"/>
    <hyperlink r:id="rId4406" ref="E1394"/>
    <hyperlink r:id="rId4407" ref="O1394"/>
    <hyperlink r:id="rId4408" ref="B1395"/>
    <hyperlink r:id="rId4409" ref="E1395"/>
    <hyperlink r:id="rId4410" ref="O1395"/>
    <hyperlink r:id="rId4411" ref="B1396"/>
    <hyperlink r:id="rId4412" ref="E1396"/>
    <hyperlink r:id="rId4413" ref="O1396"/>
    <hyperlink r:id="rId4414" ref="B1397"/>
    <hyperlink r:id="rId4415" ref="E1397"/>
    <hyperlink r:id="rId4416" ref="O1397"/>
    <hyperlink r:id="rId4417" ref="B1398"/>
    <hyperlink r:id="rId4418" ref="E1398"/>
    <hyperlink r:id="rId4419" ref="O1398"/>
    <hyperlink r:id="rId4420" ref="B1399"/>
    <hyperlink r:id="rId4421" ref="E1399"/>
    <hyperlink r:id="rId4422" ref="O1399"/>
    <hyperlink r:id="rId4423" ref="B1400"/>
    <hyperlink r:id="rId4424" ref="E1400"/>
    <hyperlink r:id="rId4425" ref="O1400"/>
    <hyperlink r:id="rId4426" ref="B1401"/>
    <hyperlink r:id="rId4427" ref="E1401"/>
    <hyperlink r:id="rId4428" ref="O1401"/>
    <hyperlink r:id="rId4429" ref="B1402"/>
    <hyperlink r:id="rId4430" ref="E1402"/>
    <hyperlink r:id="rId4431" ref="O1402"/>
    <hyperlink r:id="rId4432" ref="B1403"/>
    <hyperlink r:id="rId4433" ref="E1403"/>
    <hyperlink r:id="rId4434" ref="O1403"/>
    <hyperlink r:id="rId4435" ref="B1404"/>
    <hyperlink r:id="rId4436" ref="E1404"/>
    <hyperlink r:id="rId4437" ref="O1404"/>
    <hyperlink r:id="rId4438" ref="B1405"/>
    <hyperlink r:id="rId4439" ref="E1405"/>
    <hyperlink r:id="rId4440" ref="O1405"/>
    <hyperlink r:id="rId4441" ref="B1406"/>
    <hyperlink r:id="rId4442" ref="E1406"/>
    <hyperlink r:id="rId4443" ref="O1406"/>
    <hyperlink r:id="rId4444" ref="B1407"/>
    <hyperlink r:id="rId4445" ref="E1407"/>
    <hyperlink r:id="rId4446" ref="O1407"/>
    <hyperlink r:id="rId4447" ref="B1408"/>
    <hyperlink r:id="rId4448" ref="E1408"/>
    <hyperlink r:id="rId4449" ref="F1408"/>
    <hyperlink r:id="rId4450" ref="O1408"/>
    <hyperlink r:id="rId4451" ref="B1409"/>
    <hyperlink r:id="rId4452" ref="E1409"/>
    <hyperlink r:id="rId4453" ref="F1409"/>
    <hyperlink r:id="rId4454" ref="O1409"/>
    <hyperlink r:id="rId4455" ref="B1410"/>
    <hyperlink r:id="rId4456" ref="E1410"/>
    <hyperlink r:id="rId4457" ref="F1410"/>
    <hyperlink r:id="rId4458" ref="O1410"/>
    <hyperlink r:id="rId4459" ref="B1411"/>
    <hyperlink r:id="rId4460" ref="E1411"/>
    <hyperlink r:id="rId4461" ref="F1411"/>
    <hyperlink r:id="rId4462" ref="O1411"/>
    <hyperlink r:id="rId4463" ref="B1412"/>
    <hyperlink r:id="rId4464" ref="E1412"/>
    <hyperlink r:id="rId4465" ref="F1412"/>
    <hyperlink r:id="rId4466" ref="O1412"/>
    <hyperlink r:id="rId4467" ref="B1413"/>
    <hyperlink r:id="rId4468" ref="E1413"/>
    <hyperlink r:id="rId4469" ref="F1413"/>
    <hyperlink r:id="rId4470" ref="O1413"/>
    <hyperlink r:id="rId4471" ref="B1414"/>
    <hyperlink r:id="rId4472" ref="E1414"/>
    <hyperlink r:id="rId4473" ref="F1414"/>
    <hyperlink r:id="rId4474" ref="O1414"/>
    <hyperlink r:id="rId4475" ref="B1415"/>
    <hyperlink r:id="rId4476" ref="E1415"/>
    <hyperlink r:id="rId4477" ref="F1415"/>
    <hyperlink r:id="rId4478" ref="O1415"/>
    <hyperlink r:id="rId4479" ref="B1416"/>
    <hyperlink r:id="rId4480" ref="E1416"/>
    <hyperlink r:id="rId4481" ref="F1416"/>
    <hyperlink r:id="rId4482" ref="O1416"/>
    <hyperlink r:id="rId4483" ref="B1417"/>
    <hyperlink r:id="rId4484" ref="E1417"/>
    <hyperlink r:id="rId4485" ref="F1417"/>
    <hyperlink r:id="rId4486" ref="O1417"/>
    <hyperlink r:id="rId4487" ref="B1418"/>
    <hyperlink r:id="rId4488" ref="E1418"/>
    <hyperlink r:id="rId4489" ref="O1418"/>
    <hyperlink r:id="rId4490" ref="B1419"/>
    <hyperlink r:id="rId4491" ref="E1419"/>
    <hyperlink r:id="rId4492" ref="O1419"/>
    <hyperlink r:id="rId4493" ref="B1420"/>
    <hyperlink r:id="rId4494" ref="E1420"/>
    <hyperlink r:id="rId4495" ref="O1420"/>
    <hyperlink r:id="rId4496" ref="B1421"/>
    <hyperlink r:id="rId4497" ref="E1421"/>
    <hyperlink r:id="rId4498" ref="O1421"/>
    <hyperlink r:id="rId4499" ref="B1422"/>
    <hyperlink r:id="rId4500" ref="E1422"/>
    <hyperlink r:id="rId4501" ref="O1422"/>
    <hyperlink r:id="rId4502" ref="B1423"/>
    <hyperlink r:id="rId4503" ref="C1423"/>
    <hyperlink r:id="rId4504" ref="E1423"/>
    <hyperlink r:id="rId4505" ref="O1423"/>
    <hyperlink r:id="rId4506" ref="B1424"/>
    <hyperlink r:id="rId4507" ref="E1424"/>
    <hyperlink r:id="rId4508" ref="O1424"/>
    <hyperlink r:id="rId4509" ref="B1425"/>
    <hyperlink r:id="rId4510" ref="E1425"/>
    <hyperlink r:id="rId4511" ref="O1425"/>
    <hyperlink r:id="rId4512" ref="B1426"/>
    <hyperlink r:id="rId4513" ref="C1426"/>
    <hyperlink r:id="rId4514" ref="E1426"/>
    <hyperlink r:id="rId4515" ref="O1426"/>
    <hyperlink r:id="rId4516" ref="B1427"/>
    <hyperlink r:id="rId4517" ref="E1427"/>
    <hyperlink r:id="rId4518" ref="O1427"/>
    <hyperlink r:id="rId4519" ref="B1428"/>
    <hyperlink r:id="rId4520" ref="E1428"/>
    <hyperlink r:id="rId4521" ref="O1428"/>
    <hyperlink r:id="rId4522" ref="B1429"/>
    <hyperlink r:id="rId4523" ref="E1429"/>
    <hyperlink r:id="rId4524" ref="O1429"/>
    <hyperlink r:id="rId4525" ref="B1430"/>
    <hyperlink r:id="rId4526" ref="E1430"/>
    <hyperlink r:id="rId4527" ref="O1430"/>
    <hyperlink r:id="rId4528" ref="B1431"/>
    <hyperlink r:id="rId4529" ref="E1431"/>
    <hyperlink r:id="rId4530" ref="O1431"/>
    <hyperlink r:id="rId4531" ref="B1432"/>
    <hyperlink r:id="rId4532" ref="E1432"/>
    <hyperlink r:id="rId4533" ref="O1432"/>
    <hyperlink r:id="rId4534" ref="B1433"/>
    <hyperlink r:id="rId4535" ref="E1433"/>
    <hyperlink r:id="rId4536" ref="O1433"/>
    <hyperlink r:id="rId4537" ref="B1434"/>
    <hyperlink r:id="rId4538" ref="E1434"/>
    <hyperlink r:id="rId4539" ref="O1434"/>
    <hyperlink r:id="rId4540" ref="B1435"/>
    <hyperlink r:id="rId4541" ref="E1435"/>
    <hyperlink r:id="rId4542" ref="O1435"/>
    <hyperlink r:id="rId4543" ref="B1436"/>
    <hyperlink r:id="rId4544" ref="E1436"/>
    <hyperlink r:id="rId4545" ref="O1436"/>
    <hyperlink r:id="rId4546" ref="B1437"/>
    <hyperlink r:id="rId4547" ref="E1437"/>
    <hyperlink r:id="rId4548" ref="O1437"/>
    <hyperlink r:id="rId4549" ref="B1438"/>
    <hyperlink r:id="rId4550" ref="E1438"/>
    <hyperlink r:id="rId4551" ref="O1438"/>
    <hyperlink r:id="rId4552" ref="B1439"/>
    <hyperlink r:id="rId4553" ref="E1439"/>
    <hyperlink r:id="rId4554" ref="O1439"/>
    <hyperlink r:id="rId4555" ref="B1440"/>
    <hyperlink r:id="rId4556" ref="E1440"/>
    <hyperlink r:id="rId4557" ref="O1440"/>
    <hyperlink r:id="rId4558" ref="B1441"/>
    <hyperlink r:id="rId4559" ref="E1441"/>
    <hyperlink r:id="rId4560" ref="F1441"/>
    <hyperlink r:id="rId4561" ref="O1441"/>
    <hyperlink r:id="rId4562" ref="B1442"/>
    <hyperlink r:id="rId4563" ref="E1442"/>
    <hyperlink r:id="rId4564" ref="O1442"/>
    <hyperlink r:id="rId4565" ref="B1443"/>
    <hyperlink r:id="rId4566" ref="E1443"/>
    <hyperlink r:id="rId4567" ref="O1443"/>
    <hyperlink r:id="rId4568" ref="B1444"/>
    <hyperlink r:id="rId4569" ref="E1444"/>
    <hyperlink r:id="rId4570" ref="O1444"/>
    <hyperlink r:id="rId4571" ref="B1445"/>
    <hyperlink r:id="rId4572" ref="E1445"/>
    <hyperlink r:id="rId4573" ref="O1445"/>
    <hyperlink r:id="rId4574" ref="B1446"/>
    <hyperlink r:id="rId4575" ref="E1446"/>
    <hyperlink r:id="rId4576" ref="O1446"/>
    <hyperlink r:id="rId4577" ref="B1447"/>
    <hyperlink r:id="rId4578" ref="E1447"/>
    <hyperlink r:id="rId4579" ref="O1447"/>
    <hyperlink r:id="rId4580" ref="B1448"/>
    <hyperlink r:id="rId4581" ref="E1448"/>
    <hyperlink r:id="rId4582" ref="O1448"/>
    <hyperlink r:id="rId4583" ref="B1449"/>
    <hyperlink r:id="rId4584" ref="E1449"/>
    <hyperlink r:id="rId4585" ref="O1449"/>
    <hyperlink r:id="rId4586" ref="B1450"/>
    <hyperlink r:id="rId4587" ref="E1450"/>
    <hyperlink r:id="rId4588" ref="O1450"/>
    <hyperlink r:id="rId4589" ref="B1451"/>
    <hyperlink r:id="rId4590" ref="E1451"/>
    <hyperlink r:id="rId4591" ref="O1451"/>
    <hyperlink r:id="rId4592" ref="B1452"/>
    <hyperlink r:id="rId4593" ref="E1452"/>
    <hyperlink r:id="rId4594" ref="O1452"/>
    <hyperlink r:id="rId4595" ref="B1453"/>
    <hyperlink r:id="rId4596" ref="E1453"/>
    <hyperlink r:id="rId4597" ref="O1453"/>
    <hyperlink r:id="rId4598" ref="B1454"/>
    <hyperlink r:id="rId4599" ref="E1454"/>
    <hyperlink r:id="rId4600" ref="O1454"/>
    <hyperlink r:id="rId4601" ref="B1455"/>
    <hyperlink r:id="rId4602" ref="E1455"/>
    <hyperlink r:id="rId4603" ref="O1455"/>
    <hyperlink r:id="rId4604" ref="B1456"/>
    <hyperlink r:id="rId4605" ref="E1456"/>
    <hyperlink r:id="rId4606" ref="O1456"/>
    <hyperlink r:id="rId4607" ref="B1457"/>
    <hyperlink r:id="rId4608" ref="E1457"/>
    <hyperlink r:id="rId4609" ref="O1457"/>
    <hyperlink r:id="rId4610" ref="B1458"/>
    <hyperlink r:id="rId4611" ref="E1458"/>
    <hyperlink r:id="rId4612" ref="O1458"/>
    <hyperlink r:id="rId4613" ref="B1459"/>
    <hyperlink r:id="rId4614" ref="E1459"/>
    <hyperlink r:id="rId4615" ref="O1459"/>
    <hyperlink r:id="rId4616" ref="B1460"/>
    <hyperlink r:id="rId4617" ref="E1460"/>
    <hyperlink r:id="rId4618" ref="O1460"/>
    <hyperlink r:id="rId4619" ref="B1461"/>
    <hyperlink r:id="rId4620" ref="E1461"/>
    <hyperlink r:id="rId4621" ref="O1461"/>
    <hyperlink r:id="rId4622" ref="B1462"/>
    <hyperlink r:id="rId4623" ref="E1462"/>
    <hyperlink r:id="rId4624" ref="O1462"/>
    <hyperlink r:id="rId4625" ref="B1463"/>
    <hyperlink r:id="rId4626" ref="E1463"/>
    <hyperlink r:id="rId4627" ref="O1463"/>
    <hyperlink r:id="rId4628" ref="B1464"/>
    <hyperlink r:id="rId4629" ref="E1464"/>
    <hyperlink r:id="rId4630" ref="O1464"/>
    <hyperlink r:id="rId4631" ref="B1465"/>
    <hyperlink r:id="rId4632" ref="E1465"/>
    <hyperlink r:id="rId4633" ref="O1465"/>
    <hyperlink r:id="rId4634" ref="B1466"/>
    <hyperlink r:id="rId4635" ref="E1466"/>
    <hyperlink r:id="rId4636" ref="O1466"/>
    <hyperlink r:id="rId4637" ref="B1467"/>
    <hyperlink r:id="rId4638" ref="E1467"/>
    <hyperlink r:id="rId4639" ref="O1467"/>
    <hyperlink r:id="rId4640" ref="B1468"/>
    <hyperlink r:id="rId4641" ref="E1468"/>
    <hyperlink r:id="rId4642" ref="O1468"/>
    <hyperlink r:id="rId4643" ref="B1469"/>
    <hyperlink r:id="rId4644" ref="E1469"/>
    <hyperlink r:id="rId4645" ref="O1469"/>
    <hyperlink r:id="rId4646" ref="B1470"/>
    <hyperlink r:id="rId4647" ref="E1470"/>
    <hyperlink r:id="rId4648" ref="O1470"/>
    <hyperlink r:id="rId4649" ref="B1471"/>
    <hyperlink r:id="rId4650" ref="E1471"/>
    <hyperlink r:id="rId4651" ref="O1471"/>
    <hyperlink r:id="rId4652" ref="B1472"/>
    <hyperlink r:id="rId4653" ref="E1472"/>
    <hyperlink r:id="rId4654" ref="O1472"/>
    <hyperlink r:id="rId4655" ref="B1473"/>
    <hyperlink r:id="rId4656" ref="E1473"/>
    <hyperlink r:id="rId4657" ref="O1473"/>
    <hyperlink r:id="rId4658" ref="B1474"/>
    <hyperlink r:id="rId4659" ref="E1474"/>
    <hyperlink r:id="rId4660" ref="O1474"/>
    <hyperlink r:id="rId4661" ref="B1475"/>
    <hyperlink r:id="rId4662" ref="E1475"/>
    <hyperlink r:id="rId4663" ref="O1475"/>
    <hyperlink r:id="rId4664" ref="B1476"/>
    <hyperlink r:id="rId4665" ref="E1476"/>
    <hyperlink r:id="rId4666" ref="O1476"/>
    <hyperlink r:id="rId4667" ref="B1477"/>
    <hyperlink r:id="rId4668" ref="E1477"/>
    <hyperlink r:id="rId4669" ref="O1477"/>
    <hyperlink r:id="rId4670" ref="B1478"/>
    <hyperlink r:id="rId4671" ref="E1478"/>
    <hyperlink r:id="rId4672" ref="O1478"/>
    <hyperlink r:id="rId4673" ref="B1479"/>
    <hyperlink r:id="rId4674" ref="E1479"/>
    <hyperlink r:id="rId4675" ref="O1479"/>
    <hyperlink r:id="rId4676" ref="B1480"/>
    <hyperlink r:id="rId4677" ref="E1480"/>
    <hyperlink r:id="rId4678" ref="O1480"/>
    <hyperlink r:id="rId4679" ref="B1481"/>
    <hyperlink r:id="rId4680" ref="E1481"/>
    <hyperlink r:id="rId4681" ref="O1481"/>
    <hyperlink r:id="rId4682" ref="B1482"/>
    <hyperlink r:id="rId4683" ref="E1482"/>
    <hyperlink r:id="rId4684" ref="O1482"/>
    <hyperlink r:id="rId4685" ref="B1483"/>
    <hyperlink r:id="rId4686" ref="E1483"/>
    <hyperlink r:id="rId4687" ref="O1483"/>
    <hyperlink r:id="rId4688" ref="B1484"/>
    <hyperlink r:id="rId4689" ref="E1484"/>
    <hyperlink r:id="rId4690" ref="O1484"/>
    <hyperlink r:id="rId4691" ref="B1485"/>
    <hyperlink r:id="rId4692" ref="E1485"/>
    <hyperlink r:id="rId4693" ref="O1485"/>
    <hyperlink r:id="rId4694" ref="B1486"/>
    <hyperlink r:id="rId4695" ref="E1486"/>
    <hyperlink r:id="rId4696" ref="O1486"/>
    <hyperlink r:id="rId4697" ref="B1487"/>
    <hyperlink r:id="rId4698" ref="E1487"/>
    <hyperlink r:id="rId4699" ref="O1487"/>
    <hyperlink r:id="rId4700" location="-3.73405977,-40.99032337" ref="P1487"/>
    <hyperlink r:id="rId4701" ref="B1488"/>
    <hyperlink r:id="rId4702" ref="E1488"/>
    <hyperlink r:id="rId4703" ref="O1488"/>
    <hyperlink r:id="rId4704" ref="B1489"/>
    <hyperlink r:id="rId4705" ref="E1489"/>
    <hyperlink r:id="rId4706" ref="O1489"/>
    <hyperlink r:id="rId4707" ref="B1490"/>
    <hyperlink r:id="rId4708" ref="E1490"/>
    <hyperlink r:id="rId4709" ref="F1490"/>
    <hyperlink r:id="rId4710" ref="O1490"/>
    <hyperlink r:id="rId4711" ref="B1491"/>
    <hyperlink r:id="rId4712" ref="E1491"/>
    <hyperlink r:id="rId4713" ref="F1491"/>
    <hyperlink r:id="rId4714" ref="O1491"/>
    <hyperlink r:id="rId4715" ref="B1492"/>
    <hyperlink r:id="rId4716" ref="E1492"/>
    <hyperlink r:id="rId4717" ref="F1492"/>
    <hyperlink r:id="rId4718" ref="O1492"/>
    <hyperlink r:id="rId4719" ref="B1493"/>
    <hyperlink r:id="rId4720" ref="E1493"/>
    <hyperlink r:id="rId4721" ref="F1493"/>
    <hyperlink r:id="rId4722" ref="O1493"/>
    <hyperlink r:id="rId4723" ref="B1494"/>
    <hyperlink r:id="rId4724" ref="E1494"/>
    <hyperlink r:id="rId4725" ref="F1494"/>
    <hyperlink r:id="rId4726" ref="O1494"/>
    <hyperlink r:id="rId4727" ref="B1495"/>
    <hyperlink r:id="rId4728" ref="E1495"/>
    <hyperlink r:id="rId4729" ref="F1495"/>
    <hyperlink r:id="rId4730" ref="O1495"/>
    <hyperlink r:id="rId4731" ref="B1496"/>
    <hyperlink r:id="rId4732" ref="E1496"/>
    <hyperlink r:id="rId4733" ref="O1496"/>
    <hyperlink r:id="rId4734" ref="B1497"/>
    <hyperlink r:id="rId4735" ref="E1497"/>
    <hyperlink r:id="rId4736" ref="F1497"/>
    <hyperlink r:id="rId4737" ref="O1497"/>
    <hyperlink r:id="rId4738" ref="B1498"/>
    <hyperlink r:id="rId4739" ref="E1498"/>
    <hyperlink r:id="rId4740" ref="F1498"/>
    <hyperlink r:id="rId4741" ref="O1498"/>
    <hyperlink r:id="rId4742" ref="B1499"/>
    <hyperlink r:id="rId4743" ref="E1499"/>
    <hyperlink r:id="rId4744" ref="F1499"/>
    <hyperlink r:id="rId4745" ref="O1499"/>
    <hyperlink r:id="rId4746" ref="B1500"/>
    <hyperlink r:id="rId4747" ref="E1500"/>
    <hyperlink r:id="rId4748" ref="O1500"/>
    <hyperlink r:id="rId4749" ref="B1501"/>
    <hyperlink r:id="rId4750" ref="E1501"/>
    <hyperlink r:id="rId4751" ref="O1501"/>
    <hyperlink r:id="rId4752" ref="B1502"/>
    <hyperlink r:id="rId4753" ref="E1502"/>
    <hyperlink r:id="rId4754" ref="O1502"/>
    <hyperlink r:id="rId4755" ref="B1503"/>
    <hyperlink r:id="rId4756" ref="E1503"/>
    <hyperlink r:id="rId4757" ref="O1503"/>
    <hyperlink r:id="rId4758" ref="B1504"/>
    <hyperlink r:id="rId4759" ref="E1504"/>
    <hyperlink r:id="rId4760" ref="O1504"/>
    <hyperlink r:id="rId4761" ref="B1505"/>
    <hyperlink r:id="rId4762" ref="E1505"/>
    <hyperlink r:id="rId4763" ref="O1505"/>
    <hyperlink r:id="rId4764" ref="B1506"/>
    <hyperlink r:id="rId4765" ref="E1506"/>
    <hyperlink r:id="rId4766" ref="O1506"/>
    <hyperlink r:id="rId4767" ref="B1507"/>
    <hyperlink r:id="rId4768" ref="E1507"/>
    <hyperlink r:id="rId4769" ref="O1507"/>
    <hyperlink r:id="rId4770" ref="B1508"/>
    <hyperlink r:id="rId4771" ref="C1508"/>
    <hyperlink r:id="rId4772" ref="E1508"/>
    <hyperlink r:id="rId4773" ref="O1508"/>
    <hyperlink r:id="rId4774" ref="B1509"/>
    <hyperlink r:id="rId4775" ref="C1509"/>
    <hyperlink r:id="rId4776" ref="E1509"/>
    <hyperlink r:id="rId4777" ref="O1509"/>
    <hyperlink r:id="rId4778" ref="B1510"/>
    <hyperlink r:id="rId4779" ref="E1510"/>
    <hyperlink r:id="rId4780" ref="O1510"/>
    <hyperlink r:id="rId4781" ref="B1511"/>
    <hyperlink r:id="rId4782" ref="E1511"/>
    <hyperlink r:id="rId4783" ref="O1511"/>
    <hyperlink r:id="rId4784" ref="B1512"/>
    <hyperlink r:id="rId4785" ref="C1512"/>
    <hyperlink r:id="rId4786" ref="E1512"/>
    <hyperlink r:id="rId4787" ref="O1512"/>
    <hyperlink r:id="rId4788" ref="B1513"/>
    <hyperlink r:id="rId4789" ref="E1513"/>
    <hyperlink r:id="rId4790" ref="O1513"/>
    <hyperlink r:id="rId4791" ref="B1514"/>
    <hyperlink r:id="rId4792" ref="E1514"/>
    <hyperlink r:id="rId4793" ref="O1514"/>
    <hyperlink r:id="rId4794" ref="B1515"/>
    <hyperlink r:id="rId4795" ref="E1515"/>
    <hyperlink r:id="rId4796" ref="O1515"/>
    <hyperlink r:id="rId4797" ref="B1516"/>
    <hyperlink r:id="rId4798" ref="E1516"/>
    <hyperlink r:id="rId4799" ref="O1516"/>
    <hyperlink r:id="rId4800" ref="B1517"/>
    <hyperlink r:id="rId4801" ref="E1517"/>
    <hyperlink r:id="rId4802" ref="O1517"/>
    <hyperlink r:id="rId4803" ref="B1518"/>
    <hyperlink r:id="rId4804" ref="C1518"/>
    <hyperlink r:id="rId4805" ref="E1518"/>
    <hyperlink r:id="rId4806" ref="O1518"/>
    <hyperlink r:id="rId4807" ref="B1519"/>
    <hyperlink r:id="rId4808" ref="E1519"/>
    <hyperlink r:id="rId4809" ref="O1519"/>
    <hyperlink r:id="rId4810" ref="B1520"/>
    <hyperlink r:id="rId4811" ref="E1520"/>
    <hyperlink r:id="rId4812" ref="O1520"/>
    <hyperlink r:id="rId4813" ref="B1521"/>
    <hyperlink r:id="rId4814" ref="E1521"/>
    <hyperlink r:id="rId4815" ref="O1521"/>
    <hyperlink r:id="rId4816" ref="B1522"/>
    <hyperlink r:id="rId4817" ref="E1522"/>
    <hyperlink r:id="rId4818" ref="F1522"/>
    <hyperlink r:id="rId4819" ref="O1522"/>
    <hyperlink r:id="rId4820" ref="B1523"/>
    <hyperlink r:id="rId4821" ref="E1523"/>
    <hyperlink r:id="rId4822" ref="O1523"/>
    <hyperlink r:id="rId4823" ref="B1524"/>
    <hyperlink r:id="rId4824" ref="E1524"/>
    <hyperlink r:id="rId4825" ref="O1524"/>
    <hyperlink r:id="rId4826" ref="B1525"/>
    <hyperlink r:id="rId4827" ref="E1525"/>
    <hyperlink r:id="rId4828" ref="O1525"/>
    <hyperlink r:id="rId4829" ref="B1526"/>
    <hyperlink r:id="rId4830" ref="E1526"/>
    <hyperlink r:id="rId4831" ref="O1526"/>
    <hyperlink r:id="rId4832" ref="B1527"/>
    <hyperlink r:id="rId4833" ref="E1527"/>
    <hyperlink r:id="rId4834" ref="O1527"/>
    <hyperlink r:id="rId4835" ref="B1528"/>
    <hyperlink r:id="rId4836" ref="E1528"/>
    <hyperlink r:id="rId4837" ref="O1528"/>
    <hyperlink r:id="rId4838" ref="B1529"/>
    <hyperlink r:id="rId4839" ref="E1529"/>
    <hyperlink r:id="rId4840" ref="O1529"/>
    <hyperlink r:id="rId4841" ref="B1530"/>
    <hyperlink r:id="rId4842" ref="E1530"/>
    <hyperlink r:id="rId4843" ref="O1530"/>
    <hyperlink r:id="rId4844" ref="B1531"/>
    <hyperlink r:id="rId4845" ref="E1531"/>
    <hyperlink r:id="rId4846" ref="O1531"/>
    <hyperlink r:id="rId4847" ref="B1532"/>
    <hyperlink r:id="rId4848" ref="E1532"/>
    <hyperlink r:id="rId4849" ref="O1532"/>
    <hyperlink r:id="rId4850" ref="B1533"/>
    <hyperlink r:id="rId4851" ref="E1533"/>
    <hyperlink r:id="rId4852" ref="O1533"/>
    <hyperlink r:id="rId4853" ref="B1534"/>
    <hyperlink r:id="rId4854" ref="E1534"/>
    <hyperlink r:id="rId4855" ref="O1534"/>
    <hyperlink r:id="rId4856" ref="B1535"/>
    <hyperlink r:id="rId4857" ref="E1535"/>
    <hyperlink r:id="rId4858" ref="O1535"/>
    <hyperlink r:id="rId4859" ref="B1536"/>
    <hyperlink r:id="rId4860" ref="E1536"/>
    <hyperlink r:id="rId4861" ref="O1536"/>
    <hyperlink r:id="rId4862" ref="B1537"/>
    <hyperlink r:id="rId4863" ref="E1537"/>
    <hyperlink r:id="rId4864" ref="O1537"/>
    <hyperlink r:id="rId4865" ref="B1538"/>
    <hyperlink r:id="rId4866" ref="C1538"/>
    <hyperlink r:id="rId4867" ref="E1538"/>
    <hyperlink r:id="rId4868" ref="O1538"/>
    <hyperlink r:id="rId4869" ref="B1539"/>
    <hyperlink r:id="rId4870" ref="E1539"/>
    <hyperlink r:id="rId4871" ref="O1539"/>
    <hyperlink r:id="rId4872" ref="B1540"/>
    <hyperlink r:id="rId4873" ref="E1540"/>
    <hyperlink r:id="rId4874" ref="O1540"/>
    <hyperlink r:id="rId4875" ref="B1541"/>
    <hyperlink r:id="rId4876" ref="E1541"/>
    <hyperlink r:id="rId4877" ref="O1541"/>
    <hyperlink r:id="rId4878" ref="B1542"/>
    <hyperlink r:id="rId4879" ref="E1542"/>
    <hyperlink r:id="rId4880" ref="O1542"/>
    <hyperlink r:id="rId4881" ref="B1543"/>
    <hyperlink r:id="rId4882" ref="E1543"/>
    <hyperlink r:id="rId4883" ref="O1543"/>
    <hyperlink r:id="rId4884" ref="B1544"/>
    <hyperlink r:id="rId4885" ref="E1544"/>
    <hyperlink r:id="rId4886" ref="O1544"/>
    <hyperlink r:id="rId4887" ref="B1545"/>
    <hyperlink r:id="rId4888" ref="E1545"/>
    <hyperlink r:id="rId4889" ref="O1545"/>
    <hyperlink r:id="rId4890" ref="B1546"/>
    <hyperlink r:id="rId4891" ref="E1546"/>
    <hyperlink r:id="rId4892" ref="O1546"/>
    <hyperlink r:id="rId4893" ref="B1547"/>
    <hyperlink r:id="rId4894" ref="C1547"/>
    <hyperlink r:id="rId4895" ref="E1547"/>
    <hyperlink r:id="rId4896" ref="O1547"/>
    <hyperlink r:id="rId4897" ref="B1548"/>
    <hyperlink r:id="rId4898" ref="E1548"/>
    <hyperlink r:id="rId4899" ref="F1548"/>
    <hyperlink r:id="rId4900" ref="O1548"/>
    <hyperlink r:id="rId4901" ref="B1549"/>
    <hyperlink r:id="rId4902" ref="E1549"/>
    <hyperlink r:id="rId4903" ref="F1549"/>
    <hyperlink r:id="rId4904" ref="O1549"/>
    <hyperlink r:id="rId4905" ref="B1550"/>
    <hyperlink r:id="rId4906" ref="E1550"/>
    <hyperlink r:id="rId4907" ref="F1550"/>
    <hyperlink r:id="rId4908" ref="O1550"/>
    <hyperlink r:id="rId4909" ref="B1551"/>
    <hyperlink r:id="rId4910" ref="E1551"/>
    <hyperlink r:id="rId4911" ref="F1551"/>
    <hyperlink r:id="rId4912" ref="O1551"/>
    <hyperlink r:id="rId4913" ref="B1552"/>
    <hyperlink r:id="rId4914" ref="E1552"/>
    <hyperlink r:id="rId4915" ref="F1552"/>
    <hyperlink r:id="rId4916" ref="O1552"/>
    <hyperlink r:id="rId4917" ref="B1553"/>
    <hyperlink r:id="rId4918" ref="E1553"/>
    <hyperlink r:id="rId4919" ref="F1553"/>
    <hyperlink r:id="rId4920" ref="O1553"/>
    <hyperlink r:id="rId4921" ref="B1554"/>
    <hyperlink r:id="rId4922" ref="E1554"/>
    <hyperlink r:id="rId4923" ref="F1554"/>
    <hyperlink r:id="rId4924" ref="O1554"/>
    <hyperlink r:id="rId4925" ref="B1555"/>
    <hyperlink r:id="rId4926" ref="E1555"/>
    <hyperlink r:id="rId4927" ref="F1555"/>
    <hyperlink r:id="rId4928" ref="O1555"/>
    <hyperlink r:id="rId4929" ref="B1556"/>
    <hyperlink r:id="rId4930" ref="E1556"/>
    <hyperlink r:id="rId4931" ref="F1556"/>
    <hyperlink r:id="rId4932" ref="O1556"/>
    <hyperlink r:id="rId4933" ref="B1557"/>
    <hyperlink r:id="rId4934" ref="E1557"/>
    <hyperlink r:id="rId4935" ref="O1557"/>
    <hyperlink r:id="rId4936" ref="B1558"/>
    <hyperlink r:id="rId4937" ref="E1558"/>
    <hyperlink r:id="rId4938" ref="O1558"/>
    <hyperlink r:id="rId4939" ref="B1559"/>
    <hyperlink r:id="rId4940" ref="E1559"/>
    <hyperlink r:id="rId4941" ref="O1559"/>
    <hyperlink r:id="rId4942" ref="B1560"/>
    <hyperlink r:id="rId4943" ref="E1560"/>
    <hyperlink r:id="rId4944" ref="O1560"/>
    <hyperlink r:id="rId4945" ref="B1561"/>
    <hyperlink r:id="rId4946" ref="C1561"/>
    <hyperlink r:id="rId4947" ref="E1561"/>
    <hyperlink r:id="rId4948" ref="O1561"/>
    <hyperlink r:id="rId4949" ref="B1562"/>
    <hyperlink r:id="rId4950" ref="E1562"/>
    <hyperlink r:id="rId4951" ref="O1562"/>
    <hyperlink r:id="rId4952" ref="B1563"/>
    <hyperlink r:id="rId4953" ref="E1563"/>
    <hyperlink r:id="rId4954" ref="O1563"/>
    <hyperlink r:id="rId4955" ref="B1564"/>
    <hyperlink r:id="rId4956" ref="E1564"/>
    <hyperlink r:id="rId4957" ref="O1564"/>
    <hyperlink r:id="rId4958" ref="B1565"/>
    <hyperlink r:id="rId4959" ref="C1565"/>
    <hyperlink r:id="rId4960" ref="E1565"/>
    <hyperlink r:id="rId4961" ref="O1565"/>
    <hyperlink r:id="rId4962" ref="B1566"/>
    <hyperlink r:id="rId4963" ref="E1566"/>
    <hyperlink r:id="rId4964" ref="O1566"/>
    <hyperlink r:id="rId4965" ref="B1567"/>
    <hyperlink r:id="rId4966" ref="E1567"/>
    <hyperlink r:id="rId4967" ref="O1567"/>
    <hyperlink r:id="rId4968" ref="B1568"/>
    <hyperlink r:id="rId4969" ref="E1568"/>
    <hyperlink r:id="rId4970" ref="O1568"/>
    <hyperlink r:id="rId4971" ref="B1569"/>
    <hyperlink r:id="rId4972" ref="E1569"/>
    <hyperlink r:id="rId4973" ref="O1569"/>
    <hyperlink r:id="rId4974" ref="B1570"/>
    <hyperlink r:id="rId4975" ref="E1570"/>
    <hyperlink r:id="rId4976" ref="O1570"/>
    <hyperlink r:id="rId4977" ref="B1571"/>
    <hyperlink r:id="rId4978" ref="E1571"/>
    <hyperlink r:id="rId4979" ref="O1571"/>
    <hyperlink r:id="rId4980" ref="B1572"/>
    <hyperlink r:id="rId4981" ref="E1572"/>
    <hyperlink r:id="rId4982" ref="O1572"/>
    <hyperlink r:id="rId4983" ref="B1573"/>
    <hyperlink r:id="rId4984" ref="E1573"/>
    <hyperlink r:id="rId4985" ref="O1573"/>
    <hyperlink r:id="rId4986" ref="B1574"/>
    <hyperlink r:id="rId4987" ref="E1574"/>
    <hyperlink r:id="rId4988" ref="O1574"/>
    <hyperlink r:id="rId4989" ref="B1575"/>
    <hyperlink r:id="rId4990" ref="E1575"/>
    <hyperlink r:id="rId4991" ref="O1575"/>
    <hyperlink r:id="rId4992" ref="B1576"/>
    <hyperlink r:id="rId4993" ref="E1576"/>
    <hyperlink r:id="rId4994" ref="O1576"/>
    <hyperlink r:id="rId4995" ref="B1577"/>
    <hyperlink r:id="rId4996" ref="E1577"/>
    <hyperlink r:id="rId4997" ref="O1577"/>
    <hyperlink r:id="rId4998" ref="B1578"/>
    <hyperlink r:id="rId4999" ref="E1578"/>
    <hyperlink r:id="rId5000" ref="O1578"/>
    <hyperlink r:id="rId5001" ref="B1579"/>
    <hyperlink r:id="rId5002" ref="E1579"/>
    <hyperlink r:id="rId5003" ref="O1579"/>
    <hyperlink r:id="rId5004" ref="B1580"/>
    <hyperlink r:id="rId5005" ref="E1580"/>
    <hyperlink r:id="rId5006" ref="O1580"/>
    <hyperlink r:id="rId5007" ref="B1581"/>
    <hyperlink r:id="rId5008" ref="E1581"/>
    <hyperlink r:id="rId5009" ref="O1581"/>
    <hyperlink r:id="rId5010" ref="B1582"/>
    <hyperlink r:id="rId5011" ref="E1582"/>
    <hyperlink r:id="rId5012" ref="O1582"/>
    <hyperlink r:id="rId5013" ref="B1583"/>
    <hyperlink r:id="rId5014" ref="E1583"/>
    <hyperlink r:id="rId5015" ref="O1583"/>
    <hyperlink r:id="rId5016" ref="B1584"/>
    <hyperlink r:id="rId5017" ref="E1584"/>
    <hyperlink r:id="rId5018" ref="O1584"/>
    <hyperlink r:id="rId5019" ref="B1585"/>
    <hyperlink r:id="rId5020" ref="E1585"/>
    <hyperlink r:id="rId5021" ref="O1585"/>
    <hyperlink r:id="rId5022" ref="B1586"/>
    <hyperlink r:id="rId5023" ref="E1586"/>
    <hyperlink r:id="rId5024" ref="O1586"/>
    <hyperlink r:id="rId5025" ref="B1587"/>
    <hyperlink r:id="rId5026" ref="C1587"/>
    <hyperlink r:id="rId5027" ref="E1587"/>
    <hyperlink r:id="rId5028" ref="O1587"/>
    <hyperlink r:id="rId5029" ref="B1588"/>
    <hyperlink r:id="rId5030" ref="E1588"/>
    <hyperlink r:id="rId5031" ref="O1588"/>
    <hyperlink r:id="rId5032" ref="B1589"/>
    <hyperlink r:id="rId5033" ref="E1589"/>
    <hyperlink r:id="rId5034" ref="O1589"/>
    <hyperlink r:id="rId5035" ref="B1590"/>
    <hyperlink r:id="rId5036" ref="E1590"/>
    <hyperlink r:id="rId5037" ref="O1590"/>
    <hyperlink r:id="rId5038" ref="B1591"/>
    <hyperlink r:id="rId5039" ref="E1591"/>
    <hyperlink r:id="rId5040" ref="O1591"/>
    <hyperlink r:id="rId5041" ref="B1592"/>
    <hyperlink r:id="rId5042" ref="E1592"/>
    <hyperlink r:id="rId5043" ref="O1592"/>
    <hyperlink r:id="rId5044" ref="B1593"/>
    <hyperlink r:id="rId5045" ref="E1593"/>
    <hyperlink r:id="rId5046" ref="O1593"/>
    <hyperlink r:id="rId5047" ref="B1594"/>
    <hyperlink r:id="rId5048" ref="C1594"/>
    <hyperlink r:id="rId5049" ref="E1594"/>
    <hyperlink r:id="rId5050" ref="O1594"/>
    <hyperlink r:id="rId5051" ref="B1595"/>
    <hyperlink r:id="rId5052" ref="E1595"/>
    <hyperlink r:id="rId5053" ref="O1595"/>
    <hyperlink r:id="rId5054" ref="B1596"/>
    <hyperlink r:id="rId5055" ref="E1596"/>
    <hyperlink r:id="rId5056" ref="F1596"/>
    <hyperlink r:id="rId5057" ref="O1596"/>
    <hyperlink r:id="rId5058" ref="B1597"/>
    <hyperlink r:id="rId5059" ref="E1597"/>
    <hyperlink r:id="rId5060" ref="F1597"/>
    <hyperlink r:id="rId5061" ref="O1597"/>
    <hyperlink r:id="rId5062" ref="B1598"/>
    <hyperlink r:id="rId5063" ref="E1598"/>
    <hyperlink r:id="rId5064" ref="F1598"/>
    <hyperlink r:id="rId5065" ref="O1598"/>
    <hyperlink r:id="rId5066" ref="B1599"/>
    <hyperlink r:id="rId5067" ref="E1599"/>
    <hyperlink r:id="rId5068" ref="F1599"/>
    <hyperlink r:id="rId5069" ref="O1599"/>
    <hyperlink r:id="rId5070" ref="B1600"/>
    <hyperlink r:id="rId5071" ref="E1600"/>
    <hyperlink r:id="rId5072" ref="F1600"/>
    <hyperlink r:id="rId5073" ref="O1600"/>
    <hyperlink r:id="rId5074" ref="B1601"/>
    <hyperlink r:id="rId5075" ref="E1601"/>
    <hyperlink r:id="rId5076" ref="F1601"/>
    <hyperlink r:id="rId5077" ref="O1601"/>
    <hyperlink r:id="rId5078" ref="B1602"/>
    <hyperlink r:id="rId5079" ref="E1602"/>
    <hyperlink r:id="rId5080" ref="F1602"/>
    <hyperlink r:id="rId5081" ref="O1602"/>
    <hyperlink r:id="rId5082" ref="B1603"/>
    <hyperlink r:id="rId5083" ref="E1603"/>
    <hyperlink r:id="rId5084" ref="O1603"/>
    <hyperlink r:id="rId5085" ref="B1604"/>
    <hyperlink r:id="rId5086" ref="E1604"/>
    <hyperlink r:id="rId5087" ref="O1604"/>
    <hyperlink r:id="rId5088" ref="B1605"/>
    <hyperlink r:id="rId5089" ref="E1605"/>
    <hyperlink r:id="rId5090" ref="O1605"/>
    <hyperlink r:id="rId5091" location="37.8271784,-122.2913078" ref="P1605"/>
    <hyperlink r:id="rId5092" ref="B1606"/>
    <hyperlink r:id="rId5093" ref="E1606"/>
    <hyperlink r:id="rId5094" ref="O1606"/>
    <hyperlink r:id="rId5095" ref="B1607"/>
    <hyperlink r:id="rId5096" ref="E1607"/>
    <hyperlink r:id="rId5097" ref="O1607"/>
    <hyperlink r:id="rId5098" ref="B1608"/>
    <hyperlink r:id="rId5099" ref="E1608"/>
    <hyperlink r:id="rId5100" ref="O1608"/>
    <hyperlink r:id="rId5101" ref="B1609"/>
    <hyperlink r:id="rId5102" ref="E1609"/>
    <hyperlink r:id="rId5103" ref="O1609"/>
    <hyperlink r:id="rId5104" ref="B1610"/>
    <hyperlink r:id="rId5105" ref="E1610"/>
    <hyperlink r:id="rId5106" ref="O1610"/>
    <hyperlink r:id="rId5107" ref="B1611"/>
    <hyperlink r:id="rId5108" ref="E1611"/>
    <hyperlink r:id="rId5109" ref="O1611"/>
    <hyperlink r:id="rId5110" ref="B1612"/>
    <hyperlink r:id="rId5111" ref="E1612"/>
    <hyperlink r:id="rId5112" ref="O1612"/>
    <hyperlink r:id="rId5113" ref="B1613"/>
    <hyperlink r:id="rId5114" ref="E1613"/>
    <hyperlink r:id="rId5115" ref="O1613"/>
    <hyperlink r:id="rId5116" ref="B1614"/>
    <hyperlink r:id="rId5117" ref="E1614"/>
    <hyperlink r:id="rId5118" ref="O1614"/>
    <hyperlink r:id="rId5119" ref="B1615"/>
    <hyperlink r:id="rId5120" ref="E1615"/>
    <hyperlink r:id="rId5121" ref="O1615"/>
    <hyperlink r:id="rId5122" ref="B1616"/>
    <hyperlink r:id="rId5123" ref="E1616"/>
    <hyperlink r:id="rId5124" ref="O1616"/>
    <hyperlink r:id="rId5125" ref="B1617"/>
    <hyperlink r:id="rId5126" ref="E1617"/>
    <hyperlink r:id="rId5127" ref="O1617"/>
    <hyperlink r:id="rId5128" ref="B1618"/>
    <hyperlink r:id="rId5129" ref="E1618"/>
    <hyperlink r:id="rId5130" ref="O1618"/>
    <hyperlink r:id="rId5131" ref="B1619"/>
    <hyperlink r:id="rId5132" ref="E1619"/>
    <hyperlink r:id="rId5133" ref="F1619"/>
    <hyperlink r:id="rId5134" ref="O1619"/>
    <hyperlink r:id="rId5135" ref="B1620"/>
    <hyperlink r:id="rId5136" ref="E1620"/>
    <hyperlink r:id="rId5137" ref="O1620"/>
    <hyperlink r:id="rId5138" ref="B1621"/>
    <hyperlink r:id="rId5139" ref="E1621"/>
    <hyperlink r:id="rId5140" ref="O1621"/>
    <hyperlink r:id="rId5141" ref="B1622"/>
    <hyperlink r:id="rId5142" ref="E1622"/>
    <hyperlink r:id="rId5143" ref="O1622"/>
    <hyperlink r:id="rId5144" ref="B1623"/>
    <hyperlink r:id="rId5145" ref="E1623"/>
    <hyperlink r:id="rId5146" ref="O1623"/>
    <hyperlink r:id="rId5147" ref="B1624"/>
    <hyperlink r:id="rId5148" ref="E1624"/>
    <hyperlink r:id="rId5149" ref="O1624"/>
    <hyperlink r:id="rId5150" ref="B1625"/>
    <hyperlink r:id="rId5151" ref="E1625"/>
    <hyperlink r:id="rId5152" ref="O1625"/>
    <hyperlink r:id="rId5153" ref="B1626"/>
    <hyperlink r:id="rId5154" ref="E1626"/>
    <hyperlink r:id="rId5155" ref="O1626"/>
    <hyperlink r:id="rId5156" ref="B1627"/>
    <hyperlink r:id="rId5157" ref="E1627"/>
    <hyperlink r:id="rId5158" ref="O1627"/>
    <hyperlink r:id="rId5159" ref="B1628"/>
    <hyperlink r:id="rId5160" ref="E1628"/>
    <hyperlink r:id="rId5161" ref="O1628"/>
    <hyperlink r:id="rId5162" ref="B1629"/>
    <hyperlink r:id="rId5163" ref="E1629"/>
    <hyperlink r:id="rId5164" ref="O1629"/>
    <hyperlink r:id="rId5165" ref="B1630"/>
    <hyperlink r:id="rId5166" ref="E1630"/>
    <hyperlink r:id="rId5167" ref="O1630"/>
    <hyperlink r:id="rId5168" ref="B1631"/>
    <hyperlink r:id="rId5169" ref="E1631"/>
    <hyperlink r:id="rId5170" ref="O1631"/>
    <hyperlink r:id="rId5171" ref="B1632"/>
    <hyperlink r:id="rId5172" ref="E1632"/>
    <hyperlink r:id="rId5173" ref="O1632"/>
    <hyperlink r:id="rId5174" ref="B1633"/>
    <hyperlink r:id="rId5175" ref="E1633"/>
    <hyperlink r:id="rId5176" ref="O1633"/>
    <hyperlink r:id="rId5177" ref="B1634"/>
    <hyperlink r:id="rId5178" ref="E1634"/>
    <hyperlink r:id="rId5179" ref="O1634"/>
    <hyperlink r:id="rId5180" ref="B1635"/>
    <hyperlink r:id="rId5181" ref="E1635"/>
    <hyperlink r:id="rId5182" ref="O1635"/>
    <hyperlink r:id="rId5183" ref="B1636"/>
    <hyperlink r:id="rId5184" ref="E1636"/>
    <hyperlink r:id="rId5185" ref="O1636"/>
    <hyperlink r:id="rId5186" ref="B1637"/>
    <hyperlink r:id="rId5187" ref="E1637"/>
    <hyperlink r:id="rId5188" ref="O1637"/>
    <hyperlink r:id="rId5189" ref="B1638"/>
    <hyperlink r:id="rId5190" ref="E1638"/>
    <hyperlink r:id="rId5191" ref="O1638"/>
    <hyperlink r:id="rId5192" ref="B1639"/>
    <hyperlink r:id="rId5193" ref="E1639"/>
    <hyperlink r:id="rId5194" ref="O1639"/>
    <hyperlink r:id="rId5195" ref="B1640"/>
    <hyperlink r:id="rId5196" ref="E1640"/>
    <hyperlink r:id="rId5197" ref="O1640"/>
    <hyperlink r:id="rId5198" ref="B1641"/>
    <hyperlink r:id="rId5199" ref="E1641"/>
    <hyperlink r:id="rId5200" ref="O1641"/>
    <hyperlink r:id="rId5201" ref="B1642"/>
    <hyperlink r:id="rId5202" ref="E1642"/>
    <hyperlink r:id="rId5203" ref="O1642"/>
    <hyperlink r:id="rId5204" ref="B1643"/>
    <hyperlink r:id="rId5205" ref="E1643"/>
    <hyperlink r:id="rId5206" ref="O1643"/>
    <hyperlink r:id="rId5207" ref="B1644"/>
    <hyperlink r:id="rId5208" ref="E1644"/>
    <hyperlink r:id="rId5209" ref="O1644"/>
    <hyperlink r:id="rId5210" ref="B1645"/>
    <hyperlink r:id="rId5211" ref="E1645"/>
    <hyperlink r:id="rId5212" ref="O1645"/>
    <hyperlink r:id="rId5213" ref="B1646"/>
    <hyperlink r:id="rId5214" ref="E1646"/>
    <hyperlink r:id="rId5215" ref="O1646"/>
    <hyperlink r:id="rId5216" ref="B1647"/>
    <hyperlink r:id="rId5217" ref="E1647"/>
    <hyperlink r:id="rId5218" ref="F1647"/>
    <hyperlink r:id="rId5219" ref="O1647"/>
    <hyperlink r:id="rId5220" ref="B1648"/>
    <hyperlink r:id="rId5221" ref="E1648"/>
    <hyperlink r:id="rId5222" ref="F1648"/>
    <hyperlink r:id="rId5223" ref="O1648"/>
    <hyperlink r:id="rId5224" ref="B1649"/>
    <hyperlink r:id="rId5225" ref="E1649"/>
    <hyperlink r:id="rId5226" ref="F1649"/>
    <hyperlink r:id="rId5227" ref="O1649"/>
    <hyperlink r:id="rId5228" ref="B1650"/>
    <hyperlink r:id="rId5229" ref="E1650"/>
    <hyperlink r:id="rId5230" ref="F1650"/>
    <hyperlink r:id="rId5231" ref="O1650"/>
    <hyperlink r:id="rId5232" ref="B1651"/>
    <hyperlink r:id="rId5233" ref="E1651"/>
    <hyperlink r:id="rId5234" ref="F1651"/>
    <hyperlink r:id="rId5235" ref="O1651"/>
    <hyperlink r:id="rId5236" ref="B1652"/>
    <hyperlink r:id="rId5237" ref="E1652"/>
    <hyperlink r:id="rId5238" ref="O1652"/>
    <hyperlink r:id="rId5239" ref="B1653"/>
    <hyperlink r:id="rId5240" ref="E1653"/>
    <hyperlink r:id="rId5241" ref="O1653"/>
    <hyperlink r:id="rId5242" ref="B1654"/>
    <hyperlink r:id="rId5243" ref="E1654"/>
    <hyperlink r:id="rId5244" ref="O1654"/>
    <hyperlink r:id="rId5245" ref="B1655"/>
    <hyperlink r:id="rId5246" ref="E1655"/>
    <hyperlink r:id="rId5247" ref="O1655"/>
    <hyperlink r:id="rId5248" ref="B1656"/>
    <hyperlink r:id="rId5249" ref="E1656"/>
    <hyperlink r:id="rId5250" ref="O1656"/>
    <hyperlink r:id="rId5251" ref="B1657"/>
    <hyperlink r:id="rId5252" ref="E1657"/>
    <hyperlink r:id="rId5253" ref="O1657"/>
    <hyperlink r:id="rId5254" ref="B1658"/>
    <hyperlink r:id="rId5255" ref="E1658"/>
    <hyperlink r:id="rId5256" ref="O1658"/>
    <hyperlink r:id="rId5257" ref="B1659"/>
    <hyperlink r:id="rId5258" ref="E1659"/>
    <hyperlink r:id="rId5259" ref="O1659"/>
    <hyperlink r:id="rId5260" ref="B1660"/>
    <hyperlink r:id="rId5261" ref="E1660"/>
    <hyperlink r:id="rId5262" ref="O1660"/>
    <hyperlink r:id="rId5263" ref="B1661"/>
    <hyperlink r:id="rId5264" ref="E1661"/>
    <hyperlink r:id="rId5265" ref="O1661"/>
    <hyperlink r:id="rId5266" ref="B1662"/>
    <hyperlink r:id="rId5267" ref="E1662"/>
    <hyperlink r:id="rId5268" ref="O1662"/>
    <hyperlink r:id="rId5269" ref="B1663"/>
    <hyperlink r:id="rId5270" ref="E1663"/>
    <hyperlink r:id="rId5271" ref="O1663"/>
    <hyperlink r:id="rId5272" ref="B1664"/>
    <hyperlink r:id="rId5273" ref="E1664"/>
    <hyperlink r:id="rId5274" ref="O1664"/>
    <hyperlink r:id="rId5275" ref="B1665"/>
    <hyperlink r:id="rId5276" ref="E1665"/>
    <hyperlink r:id="rId5277" ref="O1665"/>
    <hyperlink r:id="rId5278" ref="B1666"/>
    <hyperlink r:id="rId5279" ref="E1666"/>
    <hyperlink r:id="rId5280" ref="O1666"/>
    <hyperlink r:id="rId5281" ref="B1667"/>
    <hyperlink r:id="rId5282" ref="E1667"/>
    <hyperlink r:id="rId5283" ref="O1667"/>
    <hyperlink r:id="rId5284" ref="B1668"/>
    <hyperlink r:id="rId5285" ref="E1668"/>
    <hyperlink r:id="rId5286" ref="O1668"/>
    <hyperlink r:id="rId5287" ref="B1669"/>
    <hyperlink r:id="rId5288" ref="E1669"/>
    <hyperlink r:id="rId5289" ref="O1669"/>
    <hyperlink r:id="rId5290" ref="B1670"/>
    <hyperlink r:id="rId5291" ref="E1670"/>
    <hyperlink r:id="rId5292" ref="O1670"/>
    <hyperlink r:id="rId5293" ref="B1671"/>
    <hyperlink r:id="rId5294" ref="E1671"/>
    <hyperlink r:id="rId5295" ref="O1671"/>
    <hyperlink r:id="rId5296" ref="B1672"/>
    <hyperlink r:id="rId5297" ref="E1672"/>
    <hyperlink r:id="rId5298" ref="O1672"/>
    <hyperlink r:id="rId5299" ref="B1673"/>
    <hyperlink r:id="rId5300" ref="E1673"/>
    <hyperlink r:id="rId5301" ref="O1673"/>
    <hyperlink r:id="rId5302" ref="B1674"/>
    <hyperlink r:id="rId5303" ref="E1674"/>
    <hyperlink r:id="rId5304" ref="O1674"/>
    <hyperlink r:id="rId5305" ref="B1675"/>
    <hyperlink r:id="rId5306" ref="E1675"/>
    <hyperlink r:id="rId5307" ref="O1675"/>
    <hyperlink r:id="rId5308" ref="B1676"/>
    <hyperlink r:id="rId5309" ref="E1676"/>
    <hyperlink r:id="rId5310" ref="O1676"/>
    <hyperlink r:id="rId5311" ref="B1677"/>
    <hyperlink r:id="rId5312" ref="E1677"/>
    <hyperlink r:id="rId5313" ref="O1677"/>
    <hyperlink r:id="rId5314" ref="B1678"/>
    <hyperlink r:id="rId5315" ref="E1678"/>
    <hyperlink r:id="rId5316" ref="O1678"/>
    <hyperlink r:id="rId5317" ref="B1679"/>
    <hyperlink r:id="rId5318" ref="E1679"/>
    <hyperlink r:id="rId5319" ref="O1679"/>
    <hyperlink r:id="rId5320" ref="B1680"/>
    <hyperlink r:id="rId5321" ref="E1680"/>
    <hyperlink r:id="rId5322" ref="O1680"/>
    <hyperlink r:id="rId5323" ref="B1681"/>
    <hyperlink r:id="rId5324" ref="E1681"/>
    <hyperlink r:id="rId5325" ref="O1681"/>
    <hyperlink r:id="rId5326" ref="B1682"/>
    <hyperlink r:id="rId5327" ref="E1682"/>
    <hyperlink r:id="rId5328" ref="F1682"/>
    <hyperlink r:id="rId5329" ref="O1682"/>
    <hyperlink r:id="rId5330" ref="B1683"/>
    <hyperlink r:id="rId5331" ref="E1683"/>
    <hyperlink r:id="rId5332" ref="F1683"/>
    <hyperlink r:id="rId5333" ref="O1683"/>
    <hyperlink r:id="rId5334" ref="B1684"/>
    <hyperlink r:id="rId5335" ref="E1684"/>
    <hyperlink r:id="rId5336" ref="F1684"/>
    <hyperlink r:id="rId5337" ref="O1684"/>
    <hyperlink r:id="rId5338" ref="B1685"/>
    <hyperlink r:id="rId5339" ref="E1685"/>
    <hyperlink r:id="rId5340" ref="O1685"/>
    <hyperlink r:id="rId5341" ref="B1686"/>
    <hyperlink r:id="rId5342" ref="E1686"/>
    <hyperlink r:id="rId5343" ref="O1686"/>
    <hyperlink r:id="rId5344" ref="B1687"/>
    <hyperlink r:id="rId5345" ref="E1687"/>
    <hyperlink r:id="rId5346" ref="O1687"/>
    <hyperlink r:id="rId5347" ref="B1688"/>
    <hyperlink r:id="rId5348" ref="E1688"/>
    <hyperlink r:id="rId5349" ref="O1688"/>
    <hyperlink r:id="rId5350" ref="B1689"/>
    <hyperlink r:id="rId5351" ref="E1689"/>
    <hyperlink r:id="rId5352" ref="O1689"/>
    <hyperlink r:id="rId5353" ref="B1690"/>
    <hyperlink r:id="rId5354" ref="E1690"/>
    <hyperlink r:id="rId5355" ref="O1690"/>
    <hyperlink r:id="rId5356" ref="B1691"/>
    <hyperlink r:id="rId5357" ref="E1691"/>
    <hyperlink r:id="rId5358" ref="O1691"/>
    <hyperlink r:id="rId5359" ref="B1692"/>
    <hyperlink r:id="rId5360" ref="E1692"/>
    <hyperlink r:id="rId5361" ref="O1692"/>
    <hyperlink r:id="rId5362" ref="B1693"/>
    <hyperlink r:id="rId5363" ref="E1693"/>
    <hyperlink r:id="rId5364" ref="O1693"/>
    <hyperlink r:id="rId5365" ref="B1694"/>
    <hyperlink r:id="rId5366" ref="E1694"/>
    <hyperlink r:id="rId5367" ref="O1694"/>
    <hyperlink r:id="rId5368" ref="B1695"/>
    <hyperlink r:id="rId5369" ref="C1695"/>
    <hyperlink r:id="rId5370" ref="E1695"/>
    <hyperlink r:id="rId5371" ref="F1695"/>
    <hyperlink r:id="rId5372" ref="O1695"/>
    <hyperlink r:id="rId5373" ref="B1696"/>
    <hyperlink r:id="rId5374" ref="E1696"/>
    <hyperlink r:id="rId5375" ref="O1696"/>
    <hyperlink r:id="rId5376" ref="B1697"/>
    <hyperlink r:id="rId5377" ref="E1697"/>
    <hyperlink r:id="rId5378" ref="O1697"/>
    <hyperlink r:id="rId5379" ref="B1698"/>
    <hyperlink r:id="rId5380" ref="E1698"/>
    <hyperlink r:id="rId5381" ref="O1698"/>
    <hyperlink r:id="rId5382" ref="B1699"/>
    <hyperlink r:id="rId5383" ref="E1699"/>
    <hyperlink r:id="rId5384" ref="O1699"/>
    <hyperlink r:id="rId5385" ref="B1700"/>
    <hyperlink r:id="rId5386" ref="E1700"/>
    <hyperlink r:id="rId5387" ref="O1700"/>
    <hyperlink r:id="rId5388" ref="B1701"/>
    <hyperlink r:id="rId5389" ref="E1701"/>
    <hyperlink r:id="rId5390" ref="O1701"/>
    <hyperlink r:id="rId5391" ref="B1702"/>
    <hyperlink r:id="rId5392" ref="E1702"/>
    <hyperlink r:id="rId5393" ref="O1702"/>
    <hyperlink r:id="rId5394" ref="B1703"/>
    <hyperlink r:id="rId5395" ref="E1703"/>
    <hyperlink r:id="rId5396" ref="O1703"/>
    <hyperlink r:id="rId5397" ref="B1704"/>
    <hyperlink r:id="rId5398" ref="E1704"/>
    <hyperlink r:id="rId5399" ref="O1704"/>
    <hyperlink r:id="rId5400" ref="B1705"/>
    <hyperlink r:id="rId5401" ref="E1705"/>
    <hyperlink r:id="rId5402" ref="F1705"/>
    <hyperlink r:id="rId5403" ref="O1705"/>
    <hyperlink r:id="rId5404" ref="B1706"/>
    <hyperlink r:id="rId5405" ref="E1706"/>
    <hyperlink r:id="rId5406" ref="F1706"/>
    <hyperlink r:id="rId5407" ref="O1706"/>
    <hyperlink r:id="rId5408" ref="B1707"/>
    <hyperlink r:id="rId5409" ref="E1707"/>
    <hyperlink r:id="rId5410" ref="F1707"/>
    <hyperlink r:id="rId5411" ref="O1707"/>
    <hyperlink r:id="rId5412" ref="B1708"/>
    <hyperlink r:id="rId5413" ref="E1708"/>
    <hyperlink r:id="rId5414" ref="F1708"/>
    <hyperlink r:id="rId5415" ref="O1708"/>
    <hyperlink r:id="rId5416" ref="B1709"/>
    <hyperlink r:id="rId5417" ref="E1709"/>
    <hyperlink r:id="rId5418" ref="F1709"/>
    <hyperlink r:id="rId5419" ref="O1709"/>
    <hyperlink r:id="rId5420" ref="B1710"/>
    <hyperlink r:id="rId5421" ref="E1710"/>
    <hyperlink r:id="rId5422" ref="F1710"/>
    <hyperlink r:id="rId5423" ref="O1710"/>
    <hyperlink r:id="rId5424" ref="B1711"/>
    <hyperlink r:id="rId5425" ref="E1711"/>
    <hyperlink r:id="rId5426" ref="F1711"/>
    <hyperlink r:id="rId5427" ref="O1711"/>
    <hyperlink r:id="rId5428" ref="B1712"/>
    <hyperlink r:id="rId5429" ref="E1712"/>
    <hyperlink r:id="rId5430" ref="O1712"/>
    <hyperlink r:id="rId5431" ref="B1713"/>
    <hyperlink r:id="rId5432" ref="E1713"/>
    <hyperlink r:id="rId5433" ref="O1713"/>
    <hyperlink r:id="rId5434" ref="B1714"/>
    <hyperlink r:id="rId5435" ref="E1714"/>
    <hyperlink r:id="rId5436" ref="O1714"/>
    <hyperlink r:id="rId5437" ref="B1715"/>
    <hyperlink r:id="rId5438" ref="E1715"/>
    <hyperlink r:id="rId5439" ref="O1715"/>
    <hyperlink r:id="rId5440" ref="B1716"/>
    <hyperlink r:id="rId5441" ref="E1716"/>
    <hyperlink r:id="rId5442" ref="O1716"/>
    <hyperlink r:id="rId5443" ref="B1717"/>
    <hyperlink r:id="rId5444" ref="E1717"/>
    <hyperlink r:id="rId5445" ref="O1717"/>
    <hyperlink r:id="rId5446" ref="B1718"/>
    <hyperlink r:id="rId5447" ref="E1718"/>
    <hyperlink r:id="rId5448" ref="O1718"/>
    <hyperlink r:id="rId5449" ref="B1719"/>
    <hyperlink r:id="rId5450" ref="E1719"/>
    <hyperlink r:id="rId5451" ref="O1719"/>
    <hyperlink r:id="rId5452" ref="B1720"/>
    <hyperlink r:id="rId5453" ref="E1720"/>
    <hyperlink r:id="rId5454" ref="O1720"/>
    <hyperlink r:id="rId5455" ref="B1721"/>
    <hyperlink r:id="rId5456" ref="E1721"/>
    <hyperlink r:id="rId5457" ref="O1721"/>
    <hyperlink r:id="rId5458" ref="B1722"/>
    <hyperlink r:id="rId5459" ref="E1722"/>
    <hyperlink r:id="rId5460" ref="O1722"/>
    <hyperlink r:id="rId5461" ref="B1723"/>
    <hyperlink r:id="rId5462" ref="E1723"/>
    <hyperlink r:id="rId5463" ref="O1723"/>
    <hyperlink r:id="rId5464" ref="B1724"/>
    <hyperlink r:id="rId5465" ref="E1724"/>
    <hyperlink r:id="rId5466" ref="O1724"/>
    <hyperlink r:id="rId5467" ref="B1725"/>
    <hyperlink r:id="rId5468" ref="E1725"/>
    <hyperlink r:id="rId5469" ref="O1725"/>
    <hyperlink r:id="rId5470" ref="B1726"/>
    <hyperlink r:id="rId5471" ref="E1726"/>
    <hyperlink r:id="rId5472" ref="O1726"/>
    <hyperlink r:id="rId5473" ref="B1727"/>
    <hyperlink r:id="rId5474" ref="E1727"/>
    <hyperlink r:id="rId5475" ref="O1727"/>
    <hyperlink r:id="rId5476" ref="B1728"/>
    <hyperlink r:id="rId5477" ref="E1728"/>
    <hyperlink r:id="rId5478" ref="O1728"/>
    <hyperlink r:id="rId5479" ref="B1729"/>
    <hyperlink r:id="rId5480" ref="E1729"/>
    <hyperlink r:id="rId5481" ref="O1729"/>
    <hyperlink r:id="rId5482" ref="B1730"/>
    <hyperlink r:id="rId5483" ref="E1730"/>
    <hyperlink r:id="rId5484" ref="O1730"/>
    <hyperlink r:id="rId5485" ref="B1731"/>
    <hyperlink r:id="rId5486" ref="E1731"/>
    <hyperlink r:id="rId5487" ref="O1731"/>
    <hyperlink r:id="rId5488" ref="B1732"/>
    <hyperlink r:id="rId5489" ref="E1732"/>
    <hyperlink r:id="rId5490" ref="O1732"/>
    <hyperlink r:id="rId5491" ref="B1733"/>
    <hyperlink r:id="rId5492" ref="E1733"/>
    <hyperlink r:id="rId5493" ref="O1733"/>
    <hyperlink r:id="rId5494" ref="B1734"/>
    <hyperlink r:id="rId5495" ref="E1734"/>
    <hyperlink r:id="rId5496" ref="O1734"/>
    <hyperlink r:id="rId5497" ref="B1735"/>
    <hyperlink r:id="rId5498" ref="E1735"/>
    <hyperlink r:id="rId5499" ref="O1735"/>
    <hyperlink r:id="rId5500" ref="B1736"/>
    <hyperlink r:id="rId5501" ref="E1736"/>
    <hyperlink r:id="rId5502" ref="O1736"/>
    <hyperlink r:id="rId5503" ref="B1737"/>
    <hyperlink r:id="rId5504" ref="E1737"/>
    <hyperlink r:id="rId5505" ref="O1737"/>
    <hyperlink r:id="rId5506" ref="B1738"/>
    <hyperlink r:id="rId5507" ref="E1738"/>
    <hyperlink r:id="rId5508" ref="O1738"/>
    <hyperlink r:id="rId5509" ref="B1739"/>
    <hyperlink r:id="rId5510" ref="E1739"/>
    <hyperlink r:id="rId5511" ref="O1739"/>
    <hyperlink r:id="rId5512" ref="B1740"/>
    <hyperlink r:id="rId5513" ref="E1740"/>
    <hyperlink r:id="rId5514" ref="O1740"/>
    <hyperlink r:id="rId5515" ref="B1741"/>
    <hyperlink r:id="rId5516" ref="E1741"/>
    <hyperlink r:id="rId5517" ref="O1741"/>
    <hyperlink r:id="rId5518" ref="B1742"/>
    <hyperlink r:id="rId5519" ref="E1742"/>
    <hyperlink r:id="rId5520" ref="O1742"/>
    <hyperlink r:id="rId5521" ref="B1743"/>
    <hyperlink r:id="rId5522" ref="E1743"/>
    <hyperlink r:id="rId5523" ref="O1743"/>
    <hyperlink r:id="rId5524" ref="B1744"/>
    <hyperlink r:id="rId5525" ref="E1744"/>
    <hyperlink r:id="rId5526" ref="O1744"/>
    <hyperlink r:id="rId5527" ref="B1745"/>
    <hyperlink r:id="rId5528" ref="E1745"/>
    <hyperlink r:id="rId5529" ref="O1745"/>
    <hyperlink r:id="rId5530" ref="B1746"/>
    <hyperlink r:id="rId5531" ref="E1746"/>
    <hyperlink r:id="rId5532" ref="O1746"/>
    <hyperlink r:id="rId5533" ref="B1747"/>
    <hyperlink r:id="rId5534" ref="E1747"/>
    <hyperlink r:id="rId5535" ref="O1747"/>
    <hyperlink r:id="rId5536" ref="B1748"/>
    <hyperlink r:id="rId5537" ref="E1748"/>
    <hyperlink r:id="rId5538" ref="O1748"/>
    <hyperlink r:id="rId5539" ref="B1749"/>
    <hyperlink r:id="rId5540" ref="E1749"/>
    <hyperlink r:id="rId5541" ref="O1749"/>
    <hyperlink r:id="rId5542" ref="B1750"/>
    <hyperlink r:id="rId5543" ref="E1750"/>
    <hyperlink r:id="rId5544" ref="O1750"/>
    <hyperlink r:id="rId5545" ref="B1751"/>
    <hyperlink r:id="rId5546" ref="E1751"/>
    <hyperlink r:id="rId5547" ref="O1751"/>
    <hyperlink r:id="rId5548" ref="B1752"/>
    <hyperlink r:id="rId5549" ref="E1752"/>
    <hyperlink r:id="rId5550" ref="O1752"/>
    <hyperlink r:id="rId5551" ref="B1753"/>
    <hyperlink r:id="rId5552" ref="E1753"/>
    <hyperlink r:id="rId5553" ref="O1753"/>
    <hyperlink r:id="rId5554" ref="B1754"/>
    <hyperlink r:id="rId5555" ref="E1754"/>
    <hyperlink r:id="rId5556" ref="O1754"/>
    <hyperlink r:id="rId5557" ref="B1755"/>
    <hyperlink r:id="rId5558" ref="E1755"/>
    <hyperlink r:id="rId5559" ref="O1755"/>
    <hyperlink r:id="rId5560" ref="B1756"/>
    <hyperlink r:id="rId5561" ref="E1756"/>
    <hyperlink r:id="rId5562" ref="O1756"/>
    <hyperlink r:id="rId5563" ref="B1757"/>
    <hyperlink r:id="rId5564" ref="E1757"/>
    <hyperlink r:id="rId5565" ref="O1757"/>
    <hyperlink r:id="rId5566" ref="B1758"/>
    <hyperlink r:id="rId5567" ref="E1758"/>
    <hyperlink r:id="rId5568" ref="O1758"/>
    <hyperlink r:id="rId5569" ref="B1759"/>
    <hyperlink r:id="rId5570" ref="E1759"/>
    <hyperlink r:id="rId5571" ref="O1759"/>
    <hyperlink r:id="rId5572" ref="B1760"/>
    <hyperlink r:id="rId5573" ref="E1760"/>
    <hyperlink r:id="rId5574" ref="O1760"/>
    <hyperlink r:id="rId5575" ref="B1761"/>
    <hyperlink r:id="rId5576" ref="E1761"/>
    <hyperlink r:id="rId5577" ref="O1761"/>
    <hyperlink r:id="rId5578" ref="B1762"/>
    <hyperlink r:id="rId5579" ref="E1762"/>
    <hyperlink r:id="rId5580" ref="O1762"/>
    <hyperlink r:id="rId5581" ref="B1763"/>
    <hyperlink r:id="rId5582" ref="E1763"/>
    <hyperlink r:id="rId5583" ref="O1763"/>
    <hyperlink r:id="rId5584" ref="B1764"/>
    <hyperlink r:id="rId5585" ref="E1764"/>
    <hyperlink r:id="rId5586" ref="O1764"/>
    <hyperlink r:id="rId5587" ref="B1765"/>
    <hyperlink r:id="rId5588" ref="E1765"/>
    <hyperlink r:id="rId5589" ref="O1765"/>
    <hyperlink r:id="rId5590" ref="B1766"/>
    <hyperlink r:id="rId5591" ref="E1766"/>
    <hyperlink r:id="rId5592" ref="O1766"/>
    <hyperlink r:id="rId5593" ref="B1767"/>
    <hyperlink r:id="rId5594" ref="E1767"/>
    <hyperlink r:id="rId5595" ref="O1767"/>
    <hyperlink r:id="rId5596" ref="B1768"/>
    <hyperlink r:id="rId5597" ref="E1768"/>
    <hyperlink r:id="rId5598" ref="O1768"/>
    <hyperlink r:id="rId5599" ref="B1769"/>
    <hyperlink r:id="rId5600" ref="E1769"/>
    <hyperlink r:id="rId5601" ref="O1769"/>
    <hyperlink r:id="rId5602" ref="B1770"/>
    <hyperlink r:id="rId5603" ref="E1770"/>
    <hyperlink r:id="rId5604" ref="O1770"/>
    <hyperlink r:id="rId5605" ref="B1771"/>
    <hyperlink r:id="rId5606" ref="E1771"/>
    <hyperlink r:id="rId5607" ref="O1771"/>
    <hyperlink r:id="rId5608" ref="B1772"/>
    <hyperlink r:id="rId5609" ref="E1772"/>
    <hyperlink r:id="rId5610" ref="O1772"/>
    <hyperlink r:id="rId5611" ref="B1773"/>
    <hyperlink r:id="rId5612" ref="E1773"/>
    <hyperlink r:id="rId5613" ref="O1773"/>
    <hyperlink r:id="rId5614" ref="B1774"/>
    <hyperlink r:id="rId5615" ref="E1774"/>
    <hyperlink r:id="rId5616" ref="O1774"/>
    <hyperlink r:id="rId5617" ref="B1775"/>
    <hyperlink r:id="rId5618" ref="E1775"/>
    <hyperlink r:id="rId5619" ref="O1775"/>
    <hyperlink r:id="rId5620" ref="B1776"/>
    <hyperlink r:id="rId5621" ref="E1776"/>
    <hyperlink r:id="rId5622" ref="O1776"/>
    <hyperlink r:id="rId5623" ref="B1777"/>
    <hyperlink r:id="rId5624" ref="E1777"/>
    <hyperlink r:id="rId5625" ref="O1777"/>
    <hyperlink r:id="rId5626" ref="B1778"/>
    <hyperlink r:id="rId5627" ref="E1778"/>
    <hyperlink r:id="rId5628" ref="O1778"/>
    <hyperlink r:id="rId5629" ref="B1779"/>
    <hyperlink r:id="rId5630" ref="E1779"/>
    <hyperlink r:id="rId5631" ref="O1779"/>
    <hyperlink r:id="rId5632" ref="B1780"/>
    <hyperlink r:id="rId5633" ref="E1780"/>
    <hyperlink r:id="rId5634" ref="O1780"/>
    <hyperlink r:id="rId5635" ref="B1781"/>
    <hyperlink r:id="rId5636" ref="E1781"/>
    <hyperlink r:id="rId5637" ref="F1781"/>
    <hyperlink r:id="rId5638" ref="O1781"/>
    <hyperlink r:id="rId5639" ref="B1782"/>
    <hyperlink r:id="rId5640" ref="E1782"/>
    <hyperlink r:id="rId5641" ref="F1782"/>
    <hyperlink r:id="rId5642" ref="O1782"/>
    <hyperlink r:id="rId5643" ref="B1783"/>
    <hyperlink r:id="rId5644" ref="E1783"/>
    <hyperlink r:id="rId5645" ref="F1783"/>
    <hyperlink r:id="rId5646" ref="O1783"/>
    <hyperlink r:id="rId5647" ref="B1784"/>
    <hyperlink r:id="rId5648" ref="E1784"/>
    <hyperlink r:id="rId5649" ref="O1784"/>
    <hyperlink r:id="rId5650" ref="B1785"/>
    <hyperlink r:id="rId5651" ref="E1785"/>
    <hyperlink r:id="rId5652" ref="O1785"/>
    <hyperlink r:id="rId5653" ref="B1786"/>
    <hyperlink r:id="rId5654" ref="E1786"/>
    <hyperlink r:id="rId5655" ref="O1786"/>
    <hyperlink r:id="rId5656" ref="B1787"/>
    <hyperlink r:id="rId5657" ref="E1787"/>
    <hyperlink r:id="rId5658" ref="O1787"/>
    <hyperlink r:id="rId5659" ref="B1788"/>
    <hyperlink r:id="rId5660" ref="E1788"/>
    <hyperlink r:id="rId5661" ref="O1788"/>
    <hyperlink r:id="rId5662" ref="B1789"/>
    <hyperlink r:id="rId5663" ref="E1789"/>
    <hyperlink r:id="rId5664" ref="O1789"/>
    <hyperlink r:id="rId5665" ref="B1790"/>
    <hyperlink r:id="rId5666" ref="E1790"/>
    <hyperlink r:id="rId5667" ref="O1790"/>
    <hyperlink r:id="rId5668" ref="B1791"/>
    <hyperlink r:id="rId5669" ref="E1791"/>
    <hyperlink r:id="rId5670" ref="O1791"/>
    <hyperlink r:id="rId5671" ref="B1792"/>
    <hyperlink r:id="rId5672" ref="E1792"/>
    <hyperlink r:id="rId5673" ref="O1792"/>
    <hyperlink r:id="rId5674" ref="B1793"/>
    <hyperlink r:id="rId5675" ref="E1793"/>
    <hyperlink r:id="rId5676" ref="O1793"/>
    <hyperlink r:id="rId5677" ref="B1794"/>
    <hyperlink r:id="rId5678" ref="E1794"/>
    <hyperlink r:id="rId5679" ref="O1794"/>
    <hyperlink r:id="rId5680" ref="B1795"/>
    <hyperlink r:id="rId5681" ref="E1795"/>
    <hyperlink r:id="rId5682" ref="O1795"/>
    <hyperlink r:id="rId5683" ref="B1796"/>
    <hyperlink r:id="rId5684" ref="E1796"/>
    <hyperlink r:id="rId5685" ref="O1796"/>
    <hyperlink r:id="rId5686" ref="B1797"/>
    <hyperlink r:id="rId5687" ref="E1797"/>
    <hyperlink r:id="rId5688" ref="O1797"/>
    <hyperlink r:id="rId5689" ref="B1798"/>
    <hyperlink r:id="rId5690" ref="E1798"/>
    <hyperlink r:id="rId5691" ref="F1798"/>
    <hyperlink r:id="rId5692" ref="O1798"/>
    <hyperlink r:id="rId5693" ref="B1799"/>
    <hyperlink r:id="rId5694" ref="E1799"/>
    <hyperlink r:id="rId5695" ref="O1799"/>
    <hyperlink r:id="rId5696" ref="B1800"/>
    <hyperlink r:id="rId5697" ref="E1800"/>
    <hyperlink r:id="rId5698" ref="O1800"/>
    <hyperlink r:id="rId5699" ref="B1801"/>
    <hyperlink r:id="rId5700" ref="E1801"/>
    <hyperlink r:id="rId5701" ref="O1801"/>
    <hyperlink r:id="rId5702" ref="B1802"/>
    <hyperlink r:id="rId5703" ref="E1802"/>
    <hyperlink r:id="rId5704" ref="O1802"/>
    <hyperlink r:id="rId5705" ref="B1803"/>
    <hyperlink r:id="rId5706" ref="E1803"/>
    <hyperlink r:id="rId5707" ref="O1803"/>
    <hyperlink r:id="rId5708" ref="B1804"/>
    <hyperlink r:id="rId5709" ref="E1804"/>
    <hyperlink r:id="rId5710" ref="O1804"/>
    <hyperlink r:id="rId5711" ref="B1805"/>
    <hyperlink r:id="rId5712" ref="E1805"/>
    <hyperlink r:id="rId5713" ref="O1805"/>
    <hyperlink r:id="rId5714" ref="B1806"/>
    <hyperlink r:id="rId5715" ref="E1806"/>
    <hyperlink r:id="rId5716" ref="O1806"/>
    <hyperlink r:id="rId5717" ref="B1807"/>
    <hyperlink r:id="rId5718" ref="E1807"/>
    <hyperlink r:id="rId5719" ref="O1807"/>
    <hyperlink r:id="rId5720" ref="B1808"/>
    <hyperlink r:id="rId5721" ref="E1808"/>
    <hyperlink r:id="rId5722" ref="O1808"/>
    <hyperlink r:id="rId5723" ref="B1809"/>
    <hyperlink r:id="rId5724" ref="E1809"/>
    <hyperlink r:id="rId5725" ref="O1809"/>
    <hyperlink r:id="rId5726" ref="B1810"/>
    <hyperlink r:id="rId5727" ref="E1810"/>
    <hyperlink r:id="rId5728" ref="O1810"/>
    <hyperlink r:id="rId5729" ref="B1811"/>
    <hyperlink r:id="rId5730" ref="E1811"/>
    <hyperlink r:id="rId5731" ref="O1811"/>
    <hyperlink r:id="rId5732" ref="B1812"/>
    <hyperlink r:id="rId5733" ref="E1812"/>
    <hyperlink r:id="rId5734" ref="O1812"/>
    <hyperlink r:id="rId5735" ref="B1813"/>
    <hyperlink r:id="rId5736" ref="E1813"/>
    <hyperlink r:id="rId5737" ref="O1813"/>
    <hyperlink r:id="rId5738" ref="B1814"/>
    <hyperlink r:id="rId5739" ref="E1814"/>
    <hyperlink r:id="rId5740" ref="O1814"/>
    <hyperlink r:id="rId5741" ref="B1815"/>
    <hyperlink r:id="rId5742" ref="E1815"/>
    <hyperlink r:id="rId5743" ref="O1815"/>
    <hyperlink r:id="rId5744" ref="B1816"/>
    <hyperlink r:id="rId5745" ref="E1816"/>
    <hyperlink r:id="rId5746" ref="O1816"/>
    <hyperlink r:id="rId5747" ref="B1817"/>
    <hyperlink r:id="rId5748" ref="E1817"/>
    <hyperlink r:id="rId5749" ref="O1817"/>
    <hyperlink r:id="rId5750" ref="B1818"/>
    <hyperlink r:id="rId5751" ref="E1818"/>
    <hyperlink r:id="rId5752" ref="O1818"/>
    <hyperlink r:id="rId5753" ref="B1819"/>
    <hyperlink r:id="rId5754" ref="E1819"/>
    <hyperlink r:id="rId5755" ref="O1819"/>
    <hyperlink r:id="rId5756" ref="B1820"/>
    <hyperlink r:id="rId5757" ref="E1820"/>
    <hyperlink r:id="rId5758" ref="O1820"/>
    <hyperlink r:id="rId5759" ref="B1821"/>
    <hyperlink r:id="rId5760" ref="E1821"/>
    <hyperlink r:id="rId5761" ref="O1821"/>
    <hyperlink r:id="rId5762" ref="B1822"/>
    <hyperlink r:id="rId5763" ref="E1822"/>
    <hyperlink r:id="rId5764" ref="O1822"/>
    <hyperlink r:id="rId5765" ref="B1823"/>
    <hyperlink r:id="rId5766" ref="E1823"/>
    <hyperlink r:id="rId5767" ref="O1823"/>
    <hyperlink r:id="rId5768" ref="B1824"/>
    <hyperlink r:id="rId5769" ref="E1824"/>
    <hyperlink r:id="rId5770" ref="O1824"/>
    <hyperlink r:id="rId5771" ref="B1825"/>
    <hyperlink r:id="rId5772" ref="E1825"/>
    <hyperlink r:id="rId5773" ref="O1825"/>
    <hyperlink r:id="rId5774" ref="B1826"/>
    <hyperlink r:id="rId5775" ref="E1826"/>
    <hyperlink r:id="rId5776" ref="O1826"/>
    <hyperlink r:id="rId5777" ref="B1827"/>
    <hyperlink r:id="rId5778" ref="E1827"/>
    <hyperlink r:id="rId5779" ref="O1827"/>
    <hyperlink r:id="rId5780" ref="B1828"/>
    <hyperlink r:id="rId5781" ref="E1828"/>
    <hyperlink r:id="rId5782" ref="O1828"/>
    <hyperlink r:id="rId5783" ref="B1829"/>
    <hyperlink r:id="rId5784" ref="E1829"/>
    <hyperlink r:id="rId5785" ref="O1829"/>
    <hyperlink r:id="rId5786" ref="B1830"/>
    <hyperlink r:id="rId5787" ref="E1830"/>
    <hyperlink r:id="rId5788" ref="O1830"/>
    <hyperlink r:id="rId5789" ref="B1831"/>
    <hyperlink r:id="rId5790" ref="E1831"/>
    <hyperlink r:id="rId5791" ref="O1831"/>
    <hyperlink r:id="rId5792" ref="B1832"/>
    <hyperlink r:id="rId5793" ref="E1832"/>
    <hyperlink r:id="rId5794" ref="O1832"/>
    <hyperlink r:id="rId5795" ref="B1833"/>
    <hyperlink r:id="rId5796" ref="E1833"/>
    <hyperlink r:id="rId5797" ref="O1833"/>
    <hyperlink r:id="rId5798" ref="B1834"/>
    <hyperlink r:id="rId5799" ref="E1834"/>
    <hyperlink r:id="rId5800" ref="O1834"/>
    <hyperlink r:id="rId5801" ref="B1835"/>
    <hyperlink r:id="rId5802" ref="E1835"/>
    <hyperlink r:id="rId5803" ref="O1835"/>
    <hyperlink r:id="rId5804" ref="B1836"/>
    <hyperlink r:id="rId5805" ref="E1836"/>
    <hyperlink r:id="rId5806" ref="O1836"/>
    <hyperlink r:id="rId5807" ref="B1837"/>
    <hyperlink r:id="rId5808" ref="E1837"/>
    <hyperlink r:id="rId5809" ref="O1837"/>
    <hyperlink r:id="rId5810" ref="B1838"/>
    <hyperlink r:id="rId5811" ref="E1838"/>
    <hyperlink r:id="rId5812" ref="O1838"/>
    <hyperlink r:id="rId5813" ref="B1839"/>
    <hyperlink r:id="rId5814" ref="E1839"/>
    <hyperlink r:id="rId5815" ref="O1839"/>
    <hyperlink r:id="rId5816" ref="B1840"/>
    <hyperlink r:id="rId5817" ref="E1840"/>
    <hyperlink r:id="rId5818" ref="O1840"/>
    <hyperlink r:id="rId5819" ref="B1841"/>
    <hyperlink r:id="rId5820" ref="E1841"/>
    <hyperlink r:id="rId5821" ref="O1841"/>
    <hyperlink r:id="rId5822" ref="B1842"/>
    <hyperlink r:id="rId5823" ref="E1842"/>
    <hyperlink r:id="rId5824" ref="O1842"/>
    <hyperlink r:id="rId5825" ref="B1843"/>
    <hyperlink r:id="rId5826" ref="E1843"/>
    <hyperlink r:id="rId5827" ref="O1843"/>
    <hyperlink r:id="rId5828" ref="B1844"/>
    <hyperlink r:id="rId5829" ref="E1844"/>
    <hyperlink r:id="rId5830" ref="O1844"/>
    <hyperlink r:id="rId5831" ref="B1845"/>
    <hyperlink r:id="rId5832" ref="E1845"/>
    <hyperlink r:id="rId5833" ref="O1845"/>
    <hyperlink r:id="rId5834" ref="B1846"/>
    <hyperlink r:id="rId5835" ref="E1846"/>
    <hyperlink r:id="rId5836" ref="O1846"/>
    <hyperlink r:id="rId5837" ref="B1847"/>
    <hyperlink r:id="rId5838" ref="E1847"/>
    <hyperlink r:id="rId5839" ref="O1847"/>
    <hyperlink r:id="rId5840" ref="B1848"/>
    <hyperlink r:id="rId5841" ref="E1848"/>
    <hyperlink r:id="rId5842" ref="O1848"/>
    <hyperlink r:id="rId5843" ref="B1849"/>
    <hyperlink r:id="rId5844" ref="E1849"/>
    <hyperlink r:id="rId5845" ref="O1849"/>
    <hyperlink r:id="rId5846" ref="B1850"/>
    <hyperlink r:id="rId5847" ref="E1850"/>
    <hyperlink r:id="rId5848" ref="O1850"/>
    <hyperlink r:id="rId5849" ref="B1851"/>
    <hyperlink r:id="rId5850" ref="E1851"/>
    <hyperlink r:id="rId5851" ref="O1851"/>
    <hyperlink r:id="rId5852" ref="B1852"/>
    <hyperlink r:id="rId5853" ref="E1852"/>
    <hyperlink r:id="rId5854" ref="O1852"/>
    <hyperlink r:id="rId5855" ref="B1853"/>
    <hyperlink r:id="rId5856" ref="E1853"/>
    <hyperlink r:id="rId5857" ref="O1853"/>
    <hyperlink r:id="rId5858" ref="B1854"/>
    <hyperlink r:id="rId5859" ref="E1854"/>
    <hyperlink r:id="rId5860" ref="O1854"/>
    <hyperlink r:id="rId5861" ref="B1855"/>
    <hyperlink r:id="rId5862" ref="E1855"/>
    <hyperlink r:id="rId5863" ref="O1855"/>
    <hyperlink r:id="rId5864" ref="B1856"/>
    <hyperlink r:id="rId5865" ref="E1856"/>
    <hyperlink r:id="rId5866" ref="O1856"/>
    <hyperlink r:id="rId5867" ref="B1857"/>
    <hyperlink r:id="rId5868" ref="E1857"/>
    <hyperlink r:id="rId5869" ref="O1857"/>
    <hyperlink r:id="rId5870" ref="B1858"/>
    <hyperlink r:id="rId5871" ref="E1858"/>
    <hyperlink r:id="rId5872" ref="O1858"/>
    <hyperlink r:id="rId5873" ref="B1859"/>
    <hyperlink r:id="rId5874" ref="E1859"/>
    <hyperlink r:id="rId5875" ref="O1859"/>
    <hyperlink r:id="rId5876" ref="B1860"/>
    <hyperlink r:id="rId5877" ref="E1860"/>
    <hyperlink r:id="rId5878" ref="F1860"/>
    <hyperlink r:id="rId5879" ref="O1860"/>
    <hyperlink r:id="rId5880" ref="B1861"/>
    <hyperlink r:id="rId5881" ref="E1861"/>
    <hyperlink r:id="rId5882" ref="F1861"/>
    <hyperlink r:id="rId5883" ref="O1861"/>
    <hyperlink r:id="rId5884" ref="B1862"/>
    <hyperlink r:id="rId5885" ref="E1862"/>
    <hyperlink r:id="rId5886" ref="F1862"/>
    <hyperlink r:id="rId5887" ref="O1862"/>
    <hyperlink r:id="rId5888" ref="B1863"/>
    <hyperlink r:id="rId5889" ref="E1863"/>
    <hyperlink r:id="rId5890" ref="F1863"/>
    <hyperlink r:id="rId5891" ref="O1863"/>
    <hyperlink r:id="rId5892" ref="B1864"/>
    <hyperlink r:id="rId5893" ref="E1864"/>
    <hyperlink r:id="rId5894" ref="F1864"/>
    <hyperlink r:id="rId5895" ref="O1864"/>
    <hyperlink r:id="rId5896" ref="B1865"/>
    <hyperlink r:id="rId5897" ref="E1865"/>
    <hyperlink r:id="rId5898" ref="F1865"/>
    <hyperlink r:id="rId5899" ref="O1865"/>
    <hyperlink r:id="rId5900" ref="B1866"/>
    <hyperlink r:id="rId5901" ref="E1866"/>
    <hyperlink r:id="rId5902" ref="F1866"/>
    <hyperlink r:id="rId5903" ref="O1866"/>
    <hyperlink r:id="rId5904" ref="B1867"/>
    <hyperlink r:id="rId5905" ref="E1867"/>
    <hyperlink r:id="rId5906" ref="O1867"/>
    <hyperlink r:id="rId5907" ref="B1868"/>
    <hyperlink r:id="rId5908" ref="E1868"/>
    <hyperlink r:id="rId5909" ref="O1868"/>
    <hyperlink r:id="rId5910" ref="B1869"/>
    <hyperlink r:id="rId5911" ref="E1869"/>
    <hyperlink r:id="rId5912" ref="O1869"/>
    <hyperlink r:id="rId5913" ref="B1870"/>
    <hyperlink r:id="rId5914" ref="E1870"/>
    <hyperlink r:id="rId5915" ref="O1870"/>
    <hyperlink r:id="rId5916" ref="B1871"/>
    <hyperlink r:id="rId5917" ref="C1871"/>
    <hyperlink r:id="rId5918" ref="E1871"/>
    <hyperlink r:id="rId5919" ref="O1871"/>
    <hyperlink r:id="rId5920" ref="B1872"/>
    <hyperlink r:id="rId5921" ref="E1872"/>
    <hyperlink r:id="rId5922" ref="O1872"/>
    <hyperlink r:id="rId5923" ref="B1873"/>
    <hyperlink r:id="rId5924" ref="E1873"/>
    <hyperlink r:id="rId5925" ref="O1873"/>
    <hyperlink r:id="rId5926" ref="B1874"/>
    <hyperlink r:id="rId5927" ref="E1874"/>
    <hyperlink r:id="rId5928" ref="O1874"/>
    <hyperlink r:id="rId5929" ref="B1875"/>
    <hyperlink r:id="rId5930" ref="E1875"/>
    <hyperlink r:id="rId5931" ref="O1875"/>
    <hyperlink r:id="rId5932" ref="B1876"/>
    <hyperlink r:id="rId5933" ref="E1876"/>
    <hyperlink r:id="rId5934" ref="O1876"/>
    <hyperlink r:id="rId5935" ref="B1877"/>
    <hyperlink r:id="rId5936" ref="E1877"/>
    <hyperlink r:id="rId5937" ref="O1877"/>
    <hyperlink r:id="rId5938" ref="B1878"/>
    <hyperlink r:id="rId5939" ref="E1878"/>
    <hyperlink r:id="rId5940" ref="O1878"/>
    <hyperlink r:id="rId5941" ref="B1879"/>
    <hyperlink r:id="rId5942" ref="E1879"/>
    <hyperlink r:id="rId5943" ref="O1879"/>
    <hyperlink r:id="rId5944" ref="B1880"/>
    <hyperlink r:id="rId5945" ref="E1880"/>
    <hyperlink r:id="rId5946" ref="O1880"/>
    <hyperlink r:id="rId5947" ref="B1881"/>
    <hyperlink r:id="rId5948" ref="E1881"/>
    <hyperlink r:id="rId5949" ref="O1881"/>
    <hyperlink r:id="rId5950" ref="B1882"/>
    <hyperlink r:id="rId5951" ref="E1882"/>
    <hyperlink r:id="rId5952" ref="O1882"/>
    <hyperlink r:id="rId5953" ref="B1883"/>
    <hyperlink r:id="rId5954" ref="E1883"/>
    <hyperlink r:id="rId5955" ref="O1883"/>
    <hyperlink r:id="rId5956" ref="B1884"/>
    <hyperlink r:id="rId5957" ref="E1884"/>
    <hyperlink r:id="rId5958" ref="O1884"/>
    <hyperlink r:id="rId5959" ref="B1885"/>
    <hyperlink r:id="rId5960" ref="E1885"/>
    <hyperlink r:id="rId5961" ref="O1885"/>
    <hyperlink r:id="rId5962" ref="B1886"/>
    <hyperlink r:id="rId5963" ref="E1886"/>
    <hyperlink r:id="rId5964" ref="O1886"/>
    <hyperlink r:id="rId5965" ref="B1887"/>
    <hyperlink r:id="rId5966" ref="E1887"/>
    <hyperlink r:id="rId5967" ref="O1887"/>
    <hyperlink r:id="rId5968" ref="B1888"/>
    <hyperlink r:id="rId5969" ref="E1888"/>
    <hyperlink r:id="rId5970" ref="O1888"/>
    <hyperlink r:id="rId5971" ref="B1889"/>
    <hyperlink r:id="rId5972" ref="E1889"/>
    <hyperlink r:id="rId5973" ref="O1889"/>
    <hyperlink r:id="rId5974" ref="B1890"/>
    <hyperlink r:id="rId5975" ref="E1890"/>
    <hyperlink r:id="rId5976" ref="O1890"/>
    <hyperlink r:id="rId5977" ref="B1891"/>
    <hyperlink r:id="rId5978" ref="E1891"/>
    <hyperlink r:id="rId5979" ref="O1891"/>
    <hyperlink r:id="rId5980" ref="B1892"/>
    <hyperlink r:id="rId5981" ref="E1892"/>
    <hyperlink r:id="rId5982" ref="O1892"/>
    <hyperlink r:id="rId5983" ref="B1893"/>
    <hyperlink r:id="rId5984" ref="E1893"/>
    <hyperlink r:id="rId5985" ref="O1893"/>
    <hyperlink r:id="rId5986" ref="B1894"/>
    <hyperlink r:id="rId5987" ref="E1894"/>
    <hyperlink r:id="rId5988" ref="O1894"/>
    <hyperlink r:id="rId5989" ref="B1895"/>
    <hyperlink r:id="rId5990" ref="E1895"/>
    <hyperlink r:id="rId5991" ref="O1895"/>
    <hyperlink r:id="rId5992" ref="B1896"/>
    <hyperlink r:id="rId5993" ref="E1896"/>
    <hyperlink r:id="rId5994" ref="O1896"/>
    <hyperlink r:id="rId5995" ref="B1897"/>
    <hyperlink r:id="rId5996" ref="E1897"/>
    <hyperlink r:id="rId5997" ref="O1897"/>
    <hyperlink r:id="rId5998" ref="B1898"/>
    <hyperlink r:id="rId5999" ref="E1898"/>
    <hyperlink r:id="rId6000" ref="O1898"/>
    <hyperlink r:id="rId6001" ref="B1899"/>
    <hyperlink r:id="rId6002" ref="E1899"/>
    <hyperlink r:id="rId6003" ref="O1899"/>
    <hyperlink r:id="rId6004" ref="B1900"/>
    <hyperlink r:id="rId6005" ref="E1900"/>
    <hyperlink r:id="rId6006" ref="O1900"/>
    <hyperlink r:id="rId6007" ref="B1901"/>
    <hyperlink r:id="rId6008" ref="E1901"/>
    <hyperlink r:id="rId6009" ref="F1901"/>
    <hyperlink r:id="rId6010" ref="O1901"/>
    <hyperlink r:id="rId6011" ref="B1902"/>
    <hyperlink r:id="rId6012" ref="E1902"/>
    <hyperlink r:id="rId6013" ref="F1902"/>
    <hyperlink r:id="rId6014" ref="O1902"/>
    <hyperlink r:id="rId6015" ref="B1903"/>
    <hyperlink r:id="rId6016" ref="E1903"/>
    <hyperlink r:id="rId6017" ref="F1903"/>
    <hyperlink r:id="rId6018" ref="O1903"/>
    <hyperlink r:id="rId6019" ref="B1904"/>
    <hyperlink r:id="rId6020" ref="E1904"/>
    <hyperlink r:id="rId6021" ref="F1904"/>
    <hyperlink r:id="rId6022" ref="O1904"/>
    <hyperlink r:id="rId6023" ref="B1905"/>
    <hyperlink r:id="rId6024" ref="E1905"/>
    <hyperlink r:id="rId6025" ref="O1905"/>
    <hyperlink r:id="rId6026" ref="B1906"/>
    <hyperlink r:id="rId6027" ref="E1906"/>
    <hyperlink r:id="rId6028" ref="O1906"/>
    <hyperlink r:id="rId6029" ref="B1907"/>
    <hyperlink r:id="rId6030" ref="E1907"/>
    <hyperlink r:id="rId6031" ref="O1907"/>
    <hyperlink r:id="rId6032" ref="B1908"/>
    <hyperlink r:id="rId6033" ref="E1908"/>
    <hyperlink r:id="rId6034" ref="O1908"/>
    <hyperlink r:id="rId6035" ref="B1909"/>
    <hyperlink r:id="rId6036" ref="E1909"/>
    <hyperlink r:id="rId6037" ref="O1909"/>
    <hyperlink r:id="rId6038" ref="B1910"/>
    <hyperlink r:id="rId6039" ref="E1910"/>
    <hyperlink r:id="rId6040" ref="O1910"/>
    <hyperlink r:id="rId6041" ref="B1911"/>
    <hyperlink r:id="rId6042" ref="E1911"/>
    <hyperlink r:id="rId6043" ref="O1911"/>
    <hyperlink r:id="rId6044" ref="B1912"/>
    <hyperlink r:id="rId6045" ref="E1912"/>
    <hyperlink r:id="rId6046" ref="O1912"/>
    <hyperlink r:id="rId6047" ref="B1913"/>
    <hyperlink r:id="rId6048" ref="E1913"/>
    <hyperlink r:id="rId6049" ref="O1913"/>
    <hyperlink r:id="rId6050" ref="B1914"/>
    <hyperlink r:id="rId6051" ref="E1914"/>
    <hyperlink r:id="rId6052" ref="O1914"/>
    <hyperlink r:id="rId6053" ref="B1915"/>
    <hyperlink r:id="rId6054" ref="E1915"/>
    <hyperlink r:id="rId6055" ref="O1915"/>
    <hyperlink r:id="rId6056" ref="B1916"/>
    <hyperlink r:id="rId6057" ref="E1916"/>
    <hyperlink r:id="rId6058" ref="O1916"/>
    <hyperlink r:id="rId6059" ref="B1917"/>
    <hyperlink r:id="rId6060" ref="E1917"/>
    <hyperlink r:id="rId6061" ref="O1917"/>
    <hyperlink r:id="rId6062" ref="B1918"/>
    <hyperlink r:id="rId6063" ref="E1918"/>
    <hyperlink r:id="rId6064" ref="O1918"/>
    <hyperlink r:id="rId6065" ref="B1919"/>
    <hyperlink r:id="rId6066" ref="E1919"/>
    <hyperlink r:id="rId6067" ref="O1919"/>
    <hyperlink r:id="rId6068" ref="B1920"/>
    <hyperlink r:id="rId6069" ref="E1920"/>
    <hyperlink r:id="rId6070" ref="O1920"/>
    <hyperlink r:id="rId6071" ref="B1921"/>
    <hyperlink r:id="rId6072" ref="E1921"/>
    <hyperlink r:id="rId6073" ref="O1921"/>
    <hyperlink r:id="rId6074" ref="B1922"/>
    <hyperlink r:id="rId6075" ref="E1922"/>
    <hyperlink r:id="rId6076" ref="O1922"/>
    <hyperlink r:id="rId6077" ref="B1923"/>
    <hyperlink r:id="rId6078" ref="E1923"/>
    <hyperlink r:id="rId6079" ref="O1923"/>
    <hyperlink r:id="rId6080" ref="B1924"/>
    <hyperlink r:id="rId6081" ref="E1924"/>
    <hyperlink r:id="rId6082" ref="O1924"/>
    <hyperlink r:id="rId6083" ref="B1925"/>
    <hyperlink r:id="rId6084" ref="E1925"/>
    <hyperlink r:id="rId6085" ref="O1925"/>
    <hyperlink r:id="rId6086" ref="B1926"/>
    <hyperlink r:id="rId6087" ref="E1926"/>
    <hyperlink r:id="rId6088" ref="O1926"/>
    <hyperlink r:id="rId6089" ref="B1927"/>
    <hyperlink r:id="rId6090" ref="E1927"/>
    <hyperlink r:id="rId6091" ref="O1927"/>
    <hyperlink r:id="rId6092" ref="B1928"/>
    <hyperlink r:id="rId6093" ref="E1928"/>
    <hyperlink r:id="rId6094" ref="O1928"/>
    <hyperlink r:id="rId6095" ref="B1929"/>
    <hyperlink r:id="rId6096" ref="E1929"/>
    <hyperlink r:id="rId6097" ref="O1929"/>
    <hyperlink r:id="rId6098" ref="B1930"/>
    <hyperlink r:id="rId6099" ref="E1930"/>
    <hyperlink r:id="rId6100" ref="O1930"/>
    <hyperlink r:id="rId6101" ref="B1931"/>
    <hyperlink r:id="rId6102" ref="E1931"/>
    <hyperlink r:id="rId6103" ref="O1931"/>
    <hyperlink r:id="rId6104" ref="B1932"/>
    <hyperlink r:id="rId6105" ref="E1932"/>
    <hyperlink r:id="rId6106" ref="O1932"/>
    <hyperlink r:id="rId6107" ref="B1933"/>
    <hyperlink r:id="rId6108" ref="E1933"/>
    <hyperlink r:id="rId6109" ref="O1933"/>
    <hyperlink r:id="rId6110" ref="B1934"/>
    <hyperlink r:id="rId6111" ref="E1934"/>
    <hyperlink r:id="rId6112" ref="O1934"/>
    <hyperlink r:id="rId6113" ref="B1935"/>
    <hyperlink r:id="rId6114" ref="E1935"/>
    <hyperlink r:id="rId6115" ref="O1935"/>
    <hyperlink r:id="rId6116" ref="B1936"/>
    <hyperlink r:id="rId6117" ref="E1936"/>
    <hyperlink r:id="rId6118" ref="O1936"/>
    <hyperlink r:id="rId6119" ref="B1937"/>
    <hyperlink r:id="rId6120" ref="E1937"/>
    <hyperlink r:id="rId6121" ref="O1937"/>
    <hyperlink r:id="rId6122" ref="B1938"/>
    <hyperlink r:id="rId6123" ref="E1938"/>
    <hyperlink r:id="rId6124" ref="O1938"/>
    <hyperlink r:id="rId6125" ref="B1939"/>
    <hyperlink r:id="rId6126" ref="E1939"/>
    <hyperlink r:id="rId6127" ref="O1939"/>
    <hyperlink r:id="rId6128" ref="B1940"/>
    <hyperlink r:id="rId6129" ref="C1940"/>
    <hyperlink r:id="rId6130" ref="E1940"/>
    <hyperlink r:id="rId6131" ref="O1940"/>
    <hyperlink r:id="rId6132" ref="B1941"/>
    <hyperlink r:id="rId6133" ref="E1941"/>
    <hyperlink r:id="rId6134" ref="F1941"/>
    <hyperlink r:id="rId6135" ref="O1941"/>
    <hyperlink r:id="rId6136" ref="B1942"/>
    <hyperlink r:id="rId6137" ref="E1942"/>
    <hyperlink r:id="rId6138" ref="F1942"/>
    <hyperlink r:id="rId6139" ref="O1942"/>
    <hyperlink r:id="rId6140" ref="B1943"/>
    <hyperlink r:id="rId6141" ref="E1943"/>
    <hyperlink r:id="rId6142" ref="F1943"/>
    <hyperlink r:id="rId6143" ref="O1943"/>
    <hyperlink r:id="rId6144" ref="B1944"/>
    <hyperlink r:id="rId6145" ref="E1944"/>
    <hyperlink r:id="rId6146" ref="F1944"/>
    <hyperlink r:id="rId6147" ref="O1944"/>
    <hyperlink r:id="rId6148" ref="B1945"/>
    <hyperlink r:id="rId6149" ref="E1945"/>
    <hyperlink r:id="rId6150" ref="F1945"/>
    <hyperlink r:id="rId6151" ref="O1945"/>
    <hyperlink r:id="rId6152" ref="B1946"/>
    <hyperlink r:id="rId6153" ref="E1946"/>
    <hyperlink r:id="rId6154" ref="F1946"/>
    <hyperlink r:id="rId6155" ref="O1946"/>
    <hyperlink r:id="rId6156" ref="B1947"/>
    <hyperlink r:id="rId6157" ref="E1947"/>
    <hyperlink r:id="rId6158" ref="O1947"/>
    <hyperlink r:id="rId6159" ref="B1948"/>
    <hyperlink r:id="rId6160" ref="E1948"/>
    <hyperlink r:id="rId6161" ref="O1948"/>
    <hyperlink r:id="rId6162" ref="B1949"/>
    <hyperlink r:id="rId6163" ref="E1949"/>
    <hyperlink r:id="rId6164" ref="O1949"/>
    <hyperlink r:id="rId6165" ref="B1950"/>
    <hyperlink r:id="rId6166" ref="E1950"/>
    <hyperlink r:id="rId6167" ref="O1950"/>
    <hyperlink r:id="rId6168" ref="B1951"/>
    <hyperlink r:id="rId6169" ref="E1951"/>
    <hyperlink r:id="rId6170" ref="O1951"/>
    <hyperlink r:id="rId6171" ref="B1952"/>
    <hyperlink r:id="rId6172" ref="E1952"/>
    <hyperlink r:id="rId6173" ref="O1952"/>
    <hyperlink r:id="rId6174" ref="B1953"/>
    <hyperlink r:id="rId6175" ref="E1953"/>
    <hyperlink r:id="rId6176" ref="O1953"/>
    <hyperlink r:id="rId6177" ref="B1954"/>
    <hyperlink r:id="rId6178" ref="E1954"/>
    <hyperlink r:id="rId6179" ref="O1954"/>
    <hyperlink r:id="rId6180" ref="B1955"/>
    <hyperlink r:id="rId6181" ref="E1955"/>
    <hyperlink r:id="rId6182" ref="O1955"/>
    <hyperlink r:id="rId6183" ref="B1956"/>
    <hyperlink r:id="rId6184" ref="E1956"/>
    <hyperlink r:id="rId6185" ref="O1956"/>
    <hyperlink r:id="rId6186" ref="B1957"/>
    <hyperlink r:id="rId6187" ref="E1957"/>
    <hyperlink r:id="rId6188" ref="O1957"/>
    <hyperlink r:id="rId6189" ref="B1958"/>
    <hyperlink r:id="rId6190" ref="E1958"/>
    <hyperlink r:id="rId6191" ref="O1958"/>
    <hyperlink r:id="rId6192" ref="B1959"/>
    <hyperlink r:id="rId6193" ref="E1959"/>
    <hyperlink r:id="rId6194" ref="O1959"/>
    <hyperlink r:id="rId6195" ref="B1960"/>
    <hyperlink r:id="rId6196" ref="E1960"/>
    <hyperlink r:id="rId6197" ref="O1960"/>
    <hyperlink r:id="rId6198" ref="B1961"/>
    <hyperlink r:id="rId6199" ref="E1961"/>
    <hyperlink r:id="rId6200" ref="O1961"/>
    <hyperlink r:id="rId6201" ref="B1962"/>
    <hyperlink r:id="rId6202" ref="E1962"/>
    <hyperlink r:id="rId6203" ref="O1962"/>
    <hyperlink r:id="rId6204" ref="B1963"/>
    <hyperlink r:id="rId6205" ref="E1963"/>
    <hyperlink r:id="rId6206" ref="O1963"/>
    <hyperlink r:id="rId6207" ref="B1964"/>
    <hyperlink r:id="rId6208" ref="E1964"/>
    <hyperlink r:id="rId6209" ref="O1964"/>
    <hyperlink r:id="rId6210" ref="B1965"/>
    <hyperlink r:id="rId6211" ref="E1965"/>
    <hyperlink r:id="rId6212" ref="O1965"/>
    <hyperlink r:id="rId6213" ref="B1966"/>
    <hyperlink r:id="rId6214" ref="E1966"/>
    <hyperlink r:id="rId6215" ref="O1966"/>
    <hyperlink r:id="rId6216" ref="B1967"/>
    <hyperlink r:id="rId6217" ref="E1967"/>
    <hyperlink r:id="rId6218" ref="O1967"/>
    <hyperlink r:id="rId6219" ref="B1968"/>
    <hyperlink r:id="rId6220" ref="E1968"/>
    <hyperlink r:id="rId6221" ref="O1968"/>
    <hyperlink r:id="rId6222" ref="B1969"/>
    <hyperlink r:id="rId6223" ref="E1969"/>
    <hyperlink r:id="rId6224" ref="O1969"/>
    <hyperlink r:id="rId6225" ref="B1970"/>
    <hyperlink r:id="rId6226" ref="E1970"/>
    <hyperlink r:id="rId6227" ref="F1970"/>
    <hyperlink r:id="rId6228" ref="O1970"/>
    <hyperlink r:id="rId6229" ref="B1971"/>
    <hyperlink r:id="rId6230" ref="E1971"/>
    <hyperlink r:id="rId6231" ref="O1971"/>
    <hyperlink r:id="rId6232" ref="B1972"/>
    <hyperlink r:id="rId6233" ref="E1972"/>
    <hyperlink r:id="rId6234" ref="O1972"/>
    <hyperlink r:id="rId6235" ref="B1973"/>
    <hyperlink r:id="rId6236" ref="E1973"/>
    <hyperlink r:id="rId6237" ref="O1973"/>
    <hyperlink r:id="rId6238" ref="B1974"/>
    <hyperlink r:id="rId6239" ref="E1974"/>
    <hyperlink r:id="rId6240" ref="O1974"/>
    <hyperlink r:id="rId6241" ref="B1975"/>
    <hyperlink r:id="rId6242" ref="E1975"/>
    <hyperlink r:id="rId6243" ref="O1975"/>
    <hyperlink r:id="rId6244" ref="B1976"/>
    <hyperlink r:id="rId6245" ref="E1976"/>
    <hyperlink r:id="rId6246" ref="O1976"/>
    <hyperlink r:id="rId6247" ref="B1977"/>
    <hyperlink r:id="rId6248" ref="E1977"/>
    <hyperlink r:id="rId6249" ref="O1977"/>
    <hyperlink r:id="rId6250" ref="B1978"/>
    <hyperlink r:id="rId6251" ref="E1978"/>
    <hyperlink r:id="rId6252" ref="O1978"/>
    <hyperlink r:id="rId6253" ref="B1979"/>
    <hyperlink r:id="rId6254" ref="E1979"/>
    <hyperlink r:id="rId6255" ref="O1979"/>
    <hyperlink r:id="rId6256" ref="B1980"/>
    <hyperlink r:id="rId6257" ref="E1980"/>
    <hyperlink r:id="rId6258" ref="O1980"/>
    <hyperlink r:id="rId6259" ref="B1981"/>
    <hyperlink r:id="rId6260" ref="E1981"/>
    <hyperlink r:id="rId6261" ref="O1981"/>
    <hyperlink r:id="rId6262" ref="B1982"/>
    <hyperlink r:id="rId6263" ref="E1982"/>
    <hyperlink r:id="rId6264" ref="O1982"/>
    <hyperlink r:id="rId6265" ref="B1983"/>
    <hyperlink r:id="rId6266" ref="E1983"/>
    <hyperlink r:id="rId6267" ref="O1983"/>
    <hyperlink r:id="rId6268" ref="B1984"/>
    <hyperlink r:id="rId6269" ref="E1984"/>
    <hyperlink r:id="rId6270" ref="O1984"/>
    <hyperlink r:id="rId6271" ref="B1985"/>
    <hyperlink r:id="rId6272" ref="E1985"/>
    <hyperlink r:id="rId6273" ref="O1985"/>
    <hyperlink r:id="rId6274" ref="B1986"/>
    <hyperlink r:id="rId6275" ref="E1986"/>
    <hyperlink r:id="rId6276" ref="O1986"/>
    <hyperlink r:id="rId6277" ref="B1987"/>
    <hyperlink r:id="rId6278" ref="E1987"/>
    <hyperlink r:id="rId6279" ref="O1987"/>
    <hyperlink r:id="rId6280" ref="B1988"/>
    <hyperlink r:id="rId6281" ref="E1988"/>
    <hyperlink r:id="rId6282" ref="O1988"/>
    <hyperlink r:id="rId6283" ref="B1989"/>
    <hyperlink r:id="rId6284" ref="E1989"/>
    <hyperlink r:id="rId6285" ref="O1989"/>
    <hyperlink r:id="rId6286" ref="B1990"/>
    <hyperlink r:id="rId6287" ref="E1990"/>
    <hyperlink r:id="rId6288" ref="O1990"/>
    <hyperlink r:id="rId6289" ref="B1991"/>
    <hyperlink r:id="rId6290" ref="E1991"/>
    <hyperlink r:id="rId6291" ref="O1991"/>
    <hyperlink r:id="rId6292" ref="B1992"/>
    <hyperlink r:id="rId6293" ref="E1992"/>
    <hyperlink r:id="rId6294" ref="F1992"/>
    <hyperlink r:id="rId6295" ref="O1992"/>
    <hyperlink r:id="rId6296" ref="B1993"/>
    <hyperlink r:id="rId6297" ref="E1993"/>
    <hyperlink r:id="rId6298" ref="F1993"/>
    <hyperlink r:id="rId6299" ref="O1993"/>
    <hyperlink r:id="rId6300" ref="B1994"/>
    <hyperlink r:id="rId6301" ref="E1994"/>
    <hyperlink r:id="rId6302" ref="O1994"/>
    <hyperlink r:id="rId6303" ref="B1995"/>
    <hyperlink r:id="rId6304" ref="E1995"/>
    <hyperlink r:id="rId6305" ref="F1995"/>
    <hyperlink r:id="rId6306" ref="O1995"/>
    <hyperlink r:id="rId6307" ref="B1996"/>
    <hyperlink r:id="rId6308" ref="E1996"/>
    <hyperlink r:id="rId6309" ref="F1996"/>
    <hyperlink r:id="rId6310" ref="O1996"/>
    <hyperlink r:id="rId6311" ref="B1997"/>
    <hyperlink r:id="rId6312" ref="E1997"/>
    <hyperlink r:id="rId6313" ref="F1997"/>
    <hyperlink r:id="rId6314" ref="O1997"/>
    <hyperlink r:id="rId6315" ref="B1998"/>
    <hyperlink r:id="rId6316" ref="E1998"/>
    <hyperlink r:id="rId6317" ref="F1998"/>
    <hyperlink r:id="rId6318" ref="O1998"/>
    <hyperlink r:id="rId6319" ref="B1999"/>
    <hyperlink r:id="rId6320" ref="E1999"/>
    <hyperlink r:id="rId6321" ref="O1999"/>
    <hyperlink r:id="rId6322" ref="B2000"/>
    <hyperlink r:id="rId6323" ref="E2000"/>
    <hyperlink r:id="rId6324" ref="O2000"/>
    <hyperlink r:id="rId6325" ref="B2001"/>
    <hyperlink r:id="rId6326" ref="E2001"/>
    <hyperlink r:id="rId6327" ref="O2001"/>
    <hyperlink r:id="rId6328" ref="B2002"/>
    <hyperlink r:id="rId6329" ref="E2002"/>
    <hyperlink r:id="rId6330" ref="O2002"/>
    <hyperlink r:id="rId6331" ref="B2003"/>
    <hyperlink r:id="rId6332" ref="E2003"/>
    <hyperlink r:id="rId6333" ref="O2003"/>
    <hyperlink r:id="rId6334" ref="B2004"/>
    <hyperlink r:id="rId6335" ref="E2004"/>
    <hyperlink r:id="rId6336" ref="O2004"/>
    <hyperlink r:id="rId6337" ref="B2005"/>
    <hyperlink r:id="rId6338" ref="E2005"/>
    <hyperlink r:id="rId6339" ref="O2005"/>
    <hyperlink r:id="rId6340" ref="B2006"/>
    <hyperlink r:id="rId6341" ref="E2006"/>
    <hyperlink r:id="rId6342" ref="O2006"/>
    <hyperlink r:id="rId6343" ref="B2007"/>
    <hyperlink r:id="rId6344" ref="E2007"/>
    <hyperlink r:id="rId6345" ref="O2007"/>
    <hyperlink r:id="rId6346" ref="B2008"/>
    <hyperlink r:id="rId6347" ref="E2008"/>
    <hyperlink r:id="rId6348" ref="O2008"/>
    <hyperlink r:id="rId6349" ref="B2009"/>
    <hyperlink r:id="rId6350" ref="E2009"/>
    <hyperlink r:id="rId6351" ref="O2009"/>
    <hyperlink r:id="rId6352" ref="B2010"/>
    <hyperlink r:id="rId6353" ref="E2010"/>
    <hyperlink r:id="rId6354" ref="O2010"/>
    <hyperlink r:id="rId6355" ref="B2011"/>
    <hyperlink r:id="rId6356" ref="E2011"/>
    <hyperlink r:id="rId6357" ref="O2011"/>
    <hyperlink r:id="rId6358" ref="B2012"/>
    <hyperlink r:id="rId6359" ref="E2012"/>
    <hyperlink r:id="rId6360" ref="O2012"/>
    <hyperlink r:id="rId6361" ref="B2013"/>
    <hyperlink r:id="rId6362" ref="E2013"/>
    <hyperlink r:id="rId6363" ref="O2013"/>
    <hyperlink r:id="rId6364" ref="B2014"/>
    <hyperlink r:id="rId6365" ref="E2014"/>
    <hyperlink r:id="rId6366" ref="O2014"/>
    <hyperlink r:id="rId6367" ref="B2015"/>
    <hyperlink r:id="rId6368" ref="E2015"/>
    <hyperlink r:id="rId6369" ref="O2015"/>
    <hyperlink r:id="rId6370" ref="B2016"/>
    <hyperlink r:id="rId6371" ref="E2016"/>
    <hyperlink r:id="rId6372" ref="O2016"/>
    <hyperlink r:id="rId6373" ref="B2017"/>
    <hyperlink r:id="rId6374" ref="E2017"/>
    <hyperlink r:id="rId6375" ref="O2017"/>
    <hyperlink r:id="rId6376" ref="B2018"/>
    <hyperlink r:id="rId6377" ref="E2018"/>
    <hyperlink r:id="rId6378" ref="O2018"/>
    <hyperlink r:id="rId6379" ref="B2019"/>
    <hyperlink r:id="rId6380" ref="E2019"/>
    <hyperlink r:id="rId6381" ref="O2019"/>
    <hyperlink r:id="rId6382" ref="B2020"/>
    <hyperlink r:id="rId6383" ref="E2020"/>
    <hyperlink r:id="rId6384" ref="O2020"/>
    <hyperlink r:id="rId6385" ref="B2021"/>
    <hyperlink r:id="rId6386" ref="E2021"/>
    <hyperlink r:id="rId6387" ref="O2021"/>
    <hyperlink r:id="rId6388" ref="B2022"/>
    <hyperlink r:id="rId6389" ref="E2022"/>
    <hyperlink r:id="rId6390" ref="O2022"/>
    <hyperlink r:id="rId6391" ref="B2023"/>
    <hyperlink r:id="rId6392" ref="E2023"/>
    <hyperlink r:id="rId6393" ref="O2023"/>
    <hyperlink r:id="rId6394" ref="B2024"/>
    <hyperlink r:id="rId6395" ref="E2024"/>
    <hyperlink r:id="rId6396" ref="O2024"/>
    <hyperlink r:id="rId6397" ref="B2025"/>
    <hyperlink r:id="rId6398" ref="E2025"/>
    <hyperlink r:id="rId6399" ref="O2025"/>
    <hyperlink r:id="rId6400" ref="B2026"/>
    <hyperlink r:id="rId6401" ref="E2026"/>
    <hyperlink r:id="rId6402" ref="O2026"/>
    <hyperlink r:id="rId6403" ref="B2027"/>
    <hyperlink r:id="rId6404" ref="E2027"/>
    <hyperlink r:id="rId6405" ref="O2027"/>
    <hyperlink r:id="rId6406" ref="B2028"/>
    <hyperlink r:id="rId6407" ref="E2028"/>
    <hyperlink r:id="rId6408" ref="O2028"/>
    <hyperlink r:id="rId6409" ref="B2029"/>
    <hyperlink r:id="rId6410" ref="E2029"/>
    <hyperlink r:id="rId6411" ref="O2029"/>
    <hyperlink r:id="rId6412" ref="B2030"/>
    <hyperlink r:id="rId6413" ref="E2030"/>
    <hyperlink r:id="rId6414" ref="O2030"/>
    <hyperlink r:id="rId6415" ref="B2031"/>
    <hyperlink r:id="rId6416" ref="E2031"/>
    <hyperlink r:id="rId6417" ref="O2031"/>
    <hyperlink r:id="rId6418" ref="B2032"/>
    <hyperlink r:id="rId6419" ref="E2032"/>
    <hyperlink r:id="rId6420" ref="O2032"/>
    <hyperlink r:id="rId6421" ref="B2033"/>
    <hyperlink r:id="rId6422" ref="E2033"/>
    <hyperlink r:id="rId6423" ref="O2033"/>
    <hyperlink r:id="rId6424" ref="B2034"/>
    <hyperlink r:id="rId6425" ref="E2034"/>
    <hyperlink r:id="rId6426" ref="O2034"/>
    <hyperlink r:id="rId6427" ref="B2035"/>
    <hyperlink r:id="rId6428" ref="E2035"/>
    <hyperlink r:id="rId6429" ref="F2035"/>
    <hyperlink r:id="rId6430" ref="O2035"/>
    <hyperlink r:id="rId6431" ref="B2036"/>
    <hyperlink r:id="rId6432" ref="E2036"/>
    <hyperlink r:id="rId6433" ref="F2036"/>
    <hyperlink r:id="rId6434" ref="O2036"/>
    <hyperlink r:id="rId6435" ref="B2037"/>
    <hyperlink r:id="rId6436" ref="E2037"/>
    <hyperlink r:id="rId6437" ref="F2037"/>
    <hyperlink r:id="rId6438" ref="O2037"/>
    <hyperlink r:id="rId6439" ref="B2038"/>
    <hyperlink r:id="rId6440" ref="E2038"/>
    <hyperlink r:id="rId6441" ref="F2038"/>
    <hyperlink r:id="rId6442" ref="O2038"/>
    <hyperlink r:id="rId6443" ref="B2039"/>
    <hyperlink r:id="rId6444" ref="E2039"/>
    <hyperlink r:id="rId6445" ref="F2039"/>
    <hyperlink r:id="rId6446" ref="O2039"/>
    <hyperlink r:id="rId6447" ref="B2040"/>
    <hyperlink r:id="rId6448" ref="E2040"/>
    <hyperlink r:id="rId6449" ref="O2040"/>
    <hyperlink r:id="rId6450" ref="B2041"/>
    <hyperlink r:id="rId6451" ref="E2041"/>
    <hyperlink r:id="rId6452" ref="O2041"/>
    <hyperlink r:id="rId6453" ref="B2042"/>
    <hyperlink r:id="rId6454" ref="E2042"/>
    <hyperlink r:id="rId6455" ref="O2042"/>
    <hyperlink r:id="rId6456" ref="B2043"/>
    <hyperlink r:id="rId6457" ref="E2043"/>
    <hyperlink r:id="rId6458" ref="O2043"/>
    <hyperlink r:id="rId6459" ref="B2044"/>
    <hyperlink r:id="rId6460" ref="E2044"/>
    <hyperlink r:id="rId6461" ref="O2044"/>
    <hyperlink r:id="rId6462" ref="B2045"/>
    <hyperlink r:id="rId6463" ref="E2045"/>
    <hyperlink r:id="rId6464" ref="O2045"/>
    <hyperlink r:id="rId6465" ref="B2046"/>
    <hyperlink r:id="rId6466" ref="E2046"/>
    <hyperlink r:id="rId6467" ref="O2046"/>
    <hyperlink r:id="rId6468" ref="B2047"/>
    <hyperlink r:id="rId6469" ref="E2047"/>
    <hyperlink r:id="rId6470" ref="O2047"/>
    <hyperlink r:id="rId6471" ref="B2048"/>
    <hyperlink r:id="rId6472" ref="E2048"/>
    <hyperlink r:id="rId6473" ref="O2048"/>
    <hyperlink r:id="rId6474" ref="B2049"/>
    <hyperlink r:id="rId6475" ref="E2049"/>
    <hyperlink r:id="rId6476" ref="O2049"/>
    <hyperlink r:id="rId6477" ref="B2050"/>
    <hyperlink r:id="rId6478" ref="E2050"/>
    <hyperlink r:id="rId6479" ref="O2050"/>
    <hyperlink r:id="rId6480" ref="B2051"/>
    <hyperlink r:id="rId6481" ref="E2051"/>
    <hyperlink r:id="rId6482" ref="O2051"/>
    <hyperlink r:id="rId6483" ref="B2052"/>
    <hyperlink r:id="rId6484" ref="E2052"/>
    <hyperlink r:id="rId6485" ref="O2052"/>
    <hyperlink r:id="rId6486" ref="B2053"/>
    <hyperlink r:id="rId6487" ref="E2053"/>
    <hyperlink r:id="rId6488" ref="O2053"/>
    <hyperlink r:id="rId6489" ref="B2054"/>
    <hyperlink r:id="rId6490" ref="E2054"/>
    <hyperlink r:id="rId6491" ref="O2054"/>
    <hyperlink r:id="rId6492" ref="B2055"/>
    <hyperlink r:id="rId6493" ref="E2055"/>
    <hyperlink r:id="rId6494" ref="O2055"/>
    <hyperlink r:id="rId6495" ref="B2056"/>
    <hyperlink r:id="rId6496" ref="E2056"/>
    <hyperlink r:id="rId6497" ref="O2056"/>
    <hyperlink r:id="rId6498" ref="B2057"/>
    <hyperlink r:id="rId6499" ref="E2057"/>
    <hyperlink r:id="rId6500" ref="O2057"/>
    <hyperlink r:id="rId6501" ref="B2058"/>
    <hyperlink r:id="rId6502" ref="E2058"/>
    <hyperlink r:id="rId6503" ref="O2058"/>
    <hyperlink r:id="rId6504" ref="B2059"/>
    <hyperlink r:id="rId6505" ref="E2059"/>
    <hyperlink r:id="rId6506" ref="O2059"/>
    <hyperlink r:id="rId6507" ref="B2060"/>
    <hyperlink r:id="rId6508" ref="E2060"/>
    <hyperlink r:id="rId6509" ref="O2060"/>
    <hyperlink r:id="rId6510" ref="B2061"/>
    <hyperlink r:id="rId6511" ref="E2061"/>
    <hyperlink r:id="rId6512" ref="O2061"/>
    <hyperlink r:id="rId6513" ref="B2062"/>
    <hyperlink r:id="rId6514" ref="E2062"/>
    <hyperlink r:id="rId6515" ref="O2062"/>
    <hyperlink r:id="rId6516" ref="B2063"/>
    <hyperlink r:id="rId6517" ref="E2063"/>
    <hyperlink r:id="rId6518" ref="O2063"/>
    <hyperlink r:id="rId6519" ref="B2064"/>
    <hyperlink r:id="rId6520" ref="E2064"/>
    <hyperlink r:id="rId6521" ref="O2064"/>
    <hyperlink r:id="rId6522" ref="B2065"/>
    <hyperlink r:id="rId6523" ref="E2065"/>
    <hyperlink r:id="rId6524" ref="O2065"/>
    <hyperlink r:id="rId6525" ref="B2066"/>
    <hyperlink r:id="rId6526" ref="E2066"/>
    <hyperlink r:id="rId6527" ref="O2066"/>
    <hyperlink r:id="rId6528" ref="B2067"/>
    <hyperlink r:id="rId6529" ref="C2067"/>
    <hyperlink r:id="rId6530" ref="E2067"/>
    <hyperlink r:id="rId6531" ref="O2067"/>
    <hyperlink r:id="rId6532" ref="B2068"/>
    <hyperlink r:id="rId6533" ref="E2068"/>
    <hyperlink r:id="rId6534" ref="O2068"/>
    <hyperlink r:id="rId6535" ref="B2069"/>
    <hyperlink r:id="rId6536" ref="E2069"/>
    <hyperlink r:id="rId6537" ref="O2069"/>
    <hyperlink r:id="rId6538" ref="B2070"/>
    <hyperlink r:id="rId6539" ref="E2070"/>
    <hyperlink r:id="rId6540" ref="O2070"/>
    <hyperlink r:id="rId6541" ref="B2071"/>
    <hyperlink r:id="rId6542" ref="C2071"/>
    <hyperlink r:id="rId6543" ref="E2071"/>
    <hyperlink r:id="rId6544" ref="F2071"/>
    <hyperlink r:id="rId6545" ref="O2071"/>
    <hyperlink r:id="rId6546" ref="B2072"/>
    <hyperlink r:id="rId6547" ref="E2072"/>
    <hyperlink r:id="rId6548" ref="O2072"/>
    <hyperlink r:id="rId6549" ref="B2073"/>
    <hyperlink r:id="rId6550" ref="E2073"/>
    <hyperlink r:id="rId6551" ref="O2073"/>
    <hyperlink r:id="rId6552" ref="B2074"/>
    <hyperlink r:id="rId6553" ref="E2074"/>
    <hyperlink r:id="rId6554" ref="O2074"/>
    <hyperlink r:id="rId6555" ref="B2075"/>
    <hyperlink r:id="rId6556" ref="E2075"/>
    <hyperlink r:id="rId6557" ref="O2075"/>
    <hyperlink r:id="rId6558" ref="B2076"/>
    <hyperlink r:id="rId6559" ref="E2076"/>
    <hyperlink r:id="rId6560" ref="O2076"/>
    <hyperlink r:id="rId6561" ref="B2077"/>
    <hyperlink r:id="rId6562" ref="E2077"/>
    <hyperlink r:id="rId6563" ref="O2077"/>
    <hyperlink r:id="rId6564" ref="B2078"/>
    <hyperlink r:id="rId6565" ref="E2078"/>
    <hyperlink r:id="rId6566" ref="O2078"/>
    <hyperlink r:id="rId6567" ref="B2079"/>
    <hyperlink r:id="rId6568" ref="E2079"/>
    <hyperlink r:id="rId6569" ref="O2079"/>
    <hyperlink r:id="rId6570" ref="B2080"/>
    <hyperlink r:id="rId6571" ref="E2080"/>
    <hyperlink r:id="rId6572" ref="O2080"/>
    <hyperlink r:id="rId6573" ref="B2081"/>
    <hyperlink r:id="rId6574" ref="E2081"/>
    <hyperlink r:id="rId6575" ref="O2081"/>
    <hyperlink r:id="rId6576" ref="B2082"/>
    <hyperlink r:id="rId6577" ref="E2082"/>
    <hyperlink r:id="rId6578" ref="O2082"/>
    <hyperlink r:id="rId6579" ref="B2083"/>
    <hyperlink r:id="rId6580" ref="E2083"/>
    <hyperlink r:id="rId6581" ref="O2083"/>
    <hyperlink r:id="rId6582" ref="B2084"/>
    <hyperlink r:id="rId6583" ref="E2084"/>
    <hyperlink r:id="rId6584" ref="O2084"/>
    <hyperlink r:id="rId6585" ref="B2085"/>
    <hyperlink r:id="rId6586" ref="E2085"/>
    <hyperlink r:id="rId6587" ref="O2085"/>
    <hyperlink r:id="rId6588" ref="B2086"/>
    <hyperlink r:id="rId6589" ref="E2086"/>
    <hyperlink r:id="rId6590" ref="O2086"/>
    <hyperlink r:id="rId6591" ref="B2087"/>
    <hyperlink r:id="rId6592" ref="E2087"/>
    <hyperlink r:id="rId6593" ref="O2087"/>
    <hyperlink r:id="rId6594" ref="B2088"/>
    <hyperlink r:id="rId6595" ref="E2088"/>
    <hyperlink r:id="rId6596" ref="F2088"/>
    <hyperlink r:id="rId6597" ref="O2088"/>
    <hyperlink r:id="rId6598" ref="B2089"/>
    <hyperlink r:id="rId6599" ref="E2089"/>
    <hyperlink r:id="rId6600" ref="F2089"/>
    <hyperlink r:id="rId6601" ref="O2089"/>
    <hyperlink r:id="rId6602" ref="B2090"/>
    <hyperlink r:id="rId6603" ref="E2090"/>
    <hyperlink r:id="rId6604" ref="F2090"/>
    <hyperlink r:id="rId6605" ref="O2090"/>
    <hyperlink r:id="rId6606" ref="B2091"/>
    <hyperlink r:id="rId6607" ref="E2091"/>
    <hyperlink r:id="rId6608" ref="F2091"/>
    <hyperlink r:id="rId6609" ref="O2091"/>
    <hyperlink r:id="rId6610" ref="B2092"/>
    <hyperlink r:id="rId6611" ref="E2092"/>
    <hyperlink r:id="rId6612" ref="F2092"/>
    <hyperlink r:id="rId6613" ref="O2092"/>
    <hyperlink r:id="rId6614" ref="B2093"/>
    <hyperlink r:id="rId6615" ref="E2093"/>
    <hyperlink r:id="rId6616" ref="F2093"/>
    <hyperlink r:id="rId6617" ref="O2093"/>
    <hyperlink r:id="rId6618" ref="B2094"/>
    <hyperlink r:id="rId6619" ref="E2094"/>
    <hyperlink r:id="rId6620" ref="F2094"/>
    <hyperlink r:id="rId6621" ref="O2094"/>
    <hyperlink r:id="rId6622" ref="B2095"/>
    <hyperlink r:id="rId6623" ref="E2095"/>
    <hyperlink r:id="rId6624" ref="F2095"/>
    <hyperlink r:id="rId6625" ref="O2095"/>
    <hyperlink r:id="rId6626" ref="B2096"/>
    <hyperlink r:id="rId6627" ref="E2096"/>
    <hyperlink r:id="rId6628" ref="O2096"/>
    <hyperlink r:id="rId6629" ref="B2097"/>
    <hyperlink r:id="rId6630" ref="E2097"/>
    <hyperlink r:id="rId6631" ref="O2097"/>
    <hyperlink r:id="rId6632" ref="B2098"/>
    <hyperlink r:id="rId6633" ref="E2098"/>
    <hyperlink r:id="rId6634" ref="O2098"/>
    <hyperlink r:id="rId6635" ref="B2099"/>
    <hyperlink r:id="rId6636" ref="E2099"/>
    <hyperlink r:id="rId6637" ref="O2099"/>
    <hyperlink r:id="rId6638" ref="B2100"/>
    <hyperlink r:id="rId6639" ref="E2100"/>
    <hyperlink r:id="rId6640" ref="O2100"/>
    <hyperlink r:id="rId6641" ref="B2101"/>
    <hyperlink r:id="rId6642" ref="E2101"/>
    <hyperlink r:id="rId6643" ref="O2101"/>
    <hyperlink r:id="rId6644" ref="B2102"/>
    <hyperlink r:id="rId6645" ref="E2102"/>
    <hyperlink r:id="rId6646" ref="O2102"/>
    <hyperlink r:id="rId6647" ref="B2103"/>
    <hyperlink r:id="rId6648" ref="C2103"/>
    <hyperlink r:id="rId6649" ref="E2103"/>
    <hyperlink r:id="rId6650" ref="O2103"/>
    <hyperlink r:id="rId6651" ref="B2104"/>
    <hyperlink r:id="rId6652" ref="E2104"/>
    <hyperlink r:id="rId6653" ref="O2104"/>
    <hyperlink r:id="rId6654" ref="B2105"/>
    <hyperlink r:id="rId6655" ref="E2105"/>
    <hyperlink r:id="rId6656" ref="O2105"/>
    <hyperlink r:id="rId6657" ref="B2106"/>
    <hyperlink r:id="rId6658" ref="E2106"/>
    <hyperlink r:id="rId6659" ref="O2106"/>
    <hyperlink r:id="rId6660" ref="B2107"/>
    <hyperlink r:id="rId6661" ref="E2107"/>
    <hyperlink r:id="rId6662" ref="O2107"/>
    <hyperlink r:id="rId6663" ref="B2108"/>
    <hyperlink r:id="rId6664" ref="E2108"/>
    <hyperlink r:id="rId6665" ref="O2108"/>
    <hyperlink r:id="rId6666" ref="B2109"/>
    <hyperlink r:id="rId6667" ref="E2109"/>
    <hyperlink r:id="rId6668" ref="O2109"/>
    <hyperlink r:id="rId6669" ref="B2110"/>
    <hyperlink r:id="rId6670" ref="E2110"/>
    <hyperlink r:id="rId6671" ref="O2110"/>
    <hyperlink r:id="rId6672" ref="B2111"/>
    <hyperlink r:id="rId6673" ref="E2111"/>
    <hyperlink r:id="rId6674" ref="O2111"/>
    <hyperlink r:id="rId6675" ref="B2112"/>
    <hyperlink r:id="rId6676" ref="E2112"/>
    <hyperlink r:id="rId6677" ref="O2112"/>
    <hyperlink r:id="rId6678" ref="B2113"/>
    <hyperlink r:id="rId6679" ref="E2113"/>
    <hyperlink r:id="rId6680" ref="O2113"/>
    <hyperlink r:id="rId6681" ref="B2114"/>
    <hyperlink r:id="rId6682" ref="E2114"/>
    <hyperlink r:id="rId6683" ref="O2114"/>
    <hyperlink r:id="rId6684" ref="B2115"/>
    <hyperlink r:id="rId6685" ref="E2115"/>
    <hyperlink r:id="rId6686" ref="O2115"/>
    <hyperlink r:id="rId6687" ref="B2116"/>
    <hyperlink r:id="rId6688" ref="E2116"/>
    <hyperlink r:id="rId6689" ref="O2116"/>
    <hyperlink r:id="rId6690" ref="B2117"/>
    <hyperlink r:id="rId6691" ref="E2117"/>
    <hyperlink r:id="rId6692" ref="O2117"/>
    <hyperlink r:id="rId6693" ref="B2118"/>
    <hyperlink r:id="rId6694" ref="C2118"/>
    <hyperlink r:id="rId6695" ref="E2118"/>
    <hyperlink r:id="rId6696" ref="O2118"/>
    <hyperlink r:id="rId6697" ref="B2119"/>
    <hyperlink r:id="rId6698" ref="E2119"/>
    <hyperlink r:id="rId6699" ref="F2119"/>
    <hyperlink r:id="rId6700" ref="O2119"/>
    <hyperlink r:id="rId6701" ref="B2120"/>
    <hyperlink r:id="rId6702" ref="E2120"/>
    <hyperlink r:id="rId6703" ref="O2120"/>
    <hyperlink r:id="rId6704" ref="B2121"/>
    <hyperlink r:id="rId6705" ref="E2121"/>
    <hyperlink r:id="rId6706" ref="O2121"/>
    <hyperlink r:id="rId6707" ref="B2122"/>
    <hyperlink r:id="rId6708" ref="E2122"/>
    <hyperlink r:id="rId6709" ref="O2122"/>
    <hyperlink r:id="rId6710" ref="B2123"/>
    <hyperlink r:id="rId6711" ref="E2123"/>
    <hyperlink r:id="rId6712" ref="O2123"/>
    <hyperlink r:id="rId6713" ref="B2124"/>
    <hyperlink r:id="rId6714" ref="E2124"/>
    <hyperlink r:id="rId6715" ref="O2124"/>
    <hyperlink r:id="rId6716" ref="B2125"/>
    <hyperlink r:id="rId6717" ref="E2125"/>
    <hyperlink r:id="rId6718" ref="O2125"/>
    <hyperlink r:id="rId6719" ref="B2126"/>
    <hyperlink r:id="rId6720" ref="E2126"/>
    <hyperlink r:id="rId6721" ref="O2126"/>
    <hyperlink r:id="rId6722" ref="B2127"/>
    <hyperlink r:id="rId6723" ref="E2127"/>
    <hyperlink r:id="rId6724" ref="O2127"/>
    <hyperlink r:id="rId6725" ref="B2128"/>
    <hyperlink r:id="rId6726" ref="E2128"/>
    <hyperlink r:id="rId6727" ref="O2128"/>
    <hyperlink r:id="rId6728" ref="B2129"/>
    <hyperlink r:id="rId6729" ref="E2129"/>
    <hyperlink r:id="rId6730" ref="O2129"/>
    <hyperlink r:id="rId6731" ref="B2130"/>
    <hyperlink r:id="rId6732" ref="E2130"/>
    <hyperlink r:id="rId6733" ref="O2130"/>
    <hyperlink r:id="rId6734" ref="B2131"/>
    <hyperlink r:id="rId6735" ref="E2131"/>
    <hyperlink r:id="rId6736" ref="O2131"/>
    <hyperlink r:id="rId6737" ref="B2132"/>
    <hyperlink r:id="rId6738" ref="E2132"/>
    <hyperlink r:id="rId6739" ref="O2132"/>
    <hyperlink r:id="rId6740" ref="B2133"/>
    <hyperlink r:id="rId6741" ref="E2133"/>
    <hyperlink r:id="rId6742" ref="O2133"/>
    <hyperlink r:id="rId6743" ref="B2134"/>
    <hyperlink r:id="rId6744" ref="E2134"/>
    <hyperlink r:id="rId6745" ref="O2134"/>
    <hyperlink r:id="rId6746" ref="B2135"/>
    <hyperlink r:id="rId6747" ref="E2135"/>
    <hyperlink r:id="rId6748" ref="O2135"/>
    <hyperlink r:id="rId6749" ref="B2136"/>
    <hyperlink r:id="rId6750" ref="E2136"/>
    <hyperlink r:id="rId6751" ref="O2136"/>
    <hyperlink r:id="rId6752" ref="B2137"/>
    <hyperlink r:id="rId6753" ref="E2137"/>
    <hyperlink r:id="rId6754" ref="O2137"/>
    <hyperlink r:id="rId6755" ref="B2138"/>
    <hyperlink r:id="rId6756" ref="E2138"/>
    <hyperlink r:id="rId6757" ref="O2138"/>
    <hyperlink r:id="rId6758" ref="B2139"/>
    <hyperlink r:id="rId6759" ref="E2139"/>
    <hyperlink r:id="rId6760" ref="O2139"/>
    <hyperlink r:id="rId6761" ref="B2140"/>
    <hyperlink r:id="rId6762" ref="C2140"/>
    <hyperlink r:id="rId6763" ref="E2140"/>
    <hyperlink r:id="rId6764" ref="O2140"/>
    <hyperlink r:id="rId6765" ref="B2141"/>
    <hyperlink r:id="rId6766" ref="E2141"/>
    <hyperlink r:id="rId6767" ref="O2141"/>
    <hyperlink r:id="rId6768" ref="B2142"/>
    <hyperlink r:id="rId6769" ref="E2142"/>
    <hyperlink r:id="rId6770" ref="O2142"/>
    <hyperlink r:id="rId6771" ref="B2143"/>
    <hyperlink r:id="rId6772" ref="E2143"/>
    <hyperlink r:id="rId6773" ref="O2143"/>
    <hyperlink r:id="rId6774" ref="B2144"/>
    <hyperlink r:id="rId6775" ref="E2144"/>
    <hyperlink r:id="rId6776" ref="O2144"/>
    <hyperlink r:id="rId6777" ref="B2145"/>
    <hyperlink r:id="rId6778" ref="E2145"/>
    <hyperlink r:id="rId6779" ref="O2145"/>
    <hyperlink r:id="rId6780" ref="B2146"/>
    <hyperlink r:id="rId6781" ref="E2146"/>
    <hyperlink r:id="rId6782" ref="O2146"/>
    <hyperlink r:id="rId6783" ref="B2147"/>
    <hyperlink r:id="rId6784" ref="E2147"/>
    <hyperlink r:id="rId6785" ref="O2147"/>
    <hyperlink r:id="rId6786" ref="B2148"/>
    <hyperlink r:id="rId6787" ref="E2148"/>
    <hyperlink r:id="rId6788" ref="O2148"/>
    <hyperlink r:id="rId6789" ref="B2149"/>
    <hyperlink r:id="rId6790" ref="C2149"/>
    <hyperlink r:id="rId6791" ref="E2149"/>
    <hyperlink r:id="rId6792" ref="F2149"/>
    <hyperlink r:id="rId6793" ref="O2149"/>
    <hyperlink r:id="rId6794" ref="B2150"/>
    <hyperlink r:id="rId6795" ref="E2150"/>
    <hyperlink r:id="rId6796" ref="F2150"/>
    <hyperlink r:id="rId6797" ref="O2150"/>
    <hyperlink r:id="rId6798" ref="B2151"/>
    <hyperlink r:id="rId6799" ref="E2151"/>
    <hyperlink r:id="rId6800" ref="F2151"/>
    <hyperlink r:id="rId6801" ref="O2151"/>
    <hyperlink r:id="rId6802" ref="B2152"/>
    <hyperlink r:id="rId6803" ref="E2152"/>
    <hyperlink r:id="rId6804" ref="F2152"/>
    <hyperlink r:id="rId6805" ref="O2152"/>
    <hyperlink r:id="rId6806" ref="B2153"/>
    <hyperlink r:id="rId6807" ref="E2153"/>
    <hyperlink r:id="rId6808" ref="F2153"/>
    <hyperlink r:id="rId6809" ref="O2153"/>
    <hyperlink r:id="rId6810" ref="B2154"/>
    <hyperlink r:id="rId6811" ref="E2154"/>
    <hyperlink r:id="rId6812" ref="F2154"/>
    <hyperlink r:id="rId6813" ref="O2154"/>
    <hyperlink r:id="rId6814" ref="B2155"/>
    <hyperlink r:id="rId6815" ref="E2155"/>
    <hyperlink r:id="rId6816" ref="F2155"/>
    <hyperlink r:id="rId6817" ref="O2155"/>
    <hyperlink r:id="rId6818" ref="B2156"/>
    <hyperlink r:id="rId6819" ref="E2156"/>
    <hyperlink r:id="rId6820" ref="F2156"/>
    <hyperlink r:id="rId6821" ref="O2156"/>
    <hyperlink r:id="rId6822" ref="B2157"/>
    <hyperlink r:id="rId6823" ref="E2157"/>
    <hyperlink r:id="rId6824" ref="F2157"/>
    <hyperlink r:id="rId6825" ref="O2157"/>
    <hyperlink r:id="rId6826" ref="B2158"/>
    <hyperlink r:id="rId6827" ref="E2158"/>
    <hyperlink r:id="rId6828" ref="F2158"/>
    <hyperlink r:id="rId6829" ref="O2158"/>
    <hyperlink r:id="rId6830" ref="B2159"/>
    <hyperlink r:id="rId6831" ref="E2159"/>
    <hyperlink r:id="rId6832" ref="O2159"/>
    <hyperlink r:id="rId6833" ref="B2160"/>
    <hyperlink r:id="rId6834" ref="E2160"/>
    <hyperlink r:id="rId6835" ref="O2160"/>
    <hyperlink r:id="rId6836" ref="B2161"/>
    <hyperlink r:id="rId6837" ref="E2161"/>
    <hyperlink r:id="rId6838" ref="O2161"/>
    <hyperlink r:id="rId6839" ref="B2162"/>
    <hyperlink r:id="rId6840" ref="E2162"/>
    <hyperlink r:id="rId6841" ref="O2162"/>
    <hyperlink r:id="rId6842" ref="B2163"/>
    <hyperlink r:id="rId6843" ref="E2163"/>
    <hyperlink r:id="rId6844" ref="O2163"/>
    <hyperlink r:id="rId6845" ref="B2164"/>
    <hyperlink r:id="rId6846" ref="E2164"/>
    <hyperlink r:id="rId6847" ref="O2164"/>
    <hyperlink r:id="rId6848" ref="B2165"/>
    <hyperlink r:id="rId6849" ref="E2165"/>
    <hyperlink r:id="rId6850" ref="O2165"/>
    <hyperlink r:id="rId6851" ref="B2166"/>
    <hyperlink r:id="rId6852" ref="E2166"/>
    <hyperlink r:id="rId6853" ref="O2166"/>
    <hyperlink r:id="rId6854" ref="B2167"/>
    <hyperlink r:id="rId6855" ref="E2167"/>
    <hyperlink r:id="rId6856" ref="O2167"/>
    <hyperlink r:id="rId6857" ref="B2168"/>
    <hyperlink r:id="rId6858" ref="E2168"/>
    <hyperlink r:id="rId6859" ref="O2168"/>
    <hyperlink r:id="rId6860" ref="B2169"/>
    <hyperlink r:id="rId6861" ref="E2169"/>
    <hyperlink r:id="rId6862" ref="O2169"/>
    <hyperlink r:id="rId6863" ref="B2170"/>
    <hyperlink r:id="rId6864" ref="E2170"/>
    <hyperlink r:id="rId6865" ref="O2170"/>
    <hyperlink r:id="rId6866" ref="B2171"/>
    <hyperlink r:id="rId6867" ref="E2171"/>
    <hyperlink r:id="rId6868" ref="O2171"/>
    <hyperlink r:id="rId6869" ref="B2172"/>
    <hyperlink r:id="rId6870" ref="E2172"/>
    <hyperlink r:id="rId6871" ref="O2172"/>
    <hyperlink r:id="rId6872" ref="B2173"/>
    <hyperlink r:id="rId6873" ref="E2173"/>
    <hyperlink r:id="rId6874" ref="O2173"/>
    <hyperlink r:id="rId6875" ref="B2174"/>
    <hyperlink r:id="rId6876" ref="E2174"/>
    <hyperlink r:id="rId6877" ref="O2174"/>
    <hyperlink r:id="rId6878" ref="B2175"/>
    <hyperlink r:id="rId6879" ref="C2175"/>
    <hyperlink r:id="rId6880" ref="E2175"/>
    <hyperlink r:id="rId6881" ref="O2175"/>
    <hyperlink r:id="rId6882" ref="B2176"/>
    <hyperlink r:id="rId6883" ref="E2176"/>
    <hyperlink r:id="rId6884" ref="O2176"/>
    <hyperlink r:id="rId6885" ref="B2177"/>
    <hyperlink r:id="rId6886" ref="E2177"/>
    <hyperlink r:id="rId6887" ref="O2177"/>
    <hyperlink r:id="rId6888" ref="B2178"/>
    <hyperlink r:id="rId6889" ref="E2178"/>
    <hyperlink r:id="rId6890" ref="O2178"/>
    <hyperlink r:id="rId6891" ref="B2179"/>
    <hyperlink r:id="rId6892" ref="E2179"/>
    <hyperlink r:id="rId6893" ref="O2179"/>
    <hyperlink r:id="rId6894" ref="B2180"/>
    <hyperlink r:id="rId6895" ref="E2180"/>
    <hyperlink r:id="rId6896" ref="O2180"/>
    <hyperlink r:id="rId6897" ref="B2181"/>
    <hyperlink r:id="rId6898" ref="E2181"/>
    <hyperlink r:id="rId6899" ref="O2181"/>
    <hyperlink r:id="rId6900" ref="B2182"/>
    <hyperlink r:id="rId6901" ref="E2182"/>
    <hyperlink r:id="rId6902" ref="O2182"/>
    <hyperlink r:id="rId6903" ref="B2183"/>
    <hyperlink r:id="rId6904" ref="E2183"/>
    <hyperlink r:id="rId6905" ref="F2183"/>
    <hyperlink r:id="rId6906" ref="O2183"/>
    <hyperlink r:id="rId6907" ref="B2184"/>
    <hyperlink r:id="rId6908" ref="E2184"/>
    <hyperlink r:id="rId6909" ref="O2184"/>
    <hyperlink r:id="rId6910" ref="B2185"/>
    <hyperlink r:id="rId6911" ref="E2185"/>
    <hyperlink r:id="rId6912" ref="F2185"/>
    <hyperlink r:id="rId6913" ref="O2185"/>
    <hyperlink r:id="rId6914" ref="B2186"/>
    <hyperlink r:id="rId6915" ref="C2186"/>
    <hyperlink r:id="rId6916" ref="E2186"/>
    <hyperlink r:id="rId6917" ref="O2186"/>
    <hyperlink r:id="rId6918" ref="B2187"/>
    <hyperlink r:id="rId6919" ref="E2187"/>
    <hyperlink r:id="rId6920" ref="O2187"/>
    <hyperlink r:id="rId6921" ref="B2188"/>
    <hyperlink r:id="rId6922" ref="E2188"/>
    <hyperlink r:id="rId6923" ref="O2188"/>
    <hyperlink r:id="rId6924" ref="B2189"/>
    <hyperlink r:id="rId6925" ref="E2189"/>
    <hyperlink r:id="rId6926" ref="O2189"/>
    <hyperlink r:id="rId6927" ref="B2190"/>
    <hyperlink r:id="rId6928" ref="E2190"/>
    <hyperlink r:id="rId6929" ref="O2190"/>
    <hyperlink r:id="rId6930" ref="B2191"/>
    <hyperlink r:id="rId6931" ref="E2191"/>
    <hyperlink r:id="rId6932" ref="O2191"/>
    <hyperlink r:id="rId6933" ref="B2192"/>
    <hyperlink r:id="rId6934" ref="E2192"/>
    <hyperlink r:id="rId6935" ref="O2192"/>
    <hyperlink r:id="rId6936" ref="B2193"/>
    <hyperlink r:id="rId6937" ref="E2193"/>
    <hyperlink r:id="rId6938" ref="O2193"/>
    <hyperlink r:id="rId6939" ref="B2194"/>
    <hyperlink r:id="rId6940" ref="E2194"/>
    <hyperlink r:id="rId6941" ref="O2194"/>
    <hyperlink r:id="rId6942" ref="B2195"/>
    <hyperlink r:id="rId6943" ref="E2195"/>
    <hyperlink r:id="rId6944" ref="F2195"/>
    <hyperlink r:id="rId6945" ref="O2195"/>
    <hyperlink r:id="rId6946" ref="B2196"/>
    <hyperlink r:id="rId6947" ref="E2196"/>
    <hyperlink r:id="rId6948" ref="F2196"/>
    <hyperlink r:id="rId6949" ref="O2196"/>
    <hyperlink r:id="rId6950" ref="B2197"/>
    <hyperlink r:id="rId6951" ref="E2197"/>
    <hyperlink r:id="rId6952" ref="F2197"/>
    <hyperlink r:id="rId6953" ref="O2197"/>
    <hyperlink r:id="rId6954" ref="B2198"/>
    <hyperlink r:id="rId6955" ref="E2198"/>
    <hyperlink r:id="rId6956" ref="F2198"/>
    <hyperlink r:id="rId6957" ref="O2198"/>
    <hyperlink r:id="rId6958" ref="B2199"/>
    <hyperlink r:id="rId6959" ref="E2199"/>
    <hyperlink r:id="rId6960" ref="F2199"/>
    <hyperlink r:id="rId6961" ref="O2199"/>
    <hyperlink r:id="rId6962" ref="B2200"/>
    <hyperlink r:id="rId6963" ref="E2200"/>
    <hyperlink r:id="rId6964" ref="F2200"/>
    <hyperlink r:id="rId6965" ref="O2200"/>
    <hyperlink r:id="rId6966" ref="B2201"/>
    <hyperlink r:id="rId6967" ref="E2201"/>
    <hyperlink r:id="rId6968" ref="F2201"/>
    <hyperlink r:id="rId6969" ref="O2201"/>
    <hyperlink r:id="rId6970" ref="B2202"/>
    <hyperlink r:id="rId6971" ref="E2202"/>
    <hyperlink r:id="rId6972" ref="F2202"/>
    <hyperlink r:id="rId6973" ref="O2202"/>
    <hyperlink r:id="rId6974" ref="B2203"/>
    <hyperlink r:id="rId6975" ref="E2203"/>
    <hyperlink r:id="rId6976" ref="F2203"/>
    <hyperlink r:id="rId6977" ref="O2203"/>
    <hyperlink r:id="rId6978" ref="B2204"/>
    <hyperlink r:id="rId6979" ref="E2204"/>
    <hyperlink r:id="rId6980" ref="F2204"/>
    <hyperlink r:id="rId6981" ref="O2204"/>
    <hyperlink r:id="rId6982" ref="B2205"/>
    <hyperlink r:id="rId6983" ref="E2205"/>
    <hyperlink r:id="rId6984" ref="O2205"/>
    <hyperlink r:id="rId6985" ref="B2206"/>
    <hyperlink r:id="rId6986" ref="E2206"/>
    <hyperlink r:id="rId6987" ref="O2206"/>
    <hyperlink r:id="rId6988" ref="B2207"/>
    <hyperlink r:id="rId6989" ref="E2207"/>
    <hyperlink r:id="rId6990" ref="O2207"/>
    <hyperlink r:id="rId6991" ref="B2208"/>
    <hyperlink r:id="rId6992" ref="E2208"/>
    <hyperlink r:id="rId6993" ref="O2208"/>
    <hyperlink r:id="rId6994" ref="B2209"/>
    <hyperlink r:id="rId6995" ref="E2209"/>
    <hyperlink r:id="rId6996" ref="O2209"/>
    <hyperlink r:id="rId6997" ref="B2210"/>
    <hyperlink r:id="rId6998" ref="E2210"/>
    <hyperlink r:id="rId6999" ref="O2210"/>
    <hyperlink r:id="rId7000" ref="B2211"/>
    <hyperlink r:id="rId7001" ref="E2211"/>
    <hyperlink r:id="rId7002" ref="O2211"/>
    <hyperlink r:id="rId7003" ref="B2212"/>
    <hyperlink r:id="rId7004" ref="E2212"/>
    <hyperlink r:id="rId7005" ref="O2212"/>
    <hyperlink r:id="rId7006" ref="B2213"/>
    <hyperlink r:id="rId7007" ref="E2213"/>
    <hyperlink r:id="rId7008" ref="O2213"/>
    <hyperlink r:id="rId7009" ref="B2214"/>
    <hyperlink r:id="rId7010" ref="E2214"/>
    <hyperlink r:id="rId7011" ref="O2214"/>
    <hyperlink r:id="rId7012" ref="B2215"/>
    <hyperlink r:id="rId7013" ref="E2215"/>
    <hyperlink r:id="rId7014" ref="O2215"/>
    <hyperlink r:id="rId7015" ref="B2216"/>
    <hyperlink r:id="rId7016" ref="E2216"/>
    <hyperlink r:id="rId7017" ref="O2216"/>
    <hyperlink r:id="rId7018" ref="B2217"/>
    <hyperlink r:id="rId7019" ref="C2217"/>
    <hyperlink r:id="rId7020" ref="E2217"/>
    <hyperlink r:id="rId7021" ref="F2217"/>
    <hyperlink r:id="rId7022" ref="O2217"/>
    <hyperlink r:id="rId7023" ref="B2218"/>
    <hyperlink r:id="rId7024" ref="E2218"/>
    <hyperlink r:id="rId7025" ref="O2218"/>
    <hyperlink r:id="rId7026" ref="B2219"/>
    <hyperlink r:id="rId7027" ref="E2219"/>
    <hyperlink r:id="rId7028" ref="O2219"/>
    <hyperlink r:id="rId7029" ref="B2220"/>
    <hyperlink r:id="rId7030" ref="E2220"/>
    <hyperlink r:id="rId7031" ref="O2220"/>
    <hyperlink r:id="rId7032" ref="B2221"/>
    <hyperlink r:id="rId7033" ref="E2221"/>
    <hyperlink r:id="rId7034" ref="O2221"/>
    <hyperlink r:id="rId7035" ref="B2222"/>
    <hyperlink r:id="rId7036" ref="E2222"/>
    <hyperlink r:id="rId7037" ref="O2222"/>
    <hyperlink r:id="rId7038" ref="B2223"/>
    <hyperlink r:id="rId7039" ref="E2223"/>
    <hyperlink r:id="rId7040" ref="O2223"/>
    <hyperlink r:id="rId7041" ref="B2224"/>
    <hyperlink r:id="rId7042" ref="E2224"/>
    <hyperlink r:id="rId7043" ref="O2224"/>
    <hyperlink r:id="rId7044" ref="B2225"/>
    <hyperlink r:id="rId7045" ref="E2225"/>
    <hyperlink r:id="rId7046" ref="O2225"/>
    <hyperlink r:id="rId7047" ref="B2226"/>
    <hyperlink r:id="rId7048" ref="E2226"/>
    <hyperlink r:id="rId7049" ref="O2226"/>
    <hyperlink r:id="rId7050" ref="B2227"/>
    <hyperlink r:id="rId7051" ref="E2227"/>
    <hyperlink r:id="rId7052" ref="O2227"/>
    <hyperlink r:id="rId7053" ref="B2228"/>
    <hyperlink r:id="rId7054" ref="E2228"/>
    <hyperlink r:id="rId7055" ref="O2228"/>
    <hyperlink r:id="rId7056" ref="B2229"/>
    <hyperlink r:id="rId7057" ref="E2229"/>
    <hyperlink r:id="rId7058" ref="O2229"/>
    <hyperlink r:id="rId7059" ref="B2230"/>
    <hyperlink r:id="rId7060" ref="E2230"/>
    <hyperlink r:id="rId7061" ref="O2230"/>
    <hyperlink r:id="rId7062" ref="B2231"/>
    <hyperlink r:id="rId7063" ref="E2231"/>
    <hyperlink r:id="rId7064" ref="O2231"/>
    <hyperlink r:id="rId7065" ref="B2232"/>
    <hyperlink r:id="rId7066" ref="E2232"/>
    <hyperlink r:id="rId7067" ref="O2232"/>
    <hyperlink r:id="rId7068" ref="B2233"/>
    <hyperlink r:id="rId7069" ref="E2233"/>
    <hyperlink r:id="rId7070" ref="O2233"/>
    <hyperlink r:id="rId7071" ref="B2234"/>
    <hyperlink r:id="rId7072" ref="E2234"/>
    <hyperlink r:id="rId7073" ref="O2234"/>
    <hyperlink r:id="rId7074" ref="B2235"/>
    <hyperlink r:id="rId7075" ref="E2235"/>
    <hyperlink r:id="rId7076" ref="O2235"/>
    <hyperlink r:id="rId7077" ref="B2236"/>
    <hyperlink r:id="rId7078" ref="E2236"/>
    <hyperlink r:id="rId7079" ref="O2236"/>
    <hyperlink r:id="rId7080" ref="B2237"/>
    <hyperlink r:id="rId7081" ref="E2237"/>
    <hyperlink r:id="rId7082" ref="O2237"/>
    <hyperlink r:id="rId7083" ref="B2238"/>
    <hyperlink r:id="rId7084" ref="E2238"/>
    <hyperlink r:id="rId7085" ref="O2238"/>
    <hyperlink r:id="rId7086" ref="B2239"/>
    <hyperlink r:id="rId7087" ref="E2239"/>
    <hyperlink r:id="rId7088" ref="O2239"/>
    <hyperlink r:id="rId7089" ref="B2240"/>
    <hyperlink r:id="rId7090" ref="E2240"/>
    <hyperlink r:id="rId7091" ref="O2240"/>
    <hyperlink r:id="rId7092" ref="B2241"/>
    <hyperlink r:id="rId7093" ref="E2241"/>
    <hyperlink r:id="rId7094" ref="O2241"/>
    <hyperlink r:id="rId7095" ref="B2242"/>
    <hyperlink r:id="rId7096" ref="E2242"/>
    <hyperlink r:id="rId7097" ref="O2242"/>
    <hyperlink r:id="rId7098" ref="B2243"/>
    <hyperlink r:id="rId7099" ref="E2243"/>
    <hyperlink r:id="rId7100" ref="O2243"/>
    <hyperlink r:id="rId7101" ref="B2244"/>
    <hyperlink r:id="rId7102" ref="E2244"/>
    <hyperlink r:id="rId7103" ref="O2244"/>
    <hyperlink r:id="rId7104" ref="B2245"/>
    <hyperlink r:id="rId7105" ref="E2245"/>
    <hyperlink r:id="rId7106" ref="O2245"/>
    <hyperlink r:id="rId7107" ref="B2246"/>
    <hyperlink r:id="rId7108" ref="E2246"/>
    <hyperlink r:id="rId7109" ref="O2246"/>
    <hyperlink r:id="rId7110" ref="B2247"/>
    <hyperlink r:id="rId7111" ref="E2247"/>
    <hyperlink r:id="rId7112" ref="O2247"/>
    <hyperlink r:id="rId7113" ref="B2248"/>
    <hyperlink r:id="rId7114" ref="E2248"/>
    <hyperlink r:id="rId7115" ref="O2248"/>
    <hyperlink r:id="rId7116" ref="B2249"/>
    <hyperlink r:id="rId7117" ref="E2249"/>
    <hyperlink r:id="rId7118" ref="F2249"/>
    <hyperlink r:id="rId7119" ref="O2249"/>
    <hyperlink r:id="rId7120" ref="B2250"/>
    <hyperlink r:id="rId7121" ref="E2250"/>
    <hyperlink r:id="rId7122" ref="F2250"/>
    <hyperlink r:id="rId7123" ref="O2250"/>
    <hyperlink r:id="rId7124" ref="B2251"/>
    <hyperlink r:id="rId7125" ref="E2251"/>
    <hyperlink r:id="rId7126" ref="O2251"/>
    <hyperlink r:id="rId7127" ref="B2252"/>
    <hyperlink r:id="rId7128" ref="E2252"/>
    <hyperlink r:id="rId7129" ref="O2252"/>
    <hyperlink r:id="rId7130" ref="B2253"/>
    <hyperlink r:id="rId7131" ref="E2253"/>
    <hyperlink r:id="rId7132" ref="O2253"/>
    <hyperlink r:id="rId7133" ref="B2254"/>
    <hyperlink r:id="rId7134" ref="E2254"/>
    <hyperlink r:id="rId7135" ref="O2254"/>
    <hyperlink r:id="rId7136" ref="B2255"/>
    <hyperlink r:id="rId7137" ref="E2255"/>
    <hyperlink r:id="rId7138" ref="O2255"/>
    <hyperlink r:id="rId7139" ref="B2256"/>
    <hyperlink r:id="rId7140" ref="E2256"/>
    <hyperlink r:id="rId7141" ref="O2256"/>
    <hyperlink r:id="rId7142" ref="B2257"/>
    <hyperlink r:id="rId7143" ref="E2257"/>
    <hyperlink r:id="rId7144" ref="O2257"/>
    <hyperlink r:id="rId7145" ref="B2258"/>
    <hyperlink r:id="rId7146" ref="E2258"/>
    <hyperlink r:id="rId7147" ref="O2258"/>
    <hyperlink r:id="rId7148" ref="B2259"/>
    <hyperlink r:id="rId7149" ref="E2259"/>
    <hyperlink r:id="rId7150" ref="O2259"/>
    <hyperlink r:id="rId7151" ref="B2260"/>
    <hyperlink r:id="rId7152" ref="E2260"/>
    <hyperlink r:id="rId7153" ref="O2260"/>
    <hyperlink r:id="rId7154" ref="B2261"/>
    <hyperlink r:id="rId7155" ref="E2261"/>
    <hyperlink r:id="rId7156" ref="O2261"/>
    <hyperlink r:id="rId7157" ref="B2262"/>
    <hyperlink r:id="rId7158" ref="E2262"/>
    <hyperlink r:id="rId7159" ref="O2262"/>
    <hyperlink r:id="rId7160" ref="B2263"/>
    <hyperlink r:id="rId7161" ref="E2263"/>
    <hyperlink r:id="rId7162" ref="O2263"/>
    <hyperlink r:id="rId7163" ref="B2264"/>
    <hyperlink r:id="rId7164" ref="E2264"/>
    <hyperlink r:id="rId7165" ref="O2264"/>
    <hyperlink r:id="rId7166" ref="B2265"/>
    <hyperlink r:id="rId7167" ref="E2265"/>
    <hyperlink r:id="rId7168" ref="O2265"/>
    <hyperlink r:id="rId7169" ref="B2266"/>
    <hyperlink r:id="rId7170" ref="E2266"/>
    <hyperlink r:id="rId7171" ref="O2266"/>
    <hyperlink r:id="rId7172" ref="B2267"/>
    <hyperlink r:id="rId7173" ref="E2267"/>
    <hyperlink r:id="rId7174" ref="F2267"/>
    <hyperlink r:id="rId7175" ref="O2267"/>
    <hyperlink r:id="rId7176" ref="B2268"/>
    <hyperlink r:id="rId7177" ref="E2268"/>
    <hyperlink r:id="rId7178" ref="O2268"/>
    <hyperlink r:id="rId7179" ref="B2269"/>
    <hyperlink r:id="rId7180" ref="E2269"/>
    <hyperlink r:id="rId7181" ref="O2269"/>
    <hyperlink r:id="rId7182" ref="B2270"/>
    <hyperlink r:id="rId7183" ref="E2270"/>
    <hyperlink r:id="rId7184" ref="O2270"/>
    <hyperlink r:id="rId7185" ref="B2271"/>
    <hyperlink r:id="rId7186" ref="E2271"/>
    <hyperlink r:id="rId7187" ref="O2271"/>
    <hyperlink r:id="rId7188" ref="B2272"/>
    <hyperlink r:id="rId7189" ref="E2272"/>
    <hyperlink r:id="rId7190" ref="O2272"/>
    <hyperlink r:id="rId7191" ref="B2273"/>
    <hyperlink r:id="rId7192" ref="E2273"/>
    <hyperlink r:id="rId7193" ref="O2273"/>
    <hyperlink r:id="rId7194" ref="B2274"/>
    <hyperlink r:id="rId7195" ref="E2274"/>
    <hyperlink r:id="rId7196" ref="O2274"/>
    <hyperlink r:id="rId7197" ref="B2275"/>
    <hyperlink r:id="rId7198" ref="E2275"/>
    <hyperlink r:id="rId7199" ref="O2275"/>
    <hyperlink r:id="rId7200" ref="B2276"/>
    <hyperlink r:id="rId7201" ref="E2276"/>
    <hyperlink r:id="rId7202" ref="O2276"/>
    <hyperlink r:id="rId7203" ref="B2277"/>
    <hyperlink r:id="rId7204" ref="E2277"/>
    <hyperlink r:id="rId7205" ref="F2277"/>
    <hyperlink r:id="rId7206" ref="O2277"/>
    <hyperlink r:id="rId7207" ref="B2278"/>
    <hyperlink r:id="rId7208" ref="E2278"/>
    <hyperlink r:id="rId7209" ref="F2278"/>
    <hyperlink r:id="rId7210" ref="O2278"/>
    <hyperlink r:id="rId7211" ref="B2279"/>
    <hyperlink r:id="rId7212" ref="E2279"/>
    <hyperlink r:id="rId7213" ref="F2279"/>
    <hyperlink r:id="rId7214" ref="O2279"/>
    <hyperlink r:id="rId7215" ref="B2280"/>
    <hyperlink r:id="rId7216" ref="E2280"/>
    <hyperlink r:id="rId7217" ref="F2280"/>
    <hyperlink r:id="rId7218" ref="O2280"/>
    <hyperlink r:id="rId7219" ref="B2281"/>
    <hyperlink r:id="rId7220" ref="E2281"/>
    <hyperlink r:id="rId7221" ref="F2281"/>
    <hyperlink r:id="rId7222" ref="O2281"/>
    <hyperlink r:id="rId7223" ref="B2282"/>
    <hyperlink r:id="rId7224" ref="E2282"/>
    <hyperlink r:id="rId7225" ref="F2282"/>
    <hyperlink r:id="rId7226" ref="O2282"/>
    <hyperlink r:id="rId7227" ref="B2283"/>
    <hyperlink r:id="rId7228" ref="E2283"/>
    <hyperlink r:id="rId7229" ref="F2283"/>
    <hyperlink r:id="rId7230" ref="O2283"/>
    <hyperlink r:id="rId7231" ref="B2284"/>
    <hyperlink r:id="rId7232" ref="E2284"/>
    <hyperlink r:id="rId7233" ref="F2284"/>
    <hyperlink r:id="rId7234" ref="O2284"/>
    <hyperlink r:id="rId7235" ref="B2285"/>
    <hyperlink r:id="rId7236" ref="E2285"/>
    <hyperlink r:id="rId7237" ref="O2285"/>
    <hyperlink r:id="rId7238" ref="B2286"/>
    <hyperlink r:id="rId7239" ref="E2286"/>
    <hyperlink r:id="rId7240" ref="O2286"/>
    <hyperlink r:id="rId7241" ref="B2287"/>
    <hyperlink r:id="rId7242" ref="E2287"/>
    <hyperlink r:id="rId7243" ref="O2287"/>
    <hyperlink r:id="rId7244" ref="B2288"/>
    <hyperlink r:id="rId7245" ref="E2288"/>
    <hyperlink r:id="rId7246" ref="O2288"/>
    <hyperlink r:id="rId7247" ref="B2289"/>
    <hyperlink r:id="rId7248" ref="E2289"/>
    <hyperlink r:id="rId7249" ref="O2289"/>
    <hyperlink r:id="rId7250" ref="B2290"/>
    <hyperlink r:id="rId7251" ref="E2290"/>
    <hyperlink r:id="rId7252" ref="O2290"/>
    <hyperlink r:id="rId7253" ref="B2291"/>
    <hyperlink r:id="rId7254" ref="E2291"/>
    <hyperlink r:id="rId7255" ref="O2291"/>
    <hyperlink r:id="rId7256" ref="B2292"/>
    <hyperlink r:id="rId7257" ref="E2292"/>
    <hyperlink r:id="rId7258" ref="O2292"/>
    <hyperlink r:id="rId7259" ref="B2293"/>
    <hyperlink r:id="rId7260" ref="E2293"/>
    <hyperlink r:id="rId7261" ref="O2293"/>
    <hyperlink r:id="rId7262" ref="B2294"/>
    <hyperlink r:id="rId7263" ref="E2294"/>
    <hyperlink r:id="rId7264" ref="O2294"/>
    <hyperlink r:id="rId7265" ref="B2295"/>
    <hyperlink r:id="rId7266" ref="E2295"/>
    <hyperlink r:id="rId7267" ref="O2295"/>
    <hyperlink r:id="rId7268" ref="B2296"/>
    <hyperlink r:id="rId7269" ref="E2296"/>
    <hyperlink r:id="rId7270" ref="O2296"/>
    <hyperlink r:id="rId7271" ref="B2297"/>
    <hyperlink r:id="rId7272" ref="E2297"/>
    <hyperlink r:id="rId7273" ref="O2297"/>
    <hyperlink r:id="rId7274" ref="B2298"/>
    <hyperlink r:id="rId7275" ref="E2298"/>
    <hyperlink r:id="rId7276" ref="O2298"/>
    <hyperlink r:id="rId7277" ref="B2299"/>
    <hyperlink r:id="rId7278" ref="E2299"/>
    <hyperlink r:id="rId7279" ref="O2299"/>
    <hyperlink r:id="rId7280" ref="B2300"/>
    <hyperlink r:id="rId7281" ref="E2300"/>
    <hyperlink r:id="rId7282" ref="O2300"/>
    <hyperlink r:id="rId7283" ref="B2301"/>
    <hyperlink r:id="rId7284" ref="E2301"/>
    <hyperlink r:id="rId7285" ref="O2301"/>
    <hyperlink r:id="rId7286" ref="B2302"/>
    <hyperlink r:id="rId7287" ref="E2302"/>
    <hyperlink r:id="rId7288" ref="O2302"/>
    <hyperlink r:id="rId7289" ref="B2303"/>
    <hyperlink r:id="rId7290" ref="E2303"/>
    <hyperlink r:id="rId7291" ref="O2303"/>
    <hyperlink r:id="rId7292" ref="B2304"/>
    <hyperlink r:id="rId7293" ref="E2304"/>
    <hyperlink r:id="rId7294" ref="O2304"/>
    <hyperlink r:id="rId7295" ref="B2305"/>
    <hyperlink r:id="rId7296" ref="E2305"/>
    <hyperlink r:id="rId7297" ref="O2305"/>
    <hyperlink r:id="rId7298" ref="B2306"/>
    <hyperlink r:id="rId7299" ref="E2306"/>
    <hyperlink r:id="rId7300" ref="O2306"/>
    <hyperlink r:id="rId7301" ref="B2307"/>
    <hyperlink r:id="rId7302" ref="E2307"/>
    <hyperlink r:id="rId7303" ref="O2307"/>
    <hyperlink r:id="rId7304" ref="B2308"/>
    <hyperlink r:id="rId7305" ref="E2308"/>
    <hyperlink r:id="rId7306" ref="O2308"/>
    <hyperlink r:id="rId7307" ref="B2309"/>
    <hyperlink r:id="rId7308" ref="E2309"/>
    <hyperlink r:id="rId7309" ref="O2309"/>
    <hyperlink r:id="rId7310" ref="B2310"/>
    <hyperlink r:id="rId7311" ref="E2310"/>
    <hyperlink r:id="rId7312" ref="O2310"/>
    <hyperlink r:id="rId7313" ref="B2311"/>
    <hyperlink r:id="rId7314" ref="E2311"/>
    <hyperlink r:id="rId7315" ref="F2311"/>
    <hyperlink r:id="rId7316" ref="O2311"/>
    <hyperlink r:id="rId7317" ref="B2312"/>
    <hyperlink r:id="rId7318" ref="E2312"/>
    <hyperlink r:id="rId7319" ref="F2312"/>
    <hyperlink r:id="rId7320" ref="O2312"/>
    <hyperlink r:id="rId7321" ref="B2313"/>
    <hyperlink r:id="rId7322" ref="E2313"/>
    <hyperlink r:id="rId7323" ref="O2313"/>
    <hyperlink r:id="rId7324" ref="B2314"/>
    <hyperlink r:id="rId7325" ref="E2314"/>
    <hyperlink r:id="rId7326" ref="O2314"/>
    <hyperlink r:id="rId7327" ref="B2315"/>
    <hyperlink r:id="rId7328" ref="E2315"/>
    <hyperlink r:id="rId7329" ref="O2315"/>
    <hyperlink r:id="rId7330" ref="B2316"/>
    <hyperlink r:id="rId7331" ref="E2316"/>
    <hyperlink r:id="rId7332" ref="O2316"/>
    <hyperlink r:id="rId7333" ref="B2317"/>
    <hyperlink r:id="rId7334" ref="E2317"/>
    <hyperlink r:id="rId7335" ref="O2317"/>
    <hyperlink r:id="rId7336" ref="B2318"/>
    <hyperlink r:id="rId7337" ref="E2318"/>
    <hyperlink r:id="rId7338" ref="O2318"/>
    <hyperlink r:id="rId7339" ref="B2319"/>
    <hyperlink r:id="rId7340" ref="E2319"/>
    <hyperlink r:id="rId7341" ref="O2319"/>
    <hyperlink r:id="rId7342" ref="B2320"/>
    <hyperlink r:id="rId7343" ref="E2320"/>
    <hyperlink r:id="rId7344" ref="O2320"/>
    <hyperlink r:id="rId7345" ref="B2321"/>
    <hyperlink r:id="rId7346" ref="E2321"/>
    <hyperlink r:id="rId7347" ref="O2321"/>
    <hyperlink r:id="rId7348" ref="B2322"/>
    <hyperlink r:id="rId7349" ref="E2322"/>
    <hyperlink r:id="rId7350" ref="O2322"/>
    <hyperlink r:id="rId7351" ref="B2323"/>
    <hyperlink r:id="rId7352" ref="C2323"/>
    <hyperlink r:id="rId7353" ref="E2323"/>
    <hyperlink r:id="rId7354" ref="O2323"/>
    <hyperlink r:id="rId7355" ref="B2324"/>
    <hyperlink r:id="rId7356" ref="E2324"/>
    <hyperlink r:id="rId7357" ref="O2324"/>
    <hyperlink r:id="rId7358" ref="B2325"/>
    <hyperlink r:id="rId7359" ref="E2325"/>
    <hyperlink r:id="rId7360" ref="O2325"/>
    <hyperlink r:id="rId7361" ref="B2326"/>
    <hyperlink r:id="rId7362" ref="E2326"/>
    <hyperlink r:id="rId7363" ref="O2326"/>
    <hyperlink r:id="rId7364" ref="B2327"/>
    <hyperlink r:id="rId7365" ref="E2327"/>
    <hyperlink r:id="rId7366" ref="O2327"/>
    <hyperlink r:id="rId7367" ref="B2328"/>
    <hyperlink r:id="rId7368" ref="E2328"/>
    <hyperlink r:id="rId7369" ref="O2328"/>
    <hyperlink r:id="rId7370" ref="B2329"/>
    <hyperlink r:id="rId7371" ref="E2329"/>
    <hyperlink r:id="rId7372" ref="O2329"/>
    <hyperlink r:id="rId7373" ref="B2330"/>
    <hyperlink r:id="rId7374" ref="E2330"/>
    <hyperlink r:id="rId7375" ref="O2330"/>
    <hyperlink r:id="rId7376" ref="B2331"/>
    <hyperlink r:id="rId7377" ref="E2331"/>
    <hyperlink r:id="rId7378" ref="O2331"/>
    <hyperlink r:id="rId7379" ref="B2332"/>
    <hyperlink r:id="rId7380" ref="E2332"/>
    <hyperlink r:id="rId7381" ref="O2332"/>
    <hyperlink r:id="rId7382" ref="B2333"/>
    <hyperlink r:id="rId7383" ref="E2333"/>
    <hyperlink r:id="rId7384" ref="O2333"/>
    <hyperlink r:id="rId7385" ref="B2334"/>
    <hyperlink r:id="rId7386" ref="E2334"/>
    <hyperlink r:id="rId7387" ref="O2334"/>
    <hyperlink r:id="rId7388" ref="B2335"/>
    <hyperlink r:id="rId7389" ref="E2335"/>
    <hyperlink r:id="rId7390" ref="O2335"/>
    <hyperlink r:id="rId7391" ref="B2336"/>
    <hyperlink r:id="rId7392" ref="E2336"/>
    <hyperlink r:id="rId7393" ref="O2336"/>
    <hyperlink r:id="rId7394" ref="B2337"/>
    <hyperlink r:id="rId7395" ref="E2337"/>
    <hyperlink r:id="rId7396" ref="O2337"/>
    <hyperlink r:id="rId7397" ref="B2338"/>
    <hyperlink r:id="rId7398" ref="E2338"/>
    <hyperlink r:id="rId7399" ref="O2338"/>
    <hyperlink r:id="rId7400" ref="B2339"/>
    <hyperlink r:id="rId7401" ref="E2339"/>
    <hyperlink r:id="rId7402" ref="O2339"/>
    <hyperlink r:id="rId7403" ref="B2340"/>
    <hyperlink r:id="rId7404" ref="E2340"/>
    <hyperlink r:id="rId7405" ref="O2340"/>
    <hyperlink r:id="rId7406" ref="B2341"/>
    <hyperlink r:id="rId7407" ref="E2341"/>
    <hyperlink r:id="rId7408" ref="O2341"/>
    <hyperlink r:id="rId7409" ref="B2342"/>
    <hyperlink r:id="rId7410" ref="E2342"/>
    <hyperlink r:id="rId7411" ref="O2342"/>
    <hyperlink r:id="rId7412" ref="B2343"/>
    <hyperlink r:id="rId7413" ref="E2343"/>
    <hyperlink r:id="rId7414" ref="O2343"/>
    <hyperlink r:id="rId7415" ref="B2344"/>
    <hyperlink r:id="rId7416" ref="E2344"/>
    <hyperlink r:id="rId7417" ref="O2344"/>
    <hyperlink r:id="rId7418" ref="B2345"/>
    <hyperlink r:id="rId7419" ref="E2345"/>
    <hyperlink r:id="rId7420" ref="O2345"/>
    <hyperlink r:id="rId7421" ref="B2346"/>
    <hyperlink r:id="rId7422" ref="E2346"/>
    <hyperlink r:id="rId7423" ref="O2346"/>
    <hyperlink r:id="rId7424" ref="B2347"/>
    <hyperlink r:id="rId7425" ref="E2347"/>
    <hyperlink r:id="rId7426" ref="O2347"/>
    <hyperlink r:id="rId7427" ref="B2348"/>
    <hyperlink r:id="rId7428" ref="E2348"/>
    <hyperlink r:id="rId7429" ref="O2348"/>
    <hyperlink r:id="rId7430" ref="B2349"/>
    <hyperlink r:id="rId7431" ref="E2349"/>
    <hyperlink r:id="rId7432" ref="O2349"/>
    <hyperlink r:id="rId7433" ref="B2350"/>
    <hyperlink r:id="rId7434" ref="E2350"/>
    <hyperlink r:id="rId7435" ref="O2350"/>
    <hyperlink r:id="rId7436" ref="B2351"/>
    <hyperlink r:id="rId7437" ref="E2351"/>
    <hyperlink r:id="rId7438" ref="O2351"/>
    <hyperlink r:id="rId7439" ref="B2352"/>
    <hyperlink r:id="rId7440" ref="E2352"/>
    <hyperlink r:id="rId7441" ref="O2352"/>
    <hyperlink r:id="rId7442" ref="B2353"/>
    <hyperlink r:id="rId7443" ref="E2353"/>
    <hyperlink r:id="rId7444" ref="O2353"/>
    <hyperlink r:id="rId7445" ref="B2354"/>
    <hyperlink r:id="rId7446" ref="E2354"/>
    <hyperlink r:id="rId7447" ref="O2354"/>
    <hyperlink r:id="rId7448" ref="B2355"/>
    <hyperlink r:id="rId7449" ref="E2355"/>
    <hyperlink r:id="rId7450" ref="O2355"/>
    <hyperlink r:id="rId7451" ref="B2356"/>
    <hyperlink r:id="rId7452" ref="E2356"/>
    <hyperlink r:id="rId7453" ref="O2356"/>
    <hyperlink r:id="rId7454" ref="B2357"/>
    <hyperlink r:id="rId7455" ref="E2357"/>
    <hyperlink r:id="rId7456" ref="O2357"/>
    <hyperlink r:id="rId7457" ref="B2358"/>
    <hyperlink r:id="rId7458" ref="E2358"/>
    <hyperlink r:id="rId7459" ref="O2358"/>
    <hyperlink r:id="rId7460" ref="B2359"/>
    <hyperlink r:id="rId7461" ref="E2359"/>
    <hyperlink r:id="rId7462" ref="O2359"/>
    <hyperlink r:id="rId7463" ref="B2360"/>
    <hyperlink r:id="rId7464" ref="E2360"/>
    <hyperlink r:id="rId7465" ref="O2360"/>
    <hyperlink r:id="rId7466" ref="B2361"/>
    <hyperlink r:id="rId7467" ref="E2361"/>
    <hyperlink r:id="rId7468" ref="O2361"/>
    <hyperlink r:id="rId7469" ref="B2362"/>
    <hyperlink r:id="rId7470" ref="E2362"/>
    <hyperlink r:id="rId7471" ref="O2362"/>
    <hyperlink r:id="rId7472" ref="B2363"/>
    <hyperlink r:id="rId7473" ref="E2363"/>
    <hyperlink r:id="rId7474" ref="F2363"/>
    <hyperlink r:id="rId7475" ref="O2363"/>
    <hyperlink r:id="rId7476" ref="B2364"/>
    <hyperlink r:id="rId7477" ref="E2364"/>
    <hyperlink r:id="rId7478" ref="O2364"/>
    <hyperlink r:id="rId7479" ref="B2365"/>
    <hyperlink r:id="rId7480" ref="E2365"/>
    <hyperlink r:id="rId7481" ref="O2365"/>
    <hyperlink r:id="rId7482" ref="B2366"/>
    <hyperlink r:id="rId7483" ref="E2366"/>
    <hyperlink r:id="rId7484" ref="O2366"/>
    <hyperlink r:id="rId7485" ref="B2367"/>
    <hyperlink r:id="rId7486" ref="E2367"/>
    <hyperlink r:id="rId7487" ref="F2367"/>
    <hyperlink r:id="rId7488" ref="O2367"/>
    <hyperlink r:id="rId7489" ref="B2368"/>
    <hyperlink r:id="rId7490" ref="E2368"/>
    <hyperlink r:id="rId7491" ref="F2368"/>
    <hyperlink r:id="rId7492" ref="O2368"/>
    <hyperlink r:id="rId7493" ref="B2369"/>
    <hyperlink r:id="rId7494" ref="E2369"/>
    <hyperlink r:id="rId7495" ref="F2369"/>
    <hyperlink r:id="rId7496" ref="O2369"/>
    <hyperlink r:id="rId7497" ref="B2370"/>
    <hyperlink r:id="rId7498" ref="E2370"/>
    <hyperlink r:id="rId7499" ref="F2370"/>
    <hyperlink r:id="rId7500" ref="O2370"/>
    <hyperlink r:id="rId7501" ref="B2371"/>
    <hyperlink r:id="rId7502" ref="E2371"/>
    <hyperlink r:id="rId7503" ref="F2371"/>
    <hyperlink r:id="rId7504" ref="O2371"/>
    <hyperlink r:id="rId7505" ref="B2372"/>
    <hyperlink r:id="rId7506" ref="E2372"/>
    <hyperlink r:id="rId7507" ref="F2372"/>
    <hyperlink r:id="rId7508" ref="O2372"/>
    <hyperlink r:id="rId7509" ref="B2373"/>
    <hyperlink r:id="rId7510" ref="E2373"/>
    <hyperlink r:id="rId7511" ref="F2373"/>
    <hyperlink r:id="rId7512" ref="O2373"/>
    <hyperlink r:id="rId7513" ref="B2374"/>
    <hyperlink r:id="rId7514" ref="E2374"/>
    <hyperlink r:id="rId7515" ref="F2374"/>
    <hyperlink r:id="rId7516" ref="O2374"/>
    <hyperlink r:id="rId7517" ref="B2375"/>
    <hyperlink r:id="rId7518" ref="E2375"/>
    <hyperlink r:id="rId7519" ref="F2375"/>
    <hyperlink r:id="rId7520" ref="O2375"/>
    <hyperlink r:id="rId7521" ref="B2376"/>
    <hyperlink r:id="rId7522" ref="E2376"/>
    <hyperlink r:id="rId7523" ref="F2376"/>
    <hyperlink r:id="rId7524" ref="O2376"/>
    <hyperlink r:id="rId7525" ref="B2377"/>
    <hyperlink r:id="rId7526" ref="E2377"/>
    <hyperlink r:id="rId7527" ref="O2377"/>
    <hyperlink r:id="rId7528" ref="B2378"/>
    <hyperlink r:id="rId7529" ref="E2378"/>
    <hyperlink r:id="rId7530" ref="O2378"/>
    <hyperlink r:id="rId7531" ref="B2379"/>
    <hyperlink r:id="rId7532" ref="E2379"/>
    <hyperlink r:id="rId7533" ref="O2379"/>
    <hyperlink r:id="rId7534" ref="B2380"/>
    <hyperlink r:id="rId7535" ref="E2380"/>
    <hyperlink r:id="rId7536" ref="O2380"/>
    <hyperlink r:id="rId7537" ref="B2381"/>
    <hyperlink r:id="rId7538" ref="E2381"/>
    <hyperlink r:id="rId7539" ref="O2381"/>
    <hyperlink r:id="rId7540" ref="B2382"/>
    <hyperlink r:id="rId7541" ref="E2382"/>
    <hyperlink r:id="rId7542" ref="O2382"/>
    <hyperlink r:id="rId7543" ref="B2383"/>
    <hyperlink r:id="rId7544" ref="E2383"/>
    <hyperlink r:id="rId7545" ref="O2383"/>
    <hyperlink r:id="rId7546" ref="B2384"/>
    <hyperlink r:id="rId7547" ref="E2384"/>
    <hyperlink r:id="rId7548" ref="O2384"/>
    <hyperlink r:id="rId7549" ref="B2385"/>
    <hyperlink r:id="rId7550" ref="E2385"/>
    <hyperlink r:id="rId7551" ref="O2385"/>
    <hyperlink r:id="rId7552" ref="B2386"/>
    <hyperlink r:id="rId7553" ref="E2386"/>
    <hyperlink r:id="rId7554" ref="O2386"/>
    <hyperlink r:id="rId7555" ref="B2387"/>
    <hyperlink r:id="rId7556" ref="E2387"/>
    <hyperlink r:id="rId7557" ref="O2387"/>
    <hyperlink r:id="rId7558" ref="B2388"/>
    <hyperlink r:id="rId7559" ref="E2388"/>
    <hyperlink r:id="rId7560" ref="F2388"/>
    <hyperlink r:id="rId7561" ref="O2388"/>
    <hyperlink r:id="rId7562" ref="B2389"/>
    <hyperlink r:id="rId7563" ref="E2389"/>
    <hyperlink r:id="rId7564" ref="O2389"/>
    <hyperlink r:id="rId7565" ref="B2390"/>
    <hyperlink r:id="rId7566" ref="E2390"/>
    <hyperlink r:id="rId7567" ref="O2390"/>
    <hyperlink r:id="rId7568" ref="B2391"/>
    <hyperlink r:id="rId7569" ref="E2391"/>
    <hyperlink r:id="rId7570" ref="N2391"/>
    <hyperlink r:id="rId7571" ref="O2391"/>
    <hyperlink r:id="rId7572" ref="B2392"/>
    <hyperlink r:id="rId7573" ref="E2392"/>
    <hyperlink r:id="rId7574" ref="O2392"/>
    <hyperlink r:id="rId7575" ref="B2393"/>
    <hyperlink r:id="rId7576" ref="E2393"/>
    <hyperlink r:id="rId7577" ref="O2393"/>
    <hyperlink r:id="rId7578" ref="B2394"/>
    <hyperlink r:id="rId7579" ref="E2394"/>
    <hyperlink r:id="rId7580" ref="O2394"/>
    <hyperlink r:id="rId7581" ref="B2395"/>
    <hyperlink r:id="rId7582" ref="E2395"/>
    <hyperlink r:id="rId7583" ref="O2395"/>
    <hyperlink r:id="rId7584" ref="B2396"/>
    <hyperlink r:id="rId7585" ref="E2396"/>
    <hyperlink r:id="rId7586" ref="O2396"/>
    <hyperlink r:id="rId7587" ref="B2397"/>
    <hyperlink r:id="rId7588" ref="E2397"/>
    <hyperlink r:id="rId7589" ref="O2397"/>
    <hyperlink r:id="rId7590" ref="B2398"/>
    <hyperlink r:id="rId7591" ref="E2398"/>
    <hyperlink r:id="rId7592" ref="O2398"/>
    <hyperlink r:id="rId7593" ref="B2399"/>
    <hyperlink r:id="rId7594" ref="E2399"/>
    <hyperlink r:id="rId7595" ref="O2399"/>
    <hyperlink r:id="rId7596" ref="B2400"/>
    <hyperlink r:id="rId7597" ref="E2400"/>
    <hyperlink r:id="rId7598" ref="O2400"/>
    <hyperlink r:id="rId7599" ref="B2401"/>
    <hyperlink r:id="rId7600" ref="E2401"/>
    <hyperlink r:id="rId7601" ref="O2401"/>
    <hyperlink r:id="rId7602" ref="B2402"/>
    <hyperlink r:id="rId7603" ref="E2402"/>
    <hyperlink r:id="rId7604" ref="O2402"/>
    <hyperlink r:id="rId7605" ref="B2403"/>
    <hyperlink r:id="rId7606" ref="E2403"/>
    <hyperlink r:id="rId7607" ref="O2403"/>
    <hyperlink r:id="rId7608" ref="B2404"/>
    <hyperlink r:id="rId7609" ref="E2404"/>
    <hyperlink r:id="rId7610" ref="O2404"/>
    <hyperlink r:id="rId7611" ref="B2405"/>
    <hyperlink r:id="rId7612" ref="E2405"/>
    <hyperlink r:id="rId7613" ref="O2405"/>
    <hyperlink r:id="rId7614" ref="B2406"/>
    <hyperlink r:id="rId7615" ref="E2406"/>
    <hyperlink r:id="rId7616" ref="O2406"/>
    <hyperlink r:id="rId7617" ref="B2407"/>
    <hyperlink r:id="rId7618" ref="E2407"/>
    <hyperlink r:id="rId7619" ref="O2407"/>
    <hyperlink r:id="rId7620" ref="B2408"/>
    <hyperlink r:id="rId7621" ref="E2408"/>
    <hyperlink r:id="rId7622" ref="O2408"/>
    <hyperlink r:id="rId7623" ref="B2409"/>
    <hyperlink r:id="rId7624" ref="E2409"/>
    <hyperlink r:id="rId7625" ref="O2409"/>
    <hyperlink r:id="rId7626" ref="B2410"/>
    <hyperlink r:id="rId7627" ref="E2410"/>
    <hyperlink r:id="rId7628" ref="O2410"/>
    <hyperlink r:id="rId7629" ref="B2411"/>
    <hyperlink r:id="rId7630" ref="E2411"/>
    <hyperlink r:id="rId7631" ref="O2411"/>
    <hyperlink r:id="rId7632" ref="B2412"/>
    <hyperlink r:id="rId7633" ref="E2412"/>
    <hyperlink r:id="rId7634" ref="O2412"/>
    <hyperlink r:id="rId7635" ref="B2413"/>
    <hyperlink r:id="rId7636" ref="E2413"/>
    <hyperlink r:id="rId7637" ref="F2413"/>
    <hyperlink r:id="rId7638" ref="O2413"/>
    <hyperlink r:id="rId7639" ref="B2414"/>
    <hyperlink r:id="rId7640" ref="E2414"/>
    <hyperlink r:id="rId7641" ref="F2414"/>
    <hyperlink r:id="rId7642" ref="O2414"/>
    <hyperlink r:id="rId7643" ref="B2415"/>
    <hyperlink r:id="rId7644" ref="E2415"/>
    <hyperlink r:id="rId7645" ref="F2415"/>
    <hyperlink r:id="rId7646" ref="O2415"/>
    <hyperlink r:id="rId7647" ref="B2416"/>
    <hyperlink r:id="rId7648" ref="E2416"/>
    <hyperlink r:id="rId7649" ref="F2416"/>
    <hyperlink r:id="rId7650" ref="O2416"/>
    <hyperlink r:id="rId7651" ref="B2417"/>
    <hyperlink r:id="rId7652" ref="E2417"/>
    <hyperlink r:id="rId7653" ref="F2417"/>
    <hyperlink r:id="rId7654" ref="O2417"/>
    <hyperlink r:id="rId7655" ref="B2418"/>
    <hyperlink r:id="rId7656" ref="E2418"/>
    <hyperlink r:id="rId7657" ref="O2418"/>
    <hyperlink r:id="rId7658" ref="B2419"/>
    <hyperlink r:id="rId7659" ref="E2419"/>
    <hyperlink r:id="rId7660" ref="O2419"/>
    <hyperlink r:id="rId7661" ref="B2420"/>
    <hyperlink r:id="rId7662" ref="E2420"/>
    <hyperlink r:id="rId7663" ref="O2420"/>
    <hyperlink r:id="rId7664" ref="B2421"/>
    <hyperlink r:id="rId7665" ref="E2421"/>
    <hyperlink r:id="rId7666" ref="O2421"/>
    <hyperlink r:id="rId7667" ref="B2422"/>
    <hyperlink r:id="rId7668" ref="E2422"/>
    <hyperlink r:id="rId7669" ref="O2422"/>
    <hyperlink r:id="rId7670" ref="B2423"/>
    <hyperlink r:id="rId7671" ref="E2423"/>
    <hyperlink r:id="rId7672" ref="O2423"/>
    <hyperlink r:id="rId7673" ref="B2424"/>
    <hyperlink r:id="rId7674" ref="E2424"/>
    <hyperlink r:id="rId7675" ref="O2424"/>
    <hyperlink r:id="rId7676" ref="B2425"/>
    <hyperlink r:id="rId7677" ref="E2425"/>
    <hyperlink r:id="rId7678" ref="O2425"/>
    <hyperlink r:id="rId7679" ref="B2426"/>
    <hyperlink r:id="rId7680" ref="E2426"/>
    <hyperlink r:id="rId7681" ref="O2426"/>
    <hyperlink r:id="rId7682" ref="B2427"/>
    <hyperlink r:id="rId7683" ref="E2427"/>
    <hyperlink r:id="rId7684" ref="O2427"/>
    <hyperlink r:id="rId7685" ref="B2428"/>
    <hyperlink r:id="rId7686" ref="E2428"/>
    <hyperlink r:id="rId7687" ref="O2428"/>
    <hyperlink r:id="rId7688" ref="B2429"/>
    <hyperlink r:id="rId7689" ref="E2429"/>
    <hyperlink r:id="rId7690" ref="O2429"/>
    <hyperlink r:id="rId7691" ref="B2430"/>
    <hyperlink r:id="rId7692" ref="E2430"/>
    <hyperlink r:id="rId7693" ref="O2430"/>
    <hyperlink r:id="rId7694" ref="B2431"/>
    <hyperlink r:id="rId7695" ref="E2431"/>
    <hyperlink r:id="rId7696" ref="O2431"/>
    <hyperlink r:id="rId7697" ref="B2432"/>
    <hyperlink r:id="rId7698" ref="E2432"/>
    <hyperlink r:id="rId7699" ref="O2432"/>
    <hyperlink r:id="rId7700" ref="B2433"/>
    <hyperlink r:id="rId7701" ref="E2433"/>
    <hyperlink r:id="rId7702" ref="O2433"/>
    <hyperlink r:id="rId7703" ref="B2434"/>
    <hyperlink r:id="rId7704" ref="E2434"/>
    <hyperlink r:id="rId7705" ref="O2434"/>
    <hyperlink r:id="rId7706" ref="B2435"/>
    <hyperlink r:id="rId7707" ref="E2435"/>
    <hyperlink r:id="rId7708" ref="O2435"/>
    <hyperlink r:id="rId7709" ref="B2436"/>
    <hyperlink r:id="rId7710" ref="E2436"/>
    <hyperlink r:id="rId7711" ref="O2436"/>
    <hyperlink r:id="rId7712" ref="B2437"/>
    <hyperlink r:id="rId7713" ref="E2437"/>
    <hyperlink r:id="rId7714" ref="O2437"/>
    <hyperlink r:id="rId7715" ref="B2438"/>
    <hyperlink r:id="rId7716" ref="E2438"/>
    <hyperlink r:id="rId7717" ref="O2438"/>
    <hyperlink r:id="rId7718" ref="B2439"/>
    <hyperlink r:id="rId7719" ref="E2439"/>
    <hyperlink r:id="rId7720" ref="O2439"/>
    <hyperlink r:id="rId7721" ref="B2440"/>
    <hyperlink r:id="rId7722" ref="E2440"/>
    <hyperlink r:id="rId7723" ref="O2440"/>
    <hyperlink r:id="rId7724" ref="B2441"/>
    <hyperlink r:id="rId7725" ref="E2441"/>
    <hyperlink r:id="rId7726" ref="O2441"/>
    <hyperlink r:id="rId7727" ref="B2442"/>
    <hyperlink r:id="rId7728" ref="E2442"/>
    <hyperlink r:id="rId7729" ref="O2442"/>
    <hyperlink r:id="rId7730" ref="B2443"/>
    <hyperlink r:id="rId7731" ref="E2443"/>
    <hyperlink r:id="rId7732" ref="O2443"/>
    <hyperlink r:id="rId7733" ref="B2444"/>
    <hyperlink r:id="rId7734" ref="E2444"/>
    <hyperlink r:id="rId7735" ref="O2444"/>
    <hyperlink r:id="rId7736" ref="B2445"/>
    <hyperlink r:id="rId7737" ref="E2445"/>
    <hyperlink r:id="rId7738" ref="O2445"/>
    <hyperlink r:id="rId7739" ref="B2446"/>
    <hyperlink r:id="rId7740" ref="E2446"/>
    <hyperlink r:id="rId7741" ref="O2446"/>
    <hyperlink r:id="rId7742" ref="B2447"/>
    <hyperlink r:id="rId7743" ref="E2447"/>
    <hyperlink r:id="rId7744" ref="O2447"/>
    <hyperlink r:id="rId7745" ref="B2448"/>
    <hyperlink r:id="rId7746" ref="E2448"/>
    <hyperlink r:id="rId7747" ref="O2448"/>
    <hyperlink r:id="rId7748" ref="B2449"/>
    <hyperlink r:id="rId7749" ref="E2449"/>
    <hyperlink r:id="rId7750" ref="O2449"/>
    <hyperlink r:id="rId7751" ref="B2450"/>
    <hyperlink r:id="rId7752" ref="E2450"/>
    <hyperlink r:id="rId7753" ref="O2450"/>
    <hyperlink r:id="rId7754" ref="B2451"/>
    <hyperlink r:id="rId7755" ref="E2451"/>
    <hyperlink r:id="rId7756" ref="O2451"/>
    <hyperlink r:id="rId7757" ref="B2452"/>
    <hyperlink r:id="rId7758" ref="E2452"/>
    <hyperlink r:id="rId7759" ref="O2452"/>
    <hyperlink r:id="rId7760" ref="B2453"/>
    <hyperlink r:id="rId7761" ref="E2453"/>
    <hyperlink r:id="rId7762" ref="O2453"/>
    <hyperlink r:id="rId7763" ref="B2454"/>
    <hyperlink r:id="rId7764" ref="E2454"/>
    <hyperlink r:id="rId7765" ref="O2454"/>
    <hyperlink r:id="rId7766" ref="B2455"/>
    <hyperlink r:id="rId7767" ref="E2455"/>
    <hyperlink r:id="rId7768" ref="O2455"/>
    <hyperlink r:id="rId7769" ref="B2456"/>
    <hyperlink r:id="rId7770" ref="E2456"/>
    <hyperlink r:id="rId7771" ref="O2456"/>
    <hyperlink r:id="rId7772" ref="B2457"/>
    <hyperlink r:id="rId7773" ref="E2457"/>
    <hyperlink r:id="rId7774" ref="O2457"/>
    <hyperlink r:id="rId7775" ref="B2458"/>
    <hyperlink r:id="rId7776" ref="E2458"/>
    <hyperlink r:id="rId7777" ref="O2458"/>
    <hyperlink r:id="rId7778" ref="B2459"/>
    <hyperlink r:id="rId7779" ref="E2459"/>
    <hyperlink r:id="rId7780" ref="O2459"/>
    <hyperlink r:id="rId7781" ref="B2460"/>
    <hyperlink r:id="rId7782" ref="E2460"/>
    <hyperlink r:id="rId7783" ref="O2460"/>
    <hyperlink r:id="rId7784" ref="B2461"/>
    <hyperlink r:id="rId7785" ref="E2461"/>
    <hyperlink r:id="rId7786" ref="O2461"/>
    <hyperlink r:id="rId7787" ref="B2462"/>
    <hyperlink r:id="rId7788" ref="E2462"/>
    <hyperlink r:id="rId7789" ref="O2462"/>
    <hyperlink r:id="rId7790" ref="B2463"/>
    <hyperlink r:id="rId7791" ref="E2463"/>
    <hyperlink r:id="rId7792" ref="O2463"/>
    <hyperlink r:id="rId7793" ref="B2464"/>
    <hyperlink r:id="rId7794" ref="E2464"/>
    <hyperlink r:id="rId7795" ref="O2464"/>
    <hyperlink r:id="rId7796" ref="B2465"/>
    <hyperlink r:id="rId7797" ref="E2465"/>
    <hyperlink r:id="rId7798" ref="O2465"/>
    <hyperlink r:id="rId7799" ref="B2466"/>
    <hyperlink r:id="rId7800" ref="E2466"/>
    <hyperlink r:id="rId7801" ref="O2466"/>
    <hyperlink r:id="rId7802" ref="B2467"/>
    <hyperlink r:id="rId7803" ref="E2467"/>
    <hyperlink r:id="rId7804" ref="O2467"/>
    <hyperlink r:id="rId7805" ref="B2468"/>
    <hyperlink r:id="rId7806" ref="E2468"/>
    <hyperlink r:id="rId7807" ref="O2468"/>
    <hyperlink r:id="rId7808" ref="B2469"/>
    <hyperlink r:id="rId7809" ref="E2469"/>
    <hyperlink r:id="rId7810" ref="O2469"/>
    <hyperlink r:id="rId7811" ref="B2470"/>
    <hyperlink r:id="rId7812" ref="E2470"/>
    <hyperlink r:id="rId7813" ref="O2470"/>
    <hyperlink r:id="rId7814" ref="B2471"/>
    <hyperlink r:id="rId7815" ref="E2471"/>
    <hyperlink r:id="rId7816" ref="O2471"/>
    <hyperlink r:id="rId7817" ref="B2472"/>
    <hyperlink r:id="rId7818" ref="E2472"/>
    <hyperlink r:id="rId7819" ref="O2472"/>
    <hyperlink r:id="rId7820" ref="B2473"/>
    <hyperlink r:id="rId7821" ref="E2473"/>
    <hyperlink r:id="rId7822" ref="O2473"/>
    <hyperlink r:id="rId7823" ref="B2474"/>
    <hyperlink r:id="rId7824" ref="E2474"/>
    <hyperlink r:id="rId7825" ref="F2474"/>
    <hyperlink r:id="rId7826" ref="O2474"/>
    <hyperlink r:id="rId7827" ref="B2475"/>
    <hyperlink r:id="rId7828" ref="E2475"/>
    <hyperlink r:id="rId7829" ref="F2475"/>
    <hyperlink r:id="rId7830" ref="O2475"/>
    <hyperlink r:id="rId7831" ref="B2476"/>
    <hyperlink r:id="rId7832" ref="E2476"/>
    <hyperlink r:id="rId7833" ref="F2476"/>
    <hyperlink r:id="rId7834" ref="O2476"/>
    <hyperlink r:id="rId7835" ref="B2477"/>
    <hyperlink r:id="rId7836" ref="E2477"/>
    <hyperlink r:id="rId7837" ref="F2477"/>
    <hyperlink r:id="rId7838" ref="O2477"/>
    <hyperlink r:id="rId7839" ref="B2478"/>
    <hyperlink r:id="rId7840" ref="E2478"/>
    <hyperlink r:id="rId7841" ref="F2478"/>
    <hyperlink r:id="rId7842" ref="O2478"/>
    <hyperlink r:id="rId7843" ref="B2479"/>
    <hyperlink r:id="rId7844" ref="E2479"/>
    <hyperlink r:id="rId7845" ref="F2479"/>
    <hyperlink r:id="rId7846" ref="O2479"/>
    <hyperlink r:id="rId7847" ref="B2480"/>
    <hyperlink r:id="rId7848" ref="E2480"/>
    <hyperlink r:id="rId7849" ref="F2480"/>
    <hyperlink r:id="rId7850" ref="O2480"/>
    <hyperlink r:id="rId7851" ref="B2481"/>
    <hyperlink r:id="rId7852" ref="E2481"/>
    <hyperlink r:id="rId7853" ref="F2481"/>
    <hyperlink r:id="rId7854" ref="O2481"/>
    <hyperlink r:id="rId7855" ref="B2482"/>
    <hyperlink r:id="rId7856" ref="E2482"/>
    <hyperlink r:id="rId7857" ref="F2482"/>
    <hyperlink r:id="rId7858" ref="O2482"/>
    <hyperlink r:id="rId7859" ref="B2483"/>
    <hyperlink r:id="rId7860" ref="E2483"/>
    <hyperlink r:id="rId7861" ref="F2483"/>
    <hyperlink r:id="rId7862" ref="O2483"/>
    <hyperlink r:id="rId7863" ref="B2484"/>
    <hyperlink r:id="rId7864" ref="E2484"/>
    <hyperlink r:id="rId7865" ref="O2484"/>
    <hyperlink r:id="rId7866" ref="B2485"/>
    <hyperlink r:id="rId7867" ref="E2485"/>
    <hyperlink r:id="rId7868" ref="O2485"/>
    <hyperlink r:id="rId7869" ref="B2486"/>
    <hyperlink r:id="rId7870" ref="E2486"/>
    <hyperlink r:id="rId7871" ref="O2486"/>
    <hyperlink r:id="rId7872" ref="B2487"/>
    <hyperlink r:id="rId7873" ref="E2487"/>
    <hyperlink r:id="rId7874" ref="O2487"/>
    <hyperlink r:id="rId7875" ref="B2488"/>
    <hyperlink r:id="rId7876" ref="E2488"/>
    <hyperlink r:id="rId7877" ref="O2488"/>
    <hyperlink r:id="rId7878" ref="B2489"/>
    <hyperlink r:id="rId7879" ref="E2489"/>
    <hyperlink r:id="rId7880" ref="O2489"/>
    <hyperlink r:id="rId7881" ref="B2490"/>
    <hyperlink r:id="rId7882" ref="E2490"/>
    <hyperlink r:id="rId7883" ref="O2490"/>
    <hyperlink r:id="rId7884" ref="B2491"/>
    <hyperlink r:id="rId7885" ref="E2491"/>
    <hyperlink r:id="rId7886" ref="O2491"/>
    <hyperlink r:id="rId7887" ref="B2492"/>
    <hyperlink r:id="rId7888" ref="E2492"/>
    <hyperlink r:id="rId7889" ref="O2492"/>
    <hyperlink r:id="rId7890" ref="B2493"/>
    <hyperlink r:id="rId7891" ref="E2493"/>
    <hyperlink r:id="rId7892" ref="O2493"/>
    <hyperlink r:id="rId7893" ref="B2494"/>
    <hyperlink r:id="rId7894" ref="E2494"/>
    <hyperlink r:id="rId7895" ref="O2494"/>
    <hyperlink r:id="rId7896" ref="B2495"/>
    <hyperlink r:id="rId7897" ref="E2495"/>
    <hyperlink r:id="rId7898" ref="O2495"/>
    <hyperlink r:id="rId7899" ref="B2496"/>
    <hyperlink r:id="rId7900" ref="E2496"/>
    <hyperlink r:id="rId7901" ref="O2496"/>
    <hyperlink r:id="rId7902" ref="B2497"/>
    <hyperlink r:id="rId7903" ref="E2497"/>
    <hyperlink r:id="rId7904" ref="O2497"/>
    <hyperlink r:id="rId7905" ref="B2498"/>
    <hyperlink r:id="rId7906" ref="E2498"/>
    <hyperlink r:id="rId7907" ref="O2498"/>
    <hyperlink r:id="rId7908" ref="B2499"/>
    <hyperlink r:id="rId7909" ref="E2499"/>
    <hyperlink r:id="rId7910" ref="O2499"/>
    <hyperlink r:id="rId7911" ref="B2500"/>
    <hyperlink r:id="rId7912" ref="E2500"/>
    <hyperlink r:id="rId7913" ref="O2500"/>
    <hyperlink r:id="rId7914" ref="B2501"/>
    <hyperlink r:id="rId7915" ref="E2501"/>
    <hyperlink r:id="rId7916" ref="O2501"/>
    <hyperlink r:id="rId7917" ref="B2502"/>
    <hyperlink r:id="rId7918" ref="E2502"/>
    <hyperlink r:id="rId7919" ref="O2502"/>
    <hyperlink r:id="rId7920" ref="B2503"/>
    <hyperlink r:id="rId7921" ref="E2503"/>
    <hyperlink r:id="rId7922" ref="O2503"/>
    <hyperlink r:id="rId7923" ref="B2504"/>
    <hyperlink r:id="rId7924" ref="E2504"/>
    <hyperlink r:id="rId7925" ref="O2504"/>
    <hyperlink r:id="rId7926" ref="B2505"/>
    <hyperlink r:id="rId7927" ref="E2505"/>
    <hyperlink r:id="rId7928" ref="O2505"/>
    <hyperlink r:id="rId7929" ref="B2506"/>
    <hyperlink r:id="rId7930" ref="E2506"/>
    <hyperlink r:id="rId7931" ref="O2506"/>
    <hyperlink r:id="rId7932" ref="B2507"/>
    <hyperlink r:id="rId7933" ref="E2507"/>
    <hyperlink r:id="rId7934" ref="O2507"/>
    <hyperlink r:id="rId7935" ref="B2508"/>
    <hyperlink r:id="rId7936" ref="E2508"/>
    <hyperlink r:id="rId7937" ref="O2508"/>
    <hyperlink r:id="rId7938" ref="B2509"/>
    <hyperlink r:id="rId7939" ref="E2509"/>
    <hyperlink r:id="rId7940" ref="O2509"/>
    <hyperlink r:id="rId7941" ref="B2510"/>
    <hyperlink r:id="rId7942" ref="E2510"/>
    <hyperlink r:id="rId7943" ref="O2510"/>
    <hyperlink r:id="rId7944" ref="B2511"/>
    <hyperlink r:id="rId7945" ref="E2511"/>
    <hyperlink r:id="rId7946" ref="O2511"/>
    <hyperlink r:id="rId7947" ref="B2512"/>
    <hyperlink r:id="rId7948" ref="E2512"/>
    <hyperlink r:id="rId7949" ref="O2512"/>
    <hyperlink r:id="rId7950" ref="B2513"/>
    <hyperlink r:id="rId7951" ref="E2513"/>
    <hyperlink r:id="rId7952" ref="O2513"/>
    <hyperlink r:id="rId7953" ref="B2514"/>
    <hyperlink r:id="rId7954" ref="E2514"/>
    <hyperlink r:id="rId7955" ref="O2514"/>
    <hyperlink r:id="rId7956" ref="B2515"/>
    <hyperlink r:id="rId7957" ref="E2515"/>
    <hyperlink r:id="rId7958" ref="O2515"/>
    <hyperlink r:id="rId7959" ref="B2516"/>
    <hyperlink r:id="rId7960" ref="E2516"/>
    <hyperlink r:id="rId7961" ref="O2516"/>
    <hyperlink r:id="rId7962" ref="B2517"/>
    <hyperlink r:id="rId7963" ref="E2517"/>
    <hyperlink r:id="rId7964" ref="O2517"/>
    <hyperlink r:id="rId7965" ref="B2518"/>
    <hyperlink r:id="rId7966" ref="E2518"/>
    <hyperlink r:id="rId7967" ref="O2518"/>
    <hyperlink r:id="rId7968" ref="B2519"/>
    <hyperlink r:id="rId7969" ref="E2519"/>
    <hyperlink r:id="rId7970" ref="O2519"/>
    <hyperlink r:id="rId7971" ref="B2520"/>
    <hyperlink r:id="rId7972" ref="E2520"/>
    <hyperlink r:id="rId7973" ref="O2520"/>
    <hyperlink r:id="rId7974" ref="B2521"/>
    <hyperlink r:id="rId7975" ref="E2521"/>
    <hyperlink r:id="rId7976" ref="O2521"/>
    <hyperlink r:id="rId7977" ref="B2522"/>
    <hyperlink r:id="rId7978" ref="E2522"/>
    <hyperlink r:id="rId7979" ref="O2522"/>
    <hyperlink r:id="rId7980" ref="B2523"/>
    <hyperlink r:id="rId7981" ref="E2523"/>
    <hyperlink r:id="rId7982" ref="O2523"/>
    <hyperlink r:id="rId7983" ref="B2524"/>
    <hyperlink r:id="rId7984" ref="E2524"/>
    <hyperlink r:id="rId7985" ref="O2524"/>
    <hyperlink r:id="rId7986" ref="B2525"/>
    <hyperlink r:id="rId7987" ref="E2525"/>
    <hyperlink r:id="rId7988" ref="O2525"/>
    <hyperlink r:id="rId7989" ref="B2526"/>
    <hyperlink r:id="rId7990" ref="E2526"/>
    <hyperlink r:id="rId7991" ref="O2526"/>
    <hyperlink r:id="rId7992" ref="B2527"/>
    <hyperlink r:id="rId7993" ref="E2527"/>
    <hyperlink r:id="rId7994" ref="O2527"/>
    <hyperlink r:id="rId7995" ref="B2528"/>
    <hyperlink r:id="rId7996" ref="E2528"/>
    <hyperlink r:id="rId7997" ref="O2528"/>
    <hyperlink r:id="rId7998" ref="B2529"/>
    <hyperlink r:id="rId7999" ref="E2529"/>
    <hyperlink r:id="rId8000" ref="O2529"/>
    <hyperlink r:id="rId8001" ref="B2530"/>
    <hyperlink r:id="rId8002" ref="E2530"/>
    <hyperlink r:id="rId8003" ref="O2530"/>
    <hyperlink r:id="rId8004" ref="B2531"/>
    <hyperlink r:id="rId8005" ref="E2531"/>
    <hyperlink r:id="rId8006" ref="O2531"/>
    <hyperlink r:id="rId8007" ref="B2532"/>
    <hyperlink r:id="rId8008" ref="E2532"/>
    <hyperlink r:id="rId8009" ref="O2532"/>
    <hyperlink r:id="rId8010" ref="B2533"/>
    <hyperlink r:id="rId8011" ref="E2533"/>
    <hyperlink r:id="rId8012" ref="O2533"/>
    <hyperlink r:id="rId8013" ref="B2534"/>
    <hyperlink r:id="rId8014" ref="E2534"/>
    <hyperlink r:id="rId8015" ref="O2534"/>
    <hyperlink r:id="rId8016" ref="B2535"/>
    <hyperlink r:id="rId8017" ref="E2535"/>
    <hyperlink r:id="rId8018" ref="O2535"/>
    <hyperlink r:id="rId8019" ref="B2536"/>
    <hyperlink r:id="rId8020" ref="E2536"/>
    <hyperlink r:id="rId8021" ref="O2536"/>
    <hyperlink r:id="rId8022" ref="B2537"/>
    <hyperlink r:id="rId8023" ref="E2537"/>
    <hyperlink r:id="rId8024" ref="O2537"/>
    <hyperlink r:id="rId8025" ref="B2538"/>
    <hyperlink r:id="rId8026" ref="E2538"/>
    <hyperlink r:id="rId8027" ref="O2538"/>
    <hyperlink r:id="rId8028" ref="B2539"/>
    <hyperlink r:id="rId8029" ref="E2539"/>
    <hyperlink r:id="rId8030" ref="O2539"/>
    <hyperlink r:id="rId8031" ref="B2540"/>
    <hyperlink r:id="rId8032" ref="E2540"/>
    <hyperlink r:id="rId8033" ref="O2540"/>
    <hyperlink r:id="rId8034" ref="B2541"/>
    <hyperlink r:id="rId8035" ref="E2541"/>
    <hyperlink r:id="rId8036" ref="O2541"/>
    <hyperlink r:id="rId8037" ref="B2542"/>
    <hyperlink r:id="rId8038" ref="E2542"/>
    <hyperlink r:id="rId8039" ref="O2542"/>
    <hyperlink r:id="rId8040" ref="B2543"/>
    <hyperlink r:id="rId8041" ref="E2543"/>
    <hyperlink r:id="rId8042" ref="O2543"/>
    <hyperlink r:id="rId8043" ref="B2544"/>
    <hyperlink r:id="rId8044" ref="E2544"/>
    <hyperlink r:id="rId8045" ref="O2544"/>
    <hyperlink r:id="rId8046" ref="B2545"/>
    <hyperlink r:id="rId8047" ref="E2545"/>
    <hyperlink r:id="rId8048" ref="O2545"/>
    <hyperlink r:id="rId8049" ref="B2546"/>
    <hyperlink r:id="rId8050" ref="E2546"/>
    <hyperlink r:id="rId8051" ref="O2546"/>
    <hyperlink r:id="rId8052" ref="B2547"/>
    <hyperlink r:id="rId8053" ref="E2547"/>
    <hyperlink r:id="rId8054" ref="O2547"/>
    <hyperlink r:id="rId8055" ref="B2548"/>
    <hyperlink r:id="rId8056" ref="E2548"/>
    <hyperlink r:id="rId8057" ref="O2548"/>
    <hyperlink r:id="rId8058" ref="B2549"/>
    <hyperlink r:id="rId8059" ref="E2549"/>
    <hyperlink r:id="rId8060" ref="O2549"/>
    <hyperlink r:id="rId8061" ref="B2550"/>
    <hyperlink r:id="rId8062" ref="E2550"/>
    <hyperlink r:id="rId8063" ref="O2550"/>
    <hyperlink r:id="rId8064" ref="B2551"/>
    <hyperlink r:id="rId8065" ref="E2551"/>
    <hyperlink r:id="rId8066" ref="O2551"/>
    <hyperlink r:id="rId8067" ref="B2552"/>
    <hyperlink r:id="rId8068" ref="E2552"/>
    <hyperlink r:id="rId8069" ref="O2552"/>
    <hyperlink r:id="rId8070" ref="B2553"/>
    <hyperlink r:id="rId8071" ref="E2553"/>
    <hyperlink r:id="rId8072" ref="O2553"/>
    <hyperlink r:id="rId8073" ref="B2554"/>
    <hyperlink r:id="rId8074" ref="E2554"/>
    <hyperlink r:id="rId8075" ref="O2554"/>
    <hyperlink r:id="rId8076" ref="B2555"/>
    <hyperlink r:id="rId8077" ref="E2555"/>
    <hyperlink r:id="rId8078" ref="O2555"/>
    <hyperlink r:id="rId8079" ref="B2556"/>
    <hyperlink r:id="rId8080" ref="E2556"/>
    <hyperlink r:id="rId8081" ref="O2556"/>
    <hyperlink r:id="rId8082" ref="B2557"/>
    <hyperlink r:id="rId8083" ref="E2557"/>
    <hyperlink r:id="rId8084" ref="O2557"/>
    <hyperlink r:id="rId8085" ref="B2558"/>
    <hyperlink r:id="rId8086" ref="E2558"/>
    <hyperlink r:id="rId8087" ref="O2558"/>
    <hyperlink r:id="rId8088" ref="B2559"/>
    <hyperlink r:id="rId8089" ref="E2559"/>
    <hyperlink r:id="rId8090" ref="F2559"/>
    <hyperlink r:id="rId8091" ref="O2559"/>
    <hyperlink r:id="rId8092" ref="B2560"/>
    <hyperlink r:id="rId8093" ref="E2560"/>
    <hyperlink r:id="rId8094" ref="O2560"/>
    <hyperlink r:id="rId8095" ref="B2561"/>
    <hyperlink r:id="rId8096" ref="E2561"/>
    <hyperlink r:id="rId8097" ref="O2561"/>
    <hyperlink r:id="rId8098" ref="B2562"/>
    <hyperlink r:id="rId8099" ref="E2562"/>
    <hyperlink r:id="rId8100" ref="O2562"/>
    <hyperlink r:id="rId8101" ref="B2563"/>
    <hyperlink r:id="rId8102" ref="E2563"/>
    <hyperlink r:id="rId8103" ref="O2563"/>
    <hyperlink r:id="rId8104" ref="B2564"/>
    <hyperlink r:id="rId8105" ref="E2564"/>
    <hyperlink r:id="rId8106" ref="O2564"/>
    <hyperlink r:id="rId8107" ref="B2565"/>
    <hyperlink r:id="rId8108" ref="E2565"/>
    <hyperlink r:id="rId8109" ref="O2565"/>
    <hyperlink r:id="rId8110" ref="B2566"/>
    <hyperlink r:id="rId8111" ref="E2566"/>
    <hyperlink r:id="rId8112" ref="O2566"/>
    <hyperlink r:id="rId8113" ref="B2567"/>
    <hyperlink r:id="rId8114" ref="E2567"/>
    <hyperlink r:id="rId8115" ref="O2567"/>
    <hyperlink r:id="rId8116" ref="B2568"/>
    <hyperlink r:id="rId8117" ref="E2568"/>
    <hyperlink r:id="rId8118" ref="O2568"/>
    <hyperlink r:id="rId8119" ref="B2569"/>
    <hyperlink r:id="rId8120" ref="E2569"/>
    <hyperlink r:id="rId8121" ref="O2569"/>
    <hyperlink r:id="rId8122" ref="B2570"/>
    <hyperlink r:id="rId8123" ref="E2570"/>
    <hyperlink r:id="rId8124" ref="O2570"/>
    <hyperlink r:id="rId8125" ref="B2571"/>
    <hyperlink r:id="rId8126" ref="E2571"/>
    <hyperlink r:id="rId8127" ref="O2571"/>
    <hyperlink r:id="rId8128" ref="B2572"/>
    <hyperlink r:id="rId8129" ref="E2572"/>
    <hyperlink r:id="rId8130" ref="O2572"/>
    <hyperlink r:id="rId8131" ref="B2573"/>
    <hyperlink r:id="rId8132" ref="E2573"/>
    <hyperlink r:id="rId8133" ref="O2573"/>
    <hyperlink r:id="rId8134" ref="B2574"/>
    <hyperlink r:id="rId8135" ref="E2574"/>
    <hyperlink r:id="rId8136" ref="O2574"/>
    <hyperlink r:id="rId8137" ref="B2575"/>
    <hyperlink r:id="rId8138" ref="E2575"/>
    <hyperlink r:id="rId8139" ref="O2575"/>
    <hyperlink r:id="rId8140" ref="B2576"/>
    <hyperlink r:id="rId8141" ref="E2576"/>
    <hyperlink r:id="rId8142" ref="F2576"/>
    <hyperlink r:id="rId8143" ref="O2576"/>
    <hyperlink r:id="rId8144" ref="B2577"/>
    <hyperlink r:id="rId8145" ref="E2577"/>
    <hyperlink r:id="rId8146" ref="F2577"/>
    <hyperlink r:id="rId8147" ref="O2577"/>
    <hyperlink r:id="rId8148" ref="B2578"/>
    <hyperlink r:id="rId8149" ref="E2578"/>
    <hyperlink r:id="rId8150" ref="F2578"/>
    <hyperlink r:id="rId8151" ref="O2578"/>
    <hyperlink r:id="rId8152" ref="B2579"/>
    <hyperlink r:id="rId8153" ref="E2579"/>
    <hyperlink r:id="rId8154" ref="F2579"/>
    <hyperlink r:id="rId8155" ref="O2579"/>
    <hyperlink r:id="rId8156" ref="B2580"/>
    <hyperlink r:id="rId8157" ref="E2580"/>
    <hyperlink r:id="rId8158" ref="F2580"/>
    <hyperlink r:id="rId8159" ref="O2580"/>
    <hyperlink r:id="rId8160" ref="B2581"/>
    <hyperlink r:id="rId8161" ref="E2581"/>
    <hyperlink r:id="rId8162" ref="F2581"/>
    <hyperlink r:id="rId8163" ref="O2581"/>
    <hyperlink r:id="rId8164" ref="B2582"/>
    <hyperlink r:id="rId8165" ref="E2582"/>
    <hyperlink r:id="rId8166" ref="F2582"/>
    <hyperlink r:id="rId8167" ref="O2582"/>
    <hyperlink r:id="rId8168" ref="B2583"/>
    <hyperlink r:id="rId8169" ref="E2583"/>
    <hyperlink r:id="rId8170" ref="F2583"/>
    <hyperlink r:id="rId8171" ref="O2583"/>
    <hyperlink r:id="rId8172" ref="B2584"/>
    <hyperlink r:id="rId8173" ref="E2584"/>
    <hyperlink r:id="rId8174" ref="F2584"/>
    <hyperlink r:id="rId8175" ref="O2584"/>
    <hyperlink r:id="rId8176" ref="B2585"/>
    <hyperlink r:id="rId8177" ref="E2585"/>
    <hyperlink r:id="rId8178" ref="F2585"/>
    <hyperlink r:id="rId8179" ref="O2585"/>
    <hyperlink r:id="rId8180" ref="B2586"/>
    <hyperlink r:id="rId8181" ref="E2586"/>
    <hyperlink r:id="rId8182" ref="O2586"/>
    <hyperlink r:id="rId8183" ref="B2587"/>
    <hyperlink r:id="rId8184" ref="E2587"/>
    <hyperlink r:id="rId8185" ref="O2587"/>
    <hyperlink r:id="rId8186" ref="B2588"/>
    <hyperlink r:id="rId8187" ref="C2588"/>
    <hyperlink r:id="rId8188" ref="E2588"/>
    <hyperlink r:id="rId8189" ref="O2588"/>
    <hyperlink r:id="rId8190" ref="B2589"/>
    <hyperlink r:id="rId8191" ref="E2589"/>
    <hyperlink r:id="rId8192" ref="O2589"/>
    <hyperlink r:id="rId8193" ref="B2590"/>
    <hyperlink r:id="rId8194" ref="E2590"/>
    <hyperlink r:id="rId8195" ref="O2590"/>
    <hyperlink r:id="rId8196" ref="B2591"/>
    <hyperlink r:id="rId8197" ref="E2591"/>
    <hyperlink r:id="rId8198" ref="O2591"/>
    <hyperlink r:id="rId8199" ref="B2592"/>
    <hyperlink r:id="rId8200" ref="E2592"/>
    <hyperlink r:id="rId8201" ref="O2592"/>
    <hyperlink r:id="rId8202" ref="B2593"/>
    <hyperlink r:id="rId8203" ref="E2593"/>
    <hyperlink r:id="rId8204" ref="O2593"/>
    <hyperlink r:id="rId8205" ref="B2594"/>
    <hyperlink r:id="rId8206" ref="E2594"/>
    <hyperlink r:id="rId8207" ref="O2594"/>
    <hyperlink r:id="rId8208" ref="B2595"/>
    <hyperlink r:id="rId8209" ref="E2595"/>
    <hyperlink r:id="rId8210" ref="O2595"/>
    <hyperlink r:id="rId8211" ref="B2596"/>
    <hyperlink r:id="rId8212" ref="E2596"/>
    <hyperlink r:id="rId8213" ref="O2596"/>
    <hyperlink r:id="rId8214" ref="B2597"/>
    <hyperlink r:id="rId8215" ref="E2597"/>
    <hyperlink r:id="rId8216" ref="O2597"/>
    <hyperlink r:id="rId8217" ref="B2598"/>
    <hyperlink r:id="rId8218" ref="C2598"/>
    <hyperlink r:id="rId8219" ref="E2598"/>
    <hyperlink r:id="rId8220" ref="O2598"/>
    <hyperlink r:id="rId8221" ref="B2599"/>
    <hyperlink r:id="rId8222" ref="E2599"/>
    <hyperlink r:id="rId8223" ref="O2599"/>
    <hyperlink r:id="rId8224" ref="B2600"/>
    <hyperlink r:id="rId8225" ref="E2600"/>
    <hyperlink r:id="rId8226" ref="F2600"/>
    <hyperlink r:id="rId8227" ref="O2600"/>
    <hyperlink r:id="rId8228" ref="B2601"/>
    <hyperlink r:id="rId8229" ref="E2601"/>
    <hyperlink r:id="rId8230" ref="F2601"/>
    <hyperlink r:id="rId8231" ref="O2601"/>
    <hyperlink r:id="rId8232" ref="B2602"/>
    <hyperlink r:id="rId8233" ref="E2602"/>
    <hyperlink r:id="rId8234" ref="O2602"/>
    <hyperlink r:id="rId8235" ref="B2603"/>
    <hyperlink r:id="rId8236" ref="E2603"/>
    <hyperlink r:id="rId8237" ref="O2603"/>
    <hyperlink r:id="rId8238" ref="B2604"/>
    <hyperlink r:id="rId8239" ref="E2604"/>
    <hyperlink r:id="rId8240" ref="O2604"/>
    <hyperlink r:id="rId8241" ref="B2605"/>
    <hyperlink r:id="rId8242" ref="E2605"/>
    <hyperlink r:id="rId8243" ref="O2605"/>
    <hyperlink r:id="rId8244" ref="B2606"/>
    <hyperlink r:id="rId8245" ref="E2606"/>
    <hyperlink r:id="rId8246" ref="O2606"/>
    <hyperlink r:id="rId8247" ref="B2607"/>
    <hyperlink r:id="rId8248" ref="E2607"/>
    <hyperlink r:id="rId8249" ref="O2607"/>
    <hyperlink r:id="rId8250" ref="B2608"/>
    <hyperlink r:id="rId8251" ref="E2608"/>
    <hyperlink r:id="rId8252" ref="O2608"/>
    <hyperlink r:id="rId8253" ref="B2609"/>
    <hyperlink r:id="rId8254" ref="E2609"/>
    <hyperlink r:id="rId8255" ref="O2609"/>
    <hyperlink r:id="rId8256" ref="B2610"/>
    <hyperlink r:id="rId8257" ref="E2610"/>
    <hyperlink r:id="rId8258" ref="O2610"/>
    <hyperlink r:id="rId8259" ref="B2611"/>
    <hyperlink r:id="rId8260" ref="E2611"/>
    <hyperlink r:id="rId8261" ref="O2611"/>
    <hyperlink r:id="rId8262" ref="B2612"/>
    <hyperlink r:id="rId8263" ref="E2612"/>
    <hyperlink r:id="rId8264" ref="O2612"/>
    <hyperlink r:id="rId8265" ref="B2613"/>
    <hyperlink r:id="rId8266" ref="E2613"/>
    <hyperlink r:id="rId8267" ref="O2613"/>
    <hyperlink r:id="rId8268" ref="B2614"/>
    <hyperlink r:id="rId8269" ref="E2614"/>
    <hyperlink r:id="rId8270" ref="O2614"/>
    <hyperlink r:id="rId8271" ref="B2615"/>
    <hyperlink r:id="rId8272" ref="E2615"/>
    <hyperlink r:id="rId8273" ref="O2615"/>
    <hyperlink r:id="rId8274" ref="B2616"/>
    <hyperlink r:id="rId8275" ref="E2616"/>
    <hyperlink r:id="rId8276" ref="O2616"/>
    <hyperlink r:id="rId8277" ref="B2617"/>
    <hyperlink r:id="rId8278" ref="E2617"/>
    <hyperlink r:id="rId8279" ref="O2617"/>
    <hyperlink r:id="rId8280" ref="B2618"/>
    <hyperlink r:id="rId8281" ref="E2618"/>
    <hyperlink r:id="rId8282" ref="O2618"/>
    <hyperlink r:id="rId8283" ref="B2619"/>
    <hyperlink r:id="rId8284" ref="E2619"/>
    <hyperlink r:id="rId8285" ref="O2619"/>
    <hyperlink r:id="rId8286" ref="B2620"/>
    <hyperlink r:id="rId8287" ref="C2620"/>
    <hyperlink r:id="rId8288" ref="E2620"/>
    <hyperlink r:id="rId8289" ref="O2620"/>
    <hyperlink r:id="rId8290" ref="B2621"/>
    <hyperlink r:id="rId8291" ref="E2621"/>
    <hyperlink r:id="rId8292" ref="O2621"/>
    <hyperlink r:id="rId8293" ref="B2622"/>
    <hyperlink r:id="rId8294" ref="E2622"/>
    <hyperlink r:id="rId8295" ref="O2622"/>
    <hyperlink r:id="rId8296" ref="B2623"/>
    <hyperlink r:id="rId8297" ref="E2623"/>
    <hyperlink r:id="rId8298" ref="O2623"/>
    <hyperlink r:id="rId8299" ref="B2624"/>
    <hyperlink r:id="rId8300" ref="E2624"/>
    <hyperlink r:id="rId8301" ref="O2624"/>
    <hyperlink r:id="rId8302" ref="B2625"/>
    <hyperlink r:id="rId8303" ref="E2625"/>
    <hyperlink r:id="rId8304" ref="O2625"/>
    <hyperlink r:id="rId8305" ref="B2626"/>
    <hyperlink r:id="rId8306" ref="C2626"/>
    <hyperlink r:id="rId8307" ref="E2626"/>
    <hyperlink r:id="rId8308" ref="O2626"/>
    <hyperlink r:id="rId8309" ref="B2627"/>
    <hyperlink r:id="rId8310" ref="E2627"/>
    <hyperlink r:id="rId8311" ref="O2627"/>
    <hyperlink r:id="rId8312" ref="B2628"/>
    <hyperlink r:id="rId8313" ref="E2628"/>
    <hyperlink r:id="rId8314" ref="O2628"/>
    <hyperlink r:id="rId8315" ref="B2629"/>
    <hyperlink r:id="rId8316" ref="C2629"/>
    <hyperlink r:id="rId8317" ref="E2629"/>
    <hyperlink r:id="rId8318" ref="O2629"/>
    <hyperlink r:id="rId8319" ref="B2630"/>
    <hyperlink r:id="rId8320" ref="E2630"/>
    <hyperlink r:id="rId8321" ref="O2630"/>
    <hyperlink r:id="rId8322" ref="B2631"/>
    <hyperlink r:id="rId8323" ref="E2631"/>
    <hyperlink r:id="rId8324" ref="O2631"/>
    <hyperlink r:id="rId8325" ref="B2632"/>
    <hyperlink r:id="rId8326" ref="E2632"/>
    <hyperlink r:id="rId8327" ref="O2632"/>
    <hyperlink r:id="rId8328" ref="B2633"/>
    <hyperlink r:id="rId8329" ref="E2633"/>
    <hyperlink r:id="rId8330" ref="O2633"/>
    <hyperlink r:id="rId8331" ref="B2634"/>
    <hyperlink r:id="rId8332" ref="E2634"/>
    <hyperlink r:id="rId8333" ref="O2634"/>
    <hyperlink r:id="rId8334" ref="B2635"/>
    <hyperlink r:id="rId8335" ref="E2635"/>
    <hyperlink r:id="rId8336" ref="O2635"/>
    <hyperlink r:id="rId8337" ref="B2636"/>
    <hyperlink r:id="rId8338" ref="E2636"/>
    <hyperlink r:id="rId8339" ref="F2636"/>
    <hyperlink r:id="rId8340" ref="O2636"/>
    <hyperlink r:id="rId8341" ref="B2637"/>
    <hyperlink r:id="rId8342" ref="E2637"/>
    <hyperlink r:id="rId8343" ref="O2637"/>
    <hyperlink r:id="rId8344" ref="B2638"/>
    <hyperlink r:id="rId8345" ref="E2638"/>
    <hyperlink r:id="rId8346" ref="N2638"/>
    <hyperlink r:id="rId8347" ref="O2638"/>
    <hyperlink r:id="rId8348" ref="B2639"/>
    <hyperlink r:id="rId8349" ref="E2639"/>
    <hyperlink r:id="rId8350" ref="O2639"/>
    <hyperlink r:id="rId8351" ref="B2640"/>
    <hyperlink r:id="rId8352" ref="E2640"/>
    <hyperlink r:id="rId8353" ref="O2640"/>
    <hyperlink r:id="rId8354" ref="B2641"/>
    <hyperlink r:id="rId8355" ref="E2641"/>
    <hyperlink r:id="rId8356" ref="O2641"/>
    <hyperlink r:id="rId8357" ref="B2642"/>
    <hyperlink r:id="rId8358" ref="E2642"/>
    <hyperlink r:id="rId8359" ref="O2642"/>
    <hyperlink r:id="rId8360" ref="B2643"/>
    <hyperlink r:id="rId8361" ref="E2643"/>
    <hyperlink r:id="rId8362" ref="O2643"/>
    <hyperlink r:id="rId8363" ref="B2644"/>
    <hyperlink r:id="rId8364" ref="E2644"/>
    <hyperlink r:id="rId8365" ref="O2644"/>
    <hyperlink r:id="rId8366" ref="B2645"/>
    <hyperlink r:id="rId8367" ref="E2645"/>
    <hyperlink r:id="rId8368" ref="O2645"/>
    <hyperlink r:id="rId8369" ref="B2646"/>
    <hyperlink r:id="rId8370" ref="E2646"/>
    <hyperlink r:id="rId8371" ref="O2646"/>
    <hyperlink r:id="rId8372" ref="B2647"/>
    <hyperlink r:id="rId8373" ref="E2647"/>
    <hyperlink r:id="rId8374" ref="O2647"/>
    <hyperlink r:id="rId8375" ref="B2648"/>
    <hyperlink r:id="rId8376" ref="E2648"/>
    <hyperlink r:id="rId8377" ref="O2648"/>
    <hyperlink r:id="rId8378" ref="B2649"/>
    <hyperlink r:id="rId8379" ref="E2649"/>
    <hyperlink r:id="rId8380" ref="O2649"/>
    <hyperlink r:id="rId8381" ref="B2650"/>
    <hyperlink r:id="rId8382" ref="E2650"/>
    <hyperlink r:id="rId8383" ref="O2650"/>
    <hyperlink r:id="rId8384" ref="B2651"/>
    <hyperlink r:id="rId8385" ref="E2651"/>
    <hyperlink r:id="rId8386" ref="O2651"/>
    <hyperlink r:id="rId8387" ref="B2652"/>
    <hyperlink r:id="rId8388" ref="E2652"/>
    <hyperlink r:id="rId8389" ref="O2652"/>
    <hyperlink r:id="rId8390" ref="B2653"/>
    <hyperlink r:id="rId8391" ref="E2653"/>
    <hyperlink r:id="rId8392" ref="F2653"/>
    <hyperlink r:id="rId8393" ref="O2653"/>
    <hyperlink r:id="rId8394" ref="B2654"/>
    <hyperlink r:id="rId8395" ref="E2654"/>
    <hyperlink r:id="rId8396" ref="F2654"/>
    <hyperlink r:id="rId8397" ref="O2654"/>
    <hyperlink r:id="rId8398" ref="B2655"/>
    <hyperlink r:id="rId8399" ref="E2655"/>
    <hyperlink r:id="rId8400" ref="F2655"/>
    <hyperlink r:id="rId8401" ref="O2655"/>
    <hyperlink r:id="rId8402" ref="B2656"/>
    <hyperlink r:id="rId8403" ref="E2656"/>
    <hyperlink r:id="rId8404" ref="F2656"/>
    <hyperlink r:id="rId8405" ref="O2656"/>
    <hyperlink r:id="rId8406" ref="B2657"/>
    <hyperlink r:id="rId8407" ref="E2657"/>
    <hyperlink r:id="rId8408" ref="F2657"/>
    <hyperlink r:id="rId8409" ref="O2657"/>
    <hyperlink r:id="rId8410" ref="B2658"/>
    <hyperlink r:id="rId8411" ref="E2658"/>
    <hyperlink r:id="rId8412" ref="F2658"/>
    <hyperlink r:id="rId8413" ref="O2658"/>
    <hyperlink r:id="rId8414" ref="B2659"/>
    <hyperlink r:id="rId8415" ref="E2659"/>
    <hyperlink r:id="rId8416" ref="F2659"/>
    <hyperlink r:id="rId8417" ref="O2659"/>
    <hyperlink r:id="rId8418" ref="B2660"/>
    <hyperlink r:id="rId8419" ref="E2660"/>
    <hyperlink r:id="rId8420" ref="F2660"/>
    <hyperlink r:id="rId8421" ref="O2660"/>
    <hyperlink r:id="rId8422" ref="B2661"/>
    <hyperlink r:id="rId8423" ref="E2661"/>
    <hyperlink r:id="rId8424" ref="F2661"/>
    <hyperlink r:id="rId8425" ref="O2661"/>
    <hyperlink r:id="rId8426" ref="B2662"/>
    <hyperlink r:id="rId8427" ref="E2662"/>
    <hyperlink r:id="rId8428" ref="F2662"/>
    <hyperlink r:id="rId8429" ref="O2662"/>
    <hyperlink r:id="rId8430" ref="B2663"/>
    <hyperlink r:id="rId8431" ref="E2663"/>
    <hyperlink r:id="rId8432" ref="O2663"/>
    <hyperlink r:id="rId8433" ref="B2664"/>
    <hyperlink r:id="rId8434" ref="E2664"/>
    <hyperlink r:id="rId8435" ref="O2664"/>
    <hyperlink r:id="rId8436" ref="B2665"/>
    <hyperlink r:id="rId8437" ref="E2665"/>
    <hyperlink r:id="rId8438" ref="O2665"/>
    <hyperlink r:id="rId8439" ref="B2666"/>
    <hyperlink r:id="rId8440" ref="E2666"/>
    <hyperlink r:id="rId8441" ref="O2666"/>
    <hyperlink r:id="rId8442" ref="B2667"/>
    <hyperlink r:id="rId8443" ref="E2667"/>
    <hyperlink r:id="rId8444" ref="O2667"/>
    <hyperlink r:id="rId8445" ref="B2668"/>
    <hyperlink r:id="rId8446" ref="E2668"/>
    <hyperlink r:id="rId8447" ref="O2668"/>
    <hyperlink r:id="rId8448" ref="B2669"/>
    <hyperlink r:id="rId8449" ref="E2669"/>
    <hyperlink r:id="rId8450" ref="O2669"/>
    <hyperlink r:id="rId8451" ref="B2670"/>
    <hyperlink r:id="rId8452" ref="E2670"/>
    <hyperlink r:id="rId8453" ref="O2670"/>
    <hyperlink r:id="rId8454" ref="B2671"/>
    <hyperlink r:id="rId8455" ref="E2671"/>
    <hyperlink r:id="rId8456" ref="O2671"/>
    <hyperlink r:id="rId8457" ref="B2672"/>
    <hyperlink r:id="rId8458" ref="E2672"/>
    <hyperlink r:id="rId8459" ref="O2672"/>
    <hyperlink r:id="rId8460" ref="B2673"/>
    <hyperlink r:id="rId8461" ref="E2673"/>
    <hyperlink r:id="rId8462" ref="O2673"/>
    <hyperlink r:id="rId8463" ref="B2674"/>
    <hyperlink r:id="rId8464" ref="E2674"/>
    <hyperlink r:id="rId8465" ref="O2674"/>
    <hyperlink r:id="rId8466" ref="B2675"/>
    <hyperlink r:id="rId8467" ref="E2675"/>
    <hyperlink r:id="rId8468" ref="O2675"/>
    <hyperlink r:id="rId8469" ref="B2676"/>
    <hyperlink r:id="rId8470" ref="E2676"/>
    <hyperlink r:id="rId8471" ref="O2676"/>
    <hyperlink r:id="rId8472" ref="B2677"/>
    <hyperlink r:id="rId8473" ref="E2677"/>
    <hyperlink r:id="rId8474" ref="O2677"/>
    <hyperlink r:id="rId8475" ref="B2678"/>
    <hyperlink r:id="rId8476" ref="E2678"/>
    <hyperlink r:id="rId8477" ref="O2678"/>
    <hyperlink r:id="rId8478" ref="B2679"/>
    <hyperlink r:id="rId8479" ref="E2679"/>
    <hyperlink r:id="rId8480" ref="O2679"/>
    <hyperlink r:id="rId8481" ref="B2680"/>
    <hyperlink r:id="rId8482" ref="E2680"/>
    <hyperlink r:id="rId8483" ref="O2680"/>
    <hyperlink r:id="rId8484" ref="B2681"/>
    <hyperlink r:id="rId8485" ref="E2681"/>
    <hyperlink r:id="rId8486" ref="O2681"/>
    <hyperlink r:id="rId8487" ref="B2682"/>
    <hyperlink r:id="rId8488" ref="E2682"/>
    <hyperlink r:id="rId8489" ref="O2682"/>
    <hyperlink r:id="rId8490" ref="B2683"/>
    <hyperlink r:id="rId8491" ref="E2683"/>
    <hyperlink r:id="rId8492" ref="O2683"/>
    <hyperlink r:id="rId8493" ref="B2684"/>
    <hyperlink r:id="rId8494" ref="E2684"/>
    <hyperlink r:id="rId8495" ref="O2684"/>
    <hyperlink r:id="rId8496" ref="B2685"/>
    <hyperlink r:id="rId8497" ref="E2685"/>
    <hyperlink r:id="rId8498" ref="O2685"/>
    <hyperlink r:id="rId8499" ref="B2686"/>
    <hyperlink r:id="rId8500" ref="E2686"/>
    <hyperlink r:id="rId8501" ref="O2686"/>
    <hyperlink r:id="rId8502" ref="B2687"/>
    <hyperlink r:id="rId8503" ref="E2687"/>
    <hyperlink r:id="rId8504" ref="O2687"/>
    <hyperlink r:id="rId8505" ref="B2688"/>
    <hyperlink r:id="rId8506" ref="E2688"/>
    <hyperlink r:id="rId8507" ref="O2688"/>
    <hyperlink r:id="rId8508" ref="B2689"/>
    <hyperlink r:id="rId8509" ref="E2689"/>
    <hyperlink r:id="rId8510" ref="O2689"/>
    <hyperlink r:id="rId8511" ref="B2690"/>
    <hyperlink r:id="rId8512" ref="E2690"/>
    <hyperlink r:id="rId8513" ref="O2690"/>
    <hyperlink r:id="rId8514" ref="B2691"/>
    <hyperlink r:id="rId8515" ref="E2691"/>
    <hyperlink r:id="rId8516" ref="O2691"/>
    <hyperlink r:id="rId8517" ref="B2692"/>
    <hyperlink r:id="rId8518" ref="E2692"/>
    <hyperlink r:id="rId8519" ref="O2692"/>
    <hyperlink r:id="rId8520" ref="B2693"/>
    <hyperlink r:id="rId8521" ref="E2693"/>
    <hyperlink r:id="rId8522" ref="O2693"/>
    <hyperlink r:id="rId8523" ref="B2694"/>
    <hyperlink r:id="rId8524" ref="E2694"/>
    <hyperlink r:id="rId8525" ref="O2694"/>
    <hyperlink r:id="rId8526" ref="B2695"/>
    <hyperlink r:id="rId8527" ref="E2695"/>
    <hyperlink r:id="rId8528" ref="O2695"/>
    <hyperlink r:id="rId8529" ref="B2696"/>
    <hyperlink r:id="rId8530" ref="E2696"/>
    <hyperlink r:id="rId8531" ref="O2696"/>
    <hyperlink r:id="rId8532" ref="B2697"/>
    <hyperlink r:id="rId8533" ref="E2697"/>
    <hyperlink r:id="rId8534" ref="O2697"/>
    <hyperlink r:id="rId8535" ref="B2698"/>
    <hyperlink r:id="rId8536" ref="E2698"/>
    <hyperlink r:id="rId8537" ref="O2698"/>
    <hyperlink r:id="rId8538" ref="B2699"/>
    <hyperlink r:id="rId8539" ref="E2699"/>
    <hyperlink r:id="rId8540" ref="O2699"/>
    <hyperlink r:id="rId8541" ref="B2700"/>
    <hyperlink r:id="rId8542" ref="E2700"/>
    <hyperlink r:id="rId8543" ref="O2700"/>
    <hyperlink r:id="rId8544" ref="B2701"/>
    <hyperlink r:id="rId8545" ref="E2701"/>
    <hyperlink r:id="rId8546" ref="O2701"/>
    <hyperlink r:id="rId8547" ref="B2702"/>
    <hyperlink r:id="rId8548" ref="E2702"/>
    <hyperlink r:id="rId8549" ref="O2702"/>
    <hyperlink r:id="rId8550" ref="B2703"/>
    <hyperlink r:id="rId8551" ref="E2703"/>
    <hyperlink r:id="rId8552" ref="O2703"/>
    <hyperlink r:id="rId8553" ref="B2704"/>
    <hyperlink r:id="rId8554" ref="E2704"/>
    <hyperlink r:id="rId8555" ref="O2704"/>
    <hyperlink r:id="rId8556" ref="B2705"/>
    <hyperlink r:id="rId8557" ref="E2705"/>
    <hyperlink r:id="rId8558" ref="O2705"/>
    <hyperlink r:id="rId8559" ref="B2706"/>
    <hyperlink r:id="rId8560" ref="E2706"/>
    <hyperlink r:id="rId8561" ref="O2706"/>
    <hyperlink r:id="rId8562" ref="B2707"/>
    <hyperlink r:id="rId8563" ref="E2707"/>
    <hyperlink r:id="rId8564" ref="O2707"/>
    <hyperlink r:id="rId8565" ref="B2708"/>
    <hyperlink r:id="rId8566" ref="E2708"/>
    <hyperlink r:id="rId8567" ref="O2708"/>
    <hyperlink r:id="rId8568" ref="B2709"/>
    <hyperlink r:id="rId8569" ref="E2709"/>
    <hyperlink r:id="rId8570" ref="O2709"/>
    <hyperlink r:id="rId8571" ref="B2710"/>
    <hyperlink r:id="rId8572" ref="E2710"/>
    <hyperlink r:id="rId8573" ref="O2710"/>
    <hyperlink r:id="rId8574" ref="B2711"/>
    <hyperlink r:id="rId8575" ref="E2711"/>
    <hyperlink r:id="rId8576" ref="O2711"/>
    <hyperlink r:id="rId8577" ref="B2712"/>
    <hyperlink r:id="rId8578" ref="E2712"/>
    <hyperlink r:id="rId8579" ref="O2712"/>
    <hyperlink r:id="rId8580" ref="B2713"/>
    <hyperlink r:id="rId8581" ref="E2713"/>
    <hyperlink r:id="rId8582" ref="O2713"/>
    <hyperlink r:id="rId8583" ref="B2714"/>
    <hyperlink r:id="rId8584" ref="E2714"/>
    <hyperlink r:id="rId8585" ref="O2714"/>
    <hyperlink r:id="rId8586" ref="B2715"/>
    <hyperlink r:id="rId8587" ref="E2715"/>
    <hyperlink r:id="rId8588" ref="O2715"/>
    <hyperlink r:id="rId8589" ref="B2716"/>
    <hyperlink r:id="rId8590" ref="E2716"/>
    <hyperlink r:id="rId8591" ref="O2716"/>
    <hyperlink r:id="rId8592" ref="B2717"/>
    <hyperlink r:id="rId8593" ref="E2717"/>
    <hyperlink r:id="rId8594" ref="O2717"/>
    <hyperlink r:id="rId8595" ref="B2718"/>
    <hyperlink r:id="rId8596" ref="E2718"/>
    <hyperlink r:id="rId8597" ref="O2718"/>
    <hyperlink r:id="rId8598" ref="B2719"/>
    <hyperlink r:id="rId8599" ref="E2719"/>
    <hyperlink r:id="rId8600" ref="O2719"/>
    <hyperlink r:id="rId8601" ref="B2720"/>
    <hyperlink r:id="rId8602" ref="E2720"/>
    <hyperlink r:id="rId8603" ref="O2720"/>
    <hyperlink r:id="rId8604" ref="B2721"/>
    <hyperlink r:id="rId8605" ref="E2721"/>
    <hyperlink r:id="rId8606" ref="O2721"/>
    <hyperlink r:id="rId8607" ref="B2722"/>
    <hyperlink r:id="rId8608" ref="E2722"/>
    <hyperlink r:id="rId8609" ref="O2722"/>
    <hyperlink r:id="rId8610" ref="B2723"/>
    <hyperlink r:id="rId8611" ref="E2723"/>
    <hyperlink r:id="rId8612" ref="O2723"/>
    <hyperlink r:id="rId8613" ref="B2724"/>
    <hyperlink r:id="rId8614" ref="E2724"/>
    <hyperlink r:id="rId8615" ref="O2724"/>
    <hyperlink r:id="rId8616" ref="B2725"/>
    <hyperlink r:id="rId8617" ref="E2725"/>
    <hyperlink r:id="rId8618" ref="O2725"/>
    <hyperlink r:id="rId8619" ref="B2726"/>
    <hyperlink r:id="rId8620" ref="E2726"/>
    <hyperlink r:id="rId8621" ref="O2726"/>
    <hyperlink r:id="rId8622" ref="B2727"/>
    <hyperlink r:id="rId8623" ref="E2727"/>
    <hyperlink r:id="rId8624" ref="O2727"/>
    <hyperlink r:id="rId8625" ref="B2728"/>
    <hyperlink r:id="rId8626" ref="E2728"/>
    <hyperlink r:id="rId8627" ref="F2728"/>
    <hyperlink r:id="rId8628" ref="O2728"/>
    <hyperlink r:id="rId8629" ref="B2729"/>
    <hyperlink r:id="rId8630" ref="E2729"/>
    <hyperlink r:id="rId8631" ref="F2729"/>
    <hyperlink r:id="rId8632" ref="O2729"/>
    <hyperlink r:id="rId8633" ref="B2730"/>
    <hyperlink r:id="rId8634" ref="E2730"/>
    <hyperlink r:id="rId8635" ref="F2730"/>
    <hyperlink r:id="rId8636" ref="O2730"/>
    <hyperlink r:id="rId8637" ref="B2731"/>
    <hyperlink r:id="rId8638" ref="E2731"/>
    <hyperlink r:id="rId8639" ref="F2731"/>
    <hyperlink r:id="rId8640" ref="O2731"/>
    <hyperlink r:id="rId8641" ref="B2732"/>
    <hyperlink r:id="rId8642" ref="E2732"/>
    <hyperlink r:id="rId8643" ref="F2732"/>
    <hyperlink r:id="rId8644" ref="O2732"/>
    <hyperlink r:id="rId8645" ref="B2733"/>
    <hyperlink r:id="rId8646" ref="E2733"/>
    <hyperlink r:id="rId8647" ref="F2733"/>
    <hyperlink r:id="rId8648" ref="O2733"/>
    <hyperlink r:id="rId8649" ref="B2734"/>
    <hyperlink r:id="rId8650" ref="E2734"/>
    <hyperlink r:id="rId8651" ref="O2734"/>
    <hyperlink r:id="rId8652" ref="B2735"/>
    <hyperlink r:id="rId8653" ref="E2735"/>
    <hyperlink r:id="rId8654" ref="O2735"/>
    <hyperlink r:id="rId8655" ref="B2736"/>
    <hyperlink r:id="rId8656" ref="C2736"/>
    <hyperlink r:id="rId8657" ref="E2736"/>
    <hyperlink r:id="rId8658" ref="O2736"/>
    <hyperlink r:id="rId8659" ref="B2737"/>
    <hyperlink r:id="rId8660" ref="E2737"/>
    <hyperlink r:id="rId8661" ref="O2737"/>
    <hyperlink r:id="rId8662" ref="B2738"/>
    <hyperlink r:id="rId8663" ref="E2738"/>
    <hyperlink r:id="rId8664" ref="O2738"/>
    <hyperlink r:id="rId8665" ref="B2739"/>
    <hyperlink r:id="rId8666" ref="E2739"/>
    <hyperlink r:id="rId8667" ref="O2739"/>
    <hyperlink r:id="rId8668" location="37.8604672,27.25711472" ref="P2739"/>
    <hyperlink r:id="rId8669" ref="B2740"/>
    <hyperlink r:id="rId8670" ref="E2740"/>
    <hyperlink r:id="rId8671" ref="O2740"/>
    <hyperlink r:id="rId8672" ref="B2741"/>
    <hyperlink r:id="rId8673" ref="E2741"/>
    <hyperlink r:id="rId8674" ref="O2741"/>
    <hyperlink r:id="rId8675" ref="B2742"/>
    <hyperlink r:id="rId8676" ref="E2742"/>
    <hyperlink r:id="rId8677" ref="O2742"/>
    <hyperlink r:id="rId8678" ref="B2743"/>
    <hyperlink r:id="rId8679" ref="E2743"/>
    <hyperlink r:id="rId8680" ref="O2743"/>
    <hyperlink r:id="rId8681" ref="B2744"/>
    <hyperlink r:id="rId8682" ref="E2744"/>
    <hyperlink r:id="rId8683" ref="O2744"/>
    <hyperlink r:id="rId8684" ref="B2745"/>
    <hyperlink r:id="rId8685" ref="E2745"/>
    <hyperlink r:id="rId8686" ref="O2745"/>
    <hyperlink r:id="rId8687" ref="B2746"/>
    <hyperlink r:id="rId8688" ref="E2746"/>
    <hyperlink r:id="rId8689" ref="O2746"/>
    <hyperlink r:id="rId8690" ref="B2747"/>
    <hyperlink r:id="rId8691" ref="E2747"/>
    <hyperlink r:id="rId8692" ref="O2747"/>
    <hyperlink r:id="rId8693" ref="B2748"/>
    <hyperlink r:id="rId8694" ref="E2748"/>
    <hyperlink r:id="rId8695" ref="O2748"/>
    <hyperlink r:id="rId8696" ref="B2749"/>
    <hyperlink r:id="rId8697" ref="E2749"/>
    <hyperlink r:id="rId8698" ref="O2749"/>
    <hyperlink r:id="rId8699" ref="B2750"/>
    <hyperlink r:id="rId8700" ref="E2750"/>
    <hyperlink r:id="rId8701" ref="O2750"/>
    <hyperlink r:id="rId8702" ref="B2751"/>
    <hyperlink r:id="rId8703" ref="E2751"/>
    <hyperlink r:id="rId8704" ref="O2751"/>
    <hyperlink r:id="rId8705" ref="B2752"/>
    <hyperlink r:id="rId8706" ref="E2752"/>
    <hyperlink r:id="rId8707" ref="O2752"/>
    <hyperlink r:id="rId8708" ref="B2753"/>
    <hyperlink r:id="rId8709" ref="E2753"/>
    <hyperlink r:id="rId8710" ref="O2753"/>
    <hyperlink r:id="rId8711" ref="B2754"/>
    <hyperlink r:id="rId8712" ref="E2754"/>
    <hyperlink r:id="rId8713" ref="O2754"/>
    <hyperlink r:id="rId8714" ref="B2755"/>
    <hyperlink r:id="rId8715" ref="E2755"/>
    <hyperlink r:id="rId8716" ref="O2755"/>
    <hyperlink r:id="rId8717" ref="B2756"/>
    <hyperlink r:id="rId8718" ref="E2756"/>
    <hyperlink r:id="rId8719" ref="O2756"/>
    <hyperlink r:id="rId8720" ref="B2757"/>
    <hyperlink r:id="rId8721" ref="E2757"/>
    <hyperlink r:id="rId8722" ref="O2757"/>
    <hyperlink r:id="rId8723" ref="B2758"/>
    <hyperlink r:id="rId8724" ref="E2758"/>
    <hyperlink r:id="rId8725" ref="O2758"/>
    <hyperlink r:id="rId8726" ref="B2759"/>
    <hyperlink r:id="rId8727" ref="E2759"/>
    <hyperlink r:id="rId8728" ref="O2759"/>
    <hyperlink r:id="rId8729" ref="B2760"/>
    <hyperlink r:id="rId8730" ref="E2760"/>
    <hyperlink r:id="rId8731" ref="O2760"/>
    <hyperlink r:id="rId8732" ref="B2761"/>
    <hyperlink r:id="rId8733" ref="E2761"/>
    <hyperlink r:id="rId8734" ref="O2761"/>
    <hyperlink r:id="rId8735" ref="B2762"/>
    <hyperlink r:id="rId8736" ref="E2762"/>
    <hyperlink r:id="rId8737" ref="F2762"/>
    <hyperlink r:id="rId8738" ref="O2762"/>
    <hyperlink r:id="rId8739" ref="B2763"/>
    <hyperlink r:id="rId8740" ref="E2763"/>
    <hyperlink r:id="rId8741" ref="O2763"/>
    <hyperlink r:id="rId8742" ref="B2764"/>
    <hyperlink r:id="rId8743" ref="E2764"/>
    <hyperlink r:id="rId8744" ref="O2764"/>
    <hyperlink r:id="rId8745" ref="B2765"/>
    <hyperlink r:id="rId8746" ref="E2765"/>
    <hyperlink r:id="rId8747" ref="O2765"/>
    <hyperlink r:id="rId8748" ref="B2766"/>
    <hyperlink r:id="rId8749" ref="E2766"/>
    <hyperlink r:id="rId8750" ref="O2766"/>
    <hyperlink r:id="rId8751" ref="B2767"/>
    <hyperlink r:id="rId8752" ref="E2767"/>
    <hyperlink r:id="rId8753" ref="O2767"/>
    <hyperlink r:id="rId8754" ref="B2768"/>
    <hyperlink r:id="rId8755" ref="E2768"/>
    <hyperlink r:id="rId8756" ref="O2768"/>
    <hyperlink r:id="rId8757" ref="B2769"/>
    <hyperlink r:id="rId8758" ref="E2769"/>
    <hyperlink r:id="rId8759" ref="O2769"/>
    <hyperlink r:id="rId8760" ref="B2770"/>
    <hyperlink r:id="rId8761" ref="E2770"/>
    <hyperlink r:id="rId8762" ref="O2770"/>
    <hyperlink r:id="rId8763" ref="B2771"/>
    <hyperlink r:id="rId8764" ref="E2771"/>
    <hyperlink r:id="rId8765" ref="O2771"/>
    <hyperlink r:id="rId8766" ref="B2772"/>
    <hyperlink r:id="rId8767" ref="E2772"/>
    <hyperlink r:id="rId8768" ref="O2772"/>
    <hyperlink r:id="rId8769" ref="B2773"/>
    <hyperlink r:id="rId8770" ref="E2773"/>
    <hyperlink r:id="rId8771" ref="O2773"/>
    <hyperlink r:id="rId8772" ref="B2774"/>
    <hyperlink r:id="rId8773" ref="E2774"/>
    <hyperlink r:id="rId8774" ref="O2774"/>
    <hyperlink r:id="rId8775" ref="B2775"/>
    <hyperlink r:id="rId8776" ref="E2775"/>
    <hyperlink r:id="rId8777" ref="O2775"/>
    <hyperlink r:id="rId8778" ref="B2776"/>
    <hyperlink r:id="rId8779" ref="E2776"/>
    <hyperlink r:id="rId8780" ref="O2776"/>
    <hyperlink r:id="rId8781" ref="B2777"/>
    <hyperlink r:id="rId8782" ref="E2777"/>
    <hyperlink r:id="rId8783" ref="O2777"/>
    <hyperlink r:id="rId8784" ref="B2778"/>
    <hyperlink r:id="rId8785" ref="E2778"/>
    <hyperlink r:id="rId8786" ref="O2778"/>
    <hyperlink r:id="rId8787" ref="B2779"/>
    <hyperlink r:id="rId8788" ref="E2779"/>
    <hyperlink r:id="rId8789" ref="O2779"/>
    <hyperlink r:id="rId8790" ref="B2780"/>
    <hyperlink r:id="rId8791" ref="E2780"/>
    <hyperlink r:id="rId8792" ref="O2780"/>
    <hyperlink r:id="rId8793" ref="B2781"/>
    <hyperlink r:id="rId8794" ref="E2781"/>
    <hyperlink r:id="rId8795" ref="O2781"/>
    <hyperlink r:id="rId8796" ref="B2782"/>
    <hyperlink r:id="rId8797" ref="E2782"/>
    <hyperlink r:id="rId8798" ref="O2782"/>
    <hyperlink r:id="rId8799" ref="B2783"/>
    <hyperlink r:id="rId8800" ref="E2783"/>
    <hyperlink r:id="rId8801" ref="O2783"/>
    <hyperlink r:id="rId8802" ref="B2784"/>
    <hyperlink r:id="rId8803" ref="E2784"/>
    <hyperlink r:id="rId8804" ref="O2784"/>
    <hyperlink r:id="rId8805" ref="B2785"/>
    <hyperlink r:id="rId8806" ref="E2785"/>
    <hyperlink r:id="rId8807" ref="O2785"/>
    <hyperlink r:id="rId8808" ref="B2786"/>
    <hyperlink r:id="rId8809" ref="E2786"/>
    <hyperlink r:id="rId8810" ref="O2786"/>
    <hyperlink r:id="rId8811" ref="B2787"/>
    <hyperlink r:id="rId8812" ref="E2787"/>
    <hyperlink r:id="rId8813" ref="O2787"/>
    <hyperlink r:id="rId8814" ref="B2788"/>
    <hyperlink r:id="rId8815" ref="E2788"/>
    <hyperlink r:id="rId8816" ref="O2788"/>
    <hyperlink r:id="rId8817" ref="B2789"/>
    <hyperlink r:id="rId8818" ref="E2789"/>
    <hyperlink r:id="rId8819" ref="O2789"/>
    <hyperlink r:id="rId8820" ref="B2790"/>
    <hyperlink r:id="rId8821" ref="E2790"/>
    <hyperlink r:id="rId8822" ref="O2790"/>
    <hyperlink r:id="rId8823" ref="B2791"/>
    <hyperlink r:id="rId8824" ref="E2791"/>
    <hyperlink r:id="rId8825" ref="O2791"/>
    <hyperlink r:id="rId8826" ref="B2792"/>
    <hyperlink r:id="rId8827" ref="E2792"/>
    <hyperlink r:id="rId8828" ref="O2792"/>
    <hyperlink r:id="rId8829" ref="B2793"/>
    <hyperlink r:id="rId8830" ref="E2793"/>
    <hyperlink r:id="rId8831" ref="O2793"/>
    <hyperlink r:id="rId8832" ref="B2794"/>
    <hyperlink r:id="rId8833" ref="E2794"/>
    <hyperlink r:id="rId8834" ref="O2794"/>
    <hyperlink r:id="rId8835" ref="B2795"/>
    <hyperlink r:id="rId8836" ref="E2795"/>
    <hyperlink r:id="rId8837" ref="F2795"/>
    <hyperlink r:id="rId8838" ref="O2795"/>
    <hyperlink r:id="rId8839" ref="B2796"/>
    <hyperlink r:id="rId8840" ref="E2796"/>
    <hyperlink r:id="rId8841" ref="F2796"/>
    <hyperlink r:id="rId8842" ref="O2796"/>
    <hyperlink r:id="rId8843" ref="B2797"/>
    <hyperlink r:id="rId8844" ref="E2797"/>
    <hyperlink r:id="rId8845" ref="F2797"/>
    <hyperlink r:id="rId8846" ref="O2797"/>
    <hyperlink r:id="rId8847" ref="B2798"/>
    <hyperlink r:id="rId8848" ref="E2798"/>
    <hyperlink r:id="rId8849" ref="F2798"/>
    <hyperlink r:id="rId8850" ref="O2798"/>
    <hyperlink r:id="rId8851" ref="B2799"/>
    <hyperlink r:id="rId8852" ref="E2799"/>
    <hyperlink r:id="rId8853" ref="F2799"/>
    <hyperlink r:id="rId8854" ref="O2799"/>
    <hyperlink r:id="rId8855" ref="B2800"/>
    <hyperlink r:id="rId8856" ref="E2800"/>
    <hyperlink r:id="rId8857" ref="F2800"/>
    <hyperlink r:id="rId8858" ref="O2800"/>
    <hyperlink r:id="rId8859" ref="B2801"/>
    <hyperlink r:id="rId8860" ref="E2801"/>
    <hyperlink r:id="rId8861" ref="F2801"/>
    <hyperlink r:id="rId8862" ref="O2801"/>
    <hyperlink r:id="rId8863" ref="B2802"/>
    <hyperlink r:id="rId8864" ref="E2802"/>
    <hyperlink r:id="rId8865" ref="F2802"/>
    <hyperlink r:id="rId8866" ref="O2802"/>
    <hyperlink r:id="rId8867" ref="B2803"/>
    <hyperlink r:id="rId8868" ref="E2803"/>
    <hyperlink r:id="rId8869" ref="F2803"/>
    <hyperlink r:id="rId8870" ref="O2803"/>
    <hyperlink r:id="rId8871" ref="B2804"/>
    <hyperlink r:id="rId8872" ref="E2804"/>
    <hyperlink r:id="rId8873" ref="O2804"/>
    <hyperlink r:id="rId8874" ref="B2805"/>
    <hyperlink r:id="rId8875" ref="E2805"/>
    <hyperlink r:id="rId8876" ref="O2805"/>
    <hyperlink r:id="rId8877" ref="B2806"/>
    <hyperlink r:id="rId8878" ref="E2806"/>
    <hyperlink r:id="rId8879" ref="O2806"/>
    <hyperlink r:id="rId8880" ref="B2807"/>
    <hyperlink r:id="rId8881" ref="E2807"/>
    <hyperlink r:id="rId8882" ref="O2807"/>
    <hyperlink r:id="rId8883" ref="B2808"/>
    <hyperlink r:id="rId8884" ref="E2808"/>
    <hyperlink r:id="rId8885" ref="O2808"/>
    <hyperlink r:id="rId8886" ref="B2809"/>
    <hyperlink r:id="rId8887" ref="E2809"/>
    <hyperlink r:id="rId8888" ref="O2809"/>
    <hyperlink r:id="rId8889" ref="B2810"/>
    <hyperlink r:id="rId8890" ref="E2810"/>
    <hyperlink r:id="rId8891" ref="O2810"/>
    <hyperlink r:id="rId8892" ref="B2811"/>
    <hyperlink r:id="rId8893" ref="E2811"/>
    <hyperlink r:id="rId8894" ref="O2811"/>
    <hyperlink r:id="rId8895" ref="B2812"/>
    <hyperlink r:id="rId8896" ref="E2812"/>
    <hyperlink r:id="rId8897" ref="O2812"/>
    <hyperlink r:id="rId8898" ref="B2813"/>
    <hyperlink r:id="rId8899" ref="E2813"/>
    <hyperlink r:id="rId8900" ref="O2813"/>
    <hyperlink r:id="rId8901" ref="B2814"/>
    <hyperlink r:id="rId8902" ref="E2814"/>
    <hyperlink r:id="rId8903" ref="O2814"/>
    <hyperlink r:id="rId8904" ref="B2815"/>
    <hyperlink r:id="rId8905" ref="E2815"/>
    <hyperlink r:id="rId8906" ref="O2815"/>
    <hyperlink r:id="rId8907" ref="B2816"/>
    <hyperlink r:id="rId8908" ref="E2816"/>
    <hyperlink r:id="rId8909" ref="O2816"/>
    <hyperlink r:id="rId8910" ref="B2817"/>
    <hyperlink r:id="rId8911" ref="E2817"/>
    <hyperlink r:id="rId8912" ref="O2817"/>
    <hyperlink r:id="rId8913" ref="B2818"/>
    <hyperlink r:id="rId8914" ref="E2818"/>
    <hyperlink r:id="rId8915" ref="O2818"/>
    <hyperlink r:id="rId8916" ref="B2819"/>
    <hyperlink r:id="rId8917" ref="E2819"/>
    <hyperlink r:id="rId8918" ref="O2819"/>
    <hyperlink r:id="rId8919" ref="B2820"/>
    <hyperlink r:id="rId8920" ref="E2820"/>
    <hyperlink r:id="rId8921" ref="O2820"/>
    <hyperlink r:id="rId8922" ref="B2821"/>
    <hyperlink r:id="rId8923" ref="E2821"/>
    <hyperlink r:id="rId8924" ref="O2821"/>
    <hyperlink r:id="rId8925" ref="B2822"/>
    <hyperlink r:id="rId8926" ref="E2822"/>
    <hyperlink r:id="rId8927" ref="O2822"/>
    <hyperlink r:id="rId8928" ref="B2823"/>
    <hyperlink r:id="rId8929" ref="E2823"/>
    <hyperlink r:id="rId8930" ref="O2823"/>
    <hyperlink r:id="rId8931" ref="B2824"/>
    <hyperlink r:id="rId8932" ref="E2824"/>
    <hyperlink r:id="rId8933" ref="O2824"/>
    <hyperlink r:id="rId8934" ref="B2825"/>
    <hyperlink r:id="rId8935" ref="E2825"/>
    <hyperlink r:id="rId8936" ref="O2825"/>
    <hyperlink r:id="rId8937" ref="B2826"/>
    <hyperlink r:id="rId8938" ref="E2826"/>
    <hyperlink r:id="rId8939" ref="O2826"/>
    <hyperlink r:id="rId8940" ref="B2827"/>
    <hyperlink r:id="rId8941" ref="E2827"/>
    <hyperlink r:id="rId8942" ref="O2827"/>
    <hyperlink r:id="rId8943" ref="B2828"/>
    <hyperlink r:id="rId8944" ref="E2828"/>
    <hyperlink r:id="rId8945" ref="O2828"/>
    <hyperlink r:id="rId8946" ref="B2829"/>
    <hyperlink r:id="rId8947" ref="E2829"/>
    <hyperlink r:id="rId8948" ref="O2829"/>
    <hyperlink r:id="rId8949" ref="B2830"/>
    <hyperlink r:id="rId8950" ref="E2830"/>
    <hyperlink r:id="rId8951" ref="O2830"/>
    <hyperlink r:id="rId8952" ref="B2831"/>
    <hyperlink r:id="rId8953" ref="E2831"/>
    <hyperlink r:id="rId8954" ref="O2831"/>
    <hyperlink r:id="rId8955" ref="B2832"/>
    <hyperlink r:id="rId8956" ref="E2832"/>
    <hyperlink r:id="rId8957" ref="N2832"/>
    <hyperlink r:id="rId8958" ref="O2832"/>
    <hyperlink r:id="rId8959" ref="B2833"/>
    <hyperlink r:id="rId8960" ref="E2833"/>
    <hyperlink r:id="rId8961" ref="O2833"/>
    <hyperlink r:id="rId8962" ref="B2834"/>
    <hyperlink r:id="rId8963" ref="E2834"/>
    <hyperlink r:id="rId8964" ref="O2834"/>
    <hyperlink r:id="rId8965" ref="B2835"/>
    <hyperlink r:id="rId8966" ref="E2835"/>
    <hyperlink r:id="rId8967" ref="O2835"/>
    <hyperlink r:id="rId8968" ref="B2836"/>
    <hyperlink r:id="rId8969" ref="E2836"/>
    <hyperlink r:id="rId8970" ref="O2836"/>
    <hyperlink r:id="rId8971" ref="B2837"/>
    <hyperlink r:id="rId8972" ref="E2837"/>
    <hyperlink r:id="rId8973" ref="O2837"/>
    <hyperlink r:id="rId8974" ref="B2838"/>
    <hyperlink r:id="rId8975" ref="E2838"/>
    <hyperlink r:id="rId8976" ref="O2838"/>
    <hyperlink r:id="rId8977" ref="B2839"/>
    <hyperlink r:id="rId8978" ref="E2839"/>
    <hyperlink r:id="rId8979" ref="O2839"/>
    <hyperlink r:id="rId8980" ref="B2840"/>
    <hyperlink r:id="rId8981" ref="E2840"/>
    <hyperlink r:id="rId8982" ref="O2840"/>
    <hyperlink r:id="rId8983" ref="B2841"/>
    <hyperlink r:id="rId8984" ref="E2841"/>
    <hyperlink r:id="rId8985" ref="O2841"/>
    <hyperlink r:id="rId8986" ref="B2842"/>
    <hyperlink r:id="rId8987" ref="E2842"/>
    <hyperlink r:id="rId8988" ref="O2842"/>
    <hyperlink r:id="rId8989" ref="B2843"/>
    <hyperlink r:id="rId8990" ref="E2843"/>
    <hyperlink r:id="rId8991" ref="O2843"/>
    <hyperlink r:id="rId8992" ref="B2844"/>
    <hyperlink r:id="rId8993" ref="E2844"/>
    <hyperlink r:id="rId8994" ref="O2844"/>
    <hyperlink r:id="rId8995" ref="B2845"/>
    <hyperlink r:id="rId8996" ref="E2845"/>
    <hyperlink r:id="rId8997" ref="O2845"/>
    <hyperlink r:id="rId8998" ref="B2846"/>
    <hyperlink r:id="rId8999" ref="E2846"/>
    <hyperlink r:id="rId9000" ref="O2846"/>
    <hyperlink r:id="rId9001" ref="B2847"/>
    <hyperlink r:id="rId9002" ref="E2847"/>
    <hyperlink r:id="rId9003" ref="O2847"/>
    <hyperlink r:id="rId9004" ref="B2848"/>
    <hyperlink r:id="rId9005" ref="E2848"/>
    <hyperlink r:id="rId9006" ref="O2848"/>
    <hyperlink r:id="rId9007" ref="B2849"/>
    <hyperlink r:id="rId9008" ref="E2849"/>
    <hyperlink r:id="rId9009" ref="O2849"/>
    <hyperlink r:id="rId9010" ref="B2850"/>
    <hyperlink r:id="rId9011" ref="E2850"/>
    <hyperlink r:id="rId9012" ref="O2850"/>
    <hyperlink r:id="rId9013" ref="B2851"/>
    <hyperlink r:id="rId9014" ref="E2851"/>
    <hyperlink r:id="rId9015" ref="O2851"/>
    <hyperlink r:id="rId9016" ref="B2852"/>
    <hyperlink r:id="rId9017" ref="E2852"/>
    <hyperlink r:id="rId9018" ref="O2852"/>
    <hyperlink r:id="rId9019" ref="B2853"/>
    <hyperlink r:id="rId9020" ref="E2853"/>
    <hyperlink r:id="rId9021" ref="O2853"/>
    <hyperlink r:id="rId9022" ref="B2854"/>
    <hyperlink r:id="rId9023" ref="E2854"/>
    <hyperlink r:id="rId9024" ref="O2854"/>
    <hyperlink r:id="rId9025" ref="B2855"/>
    <hyperlink r:id="rId9026" ref="E2855"/>
    <hyperlink r:id="rId9027" ref="O2855"/>
    <hyperlink r:id="rId9028" ref="B2856"/>
    <hyperlink r:id="rId9029" ref="E2856"/>
    <hyperlink r:id="rId9030" ref="O2856"/>
    <hyperlink r:id="rId9031" ref="B2857"/>
    <hyperlink r:id="rId9032" ref="E2857"/>
    <hyperlink r:id="rId9033" ref="O2857"/>
    <hyperlink r:id="rId9034" ref="B2858"/>
    <hyperlink r:id="rId9035" ref="E2858"/>
    <hyperlink r:id="rId9036" ref="O2858"/>
    <hyperlink r:id="rId9037" ref="B2859"/>
    <hyperlink r:id="rId9038" ref="E2859"/>
    <hyperlink r:id="rId9039" ref="O2859"/>
    <hyperlink r:id="rId9040" ref="B2860"/>
    <hyperlink r:id="rId9041" ref="E2860"/>
    <hyperlink r:id="rId9042" ref="O2860"/>
    <hyperlink r:id="rId9043" ref="B2861"/>
    <hyperlink r:id="rId9044" ref="E2861"/>
    <hyperlink r:id="rId9045" ref="O2861"/>
    <hyperlink r:id="rId9046" ref="B2862"/>
    <hyperlink r:id="rId9047" ref="E2862"/>
    <hyperlink r:id="rId9048" ref="O2862"/>
    <hyperlink r:id="rId9049" ref="B2863"/>
    <hyperlink r:id="rId9050" ref="E2863"/>
    <hyperlink r:id="rId9051" ref="O2863"/>
    <hyperlink r:id="rId9052" ref="B2864"/>
    <hyperlink r:id="rId9053" ref="E2864"/>
    <hyperlink r:id="rId9054" ref="O2864"/>
    <hyperlink r:id="rId9055" ref="B2865"/>
    <hyperlink r:id="rId9056" ref="E2865"/>
    <hyperlink r:id="rId9057" ref="O2865"/>
    <hyperlink r:id="rId9058" ref="B2866"/>
    <hyperlink r:id="rId9059" ref="E2866"/>
    <hyperlink r:id="rId9060" ref="O2866"/>
    <hyperlink r:id="rId9061" ref="B2867"/>
    <hyperlink r:id="rId9062" ref="E2867"/>
    <hyperlink r:id="rId9063" ref="O2867"/>
    <hyperlink r:id="rId9064" ref="B2868"/>
    <hyperlink r:id="rId9065" ref="E2868"/>
    <hyperlink r:id="rId9066" ref="O2868"/>
    <hyperlink r:id="rId9067" ref="B2869"/>
    <hyperlink r:id="rId9068" ref="E2869"/>
    <hyperlink r:id="rId9069" ref="O2869"/>
    <hyperlink r:id="rId9070" ref="B2870"/>
    <hyperlink r:id="rId9071" ref="E2870"/>
    <hyperlink r:id="rId9072" ref="O2870"/>
    <hyperlink r:id="rId9073" ref="B2871"/>
    <hyperlink r:id="rId9074" ref="E2871"/>
    <hyperlink r:id="rId9075" ref="O2871"/>
    <hyperlink r:id="rId9076" ref="B2872"/>
    <hyperlink r:id="rId9077" ref="E2872"/>
    <hyperlink r:id="rId9078" ref="O2872"/>
    <hyperlink r:id="rId9079" ref="B2873"/>
    <hyperlink r:id="rId9080" ref="E2873"/>
    <hyperlink r:id="rId9081" ref="O2873"/>
    <hyperlink r:id="rId9082" ref="B2874"/>
    <hyperlink r:id="rId9083" ref="E2874"/>
    <hyperlink r:id="rId9084" ref="O2874"/>
    <hyperlink r:id="rId9085" ref="B2875"/>
    <hyperlink r:id="rId9086" ref="E2875"/>
    <hyperlink r:id="rId9087" ref="O2875"/>
    <hyperlink r:id="rId9088" ref="B2876"/>
    <hyperlink r:id="rId9089" ref="E2876"/>
    <hyperlink r:id="rId9090" ref="O2876"/>
    <hyperlink r:id="rId9091" ref="B2877"/>
    <hyperlink r:id="rId9092" ref="E2877"/>
    <hyperlink r:id="rId9093" ref="O2877"/>
    <hyperlink r:id="rId9094" ref="B2878"/>
    <hyperlink r:id="rId9095" ref="E2878"/>
    <hyperlink r:id="rId9096" ref="O2878"/>
    <hyperlink r:id="rId9097" ref="B2879"/>
    <hyperlink r:id="rId9098" ref="E2879"/>
    <hyperlink r:id="rId9099" ref="O2879"/>
    <hyperlink r:id="rId9100" ref="B2880"/>
    <hyperlink r:id="rId9101" ref="E2880"/>
    <hyperlink r:id="rId9102" ref="O2880"/>
    <hyperlink r:id="rId9103" ref="B2881"/>
    <hyperlink r:id="rId9104" ref="E2881"/>
    <hyperlink r:id="rId9105" ref="O2881"/>
    <hyperlink r:id="rId9106" ref="B2882"/>
    <hyperlink r:id="rId9107" ref="E2882"/>
    <hyperlink r:id="rId9108" ref="O2882"/>
    <hyperlink r:id="rId9109" ref="B2883"/>
    <hyperlink r:id="rId9110" ref="E2883"/>
    <hyperlink r:id="rId9111" ref="O2883"/>
    <hyperlink r:id="rId9112" ref="B2884"/>
    <hyperlink r:id="rId9113" ref="E2884"/>
    <hyperlink r:id="rId9114" ref="O2884"/>
    <hyperlink r:id="rId9115" ref="B2885"/>
    <hyperlink r:id="rId9116" ref="E2885"/>
    <hyperlink r:id="rId9117" ref="O2885"/>
    <hyperlink r:id="rId9118" ref="B2886"/>
    <hyperlink r:id="rId9119" ref="E2886"/>
    <hyperlink r:id="rId9120" ref="O2886"/>
    <hyperlink r:id="rId9121" ref="B2887"/>
    <hyperlink r:id="rId9122" ref="E2887"/>
    <hyperlink r:id="rId9123" ref="O2887"/>
    <hyperlink r:id="rId9124" ref="B2888"/>
    <hyperlink r:id="rId9125" ref="E2888"/>
    <hyperlink r:id="rId9126" ref="O2888"/>
    <hyperlink r:id="rId9127" ref="B2889"/>
    <hyperlink r:id="rId9128" ref="E2889"/>
    <hyperlink r:id="rId9129" ref="O2889"/>
    <hyperlink r:id="rId9130" ref="B2890"/>
    <hyperlink r:id="rId9131" ref="E2890"/>
    <hyperlink r:id="rId9132" ref="O2890"/>
    <hyperlink r:id="rId9133" ref="B2891"/>
    <hyperlink r:id="rId9134" ref="E2891"/>
    <hyperlink r:id="rId9135" ref="O2891"/>
    <hyperlink r:id="rId9136" ref="B2892"/>
    <hyperlink r:id="rId9137" ref="E2892"/>
    <hyperlink r:id="rId9138" ref="O2892"/>
    <hyperlink r:id="rId9139" ref="B2893"/>
    <hyperlink r:id="rId9140" ref="C2893"/>
    <hyperlink r:id="rId9141" ref="E2893"/>
    <hyperlink r:id="rId9142" ref="O2893"/>
    <hyperlink r:id="rId9143" ref="B2894"/>
    <hyperlink r:id="rId9144" ref="E2894"/>
    <hyperlink r:id="rId9145" ref="O2894"/>
    <hyperlink r:id="rId9146" ref="B2895"/>
    <hyperlink r:id="rId9147" ref="E2895"/>
    <hyperlink r:id="rId9148" ref="O2895"/>
    <hyperlink r:id="rId9149" ref="B2896"/>
    <hyperlink r:id="rId9150" ref="E2896"/>
    <hyperlink r:id="rId9151" ref="O2896"/>
    <hyperlink r:id="rId9152" ref="B2897"/>
    <hyperlink r:id="rId9153" ref="E2897"/>
    <hyperlink r:id="rId9154" ref="F2897"/>
    <hyperlink r:id="rId9155" ref="O2897"/>
    <hyperlink r:id="rId9156" ref="B2898"/>
    <hyperlink r:id="rId9157" ref="E2898"/>
    <hyperlink r:id="rId9158" ref="F2898"/>
    <hyperlink r:id="rId9159" ref="O2898"/>
    <hyperlink r:id="rId9160" ref="B2899"/>
    <hyperlink r:id="rId9161" ref="E2899"/>
    <hyperlink r:id="rId9162" ref="O2899"/>
    <hyperlink r:id="rId9163" ref="B2900"/>
    <hyperlink r:id="rId9164" ref="E2900"/>
    <hyperlink r:id="rId9165" ref="O2900"/>
    <hyperlink r:id="rId9166" ref="B2901"/>
    <hyperlink r:id="rId9167" ref="E2901"/>
    <hyperlink r:id="rId9168" ref="O2901"/>
    <hyperlink r:id="rId9169" ref="B2902"/>
    <hyperlink r:id="rId9170" ref="E2902"/>
    <hyperlink r:id="rId9171" ref="O2902"/>
    <hyperlink r:id="rId9172" ref="B2903"/>
    <hyperlink r:id="rId9173" ref="E2903"/>
    <hyperlink r:id="rId9174" ref="O2903"/>
    <hyperlink r:id="rId9175" ref="B2904"/>
    <hyperlink r:id="rId9176" ref="E2904"/>
    <hyperlink r:id="rId9177" ref="O2904"/>
    <hyperlink r:id="rId9178" ref="B2905"/>
    <hyperlink r:id="rId9179" ref="E2905"/>
    <hyperlink r:id="rId9180" ref="O2905"/>
    <hyperlink r:id="rId9181" ref="B2906"/>
    <hyperlink r:id="rId9182" ref="E2906"/>
    <hyperlink r:id="rId9183" ref="O2906"/>
    <hyperlink r:id="rId9184" ref="B2907"/>
    <hyperlink r:id="rId9185" ref="E2907"/>
    <hyperlink r:id="rId9186" ref="O2907"/>
    <hyperlink r:id="rId9187" ref="B2908"/>
    <hyperlink r:id="rId9188" ref="E2908"/>
    <hyperlink r:id="rId9189" ref="O2908"/>
    <hyperlink r:id="rId9190" ref="B2909"/>
    <hyperlink r:id="rId9191" ref="E2909"/>
    <hyperlink r:id="rId9192" ref="O2909"/>
    <hyperlink r:id="rId9193" ref="B2910"/>
    <hyperlink r:id="rId9194" ref="E2910"/>
    <hyperlink r:id="rId9195" ref="O2910"/>
    <hyperlink r:id="rId9196" ref="B2911"/>
    <hyperlink r:id="rId9197" ref="E2911"/>
    <hyperlink r:id="rId9198" ref="O2911"/>
    <hyperlink r:id="rId9199" ref="B2912"/>
    <hyperlink r:id="rId9200" ref="E2912"/>
    <hyperlink r:id="rId9201" ref="O2912"/>
    <hyperlink r:id="rId9202" ref="B2913"/>
    <hyperlink r:id="rId9203" ref="E2913"/>
    <hyperlink r:id="rId9204" ref="O2913"/>
    <hyperlink r:id="rId9205" ref="B2914"/>
    <hyperlink r:id="rId9206" ref="E2914"/>
    <hyperlink r:id="rId9207" ref="O2914"/>
    <hyperlink r:id="rId9208" ref="B2915"/>
    <hyperlink r:id="rId9209" ref="E2915"/>
    <hyperlink r:id="rId9210" ref="O2915"/>
    <hyperlink r:id="rId9211" ref="B2916"/>
    <hyperlink r:id="rId9212" ref="E2916"/>
    <hyperlink r:id="rId9213" ref="O2916"/>
    <hyperlink r:id="rId9214" ref="B2917"/>
    <hyperlink r:id="rId9215" ref="E2917"/>
    <hyperlink r:id="rId9216" ref="O2917"/>
    <hyperlink r:id="rId9217" ref="B2918"/>
    <hyperlink r:id="rId9218" ref="E2918"/>
    <hyperlink r:id="rId9219" ref="O2918"/>
    <hyperlink r:id="rId9220" ref="B2919"/>
    <hyperlink r:id="rId9221" ref="E2919"/>
    <hyperlink r:id="rId9222" ref="O2919"/>
    <hyperlink r:id="rId9223" ref="B2920"/>
    <hyperlink r:id="rId9224" ref="E2920"/>
    <hyperlink r:id="rId9225" ref="O2920"/>
    <hyperlink r:id="rId9226" ref="B2921"/>
    <hyperlink r:id="rId9227" ref="E2921"/>
    <hyperlink r:id="rId9228" ref="O2921"/>
    <hyperlink r:id="rId9229" ref="B2922"/>
    <hyperlink r:id="rId9230" ref="E2922"/>
    <hyperlink r:id="rId9231" ref="O2922"/>
    <hyperlink r:id="rId9232" ref="B2923"/>
    <hyperlink r:id="rId9233" ref="E2923"/>
    <hyperlink r:id="rId9234" ref="O2923"/>
    <hyperlink r:id="rId9235" ref="B2924"/>
    <hyperlink r:id="rId9236" ref="E2924"/>
    <hyperlink r:id="rId9237" ref="O2924"/>
    <hyperlink r:id="rId9238" ref="B2925"/>
    <hyperlink r:id="rId9239" ref="E2925"/>
    <hyperlink r:id="rId9240" ref="O2925"/>
    <hyperlink r:id="rId9241" ref="B2926"/>
    <hyperlink r:id="rId9242" ref="E2926"/>
    <hyperlink r:id="rId9243" ref="O2926"/>
    <hyperlink r:id="rId9244" ref="B2927"/>
    <hyperlink r:id="rId9245" ref="E2927"/>
    <hyperlink r:id="rId9246" ref="O2927"/>
    <hyperlink r:id="rId9247" ref="B2928"/>
    <hyperlink r:id="rId9248" ref="E2928"/>
    <hyperlink r:id="rId9249" ref="F2928"/>
    <hyperlink r:id="rId9250" ref="O2928"/>
    <hyperlink r:id="rId9251" ref="B2929"/>
    <hyperlink r:id="rId9252" ref="E2929"/>
    <hyperlink r:id="rId9253" ref="F2929"/>
    <hyperlink r:id="rId9254" ref="O2929"/>
    <hyperlink r:id="rId9255" ref="B2930"/>
    <hyperlink r:id="rId9256" ref="E2930"/>
    <hyperlink r:id="rId9257" ref="F2930"/>
    <hyperlink r:id="rId9258" ref="O2930"/>
    <hyperlink r:id="rId9259" ref="B2931"/>
    <hyperlink r:id="rId9260" ref="E2931"/>
    <hyperlink r:id="rId9261" ref="F2931"/>
    <hyperlink r:id="rId9262" ref="O2931"/>
    <hyperlink r:id="rId9263" ref="B2932"/>
    <hyperlink r:id="rId9264" ref="E2932"/>
    <hyperlink r:id="rId9265" ref="F2932"/>
    <hyperlink r:id="rId9266" ref="O2932"/>
    <hyperlink r:id="rId9267" ref="B2933"/>
    <hyperlink r:id="rId9268" ref="E2933"/>
    <hyperlink r:id="rId9269" ref="F2933"/>
    <hyperlink r:id="rId9270" ref="O2933"/>
    <hyperlink r:id="rId9271" ref="B2934"/>
    <hyperlink r:id="rId9272" ref="E2934"/>
    <hyperlink r:id="rId9273" ref="F2934"/>
    <hyperlink r:id="rId9274" ref="O2934"/>
    <hyperlink r:id="rId9275" ref="B2935"/>
    <hyperlink r:id="rId9276" ref="E2935"/>
    <hyperlink r:id="rId9277" ref="F2935"/>
    <hyperlink r:id="rId9278" ref="O2935"/>
    <hyperlink r:id="rId9279" ref="B2936"/>
    <hyperlink r:id="rId9280" ref="E2936"/>
    <hyperlink r:id="rId9281" ref="F2936"/>
    <hyperlink r:id="rId9282" ref="O2936"/>
    <hyperlink r:id="rId9283" ref="B2937"/>
    <hyperlink r:id="rId9284" ref="E2937"/>
    <hyperlink r:id="rId9285" ref="F2937"/>
    <hyperlink r:id="rId9286" ref="O2937"/>
    <hyperlink r:id="rId9287" ref="B2938"/>
    <hyperlink r:id="rId9288" ref="E2938"/>
    <hyperlink r:id="rId9289" ref="O2938"/>
    <hyperlink r:id="rId9290" ref="B2939"/>
    <hyperlink r:id="rId9291" ref="E2939"/>
    <hyperlink r:id="rId9292" ref="O2939"/>
    <hyperlink r:id="rId9293" ref="B2940"/>
    <hyperlink r:id="rId9294" ref="E2940"/>
    <hyperlink r:id="rId9295" ref="O2940"/>
    <hyperlink r:id="rId9296" ref="B2941"/>
    <hyperlink r:id="rId9297" ref="E2941"/>
    <hyperlink r:id="rId9298" ref="O2941"/>
    <hyperlink r:id="rId9299" ref="B2942"/>
    <hyperlink r:id="rId9300" ref="E2942"/>
    <hyperlink r:id="rId9301" ref="O2942"/>
    <hyperlink r:id="rId9302" ref="B2943"/>
    <hyperlink r:id="rId9303" ref="E2943"/>
    <hyperlink r:id="rId9304" ref="O2943"/>
    <hyperlink r:id="rId9305" ref="B2944"/>
    <hyperlink r:id="rId9306" ref="E2944"/>
    <hyperlink r:id="rId9307" ref="O2944"/>
    <hyperlink r:id="rId9308" ref="B2945"/>
    <hyperlink r:id="rId9309" ref="E2945"/>
    <hyperlink r:id="rId9310" ref="O2945"/>
    <hyperlink r:id="rId9311" ref="B2946"/>
    <hyperlink r:id="rId9312" ref="E2946"/>
    <hyperlink r:id="rId9313" ref="O2946"/>
    <hyperlink r:id="rId9314" ref="B2947"/>
    <hyperlink r:id="rId9315" ref="E2947"/>
    <hyperlink r:id="rId9316" ref="O2947"/>
    <hyperlink r:id="rId9317" ref="B2948"/>
    <hyperlink r:id="rId9318" ref="C2948"/>
    <hyperlink r:id="rId9319" ref="E2948"/>
    <hyperlink r:id="rId9320" ref="O2948"/>
    <hyperlink r:id="rId9321" ref="B2949"/>
    <hyperlink r:id="rId9322" ref="E2949"/>
    <hyperlink r:id="rId9323" ref="O2949"/>
    <hyperlink r:id="rId9324" ref="B2950"/>
    <hyperlink r:id="rId9325" ref="E2950"/>
    <hyperlink r:id="rId9326" ref="O2950"/>
    <hyperlink r:id="rId9327" ref="B2951"/>
    <hyperlink r:id="rId9328" ref="E2951"/>
    <hyperlink r:id="rId9329" ref="O2951"/>
    <hyperlink r:id="rId9330" ref="B2952"/>
    <hyperlink r:id="rId9331" ref="E2952"/>
    <hyperlink r:id="rId9332" ref="O2952"/>
    <hyperlink r:id="rId9333" ref="B2953"/>
    <hyperlink r:id="rId9334" ref="E2953"/>
    <hyperlink r:id="rId9335" ref="O2953"/>
    <hyperlink r:id="rId9336" ref="B2954"/>
    <hyperlink r:id="rId9337" ref="E2954"/>
    <hyperlink r:id="rId9338" ref="O2954"/>
    <hyperlink r:id="rId9339" ref="B2955"/>
    <hyperlink r:id="rId9340" ref="E2955"/>
    <hyperlink r:id="rId9341" ref="O2955"/>
    <hyperlink r:id="rId9342" ref="B2956"/>
    <hyperlink r:id="rId9343" ref="E2956"/>
    <hyperlink r:id="rId9344" ref="O2956"/>
    <hyperlink r:id="rId9345" ref="B2957"/>
    <hyperlink r:id="rId9346" ref="E2957"/>
    <hyperlink r:id="rId9347" ref="O2957"/>
    <hyperlink r:id="rId9348" ref="B2958"/>
    <hyperlink r:id="rId9349" ref="E2958"/>
    <hyperlink r:id="rId9350" ref="O2958"/>
    <hyperlink r:id="rId9351" ref="B2959"/>
    <hyperlink r:id="rId9352" ref="E2959"/>
    <hyperlink r:id="rId9353" ref="O2959"/>
    <hyperlink r:id="rId9354" ref="B2960"/>
    <hyperlink r:id="rId9355" ref="E2960"/>
    <hyperlink r:id="rId9356" ref="O2960"/>
    <hyperlink r:id="rId9357" ref="B2961"/>
    <hyperlink r:id="rId9358" ref="E2961"/>
    <hyperlink r:id="rId9359" ref="O2961"/>
    <hyperlink r:id="rId9360" ref="B2962"/>
    <hyperlink r:id="rId9361" ref="E2962"/>
    <hyperlink r:id="rId9362" ref="O2962"/>
    <hyperlink r:id="rId9363" ref="B2963"/>
    <hyperlink r:id="rId9364" ref="E2963"/>
    <hyperlink r:id="rId9365" ref="O2963"/>
    <hyperlink r:id="rId9366" ref="B2964"/>
    <hyperlink r:id="rId9367" ref="E2964"/>
    <hyperlink r:id="rId9368" ref="O2964"/>
    <hyperlink r:id="rId9369" ref="B2965"/>
    <hyperlink r:id="rId9370" ref="E2965"/>
    <hyperlink r:id="rId9371" ref="O2965"/>
    <hyperlink r:id="rId9372" ref="B2966"/>
    <hyperlink r:id="rId9373" ref="E2966"/>
    <hyperlink r:id="rId9374" ref="O2966"/>
    <hyperlink r:id="rId9375" ref="B2967"/>
    <hyperlink r:id="rId9376" ref="E2967"/>
    <hyperlink r:id="rId9377" ref="O2967"/>
    <hyperlink r:id="rId9378" ref="B2968"/>
    <hyperlink r:id="rId9379" ref="E2968"/>
    <hyperlink r:id="rId9380" ref="O2968"/>
    <hyperlink r:id="rId9381" ref="B2969"/>
    <hyperlink r:id="rId9382" ref="E2969"/>
    <hyperlink r:id="rId9383" ref="O2969"/>
    <hyperlink r:id="rId9384" ref="B2970"/>
    <hyperlink r:id="rId9385" ref="E2970"/>
    <hyperlink r:id="rId9386" ref="O2970"/>
    <hyperlink r:id="rId9387" ref="B2971"/>
    <hyperlink r:id="rId9388" ref="E2971"/>
    <hyperlink r:id="rId9389" ref="O2971"/>
    <hyperlink r:id="rId9390" ref="B2972"/>
    <hyperlink r:id="rId9391" ref="E2972"/>
    <hyperlink r:id="rId9392" ref="O2972"/>
    <hyperlink r:id="rId9393" ref="B2973"/>
    <hyperlink r:id="rId9394" ref="E2973"/>
    <hyperlink r:id="rId9395" ref="O2973"/>
    <hyperlink r:id="rId9396" ref="B2974"/>
    <hyperlink r:id="rId9397" ref="E2974"/>
    <hyperlink r:id="rId9398" ref="O2974"/>
    <hyperlink r:id="rId9399" ref="B2975"/>
    <hyperlink r:id="rId9400" ref="E2975"/>
    <hyperlink r:id="rId9401" ref="O2975"/>
    <hyperlink r:id="rId9402" ref="B2976"/>
    <hyperlink r:id="rId9403" ref="E2976"/>
    <hyperlink r:id="rId9404" ref="O2976"/>
    <hyperlink r:id="rId9405" ref="B2977"/>
    <hyperlink r:id="rId9406" ref="E2977"/>
    <hyperlink r:id="rId9407" ref="O2977"/>
    <hyperlink r:id="rId9408" ref="B2978"/>
    <hyperlink r:id="rId9409" ref="E2978"/>
    <hyperlink r:id="rId9410" ref="O2978"/>
    <hyperlink r:id="rId9411" ref="B2979"/>
    <hyperlink r:id="rId9412" ref="E2979"/>
    <hyperlink r:id="rId9413" ref="O2979"/>
    <hyperlink r:id="rId9414" ref="B2980"/>
    <hyperlink r:id="rId9415" ref="E2980"/>
    <hyperlink r:id="rId9416" ref="O2980"/>
    <hyperlink r:id="rId9417" ref="B2981"/>
    <hyperlink r:id="rId9418" ref="E2981"/>
    <hyperlink r:id="rId9419" ref="O2981"/>
    <hyperlink r:id="rId9420" ref="B2982"/>
    <hyperlink r:id="rId9421" ref="E2982"/>
    <hyperlink r:id="rId9422" ref="O2982"/>
    <hyperlink r:id="rId9423" ref="B2983"/>
    <hyperlink r:id="rId9424" ref="E2983"/>
    <hyperlink r:id="rId9425" ref="O2983"/>
    <hyperlink r:id="rId9426" ref="B2984"/>
    <hyperlink r:id="rId9427" ref="E2984"/>
    <hyperlink r:id="rId9428" ref="O2984"/>
    <hyperlink r:id="rId9429" ref="B2985"/>
    <hyperlink r:id="rId9430" ref="E2985"/>
    <hyperlink r:id="rId9431" ref="O2985"/>
    <hyperlink r:id="rId9432" ref="B2986"/>
    <hyperlink r:id="rId9433" ref="E2986"/>
    <hyperlink r:id="rId9434" ref="O2986"/>
    <hyperlink r:id="rId9435" ref="B2987"/>
    <hyperlink r:id="rId9436" ref="E2987"/>
    <hyperlink r:id="rId9437" ref="O2987"/>
    <hyperlink r:id="rId9438" ref="B2988"/>
    <hyperlink r:id="rId9439" ref="E2988"/>
    <hyperlink r:id="rId9440" ref="O2988"/>
    <hyperlink r:id="rId9441" ref="B2989"/>
    <hyperlink r:id="rId9442" ref="E2989"/>
    <hyperlink r:id="rId9443" ref="O2989"/>
    <hyperlink r:id="rId9444" ref="B2990"/>
    <hyperlink r:id="rId9445" ref="E2990"/>
    <hyperlink r:id="rId9446" ref="F2990"/>
    <hyperlink r:id="rId9447" ref="O2990"/>
    <hyperlink r:id="rId9448" ref="B2991"/>
    <hyperlink r:id="rId9449" ref="E2991"/>
    <hyperlink r:id="rId9450" ref="O2991"/>
    <hyperlink r:id="rId9451" ref="B2992"/>
    <hyperlink r:id="rId9452" ref="E2992"/>
    <hyperlink r:id="rId9453" ref="O2992"/>
    <hyperlink r:id="rId9454" ref="B2993"/>
    <hyperlink r:id="rId9455" ref="E2993"/>
    <hyperlink r:id="rId9456" ref="O2993"/>
    <hyperlink r:id="rId9457" ref="B2994"/>
    <hyperlink r:id="rId9458" ref="E2994"/>
    <hyperlink r:id="rId9459" ref="O2994"/>
    <hyperlink r:id="rId9460" ref="B2995"/>
    <hyperlink r:id="rId9461" ref="E2995"/>
    <hyperlink r:id="rId9462" ref="O2995"/>
    <hyperlink r:id="rId9463" ref="B2996"/>
    <hyperlink r:id="rId9464" ref="E2996"/>
    <hyperlink r:id="rId9465" ref="O2996"/>
    <hyperlink r:id="rId9466" ref="B2997"/>
    <hyperlink r:id="rId9467" ref="E2997"/>
    <hyperlink r:id="rId9468" ref="O2997"/>
    <hyperlink r:id="rId9469" ref="B2998"/>
    <hyperlink r:id="rId9470" ref="E2998"/>
    <hyperlink r:id="rId9471" ref="O2998"/>
    <hyperlink r:id="rId9472" ref="B2999"/>
    <hyperlink r:id="rId9473" ref="E2999"/>
    <hyperlink r:id="rId9474" ref="O2999"/>
    <hyperlink r:id="rId9475" ref="B3000"/>
    <hyperlink r:id="rId9476" ref="E3000"/>
    <hyperlink r:id="rId9477" ref="O3000"/>
    <hyperlink r:id="rId9478" ref="B3001"/>
    <hyperlink r:id="rId9479" ref="E3001"/>
    <hyperlink r:id="rId9480" ref="O3001"/>
    <hyperlink r:id="rId9481" ref="B3002"/>
    <hyperlink r:id="rId9482" ref="E3002"/>
    <hyperlink r:id="rId9483" ref="O3002"/>
    <hyperlink r:id="rId9484" ref="B3003"/>
    <hyperlink r:id="rId9485" ref="E3003"/>
    <hyperlink r:id="rId9486" ref="O3003"/>
    <hyperlink r:id="rId9487" ref="B3004"/>
    <hyperlink r:id="rId9488" ref="E3004"/>
    <hyperlink r:id="rId9489" ref="O3004"/>
    <hyperlink r:id="rId9490" ref="B3005"/>
    <hyperlink r:id="rId9491" ref="E3005"/>
    <hyperlink r:id="rId9492" ref="O3005"/>
    <hyperlink r:id="rId9493" ref="B3006"/>
    <hyperlink r:id="rId9494" ref="E3006"/>
    <hyperlink r:id="rId9495" ref="O3006"/>
    <hyperlink r:id="rId9496" ref="B3007"/>
    <hyperlink r:id="rId9497" ref="E3007"/>
    <hyperlink r:id="rId9498" ref="O3007"/>
    <hyperlink r:id="rId9499" ref="B3008"/>
    <hyperlink r:id="rId9500" ref="E3008"/>
    <hyperlink r:id="rId9501" ref="O3008"/>
    <hyperlink r:id="rId9502" ref="B3009"/>
    <hyperlink r:id="rId9503" ref="E3009"/>
    <hyperlink r:id="rId9504" ref="O3009"/>
    <hyperlink r:id="rId9505" ref="B3010"/>
    <hyperlink r:id="rId9506" ref="E3010"/>
    <hyperlink r:id="rId9507" ref="O3010"/>
    <hyperlink r:id="rId9508" ref="B3011"/>
    <hyperlink r:id="rId9509" ref="E3011"/>
    <hyperlink r:id="rId9510" ref="O3011"/>
    <hyperlink r:id="rId9511" ref="B3012"/>
    <hyperlink r:id="rId9512" ref="E3012"/>
    <hyperlink r:id="rId9513" ref="O3012"/>
    <hyperlink r:id="rId9514" ref="B3013"/>
    <hyperlink r:id="rId9515" ref="E3013"/>
    <hyperlink r:id="rId9516" ref="O3013"/>
    <hyperlink r:id="rId9517" ref="B3014"/>
    <hyperlink r:id="rId9518" ref="E3014"/>
    <hyperlink r:id="rId9519" ref="O3014"/>
    <hyperlink r:id="rId9520" ref="B3015"/>
    <hyperlink r:id="rId9521" ref="E3015"/>
    <hyperlink r:id="rId9522" ref="O3015"/>
    <hyperlink r:id="rId9523" ref="B3016"/>
    <hyperlink r:id="rId9524" ref="E3016"/>
    <hyperlink r:id="rId9525" ref="O3016"/>
    <hyperlink r:id="rId9526" ref="B3017"/>
    <hyperlink r:id="rId9527" ref="E3017"/>
    <hyperlink r:id="rId9528" ref="O3017"/>
    <hyperlink r:id="rId9529" ref="B3018"/>
    <hyperlink r:id="rId9530" ref="E3018"/>
    <hyperlink r:id="rId9531" ref="O3018"/>
    <hyperlink r:id="rId9532" ref="B3019"/>
    <hyperlink r:id="rId9533" ref="E3019"/>
    <hyperlink r:id="rId9534" ref="O3019"/>
    <hyperlink r:id="rId9535" ref="B3020"/>
    <hyperlink r:id="rId9536" ref="E3020"/>
    <hyperlink r:id="rId9537" ref="O3020"/>
    <hyperlink r:id="rId9538" ref="B3021"/>
    <hyperlink r:id="rId9539" ref="E3021"/>
    <hyperlink r:id="rId9540" ref="O3021"/>
    <hyperlink r:id="rId9541" ref="B3022"/>
    <hyperlink r:id="rId9542" ref="E3022"/>
    <hyperlink r:id="rId9543" ref="O3022"/>
    <hyperlink r:id="rId9544" ref="B3023"/>
    <hyperlink r:id="rId9545" ref="E3023"/>
    <hyperlink r:id="rId9546" ref="O3023"/>
    <hyperlink r:id="rId9547" ref="B3024"/>
    <hyperlink r:id="rId9548" ref="E3024"/>
    <hyperlink r:id="rId9549" ref="O3024"/>
    <hyperlink r:id="rId9550" ref="B3025"/>
    <hyperlink r:id="rId9551" ref="E3025"/>
    <hyperlink r:id="rId9552" ref="O3025"/>
    <hyperlink r:id="rId9553" ref="B3026"/>
    <hyperlink r:id="rId9554" ref="E3026"/>
    <hyperlink r:id="rId9555" ref="O3026"/>
    <hyperlink r:id="rId9556" ref="B3027"/>
    <hyperlink r:id="rId9557" ref="E3027"/>
    <hyperlink r:id="rId9558" ref="O3027"/>
    <hyperlink r:id="rId9559" ref="B3028"/>
    <hyperlink r:id="rId9560" ref="E3028"/>
    <hyperlink r:id="rId9561" ref="O3028"/>
    <hyperlink r:id="rId9562" ref="B3029"/>
    <hyperlink r:id="rId9563" ref="E3029"/>
    <hyperlink r:id="rId9564" ref="O3029"/>
    <hyperlink r:id="rId9565" ref="B3030"/>
    <hyperlink r:id="rId9566" ref="E3030"/>
    <hyperlink r:id="rId9567" ref="O3030"/>
    <hyperlink r:id="rId9568" ref="B3031"/>
    <hyperlink r:id="rId9569" ref="E3031"/>
    <hyperlink r:id="rId9570" ref="O3031"/>
    <hyperlink r:id="rId9571" ref="B3032"/>
    <hyperlink r:id="rId9572" ref="E3032"/>
    <hyperlink r:id="rId9573" ref="O3032"/>
    <hyperlink r:id="rId9574" ref="B3033"/>
    <hyperlink r:id="rId9575" ref="E3033"/>
    <hyperlink r:id="rId9576" ref="O3033"/>
    <hyperlink r:id="rId9577" ref="B3034"/>
    <hyperlink r:id="rId9578" ref="E3034"/>
    <hyperlink r:id="rId9579" ref="O3034"/>
    <hyperlink r:id="rId9580" ref="B3035"/>
    <hyperlink r:id="rId9581" ref="E3035"/>
    <hyperlink r:id="rId9582" ref="O3035"/>
    <hyperlink r:id="rId9583" ref="B3036"/>
    <hyperlink r:id="rId9584" ref="E3036"/>
    <hyperlink r:id="rId9585" ref="O3036"/>
    <hyperlink r:id="rId9586" ref="B3037"/>
    <hyperlink r:id="rId9587" ref="E3037"/>
    <hyperlink r:id="rId9588" ref="O3037"/>
    <hyperlink r:id="rId9589" ref="B3038"/>
    <hyperlink r:id="rId9590" ref="E3038"/>
    <hyperlink r:id="rId9591" ref="O3038"/>
    <hyperlink r:id="rId9592" ref="B3039"/>
    <hyperlink r:id="rId9593" ref="E3039"/>
    <hyperlink r:id="rId9594" ref="O3039"/>
    <hyperlink r:id="rId9595" ref="B3040"/>
    <hyperlink r:id="rId9596" ref="E3040"/>
    <hyperlink r:id="rId9597" ref="O3040"/>
    <hyperlink r:id="rId9598" ref="B3041"/>
    <hyperlink r:id="rId9599" ref="E3041"/>
    <hyperlink r:id="rId9600" ref="O3041"/>
    <hyperlink r:id="rId9601" ref="B3042"/>
    <hyperlink r:id="rId9602" ref="E3042"/>
    <hyperlink r:id="rId9603" ref="O3042"/>
    <hyperlink r:id="rId9604" ref="B3043"/>
    <hyperlink r:id="rId9605" ref="E3043"/>
    <hyperlink r:id="rId9606" ref="O3043"/>
    <hyperlink r:id="rId9607" ref="B3044"/>
    <hyperlink r:id="rId9608" ref="E3044"/>
    <hyperlink r:id="rId9609" ref="O3044"/>
    <hyperlink r:id="rId9610" ref="B3045"/>
    <hyperlink r:id="rId9611" ref="E3045"/>
    <hyperlink r:id="rId9612" ref="O3045"/>
    <hyperlink r:id="rId9613" ref="B3046"/>
    <hyperlink r:id="rId9614" ref="E3046"/>
    <hyperlink r:id="rId9615" ref="O3046"/>
    <hyperlink r:id="rId9616" ref="B3047"/>
    <hyperlink r:id="rId9617" ref="E3047"/>
    <hyperlink r:id="rId9618" ref="O3047"/>
    <hyperlink r:id="rId9619" ref="B3048"/>
    <hyperlink r:id="rId9620" ref="E3048"/>
    <hyperlink r:id="rId9621" ref="O3048"/>
    <hyperlink r:id="rId9622" ref="B3049"/>
    <hyperlink r:id="rId9623" ref="E3049"/>
    <hyperlink r:id="rId9624" ref="O3049"/>
    <hyperlink r:id="rId9625" ref="B3050"/>
    <hyperlink r:id="rId9626" ref="E3050"/>
    <hyperlink r:id="rId9627" ref="O3050"/>
    <hyperlink r:id="rId9628" ref="B3051"/>
    <hyperlink r:id="rId9629" ref="E3051"/>
    <hyperlink r:id="rId9630" ref="O3051"/>
    <hyperlink r:id="rId9631" ref="B3052"/>
    <hyperlink r:id="rId9632" ref="E3052"/>
    <hyperlink r:id="rId9633" ref="O3052"/>
    <hyperlink r:id="rId9634" ref="B3053"/>
    <hyperlink r:id="rId9635" ref="E3053"/>
    <hyperlink r:id="rId9636" ref="O3053"/>
    <hyperlink r:id="rId9637" ref="B3054"/>
    <hyperlink r:id="rId9638" ref="E3054"/>
    <hyperlink r:id="rId9639" ref="O3054"/>
    <hyperlink r:id="rId9640" ref="B3055"/>
    <hyperlink r:id="rId9641" ref="C3055"/>
    <hyperlink r:id="rId9642" ref="E3055"/>
    <hyperlink r:id="rId9643" ref="O3055"/>
    <hyperlink r:id="rId9644" ref="B3056"/>
    <hyperlink r:id="rId9645" ref="E3056"/>
    <hyperlink r:id="rId9646" ref="O3056"/>
    <hyperlink r:id="rId9647" ref="B3057"/>
    <hyperlink r:id="rId9648" ref="E3057"/>
    <hyperlink r:id="rId9649" ref="O3057"/>
    <hyperlink r:id="rId9650" ref="B3058"/>
    <hyperlink r:id="rId9651" ref="E3058"/>
    <hyperlink r:id="rId9652" ref="O3058"/>
    <hyperlink r:id="rId9653" ref="B3059"/>
    <hyperlink r:id="rId9654" ref="E3059"/>
    <hyperlink r:id="rId9655" ref="O3059"/>
    <hyperlink r:id="rId9656" ref="B3060"/>
    <hyperlink r:id="rId9657" ref="E3060"/>
    <hyperlink r:id="rId9658" ref="O3060"/>
    <hyperlink r:id="rId9659" ref="B3061"/>
    <hyperlink r:id="rId9660" ref="E3061"/>
    <hyperlink r:id="rId9661" ref="O3061"/>
  </hyperlinks>
  <drawing r:id="rId966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4.43" defaultRowHeight="15.75"/>
  <cols>
    <col customWidth="1" min="1" max="1" width="15.29"/>
    <col customWidth="1" min="3" max="3" width="16.29"/>
    <col customWidth="1" min="4" max="4" width="38.43"/>
    <col customWidth="1" min="5" max="5" width="17.71"/>
    <col customWidth="1" min="6" max="6" width="16.14"/>
    <col customWidth="1" min="7" max="12" width="11.14"/>
    <col customWidth="1" min="14" max="14" width="18.86"/>
    <col customWidth="1" min="15" max="16" width="12.0"/>
  </cols>
  <sheetData>
    <row r="1" ht="25.5" customHeight="1">
      <c r="A1" s="1" t="s">
        <v>6220</v>
      </c>
      <c r="G1" s="2" t="s">
        <v>1</v>
      </c>
      <c r="P1" s="3"/>
    </row>
    <row r="2" ht="29.25" customHeight="1">
      <c r="A2" s="4" t="s">
        <v>2</v>
      </c>
      <c r="B2" s="5" t="s">
        <v>3</v>
      </c>
      <c r="C2" s="5" t="s">
        <v>4</v>
      </c>
      <c r="D2" s="5" t="s">
        <v>5</v>
      </c>
      <c r="E2" s="6" t="s">
        <v>6</v>
      </c>
      <c r="F2" s="6" t="s">
        <v>7</v>
      </c>
      <c r="G2" s="5" t="s">
        <v>8</v>
      </c>
      <c r="H2" s="5" t="s">
        <v>9</v>
      </c>
      <c r="I2" s="5" t="s">
        <v>10</v>
      </c>
      <c r="J2" s="5" t="s">
        <v>11</v>
      </c>
      <c r="K2" s="6" t="s">
        <v>12</v>
      </c>
      <c r="L2" s="6" t="s">
        <v>13</v>
      </c>
      <c r="M2" s="6" t="s">
        <v>14</v>
      </c>
      <c r="N2" s="6" t="s">
        <v>15</v>
      </c>
      <c r="O2" s="6" t="s">
        <v>16</v>
      </c>
      <c r="P2" s="6" t="s">
        <v>17</v>
      </c>
    </row>
    <row r="3">
      <c r="A3" s="7">
        <v>42420.91674768519</v>
      </c>
      <c r="B3" s="8" t="str">
        <f>HYPERLINK("https://twitter.com/Rbloggers","@Rbloggers")</f>
        <v>@Rbloggers</v>
      </c>
      <c r="C3" s="10" t="s">
        <v>6221</v>
      </c>
      <c r="D3" s="10" t="s">
        <v>6222</v>
      </c>
      <c r="E3" s="11" t="str">
        <f>HYPERLINK("https://twitter.com/Rbloggers/status/701285251188785154","701285251188785154")</f>
        <v>701285251188785154</v>
      </c>
      <c r="F3" s="17" t="s">
        <v>6223</v>
      </c>
      <c r="G3" s="13">
        <v>28572.0</v>
      </c>
      <c r="H3" s="13">
        <v>36.0</v>
      </c>
      <c r="I3" s="13">
        <v>9.0</v>
      </c>
      <c r="J3" s="13">
        <v>11.0</v>
      </c>
      <c r="K3" s="12" t="s">
        <v>21</v>
      </c>
      <c r="L3" s="7">
        <v>40314.510601851856</v>
      </c>
      <c r="M3" s="16"/>
      <c r="N3" s="14" t="s">
        <v>6224</v>
      </c>
      <c r="O3" s="11" t="str">
        <f>HYPERLINK("https://pbs.twimg.com/profile_images/502185985786916864/gkdFh-q7_normal.png","View")</f>
        <v>View</v>
      </c>
      <c r="P3" s="15"/>
    </row>
    <row r="4">
      <c r="A4" s="7">
        <v>42420.916979166665</v>
      </c>
      <c r="B4" s="8" t="str">
        <f>HYPERLINK("https://twitter.com/RProgramming","@RProgramming")</f>
        <v>@RProgramming</v>
      </c>
      <c r="C4" s="9" t="s">
        <v>6225</v>
      </c>
      <c r="D4" s="10" t="s">
        <v>6226</v>
      </c>
      <c r="E4" s="11" t="str">
        <f>HYPERLINK("https://twitter.com/RProgramming/status/701285335037136896","701285335037136896")</f>
        <v>701285335037136896</v>
      </c>
      <c r="F4" s="12" t="s">
        <v>1961</v>
      </c>
      <c r="G4" s="13">
        <v>227.0</v>
      </c>
      <c r="H4" s="13">
        <v>15.0</v>
      </c>
      <c r="I4" s="13">
        <v>0.0</v>
      </c>
      <c r="J4" s="13">
        <v>0.0</v>
      </c>
      <c r="K4" s="12" t="s">
        <v>21</v>
      </c>
      <c r="L4" s="7">
        <v>41350.72472222222</v>
      </c>
      <c r="M4" s="16"/>
      <c r="N4" s="14" t="s">
        <v>6227</v>
      </c>
      <c r="O4" s="11" t="str">
        <f>HYPERLINK("https://pbs.twimg.com/profile_images/696056897560915969/XpPGOuAf_normal.png","View")</f>
        <v>View</v>
      </c>
      <c r="P4" s="15"/>
    </row>
    <row r="5">
      <c r="A5" s="7">
        <v>42420.917395833334</v>
      </c>
      <c r="B5" s="8" t="str">
        <f>HYPERLINK("https://twitter.com/matthewgiglia","@matthewgiglia")</f>
        <v>@matthewgiglia</v>
      </c>
      <c r="C5" s="10" t="s">
        <v>6228</v>
      </c>
      <c r="D5" s="10" t="s">
        <v>6229</v>
      </c>
      <c r="E5" s="11" t="str">
        <f>HYPERLINK("https://twitter.com/matthewgiglia/status/701285484396326913","701285484396326913")</f>
        <v>701285484396326913</v>
      </c>
      <c r="F5" s="12" t="s">
        <v>52</v>
      </c>
      <c r="G5" s="13">
        <v>32.0</v>
      </c>
      <c r="H5" s="13">
        <v>102.0</v>
      </c>
      <c r="I5" s="13">
        <v>0.0</v>
      </c>
      <c r="J5" s="13">
        <v>0.0</v>
      </c>
      <c r="K5" s="12" t="s">
        <v>21</v>
      </c>
      <c r="L5" s="7">
        <v>40825.44950231482</v>
      </c>
      <c r="M5" s="14" t="s">
        <v>6230</v>
      </c>
      <c r="N5" s="16"/>
      <c r="O5" s="11" t="str">
        <f>HYPERLINK("https://pbs.twimg.com/profile_images/2276033343/image_normal.jpg","View")</f>
        <v>View</v>
      </c>
      <c r="P5" s="15"/>
    </row>
    <row r="6">
      <c r="A6" s="7">
        <v>42420.923425925925</v>
      </c>
      <c r="B6" s="8" t="str">
        <f>HYPERLINK("https://twitter.com/DataWookie","@DataWookie")</f>
        <v>@DataWookie</v>
      </c>
      <c r="C6" s="10" t="s">
        <v>6231</v>
      </c>
      <c r="D6" s="10" t="s">
        <v>6232</v>
      </c>
      <c r="E6" s="11" t="str">
        <f>HYPERLINK("https://twitter.com/DataWookie/status/701287669519642624","701287669519642624")</f>
        <v>701287669519642624</v>
      </c>
      <c r="F6" s="12" t="s">
        <v>6233</v>
      </c>
      <c r="G6" s="13">
        <v>426.0</v>
      </c>
      <c r="H6" s="13">
        <v>296.0</v>
      </c>
      <c r="I6" s="13">
        <v>0.0</v>
      </c>
      <c r="J6" s="13">
        <v>0.0</v>
      </c>
      <c r="K6" s="12" t="s">
        <v>21</v>
      </c>
      <c r="L6" s="7">
        <v>42166.966678240744</v>
      </c>
      <c r="M6" s="14" t="s">
        <v>6234</v>
      </c>
      <c r="N6" s="14" t="s">
        <v>6235</v>
      </c>
      <c r="O6" s="11" t="str">
        <f>HYPERLINK("https://pbs.twimg.com/profile_images/612471608725213184/eXKo2Kmo_normal.jpg","View")</f>
        <v>View</v>
      </c>
      <c r="P6" s="15"/>
    </row>
    <row r="7">
      <c r="A7" s="7">
        <v>42420.92501157407</v>
      </c>
      <c r="B7" s="8" t="str">
        <f>HYPERLINK("https://twitter.com/pa_marais","@pa_marais")</f>
        <v>@pa_marais</v>
      </c>
      <c r="C7" s="10" t="s">
        <v>6236</v>
      </c>
      <c r="D7" s="10" t="s">
        <v>6237</v>
      </c>
      <c r="E7" s="11" t="str">
        <f>HYPERLINK("https://twitter.com/pa_marais/status/701288246207188992","701288246207188992")</f>
        <v>701288246207188992</v>
      </c>
      <c r="F7" s="12" t="s">
        <v>152</v>
      </c>
      <c r="G7" s="13">
        <v>80.0</v>
      </c>
      <c r="H7" s="13">
        <v>200.0</v>
      </c>
      <c r="I7" s="13">
        <v>5.0</v>
      </c>
      <c r="J7" s="13">
        <v>0.0</v>
      </c>
      <c r="K7" s="12" t="s">
        <v>21</v>
      </c>
      <c r="L7" s="7">
        <v>42053.30278935185</v>
      </c>
      <c r="M7" s="16"/>
      <c r="N7" s="14" t="s">
        <v>6238</v>
      </c>
      <c r="O7" s="11" t="str">
        <f>HYPERLINK("https://pbs.twimg.com/profile_images/568067400809984000/MXrq4e8A_normal.jpeg","View")</f>
        <v>View</v>
      </c>
      <c r="P7" s="15"/>
    </row>
    <row r="8">
      <c r="A8" s="7">
        <v>42420.928402777776</v>
      </c>
      <c r="B8" s="8" t="str">
        <f>HYPERLINK("https://twitter.com/mariuscotor","@mariuscotor")</f>
        <v>@mariuscotor</v>
      </c>
      <c r="C8" s="10" t="s">
        <v>625</v>
      </c>
      <c r="D8" s="10" t="s">
        <v>6239</v>
      </c>
      <c r="E8" s="11" t="str">
        <f>HYPERLINK("https://twitter.com/mariuscotor/status/701289472059699200","701289472059699200")</f>
        <v>701289472059699200</v>
      </c>
      <c r="F8" s="12" t="s">
        <v>52</v>
      </c>
      <c r="G8" s="13">
        <v>39.0</v>
      </c>
      <c r="H8" s="13">
        <v>77.0</v>
      </c>
      <c r="I8" s="13">
        <v>1.0</v>
      </c>
      <c r="J8" s="13">
        <v>0.0</v>
      </c>
      <c r="K8" s="12" t="s">
        <v>21</v>
      </c>
      <c r="L8" s="7">
        <v>39904.04008101852</v>
      </c>
      <c r="M8" s="16"/>
      <c r="N8" s="16"/>
      <c r="O8" s="11" t="str">
        <f>HYPERLINK("https://pbs.twimg.com/profile_images/552483320349462528/uBfJLmYP_normal.png","View")</f>
        <v>View</v>
      </c>
      <c r="P8" s="15"/>
    </row>
    <row r="9">
      <c r="A9" s="7">
        <v>42420.93751157407</v>
      </c>
      <c r="B9" s="8" t="str">
        <f>HYPERLINK("https://twitter.com/DailyRpackage","@DailyRpackage")</f>
        <v>@DailyRpackage</v>
      </c>
      <c r="C9" s="10" t="s">
        <v>6240</v>
      </c>
      <c r="D9" s="10" t="s">
        <v>6241</v>
      </c>
      <c r="E9" s="11" t="str">
        <f>HYPERLINK("https://twitter.com/DailyRpackage/status/701292776005234688","701292776005234688")</f>
        <v>701292776005234688</v>
      </c>
      <c r="F9" s="12" t="s">
        <v>6240</v>
      </c>
      <c r="G9" s="13">
        <v>495.0</v>
      </c>
      <c r="H9" s="13">
        <v>3.0</v>
      </c>
      <c r="I9" s="13">
        <v>1.0</v>
      </c>
      <c r="J9" s="13">
        <v>2.0</v>
      </c>
      <c r="K9" s="12" t="s">
        <v>21</v>
      </c>
      <c r="L9" s="7">
        <v>41360.287141203706</v>
      </c>
      <c r="M9" s="16"/>
      <c r="N9" s="14" t="s">
        <v>6242</v>
      </c>
      <c r="O9" s="11" t="str">
        <f>HYPERLINK("https://pbs.twimg.com/profile_images/3438004205/66da7270714af4309d185b958c4bb8be_normal.jpeg","View")</f>
        <v>View</v>
      </c>
      <c r="P9" s="15"/>
    </row>
    <row r="10">
      <c r="A10" s="7">
        <v>42420.93796296296</v>
      </c>
      <c r="B10" s="8" t="str">
        <f>HYPERLINK("https://twitter.com/pa_marais","@pa_marais")</f>
        <v>@pa_marais</v>
      </c>
      <c r="C10" s="10" t="s">
        <v>6236</v>
      </c>
      <c r="D10" s="10" t="s">
        <v>6243</v>
      </c>
      <c r="E10" s="11" t="str">
        <f>HYPERLINK("https://twitter.com/pa_marais/status/701292938366681089","701292938366681089")</f>
        <v>701292938366681089</v>
      </c>
      <c r="F10" s="12" t="s">
        <v>152</v>
      </c>
      <c r="G10" s="13">
        <v>80.0</v>
      </c>
      <c r="H10" s="13">
        <v>200.0</v>
      </c>
      <c r="I10" s="13">
        <v>6.0</v>
      </c>
      <c r="J10" s="13">
        <v>0.0</v>
      </c>
      <c r="K10" s="12" t="s">
        <v>21</v>
      </c>
      <c r="L10" s="7">
        <v>42053.30278935185</v>
      </c>
      <c r="M10" s="16"/>
      <c r="N10" s="14" t="s">
        <v>6238</v>
      </c>
      <c r="O10" s="11" t="str">
        <f>HYPERLINK("https://pbs.twimg.com/profile_images/568067400809984000/MXrq4e8A_normal.jpeg","View")</f>
        <v>View</v>
      </c>
      <c r="P10" s="15"/>
    </row>
    <row r="11">
      <c r="A11" s="7">
        <v>42420.9383912037</v>
      </c>
      <c r="B11" s="8" t="str">
        <f>HYPERLINK("https://twitter.com/raymondpeck3","@raymondpeck3")</f>
        <v>@raymondpeck3</v>
      </c>
      <c r="C11" s="10" t="s">
        <v>6244</v>
      </c>
      <c r="D11" s="10" t="s">
        <v>3879</v>
      </c>
      <c r="E11" s="11" t="str">
        <f>HYPERLINK("https://twitter.com/raymondpeck3/status/701293093971107840","701293093971107840")</f>
        <v>701293093971107840</v>
      </c>
      <c r="F11" s="12" t="s">
        <v>152</v>
      </c>
      <c r="G11" s="13">
        <v>244.0</v>
      </c>
      <c r="H11" s="13">
        <v>833.0</v>
      </c>
      <c r="I11" s="13">
        <v>10.0</v>
      </c>
      <c r="J11" s="13">
        <v>0.0</v>
      </c>
      <c r="K11" s="12" t="s">
        <v>21</v>
      </c>
      <c r="L11" s="7">
        <v>40199.40998842593</v>
      </c>
      <c r="M11" s="14" t="s">
        <v>6245</v>
      </c>
      <c r="N11" s="14" t="s">
        <v>6246</v>
      </c>
      <c r="O11" s="11" t="str">
        <f>HYPERLINK("https://pbs.twimg.com/profile_images/665985931879411712/EJ-Ofxrj_normal.png","View")</f>
        <v>View</v>
      </c>
      <c r="P11" s="15"/>
    </row>
    <row r="12">
      <c r="A12" s="7">
        <v>42420.93918981482</v>
      </c>
      <c r="B12" s="8" t="str">
        <f>HYPERLINK("https://twitter.com/wtibrentdubai","@wtibrentdubai")</f>
        <v>@wtibrentdubai</v>
      </c>
      <c r="C12" s="10" t="s">
        <v>6247</v>
      </c>
      <c r="D12" s="10" t="s">
        <v>6248</v>
      </c>
      <c r="E12" s="11" t="str">
        <f>HYPERLINK("https://twitter.com/wtibrentdubai/status/701293384770539520","701293384770539520")</f>
        <v>701293384770539520</v>
      </c>
      <c r="F12" s="12" t="s">
        <v>152</v>
      </c>
      <c r="G12" s="13">
        <v>85.0</v>
      </c>
      <c r="H12" s="13">
        <v>201.0</v>
      </c>
      <c r="I12" s="13">
        <v>9.0</v>
      </c>
      <c r="J12" s="13">
        <v>0.0</v>
      </c>
      <c r="K12" s="12" t="s">
        <v>21</v>
      </c>
      <c r="L12" s="7">
        <v>42292.593680555554</v>
      </c>
      <c r="M12" s="14" t="s">
        <v>6249</v>
      </c>
      <c r="N12" s="14" t="s">
        <v>6250</v>
      </c>
      <c r="O12" s="11" t="str">
        <f>HYPERLINK("https://pbs.twimg.com/profile_images/670700991906381824/-0POuKFV_normal.jpg","View")</f>
        <v>View</v>
      </c>
      <c r="P12" s="15"/>
    </row>
    <row r="13">
      <c r="A13" s="7">
        <v>42420.94025462963</v>
      </c>
      <c r="B13" s="8" t="str">
        <f>HYPERLINK("https://twitter.com/estebanpdl","@estebanpdl")</f>
        <v>@estebanpdl</v>
      </c>
      <c r="C13" s="10" t="s">
        <v>6251</v>
      </c>
      <c r="D13" s="10" t="s">
        <v>6252</v>
      </c>
      <c r="E13" s="11" t="str">
        <f>HYPERLINK("https://twitter.com/estebanpdl/status/701293766569807874","701293766569807874")</f>
        <v>701293766569807874</v>
      </c>
      <c r="F13" s="12" t="s">
        <v>52</v>
      </c>
      <c r="G13" s="13">
        <v>144.0</v>
      </c>
      <c r="H13" s="13">
        <v>251.0</v>
      </c>
      <c r="I13" s="13">
        <v>2.0</v>
      </c>
      <c r="J13" s="13">
        <v>0.0</v>
      </c>
      <c r="K13" s="12" t="s">
        <v>21</v>
      </c>
      <c r="L13" s="7">
        <v>41051.66244212963</v>
      </c>
      <c r="M13" s="14" t="s">
        <v>6253</v>
      </c>
      <c r="N13" s="14" t="s">
        <v>6254</v>
      </c>
      <c r="O13" s="11" t="str">
        <f>HYPERLINK("https://pbs.twimg.com/profile_images/573240515086295040/2__c_f7p_normal.jpeg","View")</f>
        <v>View</v>
      </c>
      <c r="P13" s="15"/>
    </row>
    <row r="14">
      <c r="A14" s="7">
        <v>42420.945381944446</v>
      </c>
      <c r="B14" s="8" t="str">
        <f>HYPERLINK("https://twitter.com/tdoris75","@tdoris75")</f>
        <v>@tdoris75</v>
      </c>
      <c r="C14" s="10" t="s">
        <v>6255</v>
      </c>
      <c r="D14" s="10" t="s">
        <v>6256</v>
      </c>
      <c r="E14" s="11" t="str">
        <f>HYPERLINK("https://twitter.com/tdoris75/status/701295627221778432","701295627221778432")</f>
        <v>701295627221778432</v>
      </c>
      <c r="F14" s="12" t="s">
        <v>152</v>
      </c>
      <c r="G14" s="13">
        <v>49.0</v>
      </c>
      <c r="H14" s="13">
        <v>556.0</v>
      </c>
      <c r="I14" s="13">
        <v>9.0</v>
      </c>
      <c r="J14" s="13">
        <v>0.0</v>
      </c>
      <c r="K14" s="12" t="s">
        <v>21</v>
      </c>
      <c r="L14" s="7">
        <v>40899.613587962966</v>
      </c>
      <c r="M14" s="14" t="s">
        <v>241</v>
      </c>
      <c r="N14" s="14" t="s">
        <v>6257</v>
      </c>
      <c r="O14" s="11" t="str">
        <f>HYPERLINK("https://pbs.twimg.com/profile_images/493844212194869248/tCzU9XGg_normal.jpeg","View")</f>
        <v>View</v>
      </c>
      <c r="P14" s="15"/>
    </row>
    <row r="15">
      <c r="A15" s="7">
        <v>42420.945601851854</v>
      </c>
      <c r="B15" s="8" t="str">
        <f>HYPERLINK("https://twitter.com/shakirdeen","@shakirdeen")</f>
        <v>@shakirdeen</v>
      </c>
      <c r="C15" s="10" t="s">
        <v>6258</v>
      </c>
      <c r="D15" s="10" t="s">
        <v>2647</v>
      </c>
      <c r="E15" s="11" t="str">
        <f>HYPERLINK("https://twitter.com/shakirdeen/status/701295704392785922","701295704392785922")</f>
        <v>701295704392785922</v>
      </c>
      <c r="F15" s="12" t="s">
        <v>6259</v>
      </c>
      <c r="G15" s="13">
        <v>1251.0</v>
      </c>
      <c r="H15" s="13">
        <v>2082.0</v>
      </c>
      <c r="I15" s="13">
        <v>35.0</v>
      </c>
      <c r="J15" s="13">
        <v>0.0</v>
      </c>
      <c r="K15" s="12" t="s">
        <v>21</v>
      </c>
      <c r="L15" s="7">
        <v>40927.900243055556</v>
      </c>
      <c r="M15" s="16"/>
      <c r="N15" s="14" t="s">
        <v>6260</v>
      </c>
      <c r="O15" s="11" t="str">
        <f>HYPERLINK("https://pbs.twimg.com/profile_images/500535426642608128/erG8_uq1_normal.jpeg","View")</f>
        <v>View</v>
      </c>
      <c r="P15" s="15"/>
    </row>
    <row r="16">
      <c r="A16" s="7">
        <v>42420.94736111111</v>
      </c>
      <c r="B16" s="8" t="str">
        <f>HYPERLINK("https://twitter.com/homeAIinfo","@homeAIinfo")</f>
        <v>@homeAIinfo</v>
      </c>
      <c r="C16" s="10" t="s">
        <v>36</v>
      </c>
      <c r="D16" s="10" t="s">
        <v>6248</v>
      </c>
      <c r="E16" s="11" t="str">
        <f>HYPERLINK("https://twitter.com/homeAIinfo/status/701296343403331584","701296343403331584")</f>
        <v>701296343403331584</v>
      </c>
      <c r="F16" s="12" t="s">
        <v>38</v>
      </c>
      <c r="G16" s="13">
        <v>52868.0</v>
      </c>
      <c r="H16" s="13">
        <v>1328.0</v>
      </c>
      <c r="I16" s="13">
        <v>9.0</v>
      </c>
      <c r="J16" s="13">
        <v>0.0</v>
      </c>
      <c r="K16" s="12" t="s">
        <v>21</v>
      </c>
      <c r="L16" s="7">
        <v>42133.34662037037</v>
      </c>
      <c r="M16" s="14" t="s">
        <v>39</v>
      </c>
      <c r="N16" s="14" t="s">
        <v>40</v>
      </c>
      <c r="O16" s="11" t="str">
        <f>HYPERLINK("https://pbs.twimg.com/profile_images/645650110374936580/-oQakt8x_normal.png","View")</f>
        <v>View</v>
      </c>
      <c r="P16" s="15"/>
    </row>
    <row r="17">
      <c r="A17" s="7">
        <v>42420.95778935185</v>
      </c>
      <c r="B17" s="8" t="str">
        <f>HYPERLINK("https://twitter.com/ErmiaBivatan","@ErmiaBivatan")</f>
        <v>@ErmiaBivatan</v>
      </c>
      <c r="C17" s="10" t="s">
        <v>6261</v>
      </c>
      <c r="D17" s="10" t="s">
        <v>6262</v>
      </c>
      <c r="E17" s="11" t="str">
        <f>HYPERLINK("https://twitter.com/ErmiaBivatan/status/701300121573728256","701300121573728256")</f>
        <v>701300121573728256</v>
      </c>
      <c r="F17" s="12" t="s">
        <v>20</v>
      </c>
      <c r="G17" s="13">
        <v>45.0</v>
      </c>
      <c r="H17" s="13">
        <v>142.0</v>
      </c>
      <c r="I17" s="13">
        <v>32.0</v>
      </c>
      <c r="J17" s="13">
        <v>0.0</v>
      </c>
      <c r="K17" s="12" t="s">
        <v>21</v>
      </c>
      <c r="L17" s="7">
        <v>41409.883356481485</v>
      </c>
      <c r="M17" s="16"/>
      <c r="N17" s="14" t="s">
        <v>6263</v>
      </c>
      <c r="O17" s="11" t="str">
        <f>HYPERLINK("https://pbs.twimg.com/profile_images/700219041131204608/DZKmHE4-_normal.jpg","View")</f>
        <v>View</v>
      </c>
      <c r="P17" s="15"/>
    </row>
    <row r="18">
      <c r="A18" s="7">
        <v>42420.95927083334</v>
      </c>
      <c r="B18" s="8" t="str">
        <f>HYPERLINK("https://twitter.com/DrAndyPardoe","@DrAndyPardoe")</f>
        <v>@DrAndyPardoe</v>
      </c>
      <c r="C18" s="10" t="s">
        <v>3351</v>
      </c>
      <c r="D18" s="10" t="s">
        <v>6248</v>
      </c>
      <c r="E18" s="11" t="str">
        <f>HYPERLINK("https://twitter.com/DrAndyPardoe/status/701300660726165504","701300660726165504")</f>
        <v>701300660726165504</v>
      </c>
      <c r="F18" s="12" t="s">
        <v>38</v>
      </c>
      <c r="G18" s="13">
        <v>3759.0</v>
      </c>
      <c r="H18" s="13">
        <v>2473.0</v>
      </c>
      <c r="I18" s="13">
        <v>9.0</v>
      </c>
      <c r="J18" s="13">
        <v>0.0</v>
      </c>
      <c r="K18" s="12" t="s">
        <v>21</v>
      </c>
      <c r="L18" s="7">
        <v>41826.237280092595</v>
      </c>
      <c r="M18" s="14" t="s">
        <v>1093</v>
      </c>
      <c r="N18" s="14" t="s">
        <v>3352</v>
      </c>
      <c r="O18" s="11" t="str">
        <f>HYPERLINK("https://pbs.twimg.com/profile_images/485766134268837889/t4PLhSfT_normal.jpeg","View")</f>
        <v>View</v>
      </c>
      <c r="P18" s="15"/>
    </row>
    <row r="19">
      <c r="A19" s="7">
        <v>42420.96435185186</v>
      </c>
      <c r="B19" s="8" t="str">
        <f>HYPERLINK("https://twitter.com/ndjido","@ndjido")</f>
        <v>@ndjido</v>
      </c>
      <c r="C19" s="10" t="s">
        <v>6264</v>
      </c>
      <c r="D19" s="10" t="s">
        <v>3879</v>
      </c>
      <c r="E19" s="11" t="str">
        <f>HYPERLINK("https://twitter.com/ndjido/status/701302499995688960","701302499995688960")</f>
        <v>701302499995688960</v>
      </c>
      <c r="F19" s="12" t="s">
        <v>52</v>
      </c>
      <c r="G19" s="13">
        <v>124.0</v>
      </c>
      <c r="H19" s="13">
        <v>119.0</v>
      </c>
      <c r="I19" s="13">
        <v>10.0</v>
      </c>
      <c r="J19" s="13">
        <v>0.0</v>
      </c>
      <c r="K19" s="12" t="s">
        <v>21</v>
      </c>
      <c r="L19" s="7">
        <v>40260.09684027778</v>
      </c>
      <c r="M19" s="14" t="s">
        <v>6265</v>
      </c>
      <c r="N19" s="16"/>
      <c r="O19" s="11" t="str">
        <f>HYPERLINK("https://pbs.twimg.com/profile_images/599331332569829376/7hvOItHz_normal.jpg","View")</f>
        <v>View</v>
      </c>
      <c r="P19" s="15"/>
    </row>
    <row r="20">
      <c r="A20" s="7">
        <v>42420.97516203704</v>
      </c>
      <c r="B20" s="8" t="str">
        <f>HYPERLINK("https://twitter.com/iskeen1963","@iskeen1963")</f>
        <v>@iskeen1963</v>
      </c>
      <c r="C20" s="10" t="s">
        <v>6266</v>
      </c>
      <c r="D20" s="10" t="s">
        <v>6267</v>
      </c>
      <c r="E20" s="11" t="str">
        <f>HYPERLINK("https://twitter.com/iskeen1963/status/701306418075283456","701306418075283456")</f>
        <v>701306418075283456</v>
      </c>
      <c r="F20" s="12" t="s">
        <v>152</v>
      </c>
      <c r="G20" s="13">
        <v>301.0</v>
      </c>
      <c r="H20" s="13">
        <v>502.0</v>
      </c>
      <c r="I20" s="13">
        <v>4.0</v>
      </c>
      <c r="J20" s="13">
        <v>0.0</v>
      </c>
      <c r="K20" s="12" t="s">
        <v>21</v>
      </c>
      <c r="L20" s="7">
        <v>42268.867060185185</v>
      </c>
      <c r="M20" s="14" t="s">
        <v>6268</v>
      </c>
      <c r="N20" s="14" t="s">
        <v>6269</v>
      </c>
      <c r="O20" s="11" t="str">
        <f>HYPERLINK("https://pbs.twimg.com/profile_images/663960792316809216/DinZ7cMC_normal.jpg","View")</f>
        <v>View</v>
      </c>
      <c r="P20" s="15"/>
    </row>
    <row r="21">
      <c r="A21" s="7">
        <v>42420.97597222222</v>
      </c>
      <c r="B21" s="8" t="str">
        <f>HYPERLINK("https://twitter.com/suman12029","@suman12029")</f>
        <v>@suman12029</v>
      </c>
      <c r="C21" s="10" t="s">
        <v>6270</v>
      </c>
      <c r="D21" s="10" t="s">
        <v>6271</v>
      </c>
      <c r="E21" s="11" t="str">
        <f>HYPERLINK("https://twitter.com/suman12029/status/701306710997278720","701306710997278720")</f>
        <v>701306710997278720</v>
      </c>
      <c r="F21" s="12" t="s">
        <v>152</v>
      </c>
      <c r="G21" s="13">
        <v>33.0</v>
      </c>
      <c r="H21" s="13">
        <v>220.0</v>
      </c>
      <c r="I21" s="13">
        <v>4.0</v>
      </c>
      <c r="J21" s="13">
        <v>0.0</v>
      </c>
      <c r="K21" s="12" t="s">
        <v>21</v>
      </c>
      <c r="L21" s="7">
        <v>41807.27385416666</v>
      </c>
      <c r="M21" s="14" t="s">
        <v>6272</v>
      </c>
      <c r="N21" s="14" t="s">
        <v>6273</v>
      </c>
      <c r="O21" s="11" t="str">
        <f>HYPERLINK("https://pbs.twimg.com/profile_images/478894923073089536/28J4jgVk_normal.jpeg","View")</f>
        <v>View</v>
      </c>
      <c r="P21" s="15"/>
    </row>
    <row r="22">
      <c r="A22" s="7">
        <v>42420.99677083333</v>
      </c>
      <c r="B22" s="8" t="str">
        <f>HYPERLINK("https://twitter.com/Dr_ErinPrice","@Dr_ErinPrice")</f>
        <v>@Dr_ErinPrice</v>
      </c>
      <c r="C22" s="10" t="s">
        <v>6274</v>
      </c>
      <c r="D22" s="10" t="s">
        <v>6275</v>
      </c>
      <c r="E22" s="11" t="str">
        <f>HYPERLINK("https://twitter.com/Dr_ErinPrice/status/701314250195599362","701314250195599362")</f>
        <v>701314250195599362</v>
      </c>
      <c r="F22" s="12" t="s">
        <v>152</v>
      </c>
      <c r="G22" s="13">
        <v>87.0</v>
      </c>
      <c r="H22" s="13">
        <v>165.0</v>
      </c>
      <c r="I22" s="13">
        <v>31.0</v>
      </c>
      <c r="J22" s="13">
        <v>0.0</v>
      </c>
      <c r="K22" s="12" t="s">
        <v>21</v>
      </c>
      <c r="L22" s="7">
        <v>42172.022731481484</v>
      </c>
      <c r="M22" s="14" t="s">
        <v>6276</v>
      </c>
      <c r="N22" s="14" t="s">
        <v>6277</v>
      </c>
      <c r="O22" s="11" t="str">
        <f>HYPERLINK("https://pbs.twimg.com/profile_images/636684388000894976/7Uhsb37I_normal.jpg","View")</f>
        <v>View</v>
      </c>
      <c r="P22" s="15"/>
    </row>
    <row r="23">
      <c r="A23" s="7">
        <v>42421.00641203704</v>
      </c>
      <c r="B23" s="8" t="str">
        <f>HYPERLINK("https://twitter.com/souravc83","@souravc83")</f>
        <v>@souravc83</v>
      </c>
      <c r="C23" s="10" t="s">
        <v>6278</v>
      </c>
      <c r="D23" s="10" t="s">
        <v>6279</v>
      </c>
      <c r="E23" s="11" t="str">
        <f>HYPERLINK("https://twitter.com/souravc83/status/701317743799185408","701317743799185408")</f>
        <v>701317743799185408</v>
      </c>
      <c r="F23" s="12" t="s">
        <v>20</v>
      </c>
      <c r="G23" s="13">
        <v>39.0</v>
      </c>
      <c r="H23" s="13">
        <v>148.0</v>
      </c>
      <c r="I23" s="13">
        <v>1.0</v>
      </c>
      <c r="J23" s="13">
        <v>5.0</v>
      </c>
      <c r="K23" s="12" t="s">
        <v>21</v>
      </c>
      <c r="L23" s="7">
        <v>39942.4037962963</v>
      </c>
      <c r="M23" s="14" t="s">
        <v>6280</v>
      </c>
      <c r="N23" s="14" t="s">
        <v>6281</v>
      </c>
      <c r="O23" s="11" t="str">
        <f>HYPERLINK("https://pbs.twimg.com/profile_images/658511161034326016/RaFwgtT6_normal.jpg","View")</f>
        <v>View</v>
      </c>
      <c r="P23" s="15"/>
    </row>
    <row r="24">
      <c r="A24" s="7">
        <v>42421.00952546296</v>
      </c>
      <c r="B24" s="8" t="str">
        <f t="shared" ref="B24:B26" si="1">HYPERLINK("https://twitter.com/CRANberriesFeed","@CRANberriesFeed")</f>
        <v>@CRANberriesFeed</v>
      </c>
      <c r="C24" s="10" t="s">
        <v>6282</v>
      </c>
      <c r="D24" s="10" t="s">
        <v>6283</v>
      </c>
      <c r="E24" s="11" t="str">
        <f>HYPERLINK("https://twitter.com/CRANberriesFeed/status/701318872134189056","701318872134189056")</f>
        <v>701318872134189056</v>
      </c>
      <c r="F24" s="12" t="s">
        <v>6284</v>
      </c>
      <c r="G24" s="13">
        <v>657.0</v>
      </c>
      <c r="H24" s="13">
        <v>0.0</v>
      </c>
      <c r="I24" s="13">
        <v>0.0</v>
      </c>
      <c r="J24" s="13">
        <v>0.0</v>
      </c>
      <c r="K24" s="12" t="s">
        <v>21</v>
      </c>
      <c r="L24" s="7">
        <v>40546.353425925925</v>
      </c>
      <c r="M24" s="14" t="s">
        <v>1158</v>
      </c>
      <c r="N24" s="16"/>
      <c r="O24" s="11" t="str">
        <f t="shared" ref="O24:O26" si="2">HYPERLINK("https://pbs.twimg.com/profile_images/1222779560/cran1_normal.jpg","View")</f>
        <v>View</v>
      </c>
      <c r="P24" s="15"/>
    </row>
    <row r="25">
      <c r="A25" s="7">
        <v>42421.009606481486</v>
      </c>
      <c r="B25" s="8" t="str">
        <f t="shared" si="1"/>
        <v>@CRANberriesFeed</v>
      </c>
      <c r="C25" s="10" t="s">
        <v>6282</v>
      </c>
      <c r="D25" s="10" t="s">
        <v>6285</v>
      </c>
      <c r="E25" s="11" t="str">
        <f>HYPERLINK("https://twitter.com/CRANberriesFeed/status/701318899418144768","701318899418144768")</f>
        <v>701318899418144768</v>
      </c>
      <c r="F25" s="12" t="s">
        <v>6284</v>
      </c>
      <c r="G25" s="13">
        <v>657.0</v>
      </c>
      <c r="H25" s="13">
        <v>0.0</v>
      </c>
      <c r="I25" s="13">
        <v>0.0</v>
      </c>
      <c r="J25" s="13">
        <v>0.0</v>
      </c>
      <c r="K25" s="12" t="s">
        <v>21</v>
      </c>
      <c r="L25" s="7">
        <v>40546.353425925925</v>
      </c>
      <c r="M25" s="14" t="s">
        <v>1158</v>
      </c>
      <c r="N25" s="16"/>
      <c r="O25" s="11" t="str">
        <f t="shared" si="2"/>
        <v>View</v>
      </c>
      <c r="P25" s="15"/>
    </row>
    <row r="26">
      <c r="A26" s="7">
        <v>42421.009629629625</v>
      </c>
      <c r="B26" s="8" t="str">
        <f t="shared" si="1"/>
        <v>@CRANberriesFeed</v>
      </c>
      <c r="C26" s="10" t="s">
        <v>6282</v>
      </c>
      <c r="D26" s="10" t="s">
        <v>6286</v>
      </c>
      <c r="E26" s="11" t="str">
        <f>HYPERLINK("https://twitter.com/CRANberriesFeed/status/701318910491156484","701318910491156484")</f>
        <v>701318910491156484</v>
      </c>
      <c r="F26" s="12" t="s">
        <v>6284</v>
      </c>
      <c r="G26" s="13">
        <v>657.0</v>
      </c>
      <c r="H26" s="13">
        <v>0.0</v>
      </c>
      <c r="I26" s="13">
        <v>0.0</v>
      </c>
      <c r="J26" s="13">
        <v>0.0</v>
      </c>
      <c r="K26" s="12" t="s">
        <v>21</v>
      </c>
      <c r="L26" s="7">
        <v>40546.353425925925</v>
      </c>
      <c r="M26" s="14" t="s">
        <v>1158</v>
      </c>
      <c r="N26" s="16"/>
      <c r="O26" s="11" t="str">
        <f t="shared" si="2"/>
        <v>View</v>
      </c>
      <c r="P26" s="15"/>
    </row>
    <row r="27">
      <c r="A27" s="7">
        <v>42421.01239583333</v>
      </c>
      <c r="B27" s="8" t="str">
        <f>HYPERLINK("https://twitter.com/neerajunc","@neerajunc")</f>
        <v>@neerajunc</v>
      </c>
      <c r="C27" s="10" t="s">
        <v>6287</v>
      </c>
      <c r="D27" s="10" t="s">
        <v>6288</v>
      </c>
      <c r="E27" s="11" t="str">
        <f>HYPERLINK("https://twitter.com/neerajunc/status/701319911436476416","701319911436476416")</f>
        <v>701319911436476416</v>
      </c>
      <c r="F27" s="12" t="s">
        <v>20</v>
      </c>
      <c r="G27" s="13">
        <v>10.0</v>
      </c>
      <c r="H27" s="13">
        <v>13.0</v>
      </c>
      <c r="I27" s="13">
        <v>4.0</v>
      </c>
      <c r="J27" s="13">
        <v>0.0</v>
      </c>
      <c r="K27" s="12" t="s">
        <v>21</v>
      </c>
      <c r="L27" s="7">
        <v>41900.59945601852</v>
      </c>
      <c r="M27" s="16"/>
      <c r="N27" s="16"/>
      <c r="O27" s="11" t="str">
        <f>HYPERLINK("https://abs.twimg.com/sticky/default_profile_images/default_profile_5_normal.png","View")</f>
        <v>View</v>
      </c>
      <c r="P27" s="15"/>
    </row>
    <row r="28">
      <c r="A28" s="7">
        <v>42421.01459490741</v>
      </c>
      <c r="B28" s="8" t="str">
        <f t="shared" ref="B28:B29" si="3">HYPERLINK("https://twitter.com/fabio_zottele","@fabio_zottele")</f>
        <v>@fabio_zottele</v>
      </c>
      <c r="C28" s="10" t="s">
        <v>6289</v>
      </c>
      <c r="D28" s="10" t="s">
        <v>6248</v>
      </c>
      <c r="E28" s="11" t="str">
        <f>HYPERLINK("https://twitter.com/fabio_zottele/status/701320708987740160","701320708987740160")</f>
        <v>701320708987740160</v>
      </c>
      <c r="F28" s="12" t="s">
        <v>152</v>
      </c>
      <c r="G28" s="13">
        <v>54.0</v>
      </c>
      <c r="H28" s="13">
        <v>80.0</v>
      </c>
      <c r="I28" s="13">
        <v>9.0</v>
      </c>
      <c r="J28" s="13">
        <v>0.0</v>
      </c>
      <c r="K28" s="12" t="s">
        <v>21</v>
      </c>
      <c r="L28" s="7">
        <v>39772.20789351852</v>
      </c>
      <c r="M28" s="14" t="s">
        <v>6290</v>
      </c>
      <c r="N28" s="14" t="s">
        <v>6291</v>
      </c>
      <c r="O28" s="11" t="str">
        <f t="shared" ref="O28:O29" si="4">HYPERLINK("https://pbs.twimg.com/profile_images/1580520395/Nyan_cat_250px_frame_normal.png","View")</f>
        <v>View</v>
      </c>
      <c r="P28" s="15"/>
    </row>
    <row r="29">
      <c r="A29" s="7">
        <v>42421.01685185185</v>
      </c>
      <c r="B29" s="8" t="str">
        <f t="shared" si="3"/>
        <v>@fabio_zottele</v>
      </c>
      <c r="C29" s="10" t="s">
        <v>6289</v>
      </c>
      <c r="D29" s="10" t="s">
        <v>6256</v>
      </c>
      <c r="E29" s="11" t="str">
        <f>HYPERLINK("https://twitter.com/fabio_zottele/status/701321525140520960","701321525140520960")</f>
        <v>701321525140520960</v>
      </c>
      <c r="F29" s="12" t="s">
        <v>152</v>
      </c>
      <c r="G29" s="13">
        <v>54.0</v>
      </c>
      <c r="H29" s="13">
        <v>80.0</v>
      </c>
      <c r="I29" s="13">
        <v>9.0</v>
      </c>
      <c r="J29" s="13">
        <v>0.0</v>
      </c>
      <c r="K29" s="12" t="s">
        <v>21</v>
      </c>
      <c r="L29" s="7">
        <v>39772.20789351852</v>
      </c>
      <c r="M29" s="14" t="s">
        <v>6290</v>
      </c>
      <c r="N29" s="14" t="s">
        <v>6291</v>
      </c>
      <c r="O29" s="11" t="str">
        <f t="shared" si="4"/>
        <v>View</v>
      </c>
      <c r="P29" s="15"/>
    </row>
    <row r="30">
      <c r="A30" s="7">
        <v>42421.0177662037</v>
      </c>
      <c r="B30" s="8" t="str">
        <f>HYPERLINK("https://twitter.com/UKStartupEvents","@UKStartupEvents")</f>
        <v>@UKStartupEvents</v>
      </c>
      <c r="C30" s="10" t="s">
        <v>6292</v>
      </c>
      <c r="D30" s="10" t="s">
        <v>6271</v>
      </c>
      <c r="E30" s="11" t="str">
        <f>HYPERLINK("https://twitter.com/UKStartupEvents/status/701321856540925952","701321856540925952")</f>
        <v>701321856540925952</v>
      </c>
      <c r="F30" s="12" t="s">
        <v>6293</v>
      </c>
      <c r="G30" s="13">
        <v>3680.0</v>
      </c>
      <c r="H30" s="13">
        <v>3593.0</v>
      </c>
      <c r="I30" s="13">
        <v>4.0</v>
      </c>
      <c r="J30" s="13">
        <v>0.0</v>
      </c>
      <c r="K30" s="12" t="s">
        <v>21</v>
      </c>
      <c r="L30" s="7">
        <v>42257.454317129625</v>
      </c>
      <c r="M30" s="14" t="s">
        <v>519</v>
      </c>
      <c r="N30" s="14" t="s">
        <v>6294</v>
      </c>
      <c r="O30" s="11" t="str">
        <f>HYPERLINK("https://pbs.twimg.com/profile_images/670156125199835136/RYMhziWy_normal.jpg","View")</f>
        <v>View</v>
      </c>
      <c r="P30" s="15"/>
    </row>
    <row r="31">
      <c r="A31" s="7">
        <v>42421.023518518516</v>
      </c>
      <c r="B31" s="8" t="str">
        <f>HYPERLINK("https://twitter.com/jianguoj","@jianguoj")</f>
        <v>@jianguoj</v>
      </c>
      <c r="C31" s="10" t="s">
        <v>6295</v>
      </c>
      <c r="D31" s="10" t="s">
        <v>6296</v>
      </c>
      <c r="E31" s="11" t="str">
        <f>HYPERLINK("https://twitter.com/jianguoj/status/701323940673630209","701323940673630209")</f>
        <v>701323940673630209</v>
      </c>
      <c r="F31" s="12" t="s">
        <v>52</v>
      </c>
      <c r="G31" s="13">
        <v>19.0</v>
      </c>
      <c r="H31" s="13">
        <v>26.0</v>
      </c>
      <c r="I31" s="13">
        <v>49.0</v>
      </c>
      <c r="J31" s="13">
        <v>0.0</v>
      </c>
      <c r="K31" s="12" t="s">
        <v>21</v>
      </c>
      <c r="L31" s="7">
        <v>40133.37365740741</v>
      </c>
      <c r="M31" s="16"/>
      <c r="N31" s="16"/>
      <c r="O31" s="11" t="str">
        <f>HYPERLINK("https://pbs.twimg.com/profile_images/481832363450580993/FPpqiAR6_normal.jpeg","View")</f>
        <v>View</v>
      </c>
      <c r="P31" s="15"/>
    </row>
    <row r="32">
      <c r="A32" s="7">
        <v>42421.03030092592</v>
      </c>
      <c r="B32" s="8" t="str">
        <f>HYPERLINK("https://twitter.com/eflores89","@eflores89")</f>
        <v>@eflores89</v>
      </c>
      <c r="C32" s="10" t="s">
        <v>6297</v>
      </c>
      <c r="D32" s="10" t="s">
        <v>6248</v>
      </c>
      <c r="E32" s="11" t="str">
        <f>HYPERLINK("https://twitter.com/eflores89/status/701326401354354688","701326401354354688")</f>
        <v>701326401354354688</v>
      </c>
      <c r="F32" s="12" t="s">
        <v>20</v>
      </c>
      <c r="G32" s="13">
        <v>1025.0</v>
      </c>
      <c r="H32" s="13">
        <v>462.0</v>
      </c>
      <c r="I32" s="13">
        <v>9.0</v>
      </c>
      <c r="J32" s="13">
        <v>0.0</v>
      </c>
      <c r="K32" s="12" t="s">
        <v>21</v>
      </c>
      <c r="L32" s="7">
        <v>39949.721550925926</v>
      </c>
      <c r="M32" s="16"/>
      <c r="N32" s="14" t="s">
        <v>6298</v>
      </c>
      <c r="O32" s="11" t="str">
        <f>HYPERLINK("https://pbs.twimg.com/profile_images/1998298641/Screen_Shot_2012-03-31_at_1.23.44_AM_normal.png","View")</f>
        <v>View</v>
      </c>
      <c r="P32" s="15"/>
    </row>
    <row r="33">
      <c r="A33" s="7">
        <v>42421.05758101852</v>
      </c>
      <c r="B33" s="8" t="str">
        <f>HYPERLINK("https://twitter.com/PyDataMad","@PyDataMad")</f>
        <v>@PyDataMad</v>
      </c>
      <c r="C33" s="10" t="s">
        <v>6299</v>
      </c>
      <c r="D33" s="10" t="s">
        <v>6300</v>
      </c>
      <c r="E33" s="11" t="str">
        <f>HYPERLINK("https://twitter.com/PyDataMad/status/701336285148012544","701336285148012544")</f>
        <v>701336285148012544</v>
      </c>
      <c r="F33" s="12" t="s">
        <v>20</v>
      </c>
      <c r="G33" s="13">
        <v>173.0</v>
      </c>
      <c r="H33" s="13">
        <v>29.0</v>
      </c>
      <c r="I33" s="13">
        <v>5.0</v>
      </c>
      <c r="J33" s="13">
        <v>4.0</v>
      </c>
      <c r="K33" s="12" t="s">
        <v>21</v>
      </c>
      <c r="L33" s="7">
        <v>42331.12847222222</v>
      </c>
      <c r="M33" s="14" t="s">
        <v>194</v>
      </c>
      <c r="N33" s="14" t="s">
        <v>6301</v>
      </c>
      <c r="O33" s="11" t="str">
        <f>HYPERLINK("https://pbs.twimg.com/profile_images/687771840161443840/mehRt0YI_normal.png","View")</f>
        <v>View</v>
      </c>
      <c r="P33" s="15"/>
    </row>
    <row r="34">
      <c r="A34" s="7">
        <v>42421.062685185185</v>
      </c>
      <c r="B34" s="8" t="str">
        <f>HYPERLINK("https://twitter.com/stevepowell99","@stevepowell99")</f>
        <v>@stevepowell99</v>
      </c>
      <c r="C34" s="10" t="s">
        <v>6302</v>
      </c>
      <c r="D34" s="10" t="s">
        <v>6303</v>
      </c>
      <c r="E34" s="11" t="str">
        <f>HYPERLINK("https://twitter.com/stevepowell99/status/701338137516068865","701338137516068865")</f>
        <v>701338137516068865</v>
      </c>
      <c r="F34" s="12" t="s">
        <v>20</v>
      </c>
      <c r="G34" s="13">
        <v>243.0</v>
      </c>
      <c r="H34" s="13">
        <v>317.0</v>
      </c>
      <c r="I34" s="13">
        <v>0.0</v>
      </c>
      <c r="J34" s="13">
        <v>2.0</v>
      </c>
      <c r="K34" s="12" t="s">
        <v>21</v>
      </c>
      <c r="L34" s="7">
        <v>39897.32989583333</v>
      </c>
      <c r="M34" s="14" t="s">
        <v>6304</v>
      </c>
      <c r="N34" s="14" t="s">
        <v>6305</v>
      </c>
      <c r="O34" s="11" t="str">
        <f>HYPERLINK("https://pbs.twimg.com/profile_images/633188341010202624/R3hhDxOS_normal.jpg","View")</f>
        <v>View</v>
      </c>
      <c r="P34" s="15"/>
    </row>
    <row r="35">
      <c r="A35" s="7">
        <v>42421.06296296296</v>
      </c>
      <c r="B35" s="8" t="str">
        <f>HYPERLINK("https://twitter.com/pdalgd","@pdalgd")</f>
        <v>@pdalgd</v>
      </c>
      <c r="C35" s="10" t="s">
        <v>6306</v>
      </c>
      <c r="D35" s="10" t="s">
        <v>6307</v>
      </c>
      <c r="E35" s="11" t="str">
        <f>HYPERLINK("https://twitter.com/pdalgd/status/701338237575548930","701338237575548930")</f>
        <v>701338237575548930</v>
      </c>
      <c r="F35" s="12" t="s">
        <v>20</v>
      </c>
      <c r="G35" s="13">
        <v>57.0</v>
      </c>
      <c r="H35" s="13">
        <v>8.0</v>
      </c>
      <c r="I35" s="13">
        <v>0.0</v>
      </c>
      <c r="J35" s="13">
        <v>2.0</v>
      </c>
      <c r="K35" s="12" t="s">
        <v>21</v>
      </c>
      <c r="L35" s="7">
        <v>41597.536898148144</v>
      </c>
      <c r="M35" s="16"/>
      <c r="N35" s="16"/>
      <c r="O35" s="11" t="str">
        <f>HYPERLINK("https://pbs.twimg.com/profile_images/697868587130843136/9uZ8n-eM_normal.png","View")</f>
        <v>View</v>
      </c>
      <c r="P35" s="15"/>
    </row>
    <row r="36">
      <c r="A36" s="7">
        <v>42421.06572916667</v>
      </c>
      <c r="B36" s="8" t="str">
        <f>HYPERLINK("https://twitter.com/StatBallet","@StatBallet")</f>
        <v>@StatBallet</v>
      </c>
      <c r="C36" s="10" t="s">
        <v>6308</v>
      </c>
      <c r="D36" s="10" t="s">
        <v>6309</v>
      </c>
      <c r="E36" s="11" t="str">
        <f>HYPERLINK("https://twitter.com/StatBallet/status/701339238244098048","701339238244098048")</f>
        <v>701339238244098048</v>
      </c>
      <c r="F36" s="12" t="s">
        <v>20</v>
      </c>
      <c r="G36" s="13">
        <v>38.0</v>
      </c>
      <c r="H36" s="13">
        <v>49.0</v>
      </c>
      <c r="I36" s="13">
        <v>0.0</v>
      </c>
      <c r="J36" s="13">
        <v>4.0</v>
      </c>
      <c r="K36" s="12" t="s">
        <v>21</v>
      </c>
      <c r="L36" s="7">
        <v>40581.131574074076</v>
      </c>
      <c r="M36" s="16"/>
      <c r="N36" s="14" t="s">
        <v>6310</v>
      </c>
      <c r="O36" s="11" t="str">
        <f>HYPERLINK("https://pbs.twimg.com/profile_images/1628266914/Winsome_B_W_normal.jpg","View")</f>
        <v>View</v>
      </c>
      <c r="P36" s="15"/>
    </row>
    <row r="37">
      <c r="A37" s="7">
        <v>42421.066666666666</v>
      </c>
      <c r="B37" s="8" t="str">
        <f>HYPERLINK("https://twitter.com/liamellulz","@liamellulz")</f>
        <v>@liamellulz</v>
      </c>
      <c r="C37" s="10" t="s">
        <v>6311</v>
      </c>
      <c r="D37" s="10" t="s">
        <v>6312</v>
      </c>
      <c r="E37" s="11" t="str">
        <f>HYPERLINK("https://twitter.com/liamellulz/status/701339579442294789","701339579442294789")</f>
        <v>701339579442294789</v>
      </c>
      <c r="F37" s="12" t="s">
        <v>20</v>
      </c>
      <c r="G37" s="13">
        <v>95.0</v>
      </c>
      <c r="H37" s="13">
        <v>184.0</v>
      </c>
      <c r="I37" s="13">
        <v>32.0</v>
      </c>
      <c r="J37" s="13">
        <v>0.0</v>
      </c>
      <c r="K37" s="12" t="s">
        <v>21</v>
      </c>
      <c r="L37" s="7">
        <v>42125.9350925926</v>
      </c>
      <c r="M37" s="14" t="s">
        <v>451</v>
      </c>
      <c r="N37" s="14" t="s">
        <v>6313</v>
      </c>
      <c r="O37" s="11" t="str">
        <f>HYPERLINK("https://pbs.twimg.com/profile_images/594373583884849153/mXvb20nK_normal.jpg","View")</f>
        <v>View</v>
      </c>
      <c r="P37" s="15"/>
    </row>
    <row r="38">
      <c r="A38" s="7">
        <v>42421.06979166667</v>
      </c>
      <c r="B38" s="8" t="str">
        <f>HYPERLINK("https://twitter.com/Pvalsfr","@Pvalsfr")</f>
        <v>@Pvalsfr</v>
      </c>
      <c r="C38" s="10" t="s">
        <v>771</v>
      </c>
      <c r="D38" s="10" t="s">
        <v>6248</v>
      </c>
      <c r="E38" s="11" t="str">
        <f>HYPERLINK("https://twitter.com/Pvalsfr/status/701340712609128448","701340712609128448")</f>
        <v>701340712609128448</v>
      </c>
      <c r="F38" s="12" t="s">
        <v>20</v>
      </c>
      <c r="G38" s="13">
        <v>1044.0</v>
      </c>
      <c r="H38" s="13">
        <v>1081.0</v>
      </c>
      <c r="I38" s="13">
        <v>9.0</v>
      </c>
      <c r="J38" s="13">
        <v>0.0</v>
      </c>
      <c r="K38" s="12" t="s">
        <v>21</v>
      </c>
      <c r="L38" s="7">
        <v>40867.68900462963</v>
      </c>
      <c r="M38" s="16"/>
      <c r="N38" s="16"/>
      <c r="O38" s="11" t="str">
        <f>HYPERLINK("https://abs.twimg.com/sticky/default_profile_images/default_profile_4_normal.png","View")</f>
        <v>View</v>
      </c>
      <c r="P38" s="15"/>
    </row>
    <row r="39">
      <c r="A39" s="7">
        <v>42421.070185185185</v>
      </c>
      <c r="B39" s="8" t="str">
        <f>HYPERLINK("https://twitter.com/ilarischeinin","@ilarischeinin")</f>
        <v>@ilarischeinin</v>
      </c>
      <c r="C39" s="10" t="s">
        <v>6314</v>
      </c>
      <c r="D39" s="10" t="s">
        <v>6315</v>
      </c>
      <c r="E39" s="11" t="str">
        <f>HYPERLINK("https://twitter.com/ilarischeinin/status/701340852539551744","701340852539551744")</f>
        <v>701340852539551744</v>
      </c>
      <c r="F39" s="12" t="s">
        <v>20</v>
      </c>
      <c r="G39" s="13">
        <v>78.0</v>
      </c>
      <c r="H39" s="13">
        <v>39.0</v>
      </c>
      <c r="I39" s="13">
        <v>1.0</v>
      </c>
      <c r="J39" s="13">
        <v>3.0</v>
      </c>
      <c r="K39" s="12" t="s">
        <v>21</v>
      </c>
      <c r="L39" s="7">
        <v>39643.36452546297</v>
      </c>
      <c r="M39" s="16"/>
      <c r="N39" s="16"/>
      <c r="O39" s="11" t="str">
        <f>HYPERLINK("https://pbs.twimg.com/profile_images/1415565288/ilari2_normal.jpg","View")</f>
        <v>View</v>
      </c>
      <c r="P39" s="15"/>
    </row>
    <row r="40">
      <c r="A40" s="7">
        <v>42421.07125</v>
      </c>
      <c r="B40" s="8" t="str">
        <f t="shared" ref="B40:B44" si="5">HYPERLINK("https://twitter.com/unhabitat3","@unhabitat3")</f>
        <v>@unhabitat3</v>
      </c>
      <c r="C40" s="10" t="s">
        <v>6316</v>
      </c>
      <c r="D40" s="10" t="s">
        <v>6317</v>
      </c>
      <c r="E40" s="11" t="str">
        <f>HYPERLINK("https://twitter.com/unhabitat3/status/701341239912886272","701341239912886272")</f>
        <v>701341239912886272</v>
      </c>
      <c r="F40" s="12" t="s">
        <v>152</v>
      </c>
      <c r="G40" s="13">
        <v>71.0</v>
      </c>
      <c r="H40" s="13">
        <v>175.0</v>
      </c>
      <c r="I40" s="13">
        <v>9.0</v>
      </c>
      <c r="J40" s="13">
        <v>0.0</v>
      </c>
      <c r="K40" s="12" t="s">
        <v>21</v>
      </c>
      <c r="L40" s="7">
        <v>42192.19608796296</v>
      </c>
      <c r="M40" s="16"/>
      <c r="N40" s="16"/>
      <c r="O40" s="11" t="str">
        <f t="shared" ref="O40:O44" si="6">HYPERLINK("https://pbs.twimg.com/profile_images/640155007686340608/SXpSomyI_normal.png","View")</f>
        <v>View</v>
      </c>
      <c r="P40" s="15"/>
    </row>
    <row r="41">
      <c r="A41" s="7">
        <v>42421.07144675926</v>
      </c>
      <c r="B41" s="8" t="str">
        <f t="shared" si="5"/>
        <v>@unhabitat3</v>
      </c>
      <c r="C41" s="10" t="s">
        <v>6316</v>
      </c>
      <c r="D41" s="10" t="s">
        <v>6318</v>
      </c>
      <c r="E41" s="11" t="str">
        <f>HYPERLINK("https://twitter.com/unhabitat3/status/701341310725267456","701341310725267456")</f>
        <v>701341310725267456</v>
      </c>
      <c r="F41" s="12" t="s">
        <v>152</v>
      </c>
      <c r="G41" s="13">
        <v>71.0</v>
      </c>
      <c r="H41" s="13">
        <v>175.0</v>
      </c>
      <c r="I41" s="13">
        <v>15.0</v>
      </c>
      <c r="J41" s="13">
        <v>0.0</v>
      </c>
      <c r="K41" s="12" t="s">
        <v>21</v>
      </c>
      <c r="L41" s="7">
        <v>42192.19608796296</v>
      </c>
      <c r="M41" s="16"/>
      <c r="N41" s="16"/>
      <c r="O41" s="11" t="str">
        <f t="shared" si="6"/>
        <v>View</v>
      </c>
      <c r="P41" s="15"/>
    </row>
    <row r="42">
      <c r="A42" s="7">
        <v>42421.071493055555</v>
      </c>
      <c r="B42" s="8" t="str">
        <f t="shared" si="5"/>
        <v>@unhabitat3</v>
      </c>
      <c r="C42" s="10" t="s">
        <v>6316</v>
      </c>
      <c r="D42" s="10" t="s">
        <v>6319</v>
      </c>
      <c r="E42" s="11" t="str">
        <f>HYPERLINK("https://twitter.com/unhabitat3/status/701341329196974080","701341329196974080")</f>
        <v>701341329196974080</v>
      </c>
      <c r="F42" s="12" t="s">
        <v>152</v>
      </c>
      <c r="G42" s="13">
        <v>71.0</v>
      </c>
      <c r="H42" s="13">
        <v>175.0</v>
      </c>
      <c r="I42" s="13">
        <v>106.0</v>
      </c>
      <c r="J42" s="13">
        <v>0.0</v>
      </c>
      <c r="K42" s="12" t="s">
        <v>21</v>
      </c>
      <c r="L42" s="7">
        <v>42192.19608796296</v>
      </c>
      <c r="M42" s="16"/>
      <c r="N42" s="16"/>
      <c r="O42" s="11" t="str">
        <f t="shared" si="6"/>
        <v>View</v>
      </c>
      <c r="P42" s="15"/>
    </row>
    <row r="43">
      <c r="A43" s="7">
        <v>42421.07157407407</v>
      </c>
      <c r="B43" s="8" t="str">
        <f t="shared" si="5"/>
        <v>@unhabitat3</v>
      </c>
      <c r="C43" s="10" t="s">
        <v>6316</v>
      </c>
      <c r="D43" s="10" t="s">
        <v>2647</v>
      </c>
      <c r="E43" s="11" t="str">
        <f>HYPERLINK("https://twitter.com/unhabitat3/status/701341359186255872","701341359186255872")</f>
        <v>701341359186255872</v>
      </c>
      <c r="F43" s="12" t="s">
        <v>152</v>
      </c>
      <c r="G43" s="13">
        <v>71.0</v>
      </c>
      <c r="H43" s="13">
        <v>175.0</v>
      </c>
      <c r="I43" s="13">
        <v>35.0</v>
      </c>
      <c r="J43" s="13">
        <v>0.0</v>
      </c>
      <c r="K43" s="12" t="s">
        <v>21</v>
      </c>
      <c r="L43" s="7">
        <v>42192.19608796296</v>
      </c>
      <c r="M43" s="16"/>
      <c r="N43" s="16"/>
      <c r="O43" s="11" t="str">
        <f t="shared" si="6"/>
        <v>View</v>
      </c>
      <c r="P43" s="15"/>
    </row>
    <row r="44">
      <c r="A44" s="7">
        <v>42421.07166666667</v>
      </c>
      <c r="B44" s="8" t="str">
        <f t="shared" si="5"/>
        <v>@unhabitat3</v>
      </c>
      <c r="C44" s="10" t="s">
        <v>6316</v>
      </c>
      <c r="D44" s="10" t="s">
        <v>6320</v>
      </c>
      <c r="E44" s="11" t="str">
        <f>HYPERLINK("https://twitter.com/unhabitat3/status/701341392090624000","701341392090624000")</f>
        <v>701341392090624000</v>
      </c>
      <c r="F44" s="12" t="s">
        <v>152</v>
      </c>
      <c r="G44" s="13">
        <v>71.0</v>
      </c>
      <c r="H44" s="13">
        <v>175.0</v>
      </c>
      <c r="I44" s="13">
        <v>6.0</v>
      </c>
      <c r="J44" s="13">
        <v>0.0</v>
      </c>
      <c r="K44" s="12" t="s">
        <v>21</v>
      </c>
      <c r="L44" s="7">
        <v>42192.19608796296</v>
      </c>
      <c r="M44" s="16"/>
      <c r="N44" s="16"/>
      <c r="O44" s="11" t="str">
        <f t="shared" si="6"/>
        <v>View</v>
      </c>
      <c r="P44" s="15"/>
    </row>
    <row r="45">
      <c r="A45" s="7">
        <v>42421.07709490741</v>
      </c>
      <c r="B45" s="8" t="str">
        <f>HYPERLINK("https://twitter.com/MangoTheCat","@MangoTheCat")</f>
        <v>@MangoTheCat</v>
      </c>
      <c r="C45" s="10" t="s">
        <v>6321</v>
      </c>
      <c r="D45" s="10" t="s">
        <v>6322</v>
      </c>
      <c r="E45" s="11" t="str">
        <f>HYPERLINK("https://twitter.com/MangoTheCat/status/701343356857679872","701343356857679872")</f>
        <v>701343356857679872</v>
      </c>
      <c r="F45" s="12" t="s">
        <v>47</v>
      </c>
      <c r="G45" s="13">
        <v>2041.0</v>
      </c>
      <c r="H45" s="13">
        <v>2855.0</v>
      </c>
      <c r="I45" s="13">
        <v>2.0</v>
      </c>
      <c r="J45" s="13">
        <v>2.0</v>
      </c>
      <c r="K45" s="12" t="s">
        <v>21</v>
      </c>
      <c r="L45" s="7">
        <v>39854.3178587963</v>
      </c>
      <c r="M45" s="14" t="s">
        <v>6323</v>
      </c>
      <c r="N45" s="14" t="s">
        <v>6324</v>
      </c>
      <c r="O45" s="11" t="str">
        <f>HYPERLINK("https://pbs.twimg.com/profile_images/641183991077445633/V7VcBpJI_normal.png","View")</f>
        <v>View</v>
      </c>
      <c r="P45" s="15"/>
    </row>
    <row r="46">
      <c r="A46" s="7">
        <v>42421.0834837963</v>
      </c>
      <c r="B46" s="8" t="str">
        <f>HYPERLINK("https://twitter.com/haroldv29","@haroldv29")</f>
        <v>@haroldv29</v>
      </c>
      <c r="C46" s="10" t="s">
        <v>6325</v>
      </c>
      <c r="D46" s="10" t="s">
        <v>6256</v>
      </c>
      <c r="E46" s="11" t="str">
        <f>HYPERLINK("https://twitter.com/haroldv29/status/701345672449097728","701345672449097728")</f>
        <v>701345672449097728</v>
      </c>
      <c r="F46" s="12" t="s">
        <v>152</v>
      </c>
      <c r="G46" s="13">
        <v>106.0</v>
      </c>
      <c r="H46" s="13">
        <v>203.0</v>
      </c>
      <c r="I46" s="13">
        <v>9.0</v>
      </c>
      <c r="J46" s="13">
        <v>0.0</v>
      </c>
      <c r="K46" s="12" t="s">
        <v>21</v>
      </c>
      <c r="L46" s="7">
        <v>40160.76537037037</v>
      </c>
      <c r="M46" s="16"/>
      <c r="N46" s="14" t="s">
        <v>6326</v>
      </c>
      <c r="O46" s="11" t="str">
        <f>HYPERLINK("https://pbs.twimg.com/profile_images/692411409867612160/lLDRJ5DU_normal.jpg","View")</f>
        <v>View</v>
      </c>
      <c r="P46" s="15"/>
    </row>
    <row r="47">
      <c r="A47" s="7">
        <v>42421.09064814815</v>
      </c>
      <c r="B47" s="8" t="str">
        <f>HYPERLINK("https://twitter.com/Victpir","@Victpir")</f>
        <v>@Victpir</v>
      </c>
      <c r="C47" s="10" t="s">
        <v>6327</v>
      </c>
      <c r="D47" s="10" t="s">
        <v>6328</v>
      </c>
      <c r="E47" s="11" t="str">
        <f>HYPERLINK("https://twitter.com/Victpir/status/701348270451326976","701348270451326976")</f>
        <v>701348270451326976</v>
      </c>
      <c r="F47" s="12" t="s">
        <v>152</v>
      </c>
      <c r="G47" s="13">
        <v>28.0</v>
      </c>
      <c r="H47" s="13">
        <v>262.0</v>
      </c>
      <c r="I47" s="13">
        <v>47.0</v>
      </c>
      <c r="J47" s="13">
        <v>0.0</v>
      </c>
      <c r="K47" s="12" t="s">
        <v>21</v>
      </c>
      <c r="L47" s="7">
        <v>41393.19766203704</v>
      </c>
      <c r="M47" s="16"/>
      <c r="N47" s="16"/>
      <c r="O47" s="11" t="str">
        <f>HYPERLINK("https://pbs.twimg.com/profile_images/699148850829905920/G-7CEPSg_normal.jpg","View")</f>
        <v>View</v>
      </c>
      <c r="P47" s="15"/>
    </row>
    <row r="48">
      <c r="A48" s="7">
        <v>42421.094502314816</v>
      </c>
      <c r="B48" s="8" t="str">
        <f>HYPERLINK("https://twitter.com/rommelnc","@rommelnc")</f>
        <v>@rommelnc</v>
      </c>
      <c r="C48" s="10" t="s">
        <v>6329</v>
      </c>
      <c r="D48" s="10" t="s">
        <v>6256</v>
      </c>
      <c r="E48" s="11" t="str">
        <f>HYPERLINK("https://twitter.com/rommelnc/status/701349665569169408","701349665569169408")</f>
        <v>701349665569169408</v>
      </c>
      <c r="F48" s="12" t="s">
        <v>52</v>
      </c>
      <c r="G48" s="13">
        <v>161.0</v>
      </c>
      <c r="H48" s="13">
        <v>184.0</v>
      </c>
      <c r="I48" s="13">
        <v>9.0</v>
      </c>
      <c r="J48" s="13">
        <v>0.0</v>
      </c>
      <c r="K48" s="12" t="s">
        <v>21</v>
      </c>
      <c r="L48" s="7">
        <v>40246.26988425926</v>
      </c>
      <c r="M48" s="14" t="s">
        <v>6330</v>
      </c>
      <c r="N48" s="16"/>
      <c r="O48" s="11" t="str">
        <f>HYPERLINK("https://pbs.twimg.com/profile_images/648656800103829504/tZ2qhIMO_normal.png","View")</f>
        <v>View</v>
      </c>
      <c r="P48" s="15"/>
    </row>
    <row r="49">
      <c r="A49" s="7">
        <v>42421.100439814814</v>
      </c>
      <c r="B49" s="8" t="str">
        <f>HYPERLINK("https://twitter.com/ttso","@ttso")</f>
        <v>@ttso</v>
      </c>
      <c r="C49" s="10" t="s">
        <v>6331</v>
      </c>
      <c r="D49" s="10" t="s">
        <v>6332</v>
      </c>
      <c r="E49" s="11" t="str">
        <f>HYPERLINK("https://twitter.com/ttso/status/701351818543104000","701351818543104000")</f>
        <v>701351818543104000</v>
      </c>
      <c r="F49" s="12" t="s">
        <v>446</v>
      </c>
      <c r="G49" s="13">
        <v>655.0</v>
      </c>
      <c r="H49" s="13">
        <v>693.0</v>
      </c>
      <c r="I49" s="13">
        <v>1.0</v>
      </c>
      <c r="J49" s="13">
        <v>1.0</v>
      </c>
      <c r="K49" s="12" t="s">
        <v>21</v>
      </c>
      <c r="L49" s="7">
        <v>39519.084814814814</v>
      </c>
      <c r="M49" s="14" t="s">
        <v>6333</v>
      </c>
      <c r="N49" s="14" t="s">
        <v>6334</v>
      </c>
      <c r="O49" s="11" t="str">
        <f>HYPERLINK("https://pbs.twimg.com/profile_images/1486059918/photo_normal.jpg","View")</f>
        <v>View</v>
      </c>
      <c r="P49" s="15"/>
    </row>
    <row r="50">
      <c r="A50" s="7">
        <v>42421.1015625</v>
      </c>
      <c r="B50" s="8" t="str">
        <f>HYPERLINK("https://twitter.com/SonjaEisenbeiss","@SonjaEisenbeiss")</f>
        <v>@SonjaEisenbeiss</v>
      </c>
      <c r="C50" s="10" t="s">
        <v>6335</v>
      </c>
      <c r="D50" s="10" t="s">
        <v>6336</v>
      </c>
      <c r="E50" s="11" t="str">
        <f>HYPERLINK("https://twitter.com/SonjaEisenbeiss/status/701352225935900672","701352225935900672")</f>
        <v>701352225935900672</v>
      </c>
      <c r="F50" s="12" t="s">
        <v>20</v>
      </c>
      <c r="G50" s="13">
        <v>394.0</v>
      </c>
      <c r="H50" s="13">
        <v>371.0</v>
      </c>
      <c r="I50" s="13">
        <v>2.0</v>
      </c>
      <c r="J50" s="13">
        <v>3.0</v>
      </c>
      <c r="K50" s="12" t="s">
        <v>21</v>
      </c>
      <c r="L50" s="7">
        <v>41587.329722222225</v>
      </c>
      <c r="M50" s="14" t="s">
        <v>6337</v>
      </c>
      <c r="N50" s="14" t="s">
        <v>6338</v>
      </c>
      <c r="O50" s="11" t="str">
        <f>HYPERLINK("https://pbs.twimg.com/profile_images/378800000716706016/fbe6bfebfc50a984d21bb14621555e14_normal.jpeg","View")</f>
        <v>View</v>
      </c>
      <c r="P50" s="15"/>
    </row>
    <row r="51">
      <c r="A51" s="7">
        <v>42421.102222222224</v>
      </c>
      <c r="B51" s="8" t="str">
        <f>HYPERLINK("https://twitter.com/ttso","@ttso")</f>
        <v>@ttso</v>
      </c>
      <c r="C51" s="10" t="s">
        <v>6331</v>
      </c>
      <c r="D51" s="10" t="s">
        <v>6339</v>
      </c>
      <c r="E51" s="11" t="str">
        <f>HYPERLINK("https://twitter.com/ttso/status/701352462201053186","701352462201053186")</f>
        <v>701352462201053186</v>
      </c>
      <c r="F51" s="12" t="s">
        <v>446</v>
      </c>
      <c r="G51" s="13">
        <v>655.0</v>
      </c>
      <c r="H51" s="13">
        <v>693.0</v>
      </c>
      <c r="I51" s="13">
        <v>1.0</v>
      </c>
      <c r="J51" s="13">
        <v>0.0</v>
      </c>
      <c r="K51" s="12" t="s">
        <v>21</v>
      </c>
      <c r="L51" s="7">
        <v>39519.084814814814</v>
      </c>
      <c r="M51" s="14" t="s">
        <v>6333</v>
      </c>
      <c r="N51" s="14" t="s">
        <v>6334</v>
      </c>
      <c r="O51" s="11" t="str">
        <f>HYPERLINK("https://pbs.twimg.com/profile_images/1486059918/photo_normal.jpg","View")</f>
        <v>View</v>
      </c>
      <c r="P51" s="15"/>
    </row>
    <row r="52">
      <c r="A52" s="7">
        <v>42421.12163194444</v>
      </c>
      <c r="B52" s="8" t="str">
        <f>HYPERLINK("https://twitter.com/drs_ch","@drs_ch")</f>
        <v>@drs_ch</v>
      </c>
      <c r="C52" s="10" t="s">
        <v>6340</v>
      </c>
      <c r="D52" s="10" t="s">
        <v>2647</v>
      </c>
      <c r="E52" s="11" t="str">
        <f>HYPERLINK("https://twitter.com/drs_ch/status/701359497739116544","701359497739116544")</f>
        <v>701359497739116544</v>
      </c>
      <c r="F52" s="12" t="s">
        <v>294</v>
      </c>
      <c r="G52" s="13">
        <v>3991.0</v>
      </c>
      <c r="H52" s="13">
        <v>3542.0</v>
      </c>
      <c r="I52" s="13">
        <v>35.0</v>
      </c>
      <c r="J52" s="13">
        <v>0.0</v>
      </c>
      <c r="K52" s="12" t="s">
        <v>21</v>
      </c>
      <c r="L52" s="7">
        <v>40452.02905092593</v>
      </c>
      <c r="M52" s="14" t="s">
        <v>6341</v>
      </c>
      <c r="N52" s="14" t="s">
        <v>6342</v>
      </c>
      <c r="O52" s="11" t="str">
        <f>HYPERLINK("https://pbs.twimg.com/profile_images/378800000091528805/cd3811861746d3dca7e0241d3660b7bc_normal.jpeg","View")</f>
        <v>View</v>
      </c>
      <c r="P52" s="15"/>
    </row>
    <row r="53">
      <c r="A53" s="7">
        <v>42421.12449074074</v>
      </c>
      <c r="B53" s="8" t="str">
        <f>HYPERLINK("https://twitter.com/nnfuzzy","@nnfuzzy")</f>
        <v>@nnfuzzy</v>
      </c>
      <c r="C53" s="10" t="s">
        <v>6343</v>
      </c>
      <c r="D53" s="10" t="s">
        <v>3879</v>
      </c>
      <c r="E53" s="11" t="str">
        <f>HYPERLINK("https://twitter.com/nnfuzzy/status/701360534369738752","701360534369738752")</f>
        <v>701360534369738752</v>
      </c>
      <c r="F53" s="12" t="s">
        <v>152</v>
      </c>
      <c r="G53" s="13">
        <v>29.0</v>
      </c>
      <c r="H53" s="13">
        <v>39.0</v>
      </c>
      <c r="I53" s="13">
        <v>10.0</v>
      </c>
      <c r="J53" s="13">
        <v>0.0</v>
      </c>
      <c r="K53" s="12" t="s">
        <v>21</v>
      </c>
      <c r="L53" s="7">
        <v>40846.93938657407</v>
      </c>
      <c r="M53" s="16"/>
      <c r="N53" s="16"/>
      <c r="O53" s="11" t="str">
        <f>HYPERLINK("https://pbs.twimg.com/profile_images/2605540262/vld0ipxfdopz8ijtqisd_normal.jpeg","View")</f>
        <v>View</v>
      </c>
      <c r="P53" s="15"/>
    </row>
    <row r="54">
      <c r="A54" s="7">
        <v>42421.13768518518</v>
      </c>
      <c r="B54" s="8" t="str">
        <f>HYPERLINK("https://twitter.com/markheckmann","@markheckmann")</f>
        <v>@markheckmann</v>
      </c>
      <c r="C54" s="10" t="s">
        <v>6344</v>
      </c>
      <c r="D54" s="10" t="s">
        <v>6345</v>
      </c>
      <c r="E54" s="11" t="str">
        <f>HYPERLINK("https://twitter.com/markheckmann/status/701365316165746689","701365316165746689")</f>
        <v>701365316165746689</v>
      </c>
      <c r="F54" s="12" t="s">
        <v>20</v>
      </c>
      <c r="G54" s="13">
        <v>54.0</v>
      </c>
      <c r="H54" s="13">
        <v>28.0</v>
      </c>
      <c r="I54" s="13">
        <v>1.0</v>
      </c>
      <c r="J54" s="13">
        <v>0.0</v>
      </c>
      <c r="K54" s="12" t="s">
        <v>21</v>
      </c>
      <c r="L54" s="7">
        <v>39737.09606481482</v>
      </c>
      <c r="M54" s="14" t="s">
        <v>6346</v>
      </c>
      <c r="N54" s="14" t="s">
        <v>6347</v>
      </c>
      <c r="O54" s="11" t="str">
        <f>HYPERLINK("https://pbs.twimg.com/profile_images/378800000770774371/c8edc88c5ae8f79dad546de7735ad2a7_normal.jpeg","View")</f>
        <v>View</v>
      </c>
      <c r="P54" s="15"/>
    </row>
    <row r="55">
      <c r="A55" s="7">
        <v>42421.13792824074</v>
      </c>
      <c r="B55" s="8" t="str">
        <f>HYPERLINK("https://twitter.com/DataAndDataViz","@DataAndDataViz")</f>
        <v>@DataAndDataViz</v>
      </c>
      <c r="C55" s="10" t="s">
        <v>5145</v>
      </c>
      <c r="D55" s="10" t="s">
        <v>6348</v>
      </c>
      <c r="E55" s="11" t="str">
        <f>HYPERLINK("https://twitter.com/DataAndDataViz/status/701365402740379648","701365402740379648")</f>
        <v>701365402740379648</v>
      </c>
      <c r="F55" s="12" t="s">
        <v>5146</v>
      </c>
      <c r="G55" s="13">
        <v>473.0</v>
      </c>
      <c r="H55" s="13">
        <v>140.0</v>
      </c>
      <c r="I55" s="13">
        <v>9.0</v>
      </c>
      <c r="J55" s="13">
        <v>0.0</v>
      </c>
      <c r="K55" s="12" t="s">
        <v>21</v>
      </c>
      <c r="L55" s="7">
        <v>41603.30427083334</v>
      </c>
      <c r="M55" s="16"/>
      <c r="N55" s="14" t="s">
        <v>5147</v>
      </c>
      <c r="O55" s="11" t="str">
        <f>HYPERLINK("https://pbs.twimg.com/profile_images/412249095110008832/J_K4--iQ_normal.png","View")</f>
        <v>View</v>
      </c>
      <c r="P55" s="15"/>
    </row>
    <row r="56">
      <c r="A56" s="7">
        <v>42421.145520833335</v>
      </c>
      <c r="B56" s="8" t="str">
        <f>HYPERLINK("https://twitter.com/AGiesenNRW","@AGiesenNRW")</f>
        <v>@AGiesenNRW</v>
      </c>
      <c r="C56" s="10" t="s">
        <v>6349</v>
      </c>
      <c r="D56" s="10" t="s">
        <v>2647</v>
      </c>
      <c r="E56" s="11" t="str">
        <f>HYPERLINK("https://twitter.com/AGiesenNRW/status/701368154287640576","701368154287640576")</f>
        <v>701368154287640576</v>
      </c>
      <c r="F56" s="12" t="s">
        <v>152</v>
      </c>
      <c r="G56" s="13">
        <v>1069.0</v>
      </c>
      <c r="H56" s="13">
        <v>576.0</v>
      </c>
      <c r="I56" s="13">
        <v>35.0</v>
      </c>
      <c r="J56" s="13">
        <v>0.0</v>
      </c>
      <c r="K56" s="12" t="s">
        <v>21</v>
      </c>
      <c r="L56" s="7">
        <v>41971.617939814816</v>
      </c>
      <c r="M56" s="14" t="s">
        <v>5361</v>
      </c>
      <c r="N56" s="14" t="s">
        <v>6350</v>
      </c>
      <c r="O56" s="11" t="str">
        <f>HYPERLINK("https://pbs.twimg.com/profile_images/687630441893900288/RvOaRxIg_normal.jpg","View")</f>
        <v>View</v>
      </c>
      <c r="P56" s="15"/>
    </row>
    <row r="57">
      <c r="A57" s="7">
        <v>42421.14739583334</v>
      </c>
      <c r="B57" s="8" t="str">
        <f>HYPERLINK("https://twitter.com/BestCourses_","@BestCourses_")</f>
        <v>@BestCourses_</v>
      </c>
      <c r="C57" s="10" t="s">
        <v>409</v>
      </c>
      <c r="D57" s="10" t="s">
        <v>6351</v>
      </c>
      <c r="E57" s="11" t="str">
        <f>HYPERLINK("https://twitter.com/BestCourses_/status/701368832619892736","701368832619892736")</f>
        <v>701368832619892736</v>
      </c>
      <c r="F57" s="12" t="s">
        <v>103</v>
      </c>
      <c r="G57" s="13">
        <v>528.0</v>
      </c>
      <c r="H57" s="13">
        <v>40.0</v>
      </c>
      <c r="I57" s="13">
        <v>0.0</v>
      </c>
      <c r="J57" s="13">
        <v>1.0</v>
      </c>
      <c r="K57" s="12" t="s">
        <v>21</v>
      </c>
      <c r="L57" s="7">
        <v>42294.333125000005</v>
      </c>
      <c r="M57" s="14" t="s">
        <v>411</v>
      </c>
      <c r="N57" s="14" t="s">
        <v>412</v>
      </c>
      <c r="O57" s="11" t="str">
        <f>HYPERLINK("https://pbs.twimg.com/profile_images/655401968802861056/yuPEMhy3_normal.jpg","View")</f>
        <v>View</v>
      </c>
      <c r="P57" s="15"/>
    </row>
    <row r="58">
      <c r="A58" s="7">
        <v>42421.1586574074</v>
      </c>
      <c r="B58" s="8" t="str">
        <f>HYPERLINK("https://twitter.com/Juan_A_Lleo","@Juan_A_Lleo")</f>
        <v>@Juan_A_Lleo</v>
      </c>
      <c r="C58" s="10" t="s">
        <v>6352</v>
      </c>
      <c r="D58" s="10" t="s">
        <v>6353</v>
      </c>
      <c r="E58" s="11" t="str">
        <f>HYPERLINK("https://twitter.com/Juan_A_Lleo/status/701372916898865152","701372916898865152")</f>
        <v>701372916898865152</v>
      </c>
      <c r="F58" s="12" t="s">
        <v>152</v>
      </c>
      <c r="G58" s="13">
        <v>980.0</v>
      </c>
      <c r="H58" s="13">
        <v>2271.0</v>
      </c>
      <c r="I58" s="13">
        <v>0.0</v>
      </c>
      <c r="J58" s="13">
        <v>0.0</v>
      </c>
      <c r="K58" s="12" t="s">
        <v>21</v>
      </c>
      <c r="L58" s="7">
        <v>41392.590636574074</v>
      </c>
      <c r="M58" s="14" t="s">
        <v>6354</v>
      </c>
      <c r="N58" s="14" t="s">
        <v>6355</v>
      </c>
      <c r="O58" s="11" t="str">
        <f>HYPERLINK("https://pbs.twimg.com/profile_images/3587933843/b6e7fdace3be152afb087ed5e896a2e0_normal.jpeg","View")</f>
        <v>View</v>
      </c>
      <c r="P58" s="15"/>
    </row>
    <row r="59">
      <c r="A59" s="7">
        <v>42421.17474537037</v>
      </c>
      <c r="B59" s="8" t="str">
        <f>HYPERLINK("https://twitter.com/YleAPI","@YleAPI")</f>
        <v>@YleAPI</v>
      </c>
      <c r="C59" s="10" t="s">
        <v>6356</v>
      </c>
      <c r="D59" s="10" t="s">
        <v>6357</v>
      </c>
      <c r="E59" s="11" t="str">
        <f>HYPERLINK("https://twitter.com/YleAPI/status/701378744775274496","701378744775274496")</f>
        <v>701378744775274496</v>
      </c>
      <c r="F59" s="12" t="s">
        <v>152</v>
      </c>
      <c r="G59" s="13">
        <v>180.0</v>
      </c>
      <c r="H59" s="13">
        <v>10.0</v>
      </c>
      <c r="I59" s="13">
        <v>1.0</v>
      </c>
      <c r="J59" s="13">
        <v>0.0</v>
      </c>
      <c r="K59" s="12" t="s">
        <v>21</v>
      </c>
      <c r="L59" s="7">
        <v>42130.195972222224</v>
      </c>
      <c r="M59" s="16"/>
      <c r="N59" s="14" t="s">
        <v>6358</v>
      </c>
      <c r="O59" s="11" t="str">
        <f>HYPERLINK("https://pbs.twimg.com/profile_images/596014258783064064/JFF2zo3__normal.png","View")</f>
        <v>View</v>
      </c>
      <c r="P59" s="15"/>
    </row>
    <row r="60">
      <c r="A60" s="7">
        <v>42421.18754629629</v>
      </c>
      <c r="B60" s="8" t="str">
        <f>HYPERLINK("https://twitter.com/sig_stats","@sig_stats")</f>
        <v>@sig_stats</v>
      </c>
      <c r="C60" s="10" t="s">
        <v>6359</v>
      </c>
      <c r="D60" s="10" t="s">
        <v>6275</v>
      </c>
      <c r="E60" s="11" t="str">
        <f>HYPERLINK("https://twitter.com/sig_stats/status/701383386166910977","701383386166910977")</f>
        <v>701383386166910977</v>
      </c>
      <c r="F60" s="12" t="s">
        <v>6360</v>
      </c>
      <c r="G60" s="13">
        <v>26.0</v>
      </c>
      <c r="H60" s="13">
        <v>9.0</v>
      </c>
      <c r="I60" s="13">
        <v>31.0</v>
      </c>
      <c r="J60" s="13">
        <v>0.0</v>
      </c>
      <c r="K60" s="12" t="s">
        <v>21</v>
      </c>
      <c r="L60" s="7">
        <v>42336.639606481476</v>
      </c>
      <c r="M60" s="14" t="s">
        <v>765</v>
      </c>
      <c r="N60" s="14" t="s">
        <v>6361</v>
      </c>
      <c r="O60" s="11" t="str">
        <f>HYPERLINK("https://pbs.twimg.com/profile_images/672029237029793792/_qKmCzM8_normal.png","View")</f>
        <v>View</v>
      </c>
      <c r="P60" s="15"/>
    </row>
    <row r="61">
      <c r="A61" s="7">
        <v>42421.19440972222</v>
      </c>
      <c r="B61" s="8" t="str">
        <f>HYPERLINK("https://twitter.com/naujoksfrederik","@naujoksfrederik")</f>
        <v>@naujoksfrederik</v>
      </c>
      <c r="C61" s="10" t="s">
        <v>6362</v>
      </c>
      <c r="D61" s="10" t="s">
        <v>2647</v>
      </c>
      <c r="E61" s="11" t="str">
        <f>HYPERLINK("https://twitter.com/naujoksfrederik/status/701385871703015424","701385871703015424")</f>
        <v>701385871703015424</v>
      </c>
      <c r="F61" s="12" t="s">
        <v>52</v>
      </c>
      <c r="G61" s="13">
        <v>28.0</v>
      </c>
      <c r="H61" s="13">
        <v>139.0</v>
      </c>
      <c r="I61" s="13">
        <v>35.0</v>
      </c>
      <c r="J61" s="13">
        <v>0.0</v>
      </c>
      <c r="K61" s="12" t="s">
        <v>21</v>
      </c>
      <c r="L61" s="7">
        <v>42409.95601851852</v>
      </c>
      <c r="M61" s="14" t="s">
        <v>6363</v>
      </c>
      <c r="N61" s="14" t="s">
        <v>6364</v>
      </c>
      <c r="O61" s="11" t="str">
        <f>HYPERLINK("https://pbs.twimg.com/profile_images/697888747480858628/0FmUyEs-_normal.jpg","View")</f>
        <v>View</v>
      </c>
      <c r="P61" s="15"/>
    </row>
    <row r="62">
      <c r="A62" s="7">
        <v>42421.22621527778</v>
      </c>
      <c r="B62" s="8" t="str">
        <f>HYPERLINK("https://twitter.com/carlcarrie","@carlcarrie")</f>
        <v>@carlcarrie</v>
      </c>
      <c r="C62" s="10" t="s">
        <v>6365</v>
      </c>
      <c r="D62" s="10" t="s">
        <v>6366</v>
      </c>
      <c r="E62" s="11" t="str">
        <f>HYPERLINK("https://twitter.com/carlcarrie/status/701397396216012800","701397396216012800")</f>
        <v>701397396216012800</v>
      </c>
      <c r="F62" s="12" t="s">
        <v>52</v>
      </c>
      <c r="G62" s="13">
        <v>3281.0</v>
      </c>
      <c r="H62" s="13">
        <v>866.0</v>
      </c>
      <c r="I62" s="13">
        <v>0.0</v>
      </c>
      <c r="J62" s="13">
        <v>0.0</v>
      </c>
      <c r="K62" s="12" t="s">
        <v>21</v>
      </c>
      <c r="L62" s="7">
        <v>39991.62917824074</v>
      </c>
      <c r="M62" s="14" t="s">
        <v>1693</v>
      </c>
      <c r="N62" s="14" t="s">
        <v>6367</v>
      </c>
      <c r="O62" s="11" t="str">
        <f>HYPERLINK("https://pbs.twimg.com/profile_images/297743194/My_headshot_normal.png","View")</f>
        <v>View</v>
      </c>
      <c r="P62" s="15"/>
    </row>
    <row r="63">
      <c r="A63" s="7">
        <v>42421.229722222226</v>
      </c>
      <c r="B63" s="8" t="str">
        <f>HYPERLINK("https://twitter.com/AnalyticsVidhya","@AnalyticsVidhya")</f>
        <v>@AnalyticsVidhya</v>
      </c>
      <c r="C63" s="10" t="s">
        <v>2998</v>
      </c>
      <c r="D63" s="10" t="s">
        <v>6368</v>
      </c>
      <c r="E63" s="11" t="str">
        <f>HYPERLINK("https://twitter.com/AnalyticsVidhya/status/701398667148849153","701398667148849153")</f>
        <v>701398667148849153</v>
      </c>
      <c r="F63" s="12" t="s">
        <v>659</v>
      </c>
      <c r="G63" s="13">
        <v>4133.0</v>
      </c>
      <c r="H63" s="13">
        <v>250.0</v>
      </c>
      <c r="I63" s="13">
        <v>1.0</v>
      </c>
      <c r="J63" s="13">
        <v>1.0</v>
      </c>
      <c r="K63" s="12" t="s">
        <v>21</v>
      </c>
      <c r="L63" s="7">
        <v>41665.11702546296</v>
      </c>
      <c r="M63" s="16"/>
      <c r="N63" s="14" t="s">
        <v>3000</v>
      </c>
      <c r="O63" s="11" t="str">
        <f>HYPERLINK("https://pbs.twimg.com/profile_images/457775762108448768/XmO2C1-E_normal.png","View")</f>
        <v>View</v>
      </c>
      <c r="P63" s="15"/>
    </row>
    <row r="64">
      <c r="A64" s="7">
        <v>42421.23633101852</v>
      </c>
      <c r="B64" s="8" t="str">
        <f>HYPERLINK("https://twitter.com/BoSchwartz","@BoSchwartz")</f>
        <v>@BoSchwartz</v>
      </c>
      <c r="C64" s="10" t="s">
        <v>6369</v>
      </c>
      <c r="D64" s="10" t="s">
        <v>6370</v>
      </c>
      <c r="E64" s="11" t="str">
        <f>HYPERLINK("https://twitter.com/BoSchwartz/status/701401062922653698","701401062922653698")</f>
        <v>701401062922653698</v>
      </c>
      <c r="F64" s="12" t="s">
        <v>20</v>
      </c>
      <c r="G64" s="13">
        <v>677.0</v>
      </c>
      <c r="H64" s="13">
        <v>788.0</v>
      </c>
      <c r="I64" s="13">
        <v>0.0</v>
      </c>
      <c r="J64" s="13">
        <v>1.0</v>
      </c>
      <c r="K64" s="12" t="s">
        <v>21</v>
      </c>
      <c r="L64" s="7">
        <v>39898.23520833333</v>
      </c>
      <c r="M64" s="14" t="s">
        <v>371</v>
      </c>
      <c r="N64" s="14" t="s">
        <v>6371</v>
      </c>
      <c r="O64" s="11" t="str">
        <f>HYPERLINK("https://pbs.twimg.com/profile_images/423758206267977729/AuOW_qcq_normal.jpeg","View")</f>
        <v>View</v>
      </c>
      <c r="P64" s="15"/>
    </row>
    <row r="65">
      <c r="A65" s="7">
        <v>42421.250868055555</v>
      </c>
      <c r="B65" s="8" t="str">
        <f>HYPERLINK("https://twitter.com/Pepper_Lir","@Pepper_Lir")</f>
        <v>@Pepper_Lir</v>
      </c>
      <c r="C65" s="10" t="s">
        <v>6372</v>
      </c>
      <c r="D65" s="10" t="s">
        <v>6262</v>
      </c>
      <c r="E65" s="11" t="str">
        <f>HYPERLINK("https://twitter.com/Pepper_Lir/status/701406329672507393","701406329672507393")</f>
        <v>701406329672507393</v>
      </c>
      <c r="F65" s="12" t="s">
        <v>52</v>
      </c>
      <c r="G65" s="13">
        <v>18.0</v>
      </c>
      <c r="H65" s="13">
        <v>21.0</v>
      </c>
      <c r="I65" s="13">
        <v>32.0</v>
      </c>
      <c r="J65" s="13">
        <v>0.0</v>
      </c>
      <c r="K65" s="12" t="s">
        <v>21</v>
      </c>
      <c r="L65" s="7">
        <v>42395.31427083333</v>
      </c>
      <c r="M65" s="16"/>
      <c r="N65" s="14" t="s">
        <v>6373</v>
      </c>
      <c r="O65" s="11" t="str">
        <f>HYPERLINK("https://pbs.twimg.com/profile_images/701461907195174912/DdihP-AT_normal.jpg","View")</f>
        <v>View</v>
      </c>
      <c r="P65" s="15"/>
    </row>
    <row r="66">
      <c r="A66" s="7">
        <v>42421.25733796296</v>
      </c>
      <c r="B66" s="8" t="str">
        <f>HYPERLINK("https://twitter.com/odsc","@odsc")</f>
        <v>@odsc</v>
      </c>
      <c r="C66" s="10" t="s">
        <v>3212</v>
      </c>
      <c r="D66" s="10" t="s">
        <v>6374</v>
      </c>
      <c r="E66" s="11" t="str">
        <f>HYPERLINK("https://twitter.com/odsc/status/701408674338750464","701408674338750464")</f>
        <v>701408674338750464</v>
      </c>
      <c r="F66" s="12" t="s">
        <v>659</v>
      </c>
      <c r="G66" s="13">
        <v>13823.0</v>
      </c>
      <c r="H66" s="13">
        <v>6657.0</v>
      </c>
      <c r="I66" s="13">
        <v>1.0</v>
      </c>
      <c r="J66" s="13">
        <v>1.0</v>
      </c>
      <c r="K66" s="12" t="s">
        <v>21</v>
      </c>
      <c r="L66" s="7">
        <v>42039.6077662037</v>
      </c>
      <c r="M66" s="14" t="s">
        <v>3214</v>
      </c>
      <c r="N66" s="14" t="s">
        <v>3215</v>
      </c>
      <c r="O66" s="11" t="str">
        <f>HYPERLINK("https://pbs.twimg.com/profile_images/623923923441348612/HxO7gaZZ_normal.png","View")</f>
        <v>View</v>
      </c>
      <c r="P66" s="15"/>
    </row>
    <row r="67">
      <c r="A67" s="7">
        <v>42421.26231481481</v>
      </c>
      <c r="B67" s="8" t="str">
        <f t="shared" ref="B67:B68" si="7">HYPERLINK("https://twitter.com/bramasolo","@bramasolo")</f>
        <v>@bramasolo</v>
      </c>
      <c r="C67" s="10" t="s">
        <v>6375</v>
      </c>
      <c r="D67" s="10" t="s">
        <v>6312</v>
      </c>
      <c r="E67" s="11" t="str">
        <f>HYPERLINK("https://twitter.com/bramasolo/status/701410479005040641","701410479005040641")</f>
        <v>701410479005040641</v>
      </c>
      <c r="F67" s="12" t="s">
        <v>20</v>
      </c>
      <c r="G67" s="13">
        <v>44.0</v>
      </c>
      <c r="H67" s="13">
        <v>199.0</v>
      </c>
      <c r="I67" s="13">
        <v>32.0</v>
      </c>
      <c r="J67" s="13">
        <v>0.0</v>
      </c>
      <c r="K67" s="12" t="s">
        <v>21</v>
      </c>
      <c r="L67" s="7">
        <v>40220.3465162037</v>
      </c>
      <c r="M67" s="14" t="s">
        <v>5646</v>
      </c>
      <c r="N67" s="14" t="s">
        <v>6376</v>
      </c>
      <c r="O67" s="11" t="str">
        <f t="shared" ref="O67:O68" si="8">HYPERLINK("https://pbs.twimg.com/profile_images/671906683891810304/9aPCDSao_normal.jpg","View")</f>
        <v>View</v>
      </c>
      <c r="P67" s="15"/>
    </row>
    <row r="68">
      <c r="A68" s="7">
        <v>42421.26695601852</v>
      </c>
      <c r="B68" s="8" t="str">
        <f t="shared" si="7"/>
        <v>@bramasolo</v>
      </c>
      <c r="C68" s="10" t="s">
        <v>6375</v>
      </c>
      <c r="D68" s="10" t="s">
        <v>6377</v>
      </c>
      <c r="E68" s="11" t="str">
        <f>HYPERLINK("https://twitter.com/bramasolo/status/701412159536771072","701412159536771072")</f>
        <v>701412159536771072</v>
      </c>
      <c r="F68" s="12" t="s">
        <v>20</v>
      </c>
      <c r="G68" s="13">
        <v>44.0</v>
      </c>
      <c r="H68" s="13">
        <v>199.0</v>
      </c>
      <c r="I68" s="13">
        <v>9.0</v>
      </c>
      <c r="J68" s="13">
        <v>0.0</v>
      </c>
      <c r="K68" s="12" t="s">
        <v>21</v>
      </c>
      <c r="L68" s="7">
        <v>40220.3465162037</v>
      </c>
      <c r="M68" s="14" t="s">
        <v>5646</v>
      </c>
      <c r="N68" s="14" t="s">
        <v>6376</v>
      </c>
      <c r="O68" s="11" t="str">
        <f t="shared" si="8"/>
        <v>View</v>
      </c>
      <c r="P68" s="15"/>
    </row>
    <row r="69">
      <c r="A69" s="7">
        <v>42421.27333333333</v>
      </c>
      <c r="B69" s="8" t="str">
        <f>HYPERLINK("https://twitter.com/jaroreken","@jaroreken")</f>
        <v>@jaroreken</v>
      </c>
      <c r="C69" s="10" t="s">
        <v>6378</v>
      </c>
      <c r="D69" s="10" t="s">
        <v>6379</v>
      </c>
      <c r="E69" s="11" t="str">
        <f>HYPERLINK("https://twitter.com/jaroreken/status/701414473354051584","701414473354051584")</f>
        <v>701414473354051584</v>
      </c>
      <c r="F69" s="12" t="s">
        <v>52</v>
      </c>
      <c r="G69" s="13">
        <v>53.0</v>
      </c>
      <c r="H69" s="13">
        <v>147.0</v>
      </c>
      <c r="I69" s="13">
        <v>61.0</v>
      </c>
      <c r="J69" s="13">
        <v>0.0</v>
      </c>
      <c r="K69" s="12" t="s">
        <v>21</v>
      </c>
      <c r="L69" s="7">
        <v>41051.46126157408</v>
      </c>
      <c r="M69" s="14" t="s">
        <v>6380</v>
      </c>
      <c r="N69" s="14" t="s">
        <v>6381</v>
      </c>
      <c r="O69" s="11" t="str">
        <f>HYPERLINK("https://pbs.twimg.com/profile_images/598736051037810688/_UDDnV3E_normal.png","View")</f>
        <v>View</v>
      </c>
      <c r="P69" s="15"/>
    </row>
    <row r="70">
      <c r="A70" s="7">
        <v>42421.282222222224</v>
      </c>
      <c r="B70" s="8" t="str">
        <f>HYPERLINK("https://twitter.com/jon_framp","@jon_framp")</f>
        <v>@jon_framp</v>
      </c>
      <c r="C70" s="10" t="s">
        <v>6382</v>
      </c>
      <c r="D70" s="10" t="s">
        <v>6256</v>
      </c>
      <c r="E70" s="11" t="str">
        <f>HYPERLINK("https://twitter.com/jon_framp/status/701417693476364288","701417693476364288")</f>
        <v>701417693476364288</v>
      </c>
      <c r="F70" s="12" t="s">
        <v>1573</v>
      </c>
      <c r="G70" s="13">
        <v>231.0</v>
      </c>
      <c r="H70" s="13">
        <v>522.0</v>
      </c>
      <c r="I70" s="13">
        <v>9.0</v>
      </c>
      <c r="J70" s="13">
        <v>0.0</v>
      </c>
      <c r="K70" s="12" t="s">
        <v>21</v>
      </c>
      <c r="L70" s="7">
        <v>40820.50349537037</v>
      </c>
      <c r="M70" s="14" t="s">
        <v>719</v>
      </c>
      <c r="N70" s="14" t="s">
        <v>6383</v>
      </c>
      <c r="O70" s="11" t="str">
        <f>HYPERLINK("https://pbs.twimg.com/profile_images/640659801395953664/eHaEu0aT_normal.jpg","View")</f>
        <v>View</v>
      </c>
      <c r="P70" s="15"/>
    </row>
    <row r="71">
      <c r="A71" s="7">
        <v>42421.28430555556</v>
      </c>
      <c r="B71" s="8" t="str">
        <f>HYPERLINK("https://twitter.com/itsjeffreyy76","@itsjeffreyy76")</f>
        <v>@itsjeffreyy76</v>
      </c>
      <c r="C71" s="10" t="s">
        <v>6384</v>
      </c>
      <c r="D71" s="10" t="s">
        <v>6256</v>
      </c>
      <c r="E71" s="11" t="str">
        <f>HYPERLINK("https://twitter.com/itsjeffreyy76/status/701418449310879745","701418449310879745")</f>
        <v>701418449310879745</v>
      </c>
      <c r="F71" s="12" t="s">
        <v>152</v>
      </c>
      <c r="G71" s="13">
        <v>42.0</v>
      </c>
      <c r="H71" s="13">
        <v>123.0</v>
      </c>
      <c r="I71" s="13">
        <v>9.0</v>
      </c>
      <c r="J71" s="13">
        <v>0.0</v>
      </c>
      <c r="K71" s="12" t="s">
        <v>21</v>
      </c>
      <c r="L71" s="7">
        <v>40632.14865740741</v>
      </c>
      <c r="M71" s="16"/>
      <c r="N71" s="16"/>
      <c r="O71" s="11" t="str">
        <f>HYPERLINK("https://pbs.twimg.com/profile_images/618336375121641472/zqvKuqOP_normal.jpg","View")</f>
        <v>View</v>
      </c>
      <c r="P71" s="15"/>
    </row>
    <row r="72">
      <c r="A72" s="7">
        <v>42421.288506944446</v>
      </c>
      <c r="B72" s="8" t="str">
        <f t="shared" ref="B72:B73" si="9">HYPERLINK("https://twitter.com/Rbloggers","@Rbloggers")</f>
        <v>@Rbloggers</v>
      </c>
      <c r="C72" s="10" t="s">
        <v>6221</v>
      </c>
      <c r="D72" s="10" t="s">
        <v>6385</v>
      </c>
      <c r="E72" s="11" t="str">
        <f>HYPERLINK("https://twitter.com/Rbloggers/status/701419970723328001","701419970723328001")</f>
        <v>701419970723328001</v>
      </c>
      <c r="F72" s="17" t="s">
        <v>6223</v>
      </c>
      <c r="G72" s="13">
        <v>28572.0</v>
      </c>
      <c r="H72" s="13">
        <v>36.0</v>
      </c>
      <c r="I72" s="13">
        <v>11.0</v>
      </c>
      <c r="J72" s="13">
        <v>9.0</v>
      </c>
      <c r="K72" s="12" t="s">
        <v>21</v>
      </c>
      <c r="L72" s="7">
        <v>40314.510601851856</v>
      </c>
      <c r="M72" s="16"/>
      <c r="N72" s="14" t="s">
        <v>6224</v>
      </c>
      <c r="O72" s="11" t="str">
        <f t="shared" ref="O72:O73" si="10">HYPERLINK("https://pbs.twimg.com/profile_images/502185985786916864/gkdFh-q7_normal.png","View")</f>
        <v>View</v>
      </c>
      <c r="P72" s="15"/>
    </row>
    <row r="73">
      <c r="A73" s="7">
        <v>42421.28857638889</v>
      </c>
      <c r="B73" s="8" t="str">
        <f t="shared" si="9"/>
        <v>@Rbloggers</v>
      </c>
      <c r="C73" s="10" t="s">
        <v>6221</v>
      </c>
      <c r="D73" s="10" t="s">
        <v>6386</v>
      </c>
      <c r="E73" s="11" t="str">
        <f>HYPERLINK("https://twitter.com/Rbloggers/status/701419994555375616","701419994555375616")</f>
        <v>701419994555375616</v>
      </c>
      <c r="F73" s="17" t="s">
        <v>6223</v>
      </c>
      <c r="G73" s="13">
        <v>28572.0</v>
      </c>
      <c r="H73" s="13">
        <v>36.0</v>
      </c>
      <c r="I73" s="13">
        <v>19.0</v>
      </c>
      <c r="J73" s="13">
        <v>29.0</v>
      </c>
      <c r="K73" s="12" t="s">
        <v>21</v>
      </c>
      <c r="L73" s="7">
        <v>40314.510601851856</v>
      </c>
      <c r="M73" s="16"/>
      <c r="N73" s="14" t="s">
        <v>6224</v>
      </c>
      <c r="O73" s="11" t="str">
        <f t="shared" si="10"/>
        <v>View</v>
      </c>
      <c r="P73" s="15"/>
    </row>
    <row r="74">
      <c r="A74" s="7">
        <v>42421.28907407407</v>
      </c>
      <c r="B74" s="8" t="str">
        <f>HYPERLINK("https://twitter.com/Marouane_1983","@Marouane_1983")</f>
        <v>@Marouane_1983</v>
      </c>
      <c r="C74" s="10" t="s">
        <v>6387</v>
      </c>
      <c r="D74" s="10" t="s">
        <v>6388</v>
      </c>
      <c r="E74" s="11" t="str">
        <f>HYPERLINK("https://twitter.com/Marouane_1983/status/701420174545657856","701420174545657856")</f>
        <v>701420174545657856</v>
      </c>
      <c r="F74" s="12" t="s">
        <v>20</v>
      </c>
      <c r="G74" s="13">
        <v>280.0</v>
      </c>
      <c r="H74" s="13">
        <v>1459.0</v>
      </c>
      <c r="I74" s="13">
        <v>19.0</v>
      </c>
      <c r="J74" s="13">
        <v>0.0</v>
      </c>
      <c r="K74" s="12" t="s">
        <v>21</v>
      </c>
      <c r="L74" s="7">
        <v>42074.1353125</v>
      </c>
      <c r="M74" s="14" t="s">
        <v>6389</v>
      </c>
      <c r="N74" s="14" t="s">
        <v>6390</v>
      </c>
      <c r="O74" s="11" t="str">
        <f>HYPERLINK("https://pbs.twimg.com/profile_images/606106870969942016/Yw5C6ARD_normal.jpg","View")</f>
        <v>View</v>
      </c>
      <c r="P74" s="15"/>
    </row>
    <row r="75">
      <c r="A75" s="7">
        <v>42421.289606481485</v>
      </c>
      <c r="B75" s="8" t="str">
        <f t="shared" ref="B75:B76" si="11">HYPERLINK("https://twitter.com/dvifern","@dvifern")</f>
        <v>@dvifern</v>
      </c>
      <c r="C75" s="10" t="s">
        <v>6391</v>
      </c>
      <c r="D75" s="10" t="s">
        <v>6388</v>
      </c>
      <c r="E75" s="11" t="str">
        <f>HYPERLINK("https://twitter.com/dvifern/status/701420369144512512","701420369144512512")</f>
        <v>701420369144512512</v>
      </c>
      <c r="F75" s="12" t="s">
        <v>152</v>
      </c>
      <c r="G75" s="13">
        <v>806.0</v>
      </c>
      <c r="H75" s="13">
        <v>796.0</v>
      </c>
      <c r="I75" s="13">
        <v>19.0</v>
      </c>
      <c r="J75" s="13">
        <v>0.0</v>
      </c>
      <c r="K75" s="12" t="s">
        <v>21</v>
      </c>
      <c r="L75" s="7">
        <v>40124.28393518519</v>
      </c>
      <c r="M75" s="14" t="s">
        <v>6392</v>
      </c>
      <c r="N75" s="16"/>
      <c r="O75" s="11" t="str">
        <f t="shared" ref="O75:O76" si="12">HYPERLINK("https://pbs.twimg.com/profile_images/647137284748242944/BTtUp92B_normal.jpg","View")</f>
        <v>View</v>
      </c>
      <c r="P75" s="15"/>
    </row>
    <row r="76">
      <c r="A76" s="7">
        <v>42421.28979166667</v>
      </c>
      <c r="B76" s="8" t="str">
        <f t="shared" si="11"/>
        <v>@dvifern</v>
      </c>
      <c r="C76" s="10" t="s">
        <v>6391</v>
      </c>
      <c r="D76" s="10" t="s">
        <v>6393</v>
      </c>
      <c r="E76" s="11" t="str">
        <f>HYPERLINK("https://twitter.com/dvifern/status/701420435125071872","701420435125071872")</f>
        <v>701420435125071872</v>
      </c>
      <c r="F76" s="12" t="s">
        <v>152</v>
      </c>
      <c r="G76" s="13">
        <v>806.0</v>
      </c>
      <c r="H76" s="13">
        <v>796.0</v>
      </c>
      <c r="I76" s="13">
        <v>11.0</v>
      </c>
      <c r="J76" s="13">
        <v>0.0</v>
      </c>
      <c r="K76" s="12" t="s">
        <v>21</v>
      </c>
      <c r="L76" s="7">
        <v>40124.28393518519</v>
      </c>
      <c r="M76" s="14" t="s">
        <v>6392</v>
      </c>
      <c r="N76" s="16"/>
      <c r="O76" s="11" t="str">
        <f t="shared" si="12"/>
        <v>View</v>
      </c>
      <c r="P76" s="15"/>
    </row>
    <row r="77">
      <c r="A77" s="7">
        <v>42421.29038194445</v>
      </c>
      <c r="B77" s="8" t="str">
        <f>HYPERLINK("https://twitter.com/jon_framp","@jon_framp")</f>
        <v>@jon_framp</v>
      </c>
      <c r="C77" s="10" t="s">
        <v>6382</v>
      </c>
      <c r="D77" s="10" t="s">
        <v>6394</v>
      </c>
      <c r="E77" s="11" t="str">
        <f>HYPERLINK("https://twitter.com/jon_framp/status/701420650888454144","701420650888454144")</f>
        <v>701420650888454144</v>
      </c>
      <c r="F77" s="12" t="s">
        <v>1573</v>
      </c>
      <c r="G77" s="13">
        <v>231.0</v>
      </c>
      <c r="H77" s="13">
        <v>522.0</v>
      </c>
      <c r="I77" s="13">
        <v>1.0</v>
      </c>
      <c r="J77" s="13">
        <v>0.0</v>
      </c>
      <c r="K77" s="12" t="s">
        <v>21</v>
      </c>
      <c r="L77" s="7">
        <v>40820.50349537037</v>
      </c>
      <c r="M77" s="14" t="s">
        <v>719</v>
      </c>
      <c r="N77" s="14" t="s">
        <v>6383</v>
      </c>
      <c r="O77" s="11" t="str">
        <f>HYPERLINK("https://pbs.twimg.com/profile_images/640659801395953664/eHaEu0aT_normal.jpg","View")</f>
        <v>View</v>
      </c>
      <c r="P77" s="15"/>
    </row>
    <row r="78">
      <c r="A78" s="7">
        <v>42421.29039351852</v>
      </c>
      <c r="B78" s="8" t="str">
        <f>HYPERLINK("https://twitter.com/pa_marais","@pa_marais")</f>
        <v>@pa_marais</v>
      </c>
      <c r="C78" s="10" t="s">
        <v>6236</v>
      </c>
      <c r="D78" s="10" t="s">
        <v>6393</v>
      </c>
      <c r="E78" s="11" t="str">
        <f>HYPERLINK("https://twitter.com/pa_marais/status/701420655988842497","701420655988842497")</f>
        <v>701420655988842497</v>
      </c>
      <c r="F78" s="12" t="s">
        <v>152</v>
      </c>
      <c r="G78" s="13">
        <v>80.0</v>
      </c>
      <c r="H78" s="13">
        <v>200.0</v>
      </c>
      <c r="I78" s="13">
        <v>11.0</v>
      </c>
      <c r="J78" s="13">
        <v>0.0</v>
      </c>
      <c r="K78" s="12" t="s">
        <v>21</v>
      </c>
      <c r="L78" s="7">
        <v>42053.30278935185</v>
      </c>
      <c r="M78" s="16"/>
      <c r="N78" s="14" t="s">
        <v>6238</v>
      </c>
      <c r="O78" s="11" t="str">
        <f>HYPERLINK("https://pbs.twimg.com/profile_images/568067400809984000/MXrq4e8A_normal.jpeg","View")</f>
        <v>View</v>
      </c>
      <c r="P78" s="15"/>
    </row>
    <row r="79">
      <c r="A79" s="7">
        <v>42421.291342592594</v>
      </c>
      <c r="B79" s="8" t="str">
        <f t="shared" ref="B79:B80" si="13">HYPERLINK("https://twitter.com/Sergio_CPS","@Sergio_CPS")</f>
        <v>@Sergio_CPS</v>
      </c>
      <c r="C79" s="10" t="s">
        <v>6395</v>
      </c>
      <c r="D79" s="10" t="s">
        <v>6388</v>
      </c>
      <c r="E79" s="11" t="str">
        <f>HYPERLINK("https://twitter.com/Sergio_CPS/status/701420996620898304","701420996620898304")</f>
        <v>701420996620898304</v>
      </c>
      <c r="F79" s="12" t="s">
        <v>20</v>
      </c>
      <c r="G79" s="13">
        <v>643.0</v>
      </c>
      <c r="H79" s="13">
        <v>644.0</v>
      </c>
      <c r="I79" s="13">
        <v>19.0</v>
      </c>
      <c r="J79" s="13">
        <v>0.0</v>
      </c>
      <c r="K79" s="12" t="s">
        <v>21</v>
      </c>
      <c r="L79" s="7">
        <v>39958.0190162037</v>
      </c>
      <c r="M79" s="14" t="s">
        <v>6396</v>
      </c>
      <c r="N79" s="14" t="s">
        <v>6397</v>
      </c>
      <c r="O79" s="11" t="str">
        <f t="shared" ref="O79:O80" si="14">HYPERLINK("https://pbs.twimg.com/profile_images/672265924184010752/LrKCh_kA_normal.png","View")</f>
        <v>View</v>
      </c>
      <c r="P79" s="15"/>
    </row>
    <row r="80">
      <c r="A80" s="7">
        <v>42421.29144675926</v>
      </c>
      <c r="B80" s="8" t="str">
        <f t="shared" si="13"/>
        <v>@Sergio_CPS</v>
      </c>
      <c r="C80" s="10" t="s">
        <v>6395</v>
      </c>
      <c r="D80" s="10" t="s">
        <v>6393</v>
      </c>
      <c r="E80" s="11" t="str">
        <f>HYPERLINK("https://twitter.com/Sergio_CPS/status/701421034680008704","701421034680008704")</f>
        <v>701421034680008704</v>
      </c>
      <c r="F80" s="12" t="s">
        <v>20</v>
      </c>
      <c r="G80" s="13">
        <v>643.0</v>
      </c>
      <c r="H80" s="13">
        <v>644.0</v>
      </c>
      <c r="I80" s="13">
        <v>11.0</v>
      </c>
      <c r="J80" s="13">
        <v>0.0</v>
      </c>
      <c r="K80" s="12" t="s">
        <v>21</v>
      </c>
      <c r="L80" s="7">
        <v>39958.0190162037</v>
      </c>
      <c r="M80" s="14" t="s">
        <v>6396</v>
      </c>
      <c r="N80" s="14" t="s">
        <v>6397</v>
      </c>
      <c r="O80" s="11" t="str">
        <f t="shared" si="14"/>
        <v>View</v>
      </c>
      <c r="P80" s="15"/>
    </row>
    <row r="81">
      <c r="A81" s="7">
        <v>42421.29283564815</v>
      </c>
      <c r="B81" s="8" t="str">
        <f>HYPERLINK("https://twitter.com/harrysuntech","@harrysuntech")</f>
        <v>@harrysuntech</v>
      </c>
      <c r="C81" s="10" t="s">
        <v>6398</v>
      </c>
      <c r="D81" s="10" t="s">
        <v>6388</v>
      </c>
      <c r="E81" s="11" t="str">
        <f>HYPERLINK("https://twitter.com/harrysuntech/status/701421538550140928","701421538550140928")</f>
        <v>701421538550140928</v>
      </c>
      <c r="F81" s="12" t="s">
        <v>1573</v>
      </c>
      <c r="G81" s="13">
        <v>76.0</v>
      </c>
      <c r="H81" s="13">
        <v>156.0</v>
      </c>
      <c r="I81" s="13">
        <v>19.0</v>
      </c>
      <c r="J81" s="13">
        <v>0.0</v>
      </c>
      <c r="K81" s="12" t="s">
        <v>21</v>
      </c>
      <c r="L81" s="7">
        <v>40087.63778935185</v>
      </c>
      <c r="M81" s="14" t="s">
        <v>6399</v>
      </c>
      <c r="N81" s="14" t="s">
        <v>6400</v>
      </c>
      <c r="O81" s="11" t="str">
        <f>HYPERLINK("https://pbs.twimg.com/profile_images/940277327/calvin-and-hobbes1_normal.jpg","View")</f>
        <v>View</v>
      </c>
      <c r="P81" s="15"/>
    </row>
    <row r="82">
      <c r="A82" s="7">
        <v>42421.29511574074</v>
      </c>
      <c r="B82" s="8" t="str">
        <f>HYPERLINK("https://twitter.com/jbryer","@jbryer")</f>
        <v>@jbryer</v>
      </c>
      <c r="C82" s="10" t="s">
        <v>6401</v>
      </c>
      <c r="D82" s="10" t="s">
        <v>6402</v>
      </c>
      <c r="E82" s="11" t="str">
        <f>HYPERLINK("https://twitter.com/jbryer/status/701422367231217665","701422367231217665")</f>
        <v>701422367231217665</v>
      </c>
      <c r="F82" s="12" t="s">
        <v>240</v>
      </c>
      <c r="G82" s="13">
        <v>53.0</v>
      </c>
      <c r="H82" s="13">
        <v>206.0</v>
      </c>
      <c r="I82" s="13">
        <v>0.0</v>
      </c>
      <c r="J82" s="13">
        <v>0.0</v>
      </c>
      <c r="K82" s="12" t="s">
        <v>21</v>
      </c>
      <c r="L82" s="7">
        <v>39644.32935185185</v>
      </c>
      <c r="M82" s="14" t="s">
        <v>6403</v>
      </c>
      <c r="N82" s="16"/>
      <c r="O82" s="11" t="str">
        <f>HYPERLINK("https://pbs.twimg.com/profile_images/413098705378488321/pc7DXom7_normal.jpeg","View")</f>
        <v>View</v>
      </c>
      <c r="P82" s="15"/>
    </row>
    <row r="83">
      <c r="A83" s="7">
        <v>42421.29525462963</v>
      </c>
      <c r="B83" s="8" t="str">
        <f t="shared" ref="B83:B84" si="15">HYPERLINK("https://twitter.com/Pvalsfr","@Pvalsfr")</f>
        <v>@Pvalsfr</v>
      </c>
      <c r="C83" s="10" t="s">
        <v>771</v>
      </c>
      <c r="D83" s="10" t="s">
        <v>6393</v>
      </c>
      <c r="E83" s="11" t="str">
        <f>HYPERLINK("https://twitter.com/Pvalsfr/status/701422418041184256","701422418041184256")</f>
        <v>701422418041184256</v>
      </c>
      <c r="F83" s="12" t="s">
        <v>152</v>
      </c>
      <c r="G83" s="13">
        <v>1044.0</v>
      </c>
      <c r="H83" s="13">
        <v>1081.0</v>
      </c>
      <c r="I83" s="13">
        <v>11.0</v>
      </c>
      <c r="J83" s="13">
        <v>0.0</v>
      </c>
      <c r="K83" s="12" t="s">
        <v>21</v>
      </c>
      <c r="L83" s="7">
        <v>40867.68900462963</v>
      </c>
      <c r="M83" s="16"/>
      <c r="N83" s="16"/>
      <c r="O83" s="11" t="str">
        <f t="shared" ref="O83:O84" si="16">HYPERLINK("https://abs.twimg.com/sticky/default_profile_images/default_profile_4_normal.png","View")</f>
        <v>View</v>
      </c>
      <c r="P83" s="15"/>
    </row>
    <row r="84">
      <c r="A84" s="7">
        <v>42421.29528935185</v>
      </c>
      <c r="B84" s="8" t="str">
        <f t="shared" si="15"/>
        <v>@Pvalsfr</v>
      </c>
      <c r="C84" s="10" t="s">
        <v>771</v>
      </c>
      <c r="D84" s="10" t="s">
        <v>6388</v>
      </c>
      <c r="E84" s="11" t="str">
        <f>HYPERLINK("https://twitter.com/Pvalsfr/status/701422427696472064","701422427696472064")</f>
        <v>701422427696472064</v>
      </c>
      <c r="F84" s="12" t="s">
        <v>152</v>
      </c>
      <c r="G84" s="13">
        <v>1044.0</v>
      </c>
      <c r="H84" s="13">
        <v>1081.0</v>
      </c>
      <c r="I84" s="13">
        <v>19.0</v>
      </c>
      <c r="J84" s="13">
        <v>0.0</v>
      </c>
      <c r="K84" s="12" t="s">
        <v>21</v>
      </c>
      <c r="L84" s="7">
        <v>40867.68900462963</v>
      </c>
      <c r="M84" s="16"/>
      <c r="N84" s="16"/>
      <c r="O84" s="11" t="str">
        <f t="shared" si="16"/>
        <v>View</v>
      </c>
      <c r="P84" s="15"/>
    </row>
    <row r="85">
      <c r="A85" s="7">
        <v>42421.295960648145</v>
      </c>
      <c r="B85" s="8" t="str">
        <f>HYPERLINK("https://twitter.com/JamesPBLloyd","@JamesPBLloyd")</f>
        <v>@JamesPBLloyd</v>
      </c>
      <c r="C85" s="10" t="s">
        <v>6404</v>
      </c>
      <c r="D85" s="10" t="s">
        <v>6405</v>
      </c>
      <c r="E85" s="11" t="str">
        <f>HYPERLINK("https://twitter.com/JamesPBLloyd/status/701422671175618560","701422671175618560")</f>
        <v>701422671175618560</v>
      </c>
      <c r="F85" s="12" t="s">
        <v>152</v>
      </c>
      <c r="G85" s="13">
        <v>332.0</v>
      </c>
      <c r="H85" s="13">
        <v>575.0</v>
      </c>
      <c r="I85" s="13">
        <v>12.0</v>
      </c>
      <c r="J85" s="13">
        <v>0.0</v>
      </c>
      <c r="K85" s="12" t="s">
        <v>21</v>
      </c>
      <c r="L85" s="7">
        <v>41570.34478009259</v>
      </c>
      <c r="M85" s="14" t="s">
        <v>6406</v>
      </c>
      <c r="N85" s="14" t="s">
        <v>6407</v>
      </c>
      <c r="O85" s="11" t="str">
        <f>HYPERLINK("https://pbs.twimg.com/profile_images/474984354339254272/JFndeCEk_normal.jpeg","View")</f>
        <v>View</v>
      </c>
      <c r="P85" s="15"/>
    </row>
    <row r="86">
      <c r="A86" s="7">
        <v>42421.29619212963</v>
      </c>
      <c r="B86" s="8" t="str">
        <f t="shared" ref="B86:B87" si="17">HYPERLINK("https://twitter.com/puneethmishra","@puneethmishra")</f>
        <v>@puneethmishra</v>
      </c>
      <c r="C86" s="10" t="s">
        <v>6408</v>
      </c>
      <c r="D86" s="10" t="s">
        <v>6388</v>
      </c>
      <c r="E86" s="11" t="str">
        <f>HYPERLINK("https://twitter.com/puneethmishra/status/701422755372146688","701422755372146688")</f>
        <v>701422755372146688</v>
      </c>
      <c r="F86" s="12" t="s">
        <v>152</v>
      </c>
      <c r="G86" s="13">
        <v>321.0</v>
      </c>
      <c r="H86" s="13">
        <v>1025.0</v>
      </c>
      <c r="I86" s="13">
        <v>19.0</v>
      </c>
      <c r="J86" s="13">
        <v>0.0</v>
      </c>
      <c r="K86" s="12" t="s">
        <v>21</v>
      </c>
      <c r="L86" s="7">
        <v>39851.15701388889</v>
      </c>
      <c r="M86" s="14" t="s">
        <v>6409</v>
      </c>
      <c r="N86" s="14" t="s">
        <v>6410</v>
      </c>
      <c r="O86" s="11" t="str">
        <f t="shared" ref="O86:O87" si="18">HYPERLINK("https://pbs.twimg.com/profile_images/297245835/Picture_002_normal.jpg","View")</f>
        <v>View</v>
      </c>
      <c r="P86" s="15"/>
    </row>
    <row r="87">
      <c r="A87" s="7">
        <v>42421.29619212963</v>
      </c>
      <c r="B87" s="8" t="str">
        <f t="shared" si="17"/>
        <v>@puneethmishra</v>
      </c>
      <c r="C87" s="10" t="s">
        <v>6408</v>
      </c>
      <c r="D87" s="10" t="s">
        <v>6393</v>
      </c>
      <c r="E87" s="11" t="str">
        <f>HYPERLINK("https://twitter.com/puneethmishra/status/701422756798181376","701422756798181376")</f>
        <v>701422756798181376</v>
      </c>
      <c r="F87" s="12" t="s">
        <v>152</v>
      </c>
      <c r="G87" s="13">
        <v>321.0</v>
      </c>
      <c r="H87" s="13">
        <v>1025.0</v>
      </c>
      <c r="I87" s="13">
        <v>11.0</v>
      </c>
      <c r="J87" s="13">
        <v>0.0</v>
      </c>
      <c r="K87" s="12" t="s">
        <v>21</v>
      </c>
      <c r="L87" s="7">
        <v>39851.15701388889</v>
      </c>
      <c r="M87" s="14" t="s">
        <v>6409</v>
      </c>
      <c r="N87" s="14" t="s">
        <v>6410</v>
      </c>
      <c r="O87" s="11" t="str">
        <f t="shared" si="18"/>
        <v>View</v>
      </c>
      <c r="P87" s="15"/>
    </row>
    <row r="88">
      <c r="A88" s="7">
        <v>42421.30168981482</v>
      </c>
      <c r="B88" s="8" t="str">
        <f>HYPERLINK("https://twitter.com/wrgarciag","@wrgarciag")</f>
        <v>@wrgarciag</v>
      </c>
      <c r="C88" s="10" t="s">
        <v>6411</v>
      </c>
      <c r="D88" s="10" t="s">
        <v>6388</v>
      </c>
      <c r="E88" s="11" t="str">
        <f>HYPERLINK("https://twitter.com/wrgarciag/status/701424750380392448","701424750380392448")</f>
        <v>701424750380392448</v>
      </c>
      <c r="F88" s="12" t="s">
        <v>152</v>
      </c>
      <c r="G88" s="13">
        <v>48.0</v>
      </c>
      <c r="H88" s="13">
        <v>248.0</v>
      </c>
      <c r="I88" s="13">
        <v>19.0</v>
      </c>
      <c r="J88" s="13">
        <v>0.0</v>
      </c>
      <c r="K88" s="12" t="s">
        <v>21</v>
      </c>
      <c r="L88" s="7">
        <v>41367.64738425926</v>
      </c>
      <c r="M88" s="14" t="s">
        <v>1183</v>
      </c>
      <c r="N88" s="14" t="s">
        <v>6412</v>
      </c>
      <c r="O88" s="11" t="str">
        <f>HYPERLINK("https://pbs.twimg.com/profile_images/548931380541792256/RN_Lg1sS_normal.jpeg","View")</f>
        <v>View</v>
      </c>
      <c r="P88" s="15"/>
    </row>
    <row r="89">
      <c r="A89" s="7">
        <v>42421.30174768518</v>
      </c>
      <c r="B89" s="8" t="str">
        <f>HYPERLINK("https://twitter.com/Pablo_1990","@Pablo_1990")</f>
        <v>@Pablo_1990</v>
      </c>
      <c r="C89" s="10" t="s">
        <v>6413</v>
      </c>
      <c r="D89" s="10" t="s">
        <v>6405</v>
      </c>
      <c r="E89" s="11" t="str">
        <f>HYPERLINK("https://twitter.com/Pablo_1990/status/701424767556046852","701424767556046852")</f>
        <v>701424767556046852</v>
      </c>
      <c r="F89" s="12" t="s">
        <v>152</v>
      </c>
      <c r="G89" s="13">
        <v>348.0</v>
      </c>
      <c r="H89" s="13">
        <v>290.0</v>
      </c>
      <c r="I89" s="13">
        <v>12.0</v>
      </c>
      <c r="J89" s="13">
        <v>0.0</v>
      </c>
      <c r="K89" s="12" t="s">
        <v>21</v>
      </c>
      <c r="L89" s="7">
        <v>39936.08262731481</v>
      </c>
      <c r="M89" s="14" t="s">
        <v>1173</v>
      </c>
      <c r="N89" s="14" t="s">
        <v>6414</v>
      </c>
      <c r="O89" s="11" t="str">
        <f>HYPERLINK("https://pbs.twimg.com/profile_images/702799623086166017/oGLRSrC-_normal.png","View")</f>
        <v>View</v>
      </c>
      <c r="P89" s="15"/>
    </row>
    <row r="90">
      <c r="A90" s="7">
        <v>42421.3029050926</v>
      </c>
      <c r="B90" s="8" t="str">
        <f t="shared" ref="B90:B91" si="19">HYPERLINK("https://twitter.com/CabuyReinnard","@CabuyReinnard")</f>
        <v>@CabuyReinnard</v>
      </c>
      <c r="C90" s="10" t="s">
        <v>6415</v>
      </c>
      <c r="D90" s="10" t="s">
        <v>6393</v>
      </c>
      <c r="E90" s="11" t="str">
        <f>HYPERLINK("https://twitter.com/CabuyReinnard/status/701425187011608576","701425187011608576")</f>
        <v>701425187011608576</v>
      </c>
      <c r="F90" s="12" t="s">
        <v>52</v>
      </c>
      <c r="G90" s="13">
        <v>104.0</v>
      </c>
      <c r="H90" s="13">
        <v>281.0</v>
      </c>
      <c r="I90" s="13">
        <v>11.0</v>
      </c>
      <c r="J90" s="13">
        <v>0.0</v>
      </c>
      <c r="K90" s="12" t="s">
        <v>21</v>
      </c>
      <c r="L90" s="7">
        <v>40711.13756944444</v>
      </c>
      <c r="M90" s="14" t="s">
        <v>6416</v>
      </c>
      <c r="N90" s="14" t="s">
        <v>6417</v>
      </c>
      <c r="O90" s="11" t="str">
        <f t="shared" ref="O90:O91" si="20">HYPERLINK("https://pbs.twimg.com/profile_images/663498717857644544/ixXOsMiL_normal.jpg","View")</f>
        <v>View</v>
      </c>
      <c r="P90" s="15"/>
    </row>
    <row r="91">
      <c r="A91" s="7">
        <v>42421.30297453704</v>
      </c>
      <c r="B91" s="8" t="str">
        <f t="shared" si="19"/>
        <v>@CabuyReinnard</v>
      </c>
      <c r="C91" s="10" t="s">
        <v>6415</v>
      </c>
      <c r="D91" s="10" t="s">
        <v>6388</v>
      </c>
      <c r="E91" s="11" t="str">
        <f>HYPERLINK("https://twitter.com/CabuyReinnard/status/701425212307410946","701425212307410946")</f>
        <v>701425212307410946</v>
      </c>
      <c r="F91" s="12" t="s">
        <v>52</v>
      </c>
      <c r="G91" s="13">
        <v>104.0</v>
      </c>
      <c r="H91" s="13">
        <v>281.0</v>
      </c>
      <c r="I91" s="13">
        <v>19.0</v>
      </c>
      <c r="J91" s="13">
        <v>0.0</v>
      </c>
      <c r="K91" s="12" t="s">
        <v>21</v>
      </c>
      <c r="L91" s="7">
        <v>40711.13756944444</v>
      </c>
      <c r="M91" s="14" t="s">
        <v>6416</v>
      </c>
      <c r="N91" s="14" t="s">
        <v>6417</v>
      </c>
      <c r="O91" s="11" t="str">
        <f t="shared" si="20"/>
        <v>View</v>
      </c>
      <c r="P91" s="15"/>
    </row>
    <row r="92">
      <c r="A92" s="7">
        <v>42421.30877314815</v>
      </c>
      <c r="B92" s="8" t="str">
        <f>HYPERLINK("https://twitter.com/FrogwavesAI","@FrogwavesAI")</f>
        <v>@FrogwavesAI</v>
      </c>
      <c r="C92" s="10" t="s">
        <v>6418</v>
      </c>
      <c r="D92" s="10" t="s">
        <v>6419</v>
      </c>
      <c r="E92" s="11" t="str">
        <f>HYPERLINK("https://twitter.com/FrogwavesAI/status/701427314945556480","701427314945556480")</f>
        <v>701427314945556480</v>
      </c>
      <c r="F92" s="12" t="s">
        <v>2063</v>
      </c>
      <c r="G92" s="13">
        <v>351.0</v>
      </c>
      <c r="H92" s="13">
        <v>541.0</v>
      </c>
      <c r="I92" s="13">
        <v>33.0</v>
      </c>
      <c r="J92" s="13">
        <v>0.0</v>
      </c>
      <c r="K92" s="12" t="s">
        <v>21</v>
      </c>
      <c r="L92" s="7">
        <v>42418.177824074075</v>
      </c>
      <c r="M92" s="14" t="s">
        <v>6420</v>
      </c>
      <c r="N92" s="14" t="s">
        <v>6421</v>
      </c>
      <c r="O92" s="11" t="str">
        <f>HYPERLINK("https://pbs.twimg.com/profile_images/700303748283949056/MluyhUCh_normal.jpg","View")</f>
        <v>View</v>
      </c>
      <c r="P92" s="15"/>
    </row>
    <row r="93">
      <c r="A93" s="7">
        <v>42421.30908564814</v>
      </c>
      <c r="B93" s="8" t="str">
        <f>HYPERLINK("https://twitter.com/ShinyappsRecent","@ShinyappsRecent")</f>
        <v>@ShinyappsRecent</v>
      </c>
      <c r="C93" s="10" t="s">
        <v>6422</v>
      </c>
      <c r="D93" s="10" t="s">
        <v>6423</v>
      </c>
      <c r="E93" s="11" t="str">
        <f>HYPERLINK("https://twitter.com/ShinyappsRecent/status/701427430154604544","701427430154604544")</f>
        <v>701427430154604544</v>
      </c>
      <c r="F93" s="12" t="s">
        <v>6424</v>
      </c>
      <c r="G93" s="13">
        <v>212.0</v>
      </c>
      <c r="H93" s="13">
        <v>6.0</v>
      </c>
      <c r="I93" s="13">
        <v>0.0</v>
      </c>
      <c r="J93" s="13">
        <v>0.0</v>
      </c>
      <c r="K93" s="12" t="s">
        <v>21</v>
      </c>
      <c r="L93" s="7">
        <v>42004.08681712963</v>
      </c>
      <c r="M93" s="14" t="s">
        <v>6425</v>
      </c>
      <c r="N93" s="14" t="s">
        <v>6426</v>
      </c>
      <c r="O93" s="11" t="str">
        <f>HYPERLINK("https://pbs.twimg.com/profile_images/550280885480603648/jye_0y8s_normal.png","View")</f>
        <v>View</v>
      </c>
      <c r="P93" s="15"/>
    </row>
    <row r="94">
      <c r="A94" s="7">
        <v>42421.31155092592</v>
      </c>
      <c r="B94" s="8" t="str">
        <f>HYPERLINK("https://twitter.com/the1337beauty","@the1337beauty")</f>
        <v>@the1337beauty</v>
      </c>
      <c r="C94" s="10" t="s">
        <v>6427</v>
      </c>
      <c r="D94" s="10" t="s">
        <v>6428</v>
      </c>
      <c r="E94" s="11" t="str">
        <f>HYPERLINK("https://twitter.com/the1337beauty/status/701428320437714945","701428320437714945")</f>
        <v>701428320437714945</v>
      </c>
      <c r="F94" s="12" t="s">
        <v>152</v>
      </c>
      <c r="G94" s="13">
        <v>318.0</v>
      </c>
      <c r="H94" s="13">
        <v>299.0</v>
      </c>
      <c r="I94" s="13">
        <v>8.0</v>
      </c>
      <c r="J94" s="13">
        <v>0.0</v>
      </c>
      <c r="K94" s="12" t="s">
        <v>21</v>
      </c>
      <c r="L94" s="7">
        <v>39905.42916666667</v>
      </c>
      <c r="M94" s="14" t="s">
        <v>6429</v>
      </c>
      <c r="N94" s="14" t="s">
        <v>6430</v>
      </c>
      <c r="O94" s="11" t="str">
        <f>HYPERLINK("https://pbs.twimg.com/profile_images/2163201626/logo-small_normal.png","View")</f>
        <v>View</v>
      </c>
      <c r="P94" s="15"/>
    </row>
    <row r="95">
      <c r="A95" s="7">
        <v>42421.314618055556</v>
      </c>
      <c r="B95" s="8" t="str">
        <f>HYPERLINK("https://twitter.com/KirkDBorne","@KirkDBorne")</f>
        <v>@KirkDBorne</v>
      </c>
      <c r="C95" s="10" t="s">
        <v>4099</v>
      </c>
      <c r="D95" s="10" t="s">
        <v>6431</v>
      </c>
      <c r="E95" s="11" t="str">
        <f>HYPERLINK("https://twitter.com/KirkDBorne/status/701429433442430976","701429433442430976")</f>
        <v>701429433442430976</v>
      </c>
      <c r="F95" s="12" t="s">
        <v>52</v>
      </c>
      <c r="G95" s="13">
        <v>64193.0</v>
      </c>
      <c r="H95" s="13">
        <v>62659.0</v>
      </c>
      <c r="I95" s="13">
        <v>15.0</v>
      </c>
      <c r="J95" s="13">
        <v>7.0</v>
      </c>
      <c r="K95" s="12" t="s">
        <v>21</v>
      </c>
      <c r="L95" s="7">
        <v>40991.399502314816</v>
      </c>
      <c r="M95" s="14" t="s">
        <v>4101</v>
      </c>
      <c r="N95" s="14" t="s">
        <v>4102</v>
      </c>
      <c r="O95" s="11" t="str">
        <f>HYPERLINK("https://pbs.twimg.com/profile_images/680246148762828801/flXTNSKT_normal.jpg","View")</f>
        <v>View</v>
      </c>
      <c r="P95" s="15"/>
    </row>
    <row r="96">
      <c r="A96" s="7">
        <v>42421.31609953704</v>
      </c>
      <c r="B96" s="8" t="str">
        <f>HYPERLINK("https://twitter.com/jenstirrup","@jenstirrup")</f>
        <v>@jenstirrup</v>
      </c>
      <c r="C96" s="10" t="s">
        <v>6432</v>
      </c>
      <c r="D96" s="10" t="s">
        <v>6433</v>
      </c>
      <c r="E96" s="11" t="str">
        <f>HYPERLINK("https://twitter.com/jenstirrup/status/701429968174120960","701429968174120960")</f>
        <v>701429968174120960</v>
      </c>
      <c r="F96" s="12" t="s">
        <v>152</v>
      </c>
      <c r="G96" s="13">
        <v>8763.0</v>
      </c>
      <c r="H96" s="13">
        <v>3147.0</v>
      </c>
      <c r="I96" s="13">
        <v>15.0</v>
      </c>
      <c r="J96" s="13">
        <v>0.0</v>
      </c>
      <c r="K96" s="12" t="s">
        <v>21</v>
      </c>
      <c r="L96" s="7">
        <v>39879.60259259259</v>
      </c>
      <c r="M96" s="14" t="s">
        <v>6434</v>
      </c>
      <c r="N96" s="14" t="s">
        <v>6435</v>
      </c>
      <c r="O96" s="11" t="str">
        <f>HYPERLINK("https://pbs.twimg.com/profile_images/696103690369949696/EpU6buAs_normal.jpg","View")</f>
        <v>View</v>
      </c>
      <c r="P96" s="15"/>
    </row>
    <row r="97">
      <c r="A97" s="7">
        <v>42421.3171875</v>
      </c>
      <c r="B97" s="8" t="str">
        <f>HYPERLINK("https://twitter.com/DrAndyPardoe","@DrAndyPardoe")</f>
        <v>@DrAndyPardoe</v>
      </c>
      <c r="C97" s="10" t="s">
        <v>3351</v>
      </c>
      <c r="D97" s="10" t="s">
        <v>6393</v>
      </c>
      <c r="E97" s="11" t="str">
        <f>HYPERLINK("https://twitter.com/DrAndyPardoe/status/701430365475442688","701430365475442688")</f>
        <v>701430365475442688</v>
      </c>
      <c r="F97" s="12" t="s">
        <v>38</v>
      </c>
      <c r="G97" s="13">
        <v>3759.0</v>
      </c>
      <c r="H97" s="13">
        <v>2473.0</v>
      </c>
      <c r="I97" s="13">
        <v>11.0</v>
      </c>
      <c r="J97" s="13">
        <v>0.0</v>
      </c>
      <c r="K97" s="12" t="s">
        <v>21</v>
      </c>
      <c r="L97" s="7">
        <v>41826.237280092595</v>
      </c>
      <c r="M97" s="14" t="s">
        <v>1093</v>
      </c>
      <c r="N97" s="14" t="s">
        <v>3352</v>
      </c>
      <c r="O97" s="11" t="str">
        <f>HYPERLINK("https://pbs.twimg.com/profile_images/485766134268837889/t4PLhSfT_normal.jpeg","View")</f>
        <v>View</v>
      </c>
      <c r="P97" s="15"/>
    </row>
    <row r="98">
      <c r="A98" s="7">
        <v>42421.31761574074</v>
      </c>
      <c r="B98" s="8" t="str">
        <f>HYPERLINK("https://twitter.com/abresler","@abresler")</f>
        <v>@abresler</v>
      </c>
      <c r="C98" s="10" t="s">
        <v>6436</v>
      </c>
      <c r="D98" s="10" t="s">
        <v>6437</v>
      </c>
      <c r="E98" s="11" t="str">
        <f>HYPERLINK("https://twitter.com/abresler/status/701430521751060481","701430521751060481")</f>
        <v>701430521751060481</v>
      </c>
      <c r="F98" s="12" t="s">
        <v>152</v>
      </c>
      <c r="G98" s="13">
        <v>1626.0</v>
      </c>
      <c r="H98" s="13">
        <v>2074.0</v>
      </c>
      <c r="I98" s="13">
        <v>0.0</v>
      </c>
      <c r="J98" s="13">
        <v>1.0</v>
      </c>
      <c r="K98" s="12" t="s">
        <v>21</v>
      </c>
      <c r="L98" s="7">
        <v>39796.802407407406</v>
      </c>
      <c r="M98" s="14" t="s">
        <v>6438</v>
      </c>
      <c r="N98" s="14" t="s">
        <v>6439</v>
      </c>
      <c r="O98" s="11" t="str">
        <f>HYPERLINK("https://pbs.twimg.com/profile_images/669441951192760324/zJylEnJ7_normal.jpg","View")</f>
        <v>View</v>
      </c>
      <c r="P98" s="15"/>
    </row>
    <row r="99">
      <c r="A99" s="7">
        <v>42421.31770833333</v>
      </c>
      <c r="B99" s="8" t="str">
        <f>HYPERLINK("https://twitter.com/ashwinswarup","@ashwinswarup")</f>
        <v>@ashwinswarup</v>
      </c>
      <c r="C99" s="10" t="s">
        <v>6440</v>
      </c>
      <c r="D99" s="10" t="s">
        <v>6433</v>
      </c>
      <c r="E99" s="11" t="str">
        <f>HYPERLINK("https://twitter.com/ashwinswarup/status/701430551899676672","701430551899676672")</f>
        <v>701430551899676672</v>
      </c>
      <c r="F99" s="12" t="s">
        <v>38</v>
      </c>
      <c r="G99" s="13">
        <v>50.0</v>
      </c>
      <c r="H99" s="13">
        <v>144.0</v>
      </c>
      <c r="I99" s="13">
        <v>15.0</v>
      </c>
      <c r="J99" s="13">
        <v>0.0</v>
      </c>
      <c r="K99" s="12" t="s">
        <v>21</v>
      </c>
      <c r="L99" s="7">
        <v>40174.95818287037</v>
      </c>
      <c r="M99" s="14" t="s">
        <v>1148</v>
      </c>
      <c r="N99" s="16"/>
      <c r="O99" s="11" t="str">
        <f>HYPERLINK("https://pbs.twimg.com/profile_images/690624026616553472/Jrtvx19B_normal.jpg","View")</f>
        <v>View</v>
      </c>
      <c r="P99" s="15"/>
    </row>
    <row r="100">
      <c r="A100" s="7">
        <v>42421.31864583334</v>
      </c>
      <c r="B100" s="8" t="str">
        <f>HYPERLINK("https://twitter.com/bigboardsio","@bigboardsio")</f>
        <v>@bigboardsio</v>
      </c>
      <c r="C100" s="10" t="s">
        <v>5651</v>
      </c>
      <c r="D100" s="10" t="s">
        <v>6393</v>
      </c>
      <c r="E100" s="11" t="str">
        <f>HYPERLINK("https://twitter.com/bigboardsio/status/701430891839668224","701430891839668224")</f>
        <v>701430891839668224</v>
      </c>
      <c r="F100" s="12" t="s">
        <v>38</v>
      </c>
      <c r="G100" s="13">
        <v>3089.0</v>
      </c>
      <c r="H100" s="13">
        <v>2635.0</v>
      </c>
      <c r="I100" s="13">
        <v>11.0</v>
      </c>
      <c r="J100" s="13">
        <v>0.0</v>
      </c>
      <c r="K100" s="12" t="s">
        <v>21</v>
      </c>
      <c r="L100" s="7">
        <v>41449.67438657407</v>
      </c>
      <c r="M100" s="14" t="s">
        <v>5652</v>
      </c>
      <c r="N100" s="14" t="s">
        <v>5653</v>
      </c>
      <c r="O100" s="11" t="str">
        <f>HYPERLINK("https://pbs.twimg.com/profile_images/489375332743409664/P4sYDY1__normal.png","View")</f>
        <v>View</v>
      </c>
      <c r="P100" s="15"/>
    </row>
    <row r="101">
      <c r="A101" s="7">
        <v>42421.31920138889</v>
      </c>
      <c r="B101" s="8" t="str">
        <f>HYPERLINK("https://twitter.com/Bioecologie","@Bioecologie")</f>
        <v>@Bioecologie</v>
      </c>
      <c r="C101" s="10" t="s">
        <v>6441</v>
      </c>
      <c r="D101" s="10" t="s">
        <v>6442</v>
      </c>
      <c r="E101" s="11" t="str">
        <f>HYPERLINK("https://twitter.com/Bioecologie/status/701431092318842880","701431092318842880")</f>
        <v>701431092318842880</v>
      </c>
      <c r="F101" s="12" t="s">
        <v>20</v>
      </c>
      <c r="G101" s="13">
        <v>293.0</v>
      </c>
      <c r="H101" s="13">
        <v>227.0</v>
      </c>
      <c r="I101" s="13">
        <v>6.0</v>
      </c>
      <c r="J101" s="13">
        <v>0.0</v>
      </c>
      <c r="K101" s="12" t="s">
        <v>21</v>
      </c>
      <c r="L101" s="7">
        <v>40057.64555555556</v>
      </c>
      <c r="M101" s="14" t="s">
        <v>416</v>
      </c>
      <c r="N101" s="14" t="s">
        <v>6443</v>
      </c>
      <c r="O101" s="11" t="str">
        <f>HYPERLINK("https://pbs.twimg.com/profile_images/667626069529378816/L8p9vJdi_normal.jpg","View")</f>
        <v>View</v>
      </c>
      <c r="P101" s="15"/>
    </row>
    <row r="102">
      <c r="A102" s="7">
        <v>42421.31922453704</v>
      </c>
      <c r="B102" s="8" t="str">
        <f>HYPERLINK("https://twitter.com/YariLorenzo87","@YariLorenzo87")</f>
        <v>@YariLorenzo87</v>
      </c>
      <c r="C102" s="10" t="s">
        <v>6444</v>
      </c>
      <c r="D102" s="10" t="s">
        <v>6445</v>
      </c>
      <c r="E102" s="11" t="str">
        <f>HYPERLINK("https://twitter.com/YariLorenzo87/status/701431103467479040","701431103467479040")</f>
        <v>701431103467479040</v>
      </c>
      <c r="F102" s="12" t="s">
        <v>152</v>
      </c>
      <c r="G102" s="13">
        <v>24.0</v>
      </c>
      <c r="H102" s="13">
        <v>62.0</v>
      </c>
      <c r="I102" s="13">
        <v>15.0</v>
      </c>
      <c r="J102" s="13">
        <v>0.0</v>
      </c>
      <c r="K102" s="12" t="s">
        <v>21</v>
      </c>
      <c r="L102" s="7">
        <v>42074.11950231482</v>
      </c>
      <c r="M102" s="14" t="s">
        <v>6446</v>
      </c>
      <c r="N102" s="14" t="s">
        <v>6447</v>
      </c>
      <c r="O102" s="11" t="str">
        <f>HYPERLINK("https://pbs.twimg.com/profile_images/576030995121610752/uLOdylAU_normal.jpeg","View")</f>
        <v>View</v>
      </c>
      <c r="P102" s="15"/>
    </row>
    <row r="103">
      <c r="A103" s="7">
        <v>42421.319513888884</v>
      </c>
      <c r="B103" s="8" t="str">
        <f>HYPERLINK("https://twitter.com/segalop","@segalop")</f>
        <v>@segalop</v>
      </c>
      <c r="C103" s="10" t="s">
        <v>6448</v>
      </c>
      <c r="D103" s="10" t="s">
        <v>6319</v>
      </c>
      <c r="E103" s="11" t="str">
        <f>HYPERLINK("https://twitter.com/segalop/status/701431205733003266","701431205733003266")</f>
        <v>701431205733003266</v>
      </c>
      <c r="F103" s="12" t="s">
        <v>3154</v>
      </c>
      <c r="G103" s="13">
        <v>172.0</v>
      </c>
      <c r="H103" s="13">
        <v>378.0</v>
      </c>
      <c r="I103" s="13">
        <v>106.0</v>
      </c>
      <c r="J103" s="13">
        <v>0.0</v>
      </c>
      <c r="K103" s="12" t="s">
        <v>21</v>
      </c>
      <c r="L103" s="7">
        <v>41328.53219907408</v>
      </c>
      <c r="M103" s="16"/>
      <c r="N103" s="14" t="s">
        <v>6449</v>
      </c>
      <c r="O103" s="11" t="str">
        <f>HYPERLINK("https://pbs.twimg.com/profile_images/470626645083037696/FicOo9YX_normal.jpeg","View")</f>
        <v>View</v>
      </c>
      <c r="P103" s="15"/>
    </row>
    <row r="104">
      <c r="A104" s="7">
        <v>42421.32068287037</v>
      </c>
      <c r="B104" s="8" t="str">
        <f>HYPERLINK("https://twitter.com/GRDumas","@GRDumas")</f>
        <v>@GRDumas</v>
      </c>
      <c r="C104" s="10" t="s">
        <v>6450</v>
      </c>
      <c r="D104" s="10" t="s">
        <v>6451</v>
      </c>
      <c r="E104" s="11" t="str">
        <f>HYPERLINK("https://twitter.com/GRDumas/status/701431630699872256","701431630699872256")</f>
        <v>701431630699872256</v>
      </c>
      <c r="F104" s="12" t="s">
        <v>20</v>
      </c>
      <c r="G104" s="13">
        <v>550.0</v>
      </c>
      <c r="H104" s="13">
        <v>723.0</v>
      </c>
      <c r="I104" s="13">
        <v>1.0</v>
      </c>
      <c r="J104" s="13">
        <v>0.0</v>
      </c>
      <c r="K104" s="12" t="s">
        <v>21</v>
      </c>
      <c r="L104" s="7">
        <v>41257.89225694444</v>
      </c>
      <c r="M104" s="14" t="s">
        <v>784</v>
      </c>
      <c r="N104" s="14" t="s">
        <v>6452</v>
      </c>
      <c r="O104" s="11" t="str">
        <f>HYPERLINK("https://pbs.twimg.com/profile_images/621905988619210752/osj3fItL_normal.jpg","View")</f>
        <v>View</v>
      </c>
      <c r="P104" s="15"/>
    </row>
    <row r="105">
      <c r="A105" s="7">
        <v>42421.320752314816</v>
      </c>
      <c r="B105" s="8" t="str">
        <f>HYPERLINK("https://twitter.com/abresler","@abresler")</f>
        <v>@abresler</v>
      </c>
      <c r="C105" s="10" t="s">
        <v>6436</v>
      </c>
      <c r="D105" s="10" t="s">
        <v>6453</v>
      </c>
      <c r="E105" s="11" t="str">
        <f>HYPERLINK("https://twitter.com/abresler/status/701431654376718337","701431654376718337")</f>
        <v>701431654376718337</v>
      </c>
      <c r="F105" s="12" t="s">
        <v>152</v>
      </c>
      <c r="G105" s="13">
        <v>1626.0</v>
      </c>
      <c r="H105" s="13">
        <v>2074.0</v>
      </c>
      <c r="I105" s="13">
        <v>2.0</v>
      </c>
      <c r="J105" s="13">
        <v>5.0</v>
      </c>
      <c r="K105" s="12" t="s">
        <v>21</v>
      </c>
      <c r="L105" s="7">
        <v>39796.802407407406</v>
      </c>
      <c r="M105" s="14" t="s">
        <v>6438</v>
      </c>
      <c r="N105" s="14" t="s">
        <v>6439</v>
      </c>
      <c r="O105" s="11" t="str">
        <f>HYPERLINK("https://pbs.twimg.com/profile_images/669441951192760324/zJylEnJ7_normal.jpg","View")</f>
        <v>View</v>
      </c>
      <c r="P105" s="15"/>
    </row>
    <row r="106">
      <c r="A106" s="7">
        <v>42421.32304398148</v>
      </c>
      <c r="B106" s="8" t="str">
        <f>HYPERLINK("https://twitter.com/DrinaldaHoti","@DrinaldaHoti")</f>
        <v>@DrinaldaHoti</v>
      </c>
      <c r="C106" s="10" t="s">
        <v>6454</v>
      </c>
      <c r="D106" s="10" t="s">
        <v>6455</v>
      </c>
      <c r="E106" s="11" t="str">
        <f>HYPERLINK("https://twitter.com/DrinaldaHoti/status/701432486123991040","701432486123991040")</f>
        <v>701432486123991040</v>
      </c>
      <c r="F106" s="12" t="s">
        <v>152</v>
      </c>
      <c r="G106" s="13">
        <v>2.0</v>
      </c>
      <c r="H106" s="13">
        <v>4.0</v>
      </c>
      <c r="I106" s="13">
        <v>3.0</v>
      </c>
      <c r="J106" s="13">
        <v>0.0</v>
      </c>
      <c r="K106" s="12" t="s">
        <v>21</v>
      </c>
      <c r="L106" s="7">
        <v>42407.15256944444</v>
      </c>
      <c r="M106" s="16"/>
      <c r="N106" s="16"/>
      <c r="O106" s="11" t="str">
        <f>HYPERLINK("https://pbs.twimg.com/profile_images/696297708450144257/wXe0svjD_normal.jpg","View")</f>
        <v>View</v>
      </c>
      <c r="P106" s="15"/>
    </row>
    <row r="107">
      <c r="A107" s="7">
        <v>42421.32570601851</v>
      </c>
      <c r="B107" s="8" t="str">
        <f>HYPERLINK("https://twitter.com/Lisa786352931","@Lisa786352931")</f>
        <v>@Lisa786352931</v>
      </c>
      <c r="C107" s="10" t="s">
        <v>6456</v>
      </c>
      <c r="D107" s="10" t="s">
        <v>6433</v>
      </c>
      <c r="E107" s="11" t="str">
        <f>HYPERLINK("https://twitter.com/Lisa786352931/status/701433451929448449","701433451929448449")</f>
        <v>701433451929448449</v>
      </c>
      <c r="F107" s="12" t="s">
        <v>52</v>
      </c>
      <c r="G107" s="13">
        <v>343.0</v>
      </c>
      <c r="H107" s="13">
        <v>573.0</v>
      </c>
      <c r="I107" s="13">
        <v>15.0</v>
      </c>
      <c r="J107" s="13">
        <v>0.0</v>
      </c>
      <c r="K107" s="12" t="s">
        <v>21</v>
      </c>
      <c r="L107" s="7">
        <v>42413.248136574075</v>
      </c>
      <c r="M107" s="14" t="s">
        <v>6457</v>
      </c>
      <c r="N107" s="14" t="s">
        <v>6458</v>
      </c>
      <c r="O107" s="11" t="str">
        <f>HYPERLINK("https://pbs.twimg.com/profile_images/701844609802989568/pJslTkoE_normal.jpg","View")</f>
        <v>View</v>
      </c>
      <c r="P107" s="15"/>
    </row>
    <row r="108">
      <c r="A108" s="7">
        <v>42421.32648148148</v>
      </c>
      <c r="B108" s="8" t="str">
        <f>HYPERLINK("https://twitter.com/pacehrb","@pacehrb")</f>
        <v>@pacehrb</v>
      </c>
      <c r="C108" s="10" t="s">
        <v>4103</v>
      </c>
      <c r="D108" s="10" t="s">
        <v>6433</v>
      </c>
      <c r="E108" s="11" t="str">
        <f>HYPERLINK("https://twitter.com/pacehrb/status/701433731609788416","701433731609788416")</f>
        <v>701433731609788416</v>
      </c>
      <c r="F108" s="12" t="s">
        <v>152</v>
      </c>
      <c r="G108" s="13">
        <v>938.0</v>
      </c>
      <c r="H108" s="13">
        <v>2382.0</v>
      </c>
      <c r="I108" s="13">
        <v>15.0</v>
      </c>
      <c r="J108" s="13">
        <v>0.0</v>
      </c>
      <c r="K108" s="12" t="s">
        <v>21</v>
      </c>
      <c r="L108" s="7">
        <v>40316.03534722222</v>
      </c>
      <c r="M108" s="14" t="s">
        <v>34</v>
      </c>
      <c r="N108" s="14" t="s">
        <v>4105</v>
      </c>
      <c r="O108" s="11" t="str">
        <f>HYPERLINK("https://pbs.twimg.com/profile_images/1144625930/hanmant_normal.jpg","View")</f>
        <v>View</v>
      </c>
      <c r="P108" s="15"/>
    </row>
    <row r="109">
      <c r="A109" s="7">
        <v>42421.329039351855</v>
      </c>
      <c r="B109" s="8" t="str">
        <f>HYPERLINK("https://twitter.com/Ibrahim_Alsayed","@Ibrahim_Alsayed")</f>
        <v>@Ibrahim_Alsayed</v>
      </c>
      <c r="C109" s="10" t="s">
        <v>6459</v>
      </c>
      <c r="D109" s="10" t="s">
        <v>6433</v>
      </c>
      <c r="E109" s="11" t="str">
        <f>HYPERLINK("https://twitter.com/Ibrahim_Alsayed/status/701434660346339328","701434660346339328")</f>
        <v>701434660346339328</v>
      </c>
      <c r="F109" s="12" t="s">
        <v>152</v>
      </c>
      <c r="G109" s="13">
        <v>158.0</v>
      </c>
      <c r="H109" s="13">
        <v>384.0</v>
      </c>
      <c r="I109" s="13">
        <v>15.0</v>
      </c>
      <c r="J109" s="13">
        <v>0.0</v>
      </c>
      <c r="K109" s="12" t="s">
        <v>21</v>
      </c>
      <c r="L109" s="7">
        <v>40247.45174768518</v>
      </c>
      <c r="M109" s="14" t="s">
        <v>6460</v>
      </c>
      <c r="N109" s="14" t="s">
        <v>6461</v>
      </c>
      <c r="O109" s="11" t="str">
        <f>HYPERLINK("https://pbs.twimg.com/profile_images/2388625148/7dd7c4ec-146a-4a1c-a537-8aa40ae2fa63_normal.png","View")</f>
        <v>View</v>
      </c>
      <c r="P109" s="15"/>
    </row>
    <row r="110">
      <c r="A110" s="7">
        <v>42421.32962962963</v>
      </c>
      <c r="B110" s="8" t="str">
        <f>HYPERLINK("https://twitter.com/Worville","@Worville")</f>
        <v>@Worville</v>
      </c>
      <c r="C110" s="10" t="s">
        <v>6462</v>
      </c>
      <c r="D110" s="10" t="s">
        <v>6463</v>
      </c>
      <c r="E110" s="11" t="str">
        <f>HYPERLINK("https://twitter.com/Worville/status/701434873806987264","701434873806987264")</f>
        <v>701434873806987264</v>
      </c>
      <c r="F110" s="12" t="s">
        <v>446</v>
      </c>
      <c r="G110" s="13">
        <v>2426.0</v>
      </c>
      <c r="H110" s="13">
        <v>445.0</v>
      </c>
      <c r="I110" s="13">
        <v>2.0</v>
      </c>
      <c r="J110" s="13">
        <v>0.0</v>
      </c>
      <c r="K110" s="12" t="s">
        <v>21</v>
      </c>
      <c r="L110" s="7">
        <v>40924.657071759255</v>
      </c>
      <c r="M110" s="14" t="s">
        <v>5536</v>
      </c>
      <c r="N110" s="14" t="s">
        <v>6464</v>
      </c>
      <c r="O110" s="11" t="str">
        <f>HYPERLINK("https://pbs.twimg.com/profile_images/666286574162870272/DcZY0_2M_normal.jpg","View")</f>
        <v>View</v>
      </c>
      <c r="P110" s="15"/>
    </row>
    <row r="111">
      <c r="A111" s="7">
        <v>42421.33005787037</v>
      </c>
      <c r="B111" s="8" t="str">
        <f>HYPERLINK("https://twitter.com/frank_neff","@frank_neff")</f>
        <v>@frank_neff</v>
      </c>
      <c r="C111" s="10" t="s">
        <v>6465</v>
      </c>
      <c r="D111" s="10" t="s">
        <v>6433</v>
      </c>
      <c r="E111" s="11" t="str">
        <f>HYPERLINK("https://twitter.com/frank_neff/status/701435030359449604","701435030359449604")</f>
        <v>701435030359449604</v>
      </c>
      <c r="F111" s="12" t="s">
        <v>152</v>
      </c>
      <c r="G111" s="13">
        <v>186.0</v>
      </c>
      <c r="H111" s="13">
        <v>191.0</v>
      </c>
      <c r="I111" s="13">
        <v>15.0</v>
      </c>
      <c r="J111" s="13">
        <v>0.0</v>
      </c>
      <c r="K111" s="12" t="s">
        <v>21</v>
      </c>
      <c r="L111" s="7">
        <v>40824.025729166664</v>
      </c>
      <c r="M111" s="14" t="s">
        <v>6466</v>
      </c>
      <c r="N111" s="14" t="s">
        <v>6467</v>
      </c>
      <c r="O111" s="11" t="str">
        <f>HYPERLINK("https://pbs.twimg.com/profile_images/701067603792556033/HB_Ag4RM_normal.jpg","View")</f>
        <v>View</v>
      </c>
      <c r="P111" s="15"/>
    </row>
    <row r="112">
      <c r="A112" s="7">
        <v>42421.33064814815</v>
      </c>
      <c r="B112" s="8" t="str">
        <f>HYPERLINK("https://twitter.com/KirkDBorne","@KirkDBorne")</f>
        <v>@KirkDBorne</v>
      </c>
      <c r="C112" s="10" t="s">
        <v>4099</v>
      </c>
      <c r="D112" s="10" t="s">
        <v>6468</v>
      </c>
      <c r="E112" s="11" t="str">
        <f>HYPERLINK("https://twitter.com/KirkDBorne/status/701435243488747522","701435243488747522")</f>
        <v>701435243488747522</v>
      </c>
      <c r="F112" s="12" t="s">
        <v>20</v>
      </c>
      <c r="G112" s="13">
        <v>64193.0</v>
      </c>
      <c r="H112" s="13">
        <v>62659.0</v>
      </c>
      <c r="I112" s="13">
        <v>9.0</v>
      </c>
      <c r="J112" s="13">
        <v>16.0</v>
      </c>
      <c r="K112" s="12" t="s">
        <v>21</v>
      </c>
      <c r="L112" s="7">
        <v>40991.399502314816</v>
      </c>
      <c r="M112" s="14" t="s">
        <v>4101</v>
      </c>
      <c r="N112" s="14" t="s">
        <v>4102</v>
      </c>
      <c r="O112" s="11" t="str">
        <f>HYPERLINK("https://pbs.twimg.com/profile_images/680246148762828801/flXTNSKT_normal.jpg","View")</f>
        <v>View</v>
      </c>
      <c r="P112" s="15"/>
    </row>
    <row r="113">
      <c r="A113" s="7">
        <v>42421.33096064815</v>
      </c>
      <c r="B113" s="8" t="str">
        <f>HYPERLINK("https://twitter.com/Pvalsfr","@Pvalsfr")</f>
        <v>@Pvalsfr</v>
      </c>
      <c r="C113" s="10" t="s">
        <v>771</v>
      </c>
      <c r="D113" s="10" t="s">
        <v>6433</v>
      </c>
      <c r="E113" s="11" t="str">
        <f>HYPERLINK("https://twitter.com/Pvalsfr/status/701435355984240641","701435355984240641")</f>
        <v>701435355984240641</v>
      </c>
      <c r="F113" s="12" t="s">
        <v>152</v>
      </c>
      <c r="G113" s="13">
        <v>1044.0</v>
      </c>
      <c r="H113" s="13">
        <v>1081.0</v>
      </c>
      <c r="I113" s="13">
        <v>15.0</v>
      </c>
      <c r="J113" s="13">
        <v>0.0</v>
      </c>
      <c r="K113" s="12" t="s">
        <v>21</v>
      </c>
      <c r="L113" s="7">
        <v>40867.68900462963</v>
      </c>
      <c r="M113" s="16"/>
      <c r="N113" s="16"/>
      <c r="O113" s="11" t="str">
        <f>HYPERLINK("https://abs.twimg.com/sticky/default_profile_images/default_profile_4_normal.png","View")</f>
        <v>View</v>
      </c>
      <c r="P113" s="15"/>
    </row>
    <row r="114">
      <c r="A114" s="7">
        <v>42421.330983796295</v>
      </c>
      <c r="B114" s="8" t="str">
        <f>HYPERLINK("https://twitter.com/kristinebucasas","@kristinebucasas")</f>
        <v>@kristinebucasas</v>
      </c>
      <c r="C114" s="10" t="s">
        <v>6469</v>
      </c>
      <c r="D114" s="10" t="s">
        <v>6470</v>
      </c>
      <c r="E114" s="11" t="str">
        <f>HYPERLINK("https://twitter.com/kristinebucasas/status/701435363240206336","701435363240206336")</f>
        <v>701435363240206336</v>
      </c>
      <c r="F114" s="12" t="s">
        <v>52</v>
      </c>
      <c r="G114" s="13">
        <v>316.0</v>
      </c>
      <c r="H114" s="13">
        <v>891.0</v>
      </c>
      <c r="I114" s="13">
        <v>9.0</v>
      </c>
      <c r="J114" s="13">
        <v>0.0</v>
      </c>
      <c r="K114" s="12" t="s">
        <v>21</v>
      </c>
      <c r="L114" s="7">
        <v>39978.91719907407</v>
      </c>
      <c r="M114" s="14" t="s">
        <v>6471</v>
      </c>
      <c r="N114" s="14" t="s">
        <v>6472</v>
      </c>
      <c r="O114" s="11" t="str">
        <f>HYPERLINK("https://pbs.twimg.com/profile_images/378800000250028869/7466c52788fe55495358adbdd0258e52_normal.jpeg","View")</f>
        <v>View</v>
      </c>
      <c r="P114" s="15"/>
    </row>
    <row r="115">
      <c r="A115" s="7">
        <v>42421.33118055556</v>
      </c>
      <c r="B115" s="8" t="str">
        <f>HYPERLINK("https://twitter.com/jburnmurdoch","@jburnmurdoch")</f>
        <v>@jburnmurdoch</v>
      </c>
      <c r="C115" s="10" t="s">
        <v>6473</v>
      </c>
      <c r="D115" s="10" t="s">
        <v>6474</v>
      </c>
      <c r="E115" s="11" t="str">
        <f>HYPERLINK("https://twitter.com/jburnmurdoch/status/701435436544221185","701435436544221185")</f>
        <v>701435436544221185</v>
      </c>
      <c r="F115" s="12" t="s">
        <v>52</v>
      </c>
      <c r="G115" s="13">
        <v>7065.0</v>
      </c>
      <c r="H115" s="13">
        <v>1845.0</v>
      </c>
      <c r="I115" s="13">
        <v>1.0</v>
      </c>
      <c r="J115" s="13">
        <v>0.0</v>
      </c>
      <c r="K115" s="12" t="s">
        <v>21</v>
      </c>
      <c r="L115" s="7">
        <v>39965.241793981484</v>
      </c>
      <c r="M115" s="14" t="s">
        <v>489</v>
      </c>
      <c r="N115" s="14" t="s">
        <v>6475</v>
      </c>
      <c r="O115" s="11" t="str">
        <f>HYPERLINK("https://pbs.twimg.com/profile_images/546964096999251968/Jko6I7uA_normal.jpeg","View")</f>
        <v>View</v>
      </c>
      <c r="P115" s="15"/>
    </row>
    <row r="116">
      <c r="A116" s="7">
        <v>42421.333506944444</v>
      </c>
      <c r="B116" s="8" t="str">
        <f>HYPERLINK("https://twitter.com/msmekal","@msmekal")</f>
        <v>@msmekal</v>
      </c>
      <c r="C116" s="10" t="s">
        <v>6476</v>
      </c>
      <c r="D116" s="10" t="s">
        <v>6433</v>
      </c>
      <c r="E116" s="11" t="str">
        <f>HYPERLINK("https://twitter.com/msmekal/status/701436276734464000","701436276734464000")</f>
        <v>701436276734464000</v>
      </c>
      <c r="F116" s="12" t="s">
        <v>152</v>
      </c>
      <c r="G116" s="13">
        <v>89.0</v>
      </c>
      <c r="H116" s="13">
        <v>364.0</v>
      </c>
      <c r="I116" s="13">
        <v>15.0</v>
      </c>
      <c r="J116" s="13">
        <v>0.0</v>
      </c>
      <c r="K116" s="12" t="s">
        <v>21</v>
      </c>
      <c r="L116" s="7">
        <v>39888.71035879629</v>
      </c>
      <c r="M116" s="14" t="s">
        <v>6477</v>
      </c>
      <c r="N116" s="14" t="s">
        <v>6478</v>
      </c>
      <c r="O116" s="11" t="str">
        <f>HYPERLINK("https://pbs.twimg.com/profile_images/481664001613365251/OZCx2HbR_normal.jpeg","View")</f>
        <v>View</v>
      </c>
      <c r="P116" s="15"/>
    </row>
    <row r="117">
      <c r="A117" s="7">
        <v>42421.33451388888</v>
      </c>
      <c r="B117" s="8" t="str">
        <f>HYPERLINK("https://twitter.com/Pvalsfr","@Pvalsfr")</f>
        <v>@Pvalsfr</v>
      </c>
      <c r="C117" s="10" t="s">
        <v>771</v>
      </c>
      <c r="D117" s="10" t="s">
        <v>6470</v>
      </c>
      <c r="E117" s="11" t="str">
        <f>HYPERLINK("https://twitter.com/Pvalsfr/status/701436643501326336","701436643501326336")</f>
        <v>701436643501326336</v>
      </c>
      <c r="F117" s="12" t="s">
        <v>152</v>
      </c>
      <c r="G117" s="13">
        <v>1044.0</v>
      </c>
      <c r="H117" s="13">
        <v>1081.0</v>
      </c>
      <c r="I117" s="13">
        <v>9.0</v>
      </c>
      <c r="J117" s="13">
        <v>0.0</v>
      </c>
      <c r="K117" s="12" t="s">
        <v>21</v>
      </c>
      <c r="L117" s="7">
        <v>40867.68900462963</v>
      </c>
      <c r="M117" s="16"/>
      <c r="N117" s="16"/>
      <c r="O117" s="11" t="str">
        <f>HYPERLINK("https://abs.twimg.com/sticky/default_profile_images/default_profile_4_normal.png","View")</f>
        <v>View</v>
      </c>
      <c r="P117" s="15"/>
    </row>
    <row r="118">
      <c r="A118" s="7">
        <v>42421.335231481484</v>
      </c>
      <c r="B118" s="8" t="str">
        <f>HYPERLINK("https://twitter.com/GaborCsardi","@GaborCsardi")</f>
        <v>@GaborCsardi</v>
      </c>
      <c r="C118" s="10" t="s">
        <v>6479</v>
      </c>
      <c r="D118" s="10" t="s">
        <v>6480</v>
      </c>
      <c r="E118" s="11" t="str">
        <f>HYPERLINK("https://twitter.com/GaborCsardi/status/701436904856756226","701436904856756226")</f>
        <v>701436904856756226</v>
      </c>
      <c r="F118" s="12" t="s">
        <v>20</v>
      </c>
      <c r="G118" s="13">
        <v>439.0</v>
      </c>
      <c r="H118" s="13">
        <v>130.0</v>
      </c>
      <c r="I118" s="13">
        <v>2.0</v>
      </c>
      <c r="J118" s="13">
        <v>0.0</v>
      </c>
      <c r="K118" s="12" t="s">
        <v>21</v>
      </c>
      <c r="L118" s="7">
        <v>40710.32649305556</v>
      </c>
      <c r="M118" s="16"/>
      <c r="N118" s="16"/>
      <c r="O118" s="11" t="str">
        <f>HYPERLINK("https://pbs.twimg.com/profile_images/531100851721363456/razj1N5f_normal.jpeg","View")</f>
        <v>View</v>
      </c>
      <c r="P118" s="15"/>
    </row>
    <row r="119">
      <c r="A119" s="7">
        <v>42421.33537037037</v>
      </c>
      <c r="B119" s="8" t="str">
        <f>HYPERLINK("https://twitter.com/pacehrb","@pacehrb")</f>
        <v>@pacehrb</v>
      </c>
      <c r="C119" s="10" t="s">
        <v>4103</v>
      </c>
      <c r="D119" s="10" t="s">
        <v>6470</v>
      </c>
      <c r="E119" s="11" t="str">
        <f>HYPERLINK("https://twitter.com/pacehrb/status/701436955406397440","701436955406397440")</f>
        <v>701436955406397440</v>
      </c>
      <c r="F119" s="12" t="s">
        <v>152</v>
      </c>
      <c r="G119" s="13">
        <v>938.0</v>
      </c>
      <c r="H119" s="13">
        <v>2382.0</v>
      </c>
      <c r="I119" s="13">
        <v>9.0</v>
      </c>
      <c r="J119" s="13">
        <v>0.0</v>
      </c>
      <c r="K119" s="12" t="s">
        <v>21</v>
      </c>
      <c r="L119" s="7">
        <v>40316.03534722222</v>
      </c>
      <c r="M119" s="14" t="s">
        <v>34</v>
      </c>
      <c r="N119" s="14" t="s">
        <v>4105</v>
      </c>
      <c r="O119" s="11" t="str">
        <f>HYPERLINK("https://pbs.twimg.com/profile_images/1144625930/hanmant_normal.jpg","View")</f>
        <v>View</v>
      </c>
      <c r="P119" s="15"/>
    </row>
    <row r="120">
      <c r="A120" s="7">
        <v>42421.335763888885</v>
      </c>
      <c r="B120" s="8" t="str">
        <f>HYPERLINK("https://twitter.com/VMuraliKRaju","@VMuraliKRaju")</f>
        <v>@VMuraliKRaju</v>
      </c>
      <c r="C120" s="10" t="s">
        <v>6481</v>
      </c>
      <c r="D120" s="10" t="s">
        <v>6433</v>
      </c>
      <c r="E120" s="11" t="str">
        <f>HYPERLINK("https://twitter.com/VMuraliKRaju/status/701437097073184768","701437097073184768")</f>
        <v>701437097073184768</v>
      </c>
      <c r="F120" s="12" t="s">
        <v>152</v>
      </c>
      <c r="G120" s="13">
        <v>81.0</v>
      </c>
      <c r="H120" s="13">
        <v>305.0</v>
      </c>
      <c r="I120" s="13">
        <v>15.0</v>
      </c>
      <c r="J120" s="13">
        <v>0.0</v>
      </c>
      <c r="K120" s="12" t="s">
        <v>21</v>
      </c>
      <c r="L120" s="7">
        <v>41483.425462962965</v>
      </c>
      <c r="M120" s="16"/>
      <c r="N120" s="16"/>
      <c r="O120" s="11" t="str">
        <f>HYPERLINK("https://abs.twimg.com/sticky/default_profile_images/default_profile_2_normal.png","View")</f>
        <v>View</v>
      </c>
      <c r="P120" s="15"/>
    </row>
    <row r="121">
      <c r="A121" s="7">
        <v>42421.33619212963</v>
      </c>
      <c r="B121" s="8" t="str">
        <f>HYPERLINK("https://twitter.com/SHaymondSays","@SHaymondSays")</f>
        <v>@SHaymondSays</v>
      </c>
      <c r="C121" s="10" t="s">
        <v>6482</v>
      </c>
      <c r="D121" s="10" t="s">
        <v>6483</v>
      </c>
      <c r="E121" s="11" t="str">
        <f>HYPERLINK("https://twitter.com/SHaymondSays/status/701437252665081856","701437252665081856")</f>
        <v>701437252665081856</v>
      </c>
      <c r="F121" s="12" t="s">
        <v>52</v>
      </c>
      <c r="G121" s="13">
        <v>516.0</v>
      </c>
      <c r="H121" s="13">
        <v>568.0</v>
      </c>
      <c r="I121" s="13">
        <v>0.0</v>
      </c>
      <c r="J121" s="13">
        <v>4.0</v>
      </c>
      <c r="K121" s="12" t="s">
        <v>21</v>
      </c>
      <c r="L121" s="7">
        <v>40756.491365740745</v>
      </c>
      <c r="M121" s="16"/>
      <c r="N121" s="14" t="s">
        <v>6484</v>
      </c>
      <c r="O121" s="11" t="str">
        <f>HYPERLINK("https://pbs.twimg.com/profile_images/599430288423260160/6jvdvVQg_normal.jpg","View")</f>
        <v>View</v>
      </c>
      <c r="P121" s="15"/>
    </row>
    <row r="122">
      <c r="A122" s="7">
        <v>42421.33788194445</v>
      </c>
      <c r="B122" s="8" t="str">
        <f>HYPERLINK("https://twitter.com/askdrstats","@askdrstats")</f>
        <v>@askdrstats</v>
      </c>
      <c r="C122" s="10" t="s">
        <v>6485</v>
      </c>
      <c r="D122" s="10" t="s">
        <v>6470</v>
      </c>
      <c r="E122" s="11" t="str">
        <f>HYPERLINK("https://twitter.com/askdrstats/status/701437864731541504","701437864731541504")</f>
        <v>701437864731541504</v>
      </c>
      <c r="F122" s="12" t="s">
        <v>20</v>
      </c>
      <c r="G122" s="13">
        <v>1024.0</v>
      </c>
      <c r="H122" s="13">
        <v>592.0</v>
      </c>
      <c r="I122" s="13">
        <v>9.0</v>
      </c>
      <c r="J122" s="13">
        <v>0.0</v>
      </c>
      <c r="K122" s="12" t="s">
        <v>21</v>
      </c>
      <c r="L122" s="7">
        <v>40681.195069444446</v>
      </c>
      <c r="M122" s="14" t="s">
        <v>6486</v>
      </c>
      <c r="N122" s="14" t="s">
        <v>6487</v>
      </c>
      <c r="O122" s="11" t="str">
        <f>HYPERLINK("https://pbs.twimg.com/profile_images/421032203703701504/tKrivgxy_normal.jpeg","View")</f>
        <v>View</v>
      </c>
      <c r="P122" s="15"/>
    </row>
    <row r="123">
      <c r="A123" s="7">
        <v>42421.342951388884</v>
      </c>
      <c r="B123" s="8" t="str">
        <f t="shared" ref="B123:B126" si="21">HYPERLINK("https://twitter.com/CRANberriesFeed","@CRANberriesFeed")</f>
        <v>@CRANberriesFeed</v>
      </c>
      <c r="C123" s="10" t="s">
        <v>6282</v>
      </c>
      <c r="D123" s="10" t="s">
        <v>6488</v>
      </c>
      <c r="E123" s="11" t="str">
        <f>HYPERLINK("https://twitter.com/CRANberriesFeed/status/701439699731218432","701439699731218432")</f>
        <v>701439699731218432</v>
      </c>
      <c r="F123" s="12" t="s">
        <v>6284</v>
      </c>
      <c r="G123" s="13">
        <v>657.0</v>
      </c>
      <c r="H123" s="13">
        <v>0.0</v>
      </c>
      <c r="I123" s="13">
        <v>0.0</v>
      </c>
      <c r="J123" s="13">
        <v>0.0</v>
      </c>
      <c r="K123" s="12" t="s">
        <v>21</v>
      </c>
      <c r="L123" s="7">
        <v>40546.353425925925</v>
      </c>
      <c r="M123" s="14" t="s">
        <v>1158</v>
      </c>
      <c r="N123" s="16"/>
      <c r="O123" s="11" t="str">
        <f t="shared" ref="O123:O126" si="22">HYPERLINK("https://pbs.twimg.com/profile_images/1222779560/cran1_normal.jpg","View")</f>
        <v>View</v>
      </c>
      <c r="P123" s="15"/>
    </row>
    <row r="124">
      <c r="A124" s="7">
        <v>42421.34296296297</v>
      </c>
      <c r="B124" s="8" t="str">
        <f t="shared" si="21"/>
        <v>@CRANberriesFeed</v>
      </c>
      <c r="C124" s="10" t="s">
        <v>6282</v>
      </c>
      <c r="D124" s="10" t="s">
        <v>6489</v>
      </c>
      <c r="E124" s="11" t="str">
        <f>HYPERLINK("https://twitter.com/CRANberriesFeed/status/701439705435471874","701439705435471874")</f>
        <v>701439705435471874</v>
      </c>
      <c r="F124" s="12" t="s">
        <v>6284</v>
      </c>
      <c r="G124" s="13">
        <v>657.0</v>
      </c>
      <c r="H124" s="13">
        <v>0.0</v>
      </c>
      <c r="I124" s="13">
        <v>0.0</v>
      </c>
      <c r="J124" s="13">
        <v>0.0</v>
      </c>
      <c r="K124" s="12" t="s">
        <v>21</v>
      </c>
      <c r="L124" s="7">
        <v>40546.353425925925</v>
      </c>
      <c r="M124" s="14" t="s">
        <v>1158</v>
      </c>
      <c r="N124" s="16"/>
      <c r="O124" s="11" t="str">
        <f t="shared" si="22"/>
        <v>View</v>
      </c>
      <c r="P124" s="15"/>
    </row>
    <row r="125">
      <c r="A125" s="7">
        <v>42421.34303240741</v>
      </c>
      <c r="B125" s="8" t="str">
        <f t="shared" si="21"/>
        <v>@CRANberriesFeed</v>
      </c>
      <c r="C125" s="10" t="s">
        <v>6282</v>
      </c>
      <c r="D125" s="10" t="s">
        <v>6490</v>
      </c>
      <c r="E125" s="11" t="str">
        <f>HYPERLINK("https://twitter.com/CRANberriesFeed/status/701439728948744192","701439728948744192")</f>
        <v>701439728948744192</v>
      </c>
      <c r="F125" s="12" t="s">
        <v>6284</v>
      </c>
      <c r="G125" s="13">
        <v>657.0</v>
      </c>
      <c r="H125" s="13">
        <v>0.0</v>
      </c>
      <c r="I125" s="13">
        <v>0.0</v>
      </c>
      <c r="J125" s="13">
        <v>0.0</v>
      </c>
      <c r="K125" s="12" t="s">
        <v>21</v>
      </c>
      <c r="L125" s="7">
        <v>40546.353425925925</v>
      </c>
      <c r="M125" s="14" t="s">
        <v>1158</v>
      </c>
      <c r="N125" s="16"/>
      <c r="O125" s="11" t="str">
        <f t="shared" si="22"/>
        <v>View</v>
      </c>
      <c r="P125" s="15"/>
    </row>
    <row r="126">
      <c r="A126" s="7">
        <v>42421.343090277776</v>
      </c>
      <c r="B126" s="8" t="str">
        <f t="shared" si="21"/>
        <v>@CRANberriesFeed</v>
      </c>
      <c r="C126" s="10" t="s">
        <v>6282</v>
      </c>
      <c r="D126" s="10" t="s">
        <v>6491</v>
      </c>
      <c r="E126" s="11" t="str">
        <f>HYPERLINK("https://twitter.com/CRANberriesFeed/status/701439752537505796","701439752537505796")</f>
        <v>701439752537505796</v>
      </c>
      <c r="F126" s="12" t="s">
        <v>6284</v>
      </c>
      <c r="G126" s="13">
        <v>657.0</v>
      </c>
      <c r="H126" s="13">
        <v>0.0</v>
      </c>
      <c r="I126" s="13">
        <v>0.0</v>
      </c>
      <c r="J126" s="13">
        <v>0.0</v>
      </c>
      <c r="K126" s="12" t="s">
        <v>21</v>
      </c>
      <c r="L126" s="7">
        <v>40546.353425925925</v>
      </c>
      <c r="M126" s="14" t="s">
        <v>1158</v>
      </c>
      <c r="N126" s="16"/>
      <c r="O126" s="11" t="str">
        <f t="shared" si="22"/>
        <v>View</v>
      </c>
      <c r="P126" s="15"/>
    </row>
    <row r="127">
      <c r="A127" s="7">
        <v>42421.34511574074</v>
      </c>
      <c r="B127" s="8" t="str">
        <f>HYPERLINK("https://twitter.com/TuckerChristian","@TuckerChristian")</f>
        <v>@TuckerChristian</v>
      </c>
      <c r="C127" s="10" t="s">
        <v>6492</v>
      </c>
      <c r="D127" s="10" t="s">
        <v>6433</v>
      </c>
      <c r="E127" s="11" t="str">
        <f>HYPERLINK("https://twitter.com/TuckerChristian/status/701440484527443970","701440484527443970")</f>
        <v>701440484527443970</v>
      </c>
      <c r="F127" s="12" t="s">
        <v>52</v>
      </c>
      <c r="G127" s="13">
        <v>80.0</v>
      </c>
      <c r="H127" s="13">
        <v>222.0</v>
      </c>
      <c r="I127" s="13">
        <v>15.0</v>
      </c>
      <c r="J127" s="13">
        <v>0.0</v>
      </c>
      <c r="K127" s="12" t="s">
        <v>21</v>
      </c>
      <c r="L127" s="7">
        <v>41694.409270833334</v>
      </c>
      <c r="M127" s="16"/>
      <c r="N127" s="14" t="s">
        <v>6493</v>
      </c>
      <c r="O127" s="11" t="str">
        <f>HYPERLINK("https://pbs.twimg.com/profile_images/438011395053846529/yTq48-1V_normal.png","View")</f>
        <v>View</v>
      </c>
      <c r="P127" s="15"/>
    </row>
    <row r="128">
      <c r="A128" s="7">
        <v>42421.34797453704</v>
      </c>
      <c r="B128" s="8" t="str">
        <f>HYPERLINK("https://twitter.com/ma_salmon","@ma_salmon")</f>
        <v>@ma_salmon</v>
      </c>
      <c r="C128" s="10" t="s">
        <v>6494</v>
      </c>
      <c r="D128" s="10" t="s">
        <v>6495</v>
      </c>
      <c r="E128" s="11" t="str">
        <f>HYPERLINK("https://twitter.com/ma_salmon/status/701441522848370689","701441522848370689")</f>
        <v>701441522848370689</v>
      </c>
      <c r="F128" s="12" t="s">
        <v>20</v>
      </c>
      <c r="G128" s="13">
        <v>47.0</v>
      </c>
      <c r="H128" s="13">
        <v>54.0</v>
      </c>
      <c r="I128" s="13">
        <v>0.0</v>
      </c>
      <c r="J128" s="13">
        <v>1.0</v>
      </c>
      <c r="K128" s="12" t="s">
        <v>21</v>
      </c>
      <c r="L128" s="7">
        <v>41950.10041666667</v>
      </c>
      <c r="M128" s="14" t="s">
        <v>6496</v>
      </c>
      <c r="N128" s="14" t="s">
        <v>6497</v>
      </c>
      <c r="O128" s="11" t="str">
        <f>HYPERLINK("https://pbs.twimg.com/profile_images/630648570228666368/azCx-w8Z_normal.jpg","View")</f>
        <v>View</v>
      </c>
      <c r="P128" s="15"/>
    </row>
    <row r="129">
      <c r="A129" s="7">
        <v>42421.34831018519</v>
      </c>
      <c r="B129" s="8" t="str">
        <f>HYPERLINK("https://twitter.com/homeAIinfo","@homeAIinfo")</f>
        <v>@homeAIinfo</v>
      </c>
      <c r="C129" s="10" t="s">
        <v>36</v>
      </c>
      <c r="D129" s="10" t="s">
        <v>6433</v>
      </c>
      <c r="E129" s="11" t="str">
        <f>HYPERLINK("https://twitter.com/homeAIinfo/status/701441642889400320","701441642889400320")</f>
        <v>701441642889400320</v>
      </c>
      <c r="F129" s="12" t="s">
        <v>38</v>
      </c>
      <c r="G129" s="13">
        <v>52868.0</v>
      </c>
      <c r="H129" s="13">
        <v>1328.0</v>
      </c>
      <c r="I129" s="13">
        <v>15.0</v>
      </c>
      <c r="J129" s="13">
        <v>0.0</v>
      </c>
      <c r="K129" s="12" t="s">
        <v>21</v>
      </c>
      <c r="L129" s="7">
        <v>42133.34662037037</v>
      </c>
      <c r="M129" s="14" t="s">
        <v>39</v>
      </c>
      <c r="N129" s="14" t="s">
        <v>40</v>
      </c>
      <c r="O129" s="11" t="str">
        <f>HYPERLINK("https://pbs.twimg.com/profile_images/645650110374936580/-oQakt8x_normal.png","View")</f>
        <v>View</v>
      </c>
      <c r="P129" s="15"/>
    </row>
    <row r="130">
      <c r="A130" s="7">
        <v>42421.354895833334</v>
      </c>
      <c r="B130" s="8" t="str">
        <f>HYPERLINK("https://twitter.com/atakanince","@atakanince")</f>
        <v>@atakanince</v>
      </c>
      <c r="C130" s="10" t="s">
        <v>6498</v>
      </c>
      <c r="D130" s="10" t="s">
        <v>6388</v>
      </c>
      <c r="E130" s="11" t="str">
        <f>HYPERLINK("https://twitter.com/atakanince/status/701444029414666240","701444029414666240")</f>
        <v>701444029414666240</v>
      </c>
      <c r="F130" s="12" t="s">
        <v>52</v>
      </c>
      <c r="G130" s="13">
        <v>40.0</v>
      </c>
      <c r="H130" s="13">
        <v>120.0</v>
      </c>
      <c r="I130" s="13">
        <v>19.0</v>
      </c>
      <c r="J130" s="13">
        <v>0.0</v>
      </c>
      <c r="K130" s="12" t="s">
        <v>21</v>
      </c>
      <c r="L130" s="7">
        <v>39877.30646990741</v>
      </c>
      <c r="M130" s="16"/>
      <c r="N130" s="16"/>
      <c r="O130" s="11" t="str">
        <f>HYPERLINK("https://pbs.twimg.com/profile_images/606563768584110081/z9HRDbT5_normal.jpg","View")</f>
        <v>View</v>
      </c>
      <c r="P130" s="15"/>
    </row>
    <row r="131">
      <c r="A131" s="7">
        <v>42421.357256944444</v>
      </c>
      <c r="B131" s="8" t="str">
        <f>HYPERLINK("https://twitter.com/MarcosMatabuena","@MarcosMatabuena")</f>
        <v>@MarcosMatabuena</v>
      </c>
      <c r="C131" s="10" t="s">
        <v>6499</v>
      </c>
      <c r="D131" s="10" t="s">
        <v>6388</v>
      </c>
      <c r="E131" s="11" t="str">
        <f>HYPERLINK("https://twitter.com/MarcosMatabuena/status/701444884113313792","701444884113313792")</f>
        <v>701444884113313792</v>
      </c>
      <c r="F131" s="12" t="s">
        <v>20</v>
      </c>
      <c r="G131" s="13">
        <v>69.0</v>
      </c>
      <c r="H131" s="13">
        <v>183.0</v>
      </c>
      <c r="I131" s="13">
        <v>19.0</v>
      </c>
      <c r="J131" s="13">
        <v>0.0</v>
      </c>
      <c r="K131" s="12" t="s">
        <v>21</v>
      </c>
      <c r="L131" s="7">
        <v>40934.543958333335</v>
      </c>
      <c r="M131" s="16"/>
      <c r="N131" s="14" t="s">
        <v>6500</v>
      </c>
      <c r="O131" s="11" t="str">
        <f>HYPERLINK("https://pbs.twimg.com/profile_images/378800000197513149/67cd42127a284a220161c1295a57b65f_normal.jpeg","View")</f>
        <v>View</v>
      </c>
      <c r="P131" s="15"/>
    </row>
    <row r="132">
      <c r="A132" s="7">
        <v>42421.368368055555</v>
      </c>
      <c r="B132" s="8" t="str">
        <f t="shared" ref="B132:B133" si="23">HYPERLINK("https://twitter.com/LovedeepSG","@LovedeepSG")</f>
        <v>@LovedeepSG</v>
      </c>
      <c r="C132" s="10" t="s">
        <v>6501</v>
      </c>
      <c r="D132" s="10" t="s">
        <v>6393</v>
      </c>
      <c r="E132" s="11" t="str">
        <f>HYPERLINK("https://twitter.com/LovedeepSG/status/701448913476161536","701448913476161536")</f>
        <v>701448913476161536</v>
      </c>
      <c r="F132" s="12" t="s">
        <v>20</v>
      </c>
      <c r="G132" s="13">
        <v>46.0</v>
      </c>
      <c r="H132" s="13">
        <v>85.0</v>
      </c>
      <c r="I132" s="13">
        <v>11.0</v>
      </c>
      <c r="J132" s="13">
        <v>0.0</v>
      </c>
      <c r="K132" s="12" t="s">
        <v>21</v>
      </c>
      <c r="L132" s="7">
        <v>41453.381203703706</v>
      </c>
      <c r="M132" s="14" t="s">
        <v>4138</v>
      </c>
      <c r="N132" s="14" t="s">
        <v>6502</v>
      </c>
      <c r="O132" s="11" t="str">
        <f t="shared" ref="O132:O133" si="24">HYPERLINK("https://pbs.twimg.com/profile_images/378800000059126288/17d4fa184bbd13c1e64465a3cc234efc_normal.jpeg","View")</f>
        <v>View</v>
      </c>
      <c r="P132" s="15"/>
    </row>
    <row r="133">
      <c r="A133" s="7">
        <v>42421.36855324074</v>
      </c>
      <c r="B133" s="8" t="str">
        <f t="shared" si="23"/>
        <v>@LovedeepSG</v>
      </c>
      <c r="C133" s="10" t="s">
        <v>6501</v>
      </c>
      <c r="D133" s="10" t="s">
        <v>6388</v>
      </c>
      <c r="E133" s="11" t="str">
        <f>HYPERLINK("https://twitter.com/LovedeepSG/status/701448978055852032","701448978055852032")</f>
        <v>701448978055852032</v>
      </c>
      <c r="F133" s="12" t="s">
        <v>20</v>
      </c>
      <c r="G133" s="13">
        <v>46.0</v>
      </c>
      <c r="H133" s="13">
        <v>85.0</v>
      </c>
      <c r="I133" s="13">
        <v>19.0</v>
      </c>
      <c r="J133" s="13">
        <v>0.0</v>
      </c>
      <c r="K133" s="12" t="s">
        <v>21</v>
      </c>
      <c r="L133" s="7">
        <v>41453.381203703706</v>
      </c>
      <c r="M133" s="14" t="s">
        <v>4138</v>
      </c>
      <c r="N133" s="14" t="s">
        <v>6502</v>
      </c>
      <c r="O133" s="11" t="str">
        <f t="shared" si="24"/>
        <v>View</v>
      </c>
      <c r="P133" s="15"/>
    </row>
    <row r="134">
      <c r="A134" s="7">
        <v>42421.36990740741</v>
      </c>
      <c r="B134" s="8" t="str">
        <f>HYPERLINK("https://twitter.com/KikePerez75","@KikePerez75")</f>
        <v>@KikePerez75</v>
      </c>
      <c r="C134" s="10" t="s">
        <v>6503</v>
      </c>
      <c r="D134" s="10" t="s">
        <v>6388</v>
      </c>
      <c r="E134" s="11" t="str">
        <f>HYPERLINK("https://twitter.com/KikePerez75/status/701449470354006016","701449470354006016")</f>
        <v>701449470354006016</v>
      </c>
      <c r="F134" s="12" t="s">
        <v>152</v>
      </c>
      <c r="G134" s="13">
        <v>58.0</v>
      </c>
      <c r="H134" s="13">
        <v>76.0</v>
      </c>
      <c r="I134" s="13">
        <v>19.0</v>
      </c>
      <c r="J134" s="13">
        <v>0.0</v>
      </c>
      <c r="K134" s="12" t="s">
        <v>21</v>
      </c>
      <c r="L134" s="7">
        <v>41115.10041666667</v>
      </c>
      <c r="M134" s="14" t="s">
        <v>6504</v>
      </c>
      <c r="N134" s="14" t="s">
        <v>6505</v>
      </c>
      <c r="O134" s="11" t="str">
        <f>HYPERLINK("https://pbs.twimg.com/profile_images/464419265886429184/JCUjgnEI_normal.jpeg","View")</f>
        <v>View</v>
      </c>
      <c r="P134" s="15"/>
    </row>
    <row r="135">
      <c r="A135" s="7">
        <v>42421.37415509259</v>
      </c>
      <c r="B135" s="8" t="str">
        <f>HYPERLINK("https://twitter.com/henrikbengtsson","@henrikbengtsson")</f>
        <v>@henrikbengtsson</v>
      </c>
      <c r="C135" s="10" t="s">
        <v>6506</v>
      </c>
      <c r="D135" s="10" t="s">
        <v>6507</v>
      </c>
      <c r="E135" s="11" t="str">
        <f>HYPERLINK("https://twitter.com/henrikbengtsson/status/701451009776726017","701451009776726017")</f>
        <v>701451009776726017</v>
      </c>
      <c r="F135" s="12" t="s">
        <v>20</v>
      </c>
      <c r="G135" s="13">
        <v>124.0</v>
      </c>
      <c r="H135" s="13">
        <v>97.0</v>
      </c>
      <c r="I135" s="13">
        <v>0.0</v>
      </c>
      <c r="J135" s="13">
        <v>1.0</v>
      </c>
      <c r="K135" s="12" t="s">
        <v>21</v>
      </c>
      <c r="L135" s="7">
        <v>39976.71613425926</v>
      </c>
      <c r="M135" s="14" t="s">
        <v>6406</v>
      </c>
      <c r="N135" s="14" t="s">
        <v>6508</v>
      </c>
      <c r="O135" s="11" t="str">
        <f>HYPERLINK("https://pbs.twimg.com/profile_images/614632550988775424/rQn_pk5X_normal.jpg","View")</f>
        <v>View</v>
      </c>
      <c r="P135" s="15"/>
    </row>
    <row r="136">
      <c r="A136" s="7">
        <v>42421.376180555555</v>
      </c>
      <c r="B136" s="8" t="str">
        <f>HYPERLINK("https://twitter.com/lowlandscph","@lowlandscph")</f>
        <v>@lowlandscph</v>
      </c>
      <c r="C136" s="10" t="s">
        <v>6509</v>
      </c>
      <c r="D136" s="10" t="s">
        <v>6510</v>
      </c>
      <c r="E136" s="11" t="str">
        <f>HYPERLINK("https://twitter.com/lowlandscph/status/701451742488174592","701451742488174592")</f>
        <v>701451742488174592</v>
      </c>
      <c r="F136" s="12" t="s">
        <v>6511</v>
      </c>
      <c r="G136" s="13">
        <v>339.0</v>
      </c>
      <c r="H136" s="13">
        <v>250.0</v>
      </c>
      <c r="I136" s="13">
        <v>2.0</v>
      </c>
      <c r="J136" s="13">
        <v>0.0</v>
      </c>
      <c r="K136" s="12" t="s">
        <v>21</v>
      </c>
      <c r="L136" s="7">
        <v>41488.281701388885</v>
      </c>
      <c r="M136" s="14" t="s">
        <v>371</v>
      </c>
      <c r="N136" s="14" t="s">
        <v>6512</v>
      </c>
      <c r="O136" s="11" t="str">
        <f>HYPERLINK("https://pbs.twimg.com/profile_images/433187518817636352/fbAQFWRp_normal.jpeg","View")</f>
        <v>View</v>
      </c>
      <c r="P136" s="15"/>
    </row>
    <row r="137">
      <c r="A137" s="7">
        <v>42421.37666666666</v>
      </c>
      <c r="B137" s="8" t="str">
        <f>HYPERLINK("https://twitter.com/Abcd_R","@Abcd_R")</f>
        <v>@Abcd_R</v>
      </c>
      <c r="C137" s="10" t="s">
        <v>6513</v>
      </c>
      <c r="D137" s="10" t="s">
        <v>6514</v>
      </c>
      <c r="E137" s="11" t="str">
        <f>HYPERLINK("https://twitter.com/Abcd_R/status/701451918514765829","701451918514765829")</f>
        <v>701451918514765829</v>
      </c>
      <c r="F137" s="12" t="s">
        <v>912</v>
      </c>
      <c r="G137" s="13">
        <v>15.0</v>
      </c>
      <c r="H137" s="13">
        <v>56.0</v>
      </c>
      <c r="I137" s="13">
        <v>0.0</v>
      </c>
      <c r="J137" s="13">
        <v>0.0</v>
      </c>
      <c r="K137" s="12" t="s">
        <v>21</v>
      </c>
      <c r="L137" s="7">
        <v>40843.3155324074</v>
      </c>
      <c r="M137" s="16"/>
      <c r="N137" s="16"/>
      <c r="O137" s="11" t="str">
        <f>HYPERLINK("https://pbs.twimg.com/profile_images/603153255217156096/KoGYjyQT_normal.jpg","View")</f>
        <v>View</v>
      </c>
      <c r="P137" s="15"/>
    </row>
    <row r="138">
      <c r="A138" s="7">
        <v>42421.376793981486</v>
      </c>
      <c r="B138" s="8" t="str">
        <f>HYPERLINK("https://twitter.com/MigrationNet","@MigrationNet")</f>
        <v>@MigrationNet</v>
      </c>
      <c r="C138" s="9" t="s">
        <v>6515</v>
      </c>
      <c r="D138" s="10" t="s">
        <v>6516</v>
      </c>
      <c r="E138" s="11" t="str">
        <f>HYPERLINK("https://twitter.com/MigrationNet/status/701451963980980224","701451963980980224")</f>
        <v>701451963980980224</v>
      </c>
      <c r="F138" s="12" t="s">
        <v>52</v>
      </c>
      <c r="G138" s="13">
        <v>175.0</v>
      </c>
      <c r="H138" s="13">
        <v>140.0</v>
      </c>
      <c r="I138" s="13">
        <v>7.0</v>
      </c>
      <c r="J138" s="13">
        <v>0.0</v>
      </c>
      <c r="K138" s="12" t="s">
        <v>21</v>
      </c>
      <c r="L138" s="7">
        <v>41983.147986111115</v>
      </c>
      <c r="M138" s="16"/>
      <c r="N138" s="14" t="s">
        <v>6517</v>
      </c>
      <c r="O138" s="11" t="str">
        <f>HYPERLINK("https://pbs.twimg.com/profile_images/543031439785082880/3_0pPEBa_normal.png","View")</f>
        <v>View</v>
      </c>
      <c r="P138" s="15"/>
    </row>
    <row r="139">
      <c r="A139" s="7">
        <v>42421.379641203705</v>
      </c>
      <c r="B139" s="8" t="str">
        <f>HYPERLINK("https://twitter.com/alearc_arcese","@alearc_arcese")</f>
        <v>@alearc_arcese</v>
      </c>
      <c r="C139" s="10" t="s">
        <v>6518</v>
      </c>
      <c r="D139" s="10" t="s">
        <v>6470</v>
      </c>
      <c r="E139" s="11" t="str">
        <f>HYPERLINK("https://twitter.com/alearc_arcese/status/701452995775561729","701452995775561729")</f>
        <v>701452995775561729</v>
      </c>
      <c r="F139" s="12" t="s">
        <v>152</v>
      </c>
      <c r="G139" s="13">
        <v>1012.0</v>
      </c>
      <c r="H139" s="13">
        <v>1390.0</v>
      </c>
      <c r="I139" s="13">
        <v>9.0</v>
      </c>
      <c r="J139" s="13">
        <v>0.0</v>
      </c>
      <c r="K139" s="12" t="s">
        <v>21</v>
      </c>
      <c r="L139" s="7">
        <v>41173.0253125</v>
      </c>
      <c r="M139" s="14" t="s">
        <v>6519</v>
      </c>
      <c r="N139" s="14" t="s">
        <v>6520</v>
      </c>
      <c r="O139" s="11" t="str">
        <f>HYPERLINK("https://pbs.twimg.com/profile_images/637284919836733440/tjPeZl8q_normal.jpg","View")</f>
        <v>View</v>
      </c>
      <c r="P139" s="15"/>
    </row>
    <row r="140">
      <c r="A140" s="7">
        <v>42421.39173611111</v>
      </c>
      <c r="B140" s="8" t="str">
        <f>HYPERLINK("https://twitter.com/segalop","@segalop")</f>
        <v>@segalop</v>
      </c>
      <c r="C140" s="10" t="s">
        <v>6448</v>
      </c>
      <c r="D140" s="10" t="s">
        <v>6521</v>
      </c>
      <c r="E140" s="11" t="str">
        <f>HYPERLINK("https://twitter.com/segalop/status/701457379087486976","701457379087486976")</f>
        <v>701457379087486976</v>
      </c>
      <c r="F140" s="12" t="s">
        <v>3154</v>
      </c>
      <c r="G140" s="13">
        <v>172.0</v>
      </c>
      <c r="H140" s="13">
        <v>378.0</v>
      </c>
      <c r="I140" s="13">
        <v>0.0</v>
      </c>
      <c r="J140" s="13">
        <v>0.0</v>
      </c>
      <c r="K140" s="12" t="s">
        <v>21</v>
      </c>
      <c r="L140" s="7">
        <v>41328.53219907408</v>
      </c>
      <c r="M140" s="16"/>
      <c r="N140" s="14" t="s">
        <v>6449</v>
      </c>
      <c r="O140" s="11" t="str">
        <f>HYPERLINK("https://pbs.twimg.com/profile_images/470626645083037696/FicOo9YX_normal.jpeg","View")</f>
        <v>View</v>
      </c>
      <c r="P140" s="15"/>
    </row>
    <row r="141">
      <c r="A141" s="7">
        <v>42421.40207175926</v>
      </c>
      <c r="B141" s="8" t="str">
        <f>HYPERLINK("https://twitter.com/ambynet","@ambynet")</f>
        <v>@ambynet</v>
      </c>
      <c r="C141" s="10" t="s">
        <v>6522</v>
      </c>
      <c r="D141" s="10" t="s">
        <v>6433</v>
      </c>
      <c r="E141" s="11" t="str">
        <f>HYPERLINK("https://twitter.com/ambynet/status/701461124437434368","701461124437434368")</f>
        <v>701461124437434368</v>
      </c>
      <c r="F141" s="12" t="s">
        <v>20</v>
      </c>
      <c r="G141" s="13">
        <v>394.0</v>
      </c>
      <c r="H141" s="13">
        <v>273.0</v>
      </c>
      <c r="I141" s="13">
        <v>15.0</v>
      </c>
      <c r="J141" s="13">
        <v>0.0</v>
      </c>
      <c r="K141" s="12" t="s">
        <v>21</v>
      </c>
      <c r="L141" s="7">
        <v>40194.193506944444</v>
      </c>
      <c r="M141" s="14" t="s">
        <v>6523</v>
      </c>
      <c r="N141" s="14" t="s">
        <v>6524</v>
      </c>
      <c r="O141" s="11" t="str">
        <f>HYPERLINK("https://pbs.twimg.com/profile_images/462505042671448065/vaC8jnWl_normal.png","View")</f>
        <v>View</v>
      </c>
      <c r="P141" s="15"/>
    </row>
    <row r="142">
      <c r="A142" s="7">
        <v>42421.403761574074</v>
      </c>
      <c r="B142" s="8" t="str">
        <f>HYPERLINK("https://twitter.com/AlePalmi82","@AlePalmi82")</f>
        <v>@AlePalmi82</v>
      </c>
      <c r="C142" s="10" t="s">
        <v>6525</v>
      </c>
      <c r="D142" s="10" t="s">
        <v>6526</v>
      </c>
      <c r="E142" s="11" t="str">
        <f>HYPERLINK("https://twitter.com/AlePalmi82/status/701461738076696577","701461738076696577")</f>
        <v>701461738076696577</v>
      </c>
      <c r="F142" s="12" t="s">
        <v>20</v>
      </c>
      <c r="G142" s="13">
        <v>82.0</v>
      </c>
      <c r="H142" s="13">
        <v>200.0</v>
      </c>
      <c r="I142" s="13">
        <v>19.0</v>
      </c>
      <c r="J142" s="13">
        <v>0.0</v>
      </c>
      <c r="K142" s="12" t="s">
        <v>21</v>
      </c>
      <c r="L142" s="7">
        <v>42313.16186342592</v>
      </c>
      <c r="M142" s="14" t="s">
        <v>2034</v>
      </c>
      <c r="N142" s="14" t="s">
        <v>6527</v>
      </c>
      <c r="O142" s="11" t="str">
        <f>HYPERLINK("https://pbs.twimg.com/profile_images/665941102927724545/aIq20AI8_normal.jpg","View")</f>
        <v>View</v>
      </c>
      <c r="P142" s="15"/>
    </row>
    <row r="143">
      <c r="A143" s="7">
        <v>42421.4197337963</v>
      </c>
      <c r="B143" s="8" t="str">
        <f>HYPERLINK("https://twitter.com/jeniferjones","@jeniferjones")</f>
        <v>@jeniferjones</v>
      </c>
      <c r="C143" s="10" t="s">
        <v>6528</v>
      </c>
      <c r="D143" s="10" t="s">
        <v>6319</v>
      </c>
      <c r="E143" s="11" t="str">
        <f>HYPERLINK("https://twitter.com/jeniferjones/status/701467524152614912","701467524152614912")</f>
        <v>701467524152614912</v>
      </c>
      <c r="F143" s="12" t="s">
        <v>152</v>
      </c>
      <c r="G143" s="13">
        <v>219.0</v>
      </c>
      <c r="H143" s="13">
        <v>515.0</v>
      </c>
      <c r="I143" s="13">
        <v>106.0</v>
      </c>
      <c r="J143" s="13">
        <v>0.0</v>
      </c>
      <c r="K143" s="12" t="s">
        <v>21</v>
      </c>
      <c r="L143" s="7">
        <v>39876.55601851852</v>
      </c>
      <c r="M143" s="16"/>
      <c r="N143" s="16"/>
      <c r="O143" s="11" t="str">
        <f>HYPERLINK("https://pbs.twimg.com/profile_images/551824464003219458/gVZL97yA_normal.jpeg","View")</f>
        <v>View</v>
      </c>
      <c r="P143" s="15"/>
    </row>
    <row r="144">
      <c r="A144" s="7">
        <v>42421.42324074074</v>
      </c>
      <c r="B144" s="8" t="str">
        <f>HYPERLINK("https://twitter.com/msgbimathbubble","@msgbimathbubble")</f>
        <v>@msgbimathbubble</v>
      </c>
      <c r="C144" s="10" t="s">
        <v>6529</v>
      </c>
      <c r="D144" s="10" t="s">
        <v>6530</v>
      </c>
      <c r="E144" s="11" t="str">
        <f>HYPERLINK("https://twitter.com/msgbimathbubble/status/701468796704395265","701468796704395265")</f>
        <v>701468796704395265</v>
      </c>
      <c r="F144" s="12" t="s">
        <v>6531</v>
      </c>
      <c r="G144" s="13">
        <v>167.0</v>
      </c>
      <c r="H144" s="13">
        <v>0.0</v>
      </c>
      <c r="I144" s="13">
        <v>0.0</v>
      </c>
      <c r="J144" s="13">
        <v>0.0</v>
      </c>
      <c r="K144" s="12" t="s">
        <v>21</v>
      </c>
      <c r="L144" s="7">
        <v>41710.04019675926</v>
      </c>
      <c r="M144" s="14" t="s">
        <v>4364</v>
      </c>
      <c r="N144" s="14" t="s">
        <v>6532</v>
      </c>
      <c r="O144" s="11" t="str">
        <f>HYPERLINK("https://pbs.twimg.com/profile_images/688291758904586240/D1NfDvX9_normal.png","View")</f>
        <v>View</v>
      </c>
      <c r="P144" s="15"/>
    </row>
    <row r="145">
      <c r="A145" s="7">
        <v>42421.426782407405</v>
      </c>
      <c r="B145" s="8" t="str">
        <f>HYPERLINK("https://twitter.com/sagebiel","@sagebiel")</f>
        <v>@sagebiel</v>
      </c>
      <c r="C145" s="10" t="s">
        <v>6533</v>
      </c>
      <c r="D145" s="10" t="s">
        <v>6534</v>
      </c>
      <c r="E145" s="11" t="str">
        <f>HYPERLINK("https://twitter.com/sagebiel/status/701470080635375620","701470080635375620")</f>
        <v>701470080635375620</v>
      </c>
      <c r="F145" s="12" t="s">
        <v>6535</v>
      </c>
      <c r="G145" s="13">
        <v>660.0</v>
      </c>
      <c r="H145" s="13">
        <v>0.0</v>
      </c>
      <c r="I145" s="13">
        <v>0.0</v>
      </c>
      <c r="J145" s="13">
        <v>0.0</v>
      </c>
      <c r="K145" s="12" t="s">
        <v>21</v>
      </c>
      <c r="L145" s="7">
        <v>40799.05604166667</v>
      </c>
      <c r="M145" s="14" t="s">
        <v>999</v>
      </c>
      <c r="N145" s="14" t="s">
        <v>6536</v>
      </c>
      <c r="O145" s="11" t="str">
        <f>HYPERLINK("https://pbs.twimg.com/profile_images/688434525874073601/B1bLfUke_normal.png","View")</f>
        <v>View</v>
      </c>
      <c r="P145" s="15"/>
    </row>
    <row r="146">
      <c r="A146" s="7">
        <v>42421.427152777775</v>
      </c>
      <c r="B146" s="8" t="str">
        <f t="shared" ref="B146:B150" si="25">HYPERLINK("https://twitter.com/Rbloggers","@Rbloggers")</f>
        <v>@Rbloggers</v>
      </c>
      <c r="C146" s="10" t="s">
        <v>6221</v>
      </c>
      <c r="D146" s="10" t="s">
        <v>6537</v>
      </c>
      <c r="E146" s="11" t="str">
        <f>HYPERLINK("https://twitter.com/Rbloggers/status/701470215440207873","701470215440207873")</f>
        <v>701470215440207873</v>
      </c>
      <c r="F146" s="17" t="s">
        <v>6223</v>
      </c>
      <c r="G146" s="13">
        <v>28572.0</v>
      </c>
      <c r="H146" s="13">
        <v>36.0</v>
      </c>
      <c r="I146" s="13">
        <v>8.0</v>
      </c>
      <c r="J146" s="13">
        <v>19.0</v>
      </c>
      <c r="K146" s="12" t="s">
        <v>21</v>
      </c>
      <c r="L146" s="7">
        <v>40314.510601851856</v>
      </c>
      <c r="M146" s="16"/>
      <c r="N146" s="14" t="s">
        <v>6224</v>
      </c>
      <c r="O146" s="11" t="str">
        <f t="shared" ref="O146:O150" si="26">HYPERLINK("https://pbs.twimg.com/profile_images/502185985786916864/gkdFh-q7_normal.png","View")</f>
        <v>View</v>
      </c>
      <c r="P146" s="15"/>
    </row>
    <row r="147">
      <c r="A147" s="7">
        <v>42421.427199074074</v>
      </c>
      <c r="B147" s="8" t="str">
        <f t="shared" si="25"/>
        <v>@Rbloggers</v>
      </c>
      <c r="C147" s="10" t="s">
        <v>6221</v>
      </c>
      <c r="D147" s="10" t="s">
        <v>6538</v>
      </c>
      <c r="E147" s="11" t="str">
        <f>HYPERLINK("https://twitter.com/Rbloggers/status/701470232519380992","701470232519380992")</f>
        <v>701470232519380992</v>
      </c>
      <c r="F147" s="17" t="s">
        <v>6223</v>
      </c>
      <c r="G147" s="13">
        <v>28572.0</v>
      </c>
      <c r="H147" s="13">
        <v>36.0</v>
      </c>
      <c r="I147" s="13">
        <v>1.0</v>
      </c>
      <c r="J147" s="13">
        <v>9.0</v>
      </c>
      <c r="K147" s="12" t="s">
        <v>21</v>
      </c>
      <c r="L147" s="7">
        <v>40314.510601851856</v>
      </c>
      <c r="M147" s="16"/>
      <c r="N147" s="14" t="s">
        <v>6224</v>
      </c>
      <c r="O147" s="11" t="str">
        <f t="shared" si="26"/>
        <v>View</v>
      </c>
      <c r="P147" s="15"/>
    </row>
    <row r="148">
      <c r="A148" s="7">
        <v>42421.42731481481</v>
      </c>
      <c r="B148" s="8" t="str">
        <f t="shared" si="25"/>
        <v>@Rbloggers</v>
      </c>
      <c r="C148" s="10" t="s">
        <v>6221</v>
      </c>
      <c r="D148" s="10" t="s">
        <v>6539</v>
      </c>
      <c r="E148" s="11" t="str">
        <f>HYPERLINK("https://twitter.com/Rbloggers/status/701470273141211137","701470273141211137")</f>
        <v>701470273141211137</v>
      </c>
      <c r="F148" s="17" t="s">
        <v>6223</v>
      </c>
      <c r="G148" s="13">
        <v>28572.0</v>
      </c>
      <c r="H148" s="13">
        <v>36.0</v>
      </c>
      <c r="I148" s="13">
        <v>4.0</v>
      </c>
      <c r="J148" s="13">
        <v>26.0</v>
      </c>
      <c r="K148" s="12" t="s">
        <v>21</v>
      </c>
      <c r="L148" s="7">
        <v>40314.510601851856</v>
      </c>
      <c r="M148" s="16"/>
      <c r="N148" s="14" t="s">
        <v>6224</v>
      </c>
      <c r="O148" s="11" t="str">
        <f t="shared" si="26"/>
        <v>View</v>
      </c>
      <c r="P148" s="15"/>
    </row>
    <row r="149">
      <c r="A149" s="7">
        <v>42421.42741898148</v>
      </c>
      <c r="B149" s="8" t="str">
        <f t="shared" si="25"/>
        <v>@Rbloggers</v>
      </c>
      <c r="C149" s="10" t="s">
        <v>6221</v>
      </c>
      <c r="D149" s="10" t="s">
        <v>6540</v>
      </c>
      <c r="E149" s="11" t="str">
        <f>HYPERLINK("https://twitter.com/Rbloggers/status/701470310432796672","701470310432796672")</f>
        <v>701470310432796672</v>
      </c>
      <c r="F149" s="17" t="s">
        <v>6223</v>
      </c>
      <c r="G149" s="13">
        <v>28572.0</v>
      </c>
      <c r="H149" s="13">
        <v>36.0</v>
      </c>
      <c r="I149" s="13">
        <v>9.0</v>
      </c>
      <c r="J149" s="13">
        <v>18.0</v>
      </c>
      <c r="K149" s="12" t="s">
        <v>21</v>
      </c>
      <c r="L149" s="7">
        <v>40314.510601851856</v>
      </c>
      <c r="M149" s="16"/>
      <c r="N149" s="14" t="s">
        <v>6224</v>
      </c>
      <c r="O149" s="11" t="str">
        <f t="shared" si="26"/>
        <v>View</v>
      </c>
      <c r="P149" s="15"/>
    </row>
    <row r="150">
      <c r="A150" s="7">
        <v>42421.42747685185</v>
      </c>
      <c r="B150" s="8" t="str">
        <f t="shared" si="25"/>
        <v>@Rbloggers</v>
      </c>
      <c r="C150" s="10" t="s">
        <v>6221</v>
      </c>
      <c r="D150" s="10" t="s">
        <v>6541</v>
      </c>
      <c r="E150" s="11" t="str">
        <f>HYPERLINK("https://twitter.com/Rbloggers/status/701470331177840641","701470331177840641")</f>
        <v>701470331177840641</v>
      </c>
      <c r="F150" s="17" t="s">
        <v>6223</v>
      </c>
      <c r="G150" s="13">
        <v>28572.0</v>
      </c>
      <c r="H150" s="13">
        <v>36.0</v>
      </c>
      <c r="I150" s="13">
        <v>6.0</v>
      </c>
      <c r="J150" s="13">
        <v>10.0</v>
      </c>
      <c r="K150" s="12" t="s">
        <v>21</v>
      </c>
      <c r="L150" s="7">
        <v>40314.510601851856</v>
      </c>
      <c r="M150" s="16"/>
      <c r="N150" s="14" t="s">
        <v>6224</v>
      </c>
      <c r="O150" s="11" t="str">
        <f t="shared" si="26"/>
        <v>View</v>
      </c>
      <c r="P150" s="15"/>
    </row>
    <row r="151">
      <c r="A151" s="7">
        <v>42421.42828703704</v>
      </c>
      <c r="B151" s="8" t="str">
        <f>HYPERLINK("https://twitter.com/AdiePrestone","@AdiePrestone")</f>
        <v>@AdiePrestone</v>
      </c>
      <c r="C151" s="10" t="s">
        <v>6542</v>
      </c>
      <c r="D151" s="10" t="s">
        <v>6543</v>
      </c>
      <c r="E151" s="11" t="str">
        <f>HYPERLINK("https://twitter.com/AdiePrestone/status/701470626175963138","701470626175963138")</f>
        <v>701470626175963138</v>
      </c>
      <c r="F151" s="12" t="s">
        <v>446</v>
      </c>
      <c r="G151" s="13">
        <v>473.0</v>
      </c>
      <c r="H151" s="13">
        <v>376.0</v>
      </c>
      <c r="I151" s="13">
        <v>0.0</v>
      </c>
      <c r="J151" s="13">
        <v>0.0</v>
      </c>
      <c r="K151" s="12" t="s">
        <v>21</v>
      </c>
      <c r="L151" s="7">
        <v>40559.146527777775</v>
      </c>
      <c r="M151" s="14" t="s">
        <v>6544</v>
      </c>
      <c r="N151" s="14" t="s">
        <v>6545</v>
      </c>
      <c r="O151" s="11" t="str">
        <f>HYPERLINK("https://pbs.twimg.com/profile_images/685318018793127936/9LH8YuIT_normal.jpg","View")</f>
        <v>View</v>
      </c>
      <c r="P151" s="15"/>
    </row>
    <row r="152">
      <c r="A152" s="7">
        <v>42421.42836805555</v>
      </c>
      <c r="B152" s="8" t="str">
        <f>HYPERLINK("https://twitter.com/CabuyReinnard","@CabuyReinnard")</f>
        <v>@CabuyReinnard</v>
      </c>
      <c r="C152" s="10" t="s">
        <v>6415</v>
      </c>
      <c r="D152" s="10" t="s">
        <v>6546</v>
      </c>
      <c r="E152" s="11" t="str">
        <f>HYPERLINK("https://twitter.com/CabuyReinnard/status/701470655091499009","701470655091499009")</f>
        <v>701470655091499009</v>
      </c>
      <c r="F152" s="12" t="s">
        <v>52</v>
      </c>
      <c r="G152" s="13">
        <v>104.0</v>
      </c>
      <c r="H152" s="13">
        <v>281.0</v>
      </c>
      <c r="I152" s="13">
        <v>9.0</v>
      </c>
      <c r="J152" s="13">
        <v>0.0</v>
      </c>
      <c r="K152" s="12" t="s">
        <v>21</v>
      </c>
      <c r="L152" s="7">
        <v>40711.13756944444</v>
      </c>
      <c r="M152" s="14" t="s">
        <v>6416</v>
      </c>
      <c r="N152" s="14" t="s">
        <v>6417</v>
      </c>
      <c r="O152" s="11" t="str">
        <f>HYPERLINK("https://pbs.twimg.com/profile_images/663498717857644544/ixXOsMiL_normal.jpg","View")</f>
        <v>View</v>
      </c>
      <c r="P152" s="15"/>
    </row>
    <row r="153">
      <c r="A153" s="7">
        <v>42421.42896990741</v>
      </c>
      <c r="B153" s="8" t="str">
        <f>HYPERLINK("https://twitter.com/timorainio","@timorainio")</f>
        <v>@timorainio</v>
      </c>
      <c r="C153" s="10" t="s">
        <v>6547</v>
      </c>
      <c r="D153" s="10" t="s">
        <v>6548</v>
      </c>
      <c r="E153" s="11" t="str">
        <f>HYPERLINK("https://twitter.com/timorainio/status/701470872893313024","701470872893313024")</f>
        <v>701470872893313024</v>
      </c>
      <c r="F153" s="12" t="s">
        <v>1573</v>
      </c>
      <c r="G153" s="13">
        <v>2764.0</v>
      </c>
      <c r="H153" s="13">
        <v>2002.0</v>
      </c>
      <c r="I153" s="13">
        <v>2.0</v>
      </c>
      <c r="J153" s="13">
        <v>0.0</v>
      </c>
      <c r="K153" s="12" t="s">
        <v>21</v>
      </c>
      <c r="L153" s="7">
        <v>39873.98195601852</v>
      </c>
      <c r="M153" s="14" t="s">
        <v>6549</v>
      </c>
      <c r="N153" s="14" t="s">
        <v>6550</v>
      </c>
      <c r="O153" s="11" t="str">
        <f>HYPERLINK("https://pbs.twimg.com/profile_images/86126449/timonkuva_normal.jpg","View")</f>
        <v>View</v>
      </c>
      <c r="P153" s="15"/>
    </row>
    <row r="154">
      <c r="A154" s="7">
        <v>42421.429502314815</v>
      </c>
      <c r="B154" s="8" t="str">
        <f>HYPERLINK("https://twitter.com/salvag63","@salvag63")</f>
        <v>@salvag63</v>
      </c>
      <c r="C154" s="10" t="s">
        <v>6551</v>
      </c>
      <c r="D154" s="10" t="s">
        <v>6552</v>
      </c>
      <c r="E154" s="11" t="str">
        <f>HYPERLINK("https://twitter.com/salvag63/status/701471065227321345","701471065227321345")</f>
        <v>701471065227321345</v>
      </c>
      <c r="F154" s="12" t="s">
        <v>20</v>
      </c>
      <c r="G154" s="13">
        <v>244.0</v>
      </c>
      <c r="H154" s="13">
        <v>166.0</v>
      </c>
      <c r="I154" s="13">
        <v>0.0</v>
      </c>
      <c r="J154" s="13">
        <v>0.0</v>
      </c>
      <c r="K154" s="12" t="s">
        <v>21</v>
      </c>
      <c r="L154" s="7">
        <v>39872.207500000004</v>
      </c>
      <c r="M154" s="16"/>
      <c r="N154" s="14" t="s">
        <v>6553</v>
      </c>
      <c r="O154" s="11" t="str">
        <f>HYPERLINK("https://pbs.twimg.com/profile_images/234609034/Press4_normal.jpg","View")</f>
        <v>View</v>
      </c>
      <c r="P154" s="15"/>
    </row>
    <row r="155">
      <c r="A155" s="7">
        <v>42421.43462962963</v>
      </c>
      <c r="B155" s="8" t="str">
        <f>HYPERLINK("https://twitter.com/lorenzo_clem","@lorenzo_clem")</f>
        <v>@lorenzo_clem</v>
      </c>
      <c r="C155" s="10" t="s">
        <v>6554</v>
      </c>
      <c r="D155" s="10" t="s">
        <v>6546</v>
      </c>
      <c r="E155" s="11" t="str">
        <f>HYPERLINK("https://twitter.com/lorenzo_clem/status/701472923320762368","701472923320762368")</f>
        <v>701472923320762368</v>
      </c>
      <c r="F155" s="12" t="s">
        <v>152</v>
      </c>
      <c r="G155" s="13">
        <v>161.0</v>
      </c>
      <c r="H155" s="13">
        <v>508.0</v>
      </c>
      <c r="I155" s="13">
        <v>9.0</v>
      </c>
      <c r="J155" s="13">
        <v>0.0</v>
      </c>
      <c r="K155" s="12" t="s">
        <v>21</v>
      </c>
      <c r="L155" s="7">
        <v>41142.1162962963</v>
      </c>
      <c r="M155" s="14" t="s">
        <v>6555</v>
      </c>
      <c r="N155" s="14" t="s">
        <v>6556</v>
      </c>
      <c r="O155" s="11" t="str">
        <f>HYPERLINK("https://pbs.twimg.com/profile_images/459426041782468608/_JzTTE8B_normal.jpeg","View")</f>
        <v>View</v>
      </c>
      <c r="P155" s="15"/>
    </row>
    <row r="156">
      <c r="A156" s="7">
        <v>42421.43629629629</v>
      </c>
      <c r="B156" s="8" t="str">
        <f>HYPERLINK("https://twitter.com/jmonogan","@jmonogan")</f>
        <v>@jmonogan</v>
      </c>
      <c r="C156" s="10" t="s">
        <v>6557</v>
      </c>
      <c r="D156" s="10" t="s">
        <v>6558</v>
      </c>
      <c r="E156" s="11" t="str">
        <f>HYPERLINK("https://twitter.com/jmonogan/status/701473526532988928","701473526532988928")</f>
        <v>701473526532988928</v>
      </c>
      <c r="F156" s="12" t="s">
        <v>20</v>
      </c>
      <c r="G156" s="13">
        <v>967.0</v>
      </c>
      <c r="H156" s="13">
        <v>858.0</v>
      </c>
      <c r="I156" s="13">
        <v>0.0</v>
      </c>
      <c r="J156" s="13">
        <v>0.0</v>
      </c>
      <c r="K156" s="12" t="s">
        <v>21</v>
      </c>
      <c r="L156" s="7">
        <v>40008.85923611111</v>
      </c>
      <c r="M156" s="14" t="s">
        <v>3521</v>
      </c>
      <c r="N156" s="14" t="s">
        <v>6559</v>
      </c>
      <c r="O156" s="11" t="str">
        <f>HYPERLINK("https://pbs.twimg.com/profile_images/1245605063/Photo_on_2011-01-26_at_15.31_normal.jpg","View")</f>
        <v>View</v>
      </c>
      <c r="P156" s="15"/>
    </row>
    <row r="157">
      <c r="A157" s="7">
        <v>42421.43649305556</v>
      </c>
      <c r="B157" s="8" t="str">
        <f>HYPERLINK("https://twitter.com/CasaresFelix","@CasaresFelix")</f>
        <v>@CasaresFelix</v>
      </c>
      <c r="C157" s="10" t="s">
        <v>6560</v>
      </c>
      <c r="D157" s="10" t="s">
        <v>6561</v>
      </c>
      <c r="E157" s="11" t="str">
        <f>HYPERLINK("https://twitter.com/CasaresFelix/status/701473600214319104","701473600214319104")</f>
        <v>701473600214319104</v>
      </c>
      <c r="F157" s="12" t="s">
        <v>152</v>
      </c>
      <c r="G157" s="13">
        <v>300.0</v>
      </c>
      <c r="H157" s="13">
        <v>391.0</v>
      </c>
      <c r="I157" s="13">
        <v>4.0</v>
      </c>
      <c r="J157" s="13">
        <v>0.0</v>
      </c>
      <c r="K157" s="12" t="s">
        <v>21</v>
      </c>
      <c r="L157" s="7">
        <v>42017.42989583334</v>
      </c>
      <c r="M157" s="14" t="s">
        <v>6562</v>
      </c>
      <c r="N157" s="14" t="s">
        <v>6563</v>
      </c>
      <c r="O157" s="11" t="str">
        <f>HYPERLINK("https://pbs.twimg.com/profile_images/642799683409158144/xSW6RBV__normal.jpg","View")</f>
        <v>View</v>
      </c>
      <c r="P157" s="15"/>
    </row>
    <row r="158">
      <c r="A158" s="7">
        <v>42421.436875</v>
      </c>
      <c r="B158" s="8" t="str">
        <f>HYPERLINK("https://twitter.com/sfrechette","@sfrechette")</f>
        <v>@sfrechette</v>
      </c>
      <c r="C158" s="10" t="s">
        <v>6564</v>
      </c>
      <c r="D158" s="10" t="s">
        <v>6565</v>
      </c>
      <c r="E158" s="11" t="str">
        <f>HYPERLINK("https://twitter.com/sfrechette/status/701473737795878916","701473737795878916")</f>
        <v>701473737795878916</v>
      </c>
      <c r="F158" s="12" t="s">
        <v>6566</v>
      </c>
      <c r="G158" s="13">
        <v>1352.0</v>
      </c>
      <c r="H158" s="13">
        <v>1178.0</v>
      </c>
      <c r="I158" s="13">
        <v>0.0</v>
      </c>
      <c r="J158" s="13">
        <v>0.0</v>
      </c>
      <c r="K158" s="12" t="s">
        <v>21</v>
      </c>
      <c r="L158" s="7">
        <v>39873.53702546297</v>
      </c>
      <c r="M158" s="14" t="s">
        <v>6567</v>
      </c>
      <c r="N158" s="14" t="s">
        <v>6568</v>
      </c>
      <c r="O158" s="11" t="str">
        <f>HYPERLINK("https://pbs.twimg.com/profile_images/662342111799304192/Xtv8MZ-P_normal.jpg","View")</f>
        <v>View</v>
      </c>
      <c r="P158" s="15"/>
    </row>
    <row r="159">
      <c r="A159" s="7">
        <v>42421.43753472222</v>
      </c>
      <c r="B159" s="8" t="str">
        <f t="shared" ref="B159:B160" si="27">HYPERLINK("https://twitter.com/StatsSOS","@StatsSOS")</f>
        <v>@StatsSOS</v>
      </c>
      <c r="C159" s="10" t="s">
        <v>6569</v>
      </c>
      <c r="D159" s="10" t="s">
        <v>6546</v>
      </c>
      <c r="E159" s="11" t="str">
        <f>HYPERLINK("https://twitter.com/StatsSOS/status/701473978628624389","701473978628624389")</f>
        <v>701473978628624389</v>
      </c>
      <c r="F159" s="12" t="s">
        <v>52</v>
      </c>
      <c r="G159" s="13">
        <v>213.0</v>
      </c>
      <c r="H159" s="13">
        <v>206.0</v>
      </c>
      <c r="I159" s="13">
        <v>9.0</v>
      </c>
      <c r="J159" s="13">
        <v>0.0</v>
      </c>
      <c r="K159" s="12" t="s">
        <v>21</v>
      </c>
      <c r="L159" s="7">
        <v>40704.889502314814</v>
      </c>
      <c r="M159" s="14" t="s">
        <v>6570</v>
      </c>
      <c r="N159" s="14" t="s">
        <v>6571</v>
      </c>
      <c r="O159" s="11" t="str">
        <f t="shared" ref="O159:O160" si="28">HYPERLINK("https://pbs.twimg.com/profile_images/596095125425561601/_PpYZIl7_normal.jpg","View")</f>
        <v>View</v>
      </c>
      <c r="P159" s="15"/>
    </row>
    <row r="160">
      <c r="A160" s="7">
        <v>42421.43763888889</v>
      </c>
      <c r="B160" s="8" t="str">
        <f t="shared" si="27"/>
        <v>@StatsSOS</v>
      </c>
      <c r="C160" s="10" t="s">
        <v>6569</v>
      </c>
      <c r="D160" s="10" t="s">
        <v>6561</v>
      </c>
      <c r="E160" s="11" t="str">
        <f>HYPERLINK("https://twitter.com/StatsSOS/status/701474015907594241","701474015907594241")</f>
        <v>701474015907594241</v>
      </c>
      <c r="F160" s="12" t="s">
        <v>52</v>
      </c>
      <c r="G160" s="13">
        <v>213.0</v>
      </c>
      <c r="H160" s="13">
        <v>206.0</v>
      </c>
      <c r="I160" s="13">
        <v>4.0</v>
      </c>
      <c r="J160" s="13">
        <v>0.0</v>
      </c>
      <c r="K160" s="12" t="s">
        <v>21</v>
      </c>
      <c r="L160" s="7">
        <v>40704.889502314814</v>
      </c>
      <c r="M160" s="14" t="s">
        <v>6570</v>
      </c>
      <c r="N160" s="14" t="s">
        <v>6571</v>
      </c>
      <c r="O160" s="11" t="str">
        <f t="shared" si="28"/>
        <v>View</v>
      </c>
      <c r="P160" s="15"/>
    </row>
    <row r="161">
      <c r="A161" s="7">
        <v>42421.438321759255</v>
      </c>
      <c r="B161" s="8" t="str">
        <f>HYPERLINK("https://twitter.com/dnusinow","@dnusinow")</f>
        <v>@dnusinow</v>
      </c>
      <c r="C161" s="10" t="s">
        <v>6572</v>
      </c>
      <c r="D161" s="10" t="s">
        <v>6573</v>
      </c>
      <c r="E161" s="11" t="str">
        <f>HYPERLINK("https://twitter.com/dnusinow/status/701474263090524160","701474263090524160")</f>
        <v>701474263090524160</v>
      </c>
      <c r="F161" s="12" t="s">
        <v>1573</v>
      </c>
      <c r="G161" s="13">
        <v>329.0</v>
      </c>
      <c r="H161" s="13">
        <v>470.0</v>
      </c>
      <c r="I161" s="13">
        <v>0.0</v>
      </c>
      <c r="J161" s="13">
        <v>0.0</v>
      </c>
      <c r="K161" s="12" t="s">
        <v>21</v>
      </c>
      <c r="L161" s="7">
        <v>39187.281851851854</v>
      </c>
      <c r="M161" s="14" t="s">
        <v>332</v>
      </c>
      <c r="N161" s="14" t="s">
        <v>6574</v>
      </c>
      <c r="O161" s="11" t="str">
        <f>HYPERLINK("https://pbs.twimg.com/profile_images/305220535/MeSmirkHead_normal.JPG","View")</f>
        <v>View</v>
      </c>
      <c r="P161" s="15"/>
    </row>
    <row r="162">
      <c r="A162" s="7">
        <v>42421.440046296295</v>
      </c>
      <c r="B162" s="8" t="str">
        <f>HYPERLINK("https://twitter.com/josephsirosh","@josephsirosh")</f>
        <v>@josephsirosh</v>
      </c>
      <c r="C162" s="10" t="s">
        <v>1815</v>
      </c>
      <c r="D162" s="10" t="s">
        <v>6575</v>
      </c>
      <c r="E162" s="11" t="str">
        <f>HYPERLINK("https://twitter.com/josephsirosh/status/701474888263929856","701474888263929856")</f>
        <v>701474888263929856</v>
      </c>
      <c r="F162" s="12" t="s">
        <v>20</v>
      </c>
      <c r="G162" s="13">
        <v>3340.0</v>
      </c>
      <c r="H162" s="13">
        <v>311.0</v>
      </c>
      <c r="I162" s="13">
        <v>7.0</v>
      </c>
      <c r="J162" s="13">
        <v>6.0</v>
      </c>
      <c r="K162" s="12" t="s">
        <v>21</v>
      </c>
      <c r="L162" s="7">
        <v>41768.1971875</v>
      </c>
      <c r="M162" s="14" t="s">
        <v>1817</v>
      </c>
      <c r="N162" s="14" t="s">
        <v>1818</v>
      </c>
      <c r="O162" s="11" t="str">
        <f>HYPERLINK("https://pbs.twimg.com/profile_images/464737468311289856/UxDeSZ3B_normal.jpeg","View")</f>
        <v>View</v>
      </c>
      <c r="P162" s="15"/>
    </row>
    <row r="163">
      <c r="A163" s="7">
        <v>42421.44111111111</v>
      </c>
      <c r="B163" s="8" t="str">
        <f t="shared" ref="B163:B164" si="29">HYPERLINK("https://twitter.com/fjalolop000","@fjalolop000")</f>
        <v>@fjalolop000</v>
      </c>
      <c r="C163" s="10" t="s">
        <v>6576</v>
      </c>
      <c r="D163" s="10" t="s">
        <v>6388</v>
      </c>
      <c r="E163" s="11" t="str">
        <f>HYPERLINK("https://twitter.com/fjalolop000/status/701475272302968834","701475272302968834")</f>
        <v>701475272302968834</v>
      </c>
      <c r="F163" s="12" t="s">
        <v>152</v>
      </c>
      <c r="G163" s="13">
        <v>16.0</v>
      </c>
      <c r="H163" s="13">
        <v>54.0</v>
      </c>
      <c r="I163" s="13">
        <v>19.0</v>
      </c>
      <c r="J163" s="13">
        <v>0.0</v>
      </c>
      <c r="K163" s="12" t="s">
        <v>21</v>
      </c>
      <c r="L163" s="7">
        <v>41617.3140625</v>
      </c>
      <c r="M163" s="16"/>
      <c r="N163" s="16"/>
      <c r="O163" s="11" t="str">
        <f t="shared" ref="O163:O164" si="30">HYPERLINK("https://pbs.twimg.com/profile_images/576799609873428480/V8akQ-mi_normal.jpeg","View")</f>
        <v>View</v>
      </c>
      <c r="P163" s="15"/>
    </row>
    <row r="164">
      <c r="A164" s="7">
        <v>42421.441157407404</v>
      </c>
      <c r="B164" s="8" t="str">
        <f t="shared" si="29"/>
        <v>@fjalolop000</v>
      </c>
      <c r="C164" s="10" t="s">
        <v>6576</v>
      </c>
      <c r="D164" s="10" t="s">
        <v>6393</v>
      </c>
      <c r="E164" s="11" t="str">
        <f>HYPERLINK("https://twitter.com/fjalolop000/status/701475289759670275","701475289759670275")</f>
        <v>701475289759670275</v>
      </c>
      <c r="F164" s="12" t="s">
        <v>152</v>
      </c>
      <c r="G164" s="13">
        <v>16.0</v>
      </c>
      <c r="H164" s="13">
        <v>54.0</v>
      </c>
      <c r="I164" s="13">
        <v>11.0</v>
      </c>
      <c r="J164" s="13">
        <v>0.0</v>
      </c>
      <c r="K164" s="12" t="s">
        <v>21</v>
      </c>
      <c r="L164" s="7">
        <v>41617.3140625</v>
      </c>
      <c r="M164" s="16"/>
      <c r="N164" s="16"/>
      <c r="O164" s="11" t="str">
        <f t="shared" si="30"/>
        <v>View</v>
      </c>
      <c r="P164" s="15"/>
    </row>
    <row r="165">
      <c r="A165" s="7">
        <v>42421.44170138889</v>
      </c>
      <c r="B165" s="8" t="str">
        <f>HYPERLINK("https://twitter.com/KirkDBorne","@KirkDBorne")</f>
        <v>@KirkDBorne</v>
      </c>
      <c r="C165" s="10" t="s">
        <v>4099</v>
      </c>
      <c r="D165" s="10" t="s">
        <v>6577</v>
      </c>
      <c r="E165" s="11" t="str">
        <f>HYPERLINK("https://twitter.com/KirkDBorne/status/701475485319090177","701475485319090177")</f>
        <v>701475485319090177</v>
      </c>
      <c r="F165" s="12" t="s">
        <v>52</v>
      </c>
      <c r="G165" s="13">
        <v>64193.0</v>
      </c>
      <c r="H165" s="13">
        <v>62659.0</v>
      </c>
      <c r="I165" s="13">
        <v>14.0</v>
      </c>
      <c r="J165" s="13">
        <v>5.0</v>
      </c>
      <c r="K165" s="12" t="s">
        <v>21</v>
      </c>
      <c r="L165" s="7">
        <v>40991.399502314816</v>
      </c>
      <c r="M165" s="14" t="s">
        <v>4101</v>
      </c>
      <c r="N165" s="14" t="s">
        <v>4102</v>
      </c>
      <c r="O165" s="11" t="str">
        <f>HYPERLINK("https://pbs.twimg.com/profile_images/680246148762828801/flXTNSKT_normal.jpg","View")</f>
        <v>View</v>
      </c>
      <c r="P165" s="15"/>
    </row>
    <row r="166">
      <c r="A166" s="7">
        <v>42421.443298611106</v>
      </c>
      <c r="B166" s="8" t="str">
        <f>HYPERLINK("https://twitter.com/ashwinswarup","@ashwinswarup")</f>
        <v>@ashwinswarup</v>
      </c>
      <c r="C166" s="10" t="s">
        <v>6440</v>
      </c>
      <c r="D166" s="10" t="s">
        <v>6578</v>
      </c>
      <c r="E166" s="11" t="str">
        <f>HYPERLINK("https://twitter.com/ashwinswarup/status/701476066502828034","701476066502828034")</f>
        <v>701476066502828034</v>
      </c>
      <c r="F166" s="12" t="s">
        <v>38</v>
      </c>
      <c r="G166" s="13">
        <v>50.0</v>
      </c>
      <c r="H166" s="13">
        <v>144.0</v>
      </c>
      <c r="I166" s="13">
        <v>14.0</v>
      </c>
      <c r="J166" s="13">
        <v>0.0</v>
      </c>
      <c r="K166" s="12" t="s">
        <v>21</v>
      </c>
      <c r="L166" s="7">
        <v>40174.95818287037</v>
      </c>
      <c r="M166" s="14" t="s">
        <v>1148</v>
      </c>
      <c r="N166" s="16"/>
      <c r="O166" s="11" t="str">
        <f>HYPERLINK("https://pbs.twimg.com/profile_images/690624026616553472/Jrtvx19B_normal.jpg","View")</f>
        <v>View</v>
      </c>
      <c r="P166" s="15"/>
    </row>
    <row r="167">
      <c r="A167" s="7">
        <v>42421.44480324074</v>
      </c>
      <c r="B167" s="8" t="str">
        <f>HYPERLINK("https://twitter.com/codepedia_info","@codepedia_info")</f>
        <v>@codepedia_info</v>
      </c>
      <c r="C167" s="10" t="s">
        <v>6579</v>
      </c>
      <c r="D167" s="10" t="s">
        <v>6580</v>
      </c>
      <c r="E167" s="11" t="str">
        <f>HYPERLINK("https://twitter.com/codepedia_info/status/701476612479578112","701476612479578112")</f>
        <v>701476612479578112</v>
      </c>
      <c r="F167" s="12" t="s">
        <v>6581</v>
      </c>
      <c r="G167" s="13">
        <v>790.0</v>
      </c>
      <c r="H167" s="13">
        <v>489.0</v>
      </c>
      <c r="I167" s="13">
        <v>7.0</v>
      </c>
      <c r="J167" s="13">
        <v>0.0</v>
      </c>
      <c r="K167" s="12" t="s">
        <v>21</v>
      </c>
      <c r="L167" s="7">
        <v>42292.92140046296</v>
      </c>
      <c r="M167" s="16"/>
      <c r="N167" s="14" t="s">
        <v>6582</v>
      </c>
      <c r="O167" s="11" t="str">
        <f>HYPERLINK("https://pbs.twimg.com/profile_images/655054050832969728/3mJGHxhS_normal.jpg","View")</f>
        <v>View</v>
      </c>
      <c r="P167" s="15"/>
    </row>
    <row r="168">
      <c r="A168" s="7">
        <v>42421.4455787037</v>
      </c>
      <c r="B168" s="8" t="str">
        <f>HYPERLINK("https://twitter.com/jackwmson","@jackwmson")</f>
        <v>@jackwmson</v>
      </c>
      <c r="C168" s="10" t="s">
        <v>6583</v>
      </c>
      <c r="D168" s="10" t="s">
        <v>6578</v>
      </c>
      <c r="E168" s="11" t="str">
        <f>HYPERLINK("https://twitter.com/jackwmson/status/701476892084477952","701476892084477952")</f>
        <v>701476892084477952</v>
      </c>
      <c r="F168" s="12" t="s">
        <v>38</v>
      </c>
      <c r="G168" s="13">
        <v>1565.0</v>
      </c>
      <c r="H168" s="13">
        <v>1154.0</v>
      </c>
      <c r="I168" s="13">
        <v>14.0</v>
      </c>
      <c r="J168" s="13">
        <v>0.0</v>
      </c>
      <c r="K168" s="12" t="s">
        <v>21</v>
      </c>
      <c r="L168" s="7">
        <v>40813.00444444444</v>
      </c>
      <c r="M168" s="16"/>
      <c r="N168" s="14" t="s">
        <v>6584</v>
      </c>
      <c r="O168" s="11" t="str">
        <f>HYPERLINK("https://pbs.twimg.com/profile_images/378800000486159808/6c9dde8644d6d07e6a0616b5116b94eb_normal.jpeg","View")</f>
        <v>View</v>
      </c>
      <c r="P168" s="15"/>
    </row>
    <row r="169">
      <c r="A169" s="7">
        <v>42421.446435185186</v>
      </c>
      <c r="B169" s="8" t="str">
        <f t="shared" ref="B169:B170" si="31">HYPERLINK("https://twitter.com/data_made_easy","@data_made_easy")</f>
        <v>@data_made_easy</v>
      </c>
      <c r="C169" s="10" t="s">
        <v>6585</v>
      </c>
      <c r="D169" s="10" t="s">
        <v>6388</v>
      </c>
      <c r="E169" s="11" t="str">
        <f>HYPERLINK("https://twitter.com/data_made_easy/status/701477202735423488","701477202735423488")</f>
        <v>701477202735423488</v>
      </c>
      <c r="F169" s="12" t="s">
        <v>20</v>
      </c>
      <c r="G169" s="13">
        <v>986.0</v>
      </c>
      <c r="H169" s="13">
        <v>1441.0</v>
      </c>
      <c r="I169" s="13">
        <v>19.0</v>
      </c>
      <c r="J169" s="13">
        <v>0.0</v>
      </c>
      <c r="K169" s="12" t="s">
        <v>21</v>
      </c>
      <c r="L169" s="7">
        <v>42400.53592592593</v>
      </c>
      <c r="M169" s="14" t="s">
        <v>69</v>
      </c>
      <c r="N169" s="14" t="s">
        <v>6586</v>
      </c>
      <c r="O169" s="11" t="str">
        <f t="shared" ref="O169:O170" si="32">HYPERLINK("https://pbs.twimg.com/profile_images/696588454948270081/2oDpW0OI_normal.png","View")</f>
        <v>View</v>
      </c>
      <c r="P169" s="15"/>
    </row>
    <row r="170">
      <c r="A170" s="7">
        <v>42421.446863425925</v>
      </c>
      <c r="B170" s="8" t="str">
        <f t="shared" si="31"/>
        <v>@data_made_easy</v>
      </c>
      <c r="C170" s="10" t="s">
        <v>6585</v>
      </c>
      <c r="D170" s="10" t="s">
        <v>6319</v>
      </c>
      <c r="E170" s="11" t="str">
        <f>HYPERLINK("https://twitter.com/data_made_easy/status/701477358671261697","701477358671261697")</f>
        <v>701477358671261697</v>
      </c>
      <c r="F170" s="12" t="s">
        <v>20</v>
      </c>
      <c r="G170" s="13">
        <v>986.0</v>
      </c>
      <c r="H170" s="13">
        <v>1441.0</v>
      </c>
      <c r="I170" s="13">
        <v>106.0</v>
      </c>
      <c r="J170" s="13">
        <v>0.0</v>
      </c>
      <c r="K170" s="12" t="s">
        <v>21</v>
      </c>
      <c r="L170" s="7">
        <v>42400.53592592593</v>
      </c>
      <c r="M170" s="14" t="s">
        <v>69</v>
      </c>
      <c r="N170" s="14" t="s">
        <v>6586</v>
      </c>
      <c r="O170" s="11" t="str">
        <f t="shared" si="32"/>
        <v>View</v>
      </c>
      <c r="P170" s="15"/>
    </row>
    <row r="171">
      <c r="A171" s="7">
        <v>42421.44721064815</v>
      </c>
      <c r="B171" s="8" t="str">
        <f>HYPERLINK("https://twitter.com/Sodersoder","@Sodersoder")</f>
        <v>@Sodersoder</v>
      </c>
      <c r="C171" s="10" t="s">
        <v>6587</v>
      </c>
      <c r="D171" s="10" t="s">
        <v>6588</v>
      </c>
      <c r="E171" s="11" t="str">
        <f>HYPERLINK("https://twitter.com/Sodersoder/status/701477483246387201","701477483246387201")</f>
        <v>701477483246387201</v>
      </c>
      <c r="F171" s="12" t="s">
        <v>20</v>
      </c>
      <c r="G171" s="13">
        <v>92.0</v>
      </c>
      <c r="H171" s="13">
        <v>240.0</v>
      </c>
      <c r="I171" s="13">
        <v>1.0</v>
      </c>
      <c r="J171" s="13">
        <v>0.0</v>
      </c>
      <c r="K171" s="12" t="s">
        <v>21</v>
      </c>
      <c r="L171" s="7">
        <v>40406.573333333334</v>
      </c>
      <c r="M171" s="14" t="s">
        <v>6589</v>
      </c>
      <c r="N171" s="14" t="s">
        <v>6590</v>
      </c>
      <c r="O171" s="11" t="str">
        <f>HYPERLINK("https://pbs.twimg.com/profile_images/3545507828/dcea8d605061b7a8d76df1cf0d200d69_normal.jpeg","View")</f>
        <v>View</v>
      </c>
      <c r="P171" s="15"/>
    </row>
    <row r="172">
      <c r="A172" s="7">
        <v>42421.44831018518</v>
      </c>
      <c r="B172" s="8" t="str">
        <f>HYPERLINK("https://twitter.com/datascienceplus","@datascienceplus")</f>
        <v>@datascienceplus</v>
      </c>
      <c r="C172" s="10" t="s">
        <v>5948</v>
      </c>
      <c r="D172" s="10" t="s">
        <v>6591</v>
      </c>
      <c r="E172" s="11" t="str">
        <f>HYPERLINK("https://twitter.com/datascienceplus/status/701477882770673664","701477882770673664")</f>
        <v>701477882770673664</v>
      </c>
      <c r="F172" s="12" t="s">
        <v>98</v>
      </c>
      <c r="G172" s="13">
        <v>250.0</v>
      </c>
      <c r="H172" s="13">
        <v>321.0</v>
      </c>
      <c r="I172" s="13">
        <v>1.0</v>
      </c>
      <c r="J172" s="13">
        <v>0.0</v>
      </c>
      <c r="K172" s="12" t="s">
        <v>21</v>
      </c>
      <c r="L172" s="7">
        <v>42225.01311342593</v>
      </c>
      <c r="M172" s="14" t="s">
        <v>5950</v>
      </c>
      <c r="N172" s="14" t="s">
        <v>5951</v>
      </c>
      <c r="O172" s="11" t="str">
        <f>HYPERLINK("https://pbs.twimg.com/profile_images/630277871538278400/gEjxWtPD_normal.jpg","View")</f>
        <v>View</v>
      </c>
      <c r="P172" s="15"/>
    </row>
    <row r="173">
      <c r="A173" s="7">
        <v>42421.44951388889</v>
      </c>
      <c r="B173" s="8" t="str">
        <f>HYPERLINK("https://twitter.com/DataScience_Ank","@DataScience_Ank")</f>
        <v>@DataScience_Ank</v>
      </c>
      <c r="C173" s="10" t="s">
        <v>6592</v>
      </c>
      <c r="D173" s="10" t="s">
        <v>6578</v>
      </c>
      <c r="E173" s="11" t="str">
        <f>HYPERLINK("https://twitter.com/DataScience_Ank/status/701478317912956928","701478317912956928")</f>
        <v>701478317912956928</v>
      </c>
      <c r="F173" s="12" t="s">
        <v>52</v>
      </c>
      <c r="G173" s="13">
        <v>262.0</v>
      </c>
      <c r="H173" s="13">
        <v>570.0</v>
      </c>
      <c r="I173" s="13">
        <v>14.0</v>
      </c>
      <c r="J173" s="13">
        <v>0.0</v>
      </c>
      <c r="K173" s="12" t="s">
        <v>21</v>
      </c>
      <c r="L173" s="7">
        <v>42380.03973379629</v>
      </c>
      <c r="M173" s="16"/>
      <c r="N173" s="14" t="s">
        <v>6593</v>
      </c>
      <c r="O173" s="11" t="str">
        <f>HYPERLINK("https://pbs.twimg.com/profile_images/687897729436004352/v4dQgl74_normal.jpg","View")</f>
        <v>View</v>
      </c>
      <c r="P173" s="15"/>
    </row>
    <row r="174">
      <c r="A174" s="7">
        <v>42421.450949074075</v>
      </c>
      <c r="B174" s="8" t="str">
        <f>HYPERLINK("https://twitter.com/lwjohnst","@lwjohnst")</f>
        <v>@lwjohnst</v>
      </c>
      <c r="C174" s="10" t="s">
        <v>6594</v>
      </c>
      <c r="D174" s="10" t="s">
        <v>6595</v>
      </c>
      <c r="E174" s="11" t="str">
        <f>HYPERLINK("https://twitter.com/lwjohnst/status/701478837943717888","701478837943717888")</f>
        <v>701478837943717888</v>
      </c>
      <c r="F174" s="12" t="s">
        <v>6596</v>
      </c>
      <c r="G174" s="13">
        <v>23.0</v>
      </c>
      <c r="H174" s="13">
        <v>96.0</v>
      </c>
      <c r="I174" s="13">
        <v>6.0</v>
      </c>
      <c r="J174" s="13">
        <v>0.0</v>
      </c>
      <c r="K174" s="12" t="s">
        <v>21</v>
      </c>
      <c r="L174" s="7">
        <v>41292.84607638889</v>
      </c>
      <c r="M174" s="14" t="s">
        <v>3278</v>
      </c>
      <c r="N174" s="14" t="s">
        <v>6597</v>
      </c>
      <c r="O174" s="11" t="str">
        <f>HYPERLINK("https://pbs.twimg.com/profile_images/656158193920282624/ziZx2OUQ_normal.jpg","View")</f>
        <v>View</v>
      </c>
      <c r="P174" s="15"/>
    </row>
    <row r="175">
      <c r="A175" s="7">
        <v>42421.450949074075</v>
      </c>
      <c r="B175" s="8" t="str">
        <f>HYPERLINK("https://twitter.com/thosjleeper","@thosjleeper")</f>
        <v>@thosjleeper</v>
      </c>
      <c r="C175" s="10" t="s">
        <v>6598</v>
      </c>
      <c r="D175" s="10" t="s">
        <v>6599</v>
      </c>
      <c r="E175" s="11" t="str">
        <f>HYPERLINK("https://twitter.com/thosjleeper/status/701478840082833408","701478840082833408")</f>
        <v>701478840082833408</v>
      </c>
      <c r="F175" s="12" t="s">
        <v>446</v>
      </c>
      <c r="G175" s="13">
        <v>1594.0</v>
      </c>
      <c r="H175" s="13">
        <v>1304.0</v>
      </c>
      <c r="I175" s="13">
        <v>4.0</v>
      </c>
      <c r="J175" s="13">
        <v>10.0</v>
      </c>
      <c r="K175" s="12" t="s">
        <v>21</v>
      </c>
      <c r="L175" s="7">
        <v>39689.60460648148</v>
      </c>
      <c r="M175" s="14" t="s">
        <v>2034</v>
      </c>
      <c r="N175" s="14" t="s">
        <v>6600</v>
      </c>
      <c r="O175" s="11" t="str">
        <f>HYPERLINK("https://pbs.twimg.com/profile_images/702599433402322947/Rda4kptZ_normal.jpg","View")</f>
        <v>View</v>
      </c>
      <c r="P175" s="15"/>
    </row>
    <row r="176">
      <c r="A176" s="7">
        <v>42421.45099537037</v>
      </c>
      <c r="B176" s="8" t="str">
        <f>HYPERLINK("https://twitter.com/rakendatagroup","@rakendatagroup")</f>
        <v>@rakendatagroup</v>
      </c>
      <c r="C176" s="10" t="s">
        <v>6601</v>
      </c>
      <c r="D176" s="10" t="s">
        <v>6578</v>
      </c>
      <c r="E176" s="11" t="str">
        <f>HYPERLINK("https://twitter.com/rakendatagroup/status/701478854666358788","701478854666358788")</f>
        <v>701478854666358788</v>
      </c>
      <c r="F176" s="12" t="s">
        <v>38</v>
      </c>
      <c r="G176" s="13">
        <v>196.0</v>
      </c>
      <c r="H176" s="13">
        <v>119.0</v>
      </c>
      <c r="I176" s="13">
        <v>14.0</v>
      </c>
      <c r="J176" s="13">
        <v>0.0</v>
      </c>
      <c r="K176" s="12" t="s">
        <v>21</v>
      </c>
      <c r="L176" s="7">
        <v>42243.637719907405</v>
      </c>
      <c r="M176" s="14" t="s">
        <v>6602</v>
      </c>
      <c r="N176" s="14" t="s">
        <v>6603</v>
      </c>
      <c r="O176" s="11" t="str">
        <f>HYPERLINK("https://pbs.twimg.com/profile_images/637027066861359104/fk3jySTT_normal.jpg","View")</f>
        <v>View</v>
      </c>
      <c r="P176" s="15"/>
    </row>
    <row r="177">
      <c r="A177" s="7">
        <v>42421.45459490741</v>
      </c>
      <c r="B177" s="8" t="str">
        <f>HYPERLINK("https://twitter.com/ArturoErdely","@ArturoErdely")</f>
        <v>@ArturoErdely</v>
      </c>
      <c r="C177" s="10" t="s">
        <v>6604</v>
      </c>
      <c r="D177" s="10" t="s">
        <v>6561</v>
      </c>
      <c r="E177" s="11" t="str">
        <f>HYPERLINK("https://twitter.com/ArturoErdely/status/701480159434571776","701480159434571776")</f>
        <v>701480159434571776</v>
      </c>
      <c r="F177" s="12" t="s">
        <v>20</v>
      </c>
      <c r="G177" s="13">
        <v>349.0</v>
      </c>
      <c r="H177" s="13">
        <v>27.0</v>
      </c>
      <c r="I177" s="13">
        <v>4.0</v>
      </c>
      <c r="J177" s="13">
        <v>0.0</v>
      </c>
      <c r="K177" s="12" t="s">
        <v>21</v>
      </c>
      <c r="L177" s="7">
        <v>40488.30488425926</v>
      </c>
      <c r="M177" s="14" t="s">
        <v>6605</v>
      </c>
      <c r="N177" s="14" t="s">
        <v>6606</v>
      </c>
      <c r="O177" s="11" t="str">
        <f>HYPERLINK("https://pbs.twimg.com/profile_images/3199598780/253af0e6b8fa63bf5b969ccc9a3486e7_normal.jpeg","View")</f>
        <v>View</v>
      </c>
      <c r="P177" s="15"/>
    </row>
    <row r="178">
      <c r="A178" s="7">
        <v>42421.45634259259</v>
      </c>
      <c r="B178" s="8" t="str">
        <f>HYPERLINK("https://twitter.com/BigDataMinded","@BigDataMinded")</f>
        <v>@BigDataMinded</v>
      </c>
      <c r="C178" s="10" t="s">
        <v>6607</v>
      </c>
      <c r="D178" s="10" t="s">
        <v>6578</v>
      </c>
      <c r="E178" s="11" t="str">
        <f>HYPERLINK("https://twitter.com/BigDataMinded/status/701480792644579329","701480792644579329")</f>
        <v>701480792644579329</v>
      </c>
      <c r="F178" s="12" t="s">
        <v>38</v>
      </c>
      <c r="G178" s="13">
        <v>1361.0</v>
      </c>
      <c r="H178" s="13">
        <v>2043.0</v>
      </c>
      <c r="I178" s="13">
        <v>14.0</v>
      </c>
      <c r="J178" s="13">
        <v>0.0</v>
      </c>
      <c r="K178" s="12" t="s">
        <v>21</v>
      </c>
      <c r="L178" s="7">
        <v>41366.511458333334</v>
      </c>
      <c r="M178" s="16"/>
      <c r="N178" s="14" t="s">
        <v>6608</v>
      </c>
      <c r="O178" s="11" t="str">
        <f>HYPERLINK("https://pbs.twimg.com/profile_images/655770896641056768/vxUBUXtu_normal.jpg","View")</f>
        <v>View</v>
      </c>
      <c r="P178" s="15"/>
    </row>
    <row r="179">
      <c r="A179" s="7">
        <v>42421.45637731481</v>
      </c>
      <c r="B179" s="8" t="str">
        <f>HYPERLINK("https://twitter.com/DataToValue","@DataToValue")</f>
        <v>@DataToValue</v>
      </c>
      <c r="C179" s="10" t="s">
        <v>5522</v>
      </c>
      <c r="D179" s="10" t="s">
        <v>6578</v>
      </c>
      <c r="E179" s="11" t="str">
        <f>HYPERLINK("https://twitter.com/DataToValue/status/701480803818196992","701480803818196992")</f>
        <v>701480803818196992</v>
      </c>
      <c r="F179" s="12" t="s">
        <v>38</v>
      </c>
      <c r="G179" s="13">
        <v>439.0</v>
      </c>
      <c r="H179" s="13">
        <v>364.0</v>
      </c>
      <c r="I179" s="13">
        <v>14.0</v>
      </c>
      <c r="J179" s="13">
        <v>0.0</v>
      </c>
      <c r="K179" s="12" t="s">
        <v>21</v>
      </c>
      <c r="L179" s="7">
        <v>41388.221979166665</v>
      </c>
      <c r="M179" s="14" t="s">
        <v>1093</v>
      </c>
      <c r="N179" s="14" t="s">
        <v>5523</v>
      </c>
      <c r="O179" s="11" t="str">
        <f>HYPERLINK("https://pbs.twimg.com/profile_images/562555701734547456/mIBOZbQA_normal.jpeg","View")</f>
        <v>View</v>
      </c>
      <c r="P179" s="15"/>
    </row>
    <row r="180">
      <c r="A180" s="7">
        <v>42421.45861111111</v>
      </c>
      <c r="B180" s="8" t="str">
        <f>HYPERLINK("https://twitter.com/v_vashishta","@v_vashishta")</f>
        <v>@v_vashishta</v>
      </c>
      <c r="C180" s="10" t="s">
        <v>6609</v>
      </c>
      <c r="D180" s="10" t="s">
        <v>6610</v>
      </c>
      <c r="E180" s="11" t="str">
        <f>HYPERLINK("https://twitter.com/v_vashishta/status/701481612639232000","701481612639232000")</f>
        <v>701481612639232000</v>
      </c>
      <c r="F180" s="12" t="s">
        <v>446</v>
      </c>
      <c r="G180" s="13">
        <v>19394.0</v>
      </c>
      <c r="H180" s="13">
        <v>14053.0</v>
      </c>
      <c r="I180" s="13">
        <v>1.0</v>
      </c>
      <c r="J180" s="13">
        <v>5.0</v>
      </c>
      <c r="K180" s="12" t="s">
        <v>21</v>
      </c>
      <c r="L180" s="7">
        <v>40436.24811342593</v>
      </c>
      <c r="M180" s="14" t="s">
        <v>6611</v>
      </c>
      <c r="N180" s="14" t="s">
        <v>6612</v>
      </c>
      <c r="O180" s="11" t="str">
        <f>HYPERLINK("https://pbs.twimg.com/profile_images/2311675967/yzhiz5niu8t497rap344_normal.jpeg","View")</f>
        <v>View</v>
      </c>
      <c r="P180" s="15"/>
    </row>
    <row r="181">
      <c r="A181" s="7">
        <v>42421.45890046297</v>
      </c>
      <c r="B181" s="8" t="str">
        <f>HYPERLINK("https://twitter.com/sehau_","@sehau_")</f>
        <v>@sehau_</v>
      </c>
      <c r="C181" s="10" t="s">
        <v>6613</v>
      </c>
      <c r="D181" s="10" t="s">
        <v>6614</v>
      </c>
      <c r="E181" s="11" t="str">
        <f>HYPERLINK("https://twitter.com/sehau_/status/701481719770300417","701481719770300417")</f>
        <v>701481719770300417</v>
      </c>
      <c r="F181" s="12" t="s">
        <v>20</v>
      </c>
      <c r="G181" s="13">
        <v>289.0</v>
      </c>
      <c r="H181" s="13">
        <v>186.0</v>
      </c>
      <c r="I181" s="13">
        <v>0.0</v>
      </c>
      <c r="J181" s="13">
        <v>0.0</v>
      </c>
      <c r="K181" s="12" t="s">
        <v>21</v>
      </c>
      <c r="L181" s="7">
        <v>40795.55221064815</v>
      </c>
      <c r="M181" s="14" t="s">
        <v>6615</v>
      </c>
      <c r="N181" s="14" t="s">
        <v>6616</v>
      </c>
      <c r="O181" s="11" t="str">
        <f>HYPERLINK("https://pbs.twimg.com/profile_images/3609176822/ada66ff1e0bce0b66478849be25ec884_normal.png","View")</f>
        <v>View</v>
      </c>
      <c r="P181" s="15"/>
    </row>
    <row r="182">
      <c r="A182" s="7">
        <v>42421.45921296296</v>
      </c>
      <c r="B182" s="8" t="str">
        <f>HYPERLINK("https://twitter.com/nlpandcss","@nlpandcss")</f>
        <v>@nlpandcss</v>
      </c>
      <c r="C182" s="10" t="s">
        <v>6617</v>
      </c>
      <c r="D182" s="10" t="s">
        <v>6510</v>
      </c>
      <c r="E182" s="11" t="str">
        <f>HYPERLINK("https://twitter.com/nlpandcss/status/701481832911663115","701481832911663115")</f>
        <v>701481832911663115</v>
      </c>
      <c r="F182" s="12" t="s">
        <v>6617</v>
      </c>
      <c r="G182" s="13">
        <v>57.0</v>
      </c>
      <c r="H182" s="13">
        <v>66.0</v>
      </c>
      <c r="I182" s="13">
        <v>2.0</v>
      </c>
      <c r="J182" s="13">
        <v>0.0</v>
      </c>
      <c r="K182" s="12" t="s">
        <v>21</v>
      </c>
      <c r="L182" s="7">
        <v>42397.10519675926</v>
      </c>
      <c r="M182" s="16"/>
      <c r="N182" s="14" t="s">
        <v>6618</v>
      </c>
      <c r="O182" s="11" t="str">
        <f>HYPERLINK("https://abs.twimg.com/sticky/default_profile_images/default_profile_6_normal.png","View")</f>
        <v>View</v>
      </c>
      <c r="P182" s="15"/>
    </row>
    <row r="183">
      <c r="A183" s="7">
        <v>42421.45990740741</v>
      </c>
      <c r="B183" s="8" t="str">
        <f>HYPERLINK("https://twitter.com/tarunrodrigues","@tarunrodrigues")</f>
        <v>@tarunrodrigues</v>
      </c>
      <c r="C183" s="10" t="s">
        <v>6619</v>
      </c>
      <c r="D183" s="10" t="s">
        <v>6580</v>
      </c>
      <c r="E183" s="11" t="str">
        <f>HYPERLINK("https://twitter.com/tarunrodrigues/status/701482085899333632","701482085899333632")</f>
        <v>701482085899333632</v>
      </c>
      <c r="F183" s="12" t="s">
        <v>124</v>
      </c>
      <c r="G183" s="13">
        <v>28.0</v>
      </c>
      <c r="H183" s="13">
        <v>316.0</v>
      </c>
      <c r="I183" s="13">
        <v>7.0</v>
      </c>
      <c r="J183" s="13">
        <v>0.0</v>
      </c>
      <c r="K183" s="12" t="s">
        <v>21</v>
      </c>
      <c r="L183" s="7">
        <v>41825.82612268518</v>
      </c>
      <c r="M183" s="16"/>
      <c r="N183" s="16"/>
      <c r="O183" s="11" t="str">
        <f>HYPERLINK("https://pbs.twimg.com/profile_images/591351347384950785/48aTQX0S_normal.jpg","View")</f>
        <v>View</v>
      </c>
      <c r="P183" s="15"/>
    </row>
    <row r="184">
      <c r="A184" s="7">
        <v>42421.46184027778</v>
      </c>
      <c r="B184" s="8" t="str">
        <f>HYPERLINK("https://twitter.com/DelftScott","@DelftScott")</f>
        <v>@DelftScott</v>
      </c>
      <c r="C184" s="10" t="s">
        <v>6620</v>
      </c>
      <c r="D184" s="10" t="s">
        <v>6621</v>
      </c>
      <c r="E184" s="11" t="str">
        <f>HYPERLINK("https://twitter.com/DelftScott/status/701482786033639424","701482786033639424")</f>
        <v>701482786033639424</v>
      </c>
      <c r="F184" s="12" t="s">
        <v>52</v>
      </c>
      <c r="G184" s="13">
        <v>843.0</v>
      </c>
      <c r="H184" s="13">
        <v>1384.0</v>
      </c>
      <c r="I184" s="13">
        <v>1.0</v>
      </c>
      <c r="J184" s="13">
        <v>0.0</v>
      </c>
      <c r="K184" s="12" t="s">
        <v>21</v>
      </c>
      <c r="L184" s="7">
        <v>41318.39134259259</v>
      </c>
      <c r="M184" s="14" t="s">
        <v>6622</v>
      </c>
      <c r="N184" s="14" t="s">
        <v>6623</v>
      </c>
      <c r="O184" s="11" t="str">
        <f>HYPERLINK("https://pbs.twimg.com/profile_images/595686269461606401/iZlT_aQl_normal.jpg","View")</f>
        <v>View</v>
      </c>
      <c r="P184" s="15"/>
    </row>
    <row r="185">
      <c r="A185" s="7">
        <v>42421.46266203704</v>
      </c>
      <c r="B185" s="8" t="str">
        <f>HYPERLINK("https://twitter.com/JamesBTS","@JamesBTS")</f>
        <v>@JamesBTS</v>
      </c>
      <c r="C185" s="10" t="s">
        <v>4192</v>
      </c>
      <c r="D185" s="10" t="s">
        <v>6578</v>
      </c>
      <c r="E185" s="11" t="str">
        <f>HYPERLINK("https://twitter.com/JamesBTS/status/701483080893145088","701483080893145088")</f>
        <v>701483080893145088</v>
      </c>
      <c r="F185" s="12" t="s">
        <v>52</v>
      </c>
      <c r="G185" s="13">
        <v>204.0</v>
      </c>
      <c r="H185" s="13">
        <v>199.0</v>
      </c>
      <c r="I185" s="13">
        <v>14.0</v>
      </c>
      <c r="J185" s="13">
        <v>0.0</v>
      </c>
      <c r="K185" s="12" t="s">
        <v>21</v>
      </c>
      <c r="L185" s="7">
        <v>40319.652233796296</v>
      </c>
      <c r="M185" s="14" t="s">
        <v>4193</v>
      </c>
      <c r="N185" s="14" t="s">
        <v>4194</v>
      </c>
      <c r="O185" s="11" t="str">
        <f>HYPERLINK("https://pbs.twimg.com/profile_images/3654550270/5cab52e90000571b826f1a6d9e8d05d4_normal.png","View")</f>
        <v>View</v>
      </c>
      <c r="P185" s="15"/>
    </row>
    <row r="186">
      <c r="A186" s="7">
        <v>42421.463472222225</v>
      </c>
      <c r="B186" s="8" t="str">
        <f>HYPERLINK("https://twitter.com/DataWookie","@DataWookie")</f>
        <v>@DataWookie</v>
      </c>
      <c r="C186" s="10" t="s">
        <v>6231</v>
      </c>
      <c r="D186" s="10" t="s">
        <v>6624</v>
      </c>
      <c r="E186" s="11" t="str">
        <f>HYPERLINK("https://twitter.com/DataWookie/status/701483375123509248","701483375123509248")</f>
        <v>701483375123509248</v>
      </c>
      <c r="F186" s="12" t="s">
        <v>6233</v>
      </c>
      <c r="G186" s="13">
        <v>426.0</v>
      </c>
      <c r="H186" s="13">
        <v>296.0</v>
      </c>
      <c r="I186" s="13">
        <v>0.0</v>
      </c>
      <c r="J186" s="13">
        <v>0.0</v>
      </c>
      <c r="K186" s="12" t="s">
        <v>21</v>
      </c>
      <c r="L186" s="7">
        <v>42166.966678240744</v>
      </c>
      <c r="M186" s="14" t="s">
        <v>6234</v>
      </c>
      <c r="N186" s="14" t="s">
        <v>6235</v>
      </c>
      <c r="O186" s="11" t="str">
        <f>HYPERLINK("https://pbs.twimg.com/profile_images/612471608725213184/eXKo2Kmo_normal.jpg","View")</f>
        <v>View</v>
      </c>
      <c r="P186" s="15"/>
    </row>
    <row r="187">
      <c r="A187" s="7">
        <v>42421.464895833335</v>
      </c>
      <c r="B187" s="8" t="str">
        <f>HYPERLINK("https://twitter.com/jenstirrup","@jenstirrup")</f>
        <v>@jenstirrup</v>
      </c>
      <c r="C187" s="10" t="s">
        <v>6432</v>
      </c>
      <c r="D187" s="10" t="s">
        <v>6470</v>
      </c>
      <c r="E187" s="11" t="str">
        <f>HYPERLINK("https://twitter.com/jenstirrup/status/701483894277705728","701483894277705728")</f>
        <v>701483894277705728</v>
      </c>
      <c r="F187" s="12" t="s">
        <v>152</v>
      </c>
      <c r="G187" s="13">
        <v>8763.0</v>
      </c>
      <c r="H187" s="13">
        <v>3147.0</v>
      </c>
      <c r="I187" s="13">
        <v>9.0</v>
      </c>
      <c r="J187" s="13">
        <v>0.0</v>
      </c>
      <c r="K187" s="12" t="s">
        <v>21</v>
      </c>
      <c r="L187" s="7">
        <v>39879.60259259259</v>
      </c>
      <c r="M187" s="14" t="s">
        <v>6434</v>
      </c>
      <c r="N187" s="14" t="s">
        <v>6435</v>
      </c>
      <c r="O187" s="11" t="str">
        <f>HYPERLINK("https://pbs.twimg.com/profile_images/696103690369949696/EpU6buAs_normal.jpg","View")</f>
        <v>View</v>
      </c>
      <c r="P187" s="15"/>
    </row>
    <row r="188">
      <c r="A188" s="7">
        <v>42421.46502314815</v>
      </c>
      <c r="B188" s="8" t="str">
        <f>HYPERLINK("https://twitter.com/Scott_Siemens","@Scott_Siemens")</f>
        <v>@Scott_Siemens</v>
      </c>
      <c r="C188" s="10" t="s">
        <v>6625</v>
      </c>
      <c r="D188" s="10" t="s">
        <v>6578</v>
      </c>
      <c r="E188" s="11" t="str">
        <f>HYPERLINK("https://twitter.com/Scott_Siemens/status/701483938062192640","701483938062192640")</f>
        <v>701483938062192640</v>
      </c>
      <c r="F188" s="12" t="s">
        <v>38</v>
      </c>
      <c r="G188" s="13">
        <v>2295.0</v>
      </c>
      <c r="H188" s="13">
        <v>2459.0</v>
      </c>
      <c r="I188" s="13">
        <v>14.0</v>
      </c>
      <c r="J188" s="13">
        <v>0.0</v>
      </c>
      <c r="K188" s="12" t="s">
        <v>21</v>
      </c>
      <c r="L188" s="7">
        <v>42348.36159722222</v>
      </c>
      <c r="M188" s="14" t="s">
        <v>3785</v>
      </c>
      <c r="N188" s="14" t="s">
        <v>6626</v>
      </c>
      <c r="O188" s="11" t="str">
        <f>HYPERLINK("https://pbs.twimg.com/profile_images/674992685426466817/50Aicie-_normal.jpg","View")</f>
        <v>View</v>
      </c>
      <c r="P188" s="15"/>
    </row>
    <row r="189">
      <c r="A189" s="7">
        <v>42421.467881944445</v>
      </c>
      <c r="B189" s="8" t="str">
        <f>HYPERLINK("https://twitter.com/bdy11n","@bdy11n")</f>
        <v>@bdy11n</v>
      </c>
      <c r="C189" s="10" t="s">
        <v>6627</v>
      </c>
      <c r="D189" s="10" t="s">
        <v>6578</v>
      </c>
      <c r="E189" s="11" t="str">
        <f>HYPERLINK("https://twitter.com/bdy11n/status/701484973379997702","701484973379997702")</f>
        <v>701484973379997702</v>
      </c>
      <c r="F189" s="12" t="s">
        <v>152</v>
      </c>
      <c r="G189" s="13">
        <v>497.0</v>
      </c>
      <c r="H189" s="13">
        <v>970.0</v>
      </c>
      <c r="I189" s="13">
        <v>14.0</v>
      </c>
      <c r="J189" s="13">
        <v>0.0</v>
      </c>
      <c r="K189" s="12" t="s">
        <v>21</v>
      </c>
      <c r="L189" s="7">
        <v>40972.03166666666</v>
      </c>
      <c r="M189" s="16"/>
      <c r="N189" s="14" t="s">
        <v>6628</v>
      </c>
      <c r="O189" s="11" t="str">
        <f>HYPERLINK("https://pbs.twimg.com/profile_images/644486680536313856/Orsslq04_normal.jpg","View")</f>
        <v>View</v>
      </c>
      <c r="P189" s="15"/>
    </row>
    <row r="190">
      <c r="A190" s="7">
        <v>42421.46908564815</v>
      </c>
      <c r="B190" s="8" t="str">
        <f>HYPERLINK("https://twitter.com/PierreAlquier","@PierreAlquier")</f>
        <v>@PierreAlquier</v>
      </c>
      <c r="C190" s="10" t="s">
        <v>6629</v>
      </c>
      <c r="D190" s="10" t="s">
        <v>6595</v>
      </c>
      <c r="E190" s="11" t="str">
        <f>HYPERLINK("https://twitter.com/PierreAlquier/status/701485408870248448","701485408870248448")</f>
        <v>701485408870248448</v>
      </c>
      <c r="F190" s="12" t="s">
        <v>20</v>
      </c>
      <c r="G190" s="13">
        <v>651.0</v>
      </c>
      <c r="H190" s="13">
        <v>2791.0</v>
      </c>
      <c r="I190" s="13">
        <v>6.0</v>
      </c>
      <c r="J190" s="13">
        <v>0.0</v>
      </c>
      <c r="K190" s="12" t="s">
        <v>21</v>
      </c>
      <c r="L190" s="7">
        <v>42290.47642361111</v>
      </c>
      <c r="M190" s="14" t="s">
        <v>2002</v>
      </c>
      <c r="N190" s="14" t="s">
        <v>6630</v>
      </c>
      <c r="O190" s="11" t="str">
        <f>HYPERLINK("https://pbs.twimg.com/profile_images/654000789640323073/8LudaBLI_normal.jpg","View")</f>
        <v>View</v>
      </c>
      <c r="P190" s="15"/>
    </row>
    <row r="191">
      <c r="A191" s="7">
        <v>42421.47221064815</v>
      </c>
      <c r="B191" s="8" t="str">
        <f>HYPERLINK("https://twitter.com/AbsLawson","@AbsLawson")</f>
        <v>@AbsLawson</v>
      </c>
      <c r="C191" s="10" t="s">
        <v>6631</v>
      </c>
      <c r="D191" s="10" t="s">
        <v>6632</v>
      </c>
      <c r="E191" s="11" t="str">
        <f>HYPERLINK("https://twitter.com/AbsLawson/status/701486542817259524","701486542817259524")</f>
        <v>701486542817259524</v>
      </c>
      <c r="F191" s="12" t="s">
        <v>20</v>
      </c>
      <c r="G191" s="13">
        <v>565.0</v>
      </c>
      <c r="H191" s="13">
        <v>601.0</v>
      </c>
      <c r="I191" s="13">
        <v>0.0</v>
      </c>
      <c r="J191" s="13">
        <v>0.0</v>
      </c>
      <c r="K191" s="12" t="s">
        <v>21</v>
      </c>
      <c r="L191" s="7">
        <v>42086.34006944444</v>
      </c>
      <c r="M191" s="14" t="s">
        <v>6633</v>
      </c>
      <c r="N191" s="14" t="s">
        <v>6634</v>
      </c>
      <c r="O191" s="11" t="str">
        <f>HYPERLINK("https://pbs.twimg.com/profile_images/580066654811492352/YhLsjQ3g_normal.jpg","View")</f>
        <v>View</v>
      </c>
      <c r="P191" s="15"/>
    </row>
    <row r="192">
      <c r="A192" s="7">
        <v>42421.47528935185</v>
      </c>
      <c r="B192" s="8" t="str">
        <f>HYPERLINK("https://twitter.com/nano_unanue","@nano_unanue")</f>
        <v>@nano_unanue</v>
      </c>
      <c r="C192" s="10" t="s">
        <v>6635</v>
      </c>
      <c r="D192" s="10" t="s">
        <v>6636</v>
      </c>
      <c r="E192" s="11" t="str">
        <f>HYPERLINK("https://twitter.com/nano_unanue/status/701487659386933248","701487659386933248")</f>
        <v>701487659386933248</v>
      </c>
      <c r="F192" s="12" t="s">
        <v>152</v>
      </c>
      <c r="G192" s="13">
        <v>184.0</v>
      </c>
      <c r="H192" s="13">
        <v>381.0</v>
      </c>
      <c r="I192" s="13">
        <v>3.0</v>
      </c>
      <c r="J192" s="13">
        <v>0.0</v>
      </c>
      <c r="K192" s="12" t="s">
        <v>21</v>
      </c>
      <c r="L192" s="7">
        <v>39562.72796296296</v>
      </c>
      <c r="M192" s="14" t="s">
        <v>2865</v>
      </c>
      <c r="N192" s="16"/>
      <c r="O192" s="11" t="str">
        <f>HYPERLINK("https://pbs.twimg.com/profile_images/444127871238303745/jn_oWhU4_normal.jpeg","View")</f>
        <v>View</v>
      </c>
      <c r="P192" s="15"/>
    </row>
    <row r="193">
      <c r="A193" s="7">
        <v>42421.475648148145</v>
      </c>
      <c r="B193" s="8" t="str">
        <f>HYPERLINK("https://twitter.com/abresler","@abresler")</f>
        <v>@abresler</v>
      </c>
      <c r="C193" s="10" t="s">
        <v>6436</v>
      </c>
      <c r="D193" s="10" t="s">
        <v>6637</v>
      </c>
      <c r="E193" s="11" t="str">
        <f>HYPERLINK("https://twitter.com/abresler/status/701487787976032259","701487787976032259")</f>
        <v>701487787976032259</v>
      </c>
      <c r="F193" s="12" t="s">
        <v>20</v>
      </c>
      <c r="G193" s="13">
        <v>1626.0</v>
      </c>
      <c r="H193" s="13">
        <v>2074.0</v>
      </c>
      <c r="I193" s="13">
        <v>0.0</v>
      </c>
      <c r="J193" s="13">
        <v>1.0</v>
      </c>
      <c r="K193" s="12" t="s">
        <v>21</v>
      </c>
      <c r="L193" s="7">
        <v>39796.802407407406</v>
      </c>
      <c r="M193" s="14" t="s">
        <v>6438</v>
      </c>
      <c r="N193" s="14" t="s">
        <v>6439</v>
      </c>
      <c r="O193" s="11" t="str">
        <f>HYPERLINK("https://pbs.twimg.com/profile_images/669441951192760324/zJylEnJ7_normal.jpg","View")</f>
        <v>View</v>
      </c>
      <c r="P193" s="15"/>
    </row>
    <row r="194">
      <c r="A194" s="7">
        <v>42421.47861111111</v>
      </c>
      <c r="B194" s="8" t="str">
        <f>HYPERLINK("https://twitter.com/joshjfink","@joshjfink")</f>
        <v>@joshjfink</v>
      </c>
      <c r="C194" s="10" t="s">
        <v>6638</v>
      </c>
      <c r="D194" s="10" t="s">
        <v>6639</v>
      </c>
      <c r="E194" s="11" t="str">
        <f>HYPERLINK("https://twitter.com/joshjfink/status/701488861621391362","701488861621391362")</f>
        <v>701488861621391362</v>
      </c>
      <c r="F194" s="12" t="s">
        <v>20</v>
      </c>
      <c r="G194" s="13">
        <v>114.0</v>
      </c>
      <c r="H194" s="13">
        <v>106.0</v>
      </c>
      <c r="I194" s="13">
        <v>0.0</v>
      </c>
      <c r="J194" s="13">
        <v>0.0</v>
      </c>
      <c r="K194" s="12" t="s">
        <v>21</v>
      </c>
      <c r="L194" s="7">
        <v>41625.58105324074</v>
      </c>
      <c r="M194" s="14" t="s">
        <v>6640</v>
      </c>
      <c r="N194" s="14" t="s">
        <v>6641</v>
      </c>
      <c r="O194" s="11" t="str">
        <f>HYPERLINK("https://pbs.twimg.com/profile_images/692071858448011264/IWaYjbkb_normal.png","View")</f>
        <v>View</v>
      </c>
      <c r="P194" s="15"/>
    </row>
    <row r="195">
      <c r="A195" s="7">
        <v>42421.480567129634</v>
      </c>
      <c r="B195" s="8" t="str">
        <f>HYPERLINK("https://twitter.com/MangoTheCat","@MangoTheCat")</f>
        <v>@MangoTheCat</v>
      </c>
      <c r="C195" s="10" t="s">
        <v>6321</v>
      </c>
      <c r="D195" s="10" t="s">
        <v>6642</v>
      </c>
      <c r="E195" s="11" t="str">
        <f>HYPERLINK("https://twitter.com/MangoTheCat/status/701489571482066945","701489571482066945")</f>
        <v>701489571482066945</v>
      </c>
      <c r="F195" s="12" t="s">
        <v>47</v>
      </c>
      <c r="G195" s="13">
        <v>2041.0</v>
      </c>
      <c r="H195" s="13">
        <v>2855.0</v>
      </c>
      <c r="I195" s="13">
        <v>0.0</v>
      </c>
      <c r="J195" s="13">
        <v>0.0</v>
      </c>
      <c r="K195" s="12" t="s">
        <v>21</v>
      </c>
      <c r="L195" s="7">
        <v>39854.3178587963</v>
      </c>
      <c r="M195" s="14" t="s">
        <v>6323</v>
      </c>
      <c r="N195" s="14" t="s">
        <v>6324</v>
      </c>
      <c r="O195" s="11" t="str">
        <f>HYPERLINK("https://pbs.twimg.com/profile_images/641183991077445633/V7VcBpJI_normal.png","View")</f>
        <v>View</v>
      </c>
      <c r="P195" s="15"/>
    </row>
    <row r="196">
      <c r="A196" s="7">
        <v>42421.48275462963</v>
      </c>
      <c r="B196" s="8" t="str">
        <f>HYPERLINK("https://twitter.com/homeAIinfo","@homeAIinfo")</f>
        <v>@homeAIinfo</v>
      </c>
      <c r="C196" s="10" t="s">
        <v>36</v>
      </c>
      <c r="D196" s="10" t="s">
        <v>6578</v>
      </c>
      <c r="E196" s="11" t="str">
        <f>HYPERLINK("https://twitter.com/homeAIinfo/status/701490363975004160","701490363975004160")</f>
        <v>701490363975004160</v>
      </c>
      <c r="F196" s="12" t="s">
        <v>38</v>
      </c>
      <c r="G196" s="13">
        <v>52868.0</v>
      </c>
      <c r="H196" s="13">
        <v>1328.0</v>
      </c>
      <c r="I196" s="13">
        <v>14.0</v>
      </c>
      <c r="J196" s="13">
        <v>0.0</v>
      </c>
      <c r="K196" s="12" t="s">
        <v>21</v>
      </c>
      <c r="L196" s="7">
        <v>42133.34662037037</v>
      </c>
      <c r="M196" s="14" t="s">
        <v>39</v>
      </c>
      <c r="N196" s="14" t="s">
        <v>40</v>
      </c>
      <c r="O196" s="11" t="str">
        <f>HYPERLINK("https://pbs.twimg.com/profile_images/645650110374936580/-oQakt8x_normal.png","View")</f>
        <v>View</v>
      </c>
      <c r="P196" s="15"/>
    </row>
    <row r="197">
      <c r="A197" s="7">
        <v>42421.485497685186</v>
      </c>
      <c r="B197" s="8" t="str">
        <f>HYPERLINK("https://twitter.com/Christian_SQL","@Christian_SQL")</f>
        <v>@Christian_SQL</v>
      </c>
      <c r="C197" s="10" t="s">
        <v>6343</v>
      </c>
      <c r="D197" s="10" t="s">
        <v>6433</v>
      </c>
      <c r="E197" s="11" t="str">
        <f>HYPERLINK("https://twitter.com/Christian_SQL/status/701491360088592385","701491360088592385")</f>
        <v>701491360088592385</v>
      </c>
      <c r="F197" s="12" t="s">
        <v>6643</v>
      </c>
      <c r="G197" s="13">
        <v>78.0</v>
      </c>
      <c r="H197" s="13">
        <v>66.0</v>
      </c>
      <c r="I197" s="13">
        <v>15.0</v>
      </c>
      <c r="J197" s="13">
        <v>0.0</v>
      </c>
      <c r="K197" s="12" t="s">
        <v>21</v>
      </c>
      <c r="L197" s="7">
        <v>40039.20960648148</v>
      </c>
      <c r="M197" s="16"/>
      <c r="N197" s="16"/>
      <c r="O197" s="11" t="str">
        <f>HYPERLINK("https://pbs.twimg.com/profile_images/472350759129198592/jXBxXswb_normal.jpeg","View")</f>
        <v>View</v>
      </c>
      <c r="P197" s="15"/>
    </row>
    <row r="198">
      <c r="A198" s="7">
        <v>42421.488657407404</v>
      </c>
      <c r="B198" s="8" t="str">
        <f>HYPERLINK("https://twitter.com/frankwwu","@frankwwu")</f>
        <v>@frankwwu</v>
      </c>
      <c r="C198" s="10" t="s">
        <v>6644</v>
      </c>
      <c r="D198" s="10" t="s">
        <v>6645</v>
      </c>
      <c r="E198" s="11" t="str">
        <f>HYPERLINK("https://twitter.com/frankwwu/status/701492501409087488","701492501409087488")</f>
        <v>701492501409087488</v>
      </c>
      <c r="F198" s="12" t="s">
        <v>1573</v>
      </c>
      <c r="G198" s="13">
        <v>122.0</v>
      </c>
      <c r="H198" s="13">
        <v>232.0</v>
      </c>
      <c r="I198" s="13">
        <v>1.0</v>
      </c>
      <c r="J198" s="13">
        <v>0.0</v>
      </c>
      <c r="K198" s="12" t="s">
        <v>21</v>
      </c>
      <c r="L198" s="7">
        <v>39235.83243055556</v>
      </c>
      <c r="M198" s="14" t="s">
        <v>6646</v>
      </c>
      <c r="N198" s="14" t="s">
        <v>6647</v>
      </c>
      <c r="O198" s="11" t="str">
        <f>HYPERLINK("https://pbs.twimg.com/profile_images/647923180795994112/kfRnOF24_normal.jpg","View")</f>
        <v>View</v>
      </c>
      <c r="P198" s="15"/>
    </row>
    <row r="199">
      <c r="A199" s="7">
        <v>42421.490648148145</v>
      </c>
      <c r="B199" s="8" t="str">
        <f>HYPERLINK("https://twitter.com/dataandme","@dataandme")</f>
        <v>@dataandme</v>
      </c>
      <c r="C199" s="10" t="s">
        <v>6648</v>
      </c>
      <c r="D199" s="10" t="s">
        <v>6649</v>
      </c>
      <c r="E199" s="11" t="str">
        <f>HYPERLINK("https://twitter.com/dataandme/status/701493224163164170","701493224163164170")</f>
        <v>701493224163164170</v>
      </c>
      <c r="F199" s="12" t="s">
        <v>294</v>
      </c>
      <c r="G199" s="13">
        <v>2502.0</v>
      </c>
      <c r="H199" s="13">
        <v>1940.0</v>
      </c>
      <c r="I199" s="13">
        <v>1.0</v>
      </c>
      <c r="J199" s="13">
        <v>3.0</v>
      </c>
      <c r="K199" s="12" t="s">
        <v>21</v>
      </c>
      <c r="L199" s="7">
        <v>42127.19739583333</v>
      </c>
      <c r="M199" s="14" t="s">
        <v>332</v>
      </c>
      <c r="N199" s="14" t="s">
        <v>6650</v>
      </c>
      <c r="O199" s="11" t="str">
        <f>HYPERLINK("https://pbs.twimg.com/profile_images/598126722920361984/HdS1NWXJ_normal.png","View")</f>
        <v>View</v>
      </c>
      <c r="P199" s="15"/>
    </row>
    <row r="200">
      <c r="A200" s="7">
        <v>42421.49125</v>
      </c>
      <c r="B200" s="8" t="str">
        <f>HYPERLINK("https://twitter.com/LamidoAA","@LamidoAA")</f>
        <v>@LamidoAA</v>
      </c>
      <c r="C200" s="10" t="s">
        <v>6651</v>
      </c>
      <c r="D200" s="10" t="s">
        <v>6578</v>
      </c>
      <c r="E200" s="11" t="str">
        <f>HYPERLINK("https://twitter.com/LamidoAA/status/701493442564718592","701493442564718592")</f>
        <v>701493442564718592</v>
      </c>
      <c r="F200" s="12" t="s">
        <v>2063</v>
      </c>
      <c r="G200" s="13">
        <v>117.0</v>
      </c>
      <c r="H200" s="13">
        <v>185.0</v>
      </c>
      <c r="I200" s="13">
        <v>14.0</v>
      </c>
      <c r="J200" s="13">
        <v>0.0</v>
      </c>
      <c r="K200" s="12" t="s">
        <v>21</v>
      </c>
      <c r="L200" s="7">
        <v>40922.589155092595</v>
      </c>
      <c r="M200" s="16"/>
      <c r="N200" s="16"/>
      <c r="O200" s="11" t="str">
        <f>HYPERLINK("https://pbs.twimg.com/profile_images/1894034948/vj2T909a_normal","View")</f>
        <v>View</v>
      </c>
      <c r="P200" s="15"/>
    </row>
    <row r="201">
      <c r="A201" s="7">
        <v>42421.491631944446</v>
      </c>
      <c r="B201" s="8" t="str">
        <f>HYPERLINK("https://twitter.com/AariqScott","@AariqScott")</f>
        <v>@AariqScott</v>
      </c>
      <c r="C201" s="10" t="s">
        <v>6652</v>
      </c>
      <c r="D201" s="10" t="s">
        <v>6653</v>
      </c>
      <c r="E201" s="11" t="str">
        <f>HYPERLINK("https://twitter.com/AariqScott/status/701493581924737025","701493581924737025")</f>
        <v>701493581924737025</v>
      </c>
      <c r="F201" s="12" t="s">
        <v>20</v>
      </c>
      <c r="G201" s="13">
        <v>247.0</v>
      </c>
      <c r="H201" s="13">
        <v>391.0</v>
      </c>
      <c r="I201" s="13">
        <v>0.0</v>
      </c>
      <c r="J201" s="13">
        <v>1.0</v>
      </c>
      <c r="K201" s="12" t="s">
        <v>21</v>
      </c>
      <c r="L201" s="7">
        <v>41412.53712962963</v>
      </c>
      <c r="M201" s="16"/>
      <c r="N201" s="14" t="s">
        <v>6654</v>
      </c>
      <c r="O201" s="11" t="str">
        <f>HYPERLINK("https://pbs.twimg.com/profile_images/488747633368760320/-q9ovjCZ_normal.jpeg","View")</f>
        <v>View</v>
      </c>
      <c r="P201" s="15"/>
    </row>
    <row r="202">
      <c r="A202" s="7">
        <v>42421.49313657408</v>
      </c>
      <c r="B202" s="8" t="str">
        <f>HYPERLINK("https://twitter.com/lrntto","@lrntto")</f>
        <v>@lrntto</v>
      </c>
      <c r="C202" s="10" t="s">
        <v>6655</v>
      </c>
      <c r="D202" s="10" t="s">
        <v>6656</v>
      </c>
      <c r="E202" s="11" t="str">
        <f>HYPERLINK("https://twitter.com/lrntto/status/701494124374003712","701494124374003712")</f>
        <v>701494124374003712</v>
      </c>
      <c r="F202" s="12" t="s">
        <v>294</v>
      </c>
      <c r="G202" s="13">
        <v>238.0</v>
      </c>
      <c r="H202" s="13">
        <v>1305.0</v>
      </c>
      <c r="I202" s="13">
        <v>0.0</v>
      </c>
      <c r="J202" s="13">
        <v>1.0</v>
      </c>
      <c r="K202" s="12" t="s">
        <v>21</v>
      </c>
      <c r="L202" s="7">
        <v>42307.447962962964</v>
      </c>
      <c r="M202" s="14" t="s">
        <v>489</v>
      </c>
      <c r="N202" s="14" t="s">
        <v>6657</v>
      </c>
      <c r="O202" s="11" t="str">
        <f>HYPERLINK("https://pbs.twimg.com/profile_images/660154810289754112/K6Yp_cKR_normal.png","View")</f>
        <v>View</v>
      </c>
      <c r="P202" s="15"/>
    </row>
    <row r="203">
      <c r="A203" s="7">
        <v>42421.49512731482</v>
      </c>
      <c r="B203" s="8" t="str">
        <f>HYPERLINK("https://twitter.com/thosjleeper","@thosjleeper")</f>
        <v>@thosjleeper</v>
      </c>
      <c r="C203" s="10" t="s">
        <v>6598</v>
      </c>
      <c r="D203" s="10" t="s">
        <v>6658</v>
      </c>
      <c r="E203" s="11" t="str">
        <f>HYPERLINK("https://twitter.com/thosjleeper/status/701494847795027970","701494847795027970")</f>
        <v>701494847795027970</v>
      </c>
      <c r="F203" s="12" t="s">
        <v>446</v>
      </c>
      <c r="G203" s="13">
        <v>1594.0</v>
      </c>
      <c r="H203" s="13">
        <v>1304.0</v>
      </c>
      <c r="I203" s="13">
        <v>0.0</v>
      </c>
      <c r="J203" s="13">
        <v>2.0</v>
      </c>
      <c r="K203" s="12" t="s">
        <v>21</v>
      </c>
      <c r="L203" s="7">
        <v>39689.60460648148</v>
      </c>
      <c r="M203" s="14" t="s">
        <v>2034</v>
      </c>
      <c r="N203" s="14" t="s">
        <v>6600</v>
      </c>
      <c r="O203" s="11" t="str">
        <f>HYPERLINK("https://pbs.twimg.com/profile_images/702599433402322947/Rda4kptZ_normal.jpg","View")</f>
        <v>View</v>
      </c>
      <c r="P203" s="15"/>
    </row>
    <row r="204">
      <c r="A204" s="7">
        <v>42421.49559027777</v>
      </c>
      <c r="B204" s="8" t="str">
        <f>HYPERLINK("https://twitter.com/hadleywickham","@hadleywickham")</f>
        <v>@hadleywickham</v>
      </c>
      <c r="C204" s="10" t="s">
        <v>6659</v>
      </c>
      <c r="D204" s="10" t="s">
        <v>6660</v>
      </c>
      <c r="E204" s="11" t="str">
        <f>HYPERLINK("https://twitter.com/hadleywickham/status/701495013931241472","701495013931241472")</f>
        <v>701495013931241472</v>
      </c>
      <c r="F204" s="12" t="s">
        <v>240</v>
      </c>
      <c r="G204" s="13">
        <v>24816.0</v>
      </c>
      <c r="H204" s="13">
        <v>244.0</v>
      </c>
      <c r="I204" s="13">
        <v>20.0</v>
      </c>
      <c r="J204" s="13">
        <v>40.0</v>
      </c>
      <c r="K204" s="12" t="s">
        <v>21</v>
      </c>
      <c r="L204" s="7">
        <v>40051.69081018519</v>
      </c>
      <c r="M204" s="14" t="s">
        <v>719</v>
      </c>
      <c r="N204" s="14" t="s">
        <v>6661</v>
      </c>
      <c r="O204" s="11" t="str">
        <f>HYPERLINK("https://pbs.twimg.com/profile_images/677589103710306304/m56O6Wgf_normal.jpg","View")</f>
        <v>View</v>
      </c>
      <c r="P204" s="15"/>
    </row>
    <row r="205">
      <c r="A205" s="7">
        <v>42421.49577546296</v>
      </c>
      <c r="B205" s="8" t="str">
        <f>HYPERLINK("https://twitter.com/kwbroman","@kwbroman")</f>
        <v>@kwbroman</v>
      </c>
      <c r="C205" s="10" t="s">
        <v>6662</v>
      </c>
      <c r="D205" s="10" t="s">
        <v>6663</v>
      </c>
      <c r="E205" s="11" t="str">
        <f>HYPERLINK("https://twitter.com/kwbroman/status/701495083816787968","701495083816787968")</f>
        <v>701495083816787968</v>
      </c>
      <c r="F205" s="12" t="s">
        <v>1082</v>
      </c>
      <c r="G205" s="13">
        <v>3617.0</v>
      </c>
      <c r="H205" s="13">
        <v>392.0</v>
      </c>
      <c r="I205" s="13">
        <v>20.0</v>
      </c>
      <c r="J205" s="13">
        <v>0.0</v>
      </c>
      <c r="K205" s="12" t="s">
        <v>21</v>
      </c>
      <c r="L205" s="7">
        <v>41335.79141203704</v>
      </c>
      <c r="M205" s="14" t="s">
        <v>6664</v>
      </c>
      <c r="N205" s="14" t="s">
        <v>6665</v>
      </c>
      <c r="O205" s="11" t="str">
        <f>HYPERLINK("https://pbs.twimg.com/profile_images/680796333460959232/CzoFZb76_normal.jpg","View")</f>
        <v>View</v>
      </c>
      <c r="P205" s="15"/>
    </row>
    <row r="206">
      <c r="A206" s="7">
        <v>42421.49638888889</v>
      </c>
      <c r="B206" s="8" t="str">
        <f>HYPERLINK("https://twitter.com/kellettboy1","@kellettboy1")</f>
        <v>@kellettboy1</v>
      </c>
      <c r="C206" s="10" t="s">
        <v>6666</v>
      </c>
      <c r="D206" s="10" t="s">
        <v>6663</v>
      </c>
      <c r="E206" s="11" t="str">
        <f>HYPERLINK("https://twitter.com/kellettboy1/status/701495304391155712","701495304391155712")</f>
        <v>701495304391155712</v>
      </c>
      <c r="F206" s="12" t="s">
        <v>52</v>
      </c>
      <c r="G206" s="13">
        <v>217.0</v>
      </c>
      <c r="H206" s="13">
        <v>353.0</v>
      </c>
      <c r="I206" s="13">
        <v>20.0</v>
      </c>
      <c r="J206" s="13">
        <v>0.0</v>
      </c>
      <c r="K206" s="12" t="s">
        <v>21</v>
      </c>
      <c r="L206" s="7">
        <v>40244.06591435185</v>
      </c>
      <c r="M206" s="14" t="s">
        <v>6667</v>
      </c>
      <c r="N206" s="14" t="s">
        <v>6668</v>
      </c>
      <c r="O206" s="11" t="str">
        <f>HYPERLINK("https://pbs.twimg.com/profile_images/609253696418017280/E5FXbUoG_normal.jpg","View")</f>
        <v>View</v>
      </c>
      <c r="P206" s="15"/>
    </row>
    <row r="207">
      <c r="A207" s="7">
        <v>42421.49652777778</v>
      </c>
      <c r="B207" s="8" t="str">
        <f>HYPERLINK("https://twitter.com/thefactmachine1","@thefactmachine1")</f>
        <v>@thefactmachine1</v>
      </c>
      <c r="C207" s="10" t="s">
        <v>5594</v>
      </c>
      <c r="D207" s="10" t="s">
        <v>6578</v>
      </c>
      <c r="E207" s="11" t="str">
        <f>HYPERLINK("https://twitter.com/thefactmachine1/status/701495355410526208","701495355410526208")</f>
        <v>701495355410526208</v>
      </c>
      <c r="F207" s="12" t="s">
        <v>5595</v>
      </c>
      <c r="G207" s="13">
        <v>58.0</v>
      </c>
      <c r="H207" s="13">
        <v>97.0</v>
      </c>
      <c r="I207" s="13">
        <v>14.0</v>
      </c>
      <c r="J207" s="13">
        <v>0.0</v>
      </c>
      <c r="K207" s="12" t="s">
        <v>21</v>
      </c>
      <c r="L207" s="7">
        <v>39992.912997685184</v>
      </c>
      <c r="M207" s="14" t="s">
        <v>5596</v>
      </c>
      <c r="N207" s="14" t="s">
        <v>5597</v>
      </c>
      <c r="O207" s="11" t="str">
        <f>HYPERLINK("https://pbs.twimg.com/profile_images/2280522937/78dqr3lthevalzio6sjt_normal.jpeg","View")</f>
        <v>View</v>
      </c>
      <c r="P207" s="15"/>
    </row>
    <row r="208">
      <c r="A208" s="7">
        <v>42421.49731481481</v>
      </c>
      <c r="B208" s="8" t="str">
        <f>HYPERLINK("https://twitter.com/PiotrTompalski","@PiotrTompalski")</f>
        <v>@PiotrTompalski</v>
      </c>
      <c r="C208" s="10" t="s">
        <v>6669</v>
      </c>
      <c r="D208" s="10" t="s">
        <v>6670</v>
      </c>
      <c r="E208" s="11" t="str">
        <f>HYPERLINK("https://twitter.com/PiotrTompalski/status/701495641885667328","701495641885667328")</f>
        <v>701495641885667328</v>
      </c>
      <c r="F208" s="12" t="s">
        <v>20</v>
      </c>
      <c r="G208" s="13">
        <v>16.0</v>
      </c>
      <c r="H208" s="13">
        <v>37.0</v>
      </c>
      <c r="I208" s="13">
        <v>1.0</v>
      </c>
      <c r="J208" s="13">
        <v>2.0</v>
      </c>
      <c r="K208" s="12" t="s">
        <v>21</v>
      </c>
      <c r="L208" s="7">
        <v>42356.47100694444</v>
      </c>
      <c r="M208" s="14" t="s">
        <v>4138</v>
      </c>
      <c r="N208" s="16"/>
      <c r="O208" s="11" t="str">
        <f>HYPERLINK("https://pbs.twimg.com/profile_images/677933424796000256/B2yIg_mE_normal.jpg","View")</f>
        <v>View</v>
      </c>
      <c r="P208" s="15"/>
    </row>
    <row r="209">
      <c r="A209" s="7">
        <v>42421.49736111111</v>
      </c>
      <c r="B209" s="8" t="str">
        <f>HYPERLINK("https://twitter.com/anthonytowry","@anthonytowry")</f>
        <v>@anthonytowry</v>
      </c>
      <c r="C209" s="10" t="s">
        <v>6671</v>
      </c>
      <c r="D209" s="10" t="s">
        <v>6663</v>
      </c>
      <c r="E209" s="11" t="str">
        <f>HYPERLINK("https://twitter.com/anthonytowry/status/701495656397975552","701495656397975552")</f>
        <v>701495656397975552</v>
      </c>
      <c r="F209" s="12" t="s">
        <v>20</v>
      </c>
      <c r="G209" s="13">
        <v>224.0</v>
      </c>
      <c r="H209" s="13">
        <v>378.0</v>
      </c>
      <c r="I209" s="13">
        <v>20.0</v>
      </c>
      <c r="J209" s="13">
        <v>0.0</v>
      </c>
      <c r="K209" s="12" t="s">
        <v>21</v>
      </c>
      <c r="L209" s="7">
        <v>40058.79467592593</v>
      </c>
      <c r="M209" s="14" t="s">
        <v>6672</v>
      </c>
      <c r="N209" s="14" t="s">
        <v>6673</v>
      </c>
      <c r="O209" s="11" t="str">
        <f>HYPERLINK("https://pbs.twimg.com/profile_images/657660862367440897/UFdg_0AR_normal.jpg","View")</f>
        <v>View</v>
      </c>
      <c r="P209" s="15"/>
    </row>
    <row r="210">
      <c r="A210" s="7">
        <v>42421.49951388889</v>
      </c>
      <c r="B210" s="8" t="str">
        <f>HYPERLINK("https://twitter.com/luca_bard","@luca_bard")</f>
        <v>@luca_bard</v>
      </c>
      <c r="C210" s="10" t="s">
        <v>6674</v>
      </c>
      <c r="D210" s="10" t="s">
        <v>6319</v>
      </c>
      <c r="E210" s="11" t="str">
        <f>HYPERLINK("https://twitter.com/luca_bard/status/701496438572843008","701496438572843008")</f>
        <v>701496438572843008</v>
      </c>
      <c r="F210" s="12" t="s">
        <v>152</v>
      </c>
      <c r="G210" s="13">
        <v>74.0</v>
      </c>
      <c r="H210" s="13">
        <v>451.0</v>
      </c>
      <c r="I210" s="13">
        <v>106.0</v>
      </c>
      <c r="J210" s="13">
        <v>0.0</v>
      </c>
      <c r="K210" s="12" t="s">
        <v>21</v>
      </c>
      <c r="L210" s="7">
        <v>40094.067152777774</v>
      </c>
      <c r="M210" s="14" t="s">
        <v>6675</v>
      </c>
      <c r="N210" s="14" t="s">
        <v>6676</v>
      </c>
      <c r="O210" s="11" t="str">
        <f>HYPERLINK("https://pbs.twimg.com/profile_images/378800000765262630/02bbb541af9c46aab17e6357a8927557_normal.jpeg","View")</f>
        <v>View</v>
      </c>
      <c r="P210" s="15"/>
    </row>
    <row r="211">
      <c r="A211" s="7">
        <v>42421.49966435185</v>
      </c>
      <c r="B211" s="8" t="str">
        <f>HYPERLINK("https://twitter.com/2uanta","@2uanta")</f>
        <v>@2uanta</v>
      </c>
      <c r="C211" s="10" t="s">
        <v>6677</v>
      </c>
      <c r="D211" s="10" t="s">
        <v>6663</v>
      </c>
      <c r="E211" s="11" t="str">
        <f>HYPERLINK("https://twitter.com/2uanta/status/701496491941224452","701496491941224452")</f>
        <v>701496491941224452</v>
      </c>
      <c r="F211" s="12" t="s">
        <v>52</v>
      </c>
      <c r="G211" s="13">
        <v>82.0</v>
      </c>
      <c r="H211" s="13">
        <v>136.0</v>
      </c>
      <c r="I211" s="13">
        <v>20.0</v>
      </c>
      <c r="J211" s="13">
        <v>0.0</v>
      </c>
      <c r="K211" s="12" t="s">
        <v>21</v>
      </c>
      <c r="L211" s="7">
        <v>40537.534212962964</v>
      </c>
      <c r="M211" s="14" t="s">
        <v>6678</v>
      </c>
      <c r="N211" s="14" t="s">
        <v>6679</v>
      </c>
      <c r="O211" s="11" t="str">
        <f>HYPERLINK("https://pbs.twimg.com/profile_images/1338971985/image_normal.jpg","View")</f>
        <v>View</v>
      </c>
      <c r="P211" s="15"/>
    </row>
    <row r="212">
      <c r="A212" s="7">
        <v>42421.500868055555</v>
      </c>
      <c r="B212" s="8" t="str">
        <f>HYPERLINK("https://twitter.com/AriLamstein","@AriLamstein")</f>
        <v>@AriLamstein</v>
      </c>
      <c r="C212" s="10" t="s">
        <v>6680</v>
      </c>
      <c r="D212" s="10" t="s">
        <v>6681</v>
      </c>
      <c r="E212" s="11" t="str">
        <f>HYPERLINK("https://twitter.com/AriLamstein/status/701496927750373380","701496927750373380")</f>
        <v>701496927750373380</v>
      </c>
      <c r="F212" s="12" t="s">
        <v>659</v>
      </c>
      <c r="G212" s="13">
        <v>577.0</v>
      </c>
      <c r="H212" s="13">
        <v>254.0</v>
      </c>
      <c r="I212" s="13">
        <v>0.0</v>
      </c>
      <c r="J212" s="13">
        <v>1.0</v>
      </c>
      <c r="K212" s="12" t="s">
        <v>21</v>
      </c>
      <c r="L212" s="7">
        <v>41654.58315972222</v>
      </c>
      <c r="M212" s="14" t="s">
        <v>69</v>
      </c>
      <c r="N212" s="14" t="s">
        <v>6682</v>
      </c>
      <c r="O212" s="11" t="str">
        <f>HYPERLINK("https://pbs.twimg.com/profile_images/424265489666162688/OSt8nLEe_normal.jpeg","View")</f>
        <v>View</v>
      </c>
      <c r="P212" s="15"/>
    </row>
    <row r="213">
      <c r="A213" s="7">
        <v>42421.5016087963</v>
      </c>
      <c r="B213" s="8" t="str">
        <f>HYPERLINK("https://twitter.com/kevlbass1024","@kevlbass1024")</f>
        <v>@kevlbass1024</v>
      </c>
      <c r="C213" s="10" t="s">
        <v>3851</v>
      </c>
      <c r="D213" s="10" t="s">
        <v>6683</v>
      </c>
      <c r="E213" s="11" t="str">
        <f>HYPERLINK("https://twitter.com/kevlbass1024/status/701497196609454081","701497196609454081")</f>
        <v>701497196609454081</v>
      </c>
      <c r="F213" s="12" t="s">
        <v>20</v>
      </c>
      <c r="G213" s="13">
        <v>530.0</v>
      </c>
      <c r="H213" s="13">
        <v>830.0</v>
      </c>
      <c r="I213" s="13">
        <v>0.0</v>
      </c>
      <c r="J213" s="13">
        <v>1.0</v>
      </c>
      <c r="K213" s="12" t="s">
        <v>21</v>
      </c>
      <c r="L213" s="7">
        <v>42369.77342592593</v>
      </c>
      <c r="M213" s="16"/>
      <c r="N213" s="14" t="s">
        <v>3853</v>
      </c>
      <c r="O213" s="11" t="str">
        <f>HYPERLINK("https://pbs.twimg.com/profile_images/682757887261818880/Q5--Prn6_normal.jpg","View")</f>
        <v>View</v>
      </c>
      <c r="P213" s="15"/>
    </row>
    <row r="214">
      <c r="A214" s="7">
        <v>42421.50284722222</v>
      </c>
      <c r="B214" s="8" t="str">
        <f>HYPERLINK("https://twitter.com/_sbr1","@_sbr1")</f>
        <v>@_sbr1</v>
      </c>
      <c r="C214" s="10" t="s">
        <v>6684</v>
      </c>
      <c r="D214" s="10" t="s">
        <v>6546</v>
      </c>
      <c r="E214" s="11" t="str">
        <f>HYPERLINK("https://twitter.com/_sbr1/status/701497646494588928","701497646494588928")</f>
        <v>701497646494588928</v>
      </c>
      <c r="F214" s="12" t="s">
        <v>152</v>
      </c>
      <c r="G214" s="13">
        <v>22.0</v>
      </c>
      <c r="H214" s="13">
        <v>86.0</v>
      </c>
      <c r="I214" s="13">
        <v>9.0</v>
      </c>
      <c r="J214" s="13">
        <v>0.0</v>
      </c>
      <c r="K214" s="12" t="s">
        <v>21</v>
      </c>
      <c r="L214" s="7">
        <v>42390.67181712963</v>
      </c>
      <c r="M214" s="16"/>
      <c r="N214" s="14" t="s">
        <v>6685</v>
      </c>
      <c r="O214" s="11" t="str">
        <f>HYPERLINK("https://pbs.twimg.com/profile_images/690329387502153728/j7bVA2QG_normal.jpg","View")</f>
        <v>View</v>
      </c>
      <c r="P214" s="15"/>
    </row>
    <row r="215">
      <c r="A215" s="7">
        <v>42421.50467592593</v>
      </c>
      <c r="B215" s="8" t="str">
        <f>HYPERLINK("https://twitter.com/Sheffield_R_","@Sheffield_R_")</f>
        <v>@Sheffield_R_</v>
      </c>
      <c r="C215" s="10" t="s">
        <v>6686</v>
      </c>
      <c r="D215" s="10" t="s">
        <v>6687</v>
      </c>
      <c r="E215" s="11" t="str">
        <f>HYPERLINK("https://twitter.com/Sheffield_R_/status/701498307806420993","701498307806420993")</f>
        <v>701498307806420993</v>
      </c>
      <c r="F215" s="12" t="s">
        <v>52</v>
      </c>
      <c r="G215" s="13">
        <v>256.0</v>
      </c>
      <c r="H215" s="13">
        <v>274.0</v>
      </c>
      <c r="I215" s="13">
        <v>8.0</v>
      </c>
      <c r="J215" s="13">
        <v>0.0</v>
      </c>
      <c r="K215" s="12" t="s">
        <v>21</v>
      </c>
      <c r="L215" s="7">
        <v>41773.27024305556</v>
      </c>
      <c r="M215" s="14" t="s">
        <v>6688</v>
      </c>
      <c r="N215" s="14" t="s">
        <v>6689</v>
      </c>
      <c r="O215" s="11" t="str">
        <f>HYPERLINK("https://pbs.twimg.com/profile_images/526695509356838912/eSvsHAD7_normal.jpeg","View")</f>
        <v>View</v>
      </c>
      <c r="P215" s="15"/>
    </row>
    <row r="216">
      <c r="A216" s="7">
        <v>42421.50545138889</v>
      </c>
      <c r="B216" s="8" t="str">
        <f>HYPERLINK("https://twitter.com/big_data_flow","@big_data_flow")</f>
        <v>@big_data_flow</v>
      </c>
      <c r="C216" s="10" t="s">
        <v>5874</v>
      </c>
      <c r="D216" s="10" t="s">
        <v>6319</v>
      </c>
      <c r="E216" s="11" t="str">
        <f>HYPERLINK("https://twitter.com/big_data_flow/status/701498590963900416","701498590963900416")</f>
        <v>701498590963900416</v>
      </c>
      <c r="F216" s="12" t="s">
        <v>52</v>
      </c>
      <c r="G216" s="13">
        <v>368.0</v>
      </c>
      <c r="H216" s="13">
        <v>23.0</v>
      </c>
      <c r="I216" s="13">
        <v>106.0</v>
      </c>
      <c r="J216" s="13">
        <v>0.0</v>
      </c>
      <c r="K216" s="12" t="s">
        <v>21</v>
      </c>
      <c r="L216" s="7">
        <v>42365.02858796297</v>
      </c>
      <c r="M216" s="14" t="s">
        <v>2002</v>
      </c>
      <c r="N216" s="14" t="s">
        <v>5876</v>
      </c>
      <c r="O216" s="11" t="str">
        <f>HYPERLINK("https://pbs.twimg.com/profile_images/681034665923317761/G4LHHc1n_normal.jpg","View")</f>
        <v>View</v>
      </c>
      <c r="P216" s="15"/>
    </row>
    <row r="217">
      <c r="A217" s="7">
        <v>42421.506261574075</v>
      </c>
      <c r="B217" s="8" t="str">
        <f>HYPERLINK("https://twitter.com/estadisticaUMH","@estadisticaUMH")</f>
        <v>@estadisticaUMH</v>
      </c>
      <c r="C217" s="10" t="s">
        <v>6690</v>
      </c>
      <c r="D217" s="10" t="s">
        <v>6319</v>
      </c>
      <c r="E217" s="11" t="str">
        <f>HYPERLINK("https://twitter.com/estadisticaUMH/status/701498882174402560","701498882174402560")</f>
        <v>701498882174402560</v>
      </c>
      <c r="F217" s="12" t="s">
        <v>52</v>
      </c>
      <c r="G217" s="13">
        <v>273.0</v>
      </c>
      <c r="H217" s="13">
        <v>302.0</v>
      </c>
      <c r="I217" s="13">
        <v>106.0</v>
      </c>
      <c r="J217" s="13">
        <v>0.0</v>
      </c>
      <c r="K217" s="12" t="s">
        <v>21</v>
      </c>
      <c r="L217" s="7">
        <v>41424.18819444445</v>
      </c>
      <c r="M217" s="14" t="s">
        <v>6691</v>
      </c>
      <c r="N217" s="14" t="s">
        <v>6692</v>
      </c>
      <c r="O217" s="11" t="str">
        <f>HYPERLINK("https://pbs.twimg.com/profile_images/570350600382971904/ZW_6-BYj_normal.jpeg","View")</f>
        <v>View</v>
      </c>
      <c r="P217" s="15"/>
    </row>
    <row r="218">
      <c r="A218" s="7">
        <v>42421.50645833333</v>
      </c>
      <c r="B218" s="8" t="str">
        <f>HYPERLINK("https://twitter.com/Aousabdo","@Aousabdo")</f>
        <v>@Aousabdo</v>
      </c>
      <c r="C218" s="10" t="s">
        <v>6693</v>
      </c>
      <c r="D218" s="10" t="s">
        <v>6388</v>
      </c>
      <c r="E218" s="11" t="str">
        <f>HYPERLINK("https://twitter.com/Aousabdo/status/701498952873598976","701498952873598976")</f>
        <v>701498952873598976</v>
      </c>
      <c r="F218" s="12" t="s">
        <v>152</v>
      </c>
      <c r="G218" s="13">
        <v>103.0</v>
      </c>
      <c r="H218" s="13">
        <v>129.0</v>
      </c>
      <c r="I218" s="13">
        <v>19.0</v>
      </c>
      <c r="J218" s="13">
        <v>0.0</v>
      </c>
      <c r="K218" s="12" t="s">
        <v>21</v>
      </c>
      <c r="L218" s="7">
        <v>40158.543229166666</v>
      </c>
      <c r="M218" s="14" t="s">
        <v>6694</v>
      </c>
      <c r="N218" s="14" t="s">
        <v>6695</v>
      </c>
      <c r="O218" s="11" t="str">
        <f>HYPERLINK("https://pbs.twimg.com/profile_images/593466244562554880/V9WEt7Hk_normal.jpg","View")</f>
        <v>View</v>
      </c>
      <c r="P218" s="15"/>
    </row>
    <row r="219">
      <c r="A219" s="7">
        <v>42421.50672453704</v>
      </c>
      <c r="B219" s="8" t="str">
        <f>HYPERLINK("https://twitter.com/lucselzer","@lucselzer")</f>
        <v>@lucselzer</v>
      </c>
      <c r="C219" s="10" t="s">
        <v>6696</v>
      </c>
      <c r="D219" s="10" t="s">
        <v>6697</v>
      </c>
      <c r="E219" s="11" t="str">
        <f>HYPERLINK("https://twitter.com/lucselzer/status/701499051573977088","701499051573977088")</f>
        <v>701499051573977088</v>
      </c>
      <c r="F219" s="12" t="s">
        <v>152</v>
      </c>
      <c r="G219" s="13">
        <v>62.0</v>
      </c>
      <c r="H219" s="13">
        <v>205.0</v>
      </c>
      <c r="I219" s="13">
        <v>0.0</v>
      </c>
      <c r="J219" s="13">
        <v>0.0</v>
      </c>
      <c r="K219" s="12" t="s">
        <v>21</v>
      </c>
      <c r="L219" s="7">
        <v>41204.976319444446</v>
      </c>
      <c r="M219" s="14" t="s">
        <v>6698</v>
      </c>
      <c r="N219" s="14" t="s">
        <v>6699</v>
      </c>
      <c r="O219" s="11" t="str">
        <f>HYPERLINK("https://pbs.twimg.com/profile_images/700988765318283264/LoBqG5Dw_normal.jpg","View")</f>
        <v>View</v>
      </c>
      <c r="P219" s="15"/>
    </row>
    <row r="220">
      <c r="A220" s="7">
        <v>42421.509305555555</v>
      </c>
      <c r="B220" s="8" t="str">
        <f>HYPERLINK("https://twitter.com/CMU_Stats","@CMU_Stats")</f>
        <v>@CMU_Stats</v>
      </c>
      <c r="C220" s="10" t="s">
        <v>6700</v>
      </c>
      <c r="D220" s="10" t="s">
        <v>6701</v>
      </c>
      <c r="E220" s="11" t="str">
        <f>HYPERLINK("https://twitter.com/CMU_Stats/status/701499985267920897","701499985267920897")</f>
        <v>701499985267920897</v>
      </c>
      <c r="F220" s="12" t="s">
        <v>20</v>
      </c>
      <c r="G220" s="13">
        <v>210.0</v>
      </c>
      <c r="H220" s="13">
        <v>76.0</v>
      </c>
      <c r="I220" s="13">
        <v>1.0</v>
      </c>
      <c r="J220" s="13">
        <v>4.0</v>
      </c>
      <c r="K220" s="12" t="s">
        <v>21</v>
      </c>
      <c r="L220" s="7">
        <v>42065.363287037035</v>
      </c>
      <c r="M220" s="16"/>
      <c r="N220" s="16"/>
      <c r="O220" s="11" t="str">
        <f>HYPERLINK("https://pbs.twimg.com/profile_images/572437618894200832/nRZGi2bN_normal.png","View")</f>
        <v>View</v>
      </c>
      <c r="P220" s="15"/>
    </row>
    <row r="221">
      <c r="A221" s="7">
        <v>42421.50943287037</v>
      </c>
      <c r="B221" s="8" t="str">
        <f>HYPERLINK("https://twitter.com/CRANberriesFeed","@CRANberriesFeed")</f>
        <v>@CRANberriesFeed</v>
      </c>
      <c r="C221" s="10" t="s">
        <v>6282</v>
      </c>
      <c r="D221" s="10" t="s">
        <v>6702</v>
      </c>
      <c r="E221" s="11" t="str">
        <f>HYPERLINK("https://twitter.com/CRANberriesFeed/status/701500033380782084","701500033380782084")</f>
        <v>701500033380782084</v>
      </c>
      <c r="F221" s="12" t="s">
        <v>6284</v>
      </c>
      <c r="G221" s="13">
        <v>657.0</v>
      </c>
      <c r="H221" s="13">
        <v>0.0</v>
      </c>
      <c r="I221" s="13">
        <v>0.0</v>
      </c>
      <c r="J221" s="13">
        <v>0.0</v>
      </c>
      <c r="K221" s="12" t="s">
        <v>21</v>
      </c>
      <c r="L221" s="7">
        <v>40546.353425925925</v>
      </c>
      <c r="M221" s="14" t="s">
        <v>1158</v>
      </c>
      <c r="N221" s="16"/>
      <c r="O221" s="11" t="str">
        <f>HYPERLINK("https://pbs.twimg.com/profile_images/1222779560/cran1_normal.jpg","View")</f>
        <v>View</v>
      </c>
      <c r="P221" s="15"/>
    </row>
    <row r="222">
      <c r="A222" s="7">
        <v>42421.50951388889</v>
      </c>
      <c r="B222" s="8" t="str">
        <f>HYPERLINK("https://twitter.com/stat_sam","@stat_sam")</f>
        <v>@stat_sam</v>
      </c>
      <c r="C222" s="10" t="s">
        <v>6703</v>
      </c>
      <c r="D222" s="10" t="s">
        <v>6704</v>
      </c>
      <c r="E222" s="11" t="str">
        <f>HYPERLINK("https://twitter.com/stat_sam/status/701500062929657856","701500062929657856")</f>
        <v>701500062929657856</v>
      </c>
      <c r="F222" s="12" t="s">
        <v>446</v>
      </c>
      <c r="G222" s="13">
        <v>2070.0</v>
      </c>
      <c r="H222" s="13">
        <v>356.0</v>
      </c>
      <c r="I222" s="13">
        <v>1.0</v>
      </c>
      <c r="J222" s="13">
        <v>0.0</v>
      </c>
      <c r="K222" s="12" t="s">
        <v>21</v>
      </c>
      <c r="L222" s="7">
        <v>40219.58038194444</v>
      </c>
      <c r="M222" s="14" t="s">
        <v>1526</v>
      </c>
      <c r="N222" s="14" t="s">
        <v>6705</v>
      </c>
      <c r="O222" s="11" t="str">
        <f>HYPERLINK("https://pbs.twimg.com/profile_images/1221203036/myname_normal.jpg","View")</f>
        <v>View</v>
      </c>
      <c r="P222" s="15"/>
    </row>
    <row r="223">
      <c r="A223" s="7">
        <v>42421.509675925925</v>
      </c>
      <c r="B223" s="8" t="str">
        <f t="shared" ref="B223:B224" si="33">HYPERLINK("https://twitter.com/CRANberriesFeed","@CRANberriesFeed")</f>
        <v>@CRANberriesFeed</v>
      </c>
      <c r="C223" s="10" t="s">
        <v>6282</v>
      </c>
      <c r="D223" s="10" t="s">
        <v>6706</v>
      </c>
      <c r="E223" s="11" t="str">
        <f>HYPERLINK("https://twitter.com/CRANberriesFeed/status/701500121792516096","701500121792516096")</f>
        <v>701500121792516096</v>
      </c>
      <c r="F223" s="12" t="s">
        <v>6284</v>
      </c>
      <c r="G223" s="13">
        <v>657.0</v>
      </c>
      <c r="H223" s="13">
        <v>0.0</v>
      </c>
      <c r="I223" s="13">
        <v>0.0</v>
      </c>
      <c r="J223" s="13">
        <v>0.0</v>
      </c>
      <c r="K223" s="12" t="s">
        <v>21</v>
      </c>
      <c r="L223" s="7">
        <v>40546.353425925925</v>
      </c>
      <c r="M223" s="14" t="s">
        <v>1158</v>
      </c>
      <c r="N223" s="16"/>
      <c r="O223" s="11" t="str">
        <f t="shared" ref="O223:O224" si="34">HYPERLINK("https://pbs.twimg.com/profile_images/1222779560/cran1_normal.jpg","View")</f>
        <v>View</v>
      </c>
      <c r="P223" s="15"/>
    </row>
    <row r="224">
      <c r="A224" s="7">
        <v>42421.50974537037</v>
      </c>
      <c r="B224" s="8" t="str">
        <f t="shared" si="33"/>
        <v>@CRANberriesFeed</v>
      </c>
      <c r="C224" s="10" t="s">
        <v>6282</v>
      </c>
      <c r="D224" s="10" t="s">
        <v>6707</v>
      </c>
      <c r="E224" s="11" t="str">
        <f>HYPERLINK("https://twitter.com/CRANberriesFeed/status/701500145716826112","701500145716826112")</f>
        <v>701500145716826112</v>
      </c>
      <c r="F224" s="12" t="s">
        <v>6284</v>
      </c>
      <c r="G224" s="13">
        <v>657.0</v>
      </c>
      <c r="H224" s="13">
        <v>0.0</v>
      </c>
      <c r="I224" s="13">
        <v>0.0</v>
      </c>
      <c r="J224" s="13">
        <v>0.0</v>
      </c>
      <c r="K224" s="12" t="s">
        <v>21</v>
      </c>
      <c r="L224" s="7">
        <v>40546.353425925925</v>
      </c>
      <c r="M224" s="14" t="s">
        <v>1158</v>
      </c>
      <c r="N224" s="16"/>
      <c r="O224" s="11" t="str">
        <f t="shared" si="34"/>
        <v>View</v>
      </c>
      <c r="P224" s="15"/>
    </row>
    <row r="225">
      <c r="A225" s="7">
        <v>42421.51212962963</v>
      </c>
      <c r="B225" s="8" t="str">
        <f>HYPERLINK("https://twitter.com/leojdranoel","@leojdranoel")</f>
        <v>@leojdranoel</v>
      </c>
      <c r="C225" s="10" t="s">
        <v>6708</v>
      </c>
      <c r="D225" s="10" t="s">
        <v>6709</v>
      </c>
      <c r="E225" s="11" t="str">
        <f>HYPERLINK("https://twitter.com/leojdranoel/status/701501010863333377","701501010863333377")</f>
        <v>701501010863333377</v>
      </c>
      <c r="F225" s="12" t="s">
        <v>20</v>
      </c>
      <c r="G225" s="13">
        <v>75.0</v>
      </c>
      <c r="H225" s="13">
        <v>101.0</v>
      </c>
      <c r="I225" s="13">
        <v>0.0</v>
      </c>
      <c r="J225" s="13">
        <v>1.0</v>
      </c>
      <c r="K225" s="12" t="s">
        <v>21</v>
      </c>
      <c r="L225" s="7">
        <v>41756.51530092592</v>
      </c>
      <c r="M225" s="14" t="s">
        <v>6710</v>
      </c>
      <c r="N225" s="14" t="s">
        <v>6711</v>
      </c>
      <c r="O225" s="11" t="str">
        <f>HYPERLINK("https://pbs.twimg.com/profile_images/462694522212741120/MNwdvnsk_normal.jpeg","View")</f>
        <v>View</v>
      </c>
      <c r="P225" s="15"/>
    </row>
    <row r="226">
      <c r="A226" s="7">
        <v>42421.514502314814</v>
      </c>
      <c r="B226" s="8" t="str">
        <f>HYPERLINK("https://twitter.com/CmRoycostilla","@CmRoycostilla")</f>
        <v>@CmRoycostilla</v>
      </c>
      <c r="C226" s="10" t="s">
        <v>6712</v>
      </c>
      <c r="D226" s="10" t="s">
        <v>6663</v>
      </c>
      <c r="E226" s="11" t="str">
        <f>HYPERLINK("https://twitter.com/CmRoycostilla/status/701501868279668736","701501868279668736")</f>
        <v>701501868279668736</v>
      </c>
      <c r="F226" s="12" t="s">
        <v>152</v>
      </c>
      <c r="G226" s="13">
        <v>53.0</v>
      </c>
      <c r="H226" s="13">
        <v>151.0</v>
      </c>
      <c r="I226" s="13">
        <v>20.0</v>
      </c>
      <c r="J226" s="13">
        <v>0.0</v>
      </c>
      <c r="K226" s="12" t="s">
        <v>21</v>
      </c>
      <c r="L226" s="7">
        <v>42344.769791666666</v>
      </c>
      <c r="M226" s="14" t="s">
        <v>6713</v>
      </c>
      <c r="N226" s="14" t="s">
        <v>6714</v>
      </c>
      <c r="O226" s="11" t="str">
        <f>HYPERLINK("https://pbs.twimg.com/profile_images/674172690849120256/_s6p8Xra_normal.jpg","View")</f>
        <v>View</v>
      </c>
      <c r="P226" s="15"/>
    </row>
    <row r="227">
      <c r="A227" s="7">
        <v>42421.517592592594</v>
      </c>
      <c r="B227" s="8" t="str">
        <f>HYPERLINK("https://twitter.com/GueyeNono","@GueyeNono")</f>
        <v>@GueyeNono</v>
      </c>
      <c r="C227" s="10" t="s">
        <v>6715</v>
      </c>
      <c r="D227" s="10" t="s">
        <v>6716</v>
      </c>
      <c r="E227" s="11" t="str">
        <f>HYPERLINK("https://twitter.com/GueyeNono/status/701502990004461569","701502990004461569")</f>
        <v>701502990004461569</v>
      </c>
      <c r="F227" s="12" t="s">
        <v>20</v>
      </c>
      <c r="G227" s="13">
        <v>187.0</v>
      </c>
      <c r="H227" s="13">
        <v>204.0</v>
      </c>
      <c r="I227" s="13">
        <v>0.0</v>
      </c>
      <c r="J227" s="13">
        <v>0.0</v>
      </c>
      <c r="K227" s="12" t="s">
        <v>21</v>
      </c>
      <c r="L227" s="7">
        <v>39972.21445601852</v>
      </c>
      <c r="M227" s="14" t="s">
        <v>6717</v>
      </c>
      <c r="N227" s="14" t="s">
        <v>6718</v>
      </c>
      <c r="O227" s="11" t="str">
        <f>HYPERLINK("https://pbs.twimg.com/profile_images/603435663619432448/TKHLDDI3_normal.jpg","View")</f>
        <v>View</v>
      </c>
      <c r="P227" s="15"/>
    </row>
    <row r="228">
      <c r="A228" s="7">
        <v>42421.52111111111</v>
      </c>
      <c r="B228" s="8" t="str">
        <f>HYPERLINK("https://twitter.com/BioMickWatson","@BioMickWatson")</f>
        <v>@BioMickWatson</v>
      </c>
      <c r="C228" s="10" t="s">
        <v>6719</v>
      </c>
      <c r="D228" s="10" t="s">
        <v>6663</v>
      </c>
      <c r="E228" s="11" t="str">
        <f>HYPERLINK("https://twitter.com/BioMickWatson/status/701504262174601217","701504262174601217")</f>
        <v>701504262174601217</v>
      </c>
      <c r="F228" s="12" t="s">
        <v>152</v>
      </c>
      <c r="G228" s="13">
        <v>8237.0</v>
      </c>
      <c r="H228" s="13">
        <v>1435.0</v>
      </c>
      <c r="I228" s="13">
        <v>20.0</v>
      </c>
      <c r="J228" s="13">
        <v>0.0</v>
      </c>
      <c r="K228" s="12" t="s">
        <v>21</v>
      </c>
      <c r="L228" s="7">
        <v>40531.84478009259</v>
      </c>
      <c r="M228" s="14" t="s">
        <v>6720</v>
      </c>
      <c r="N228" s="14" t="s">
        <v>6721</v>
      </c>
      <c r="O228" s="11" t="str">
        <f>HYPERLINK("https://pbs.twimg.com/profile_images/686361651730223104/sxB0jUTq_normal.jpg","View")</f>
        <v>View</v>
      </c>
      <c r="P228" s="15"/>
    </row>
    <row r="229">
      <c r="A229" s="7">
        <v>42421.52306712963</v>
      </c>
      <c r="B229" s="8" t="str">
        <f>HYPERLINK("https://twitter.com/sthda_en","@sthda_en")</f>
        <v>@sthda_en</v>
      </c>
      <c r="C229" s="10" t="s">
        <v>6722</v>
      </c>
      <c r="D229" s="10" t="s">
        <v>6723</v>
      </c>
      <c r="E229" s="11" t="str">
        <f>HYPERLINK("https://twitter.com/sthda_en/status/701504971775340545","701504971775340545")</f>
        <v>701504971775340545</v>
      </c>
      <c r="F229" s="12" t="s">
        <v>294</v>
      </c>
      <c r="G229" s="13">
        <v>5.0</v>
      </c>
      <c r="H229" s="13">
        <v>4.0</v>
      </c>
      <c r="I229" s="13">
        <v>0.0</v>
      </c>
      <c r="J229" s="13">
        <v>0.0</v>
      </c>
      <c r="K229" s="12" t="s">
        <v>21</v>
      </c>
      <c r="L229" s="7">
        <v>41997.01238425926</v>
      </c>
      <c r="M229" s="14" t="s">
        <v>416</v>
      </c>
      <c r="N229" s="14" t="s">
        <v>6724</v>
      </c>
      <c r="O229" s="11" t="str">
        <f>HYPERLINK("https://pbs.twimg.com/profile_images/547668263652433920/NEGXTDog_normal.png","View")</f>
        <v>View</v>
      </c>
      <c r="P229" s="15"/>
    </row>
    <row r="230">
      <c r="A230" s="7">
        <v>42421.52413194445</v>
      </c>
      <c r="B230" s="8" t="str">
        <f>HYPERLINK("https://twitter.com/microBrewData","@microBrewData")</f>
        <v>@microBrewData</v>
      </c>
      <c r="C230" s="10" t="s">
        <v>6725</v>
      </c>
      <c r="D230" s="10" t="s">
        <v>6726</v>
      </c>
      <c r="E230" s="11" t="str">
        <f>HYPERLINK("https://twitter.com/microBrewData/status/701505358578196481","701505358578196481")</f>
        <v>701505358578196481</v>
      </c>
      <c r="F230" s="12" t="s">
        <v>20</v>
      </c>
      <c r="G230" s="13">
        <v>61.0</v>
      </c>
      <c r="H230" s="13">
        <v>75.0</v>
      </c>
      <c r="I230" s="13">
        <v>1.0</v>
      </c>
      <c r="J230" s="13">
        <v>0.0</v>
      </c>
      <c r="K230" s="12" t="s">
        <v>21</v>
      </c>
      <c r="L230" s="7">
        <v>42316.48232638889</v>
      </c>
      <c r="M230" s="14" t="s">
        <v>6727</v>
      </c>
      <c r="N230" s="14" t="s">
        <v>6728</v>
      </c>
      <c r="O230" s="11" t="str">
        <f>HYPERLINK("https://pbs.twimg.com/profile_images/676117427927703552/dTZAl5TR_normal.jpg","View")</f>
        <v>View</v>
      </c>
      <c r="P230" s="15"/>
    </row>
    <row r="231">
      <c r="A231" s="7">
        <v>42421.52763888889</v>
      </c>
      <c r="B231" s="8" t="str">
        <f>HYPERLINK("https://twitter.com/julian_hong","@julian_hong")</f>
        <v>@julian_hong</v>
      </c>
      <c r="C231" s="10" t="s">
        <v>6729</v>
      </c>
      <c r="D231" s="10" t="s">
        <v>6730</v>
      </c>
      <c r="E231" s="11" t="str">
        <f>HYPERLINK("https://twitter.com/julian_hong/status/701506628852428800","701506628852428800")</f>
        <v>701506628852428800</v>
      </c>
      <c r="F231" s="12" t="s">
        <v>20</v>
      </c>
      <c r="G231" s="13">
        <v>228.0</v>
      </c>
      <c r="H231" s="13">
        <v>761.0</v>
      </c>
      <c r="I231" s="13">
        <v>1.0</v>
      </c>
      <c r="J231" s="13">
        <v>1.0</v>
      </c>
      <c r="K231" s="12" t="s">
        <v>21</v>
      </c>
      <c r="L231" s="7">
        <v>39933.73237268518</v>
      </c>
      <c r="M231" s="14" t="s">
        <v>2861</v>
      </c>
      <c r="N231" s="14" t="s">
        <v>6731</v>
      </c>
      <c r="O231" s="11" t="str">
        <f>HYPERLINK("https://pbs.twimg.com/profile_images/458404468350918656/KZ5PmoVY_normal.jpeg","View")</f>
        <v>View</v>
      </c>
      <c r="P231" s="15"/>
    </row>
    <row r="232">
      <c r="A232" s="7">
        <v>42421.52789351852</v>
      </c>
      <c r="B232" s="8" t="str">
        <f>HYPERLINK("https://twitter.com/Rbloggers","@Rbloggers")</f>
        <v>@Rbloggers</v>
      </c>
      <c r="C232" s="10" t="s">
        <v>6221</v>
      </c>
      <c r="D232" s="10" t="s">
        <v>6732</v>
      </c>
      <c r="E232" s="11" t="str">
        <f>HYPERLINK("https://twitter.com/Rbloggers/status/701506721978519552","701506721978519552")</f>
        <v>701506721978519552</v>
      </c>
      <c r="F232" s="17" t="s">
        <v>6223</v>
      </c>
      <c r="G232" s="13">
        <v>28572.0</v>
      </c>
      <c r="H232" s="13">
        <v>36.0</v>
      </c>
      <c r="I232" s="13">
        <v>9.0</v>
      </c>
      <c r="J232" s="13">
        <v>11.0</v>
      </c>
      <c r="K232" s="12" t="s">
        <v>21</v>
      </c>
      <c r="L232" s="7">
        <v>40314.510601851856</v>
      </c>
      <c r="M232" s="16"/>
      <c r="N232" s="14" t="s">
        <v>6224</v>
      </c>
      <c r="O232" s="11" t="str">
        <f>HYPERLINK("https://pbs.twimg.com/profile_images/502185985786916864/gkdFh-q7_normal.png","View")</f>
        <v>View</v>
      </c>
      <c r="P232" s="15"/>
    </row>
    <row r="233">
      <c r="A233" s="7">
        <v>42421.53010416667</v>
      </c>
      <c r="B233" s="8" t="str">
        <f>HYPERLINK("https://twitter.com/touchdownbot","@touchdownbot")</f>
        <v>@touchdownbot</v>
      </c>
      <c r="C233" s="10" t="s">
        <v>6733</v>
      </c>
      <c r="D233" s="10" t="s">
        <v>6734</v>
      </c>
      <c r="E233" s="11" t="str">
        <f>HYPERLINK("https://twitter.com/touchdownbot/status/701507524504195072","701507524504195072")</f>
        <v>701507524504195072</v>
      </c>
      <c r="F233" s="12" t="s">
        <v>6735</v>
      </c>
      <c r="G233" s="13">
        <v>838.0</v>
      </c>
      <c r="H233" s="13">
        <v>829.0</v>
      </c>
      <c r="I233" s="13">
        <v>1.0</v>
      </c>
      <c r="J233" s="13">
        <v>0.0</v>
      </c>
      <c r="K233" s="12" t="s">
        <v>21</v>
      </c>
      <c r="L233" s="7">
        <v>42273.495300925926</v>
      </c>
      <c r="M233" s="14" t="s">
        <v>1054</v>
      </c>
      <c r="N233" s="14" t="s">
        <v>6736</v>
      </c>
      <c r="O233" s="11" t="str">
        <f>HYPERLINK("https://pbs.twimg.com/profile_images/657055918488600576/TXYmuW8C_normal.jpg","View")</f>
        <v>View</v>
      </c>
      <c r="P233" s="15"/>
    </row>
    <row r="234">
      <c r="A234" s="7">
        <v>42421.53371527778</v>
      </c>
      <c r="B234" s="8" t="str">
        <f>HYPERLINK("https://twitter.com/jbryer","@jbryer")</f>
        <v>@jbryer</v>
      </c>
      <c r="C234" s="10" t="s">
        <v>6401</v>
      </c>
      <c r="D234" s="10" t="s">
        <v>6737</v>
      </c>
      <c r="E234" s="11" t="str">
        <f>HYPERLINK("https://twitter.com/jbryer/status/701508829956059136","701508829956059136")</f>
        <v>701508829956059136</v>
      </c>
      <c r="F234" s="12" t="s">
        <v>1082</v>
      </c>
      <c r="G234" s="13">
        <v>53.0</v>
      </c>
      <c r="H234" s="13">
        <v>206.0</v>
      </c>
      <c r="I234" s="13">
        <v>9.0</v>
      </c>
      <c r="J234" s="13">
        <v>0.0</v>
      </c>
      <c r="K234" s="12" t="s">
        <v>21</v>
      </c>
      <c r="L234" s="7">
        <v>39644.32935185185</v>
      </c>
      <c r="M234" s="14" t="s">
        <v>6403</v>
      </c>
      <c r="N234" s="16"/>
      <c r="O234" s="11" t="str">
        <f>HYPERLINK("https://pbs.twimg.com/profile_images/413098705378488321/pc7DXom7_normal.jpeg","View")</f>
        <v>View</v>
      </c>
      <c r="P234" s="15"/>
    </row>
    <row r="235">
      <c r="A235" s="7">
        <v>42421.537141203706</v>
      </c>
      <c r="B235" s="8" t="str">
        <f>HYPERLINK("https://twitter.com/sfrechette","@sfrechette")</f>
        <v>@sfrechette</v>
      </c>
      <c r="C235" s="10" t="s">
        <v>6564</v>
      </c>
      <c r="D235" s="10" t="s">
        <v>6738</v>
      </c>
      <c r="E235" s="11" t="str">
        <f>HYPERLINK("https://twitter.com/sfrechette/status/701510072875294720","701510072875294720")</f>
        <v>701510072875294720</v>
      </c>
      <c r="F235" s="12" t="s">
        <v>6566</v>
      </c>
      <c r="G235" s="13">
        <v>1352.0</v>
      </c>
      <c r="H235" s="13">
        <v>1178.0</v>
      </c>
      <c r="I235" s="13">
        <v>0.0</v>
      </c>
      <c r="J235" s="13">
        <v>0.0</v>
      </c>
      <c r="K235" s="12" t="s">
        <v>21</v>
      </c>
      <c r="L235" s="7">
        <v>39873.53702546297</v>
      </c>
      <c r="M235" s="14" t="s">
        <v>6567</v>
      </c>
      <c r="N235" s="14" t="s">
        <v>6568</v>
      </c>
      <c r="O235" s="11" t="str">
        <f>HYPERLINK("https://pbs.twimg.com/profile_images/662342111799304192/Xtv8MZ-P_normal.jpg","View")</f>
        <v>View</v>
      </c>
      <c r="P235" s="15"/>
    </row>
    <row r="236">
      <c r="A236" s="7">
        <v>42421.5387962963</v>
      </c>
      <c r="B236" s="8" t="str">
        <f>HYPERLINK("https://twitter.com/Pvalsfr","@Pvalsfr")</f>
        <v>@Pvalsfr</v>
      </c>
      <c r="C236" s="10" t="s">
        <v>771</v>
      </c>
      <c r="D236" s="10" t="s">
        <v>6737</v>
      </c>
      <c r="E236" s="11" t="str">
        <f>HYPERLINK("https://twitter.com/Pvalsfr/status/701510671872172032","701510671872172032")</f>
        <v>701510671872172032</v>
      </c>
      <c r="F236" s="12" t="s">
        <v>152</v>
      </c>
      <c r="G236" s="13">
        <v>1044.0</v>
      </c>
      <c r="H236" s="13">
        <v>1081.0</v>
      </c>
      <c r="I236" s="13">
        <v>9.0</v>
      </c>
      <c r="J236" s="13">
        <v>0.0</v>
      </c>
      <c r="K236" s="12" t="s">
        <v>21</v>
      </c>
      <c r="L236" s="7">
        <v>40867.68900462963</v>
      </c>
      <c r="M236" s="16"/>
      <c r="N236" s="16"/>
      <c r="O236" s="11" t="str">
        <f>HYPERLINK("https://abs.twimg.com/sticky/default_profile_images/default_profile_4_normal.png","View")</f>
        <v>View</v>
      </c>
      <c r="P236" s="15"/>
    </row>
    <row r="237">
      <c r="A237" s="7">
        <v>42421.5399537037</v>
      </c>
      <c r="B237" s="8" t="str">
        <f>HYPERLINK("https://twitter.com/vfmcneill","@vfmcneill")</f>
        <v>@vfmcneill</v>
      </c>
      <c r="C237" s="10" t="s">
        <v>6739</v>
      </c>
      <c r="D237" s="10" t="s">
        <v>6740</v>
      </c>
      <c r="E237" s="11" t="str">
        <f>HYPERLINK("https://twitter.com/vfmcneill/status/701511090698657794","701511090698657794")</f>
        <v>701511090698657794</v>
      </c>
      <c r="F237" s="12" t="s">
        <v>152</v>
      </c>
      <c r="G237" s="13">
        <v>609.0</v>
      </c>
      <c r="H237" s="13">
        <v>1005.0</v>
      </c>
      <c r="I237" s="13">
        <v>8.0</v>
      </c>
      <c r="J237" s="13">
        <v>0.0</v>
      </c>
      <c r="K237" s="12" t="s">
        <v>21</v>
      </c>
      <c r="L237" s="7">
        <v>41338.77630787037</v>
      </c>
      <c r="M237" s="14" t="s">
        <v>1018</v>
      </c>
      <c r="N237" s="14" t="s">
        <v>6741</v>
      </c>
      <c r="O237" s="11" t="str">
        <f>HYPERLINK("https://pbs.twimg.com/profile_images/443427729099079680/oUomOygH_normal.jpeg","View")</f>
        <v>View</v>
      </c>
      <c r="P237" s="15"/>
    </row>
    <row r="238">
      <c r="A238" s="7">
        <v>42421.54105324074</v>
      </c>
      <c r="B238" s="8" t="str">
        <f>HYPERLINK("https://twitter.com/mathiaspicker","@mathiaspicker")</f>
        <v>@mathiaspicker</v>
      </c>
      <c r="C238" s="10" t="s">
        <v>6742</v>
      </c>
      <c r="D238" s="10" t="s">
        <v>6737</v>
      </c>
      <c r="E238" s="11" t="str">
        <f>HYPERLINK("https://twitter.com/mathiaspicker/status/701511490780712960","701511490780712960")</f>
        <v>701511490780712960</v>
      </c>
      <c r="F238" s="12" t="s">
        <v>152</v>
      </c>
      <c r="G238" s="13">
        <v>334.0</v>
      </c>
      <c r="H238" s="13">
        <v>1251.0</v>
      </c>
      <c r="I238" s="13">
        <v>9.0</v>
      </c>
      <c r="J238" s="13">
        <v>0.0</v>
      </c>
      <c r="K238" s="12" t="s">
        <v>21</v>
      </c>
      <c r="L238" s="7">
        <v>39905.57471064815</v>
      </c>
      <c r="M238" s="14" t="s">
        <v>6743</v>
      </c>
      <c r="N238" s="14" t="s">
        <v>6744</v>
      </c>
      <c r="O238" s="11" t="str">
        <f>HYPERLINK("https://pbs.twimg.com/profile_images/121126854/OpenID_normal.jpg","View")</f>
        <v>View</v>
      </c>
      <c r="P238" s="15"/>
    </row>
    <row r="239">
      <c r="A239" s="7">
        <v>42421.54111111111</v>
      </c>
      <c r="B239" s="8" t="str">
        <f>HYPERLINK("https://twitter.com/andland","@andland")</f>
        <v>@andland</v>
      </c>
      <c r="C239" s="10" t="s">
        <v>6745</v>
      </c>
      <c r="D239" s="10" t="s">
        <v>6746</v>
      </c>
      <c r="E239" s="11" t="str">
        <f>HYPERLINK("https://twitter.com/andland/status/701511512863678464","701511512863678464")</f>
        <v>701511512863678464</v>
      </c>
      <c r="F239" s="12" t="s">
        <v>20</v>
      </c>
      <c r="G239" s="13">
        <v>81.0</v>
      </c>
      <c r="H239" s="13">
        <v>103.0</v>
      </c>
      <c r="I239" s="13">
        <v>0.0</v>
      </c>
      <c r="J239" s="13">
        <v>0.0</v>
      </c>
      <c r="K239" s="12" t="s">
        <v>21</v>
      </c>
      <c r="L239" s="7">
        <v>39966.80096064815</v>
      </c>
      <c r="M239" s="16"/>
      <c r="N239" s="14" t="s">
        <v>6747</v>
      </c>
      <c r="O239" s="11" t="str">
        <f>HYPERLINK("https://pbs.twimg.com/profile_images/545612733593313280/zTVXs8A__normal.jpeg","View")</f>
        <v>View</v>
      </c>
      <c r="P239" s="15"/>
    </row>
    <row r="240">
      <c r="A240" s="7">
        <v>42421.54170138889</v>
      </c>
      <c r="B240" s="8" t="str">
        <f>HYPERLINK("https://twitter.com/ZiyadMestour","@ZiyadMestour")</f>
        <v>@ZiyadMestour</v>
      </c>
      <c r="C240" s="10" t="s">
        <v>6748</v>
      </c>
      <c r="D240" s="10" t="s">
        <v>6749</v>
      </c>
      <c r="E240" s="11" t="str">
        <f>HYPERLINK("https://twitter.com/ZiyadMestour/status/701511726211190784","701511726211190784")</f>
        <v>701511726211190784</v>
      </c>
      <c r="F240" s="12" t="s">
        <v>20</v>
      </c>
      <c r="G240" s="13">
        <v>204.0</v>
      </c>
      <c r="H240" s="13">
        <v>894.0</v>
      </c>
      <c r="I240" s="13">
        <v>0.0</v>
      </c>
      <c r="J240" s="13">
        <v>1.0</v>
      </c>
      <c r="K240" s="12" t="s">
        <v>21</v>
      </c>
      <c r="L240" s="7">
        <v>41434.59497685185</v>
      </c>
      <c r="M240" s="14" t="s">
        <v>6750</v>
      </c>
      <c r="N240" s="14" t="s">
        <v>6751</v>
      </c>
      <c r="O240" s="11" t="str">
        <f>HYPERLINK("https://pbs.twimg.com/profile_images/620729104938065920/H5gBNa_p_normal.jpg","View")</f>
        <v>View</v>
      </c>
      <c r="P240" s="15"/>
    </row>
    <row r="241">
      <c r="A241" s="7">
        <v>42421.542708333334</v>
      </c>
      <c r="B241" s="8" t="str">
        <f>HYPERLINK("https://twitter.com/infrahumano","@infrahumano")</f>
        <v>@infrahumano</v>
      </c>
      <c r="C241" s="10" t="s">
        <v>6752</v>
      </c>
      <c r="D241" s="10" t="s">
        <v>6737</v>
      </c>
      <c r="E241" s="11" t="str">
        <f>HYPERLINK("https://twitter.com/infrahumano/status/701512089194598401","701512089194598401")</f>
        <v>701512089194598401</v>
      </c>
      <c r="F241" s="12" t="s">
        <v>152</v>
      </c>
      <c r="G241" s="13">
        <v>4046.0</v>
      </c>
      <c r="H241" s="13">
        <v>657.0</v>
      </c>
      <c r="I241" s="13">
        <v>9.0</v>
      </c>
      <c r="J241" s="13">
        <v>0.0</v>
      </c>
      <c r="K241" s="12" t="s">
        <v>21</v>
      </c>
      <c r="L241" s="7">
        <v>41537.760833333334</v>
      </c>
      <c r="M241" s="14" t="s">
        <v>6753</v>
      </c>
      <c r="N241" s="14" t="s">
        <v>6754</v>
      </c>
      <c r="O241" s="11" t="str">
        <f>HYPERLINK("https://pbs.twimg.com/profile_images/692149742881619975/32FvAwAA_normal.jpg","View")</f>
        <v>View</v>
      </c>
      <c r="P241" s="15"/>
    </row>
    <row r="242">
      <c r="A242" s="7">
        <v>42421.54537037037</v>
      </c>
      <c r="B242" s="8" t="str">
        <f>HYPERLINK("https://twitter.com/boomt","@boomt")</f>
        <v>@boomt</v>
      </c>
      <c r="C242" s="10" t="s">
        <v>6755</v>
      </c>
      <c r="D242" s="10" t="s">
        <v>6756</v>
      </c>
      <c r="E242" s="11" t="str">
        <f>HYPERLINK("https://twitter.com/boomt/status/701513057202212864","701513057202212864")</f>
        <v>701513057202212864</v>
      </c>
      <c r="F242" s="12" t="s">
        <v>446</v>
      </c>
      <c r="G242" s="13">
        <v>153.0</v>
      </c>
      <c r="H242" s="13">
        <v>194.0</v>
      </c>
      <c r="I242" s="13">
        <v>0.0</v>
      </c>
      <c r="J242" s="13">
        <v>0.0</v>
      </c>
      <c r="K242" s="12" t="s">
        <v>21</v>
      </c>
      <c r="L242" s="7">
        <v>39787.14270833333</v>
      </c>
      <c r="M242" s="14" t="s">
        <v>1018</v>
      </c>
      <c r="N242" s="14" t="s">
        <v>6757</v>
      </c>
      <c r="O242" s="11" t="str">
        <f>HYPERLINK("https://pbs.twimg.com/profile_images/2887447793/e4d2ce9e051547b581643c2341174021_normal.png","View")</f>
        <v>View</v>
      </c>
      <c r="P242" s="15"/>
    </row>
    <row r="243">
      <c r="A243" s="7">
        <v>42421.54630787037</v>
      </c>
      <c r="B243" s="8" t="str">
        <f>HYPERLINK("https://twitter.com/TurkerNational","@TurkerNational")</f>
        <v>@TurkerNational</v>
      </c>
      <c r="C243" s="10" t="s">
        <v>6758</v>
      </c>
      <c r="D243" s="10" t="s">
        <v>6759</v>
      </c>
      <c r="E243" s="11" t="str">
        <f>HYPERLINK("https://twitter.com/TurkerNational/status/701513396609531904","701513396609531904")</f>
        <v>701513396609531904</v>
      </c>
      <c r="F243" s="12" t="s">
        <v>446</v>
      </c>
      <c r="G243" s="13">
        <v>1241.0</v>
      </c>
      <c r="H243" s="13">
        <v>701.0</v>
      </c>
      <c r="I243" s="13">
        <v>4.0</v>
      </c>
      <c r="J243" s="13">
        <v>0.0</v>
      </c>
      <c r="K243" s="12" t="s">
        <v>21</v>
      </c>
      <c r="L243" s="7">
        <v>41083.363125</v>
      </c>
      <c r="M243" s="14" t="s">
        <v>6760</v>
      </c>
      <c r="N243" s="14" t="s">
        <v>6761</v>
      </c>
      <c r="O243" s="11" t="str">
        <f>HYPERLINK("https://pbs.twimg.com/profile_images/2333932980/Image1_normal.gif","View")</f>
        <v>View</v>
      </c>
      <c r="P243" s="15"/>
    </row>
    <row r="244">
      <c r="A244" s="7">
        <v>42421.550162037034</v>
      </c>
      <c r="B244" s="8" t="str">
        <f>HYPERLINK("https://twitter.com/Sunilma99772850","@Sunilma99772850")</f>
        <v>@Sunilma99772850</v>
      </c>
      <c r="C244" s="10" t="s">
        <v>6762</v>
      </c>
      <c r="D244" s="10" t="s">
        <v>6763</v>
      </c>
      <c r="E244" s="11" t="str">
        <f>HYPERLINK("https://twitter.com/Sunilma99772850/status/701514791412748295","701514791412748295")</f>
        <v>701514791412748295</v>
      </c>
      <c r="F244" s="12" t="s">
        <v>3154</v>
      </c>
      <c r="G244" s="13">
        <v>39.0</v>
      </c>
      <c r="H244" s="13">
        <v>76.0</v>
      </c>
      <c r="I244" s="13">
        <v>20.0</v>
      </c>
      <c r="J244" s="13">
        <v>0.0</v>
      </c>
      <c r="K244" s="12" t="s">
        <v>21</v>
      </c>
      <c r="L244" s="7">
        <v>42252.726759259254</v>
      </c>
      <c r="M244" s="16"/>
      <c r="N244" s="16"/>
      <c r="O244" s="11" t="str">
        <f>HYPERLINK("https://abs.twimg.com/sticky/default_profile_images/default_profile_1_normal.png","View")</f>
        <v>View</v>
      </c>
      <c r="P244" s="15"/>
    </row>
    <row r="245">
      <c r="A245" s="7">
        <v>42421.555138888885</v>
      </c>
      <c r="B245" s="8" t="str">
        <f>HYPERLINK("https://twitter.com/evanlitsa","@evanlitsa")</f>
        <v>@evanlitsa</v>
      </c>
      <c r="C245" s="10" t="s">
        <v>6764</v>
      </c>
      <c r="D245" s="10" t="s">
        <v>6765</v>
      </c>
      <c r="E245" s="11" t="str">
        <f>HYPERLINK("https://twitter.com/evanlitsa/status/701516594158116864","701516594158116864")</f>
        <v>701516594158116864</v>
      </c>
      <c r="F245" s="12" t="s">
        <v>52</v>
      </c>
      <c r="G245" s="13">
        <v>981.0</v>
      </c>
      <c r="H245" s="13">
        <v>1099.0</v>
      </c>
      <c r="I245" s="13">
        <v>4.0</v>
      </c>
      <c r="J245" s="13">
        <v>0.0</v>
      </c>
      <c r="K245" s="12" t="s">
        <v>21</v>
      </c>
      <c r="L245" s="7">
        <v>42168.1725</v>
      </c>
      <c r="M245" s="16"/>
      <c r="N245" s="14" t="s">
        <v>6766</v>
      </c>
      <c r="O245" s="11" t="str">
        <f>HYPERLINK("https://pbs.twimg.com/profile_images/609753456711176193/teJC_NNZ_normal.jpg","View")</f>
        <v>View</v>
      </c>
      <c r="P245" s="15"/>
    </row>
    <row r="246">
      <c r="A246" s="7">
        <v>42421.55734953703</v>
      </c>
      <c r="B246" s="8" t="str">
        <f>HYPERLINK("https://twitter.com/_sbr1","@_sbr1")</f>
        <v>@_sbr1</v>
      </c>
      <c r="C246" s="10" t="s">
        <v>6684</v>
      </c>
      <c r="D246" s="10" t="s">
        <v>6737</v>
      </c>
      <c r="E246" s="11" t="str">
        <f>HYPERLINK("https://twitter.com/_sbr1/status/701517398071902210","701517398071902210")</f>
        <v>701517398071902210</v>
      </c>
      <c r="F246" s="12" t="s">
        <v>152</v>
      </c>
      <c r="G246" s="13">
        <v>22.0</v>
      </c>
      <c r="H246" s="13">
        <v>86.0</v>
      </c>
      <c r="I246" s="13">
        <v>9.0</v>
      </c>
      <c r="J246" s="13">
        <v>0.0</v>
      </c>
      <c r="K246" s="12" t="s">
        <v>21</v>
      </c>
      <c r="L246" s="7">
        <v>42390.67181712963</v>
      </c>
      <c r="M246" s="16"/>
      <c r="N246" s="14" t="s">
        <v>6685</v>
      </c>
      <c r="O246" s="11" t="str">
        <f>HYPERLINK("https://pbs.twimg.com/profile_images/690329387502153728/j7bVA2QG_normal.jpg","View")</f>
        <v>View</v>
      </c>
      <c r="P246" s="15"/>
    </row>
    <row r="247">
      <c r="A247" s="7">
        <v>42421.55881944444</v>
      </c>
      <c r="B247" s="8" t="str">
        <f>HYPERLINK("https://twitter.com/alnisb","@alnisb")</f>
        <v>@alnisb</v>
      </c>
      <c r="C247" s="10" t="s">
        <v>6767</v>
      </c>
      <c r="D247" s="10" t="s">
        <v>6663</v>
      </c>
      <c r="E247" s="11" t="str">
        <f>HYPERLINK("https://twitter.com/alnisb/status/701517929884483584","701517929884483584")</f>
        <v>701517929884483584</v>
      </c>
      <c r="F247" s="12" t="s">
        <v>152</v>
      </c>
      <c r="G247" s="13">
        <v>260.0</v>
      </c>
      <c r="H247" s="13">
        <v>758.0</v>
      </c>
      <c r="I247" s="13">
        <v>20.0</v>
      </c>
      <c r="J247" s="13">
        <v>0.0</v>
      </c>
      <c r="K247" s="12" t="s">
        <v>21</v>
      </c>
      <c r="L247" s="7">
        <v>39939.82056712963</v>
      </c>
      <c r="M247" s="14" t="s">
        <v>3802</v>
      </c>
      <c r="N247" s="14" t="s">
        <v>6768</v>
      </c>
      <c r="O247" s="11" t="str">
        <f>HYPERLINK("https://pbs.twimg.com/profile_images/635979167264206848/xxcfvIRU_normal.png","View")</f>
        <v>View</v>
      </c>
      <c r="P247" s="15"/>
    </row>
    <row r="248">
      <c r="A248" s="7">
        <v>42421.56010416667</v>
      </c>
      <c r="B248" s="8" t="str">
        <f>HYPERLINK("https://twitter.com/CesarJmz","@CesarJmz")</f>
        <v>@CesarJmz</v>
      </c>
      <c r="C248" s="10" t="s">
        <v>6769</v>
      </c>
      <c r="D248" s="10" t="s">
        <v>6248</v>
      </c>
      <c r="E248" s="11" t="str">
        <f>HYPERLINK("https://twitter.com/CesarJmz/status/701518395531857920","701518395531857920")</f>
        <v>701518395531857920</v>
      </c>
      <c r="F248" s="12" t="s">
        <v>52</v>
      </c>
      <c r="G248" s="13">
        <v>246.0</v>
      </c>
      <c r="H248" s="13">
        <v>235.0</v>
      </c>
      <c r="I248" s="13">
        <v>9.0</v>
      </c>
      <c r="J248" s="13">
        <v>0.0</v>
      </c>
      <c r="K248" s="12" t="s">
        <v>21</v>
      </c>
      <c r="L248" s="7">
        <v>40137.655625</v>
      </c>
      <c r="M248" s="14" t="s">
        <v>6770</v>
      </c>
      <c r="N248" s="16"/>
      <c r="O248" s="11" t="str">
        <f>HYPERLINK("https://pbs.twimg.com/profile_images/676596646226952193/uaAka0eF_normal.jpg","View")</f>
        <v>View</v>
      </c>
      <c r="P248" s="15"/>
    </row>
    <row r="249">
      <c r="A249" s="7">
        <v>42421.56309027778</v>
      </c>
      <c r="B249" s="8" t="str">
        <f>HYPERLINK("https://twitter.com/AnalyticsVidhya","@AnalyticsVidhya")</f>
        <v>@AnalyticsVidhya</v>
      </c>
      <c r="C249" s="10" t="s">
        <v>2998</v>
      </c>
      <c r="D249" s="10" t="s">
        <v>6771</v>
      </c>
      <c r="E249" s="11" t="str">
        <f>HYPERLINK("https://twitter.com/AnalyticsVidhya/status/701519475766665216","701519475766665216")</f>
        <v>701519475766665216</v>
      </c>
      <c r="F249" s="12" t="s">
        <v>659</v>
      </c>
      <c r="G249" s="13">
        <v>4133.0</v>
      </c>
      <c r="H249" s="13">
        <v>250.0</v>
      </c>
      <c r="I249" s="13">
        <v>0.0</v>
      </c>
      <c r="J249" s="13">
        <v>2.0</v>
      </c>
      <c r="K249" s="12" t="s">
        <v>21</v>
      </c>
      <c r="L249" s="7">
        <v>41665.11702546296</v>
      </c>
      <c r="M249" s="16"/>
      <c r="N249" s="14" t="s">
        <v>3000</v>
      </c>
      <c r="O249" s="11" t="str">
        <f>HYPERLINK("https://pbs.twimg.com/profile_images/457775762108448768/XmO2C1-E_normal.png","View")</f>
        <v>View</v>
      </c>
      <c r="P249" s="15"/>
    </row>
    <row r="250">
      <c r="A250" s="7">
        <v>42421.563576388886</v>
      </c>
      <c r="B250" s="8" t="str">
        <f>HYPERLINK("https://twitter.com/jornalistavitor","@jornalistavitor")</f>
        <v>@jornalistavitor</v>
      </c>
      <c r="C250" s="10" t="s">
        <v>6772</v>
      </c>
      <c r="D250" s="10" t="s">
        <v>6773</v>
      </c>
      <c r="E250" s="11" t="str">
        <f>HYPERLINK("https://twitter.com/jornalistavitor/status/701519651763855364","701519651763855364")</f>
        <v>701519651763855364</v>
      </c>
      <c r="F250" s="12" t="s">
        <v>20</v>
      </c>
      <c r="G250" s="13">
        <v>26786.0</v>
      </c>
      <c r="H250" s="13">
        <v>14653.0</v>
      </c>
      <c r="I250" s="13">
        <v>61.0</v>
      </c>
      <c r="J250" s="13">
        <v>0.0</v>
      </c>
      <c r="K250" s="12" t="s">
        <v>21</v>
      </c>
      <c r="L250" s="7">
        <v>40220.39572916667</v>
      </c>
      <c r="M250" s="14" t="s">
        <v>82</v>
      </c>
      <c r="N250" s="14" t="s">
        <v>6774</v>
      </c>
      <c r="O250" s="11" t="str">
        <f>HYPERLINK("https://pbs.twimg.com/profile_images/378800000463633572/8494361443a9361de1017d497c5ee1f2_normal.jpeg","View")</f>
        <v>View</v>
      </c>
      <c r="P250" s="15"/>
    </row>
    <row r="251">
      <c r="A251" s="7">
        <v>42421.565671296295</v>
      </c>
      <c r="B251" s="8" t="str">
        <f>HYPERLINK("https://twitter.com/QuadmanSWE","@QuadmanSWE")</f>
        <v>@QuadmanSWE</v>
      </c>
      <c r="C251" s="10" t="s">
        <v>6775</v>
      </c>
      <c r="D251" s="10" t="s">
        <v>6470</v>
      </c>
      <c r="E251" s="11" t="str">
        <f>HYPERLINK("https://twitter.com/QuadmanSWE/status/701520413227098113","701520413227098113")</f>
        <v>701520413227098113</v>
      </c>
      <c r="F251" s="12" t="s">
        <v>152</v>
      </c>
      <c r="G251" s="13">
        <v>13.0</v>
      </c>
      <c r="H251" s="13">
        <v>98.0</v>
      </c>
      <c r="I251" s="13">
        <v>9.0</v>
      </c>
      <c r="J251" s="13">
        <v>0.0</v>
      </c>
      <c r="K251" s="12" t="s">
        <v>21</v>
      </c>
      <c r="L251" s="7">
        <v>40789.422997685186</v>
      </c>
      <c r="M251" s="16"/>
      <c r="N251" s="16"/>
      <c r="O251" s="11" t="str">
        <f>HYPERLINK("https://pbs.twimg.com/profile_images/452764197487513603/Wr-VS-rt_normal.png","View")</f>
        <v>View</v>
      </c>
      <c r="P251" s="15"/>
    </row>
    <row r="252">
      <c r="A252" s="7">
        <v>42421.570231481484</v>
      </c>
      <c r="B252" s="8" t="str">
        <f>HYPERLINK("https://twitter.com/homeAIinfo","@homeAIinfo")</f>
        <v>@homeAIinfo</v>
      </c>
      <c r="C252" s="10" t="s">
        <v>36</v>
      </c>
      <c r="D252" s="10" t="s">
        <v>6737</v>
      </c>
      <c r="E252" s="11" t="str">
        <f>HYPERLINK("https://twitter.com/homeAIinfo/status/701522063396368389","701522063396368389")</f>
        <v>701522063396368389</v>
      </c>
      <c r="F252" s="12" t="s">
        <v>38</v>
      </c>
      <c r="G252" s="13">
        <v>52868.0</v>
      </c>
      <c r="H252" s="13">
        <v>1328.0</v>
      </c>
      <c r="I252" s="13">
        <v>9.0</v>
      </c>
      <c r="J252" s="13">
        <v>0.0</v>
      </c>
      <c r="K252" s="12" t="s">
        <v>21</v>
      </c>
      <c r="L252" s="7">
        <v>42133.34662037037</v>
      </c>
      <c r="M252" s="14" t="s">
        <v>39</v>
      </c>
      <c r="N252" s="14" t="s">
        <v>40</v>
      </c>
      <c r="O252" s="11" t="str">
        <f>HYPERLINK("https://pbs.twimg.com/profile_images/645650110374936580/-oQakt8x_normal.png","View")</f>
        <v>View</v>
      </c>
      <c r="P252" s="15"/>
    </row>
    <row r="253">
      <c r="A253" s="7">
        <v>42421.571608796294</v>
      </c>
      <c r="B253" s="8" t="str">
        <f>HYPERLINK("https://twitter.com/davekincaid","@davekincaid")</f>
        <v>@davekincaid</v>
      </c>
      <c r="C253" s="10" t="s">
        <v>6776</v>
      </c>
      <c r="D253" s="10" t="s">
        <v>6773</v>
      </c>
      <c r="E253" s="11" t="str">
        <f>HYPERLINK("https://twitter.com/davekincaid/status/701522564154265600","701522564154265600")</f>
        <v>701522564154265600</v>
      </c>
      <c r="F253" s="12" t="s">
        <v>446</v>
      </c>
      <c r="G253" s="13">
        <v>215.0</v>
      </c>
      <c r="H253" s="13">
        <v>320.0</v>
      </c>
      <c r="I253" s="13">
        <v>61.0</v>
      </c>
      <c r="J253" s="13">
        <v>0.0</v>
      </c>
      <c r="K253" s="12" t="s">
        <v>21</v>
      </c>
      <c r="L253" s="7">
        <v>39435.40081018519</v>
      </c>
      <c r="M253" s="14" t="s">
        <v>6777</v>
      </c>
      <c r="N253" s="16"/>
      <c r="O253" s="11" t="str">
        <f>HYPERLINK("https://pbs.twimg.com/profile_images/301702857/twitpic_normal.jpg","View")</f>
        <v>View</v>
      </c>
      <c r="P253" s="15"/>
    </row>
    <row r="254">
      <c r="A254" s="7">
        <v>42421.57675925926</v>
      </c>
      <c r="B254" s="8" t="str">
        <f>HYPERLINK("https://twitter.com/_nicolemargaret","@_nicolemargaret")</f>
        <v>@_nicolemargaret</v>
      </c>
      <c r="C254" s="10" t="s">
        <v>6778</v>
      </c>
      <c r="D254" s="10" t="s">
        <v>6779</v>
      </c>
      <c r="E254" s="11" t="str">
        <f>HYPERLINK("https://twitter.com/_nicolemargaret/status/701524428501286912","701524428501286912")</f>
        <v>701524428501286912</v>
      </c>
      <c r="F254" s="12" t="s">
        <v>20</v>
      </c>
      <c r="G254" s="13">
        <v>1219.0</v>
      </c>
      <c r="H254" s="13">
        <v>225.0</v>
      </c>
      <c r="I254" s="13">
        <v>0.0</v>
      </c>
      <c r="J254" s="13">
        <v>2.0</v>
      </c>
      <c r="K254" s="12" t="s">
        <v>21</v>
      </c>
      <c r="L254" s="7">
        <v>40720.71886574074</v>
      </c>
      <c r="M254" s="14" t="s">
        <v>4036</v>
      </c>
      <c r="N254" s="14" t="s">
        <v>6780</v>
      </c>
      <c r="O254" s="11" t="str">
        <f>HYPERLINK("https://pbs.twimg.com/profile_images/678982510605295616/tijMdbXn_normal.jpg","View")</f>
        <v>View</v>
      </c>
      <c r="P254" s="15"/>
    </row>
    <row r="255">
      <c r="A255" s="7">
        <v>42421.58085648148</v>
      </c>
      <c r="B255" s="8" t="str">
        <f>HYPERLINK("https://twitter.com/JunMa_MJ","@JunMa_MJ")</f>
        <v>@JunMa_MJ</v>
      </c>
      <c r="C255" s="10" t="s">
        <v>6781</v>
      </c>
      <c r="D255" s="10" t="s">
        <v>6782</v>
      </c>
      <c r="E255" s="11" t="str">
        <f>HYPERLINK("https://twitter.com/JunMa_MJ/status/701525915847802880","701525915847802880")</f>
        <v>701525915847802880</v>
      </c>
      <c r="F255" s="12" t="s">
        <v>52</v>
      </c>
      <c r="G255" s="13">
        <v>52.0</v>
      </c>
      <c r="H255" s="13">
        <v>141.0</v>
      </c>
      <c r="I255" s="13">
        <v>0.0</v>
      </c>
      <c r="J255" s="13">
        <v>0.0</v>
      </c>
      <c r="K255" s="12" t="s">
        <v>21</v>
      </c>
      <c r="L255" s="7">
        <v>40240.3362962963</v>
      </c>
      <c r="M255" s="14" t="s">
        <v>6783</v>
      </c>
      <c r="N255" s="16"/>
      <c r="O255" s="11" t="str">
        <f>HYPERLINK("https://pbs.twimg.com/profile_images/3101002747/a4cb74aa5e937658685288c9bda02203_normal.jpeg","View")</f>
        <v>View</v>
      </c>
      <c r="P255" s="15"/>
    </row>
    <row r="256">
      <c r="A256" s="7">
        <v>42421.58094907408</v>
      </c>
      <c r="B256" s="8" t="str">
        <f>HYPERLINK("https://twitter.com/quominus","@quominus")</f>
        <v>@quominus</v>
      </c>
      <c r="C256" s="10" t="s">
        <v>6784</v>
      </c>
      <c r="D256" s="10" t="s">
        <v>6785</v>
      </c>
      <c r="E256" s="11" t="str">
        <f>HYPERLINK("https://twitter.com/quominus/status/701525949444132865","701525949444132865")</f>
        <v>701525949444132865</v>
      </c>
      <c r="F256" s="12" t="s">
        <v>20</v>
      </c>
      <c r="G256" s="13">
        <v>1507.0</v>
      </c>
      <c r="H256" s="13">
        <v>698.0</v>
      </c>
      <c r="I256" s="13">
        <v>0.0</v>
      </c>
      <c r="J256" s="13">
        <v>2.0</v>
      </c>
      <c r="K256" s="12" t="s">
        <v>21</v>
      </c>
      <c r="L256" s="7">
        <v>40513.016180555554</v>
      </c>
      <c r="M256" s="14" t="s">
        <v>6786</v>
      </c>
      <c r="N256" s="14" t="s">
        <v>6787</v>
      </c>
      <c r="O256" s="11" t="str">
        <f>HYPERLINK("https://pbs.twimg.com/profile_images/689997706752847874/lCoiGcL3_normal.jpg","View")</f>
        <v>View</v>
      </c>
      <c r="P256" s="15"/>
    </row>
    <row r="257">
      <c r="A257" s="7">
        <v>42421.58201388889</v>
      </c>
      <c r="B257" s="8" t="str">
        <f>HYPERLINK("https://twitter.com/adamson","@adamson")</f>
        <v>@adamson</v>
      </c>
      <c r="C257" s="10" t="s">
        <v>6788</v>
      </c>
      <c r="D257" s="10" t="s">
        <v>6789</v>
      </c>
      <c r="E257" s="11" t="str">
        <f>HYPERLINK("https://twitter.com/adamson/status/701526335546662913","701526335546662913")</f>
        <v>701526335546662913</v>
      </c>
      <c r="F257" s="12" t="s">
        <v>294</v>
      </c>
      <c r="G257" s="13">
        <v>10554.0</v>
      </c>
      <c r="H257" s="13">
        <v>11289.0</v>
      </c>
      <c r="I257" s="13">
        <v>3.0</v>
      </c>
      <c r="J257" s="13">
        <v>0.0</v>
      </c>
      <c r="K257" s="12" t="s">
        <v>21</v>
      </c>
      <c r="L257" s="7">
        <v>39377.993796296294</v>
      </c>
      <c r="M257" s="14" t="s">
        <v>6790</v>
      </c>
      <c r="N257" s="14" t="s">
        <v>6791</v>
      </c>
      <c r="O257" s="11" t="str">
        <f>HYPERLINK("https://pbs.twimg.com/profile_images/544790599589568512/26tIRo8H_normal.jpeg","View")</f>
        <v>View</v>
      </c>
      <c r="P257" s="15"/>
    </row>
    <row r="258">
      <c r="A258" s="7">
        <v>42421.58434027778</v>
      </c>
      <c r="B258" s="8" t="str">
        <f>HYPERLINK("https://twitter.com/komakusaryama","@komakusaryama")</f>
        <v>@komakusaryama</v>
      </c>
      <c r="C258" s="10" t="s">
        <v>6792</v>
      </c>
      <c r="D258" s="10" t="s">
        <v>6687</v>
      </c>
      <c r="E258" s="11" t="str">
        <f>HYPERLINK("https://twitter.com/komakusaryama/status/701527178496704513","701527178496704513")</f>
        <v>701527178496704513</v>
      </c>
      <c r="F258" s="12" t="s">
        <v>20</v>
      </c>
      <c r="G258" s="13">
        <v>605.0</v>
      </c>
      <c r="H258" s="13">
        <v>198.0</v>
      </c>
      <c r="I258" s="13">
        <v>8.0</v>
      </c>
      <c r="J258" s="13">
        <v>0.0</v>
      </c>
      <c r="K258" s="12" t="s">
        <v>21</v>
      </c>
      <c r="L258" s="7">
        <v>40073.12278935185</v>
      </c>
      <c r="M258" s="14" t="s">
        <v>6793</v>
      </c>
      <c r="N258" s="14" t="s">
        <v>6794</v>
      </c>
      <c r="O258" s="11" t="str">
        <f>HYPERLINK("https://pbs.twimg.com/profile_images/3553053117/984554eeaf69e22dde9037f3e0fc2bd4_normal.jpeg","View")</f>
        <v>View</v>
      </c>
      <c r="P258" s="15"/>
    </row>
    <row r="259">
      <c r="A259" s="7">
        <v>42421.58459490741</v>
      </c>
      <c r="B259" s="8" t="str">
        <f>HYPERLINK("https://twitter.com/politicalmath","@politicalmath")</f>
        <v>@politicalmath</v>
      </c>
      <c r="C259" s="10" t="s">
        <v>6795</v>
      </c>
      <c r="D259" s="10" t="s">
        <v>6663</v>
      </c>
      <c r="E259" s="11" t="str">
        <f>HYPERLINK("https://twitter.com/politicalmath/status/701527270230339584","701527270230339584")</f>
        <v>701527270230339584</v>
      </c>
      <c r="F259" s="12" t="s">
        <v>446</v>
      </c>
      <c r="G259" s="13">
        <v>19933.0</v>
      </c>
      <c r="H259" s="13">
        <v>2156.0</v>
      </c>
      <c r="I259" s="13">
        <v>20.0</v>
      </c>
      <c r="J259" s="13">
        <v>0.0</v>
      </c>
      <c r="K259" s="12" t="s">
        <v>21</v>
      </c>
      <c r="L259" s="7">
        <v>39933.289513888885</v>
      </c>
      <c r="M259" s="16"/>
      <c r="N259" s="14" t="s">
        <v>6796</v>
      </c>
      <c r="O259" s="11" t="str">
        <f>HYPERLINK("https://pbs.twimg.com/profile_images/2382058418/y6ldunhflaie7iw4lbw5_normal.png","View")</f>
        <v>View</v>
      </c>
      <c r="P259" s="15"/>
    </row>
    <row r="260">
      <c r="A260" s="7">
        <v>42421.590567129635</v>
      </c>
      <c r="B260" s="8" t="str">
        <f>HYPERLINK("https://twitter.com/yamano357","@yamano357")</f>
        <v>@yamano357</v>
      </c>
      <c r="C260" s="10" t="s">
        <v>6797</v>
      </c>
      <c r="D260" s="10" t="s">
        <v>6663</v>
      </c>
      <c r="E260" s="11" t="str">
        <f>HYPERLINK("https://twitter.com/yamano357/status/701529434763849728","701529434763849728")</f>
        <v>701529434763849728</v>
      </c>
      <c r="F260" s="12" t="s">
        <v>2063</v>
      </c>
      <c r="G260" s="13">
        <v>554.0</v>
      </c>
      <c r="H260" s="13">
        <v>341.0</v>
      </c>
      <c r="I260" s="13">
        <v>20.0</v>
      </c>
      <c r="J260" s="13">
        <v>0.0</v>
      </c>
      <c r="K260" s="12" t="s">
        <v>21</v>
      </c>
      <c r="L260" s="7">
        <v>41595.29126157407</v>
      </c>
      <c r="M260" s="16"/>
      <c r="N260" s="14" t="s">
        <v>6798</v>
      </c>
      <c r="O260" s="11" t="str">
        <f>HYPERLINK("https://pbs.twimg.com/profile_images/603763620393025536/KBmiiFXC_normal.png","View")</f>
        <v>View</v>
      </c>
      <c r="P260" s="15"/>
    </row>
    <row r="261">
      <c r="A261" s="7">
        <v>42421.5919675926</v>
      </c>
      <c r="B261" s="8" t="str">
        <f>HYPERLINK("https://twitter.com/nicholaraihani","@nicholaraihani")</f>
        <v>@nicholaraihani</v>
      </c>
      <c r="C261" s="10" t="s">
        <v>6799</v>
      </c>
      <c r="D261" s="10" t="s">
        <v>6759</v>
      </c>
      <c r="E261" s="11" t="str">
        <f>HYPERLINK("https://twitter.com/nicholaraihani/status/701529940345417728","701529940345417728")</f>
        <v>701529940345417728</v>
      </c>
      <c r="F261" s="12" t="s">
        <v>52</v>
      </c>
      <c r="G261" s="13">
        <v>710.0</v>
      </c>
      <c r="H261" s="13">
        <v>489.0</v>
      </c>
      <c r="I261" s="13">
        <v>4.0</v>
      </c>
      <c r="J261" s="13">
        <v>0.0</v>
      </c>
      <c r="K261" s="12" t="s">
        <v>21</v>
      </c>
      <c r="L261" s="7">
        <v>41110.40037037037</v>
      </c>
      <c r="M261" s="14" t="s">
        <v>2034</v>
      </c>
      <c r="N261" s="14" t="s">
        <v>6800</v>
      </c>
      <c r="O261" s="11" t="str">
        <f>HYPERLINK("https://pbs.twimg.com/profile_images/701490866523807745/UBrdJHBx_normal.png","View")</f>
        <v>View</v>
      </c>
      <c r="P261" s="15"/>
    </row>
    <row r="262">
      <c r="A262" s="7">
        <v>42421.5921875</v>
      </c>
      <c r="B262" s="8" t="str">
        <f>HYPERLINK("https://twitter.com/yamano357","@yamano357")</f>
        <v>@yamano357</v>
      </c>
      <c r="C262" s="10" t="s">
        <v>6797</v>
      </c>
      <c r="D262" s="10" t="s">
        <v>6687</v>
      </c>
      <c r="E262" s="11" t="str">
        <f>HYPERLINK("https://twitter.com/yamano357/status/701530020032831489","701530020032831489")</f>
        <v>701530020032831489</v>
      </c>
      <c r="F262" s="12" t="s">
        <v>2063</v>
      </c>
      <c r="G262" s="13">
        <v>554.0</v>
      </c>
      <c r="H262" s="13">
        <v>341.0</v>
      </c>
      <c r="I262" s="13">
        <v>8.0</v>
      </c>
      <c r="J262" s="13">
        <v>0.0</v>
      </c>
      <c r="K262" s="12" t="s">
        <v>21</v>
      </c>
      <c r="L262" s="7">
        <v>41595.29126157407</v>
      </c>
      <c r="M262" s="16"/>
      <c r="N262" s="14" t="s">
        <v>6798</v>
      </c>
      <c r="O262" s="11" t="str">
        <f>HYPERLINK("https://pbs.twimg.com/profile_images/603763620393025536/KBmiiFXC_normal.png","View")</f>
        <v>View</v>
      </c>
      <c r="P262" s="15"/>
    </row>
    <row r="263">
      <c r="A263" s="7">
        <v>42421.60118055556</v>
      </c>
      <c r="B263" s="8" t="str">
        <f>HYPERLINK("https://twitter.com/tomhouslay","@tomhouslay")</f>
        <v>@tomhouslay</v>
      </c>
      <c r="C263" s="10" t="s">
        <v>6801</v>
      </c>
      <c r="D263" s="10" t="s">
        <v>6802</v>
      </c>
      <c r="E263" s="11" t="str">
        <f>HYPERLINK("https://twitter.com/tomhouslay/status/701533279984492545","701533279984492545")</f>
        <v>701533279984492545</v>
      </c>
      <c r="F263" s="12" t="s">
        <v>20</v>
      </c>
      <c r="G263" s="13">
        <v>2957.0</v>
      </c>
      <c r="H263" s="13">
        <v>2676.0</v>
      </c>
      <c r="I263" s="13">
        <v>1.0</v>
      </c>
      <c r="J263" s="13">
        <v>6.0</v>
      </c>
      <c r="K263" s="12" t="s">
        <v>21</v>
      </c>
      <c r="L263" s="7">
        <v>40136.59471064815</v>
      </c>
      <c r="M263" s="14" t="s">
        <v>6803</v>
      </c>
      <c r="N263" s="14" t="s">
        <v>6804</v>
      </c>
      <c r="O263" s="11" t="str">
        <f>HYPERLINK("https://pbs.twimg.com/profile_images/701901513392717824/lUzJ39G2_normal.png","View")</f>
        <v>View</v>
      </c>
      <c r="P263" s="15"/>
    </row>
    <row r="264">
      <c r="A264" s="7">
        <v>42421.60443287037</v>
      </c>
      <c r="B264" s="8" t="str">
        <f>HYPERLINK("https://twitter.com/chverdon","@chverdon")</f>
        <v>@chverdon</v>
      </c>
      <c r="C264" s="10" t="s">
        <v>6805</v>
      </c>
      <c r="D264" s="10" t="s">
        <v>6580</v>
      </c>
      <c r="E264" s="11" t="str">
        <f>HYPERLINK("https://twitter.com/chverdon/status/701534458386759680","701534458386759680")</f>
        <v>701534458386759680</v>
      </c>
      <c r="F264" s="12" t="s">
        <v>124</v>
      </c>
      <c r="G264" s="13">
        <v>112.0</v>
      </c>
      <c r="H264" s="13">
        <v>80.0</v>
      </c>
      <c r="I264" s="13">
        <v>7.0</v>
      </c>
      <c r="J264" s="13">
        <v>0.0</v>
      </c>
      <c r="K264" s="12" t="s">
        <v>21</v>
      </c>
      <c r="L264" s="7">
        <v>41655.576840277776</v>
      </c>
      <c r="M264" s="14" t="s">
        <v>6806</v>
      </c>
      <c r="N264" s="14" t="s">
        <v>6807</v>
      </c>
      <c r="O264" s="11" t="str">
        <f>HYPERLINK("https://pbs.twimg.com/profile_images/504686786526732289/0xznuzHy_normal.jpeg","View")</f>
        <v>View</v>
      </c>
      <c r="P264" s="15"/>
    </row>
    <row r="265">
      <c r="A265" s="7">
        <v>42421.607627314814</v>
      </c>
      <c r="B265" s="8" t="str">
        <f>HYPERLINK("https://twitter.com/benakiva","@benakiva")</f>
        <v>@benakiva</v>
      </c>
      <c r="C265" s="10" t="s">
        <v>6808</v>
      </c>
      <c r="D265" s="10" t="s">
        <v>6809</v>
      </c>
      <c r="E265" s="11" t="str">
        <f>HYPERLINK("https://twitter.com/benakiva/status/701535615045738497","701535615045738497")</f>
        <v>701535615045738497</v>
      </c>
      <c r="F265" s="12" t="s">
        <v>152</v>
      </c>
      <c r="G265" s="13">
        <v>212.0</v>
      </c>
      <c r="H265" s="13">
        <v>222.0</v>
      </c>
      <c r="I265" s="13">
        <v>0.0</v>
      </c>
      <c r="J265" s="13">
        <v>0.0</v>
      </c>
      <c r="K265" s="12" t="s">
        <v>21</v>
      </c>
      <c r="L265" s="7">
        <v>39748.475069444445</v>
      </c>
      <c r="M265" s="14" t="s">
        <v>519</v>
      </c>
      <c r="N265" s="14" t="s">
        <v>6810</v>
      </c>
      <c r="O265" s="11" t="str">
        <f>HYPERLINK("https://pbs.twimg.com/profile_images/1133928235/image_normal.jpg","View")</f>
        <v>View</v>
      </c>
      <c r="P265" s="15"/>
    </row>
    <row r="266">
      <c r="A266" s="7">
        <v>42421.61325231481</v>
      </c>
      <c r="B266" s="8" t="str">
        <f>HYPERLINK("https://twitter.com/homeAIinfo","@homeAIinfo")</f>
        <v>@homeAIinfo</v>
      </c>
      <c r="C266" s="10" t="s">
        <v>36</v>
      </c>
      <c r="D266" s="10" t="s">
        <v>6811</v>
      </c>
      <c r="E266" s="11" t="str">
        <f>HYPERLINK("https://twitter.com/homeAIinfo/status/701537652839997441","701537652839997441")</f>
        <v>701537652839997441</v>
      </c>
      <c r="F266" s="12" t="s">
        <v>38</v>
      </c>
      <c r="G266" s="13">
        <v>52868.0</v>
      </c>
      <c r="H266" s="13">
        <v>1328.0</v>
      </c>
      <c r="I266" s="13">
        <v>3.0</v>
      </c>
      <c r="J266" s="13">
        <v>0.0</v>
      </c>
      <c r="K266" s="12" t="s">
        <v>21</v>
      </c>
      <c r="L266" s="7">
        <v>42133.34662037037</v>
      </c>
      <c r="M266" s="14" t="s">
        <v>39</v>
      </c>
      <c r="N266" s="14" t="s">
        <v>40</v>
      </c>
      <c r="O266" s="11" t="str">
        <f>HYPERLINK("https://pbs.twimg.com/profile_images/645650110374936580/-oQakt8x_normal.png","View")</f>
        <v>View</v>
      </c>
      <c r="P266" s="15"/>
    </row>
    <row r="267">
      <c r="A267" s="7">
        <v>42421.614074074074</v>
      </c>
      <c r="B267" s="8" t="str">
        <f>HYPERLINK("https://twitter.com/hajjihi","@hajjihi")</f>
        <v>@hajjihi</v>
      </c>
      <c r="C267" s="10" t="s">
        <v>6812</v>
      </c>
      <c r="D267" s="10" t="s">
        <v>6319</v>
      </c>
      <c r="E267" s="11" t="str">
        <f>HYPERLINK("https://twitter.com/hajjihi/status/701537954565586946","701537954565586946")</f>
        <v>701537954565586946</v>
      </c>
      <c r="F267" s="12" t="s">
        <v>20</v>
      </c>
      <c r="G267" s="13">
        <v>82.0</v>
      </c>
      <c r="H267" s="13">
        <v>418.0</v>
      </c>
      <c r="I267" s="13">
        <v>106.0</v>
      </c>
      <c r="J267" s="13">
        <v>0.0</v>
      </c>
      <c r="K267" s="12" t="s">
        <v>21</v>
      </c>
      <c r="L267" s="7">
        <v>39987.182708333334</v>
      </c>
      <c r="M267" s="14" t="s">
        <v>6813</v>
      </c>
      <c r="N267" s="14" t="s">
        <v>6814</v>
      </c>
      <c r="O267" s="11" t="str">
        <f>HYPERLINK("https://pbs.twimg.com/profile_images/3750867816/d61631ed2a31a39d0f80ecd3ae917ea9_normal.png","View")</f>
        <v>View</v>
      </c>
      <c r="P267" s="15"/>
    </row>
    <row r="268">
      <c r="A268" s="7">
        <v>42421.61505787037</v>
      </c>
      <c r="B268" s="8" t="str">
        <f>HYPERLINK("https://twitter.com/quominus","@quominus")</f>
        <v>@quominus</v>
      </c>
      <c r="C268" s="10" t="s">
        <v>6784</v>
      </c>
      <c r="D268" s="10" t="s">
        <v>6815</v>
      </c>
      <c r="E268" s="11" t="str">
        <f>HYPERLINK("https://twitter.com/quominus/status/701538307226935296","701538307226935296")</f>
        <v>701538307226935296</v>
      </c>
      <c r="F268" s="12" t="s">
        <v>20</v>
      </c>
      <c r="G268" s="13">
        <v>1507.0</v>
      </c>
      <c r="H268" s="13">
        <v>698.0</v>
      </c>
      <c r="I268" s="13">
        <v>0.0</v>
      </c>
      <c r="J268" s="13">
        <v>2.0</v>
      </c>
      <c r="K268" s="12" t="s">
        <v>21</v>
      </c>
      <c r="L268" s="7">
        <v>40513.016180555554</v>
      </c>
      <c r="M268" s="14" t="s">
        <v>6786</v>
      </c>
      <c r="N268" s="14" t="s">
        <v>6787</v>
      </c>
      <c r="O268" s="11" t="str">
        <f>HYPERLINK("https://pbs.twimg.com/profile_images/689997706752847874/lCoiGcL3_normal.jpg","View")</f>
        <v>View</v>
      </c>
      <c r="P268" s="15"/>
    </row>
    <row r="269">
      <c r="A269" s="7">
        <v>42421.61546296296</v>
      </c>
      <c r="B269" s="8" t="str">
        <f>HYPERLINK("https://twitter.com/Irpod5","@Irpod5")</f>
        <v>@Irpod5</v>
      </c>
      <c r="C269" s="10" t="s">
        <v>6816</v>
      </c>
      <c r="D269" s="10" t="s">
        <v>6811</v>
      </c>
      <c r="E269" s="11" t="str">
        <f>HYPERLINK("https://twitter.com/Irpod5/status/701538456577642498","701538456577642498")</f>
        <v>701538456577642498</v>
      </c>
      <c r="F269" s="12" t="s">
        <v>152</v>
      </c>
      <c r="G269" s="13">
        <v>1348.0</v>
      </c>
      <c r="H269" s="13">
        <v>2072.0</v>
      </c>
      <c r="I269" s="13">
        <v>3.0</v>
      </c>
      <c r="J269" s="13">
        <v>0.0</v>
      </c>
      <c r="K269" s="12" t="s">
        <v>21</v>
      </c>
      <c r="L269" s="7">
        <v>40308.99592592593</v>
      </c>
      <c r="M269" s="14" t="s">
        <v>6817</v>
      </c>
      <c r="N269" s="16"/>
      <c r="O269" s="11" t="str">
        <f>HYPERLINK("https://pbs.twimg.com/profile_images/1114503787/gb02c_normal.jpg","View")</f>
        <v>View</v>
      </c>
      <c r="P269" s="15"/>
    </row>
    <row r="270">
      <c r="A270" s="7">
        <v>42421.620891203704</v>
      </c>
      <c r="B270" s="8" t="str">
        <f>HYPERLINK("https://twitter.com/bigboardsio","@bigboardsio")</f>
        <v>@bigboardsio</v>
      </c>
      <c r="C270" s="10" t="s">
        <v>5651</v>
      </c>
      <c r="D270" s="10" t="s">
        <v>6811</v>
      </c>
      <c r="E270" s="11" t="str">
        <f>HYPERLINK("https://twitter.com/bigboardsio/status/701540423265869827","701540423265869827")</f>
        <v>701540423265869827</v>
      </c>
      <c r="F270" s="12" t="s">
        <v>38</v>
      </c>
      <c r="G270" s="13">
        <v>3089.0</v>
      </c>
      <c r="H270" s="13">
        <v>2635.0</v>
      </c>
      <c r="I270" s="13">
        <v>3.0</v>
      </c>
      <c r="J270" s="13">
        <v>0.0</v>
      </c>
      <c r="K270" s="12" t="s">
        <v>21</v>
      </c>
      <c r="L270" s="7">
        <v>41449.67438657407</v>
      </c>
      <c r="M270" s="14" t="s">
        <v>5652</v>
      </c>
      <c r="N270" s="14" t="s">
        <v>5653</v>
      </c>
      <c r="O270" s="11" t="str">
        <f>HYPERLINK("https://pbs.twimg.com/profile_images/489375332743409664/P4sYDY1__normal.png","View")</f>
        <v>View</v>
      </c>
      <c r="P270" s="15"/>
    </row>
    <row r="271">
      <c r="A271" s="7">
        <v>42421.62349537037</v>
      </c>
      <c r="B271" s="8" t="str">
        <f>HYPERLINK("https://twitter.com/sjgknight","@sjgknight")</f>
        <v>@sjgknight</v>
      </c>
      <c r="C271" s="10" t="s">
        <v>6818</v>
      </c>
      <c r="D271" s="10" t="s">
        <v>6819</v>
      </c>
      <c r="E271" s="11" t="str">
        <f>HYPERLINK("https://twitter.com/sjgknight/status/701541366052974593","701541366052974593")</f>
        <v>701541366052974593</v>
      </c>
      <c r="F271" s="12" t="s">
        <v>446</v>
      </c>
      <c r="G271" s="13">
        <v>995.0</v>
      </c>
      <c r="H271" s="13">
        <v>417.0</v>
      </c>
      <c r="I271" s="13">
        <v>0.0</v>
      </c>
      <c r="J271" s="13">
        <v>0.0</v>
      </c>
      <c r="K271" s="12" t="s">
        <v>21</v>
      </c>
      <c r="L271" s="7">
        <v>40256.00451388889</v>
      </c>
      <c r="M271" s="14" t="s">
        <v>2913</v>
      </c>
      <c r="N271" s="14" t="s">
        <v>6820</v>
      </c>
      <c r="O271" s="11" t="str">
        <f>HYPERLINK("https://pbs.twimg.com/profile_images/3544413654/17524180a3b5476b3614c7e3cfaa79ca_normal.jpeg","View")</f>
        <v>View</v>
      </c>
      <c r="P271" s="15"/>
    </row>
    <row r="272">
      <c r="A272" s="7">
        <v>42421.62435185185</v>
      </c>
      <c r="B272" s="8" t="str">
        <f>HYPERLINK("https://twitter.com/sourcingwhizz","@sourcingwhizz")</f>
        <v>@sourcingwhizz</v>
      </c>
      <c r="C272" s="10" t="s">
        <v>6821</v>
      </c>
      <c r="D272" s="10" t="s">
        <v>6822</v>
      </c>
      <c r="E272" s="11" t="str">
        <f>HYPERLINK("https://twitter.com/sourcingwhizz/status/701541678394507265","701541678394507265")</f>
        <v>701541678394507265</v>
      </c>
      <c r="F272" s="12" t="s">
        <v>20</v>
      </c>
      <c r="G272" s="13">
        <v>1677.0</v>
      </c>
      <c r="H272" s="13">
        <v>369.0</v>
      </c>
      <c r="I272" s="13">
        <v>0.0</v>
      </c>
      <c r="J272" s="13">
        <v>0.0</v>
      </c>
      <c r="K272" s="12" t="s">
        <v>21</v>
      </c>
      <c r="L272" s="7">
        <v>41143.235613425924</v>
      </c>
      <c r="M272" s="14" t="s">
        <v>1031</v>
      </c>
      <c r="N272" s="14" t="s">
        <v>6823</v>
      </c>
      <c r="O272" s="11" t="str">
        <f>HYPERLINK("https://pbs.twimg.com/profile_images/693082490307739649/1iKiqumB_normal.jpg","View")</f>
        <v>View</v>
      </c>
      <c r="P272" s="15"/>
    </row>
    <row r="273">
      <c r="A273" s="7">
        <v>42421.63259259259</v>
      </c>
      <c r="B273" s="8" t="str">
        <f>HYPERLINK("https://twitter.com/_owl_data","@_owl_data")</f>
        <v>@_owl_data</v>
      </c>
      <c r="C273" s="10" t="s">
        <v>6824</v>
      </c>
      <c r="D273" s="10" t="s">
        <v>6319</v>
      </c>
      <c r="E273" s="11" t="str">
        <f>HYPERLINK("https://twitter.com/_owl_data/status/701544662851567616","701544662851567616")</f>
        <v>701544662851567616</v>
      </c>
      <c r="F273" s="12" t="s">
        <v>152</v>
      </c>
      <c r="G273" s="13">
        <v>43.0</v>
      </c>
      <c r="H273" s="13">
        <v>84.0</v>
      </c>
      <c r="I273" s="13">
        <v>106.0</v>
      </c>
      <c r="J273" s="13">
        <v>0.0</v>
      </c>
      <c r="K273" s="12" t="s">
        <v>21</v>
      </c>
      <c r="L273" s="7">
        <v>42414.72237268518</v>
      </c>
      <c r="M273" s="14" t="s">
        <v>6825</v>
      </c>
      <c r="N273" s="14" t="s">
        <v>6826</v>
      </c>
      <c r="O273" s="11" t="str">
        <f>HYPERLINK("https://pbs.twimg.com/profile_images/699043218931982336/lpQIsrVN_normal.jpg","View")</f>
        <v>View</v>
      </c>
      <c r="P273" s="15"/>
    </row>
    <row r="274">
      <c r="A274" s="7">
        <v>42421.638090277775</v>
      </c>
      <c r="B274" s="8" t="str">
        <f>HYPERLINK("https://twitter.com/tripartio","@tripartio")</f>
        <v>@tripartio</v>
      </c>
      <c r="C274" s="10" t="s">
        <v>6827</v>
      </c>
      <c r="D274" s="10" t="s">
        <v>6828</v>
      </c>
      <c r="E274" s="11" t="str">
        <f>HYPERLINK("https://twitter.com/tripartio/status/701546654982254592","701546654982254592")</f>
        <v>701546654982254592</v>
      </c>
      <c r="F274" s="12" t="s">
        <v>20</v>
      </c>
      <c r="G274" s="13">
        <v>33.0</v>
      </c>
      <c r="H274" s="13">
        <v>64.0</v>
      </c>
      <c r="I274" s="13">
        <v>0.0</v>
      </c>
      <c r="J274" s="13">
        <v>1.0</v>
      </c>
      <c r="K274" s="12" t="s">
        <v>21</v>
      </c>
      <c r="L274" s="7">
        <v>41946.83112268519</v>
      </c>
      <c r="M274" s="14" t="s">
        <v>1806</v>
      </c>
      <c r="N274" s="14" t="s">
        <v>6829</v>
      </c>
      <c r="O274" s="11" t="str">
        <f>HYPERLINK("https://pbs.twimg.com/profile_images/529482878543867904/H-UGY1d0_normal.png","View")</f>
        <v>View</v>
      </c>
      <c r="P274" s="15"/>
    </row>
    <row r="275">
      <c r="A275" s="7">
        <v>42421.64592592593</v>
      </c>
      <c r="B275" s="8" t="str">
        <f>HYPERLINK("https://twitter.com/Rbloggers","@Rbloggers")</f>
        <v>@Rbloggers</v>
      </c>
      <c r="C275" s="10" t="s">
        <v>6221</v>
      </c>
      <c r="D275" s="10" t="s">
        <v>6830</v>
      </c>
      <c r="E275" s="11" t="str">
        <f>HYPERLINK("https://twitter.com/Rbloggers/status/701549497214566401","701549497214566401")</f>
        <v>701549497214566401</v>
      </c>
      <c r="F275" s="17" t="s">
        <v>6223</v>
      </c>
      <c r="G275" s="13">
        <v>28572.0</v>
      </c>
      <c r="H275" s="13">
        <v>36.0</v>
      </c>
      <c r="I275" s="13">
        <v>1.0</v>
      </c>
      <c r="J275" s="13">
        <v>3.0</v>
      </c>
      <c r="K275" s="12" t="s">
        <v>21</v>
      </c>
      <c r="L275" s="7">
        <v>40314.510601851856</v>
      </c>
      <c r="M275" s="16"/>
      <c r="N275" s="14" t="s">
        <v>6224</v>
      </c>
      <c r="O275" s="11" t="str">
        <f>HYPERLINK("https://pbs.twimg.com/profile_images/502185985786916864/gkdFh-q7_normal.png","View")</f>
        <v>View</v>
      </c>
      <c r="P275" s="15"/>
    </row>
    <row r="276">
      <c r="A276" s="7">
        <v>42421.646261574075</v>
      </c>
      <c r="B276" s="8" t="str">
        <f>HYPERLINK("https://twitter.com/TierneyNicholas","@TierneyNicholas")</f>
        <v>@TierneyNicholas</v>
      </c>
      <c r="C276" s="10" t="s">
        <v>6831</v>
      </c>
      <c r="D276" s="10" t="s">
        <v>6832</v>
      </c>
      <c r="E276" s="11" t="str">
        <f>HYPERLINK("https://twitter.com/TierneyNicholas/status/701549618941661184","701549618941661184")</f>
        <v>701549618941661184</v>
      </c>
      <c r="F276" s="12" t="s">
        <v>20</v>
      </c>
      <c r="G276" s="13">
        <v>47.0</v>
      </c>
      <c r="H276" s="13">
        <v>75.0</v>
      </c>
      <c r="I276" s="13">
        <v>0.0</v>
      </c>
      <c r="J276" s="13">
        <v>0.0</v>
      </c>
      <c r="K276" s="12" t="s">
        <v>21</v>
      </c>
      <c r="L276" s="7">
        <v>41525.12138888889</v>
      </c>
      <c r="M276" s="14" t="s">
        <v>6833</v>
      </c>
      <c r="N276" s="14" t="s">
        <v>6834</v>
      </c>
      <c r="O276" s="11" t="str">
        <f>HYPERLINK("https://pbs.twimg.com/profile_images/699501890866794497/SOjcv46W_normal.png","View")</f>
        <v>View</v>
      </c>
      <c r="P276" s="15"/>
    </row>
    <row r="277">
      <c r="A277" s="7">
        <v>42421.64633101852</v>
      </c>
      <c r="B277" s="8" t="str">
        <f>HYPERLINK("https://twitter.com/MAGISTR_OM","@MAGISTR_OM")</f>
        <v>@MAGISTR_OM</v>
      </c>
      <c r="C277" s="10" t="s">
        <v>6835</v>
      </c>
      <c r="D277" s="10" t="s">
        <v>6836</v>
      </c>
      <c r="E277" s="11" t="str">
        <f>HYPERLINK("https://twitter.com/MAGISTR_OM/status/701549643092598785","701549643092598785")</f>
        <v>701549643092598785</v>
      </c>
      <c r="F277" s="12" t="s">
        <v>20</v>
      </c>
      <c r="G277" s="13">
        <v>685.0</v>
      </c>
      <c r="H277" s="13">
        <v>2334.0</v>
      </c>
      <c r="I277" s="13">
        <v>1.0</v>
      </c>
      <c r="J277" s="13">
        <v>0.0</v>
      </c>
      <c r="K277" s="12" t="s">
        <v>21</v>
      </c>
      <c r="L277" s="7">
        <v>40411.312743055554</v>
      </c>
      <c r="M277" s="16"/>
      <c r="N277" s="16"/>
      <c r="O277" s="11" t="str">
        <f>HYPERLINK("https://pbs.twimg.com/profile_images/1143255121/ds_1__normal.jpg","View")</f>
        <v>View</v>
      </c>
      <c r="P277" s="15"/>
    </row>
    <row r="278">
      <c r="A278" s="7">
        <v>42421.65112268519</v>
      </c>
      <c r="B278" s="8" t="str">
        <f>HYPERLINK("https://twitter.com/DataWookie","@DataWookie")</f>
        <v>@DataWookie</v>
      </c>
      <c r="C278" s="10" t="s">
        <v>6231</v>
      </c>
      <c r="D278" s="10" t="s">
        <v>6837</v>
      </c>
      <c r="E278" s="11" t="str">
        <f>HYPERLINK("https://twitter.com/DataWookie/status/701551377244246016","701551377244246016")</f>
        <v>701551377244246016</v>
      </c>
      <c r="F278" s="12" t="s">
        <v>6233</v>
      </c>
      <c r="G278" s="13">
        <v>426.0</v>
      </c>
      <c r="H278" s="13">
        <v>296.0</v>
      </c>
      <c r="I278" s="13">
        <v>0.0</v>
      </c>
      <c r="J278" s="13">
        <v>0.0</v>
      </c>
      <c r="K278" s="12" t="s">
        <v>21</v>
      </c>
      <c r="L278" s="7">
        <v>42166.966678240744</v>
      </c>
      <c r="M278" s="14" t="s">
        <v>6234</v>
      </c>
      <c r="N278" s="14" t="s">
        <v>6235</v>
      </c>
      <c r="O278" s="11" t="str">
        <f>HYPERLINK("https://pbs.twimg.com/profile_images/612471608725213184/eXKo2Kmo_normal.jpg","View")</f>
        <v>View</v>
      </c>
      <c r="P278" s="15"/>
    </row>
    <row r="279">
      <c r="A279" s="7">
        <v>42421.66150462963</v>
      </c>
      <c r="B279" s="8" t="str">
        <f>HYPERLINK("https://twitter.com/molcellprot","@molcellprot")</f>
        <v>@molcellprot</v>
      </c>
      <c r="C279" s="10" t="s">
        <v>6838</v>
      </c>
      <c r="D279" s="10" t="s">
        <v>6839</v>
      </c>
      <c r="E279" s="11" t="str">
        <f>HYPERLINK("https://twitter.com/molcellprot/status/701555141485453316","701555141485453316")</f>
        <v>701555141485453316</v>
      </c>
      <c r="F279" s="12" t="s">
        <v>20</v>
      </c>
      <c r="G279" s="13">
        <v>286.0</v>
      </c>
      <c r="H279" s="13">
        <v>0.0</v>
      </c>
      <c r="I279" s="13">
        <v>3.0</v>
      </c>
      <c r="J279" s="13">
        <v>0.0</v>
      </c>
      <c r="K279" s="12" t="s">
        <v>21</v>
      </c>
      <c r="L279" s="7">
        <v>41299.42835648148</v>
      </c>
      <c r="M279" s="14" t="s">
        <v>6840</v>
      </c>
      <c r="N279" s="14" t="s">
        <v>6841</v>
      </c>
      <c r="O279" s="11" t="str">
        <f>HYPERLINK("https://pbs.twimg.com/profile_images/3162525909/12583e1550e4f47d6c221a4b5d5fe4b0_normal.png","View")</f>
        <v>View</v>
      </c>
      <c r="P279" s="15"/>
    </row>
    <row r="280">
      <c r="A280" s="7">
        <v>42421.665868055556</v>
      </c>
      <c r="B280" s="8" t="str">
        <f>HYPERLINK("https://twitter.com/renato_umeton","@renato_umeton")</f>
        <v>@renato_umeton</v>
      </c>
      <c r="C280" s="10" t="s">
        <v>1659</v>
      </c>
      <c r="D280" s="10" t="s">
        <v>6737</v>
      </c>
      <c r="E280" s="11" t="str">
        <f>HYPERLINK("https://twitter.com/renato_umeton/status/701556722859700224","701556722859700224")</f>
        <v>701556722859700224</v>
      </c>
      <c r="F280" s="12" t="s">
        <v>20</v>
      </c>
      <c r="G280" s="13">
        <v>70.0</v>
      </c>
      <c r="H280" s="13">
        <v>79.0</v>
      </c>
      <c r="I280" s="13">
        <v>9.0</v>
      </c>
      <c r="J280" s="13">
        <v>0.0</v>
      </c>
      <c r="K280" s="12" t="s">
        <v>21</v>
      </c>
      <c r="L280" s="7">
        <v>39918.052083333336</v>
      </c>
      <c r="M280" s="14" t="s">
        <v>1660</v>
      </c>
      <c r="N280" s="14" t="s">
        <v>1661</v>
      </c>
      <c r="O280" s="11" t="str">
        <f>HYPERLINK("https://pbs.twimg.com/profile_images/701553083537604608/nr8b38eG_normal.jpg","View")</f>
        <v>View</v>
      </c>
      <c r="P280" s="15"/>
    </row>
    <row r="281">
      <c r="A281" s="7">
        <v>42421.67052083333</v>
      </c>
      <c r="B281" s="8" t="str">
        <f>HYPERLINK("https://twitter.com/h_okumura","@h_okumura")</f>
        <v>@h_okumura</v>
      </c>
      <c r="C281" s="10" t="s">
        <v>6842</v>
      </c>
      <c r="D281" s="10" t="s">
        <v>6663</v>
      </c>
      <c r="E281" s="11" t="str">
        <f>HYPERLINK("https://twitter.com/h_okumura/status/701558406365081600","701558406365081600")</f>
        <v>701558406365081600</v>
      </c>
      <c r="F281" s="12" t="s">
        <v>6843</v>
      </c>
      <c r="G281" s="13">
        <v>17413.0</v>
      </c>
      <c r="H281" s="13">
        <v>412.0</v>
      </c>
      <c r="I281" s="13">
        <v>20.0</v>
      </c>
      <c r="J281" s="13">
        <v>0.0</v>
      </c>
      <c r="K281" s="12" t="s">
        <v>21</v>
      </c>
      <c r="L281" s="7">
        <v>39907.689791666664</v>
      </c>
      <c r="M281" s="14" t="s">
        <v>6844</v>
      </c>
      <c r="N281" s="14" t="s">
        <v>6845</v>
      </c>
      <c r="O281" s="11" t="str">
        <f>HYPERLINK("https://pbs.twimg.com/profile_images/3621816458/b159d4051d6a227bcaf7f265e1d92da4_normal.jpeg","View")</f>
        <v>View</v>
      </c>
      <c r="P281" s="15"/>
    </row>
    <row r="282">
      <c r="A282" s="7">
        <v>42421.671944444446</v>
      </c>
      <c r="B282" s="8" t="str">
        <f>HYPERLINK("https://twitter.com/csukamajolaj","@csukamajolaj")</f>
        <v>@csukamajolaj</v>
      </c>
      <c r="C282" s="10" t="s">
        <v>6846</v>
      </c>
      <c r="D282" s="10" t="s">
        <v>6663</v>
      </c>
      <c r="E282" s="11" t="str">
        <f>HYPERLINK("https://twitter.com/csukamajolaj/status/701558922944057345","701558922944057345")</f>
        <v>701558922944057345</v>
      </c>
      <c r="F282" s="12" t="s">
        <v>20</v>
      </c>
      <c r="G282" s="13">
        <v>51.0</v>
      </c>
      <c r="H282" s="13">
        <v>117.0</v>
      </c>
      <c r="I282" s="13">
        <v>20.0</v>
      </c>
      <c r="J282" s="13">
        <v>0.0</v>
      </c>
      <c r="K282" s="12" t="s">
        <v>21</v>
      </c>
      <c r="L282" s="7">
        <v>40945.84614583333</v>
      </c>
      <c r="M282" s="14" t="s">
        <v>784</v>
      </c>
      <c r="N282" s="16"/>
      <c r="O282" s="11" t="str">
        <f>HYPERLINK("https://pbs.twimg.com/profile_images/584886623713816577/ipk4TBQs_normal.jpg","View")</f>
        <v>View</v>
      </c>
      <c r="P282" s="15"/>
    </row>
    <row r="283">
      <c r="A283" s="7">
        <v>42421.67517361111</v>
      </c>
      <c r="B283" s="8" t="str">
        <f>HYPERLINK("https://twitter.com/snickolas","@snickolas")</f>
        <v>@snickolas</v>
      </c>
      <c r="C283" s="10" t="s">
        <v>6847</v>
      </c>
      <c r="D283" s="10" t="s">
        <v>6848</v>
      </c>
      <c r="E283" s="11" t="str">
        <f>HYPERLINK("https://twitter.com/snickolas/status/701560095889555459","701560095889555459")</f>
        <v>701560095889555459</v>
      </c>
      <c r="F283" s="12" t="s">
        <v>52</v>
      </c>
      <c r="G283" s="13">
        <v>163.0</v>
      </c>
      <c r="H283" s="13">
        <v>229.0</v>
      </c>
      <c r="I283" s="13">
        <v>0.0</v>
      </c>
      <c r="J283" s="13">
        <v>1.0</v>
      </c>
      <c r="K283" s="12" t="s">
        <v>21</v>
      </c>
      <c r="L283" s="7">
        <v>39786.811840277776</v>
      </c>
      <c r="M283" s="14" t="s">
        <v>6849</v>
      </c>
      <c r="N283" s="14" t="s">
        <v>6850</v>
      </c>
      <c r="O283" s="11" t="str">
        <f>HYPERLINK("https://pbs.twimg.com/profile_images/659901510000779266/XUTk0yim_normal.jpg","View")</f>
        <v>View</v>
      </c>
      <c r="P283" s="15"/>
    </row>
    <row r="284">
      <c r="A284" s="7">
        <v>42421.6759375</v>
      </c>
      <c r="B284" s="8" t="str">
        <f>HYPERLINK("https://twitter.com/ecsalomon","@ecsalomon")</f>
        <v>@ecsalomon</v>
      </c>
      <c r="C284" s="10" t="s">
        <v>6851</v>
      </c>
      <c r="D284" s="10" t="s">
        <v>6852</v>
      </c>
      <c r="E284" s="11" t="str">
        <f>HYPERLINK("https://twitter.com/ecsalomon/status/701560371086303232","701560371086303232")</f>
        <v>701560371086303232</v>
      </c>
      <c r="F284" s="12" t="s">
        <v>20</v>
      </c>
      <c r="G284" s="13">
        <v>760.0</v>
      </c>
      <c r="H284" s="13">
        <v>538.0</v>
      </c>
      <c r="I284" s="13">
        <v>0.0</v>
      </c>
      <c r="J284" s="13">
        <v>1.0</v>
      </c>
      <c r="K284" s="12" t="s">
        <v>21</v>
      </c>
      <c r="L284" s="7">
        <v>39570.71587962963</v>
      </c>
      <c r="M284" s="14" t="s">
        <v>6853</v>
      </c>
      <c r="N284" s="14" t="s">
        <v>6854</v>
      </c>
      <c r="O284" s="11" t="str">
        <f>HYPERLINK("https://pbs.twimg.com/profile_images/629651605768564736/M4hQOKUw_normal.jpg","View")</f>
        <v>View</v>
      </c>
      <c r="P284" s="15"/>
    </row>
    <row r="285">
      <c r="A285" s="7">
        <v>42421.67958333333</v>
      </c>
      <c r="B285" s="8" t="str">
        <f>HYPERLINK("https://twitter.com/caerib","@caerib")</f>
        <v>@caerib</v>
      </c>
      <c r="C285" s="10" t="s">
        <v>6855</v>
      </c>
      <c r="D285" s="10" t="s">
        <v>6856</v>
      </c>
      <c r="E285" s="11" t="str">
        <f>HYPERLINK("https://twitter.com/caerib/status/701561691432165376","701561691432165376")</f>
        <v>701561691432165376</v>
      </c>
      <c r="F285" s="12" t="s">
        <v>52</v>
      </c>
      <c r="G285" s="13">
        <v>186.0</v>
      </c>
      <c r="H285" s="13">
        <v>580.0</v>
      </c>
      <c r="I285" s="13">
        <v>0.0</v>
      </c>
      <c r="J285" s="13">
        <v>0.0</v>
      </c>
      <c r="K285" s="12" t="s">
        <v>21</v>
      </c>
      <c r="L285" s="7">
        <v>39895.72636574074</v>
      </c>
      <c r="M285" s="14" t="s">
        <v>1386</v>
      </c>
      <c r="N285" s="14" t="s">
        <v>6857</v>
      </c>
      <c r="O285" s="11" t="str">
        <f>HYPERLINK("https://pbs.twimg.com/profile_images/793756409/DSC05967_-_C_pia_normal.JPG","View")</f>
        <v>View</v>
      </c>
      <c r="P285" s="15"/>
    </row>
    <row r="286">
      <c r="A286" s="7">
        <v>42421.71787037037</v>
      </c>
      <c r="B286" s="8" t="str">
        <f>HYPERLINK("https://twitter.com/renato_umeton","@renato_umeton")</f>
        <v>@renato_umeton</v>
      </c>
      <c r="C286" s="10" t="s">
        <v>1659</v>
      </c>
      <c r="D286" s="10" t="s">
        <v>6388</v>
      </c>
      <c r="E286" s="11" t="str">
        <f>HYPERLINK("https://twitter.com/renato_umeton/status/701575565942329345","701575565942329345")</f>
        <v>701575565942329345</v>
      </c>
      <c r="F286" s="12" t="s">
        <v>20</v>
      </c>
      <c r="G286" s="13">
        <v>70.0</v>
      </c>
      <c r="H286" s="13">
        <v>79.0</v>
      </c>
      <c r="I286" s="13">
        <v>19.0</v>
      </c>
      <c r="J286" s="13">
        <v>0.0</v>
      </c>
      <c r="K286" s="12" t="s">
        <v>21</v>
      </c>
      <c r="L286" s="7">
        <v>39918.052083333336</v>
      </c>
      <c r="M286" s="14" t="s">
        <v>1660</v>
      </c>
      <c r="N286" s="14" t="s">
        <v>1661</v>
      </c>
      <c r="O286" s="11" t="str">
        <f>HYPERLINK("https://pbs.twimg.com/profile_images/701553083537604608/nr8b38eG_normal.jpg","View")</f>
        <v>View</v>
      </c>
      <c r="P286" s="15"/>
    </row>
    <row r="287">
      <c r="A287" s="7">
        <v>42421.725763888884</v>
      </c>
      <c r="B287" s="8" t="str">
        <f>HYPERLINK("https://twitter.com/ShinyappsRecent","@ShinyappsRecent")</f>
        <v>@ShinyappsRecent</v>
      </c>
      <c r="C287" s="10" t="s">
        <v>6422</v>
      </c>
      <c r="D287" s="10" t="s">
        <v>6858</v>
      </c>
      <c r="E287" s="11" t="str">
        <f>HYPERLINK("https://twitter.com/ShinyappsRecent/status/701578428848340993","701578428848340993")</f>
        <v>701578428848340993</v>
      </c>
      <c r="F287" s="12" t="s">
        <v>6424</v>
      </c>
      <c r="G287" s="13">
        <v>212.0</v>
      </c>
      <c r="H287" s="13">
        <v>6.0</v>
      </c>
      <c r="I287" s="13">
        <v>0.0</v>
      </c>
      <c r="J287" s="13">
        <v>0.0</v>
      </c>
      <c r="K287" s="12" t="s">
        <v>21</v>
      </c>
      <c r="L287" s="7">
        <v>42004.08681712963</v>
      </c>
      <c r="M287" s="14" t="s">
        <v>6425</v>
      </c>
      <c r="N287" s="14" t="s">
        <v>6426</v>
      </c>
      <c r="O287" s="11" t="str">
        <f>HYPERLINK("https://pbs.twimg.com/profile_images/550280885480603648/jye_0y8s_normal.png","View")</f>
        <v>View</v>
      </c>
      <c r="P287" s="15"/>
    </row>
    <row r="288">
      <c r="A288" s="7">
        <v>42421.729363425926</v>
      </c>
      <c r="B288" s="8" t="str">
        <f>HYPERLINK("https://twitter.com/adamcduncan","@adamcduncan")</f>
        <v>@adamcduncan</v>
      </c>
      <c r="C288" s="10" t="s">
        <v>6859</v>
      </c>
      <c r="D288" s="10" t="s">
        <v>6687</v>
      </c>
      <c r="E288" s="11" t="str">
        <f>HYPERLINK("https://twitter.com/adamcduncan/status/701579731708354560","701579731708354560")</f>
        <v>701579731708354560</v>
      </c>
      <c r="F288" s="12" t="s">
        <v>52</v>
      </c>
      <c r="G288" s="13">
        <v>28.0</v>
      </c>
      <c r="H288" s="13">
        <v>109.0</v>
      </c>
      <c r="I288" s="13">
        <v>8.0</v>
      </c>
      <c r="J288" s="13">
        <v>0.0</v>
      </c>
      <c r="K288" s="12" t="s">
        <v>21</v>
      </c>
      <c r="L288" s="7">
        <v>41851.16652777778</v>
      </c>
      <c r="M288" s="14" t="s">
        <v>6860</v>
      </c>
      <c r="N288" s="14" t="s">
        <v>6861</v>
      </c>
      <c r="O288" s="11" t="str">
        <f>HYPERLINK("https://pbs.twimg.com/profile_images/494810361594261504/QtnGRVL4_normal.jpeg","View")</f>
        <v>View</v>
      </c>
      <c r="P288" s="15"/>
    </row>
    <row r="289">
      <c r="A289" s="7">
        <v>42421.73372685185</v>
      </c>
      <c r="B289" s="8" t="str">
        <f>HYPERLINK("https://twitter.com/ismael_vc","@ismael_vc")</f>
        <v>@ismael_vc</v>
      </c>
      <c r="C289" s="10" t="s">
        <v>1788</v>
      </c>
      <c r="D289" s="10" t="s">
        <v>6862</v>
      </c>
      <c r="E289" s="11" t="str">
        <f>HYPERLINK("https://twitter.com/ismael_vc/status/701581314114265089","701581314114265089")</f>
        <v>701581314114265089</v>
      </c>
      <c r="F289" s="12" t="s">
        <v>446</v>
      </c>
      <c r="G289" s="13">
        <v>519.0</v>
      </c>
      <c r="H289" s="13">
        <v>4278.0</v>
      </c>
      <c r="I289" s="13">
        <v>5.0</v>
      </c>
      <c r="J289" s="13">
        <v>0.0</v>
      </c>
      <c r="K289" s="12" t="s">
        <v>21</v>
      </c>
      <c r="L289" s="7">
        <v>41181.33966435185</v>
      </c>
      <c r="M289" s="14" t="s">
        <v>1789</v>
      </c>
      <c r="N289" s="14" t="s">
        <v>1790</v>
      </c>
      <c r="O289" s="11" t="str">
        <f>HYPERLINK("https://pbs.twimg.com/profile_images/643074023430057984/Oh7q-TYL_normal.jpg","View")</f>
        <v>View</v>
      </c>
      <c r="P289" s="15"/>
    </row>
    <row r="290">
      <c r="A290" s="7">
        <v>42421.73372685185</v>
      </c>
      <c r="B290" s="8" t="str">
        <f>HYPERLINK("https://twitter.com/JuliaLangsEs","@JuliaLangsEs")</f>
        <v>@JuliaLangsEs</v>
      </c>
      <c r="C290" s="10" t="s">
        <v>1781</v>
      </c>
      <c r="D290" s="10" t="s">
        <v>6862</v>
      </c>
      <c r="E290" s="11" t="str">
        <f>HYPERLINK("https://twitter.com/JuliaLangsEs/status/701581314172940290","701581314172940290")</f>
        <v>701581314172940290</v>
      </c>
      <c r="F290" s="12" t="s">
        <v>446</v>
      </c>
      <c r="G290" s="13">
        <v>204.0</v>
      </c>
      <c r="H290" s="13">
        <v>582.0</v>
      </c>
      <c r="I290" s="13">
        <v>5.0</v>
      </c>
      <c r="J290" s="13">
        <v>0.0</v>
      </c>
      <c r="K290" s="12" t="s">
        <v>21</v>
      </c>
      <c r="L290" s="7">
        <v>42178.59483796296</v>
      </c>
      <c r="M290" s="14" t="s">
        <v>1783</v>
      </c>
      <c r="N290" s="14" t="s">
        <v>1784</v>
      </c>
      <c r="O290" s="11" t="str">
        <f>HYPERLINK("https://pbs.twimg.com/profile_images/613456073979092992/1Bd3LSz1_normal.png","View")</f>
        <v>View</v>
      </c>
      <c r="P290" s="15"/>
    </row>
    <row r="291">
      <c r="A291" s="7">
        <v>42421.73372685185</v>
      </c>
      <c r="B291" s="8" t="str">
        <f>HYPERLINK("https://twitter.com/JuliaLanguage","@JuliaLanguage")</f>
        <v>@JuliaLanguage</v>
      </c>
      <c r="C291" s="10" t="s">
        <v>1785</v>
      </c>
      <c r="D291" s="10" t="s">
        <v>6862</v>
      </c>
      <c r="E291" s="11" t="str">
        <f>HYPERLINK("https://twitter.com/JuliaLanguage/status/701581314219073536","701581314219073536")</f>
        <v>701581314219073536</v>
      </c>
      <c r="F291" s="12" t="s">
        <v>446</v>
      </c>
      <c r="G291" s="13">
        <v>3051.0</v>
      </c>
      <c r="H291" s="13">
        <v>336.0</v>
      </c>
      <c r="I291" s="13">
        <v>5.0</v>
      </c>
      <c r="J291" s="13">
        <v>0.0</v>
      </c>
      <c r="K291" s="12" t="s">
        <v>21</v>
      </c>
      <c r="L291" s="7">
        <v>41335.85346064815</v>
      </c>
      <c r="M291" s="14" t="s">
        <v>1786</v>
      </c>
      <c r="N291" s="14" t="s">
        <v>1787</v>
      </c>
      <c r="O291" s="11" t="str">
        <f>HYPERLINK("https://pbs.twimg.com/profile_images/3331406046/647b7cf75cb5662b96901bc521968e94_normal.png","View")</f>
        <v>View</v>
      </c>
      <c r="P291" s="15"/>
    </row>
    <row r="292">
      <c r="A292" s="7">
        <v>42421.737905092596</v>
      </c>
      <c r="B292" s="8" t="str">
        <f>HYPERLINK("https://twitter.com/sdwfrost","@sdwfrost")</f>
        <v>@sdwfrost</v>
      </c>
      <c r="C292" s="10" t="s">
        <v>6863</v>
      </c>
      <c r="D292" s="10" t="s">
        <v>6864</v>
      </c>
      <c r="E292" s="11" t="str">
        <f>HYPERLINK("https://twitter.com/sdwfrost/status/701582826211119106","701582826211119106")</f>
        <v>701582826211119106</v>
      </c>
      <c r="F292" s="12" t="s">
        <v>152</v>
      </c>
      <c r="G292" s="13">
        <v>342.0</v>
      </c>
      <c r="H292" s="13">
        <v>471.0</v>
      </c>
      <c r="I292" s="13">
        <v>7.0</v>
      </c>
      <c r="J292" s="13">
        <v>0.0</v>
      </c>
      <c r="K292" s="12" t="s">
        <v>21</v>
      </c>
      <c r="L292" s="7">
        <v>41157.04056712963</v>
      </c>
      <c r="M292" s="14" t="s">
        <v>6865</v>
      </c>
      <c r="N292" s="14" t="s">
        <v>6866</v>
      </c>
      <c r="O292" s="11" t="str">
        <f>HYPERLINK("https://pbs.twimg.com/profile_images/441946214297108480/8IYxGQ3d_normal.jpeg","View")</f>
        <v>View</v>
      </c>
      <c r="P292" s="15"/>
    </row>
    <row r="293">
      <c r="A293" s="7">
        <v>42421.73850694444</v>
      </c>
      <c r="B293" s="8" t="str">
        <f>HYPERLINK("https://twitter.com/aneomatrix","@aneomatrix")</f>
        <v>@aneomatrix</v>
      </c>
      <c r="C293" s="10" t="s">
        <v>6867</v>
      </c>
      <c r="D293" s="10" t="s">
        <v>6862</v>
      </c>
      <c r="E293" s="11" t="str">
        <f>HYPERLINK("https://twitter.com/aneomatrix/status/701583044184911872","701583044184911872")</f>
        <v>701583044184911872</v>
      </c>
      <c r="F293" s="12" t="s">
        <v>20</v>
      </c>
      <c r="G293" s="13">
        <v>52.0</v>
      </c>
      <c r="H293" s="13">
        <v>13.0</v>
      </c>
      <c r="I293" s="13">
        <v>5.0</v>
      </c>
      <c r="J293" s="13">
        <v>0.0</v>
      </c>
      <c r="K293" s="12" t="s">
        <v>21</v>
      </c>
      <c r="L293" s="7">
        <v>41689.8415625</v>
      </c>
      <c r="M293" s="16"/>
      <c r="N293" s="14" t="s">
        <v>6868</v>
      </c>
      <c r="O293" s="11" t="str">
        <f>HYPERLINK("https://pbs.twimg.com/profile_images/436371993756045312/GLPHgaoV_normal.png","View")</f>
        <v>View</v>
      </c>
      <c r="P293" s="15"/>
    </row>
    <row r="294">
      <c r="A294" s="7">
        <v>42421.7517824074</v>
      </c>
      <c r="B294" s="8" t="str">
        <f>HYPERLINK("https://twitter.com/BestCoursesEver","@BestCoursesEver")</f>
        <v>@BestCoursesEver</v>
      </c>
      <c r="C294" s="10" t="s">
        <v>6869</v>
      </c>
      <c r="D294" s="10" t="s">
        <v>6870</v>
      </c>
      <c r="E294" s="11" t="str">
        <f>HYPERLINK("https://twitter.com/BestCoursesEver/status/701587856385507331","701587856385507331")</f>
        <v>701587856385507331</v>
      </c>
      <c r="F294" s="12" t="s">
        <v>103</v>
      </c>
      <c r="G294" s="13">
        <v>245.0</v>
      </c>
      <c r="H294" s="13">
        <v>40.0</v>
      </c>
      <c r="I294" s="13">
        <v>0.0</v>
      </c>
      <c r="J294" s="13">
        <v>0.0</v>
      </c>
      <c r="K294" s="12" t="s">
        <v>21</v>
      </c>
      <c r="L294" s="7">
        <v>42328.607256944444</v>
      </c>
      <c r="M294" s="16"/>
      <c r="N294" s="16"/>
      <c r="O294" s="11" t="str">
        <f>HYPERLINK("https://pbs.twimg.com/profile_images/667834531123208192/UStoYX_o_normal.jpg","View")</f>
        <v>View</v>
      </c>
      <c r="P294" s="15"/>
    </row>
    <row r="295">
      <c r="A295" s="7">
        <v>42421.75957175926</v>
      </c>
      <c r="B295" s="8" t="str">
        <f>HYPERLINK("https://twitter.com/CRANberriesFeed","@CRANberriesFeed")</f>
        <v>@CRANberriesFeed</v>
      </c>
      <c r="C295" s="10" t="s">
        <v>6282</v>
      </c>
      <c r="D295" s="10" t="s">
        <v>6871</v>
      </c>
      <c r="E295" s="11" t="str">
        <f>HYPERLINK("https://twitter.com/CRANberriesFeed/status/701590679802220544","701590679802220544")</f>
        <v>701590679802220544</v>
      </c>
      <c r="F295" s="12" t="s">
        <v>6284</v>
      </c>
      <c r="G295" s="13">
        <v>657.0</v>
      </c>
      <c r="H295" s="13">
        <v>0.0</v>
      </c>
      <c r="I295" s="13">
        <v>0.0</v>
      </c>
      <c r="J295" s="13">
        <v>0.0</v>
      </c>
      <c r="K295" s="12" t="s">
        <v>21</v>
      </c>
      <c r="L295" s="7">
        <v>40546.353425925925</v>
      </c>
      <c r="M295" s="14" t="s">
        <v>1158</v>
      </c>
      <c r="N295" s="16"/>
      <c r="O295" s="11" t="str">
        <f>HYPERLINK("https://pbs.twimg.com/profile_images/1222779560/cran1_normal.jpg","View")</f>
        <v>View</v>
      </c>
      <c r="P295" s="15"/>
    </row>
    <row r="296">
      <c r="A296" s="7">
        <v>42421.76053240741</v>
      </c>
      <c r="B296" s="8" t="str">
        <f t="shared" ref="B296:B299" si="35">HYPERLINK("https://twitter.com/Rbloggers","@Rbloggers")</f>
        <v>@Rbloggers</v>
      </c>
      <c r="C296" s="10" t="s">
        <v>6221</v>
      </c>
      <c r="D296" s="10" t="s">
        <v>6872</v>
      </c>
      <c r="E296" s="11" t="str">
        <f>HYPERLINK("https://twitter.com/Rbloggers/status/701591027308589056","701591027308589056")</f>
        <v>701591027308589056</v>
      </c>
      <c r="F296" s="17" t="s">
        <v>6223</v>
      </c>
      <c r="G296" s="13">
        <v>28572.0</v>
      </c>
      <c r="H296" s="13">
        <v>36.0</v>
      </c>
      <c r="I296" s="13">
        <v>6.0</v>
      </c>
      <c r="J296" s="13">
        <v>7.0</v>
      </c>
      <c r="K296" s="12" t="s">
        <v>21</v>
      </c>
      <c r="L296" s="7">
        <v>40314.510601851856</v>
      </c>
      <c r="M296" s="16"/>
      <c r="N296" s="14" t="s">
        <v>6224</v>
      </c>
      <c r="O296" s="11" t="str">
        <f t="shared" ref="O296:O299" si="36">HYPERLINK("https://pbs.twimg.com/profile_images/502185985786916864/gkdFh-q7_normal.png","View")</f>
        <v>View</v>
      </c>
      <c r="P296" s="15"/>
    </row>
    <row r="297">
      <c r="A297" s="7">
        <v>42421.7605787037</v>
      </c>
      <c r="B297" s="8" t="str">
        <f t="shared" si="35"/>
        <v>@Rbloggers</v>
      </c>
      <c r="C297" s="10" t="s">
        <v>6221</v>
      </c>
      <c r="D297" s="10" t="s">
        <v>6873</v>
      </c>
      <c r="E297" s="11" t="str">
        <f>HYPERLINK("https://twitter.com/Rbloggers/status/701591042823290880","701591042823290880")</f>
        <v>701591042823290880</v>
      </c>
      <c r="F297" s="17" t="s">
        <v>6223</v>
      </c>
      <c r="G297" s="13">
        <v>28572.0</v>
      </c>
      <c r="H297" s="13">
        <v>36.0</v>
      </c>
      <c r="I297" s="13">
        <v>3.0</v>
      </c>
      <c r="J297" s="13">
        <v>5.0</v>
      </c>
      <c r="K297" s="12" t="s">
        <v>21</v>
      </c>
      <c r="L297" s="7">
        <v>40314.510601851856</v>
      </c>
      <c r="M297" s="16"/>
      <c r="N297" s="14" t="s">
        <v>6224</v>
      </c>
      <c r="O297" s="11" t="str">
        <f t="shared" si="36"/>
        <v>View</v>
      </c>
      <c r="P297" s="15"/>
    </row>
    <row r="298">
      <c r="A298" s="7">
        <v>42421.76069444444</v>
      </c>
      <c r="B298" s="8" t="str">
        <f t="shared" si="35"/>
        <v>@Rbloggers</v>
      </c>
      <c r="C298" s="10" t="s">
        <v>6221</v>
      </c>
      <c r="D298" s="10" t="s">
        <v>6874</v>
      </c>
      <c r="E298" s="11" t="str">
        <f>HYPERLINK("https://twitter.com/Rbloggers/status/701591085454209024","701591085454209024")</f>
        <v>701591085454209024</v>
      </c>
      <c r="F298" s="17" t="s">
        <v>6223</v>
      </c>
      <c r="G298" s="13">
        <v>28572.0</v>
      </c>
      <c r="H298" s="13">
        <v>36.0</v>
      </c>
      <c r="I298" s="13">
        <v>5.0</v>
      </c>
      <c r="J298" s="13">
        <v>6.0</v>
      </c>
      <c r="K298" s="12" t="s">
        <v>21</v>
      </c>
      <c r="L298" s="7">
        <v>40314.510601851856</v>
      </c>
      <c r="M298" s="16"/>
      <c r="N298" s="14" t="s">
        <v>6224</v>
      </c>
      <c r="O298" s="11" t="str">
        <f t="shared" si="36"/>
        <v>View</v>
      </c>
      <c r="P298" s="15"/>
    </row>
    <row r="299">
      <c r="A299" s="7">
        <v>42421.76081018518</v>
      </c>
      <c r="B299" s="8" t="str">
        <f t="shared" si="35"/>
        <v>@Rbloggers</v>
      </c>
      <c r="C299" s="10" t="s">
        <v>6221</v>
      </c>
      <c r="D299" s="10" t="s">
        <v>6875</v>
      </c>
      <c r="E299" s="11" t="str">
        <f>HYPERLINK("https://twitter.com/Rbloggers/status/701591126738804736","701591126738804736")</f>
        <v>701591126738804736</v>
      </c>
      <c r="F299" s="17" t="s">
        <v>6223</v>
      </c>
      <c r="G299" s="13">
        <v>28572.0</v>
      </c>
      <c r="H299" s="13">
        <v>36.0</v>
      </c>
      <c r="I299" s="13">
        <v>3.0</v>
      </c>
      <c r="J299" s="13">
        <v>5.0</v>
      </c>
      <c r="K299" s="12" t="s">
        <v>21</v>
      </c>
      <c r="L299" s="7">
        <v>40314.510601851856</v>
      </c>
      <c r="M299" s="16"/>
      <c r="N299" s="14" t="s">
        <v>6224</v>
      </c>
      <c r="O299" s="11" t="str">
        <f t="shared" si="36"/>
        <v>View</v>
      </c>
      <c r="P299" s="15"/>
    </row>
    <row r="300">
      <c r="A300" s="7">
        <v>42421.76100694445</v>
      </c>
      <c r="B300" s="8" t="str">
        <f>HYPERLINK("https://twitter.com/SoroorHediyeh","@SoroorHediyeh")</f>
        <v>@SoroorHediyeh</v>
      </c>
      <c r="C300" s="10" t="s">
        <v>6876</v>
      </c>
      <c r="D300" s="10" t="s">
        <v>6877</v>
      </c>
      <c r="E300" s="11" t="str">
        <f>HYPERLINK("https://twitter.com/SoroorHediyeh/status/701591198520094720","701591198520094720")</f>
        <v>701591198520094720</v>
      </c>
      <c r="F300" s="12" t="s">
        <v>52</v>
      </c>
      <c r="G300" s="13">
        <v>59.0</v>
      </c>
      <c r="H300" s="13">
        <v>248.0</v>
      </c>
      <c r="I300" s="13">
        <v>5.0</v>
      </c>
      <c r="J300" s="13">
        <v>0.0</v>
      </c>
      <c r="K300" s="12" t="s">
        <v>21</v>
      </c>
      <c r="L300" s="7">
        <v>41651.91425925926</v>
      </c>
      <c r="M300" s="14" t="s">
        <v>4539</v>
      </c>
      <c r="N300" s="14" t="s">
        <v>6878</v>
      </c>
      <c r="O300" s="11" t="str">
        <f>HYPERLINK("https://abs.twimg.com/sticky/default_profile_images/default_profile_0_normal.png","View")</f>
        <v>View</v>
      </c>
      <c r="P300" s="15"/>
    </row>
    <row r="301">
      <c r="A301" s="7">
        <v>42421.76300925926</v>
      </c>
      <c r="B301" s="8" t="str">
        <f t="shared" ref="B301:B304" si="37">HYPERLINK("https://twitter.com/renato_umeton","@renato_umeton")</f>
        <v>@renato_umeton</v>
      </c>
      <c r="C301" s="10" t="s">
        <v>1659</v>
      </c>
      <c r="D301" s="10" t="s">
        <v>6879</v>
      </c>
      <c r="E301" s="11" t="str">
        <f>HYPERLINK("https://twitter.com/renato_umeton/status/701591923421802498","701591923421802498")</f>
        <v>701591923421802498</v>
      </c>
      <c r="F301" s="12" t="s">
        <v>38</v>
      </c>
      <c r="G301" s="13">
        <v>70.0</v>
      </c>
      <c r="H301" s="13">
        <v>79.0</v>
      </c>
      <c r="I301" s="13">
        <v>6.0</v>
      </c>
      <c r="J301" s="13">
        <v>0.0</v>
      </c>
      <c r="K301" s="12" t="s">
        <v>21</v>
      </c>
      <c r="L301" s="7">
        <v>39918.052083333336</v>
      </c>
      <c r="M301" s="14" t="s">
        <v>1660</v>
      </c>
      <c r="N301" s="14" t="s">
        <v>1661</v>
      </c>
      <c r="O301" s="11" t="str">
        <f t="shared" ref="O301:O304" si="38">HYPERLINK("https://pbs.twimg.com/profile_images/701553083537604608/nr8b38eG_normal.jpg","View")</f>
        <v>View</v>
      </c>
      <c r="P301" s="15"/>
    </row>
    <row r="302">
      <c r="A302" s="7">
        <v>42421.76300925926</v>
      </c>
      <c r="B302" s="8" t="str">
        <f t="shared" si="37"/>
        <v>@renato_umeton</v>
      </c>
      <c r="C302" s="10" t="s">
        <v>1659</v>
      </c>
      <c r="D302" s="10" t="s">
        <v>6880</v>
      </c>
      <c r="E302" s="11" t="str">
        <f>HYPERLINK("https://twitter.com/renato_umeton/status/701591924285829121","701591924285829121")</f>
        <v>701591924285829121</v>
      </c>
      <c r="F302" s="12" t="s">
        <v>38</v>
      </c>
      <c r="G302" s="13">
        <v>70.0</v>
      </c>
      <c r="H302" s="13">
        <v>79.0</v>
      </c>
      <c r="I302" s="13">
        <v>3.0</v>
      </c>
      <c r="J302" s="13">
        <v>0.0</v>
      </c>
      <c r="K302" s="12" t="s">
        <v>21</v>
      </c>
      <c r="L302" s="7">
        <v>39918.052083333336</v>
      </c>
      <c r="M302" s="14" t="s">
        <v>1660</v>
      </c>
      <c r="N302" s="14" t="s">
        <v>1661</v>
      </c>
      <c r="O302" s="11" t="str">
        <f t="shared" si="38"/>
        <v>View</v>
      </c>
      <c r="P302" s="15"/>
    </row>
    <row r="303">
      <c r="A303" s="7">
        <v>42421.76300925926</v>
      </c>
      <c r="B303" s="8" t="str">
        <f t="shared" si="37"/>
        <v>@renato_umeton</v>
      </c>
      <c r="C303" s="10" t="s">
        <v>1659</v>
      </c>
      <c r="D303" s="10" t="s">
        <v>6877</v>
      </c>
      <c r="E303" s="11" t="str">
        <f>HYPERLINK("https://twitter.com/renato_umeton/status/701591925086879744","701591925086879744")</f>
        <v>701591925086879744</v>
      </c>
      <c r="F303" s="12" t="s">
        <v>38</v>
      </c>
      <c r="G303" s="13">
        <v>70.0</v>
      </c>
      <c r="H303" s="13">
        <v>79.0</v>
      </c>
      <c r="I303" s="13">
        <v>5.0</v>
      </c>
      <c r="J303" s="13">
        <v>0.0</v>
      </c>
      <c r="K303" s="12" t="s">
        <v>21</v>
      </c>
      <c r="L303" s="7">
        <v>39918.052083333336</v>
      </c>
      <c r="M303" s="14" t="s">
        <v>1660</v>
      </c>
      <c r="N303" s="14" t="s">
        <v>1661</v>
      </c>
      <c r="O303" s="11" t="str">
        <f t="shared" si="38"/>
        <v>View</v>
      </c>
      <c r="P303" s="15"/>
    </row>
    <row r="304">
      <c r="A304" s="7">
        <v>42421.76300925926</v>
      </c>
      <c r="B304" s="8" t="str">
        <f t="shared" si="37"/>
        <v>@renato_umeton</v>
      </c>
      <c r="C304" s="10" t="s">
        <v>1659</v>
      </c>
      <c r="D304" s="10" t="s">
        <v>6881</v>
      </c>
      <c r="E304" s="11" t="str">
        <f>HYPERLINK("https://twitter.com/renato_umeton/status/701591925913165826","701591925913165826")</f>
        <v>701591925913165826</v>
      </c>
      <c r="F304" s="12" t="s">
        <v>38</v>
      </c>
      <c r="G304" s="13">
        <v>70.0</v>
      </c>
      <c r="H304" s="13">
        <v>79.0</v>
      </c>
      <c r="I304" s="13">
        <v>3.0</v>
      </c>
      <c r="J304" s="13">
        <v>0.0</v>
      </c>
      <c r="K304" s="12" t="s">
        <v>21</v>
      </c>
      <c r="L304" s="7">
        <v>39918.052083333336</v>
      </c>
      <c r="M304" s="14" t="s">
        <v>1660</v>
      </c>
      <c r="N304" s="14" t="s">
        <v>1661</v>
      </c>
      <c r="O304" s="11" t="str">
        <f t="shared" si="38"/>
        <v>View</v>
      </c>
      <c r="P304" s="15"/>
    </row>
    <row r="305">
      <c r="A305" s="7">
        <v>42421.77212962963</v>
      </c>
      <c r="B305" s="8" t="str">
        <f>HYPERLINK("https://twitter.com/robporterphoto","@robporterphoto")</f>
        <v>@robporterphoto</v>
      </c>
      <c r="C305" s="10" t="s">
        <v>6882</v>
      </c>
      <c r="D305" s="10" t="s">
        <v>6879</v>
      </c>
      <c r="E305" s="11" t="str">
        <f>HYPERLINK("https://twitter.com/robporterphoto/status/701595231821627393","701595231821627393")</f>
        <v>701595231821627393</v>
      </c>
      <c r="F305" s="12" t="s">
        <v>52</v>
      </c>
      <c r="G305" s="13">
        <v>605.0</v>
      </c>
      <c r="H305" s="13">
        <v>1866.0</v>
      </c>
      <c r="I305" s="13">
        <v>6.0</v>
      </c>
      <c r="J305" s="13">
        <v>0.0</v>
      </c>
      <c r="K305" s="12" t="s">
        <v>21</v>
      </c>
      <c r="L305" s="7">
        <v>40491.33002314815</v>
      </c>
      <c r="M305" s="14" t="s">
        <v>765</v>
      </c>
      <c r="N305" s="14" t="s">
        <v>6883</v>
      </c>
      <c r="O305" s="11" t="str">
        <f>HYPERLINK("https://pbs.twimg.com/profile_images/703210587556188160/P-lYrx_7_normal.jpg","View")</f>
        <v>View</v>
      </c>
      <c r="P305" s="15"/>
    </row>
    <row r="306">
      <c r="A306" s="7">
        <v>42421.77449074074</v>
      </c>
      <c r="B306" s="8" t="str">
        <f>HYPERLINK("https://twitter.com/VMuraliKRaju","@VMuraliKRaju")</f>
        <v>@VMuraliKRaju</v>
      </c>
      <c r="C306" s="10" t="s">
        <v>6481</v>
      </c>
      <c r="D306" s="10" t="s">
        <v>6580</v>
      </c>
      <c r="E306" s="11" t="str">
        <f>HYPERLINK("https://twitter.com/VMuraliKRaju/status/701596085748236288","701596085748236288")</f>
        <v>701596085748236288</v>
      </c>
      <c r="F306" s="12" t="s">
        <v>152</v>
      </c>
      <c r="G306" s="13">
        <v>81.0</v>
      </c>
      <c r="H306" s="13">
        <v>305.0</v>
      </c>
      <c r="I306" s="13">
        <v>7.0</v>
      </c>
      <c r="J306" s="13">
        <v>0.0</v>
      </c>
      <c r="K306" s="12" t="s">
        <v>21</v>
      </c>
      <c r="L306" s="7">
        <v>41483.425462962965</v>
      </c>
      <c r="M306" s="16"/>
      <c r="N306" s="16"/>
      <c r="O306" s="11" t="str">
        <f>HYPERLINK("https://abs.twimg.com/sticky/default_profile_images/default_profile_2_normal.png","View")</f>
        <v>View</v>
      </c>
      <c r="P306" s="15"/>
    </row>
    <row r="307">
      <c r="A307" s="7">
        <v>42421.782222222224</v>
      </c>
      <c r="B307" s="8" t="str">
        <f>HYPERLINK("https://twitter.com/frankwwu","@frankwwu")</f>
        <v>@frankwwu</v>
      </c>
      <c r="C307" s="10" t="s">
        <v>6644</v>
      </c>
      <c r="D307" s="10" t="s">
        <v>6879</v>
      </c>
      <c r="E307" s="11" t="str">
        <f>HYPERLINK("https://twitter.com/frankwwu/status/701598889137274880","701598889137274880")</f>
        <v>701598889137274880</v>
      </c>
      <c r="F307" s="12" t="s">
        <v>1573</v>
      </c>
      <c r="G307" s="13">
        <v>122.0</v>
      </c>
      <c r="H307" s="13">
        <v>232.0</v>
      </c>
      <c r="I307" s="13">
        <v>6.0</v>
      </c>
      <c r="J307" s="13">
        <v>0.0</v>
      </c>
      <c r="K307" s="12" t="s">
        <v>21</v>
      </c>
      <c r="L307" s="7">
        <v>39235.83243055556</v>
      </c>
      <c r="M307" s="14" t="s">
        <v>6646</v>
      </c>
      <c r="N307" s="14" t="s">
        <v>6647</v>
      </c>
      <c r="O307" s="11" t="str">
        <f>HYPERLINK("https://pbs.twimg.com/profile_images/647923180795994112/kfRnOF24_normal.jpg","View")</f>
        <v>View</v>
      </c>
      <c r="P307" s="15"/>
    </row>
    <row r="308">
      <c r="A308" s="7">
        <v>42421.798125</v>
      </c>
      <c r="B308" s="8" t="str">
        <f>HYPERLINK("https://twitter.com/dataandme","@dataandme")</f>
        <v>@dataandme</v>
      </c>
      <c r="C308" s="10" t="s">
        <v>6648</v>
      </c>
      <c r="D308" s="10" t="s">
        <v>6884</v>
      </c>
      <c r="E308" s="11" t="str">
        <f>HYPERLINK("https://twitter.com/dataandme/status/701604648717787136","701604648717787136")</f>
        <v>701604648717787136</v>
      </c>
      <c r="F308" s="12" t="s">
        <v>294</v>
      </c>
      <c r="G308" s="13">
        <v>2502.0</v>
      </c>
      <c r="H308" s="13">
        <v>1940.0</v>
      </c>
      <c r="I308" s="13">
        <v>1.0</v>
      </c>
      <c r="J308" s="13">
        <v>14.0</v>
      </c>
      <c r="K308" s="12" t="s">
        <v>21</v>
      </c>
      <c r="L308" s="7">
        <v>42127.19739583333</v>
      </c>
      <c r="M308" s="14" t="s">
        <v>332</v>
      </c>
      <c r="N308" s="14" t="s">
        <v>6650</v>
      </c>
      <c r="O308" s="11" t="str">
        <f>HYPERLINK("https://pbs.twimg.com/profile_images/598126722920361984/HdS1NWXJ_normal.png","View")</f>
        <v>View</v>
      </c>
      <c r="P308" s="15"/>
    </row>
    <row r="309">
      <c r="A309" s="7">
        <v>42421.806134259255</v>
      </c>
      <c r="B309" s="8" t="str">
        <f>HYPERLINK("https://twitter.com/nekrum","@nekrum")</f>
        <v>@nekrum</v>
      </c>
      <c r="C309" s="10" t="s">
        <v>6885</v>
      </c>
      <c r="D309" s="10" t="s">
        <v>6480</v>
      </c>
      <c r="E309" s="11" t="str">
        <f>HYPERLINK("https://twitter.com/nekrum/status/701607552857952256","701607552857952256")</f>
        <v>701607552857952256</v>
      </c>
      <c r="F309" s="12" t="s">
        <v>152</v>
      </c>
      <c r="G309" s="13">
        <v>116.0</v>
      </c>
      <c r="H309" s="13">
        <v>307.0</v>
      </c>
      <c r="I309" s="13">
        <v>2.0</v>
      </c>
      <c r="J309" s="13">
        <v>0.0</v>
      </c>
      <c r="K309" s="12" t="s">
        <v>21</v>
      </c>
      <c r="L309" s="7">
        <v>39800.53101851852</v>
      </c>
      <c r="M309" s="14" t="s">
        <v>6886</v>
      </c>
      <c r="N309" s="14" t="s">
        <v>6887</v>
      </c>
      <c r="O309" s="11" t="str">
        <f>HYPERLINK("https://pbs.twimg.com/profile_images/119769350/logo-azul-blanco_normal.png","View")</f>
        <v>View</v>
      </c>
      <c r="P309" s="15"/>
    </row>
    <row r="310">
      <c r="A310" s="7">
        <v>42421.8065162037</v>
      </c>
      <c r="B310" s="8" t="str">
        <f>HYPERLINK("https://twitter.com/Sergio_Ibarra","@Sergio_Ibarra")</f>
        <v>@Sergio_Ibarra</v>
      </c>
      <c r="C310" s="10" t="s">
        <v>6888</v>
      </c>
      <c r="D310" s="10" t="s">
        <v>6889</v>
      </c>
      <c r="E310" s="11" t="str">
        <f>HYPERLINK("https://twitter.com/Sergio_Ibarra/status/701607690116722688","701607690116722688")</f>
        <v>701607690116722688</v>
      </c>
      <c r="F310" s="12" t="s">
        <v>20</v>
      </c>
      <c r="G310" s="13">
        <v>986.0</v>
      </c>
      <c r="H310" s="13">
        <v>1981.0</v>
      </c>
      <c r="I310" s="13">
        <v>0.0</v>
      </c>
      <c r="J310" s="13">
        <v>0.0</v>
      </c>
      <c r="K310" s="12" t="s">
        <v>21</v>
      </c>
      <c r="L310" s="7">
        <v>40241.20296296296</v>
      </c>
      <c r="M310" s="14" t="s">
        <v>1462</v>
      </c>
      <c r="N310" s="14" t="s">
        <v>6890</v>
      </c>
      <c r="O310" s="11" t="str">
        <f>HYPERLINK("https://pbs.twimg.com/profile_images/669579420231974912/Xq-k2P3d_normal.jpg","View")</f>
        <v>View</v>
      </c>
      <c r="P310" s="15"/>
    </row>
    <row r="311">
      <c r="A311" s="7">
        <v>42421.80715277778</v>
      </c>
      <c r="B311" s="8" t="str">
        <f>HYPERLINK("https://twitter.com/josh_josh_josh1","@josh_josh_josh1")</f>
        <v>@josh_josh_josh1</v>
      </c>
      <c r="C311" s="10" t="s">
        <v>6891</v>
      </c>
      <c r="D311" s="10" t="s">
        <v>6737</v>
      </c>
      <c r="E311" s="11" t="str">
        <f>HYPERLINK("https://twitter.com/josh_josh_josh1/status/701607920589529088","701607920589529088")</f>
        <v>701607920589529088</v>
      </c>
      <c r="F311" s="12" t="s">
        <v>152</v>
      </c>
      <c r="G311" s="13">
        <v>296.0</v>
      </c>
      <c r="H311" s="13">
        <v>172.0</v>
      </c>
      <c r="I311" s="13">
        <v>9.0</v>
      </c>
      <c r="J311" s="13">
        <v>0.0</v>
      </c>
      <c r="K311" s="12" t="s">
        <v>21</v>
      </c>
      <c r="L311" s="7">
        <v>39936.500752314816</v>
      </c>
      <c r="M311" s="16"/>
      <c r="N311" s="14" t="s">
        <v>6892</v>
      </c>
      <c r="O311" s="11" t="str">
        <f>HYPERLINK("https://pbs.twimg.com/profile_images/601586590700412928/acECfnbp_normal.jpg","View")</f>
        <v>View</v>
      </c>
      <c r="P311" s="15"/>
    </row>
    <row r="312">
      <c r="A312" s="7">
        <v>42421.812314814815</v>
      </c>
      <c r="B312" s="8" t="str">
        <f>HYPERLINK("https://twitter.com/DrAndyPardoe","@DrAndyPardoe")</f>
        <v>@DrAndyPardoe</v>
      </c>
      <c r="C312" s="10" t="s">
        <v>3351</v>
      </c>
      <c r="D312" s="10" t="s">
        <v>6879</v>
      </c>
      <c r="E312" s="11" t="str">
        <f>HYPERLINK("https://twitter.com/DrAndyPardoe/status/701609794067681281","701609794067681281")</f>
        <v>701609794067681281</v>
      </c>
      <c r="F312" s="12" t="s">
        <v>38</v>
      </c>
      <c r="G312" s="13">
        <v>3759.0</v>
      </c>
      <c r="H312" s="13">
        <v>2473.0</v>
      </c>
      <c r="I312" s="13">
        <v>6.0</v>
      </c>
      <c r="J312" s="13">
        <v>0.0</v>
      </c>
      <c r="K312" s="12" t="s">
        <v>21</v>
      </c>
      <c r="L312" s="7">
        <v>41826.237280092595</v>
      </c>
      <c r="M312" s="14" t="s">
        <v>1093</v>
      </c>
      <c r="N312" s="14" t="s">
        <v>3352</v>
      </c>
      <c r="O312" s="11" t="str">
        <f>HYPERLINK("https://pbs.twimg.com/profile_images/485766134268837889/t4PLhSfT_normal.jpeg","View")</f>
        <v>View</v>
      </c>
      <c r="P312" s="15"/>
    </row>
    <row r="313">
      <c r="A313" s="7">
        <v>42421.81422453704</v>
      </c>
      <c r="B313" s="8" t="str">
        <f>HYPERLINK("https://twitter.com/chlalanne","@chlalanne")</f>
        <v>@chlalanne</v>
      </c>
      <c r="C313" s="10" t="s">
        <v>6893</v>
      </c>
      <c r="D313" s="10" t="s">
        <v>6894</v>
      </c>
      <c r="E313" s="11" t="str">
        <f>HYPERLINK("https://twitter.com/chlalanne/status/701610486723387392","701610486723387392")</f>
        <v>701610486723387392</v>
      </c>
      <c r="F313" s="12" t="s">
        <v>52</v>
      </c>
      <c r="G313" s="13">
        <v>1747.0</v>
      </c>
      <c r="H313" s="13">
        <v>2020.0</v>
      </c>
      <c r="I313" s="13">
        <v>2.0</v>
      </c>
      <c r="J313" s="13">
        <v>4.0</v>
      </c>
      <c r="K313" s="12" t="s">
        <v>21</v>
      </c>
      <c r="L313" s="7">
        <v>39893.41826388889</v>
      </c>
      <c r="M313" s="14" t="s">
        <v>416</v>
      </c>
      <c r="N313" s="14" t="s">
        <v>6895</v>
      </c>
      <c r="O313" s="11" t="str">
        <f>HYPERLINK("https://pbs.twimg.com/profile_images/1135754268/chl2bgv2_normal.png","View")</f>
        <v>View</v>
      </c>
      <c r="P313" s="15"/>
    </row>
    <row r="314">
      <c r="A314" s="7">
        <v>42421.81438657407</v>
      </c>
      <c r="B314" s="8" t="str">
        <f>HYPERLINK("https://twitter.com/dutchlight360","@dutchlight360")</f>
        <v>@dutchlight360</v>
      </c>
      <c r="C314" s="10" t="s">
        <v>5493</v>
      </c>
      <c r="D314" s="10" t="s">
        <v>6896</v>
      </c>
      <c r="E314" s="11" t="str">
        <f>HYPERLINK("https://twitter.com/dutchlight360/status/701610545359749120","701610545359749120")</f>
        <v>701610545359749120</v>
      </c>
      <c r="F314" s="12" t="s">
        <v>38</v>
      </c>
      <c r="G314" s="13">
        <v>919.0</v>
      </c>
      <c r="H314" s="13">
        <v>376.0</v>
      </c>
      <c r="I314" s="13">
        <v>2.0</v>
      </c>
      <c r="J314" s="13">
        <v>0.0</v>
      </c>
      <c r="K314" s="12" t="s">
        <v>21</v>
      </c>
      <c r="L314" s="7">
        <v>40578.56229166667</v>
      </c>
      <c r="M314" s="14" t="s">
        <v>5495</v>
      </c>
      <c r="N314" s="14" t="s">
        <v>5496</v>
      </c>
      <c r="O314" s="11" t="str">
        <f>HYPERLINK("https://pbs.twimg.com/profile_images/509352548549935105/vUQcEAtE_normal.jpeg","View")</f>
        <v>View</v>
      </c>
      <c r="P314" s="15"/>
    </row>
    <row r="315">
      <c r="A315" s="7">
        <v>42421.816203703704</v>
      </c>
      <c r="B315" s="8" t="str">
        <f>HYPERLINK("https://twitter.com/akudus","@akudus")</f>
        <v>@akudus</v>
      </c>
      <c r="C315" s="10" t="s">
        <v>6897</v>
      </c>
      <c r="D315" s="10" t="s">
        <v>6687</v>
      </c>
      <c r="E315" s="11" t="str">
        <f>HYPERLINK("https://twitter.com/akudus/status/701611201852145665","701611201852145665")</f>
        <v>701611201852145665</v>
      </c>
      <c r="F315" s="12" t="s">
        <v>152</v>
      </c>
      <c r="G315" s="13">
        <v>167.0</v>
      </c>
      <c r="H315" s="13">
        <v>312.0</v>
      </c>
      <c r="I315" s="13">
        <v>8.0</v>
      </c>
      <c r="J315" s="13">
        <v>0.0</v>
      </c>
      <c r="K315" s="12" t="s">
        <v>21</v>
      </c>
      <c r="L315" s="7">
        <v>40044.04011574074</v>
      </c>
      <c r="M315" s="16"/>
      <c r="N315" s="16"/>
      <c r="O315" s="11" t="str">
        <f>HYPERLINK("https://pbs.twimg.com/profile_images/689130957475950592/DxFg5Xl4_normal.jpg","View")</f>
        <v>View</v>
      </c>
      <c r="P315" s="15"/>
    </row>
    <row r="316">
      <c r="A316" s="7">
        <v>42421.81990740741</v>
      </c>
      <c r="B316" s="8" t="str">
        <f>HYPERLINK("https://twitter.com/mia_iris_costa","@mia_iris_costa")</f>
        <v>@mia_iris_costa</v>
      </c>
      <c r="C316" s="10" t="s">
        <v>6898</v>
      </c>
      <c r="D316" s="10" t="s">
        <v>6899</v>
      </c>
      <c r="E316" s="11" t="str">
        <f>HYPERLINK("https://twitter.com/mia_iris_costa/status/701612545917001729","701612545917001729")</f>
        <v>701612545917001729</v>
      </c>
      <c r="F316" s="12" t="s">
        <v>52</v>
      </c>
      <c r="G316" s="13">
        <v>168.0</v>
      </c>
      <c r="H316" s="13">
        <v>308.0</v>
      </c>
      <c r="I316" s="13">
        <v>0.0</v>
      </c>
      <c r="J316" s="13">
        <v>2.0</v>
      </c>
      <c r="K316" s="12" t="s">
        <v>21</v>
      </c>
      <c r="L316" s="7">
        <v>41777.66755787037</v>
      </c>
      <c r="M316" s="16"/>
      <c r="N316" s="14" t="s">
        <v>6900</v>
      </c>
      <c r="O316" s="11" t="str">
        <f>HYPERLINK("https://pbs.twimg.com/profile_images/699255766268555264/SjMMXI1u_normal.jpg","View")</f>
        <v>View</v>
      </c>
      <c r="P316" s="15"/>
    </row>
    <row r="317">
      <c r="A317" s="7">
        <v>42421.82121527778</v>
      </c>
      <c r="B317" s="8" t="str">
        <f>HYPERLINK("https://twitter.com/oommen_km","@oommen_km")</f>
        <v>@oommen_km</v>
      </c>
      <c r="C317" s="10" t="s">
        <v>6901</v>
      </c>
      <c r="D317" s="10" t="s">
        <v>6319</v>
      </c>
      <c r="E317" s="11" t="str">
        <f>HYPERLINK("https://twitter.com/oommen_km/status/701613018799419392","701613018799419392")</f>
        <v>701613018799419392</v>
      </c>
      <c r="F317" s="12" t="s">
        <v>20</v>
      </c>
      <c r="G317" s="13">
        <v>210.0</v>
      </c>
      <c r="H317" s="13">
        <v>487.0</v>
      </c>
      <c r="I317" s="13">
        <v>106.0</v>
      </c>
      <c r="J317" s="13">
        <v>0.0</v>
      </c>
      <c r="K317" s="12" t="s">
        <v>21</v>
      </c>
      <c r="L317" s="7">
        <v>39917.160520833335</v>
      </c>
      <c r="M317" s="14" t="s">
        <v>6902</v>
      </c>
      <c r="N317" s="14" t="s">
        <v>6903</v>
      </c>
      <c r="O317" s="11" t="str">
        <f>HYPERLINK("https://pbs.twimg.com/profile_images/1105063291/Oommen01_normal.jpg","View")</f>
        <v>View</v>
      </c>
      <c r="P317" s="15"/>
    </row>
    <row r="318">
      <c r="A318" s="7">
        <v>42421.8284375</v>
      </c>
      <c r="B318" s="8" t="str">
        <f>HYPERLINK("https://twitter.com/tomkXY","@tomkXY")</f>
        <v>@tomkXY</v>
      </c>
      <c r="C318" s="10" t="s">
        <v>6904</v>
      </c>
      <c r="D318" s="10" t="s">
        <v>6905</v>
      </c>
      <c r="E318" s="11" t="str">
        <f>HYPERLINK("https://twitter.com/tomkXY/status/701615635059515397","701615635059515397")</f>
        <v>701615635059515397</v>
      </c>
      <c r="F318" s="12" t="s">
        <v>20</v>
      </c>
      <c r="G318" s="13">
        <v>170.0</v>
      </c>
      <c r="H318" s="13">
        <v>333.0</v>
      </c>
      <c r="I318" s="13">
        <v>3.0</v>
      </c>
      <c r="J318" s="13">
        <v>6.0</v>
      </c>
      <c r="K318" s="12" t="s">
        <v>21</v>
      </c>
      <c r="L318" s="7">
        <v>41917.95391203704</v>
      </c>
      <c r="M318" s="14" t="s">
        <v>6906</v>
      </c>
      <c r="N318" s="14" t="s">
        <v>6907</v>
      </c>
      <c r="O318" s="11" t="str">
        <f>HYPERLINK("https://pbs.twimg.com/profile_images/567672223029141505/zYpSqhay_normal.jpeg","View")</f>
        <v>View</v>
      </c>
      <c r="P318" s="15"/>
    </row>
    <row r="319">
      <c r="A319" s="7">
        <v>42421.829560185186</v>
      </c>
      <c r="B319" s="8" t="str">
        <f t="shared" ref="B319:B320" si="39">HYPERLINK("https://twitter.com/pa_marais","@pa_marais")</f>
        <v>@pa_marais</v>
      </c>
      <c r="C319" s="10" t="s">
        <v>6236</v>
      </c>
      <c r="D319" s="10" t="s">
        <v>6877</v>
      </c>
      <c r="E319" s="11" t="str">
        <f>HYPERLINK("https://twitter.com/pa_marais/status/701616042834055168","701616042834055168")</f>
        <v>701616042834055168</v>
      </c>
      <c r="F319" s="12" t="s">
        <v>152</v>
      </c>
      <c r="G319" s="13">
        <v>80.0</v>
      </c>
      <c r="H319" s="13">
        <v>200.0</v>
      </c>
      <c r="I319" s="13">
        <v>5.0</v>
      </c>
      <c r="J319" s="13">
        <v>0.0</v>
      </c>
      <c r="K319" s="12" t="s">
        <v>21</v>
      </c>
      <c r="L319" s="7">
        <v>42053.30278935185</v>
      </c>
      <c r="M319" s="16"/>
      <c r="N319" s="14" t="s">
        <v>6238</v>
      </c>
      <c r="O319" s="11" t="str">
        <f t="shared" ref="O319:O320" si="40">HYPERLINK("https://pbs.twimg.com/profile_images/568067400809984000/MXrq4e8A_normal.jpeg","View")</f>
        <v>View</v>
      </c>
      <c r="P319" s="15"/>
    </row>
    <row r="320">
      <c r="A320" s="7">
        <v>42421.8296875</v>
      </c>
      <c r="B320" s="8" t="str">
        <f t="shared" si="39"/>
        <v>@pa_marais</v>
      </c>
      <c r="C320" s="10" t="s">
        <v>6236</v>
      </c>
      <c r="D320" s="10" t="s">
        <v>6879</v>
      </c>
      <c r="E320" s="11" t="str">
        <f>HYPERLINK("https://twitter.com/pa_marais/status/701616090254860288","701616090254860288")</f>
        <v>701616090254860288</v>
      </c>
      <c r="F320" s="12" t="s">
        <v>152</v>
      </c>
      <c r="G320" s="13">
        <v>80.0</v>
      </c>
      <c r="H320" s="13">
        <v>200.0</v>
      </c>
      <c r="I320" s="13">
        <v>6.0</v>
      </c>
      <c r="J320" s="13">
        <v>0.0</v>
      </c>
      <c r="K320" s="12" t="s">
        <v>21</v>
      </c>
      <c r="L320" s="7">
        <v>42053.30278935185</v>
      </c>
      <c r="M320" s="16"/>
      <c r="N320" s="14" t="s">
        <v>6238</v>
      </c>
      <c r="O320" s="11" t="str">
        <f t="shared" si="40"/>
        <v>View</v>
      </c>
      <c r="P320" s="15"/>
    </row>
    <row r="321">
      <c r="A321" s="7">
        <v>42421.83118055556</v>
      </c>
      <c r="B321" s="8" t="str">
        <f>HYPERLINK("https://twitter.com/tomkXY","@tomkXY")</f>
        <v>@tomkXY</v>
      </c>
      <c r="C321" s="10" t="s">
        <v>6904</v>
      </c>
      <c r="D321" s="10" t="s">
        <v>6908</v>
      </c>
      <c r="E321" s="11" t="str">
        <f>HYPERLINK("https://twitter.com/tomkXY/status/701616629134721025","701616629134721025")</f>
        <v>701616629134721025</v>
      </c>
      <c r="F321" s="12" t="s">
        <v>20</v>
      </c>
      <c r="G321" s="13">
        <v>170.0</v>
      </c>
      <c r="H321" s="13">
        <v>333.0</v>
      </c>
      <c r="I321" s="13">
        <v>4.0</v>
      </c>
      <c r="J321" s="13">
        <v>4.0</v>
      </c>
      <c r="K321" s="12" t="s">
        <v>21</v>
      </c>
      <c r="L321" s="7">
        <v>41917.95391203704</v>
      </c>
      <c r="M321" s="14" t="s">
        <v>6906</v>
      </c>
      <c r="N321" s="14" t="s">
        <v>6907</v>
      </c>
      <c r="O321" s="11" t="str">
        <f>HYPERLINK("https://pbs.twimg.com/profile_images/567672223029141505/zYpSqhay_normal.jpeg","View")</f>
        <v>View</v>
      </c>
      <c r="P321" s="15"/>
    </row>
    <row r="322">
      <c r="A322" s="7">
        <v>42421.833136574074</v>
      </c>
      <c r="B322" s="8" t="str">
        <f>HYPERLINK("https://twitter.com/alstated","@alstated")</f>
        <v>@alstated</v>
      </c>
      <c r="C322" s="10" t="s">
        <v>6909</v>
      </c>
      <c r="D322" s="10" t="s">
        <v>6663</v>
      </c>
      <c r="E322" s="11" t="str">
        <f>HYPERLINK("https://twitter.com/alstated/status/701617336298635264","701617336298635264")</f>
        <v>701617336298635264</v>
      </c>
      <c r="F322" s="12" t="s">
        <v>20</v>
      </c>
      <c r="G322" s="13">
        <v>188.0</v>
      </c>
      <c r="H322" s="13">
        <v>334.0</v>
      </c>
      <c r="I322" s="13">
        <v>20.0</v>
      </c>
      <c r="J322" s="13">
        <v>0.0</v>
      </c>
      <c r="K322" s="12" t="s">
        <v>21</v>
      </c>
      <c r="L322" s="7">
        <v>40443.2703125</v>
      </c>
      <c r="M322" s="14" t="s">
        <v>6910</v>
      </c>
      <c r="N322" s="14" t="s">
        <v>6911</v>
      </c>
      <c r="O322" s="11" t="str">
        <f>HYPERLINK("https://pbs.twimg.com/profile_images/573034054372597760/uU1rGRnE_normal.jpeg","View")</f>
        <v>View</v>
      </c>
      <c r="P322" s="15"/>
    </row>
    <row r="323">
      <c r="A323" s="7">
        <v>42421.83334490741</v>
      </c>
      <c r="B323" s="8" t="str">
        <f>HYPERLINK("https://twitter.com/sfrechette","@sfrechette")</f>
        <v>@sfrechette</v>
      </c>
      <c r="C323" s="10" t="s">
        <v>6564</v>
      </c>
      <c r="D323" s="10" t="s">
        <v>6912</v>
      </c>
      <c r="E323" s="11" t="str">
        <f>HYPERLINK("https://twitter.com/sfrechette/status/701617414069477377","701617414069477377")</f>
        <v>701617414069477377</v>
      </c>
      <c r="F323" s="12" t="s">
        <v>6566</v>
      </c>
      <c r="G323" s="13">
        <v>1352.0</v>
      </c>
      <c r="H323" s="13">
        <v>1178.0</v>
      </c>
      <c r="I323" s="13">
        <v>1.0</v>
      </c>
      <c r="J323" s="13">
        <v>1.0</v>
      </c>
      <c r="K323" s="12" t="s">
        <v>21</v>
      </c>
      <c r="L323" s="7">
        <v>39873.53702546297</v>
      </c>
      <c r="M323" s="14" t="s">
        <v>6567</v>
      </c>
      <c r="N323" s="14" t="s">
        <v>6568</v>
      </c>
      <c r="O323" s="11" t="str">
        <f>HYPERLINK("https://pbs.twimg.com/profile_images/662342111799304192/Xtv8MZ-P_normal.jpg","View")</f>
        <v>View</v>
      </c>
      <c r="P323" s="15"/>
    </row>
    <row r="324">
      <c r="A324" s="7">
        <v>42421.833750000005</v>
      </c>
      <c r="B324" s="8" t="str">
        <f>HYPERLINK("https://twitter.com/alstated","@alstated")</f>
        <v>@alstated</v>
      </c>
      <c r="C324" s="10" t="s">
        <v>6909</v>
      </c>
      <c r="D324" s="10" t="s">
        <v>6913</v>
      </c>
      <c r="E324" s="11" t="str">
        <f>HYPERLINK("https://twitter.com/alstated/status/701617559003652096","701617559003652096")</f>
        <v>701617559003652096</v>
      </c>
      <c r="F324" s="12" t="s">
        <v>20</v>
      </c>
      <c r="G324" s="13">
        <v>188.0</v>
      </c>
      <c r="H324" s="13">
        <v>334.0</v>
      </c>
      <c r="I324" s="13">
        <v>32.0</v>
      </c>
      <c r="J324" s="13">
        <v>0.0</v>
      </c>
      <c r="K324" s="12" t="s">
        <v>21</v>
      </c>
      <c r="L324" s="7">
        <v>40443.2703125</v>
      </c>
      <c r="M324" s="14" t="s">
        <v>6910</v>
      </c>
      <c r="N324" s="14" t="s">
        <v>6911</v>
      </c>
      <c r="O324" s="11" t="str">
        <f>HYPERLINK("https://pbs.twimg.com/profile_images/573034054372597760/uU1rGRnE_normal.jpeg","View")</f>
        <v>View</v>
      </c>
      <c r="P324" s="15"/>
    </row>
    <row r="325">
      <c r="A325" s="7">
        <v>42421.8369212963</v>
      </c>
      <c r="B325" s="8" t="str">
        <f t="shared" ref="B325:B327" si="41">HYPERLINK("https://twitter.com/Rbloggers","@Rbloggers")</f>
        <v>@Rbloggers</v>
      </c>
      <c r="C325" s="10" t="s">
        <v>6221</v>
      </c>
      <c r="D325" s="10" t="s">
        <v>6914</v>
      </c>
      <c r="E325" s="11" t="str">
        <f>HYPERLINK("https://twitter.com/Rbloggers/status/701618708930670592","701618708930670592")</f>
        <v>701618708930670592</v>
      </c>
      <c r="F325" s="17" t="s">
        <v>6223</v>
      </c>
      <c r="G325" s="13">
        <v>28572.0</v>
      </c>
      <c r="H325" s="13">
        <v>36.0</v>
      </c>
      <c r="I325" s="13">
        <v>8.0</v>
      </c>
      <c r="J325" s="13">
        <v>21.0</v>
      </c>
      <c r="K325" s="12" t="s">
        <v>21</v>
      </c>
      <c r="L325" s="7">
        <v>40314.510601851856</v>
      </c>
      <c r="M325" s="16"/>
      <c r="N325" s="14" t="s">
        <v>6224</v>
      </c>
      <c r="O325" s="11" t="str">
        <f t="shared" ref="O325:O327" si="42">HYPERLINK("https://pbs.twimg.com/profile_images/502185985786916864/gkdFh-q7_normal.png","View")</f>
        <v>View</v>
      </c>
      <c r="P325" s="15"/>
    </row>
    <row r="326">
      <c r="A326" s="7">
        <v>42421.836956018524</v>
      </c>
      <c r="B326" s="8" t="str">
        <f t="shared" si="41"/>
        <v>@Rbloggers</v>
      </c>
      <c r="C326" s="10" t="s">
        <v>6221</v>
      </c>
      <c r="D326" s="10" t="s">
        <v>6915</v>
      </c>
      <c r="E326" s="11" t="str">
        <f>HYPERLINK("https://twitter.com/Rbloggers/status/701618723673632768","701618723673632768")</f>
        <v>701618723673632768</v>
      </c>
      <c r="F326" s="17" t="s">
        <v>6223</v>
      </c>
      <c r="G326" s="13">
        <v>28572.0</v>
      </c>
      <c r="H326" s="13">
        <v>36.0</v>
      </c>
      <c r="I326" s="13">
        <v>4.0</v>
      </c>
      <c r="J326" s="13">
        <v>6.0</v>
      </c>
      <c r="K326" s="12" t="s">
        <v>21</v>
      </c>
      <c r="L326" s="7">
        <v>40314.510601851856</v>
      </c>
      <c r="M326" s="16"/>
      <c r="N326" s="14" t="s">
        <v>6224</v>
      </c>
      <c r="O326" s="11" t="str">
        <f t="shared" si="42"/>
        <v>View</v>
      </c>
      <c r="P326" s="15"/>
    </row>
    <row r="327">
      <c r="A327" s="7">
        <v>42421.837013888886</v>
      </c>
      <c r="B327" s="8" t="str">
        <f t="shared" si="41"/>
        <v>@Rbloggers</v>
      </c>
      <c r="C327" s="10" t="s">
        <v>6221</v>
      </c>
      <c r="D327" s="10" t="s">
        <v>6916</v>
      </c>
      <c r="E327" s="11" t="str">
        <f>HYPERLINK("https://twitter.com/Rbloggers/status/701618744422825984","701618744422825984")</f>
        <v>701618744422825984</v>
      </c>
      <c r="F327" s="17" t="s">
        <v>6223</v>
      </c>
      <c r="G327" s="13">
        <v>28572.0</v>
      </c>
      <c r="H327" s="13">
        <v>36.0</v>
      </c>
      <c r="I327" s="13">
        <v>32.0</v>
      </c>
      <c r="J327" s="13">
        <v>53.0</v>
      </c>
      <c r="K327" s="12" t="s">
        <v>21</v>
      </c>
      <c r="L327" s="7">
        <v>40314.510601851856</v>
      </c>
      <c r="M327" s="16"/>
      <c r="N327" s="14" t="s">
        <v>6224</v>
      </c>
      <c r="O327" s="11" t="str">
        <f t="shared" si="42"/>
        <v>View</v>
      </c>
      <c r="P327" s="15"/>
    </row>
    <row r="328">
      <c r="A328" s="7">
        <v>42421.83767361111</v>
      </c>
      <c r="B328" s="8" t="str">
        <f>HYPERLINK("https://twitter.com/cotterw","@cotterw")</f>
        <v>@cotterw</v>
      </c>
      <c r="C328" s="10" t="s">
        <v>6917</v>
      </c>
      <c r="D328" s="10" t="s">
        <v>6918</v>
      </c>
      <c r="E328" s="11" t="str">
        <f>HYPERLINK("https://twitter.com/cotterw/status/701618980344057856","701618980344057856")</f>
        <v>701618980344057856</v>
      </c>
      <c r="F328" s="12" t="s">
        <v>52</v>
      </c>
      <c r="G328" s="13">
        <v>716.0</v>
      </c>
      <c r="H328" s="13">
        <v>814.0</v>
      </c>
      <c r="I328" s="13">
        <v>32.0</v>
      </c>
      <c r="J328" s="13">
        <v>0.0</v>
      </c>
      <c r="K328" s="12" t="s">
        <v>21</v>
      </c>
      <c r="L328" s="7">
        <v>39755.76767361111</v>
      </c>
      <c r="M328" s="14" t="s">
        <v>1137</v>
      </c>
      <c r="N328" s="14" t="s">
        <v>6919</v>
      </c>
      <c r="O328" s="11" t="str">
        <f>HYPERLINK("https://pbs.twimg.com/profile_images/694004161319292928/Bzu1EMNc_normal.png","View")</f>
        <v>View</v>
      </c>
      <c r="P328" s="15"/>
    </row>
    <row r="329">
      <c r="A329" s="7">
        <v>42421.837731481486</v>
      </c>
      <c r="B329" s="8" t="str">
        <f>HYPERLINK("https://twitter.com/jatkat45","@jatkat45")</f>
        <v>@jatkat45</v>
      </c>
      <c r="C329" s="10" t="s">
        <v>6920</v>
      </c>
      <c r="D329" s="10" t="s">
        <v>6918</v>
      </c>
      <c r="E329" s="11" t="str">
        <f>HYPERLINK("https://twitter.com/jatkat45/status/701619002423033857","701619002423033857")</f>
        <v>701619002423033857</v>
      </c>
      <c r="F329" s="12" t="s">
        <v>52</v>
      </c>
      <c r="G329" s="13">
        <v>1260.0</v>
      </c>
      <c r="H329" s="13">
        <v>2290.0</v>
      </c>
      <c r="I329" s="13">
        <v>32.0</v>
      </c>
      <c r="J329" s="13">
        <v>0.0</v>
      </c>
      <c r="K329" s="12" t="s">
        <v>21</v>
      </c>
      <c r="L329" s="7">
        <v>41577.453668981485</v>
      </c>
      <c r="M329" s="14" t="s">
        <v>332</v>
      </c>
      <c r="N329" s="14" t="s">
        <v>6921</v>
      </c>
      <c r="O329" s="11" t="str">
        <f>HYPERLINK("https://pbs.twimg.com/profile_images/687122510672953344/ppVG2cIC_normal.jpg","View")</f>
        <v>View</v>
      </c>
      <c r="P329" s="15"/>
    </row>
    <row r="330">
      <c r="A330" s="7">
        <v>42421.83815972222</v>
      </c>
      <c r="B330" s="8" t="str">
        <f>HYPERLINK("https://twitter.com/PastelBio","@PastelBio")</f>
        <v>@PastelBio</v>
      </c>
      <c r="C330" s="10" t="s">
        <v>6922</v>
      </c>
      <c r="D330" s="10" t="s">
        <v>6839</v>
      </c>
      <c r="E330" s="11" t="str">
        <f>HYPERLINK("https://twitter.com/PastelBio/status/701619158958612481","701619158958612481")</f>
        <v>701619158958612481</v>
      </c>
      <c r="F330" s="12" t="s">
        <v>6923</v>
      </c>
      <c r="G330" s="13">
        <v>842.0</v>
      </c>
      <c r="H330" s="13">
        <v>978.0</v>
      </c>
      <c r="I330" s="13">
        <v>3.0</v>
      </c>
      <c r="J330" s="13">
        <v>0.0</v>
      </c>
      <c r="K330" s="12" t="s">
        <v>21</v>
      </c>
      <c r="L330" s="7">
        <v>40739.19840277778</v>
      </c>
      <c r="M330" s="16"/>
      <c r="N330" s="14" t="s">
        <v>6924</v>
      </c>
      <c r="O330" s="11" t="str">
        <f>HYPERLINK("https://pbs.twimg.com/profile_images/1506315367/3D_up_down_normal.png","View")</f>
        <v>View</v>
      </c>
      <c r="P330" s="15"/>
    </row>
    <row r="331">
      <c r="A331" s="7">
        <v>42421.83818287037</v>
      </c>
      <c r="B331" s="8" t="str">
        <f>HYPERLINK("https://twitter.com/jenstirrup","@jenstirrup")</f>
        <v>@jenstirrup</v>
      </c>
      <c r="C331" s="10" t="s">
        <v>6432</v>
      </c>
      <c r="D331" s="10" t="s">
        <v>6925</v>
      </c>
      <c r="E331" s="11" t="str">
        <f>HYPERLINK("https://twitter.com/jenstirrup/status/701619165568741376","701619165568741376")</f>
        <v>701619165568741376</v>
      </c>
      <c r="F331" s="12" t="s">
        <v>20</v>
      </c>
      <c r="G331" s="13">
        <v>8763.0</v>
      </c>
      <c r="H331" s="13">
        <v>3147.0</v>
      </c>
      <c r="I331" s="13">
        <v>0.0</v>
      </c>
      <c r="J331" s="13">
        <v>1.0</v>
      </c>
      <c r="K331" s="12" t="s">
        <v>21</v>
      </c>
      <c r="L331" s="7">
        <v>39879.60259259259</v>
      </c>
      <c r="M331" s="14" t="s">
        <v>6434</v>
      </c>
      <c r="N331" s="14" t="s">
        <v>6435</v>
      </c>
      <c r="O331" s="11" t="str">
        <f>HYPERLINK("https://pbs.twimg.com/profile_images/696103690369949696/EpU6buAs_normal.jpg","View")</f>
        <v>View</v>
      </c>
      <c r="P331" s="15"/>
    </row>
    <row r="332">
      <c r="A332" s="7">
        <v>42421.83818287037</v>
      </c>
      <c r="B332" s="8" t="str">
        <f t="shared" ref="B332:B333" si="43">HYPERLINK("https://twitter.com/jatkat45","@jatkat45")</f>
        <v>@jatkat45</v>
      </c>
      <c r="C332" s="10" t="s">
        <v>6920</v>
      </c>
      <c r="D332" s="10" t="s">
        <v>6926</v>
      </c>
      <c r="E332" s="11" t="str">
        <f>HYPERLINK("https://twitter.com/jatkat45/status/701619167330496514","701619167330496514")</f>
        <v>701619167330496514</v>
      </c>
      <c r="F332" s="12" t="s">
        <v>52</v>
      </c>
      <c r="G332" s="13">
        <v>1260.0</v>
      </c>
      <c r="H332" s="13">
        <v>2290.0</v>
      </c>
      <c r="I332" s="13">
        <v>4.0</v>
      </c>
      <c r="J332" s="13">
        <v>0.0</v>
      </c>
      <c r="K332" s="12" t="s">
        <v>21</v>
      </c>
      <c r="L332" s="7">
        <v>41577.453668981485</v>
      </c>
      <c r="M332" s="14" t="s">
        <v>332</v>
      </c>
      <c r="N332" s="14" t="s">
        <v>6921</v>
      </c>
      <c r="O332" s="11" t="str">
        <f t="shared" ref="O332:O333" si="44">HYPERLINK("https://pbs.twimg.com/profile_images/687122510672953344/ppVG2cIC_normal.jpg","View")</f>
        <v>View</v>
      </c>
      <c r="P332" s="15"/>
    </row>
    <row r="333">
      <c r="A333" s="7">
        <v>42421.838229166664</v>
      </c>
      <c r="B333" s="8" t="str">
        <f t="shared" si="43"/>
        <v>@jatkat45</v>
      </c>
      <c r="C333" s="10" t="s">
        <v>6920</v>
      </c>
      <c r="D333" s="10" t="s">
        <v>6927</v>
      </c>
      <c r="E333" s="11" t="str">
        <f>HYPERLINK("https://twitter.com/jatkat45/status/701619181754707968","701619181754707968")</f>
        <v>701619181754707968</v>
      </c>
      <c r="F333" s="12" t="s">
        <v>52</v>
      </c>
      <c r="G333" s="13">
        <v>1260.0</v>
      </c>
      <c r="H333" s="13">
        <v>2290.0</v>
      </c>
      <c r="I333" s="13">
        <v>8.0</v>
      </c>
      <c r="J333" s="13">
        <v>0.0</v>
      </c>
      <c r="K333" s="12" t="s">
        <v>21</v>
      </c>
      <c r="L333" s="7">
        <v>41577.453668981485</v>
      </c>
      <c r="M333" s="14" t="s">
        <v>332</v>
      </c>
      <c r="N333" s="14" t="s">
        <v>6921</v>
      </c>
      <c r="O333" s="11" t="str">
        <f t="shared" si="44"/>
        <v>View</v>
      </c>
      <c r="P333" s="15"/>
    </row>
    <row r="334">
      <c r="A334" s="7">
        <v>42421.83840277778</v>
      </c>
      <c r="B334" s="8" t="str">
        <f t="shared" ref="B334:B335" si="45">HYPERLINK("https://twitter.com/Sergio_CPS","@Sergio_CPS")</f>
        <v>@Sergio_CPS</v>
      </c>
      <c r="C334" s="10" t="s">
        <v>6395</v>
      </c>
      <c r="D334" s="10" t="s">
        <v>6918</v>
      </c>
      <c r="E334" s="11" t="str">
        <f>HYPERLINK("https://twitter.com/Sergio_CPS/status/701619246829273088","701619246829273088")</f>
        <v>701619246829273088</v>
      </c>
      <c r="F334" s="12" t="s">
        <v>20</v>
      </c>
      <c r="G334" s="13">
        <v>643.0</v>
      </c>
      <c r="H334" s="13">
        <v>644.0</v>
      </c>
      <c r="I334" s="13">
        <v>32.0</v>
      </c>
      <c r="J334" s="13">
        <v>0.0</v>
      </c>
      <c r="K334" s="12" t="s">
        <v>21</v>
      </c>
      <c r="L334" s="7">
        <v>39958.0190162037</v>
      </c>
      <c r="M334" s="14" t="s">
        <v>6396</v>
      </c>
      <c r="N334" s="14" t="s">
        <v>6397</v>
      </c>
      <c r="O334" s="11" t="str">
        <f t="shared" ref="O334:O335" si="46">HYPERLINK("https://pbs.twimg.com/profile_images/672265924184010752/LrKCh_kA_normal.png","View")</f>
        <v>View</v>
      </c>
      <c r="P334" s="15"/>
    </row>
    <row r="335">
      <c r="A335" s="7">
        <v>42421.83869212963</v>
      </c>
      <c r="B335" s="8" t="str">
        <f t="shared" si="45"/>
        <v>@Sergio_CPS</v>
      </c>
      <c r="C335" s="10" t="s">
        <v>6395</v>
      </c>
      <c r="D335" s="10" t="s">
        <v>6926</v>
      </c>
      <c r="E335" s="11" t="str">
        <f>HYPERLINK("https://twitter.com/Sergio_CPS/status/701619353314312192","701619353314312192")</f>
        <v>701619353314312192</v>
      </c>
      <c r="F335" s="12" t="s">
        <v>20</v>
      </c>
      <c r="G335" s="13">
        <v>643.0</v>
      </c>
      <c r="H335" s="13">
        <v>644.0</v>
      </c>
      <c r="I335" s="13">
        <v>4.0</v>
      </c>
      <c r="J335" s="13">
        <v>0.0</v>
      </c>
      <c r="K335" s="12" t="s">
        <v>21</v>
      </c>
      <c r="L335" s="7">
        <v>39958.0190162037</v>
      </c>
      <c r="M335" s="14" t="s">
        <v>6396</v>
      </c>
      <c r="N335" s="14" t="s">
        <v>6397</v>
      </c>
      <c r="O335" s="11" t="str">
        <f t="shared" si="46"/>
        <v>View</v>
      </c>
      <c r="P335" s="15"/>
    </row>
    <row r="336">
      <c r="A336" s="7">
        <v>42421.84190972222</v>
      </c>
      <c r="B336" s="8" t="str">
        <f>HYPERLINK("https://twitter.com/jmsl","@jmsl")</f>
        <v>@jmsl</v>
      </c>
      <c r="C336" s="10" t="s">
        <v>6928</v>
      </c>
      <c r="D336" s="10" t="s">
        <v>6927</v>
      </c>
      <c r="E336" s="11" t="str">
        <f>HYPERLINK("https://twitter.com/jmsl/status/701620516247965697","701620516247965697")</f>
        <v>701620516247965697</v>
      </c>
      <c r="F336" s="12" t="s">
        <v>52</v>
      </c>
      <c r="G336" s="13">
        <v>195.0</v>
      </c>
      <c r="H336" s="13">
        <v>1047.0</v>
      </c>
      <c r="I336" s="13">
        <v>8.0</v>
      </c>
      <c r="J336" s="13">
        <v>0.0</v>
      </c>
      <c r="K336" s="12" t="s">
        <v>21</v>
      </c>
      <c r="L336" s="7">
        <v>39172.01907407407</v>
      </c>
      <c r="M336" s="24">
        <v>3045531.0</v>
      </c>
      <c r="N336" s="14" t="s">
        <v>6929</v>
      </c>
      <c r="O336" s="11" t="str">
        <f>HYPERLINK("https://pbs.twimg.com/profile_images/295048221/Photo_2_normal.jpg","View")</f>
        <v>View</v>
      </c>
      <c r="P336" s="15"/>
    </row>
    <row r="337">
      <c r="A337" s="7">
        <v>42421.84314814815</v>
      </c>
      <c r="B337" s="8" t="str">
        <f>HYPERLINK("https://twitter.com/jletteboer","@jletteboer")</f>
        <v>@jletteboer</v>
      </c>
      <c r="C337" s="10" t="s">
        <v>3886</v>
      </c>
      <c r="D337" s="10" t="s">
        <v>6930</v>
      </c>
      <c r="E337" s="11" t="str">
        <f>HYPERLINK("https://twitter.com/jletteboer/status/701620968171692032","701620968171692032")</f>
        <v>701620968171692032</v>
      </c>
      <c r="F337" s="17" t="s">
        <v>718</v>
      </c>
      <c r="G337" s="13">
        <v>818.0</v>
      </c>
      <c r="H337" s="13">
        <v>786.0</v>
      </c>
      <c r="I337" s="13">
        <v>0.0</v>
      </c>
      <c r="J337" s="13">
        <v>1.0</v>
      </c>
      <c r="K337" s="12" t="s">
        <v>21</v>
      </c>
      <c r="L337" s="7">
        <v>40142.24915509259</v>
      </c>
      <c r="M337" s="14" t="s">
        <v>1007</v>
      </c>
      <c r="N337" s="14" t="s">
        <v>3888</v>
      </c>
      <c r="O337" s="11" t="str">
        <f>HYPERLINK("https://pbs.twimg.com/profile_images/524199331365015552/O94t9yIe_normal.jpeg","View")</f>
        <v>View</v>
      </c>
      <c r="P337" s="15"/>
    </row>
    <row r="338">
      <c r="A338" s="7">
        <v>42421.84421296296</v>
      </c>
      <c r="B338" s="8" t="str">
        <f>HYPERLINK("https://twitter.com/jmsl","@jmsl")</f>
        <v>@jmsl</v>
      </c>
      <c r="C338" s="10" t="s">
        <v>6928</v>
      </c>
      <c r="D338" s="10" t="s">
        <v>6918</v>
      </c>
      <c r="E338" s="11" t="str">
        <f>HYPERLINK("https://twitter.com/jmsl/status/701621353045168128","701621353045168128")</f>
        <v>701621353045168128</v>
      </c>
      <c r="F338" s="12" t="s">
        <v>52</v>
      </c>
      <c r="G338" s="13">
        <v>195.0</v>
      </c>
      <c r="H338" s="13">
        <v>1047.0</v>
      </c>
      <c r="I338" s="13">
        <v>32.0</v>
      </c>
      <c r="J338" s="13">
        <v>0.0</v>
      </c>
      <c r="K338" s="12" t="s">
        <v>21</v>
      </c>
      <c r="L338" s="7">
        <v>39172.01907407407</v>
      </c>
      <c r="M338" s="24">
        <v>3045531.0</v>
      </c>
      <c r="N338" s="14" t="s">
        <v>6929</v>
      </c>
      <c r="O338" s="11" t="str">
        <f>HYPERLINK("https://pbs.twimg.com/profile_images/295048221/Photo_2_normal.jpg","View")</f>
        <v>View</v>
      </c>
      <c r="P338" s="15"/>
    </row>
    <row r="339">
      <c r="A339" s="7">
        <v>42421.849444444444</v>
      </c>
      <c r="B339" s="8" t="str">
        <f>HYPERLINK("https://twitter.com/vijaybarve","@vijaybarve")</f>
        <v>@vijaybarve</v>
      </c>
      <c r="C339" s="10" t="s">
        <v>6931</v>
      </c>
      <c r="D339" s="10" t="s">
        <v>6932</v>
      </c>
      <c r="E339" s="11" t="str">
        <f>HYPERLINK("https://twitter.com/vijaybarve/status/701623248543490049","701623248543490049")</f>
        <v>701623248543490049</v>
      </c>
      <c r="F339" s="12" t="s">
        <v>20</v>
      </c>
      <c r="G339" s="13">
        <v>704.0</v>
      </c>
      <c r="H339" s="13">
        <v>1136.0</v>
      </c>
      <c r="I339" s="13">
        <v>1.0</v>
      </c>
      <c r="J339" s="13">
        <v>1.0</v>
      </c>
      <c r="K339" s="12" t="s">
        <v>21</v>
      </c>
      <c r="L339" s="7">
        <v>39696.6280787037</v>
      </c>
      <c r="M339" s="14" t="s">
        <v>1891</v>
      </c>
      <c r="N339" s="18" t="s">
        <v>6933</v>
      </c>
      <c r="O339" s="11" t="str">
        <f>HYPERLINK("https://pbs.twimg.com/profile_images/59791919/vb_normal.JPG","View")</f>
        <v>View</v>
      </c>
      <c r="P339" s="15"/>
    </row>
    <row r="340">
      <c r="A340" s="7">
        <v>42421.85388888889</v>
      </c>
      <c r="B340" s="8" t="str">
        <f t="shared" ref="B340:B341" si="47">HYPERLINK("https://twitter.com/atthinks","@atthinks")</f>
        <v>@atthinks</v>
      </c>
      <c r="C340" s="10" t="s">
        <v>6934</v>
      </c>
      <c r="D340" s="10" t="s">
        <v>6918</v>
      </c>
      <c r="E340" s="11" t="str">
        <f>HYPERLINK("https://twitter.com/atthinks/status/701624859705540608","701624859705540608")</f>
        <v>701624859705540608</v>
      </c>
      <c r="F340" s="12" t="s">
        <v>52</v>
      </c>
      <c r="G340" s="13">
        <v>167.0</v>
      </c>
      <c r="H340" s="13">
        <v>379.0</v>
      </c>
      <c r="I340" s="13">
        <v>32.0</v>
      </c>
      <c r="J340" s="13">
        <v>0.0</v>
      </c>
      <c r="K340" s="12" t="s">
        <v>21</v>
      </c>
      <c r="L340" s="7">
        <v>40509.65456018518</v>
      </c>
      <c r="M340" s="16"/>
      <c r="N340" s="14" t="s">
        <v>6935</v>
      </c>
      <c r="O340" s="11" t="str">
        <f t="shared" ref="O340:O341" si="48">HYPERLINK("https://pbs.twimg.com/profile_images/2138752377/TwittPic_normal.jpg","View")</f>
        <v>View</v>
      </c>
      <c r="P340" s="15"/>
    </row>
    <row r="341">
      <c r="A341" s="7">
        <v>42421.85394675926</v>
      </c>
      <c r="B341" s="8" t="str">
        <f t="shared" si="47"/>
        <v>@atthinks</v>
      </c>
      <c r="C341" s="10" t="s">
        <v>6934</v>
      </c>
      <c r="D341" s="10" t="s">
        <v>6927</v>
      </c>
      <c r="E341" s="11" t="str">
        <f>HYPERLINK("https://twitter.com/atthinks/status/701624879477424129","701624879477424129")</f>
        <v>701624879477424129</v>
      </c>
      <c r="F341" s="12" t="s">
        <v>52</v>
      </c>
      <c r="G341" s="13">
        <v>167.0</v>
      </c>
      <c r="H341" s="13">
        <v>379.0</v>
      </c>
      <c r="I341" s="13">
        <v>8.0</v>
      </c>
      <c r="J341" s="13">
        <v>0.0</v>
      </c>
      <c r="K341" s="12" t="s">
        <v>21</v>
      </c>
      <c r="L341" s="7">
        <v>40509.65456018518</v>
      </c>
      <c r="M341" s="16"/>
      <c r="N341" s="14" t="s">
        <v>6935</v>
      </c>
      <c r="O341" s="11" t="str">
        <f t="shared" si="48"/>
        <v>View</v>
      </c>
      <c r="P341" s="15"/>
    </row>
    <row r="342">
      <c r="A342" s="7">
        <v>42421.855625</v>
      </c>
      <c r="B342" s="8" t="str">
        <f>HYPERLINK("https://twitter.com/nickprock","@nickprock")</f>
        <v>@nickprock</v>
      </c>
      <c r="C342" s="10" t="s">
        <v>6936</v>
      </c>
      <c r="D342" s="10" t="s">
        <v>6918</v>
      </c>
      <c r="E342" s="11" t="str">
        <f>HYPERLINK("https://twitter.com/nickprock/status/701625487555166208","701625487555166208")</f>
        <v>701625487555166208</v>
      </c>
      <c r="F342" s="12" t="s">
        <v>152</v>
      </c>
      <c r="G342" s="13">
        <v>365.0</v>
      </c>
      <c r="H342" s="13">
        <v>285.0</v>
      </c>
      <c r="I342" s="13">
        <v>32.0</v>
      </c>
      <c r="J342" s="13">
        <v>0.0</v>
      </c>
      <c r="K342" s="12" t="s">
        <v>21</v>
      </c>
      <c r="L342" s="7">
        <v>41201.443564814814</v>
      </c>
      <c r="M342" s="14" t="s">
        <v>6937</v>
      </c>
      <c r="N342" s="14" t="s">
        <v>6938</v>
      </c>
      <c r="O342" s="11" t="str">
        <f>HYPERLINK("https://pbs.twimg.com/profile_images/702769171512356864/SpA-fhsV_normal.jpg","View")</f>
        <v>View</v>
      </c>
      <c r="P342" s="15"/>
    </row>
    <row r="343">
      <c r="A343" s="7">
        <v>42421.85775462963</v>
      </c>
      <c r="B343" s="8" t="str">
        <f>HYPERLINK("https://twitter.com/ProfRedOwl","@ProfRedOwl")</f>
        <v>@ProfRedOwl</v>
      </c>
      <c r="C343" s="10" t="s">
        <v>6939</v>
      </c>
      <c r="D343" s="10" t="s">
        <v>6896</v>
      </c>
      <c r="E343" s="11" t="str">
        <f>HYPERLINK("https://twitter.com/ProfRedOwl/status/701626258665422848","701626258665422848")</f>
        <v>701626258665422848</v>
      </c>
      <c r="F343" s="12" t="s">
        <v>20</v>
      </c>
      <c r="G343" s="13">
        <v>317.0</v>
      </c>
      <c r="H343" s="13">
        <v>270.0</v>
      </c>
      <c r="I343" s="13">
        <v>2.0</v>
      </c>
      <c r="J343" s="13">
        <v>0.0</v>
      </c>
      <c r="K343" s="12" t="s">
        <v>21</v>
      </c>
      <c r="L343" s="7">
        <v>39971.648194444446</v>
      </c>
      <c r="M343" s="16"/>
      <c r="N343" s="14" t="s">
        <v>6940</v>
      </c>
      <c r="O343" s="11" t="str">
        <f>HYPERLINK("https://pbs.twimg.com/profile_images/2936510755/42fe7970ccba08ab320a202d8b0c5ee0_normal.png","View")</f>
        <v>View</v>
      </c>
      <c r="P343" s="15"/>
    </row>
    <row r="344">
      <c r="A344" s="7">
        <v>42421.85797453704</v>
      </c>
      <c r="B344" s="8" t="str">
        <f t="shared" ref="B344:B345" si="49">HYPERLINK("https://twitter.com/LovedeepSG","@LovedeepSG")</f>
        <v>@LovedeepSG</v>
      </c>
      <c r="C344" s="10" t="s">
        <v>6501</v>
      </c>
      <c r="D344" s="10" t="s">
        <v>6918</v>
      </c>
      <c r="E344" s="11" t="str">
        <f>HYPERLINK("https://twitter.com/LovedeepSG/status/701626337115508736","701626337115508736")</f>
        <v>701626337115508736</v>
      </c>
      <c r="F344" s="12" t="s">
        <v>20</v>
      </c>
      <c r="G344" s="13">
        <v>46.0</v>
      </c>
      <c r="H344" s="13">
        <v>85.0</v>
      </c>
      <c r="I344" s="13">
        <v>32.0</v>
      </c>
      <c r="J344" s="13">
        <v>0.0</v>
      </c>
      <c r="K344" s="12" t="s">
        <v>21</v>
      </c>
      <c r="L344" s="7">
        <v>41453.381203703706</v>
      </c>
      <c r="M344" s="14" t="s">
        <v>4138</v>
      </c>
      <c r="N344" s="14" t="s">
        <v>6502</v>
      </c>
      <c r="O344" s="11" t="str">
        <f t="shared" ref="O344:O345" si="50">HYPERLINK("https://pbs.twimg.com/profile_images/378800000059126288/17d4fa184bbd13c1e64465a3cc234efc_normal.jpeg","View")</f>
        <v>View</v>
      </c>
      <c r="P344" s="15"/>
    </row>
    <row r="345">
      <c r="A345" s="7">
        <v>42421.85802083333</v>
      </c>
      <c r="B345" s="8" t="str">
        <f t="shared" si="49"/>
        <v>@LovedeepSG</v>
      </c>
      <c r="C345" s="10" t="s">
        <v>6501</v>
      </c>
      <c r="D345" s="10" t="s">
        <v>6927</v>
      </c>
      <c r="E345" s="11" t="str">
        <f>HYPERLINK("https://twitter.com/LovedeepSG/status/701626356941979648","701626356941979648")</f>
        <v>701626356941979648</v>
      </c>
      <c r="F345" s="12" t="s">
        <v>20</v>
      </c>
      <c r="G345" s="13">
        <v>46.0</v>
      </c>
      <c r="H345" s="13">
        <v>85.0</v>
      </c>
      <c r="I345" s="13">
        <v>8.0</v>
      </c>
      <c r="J345" s="13">
        <v>0.0</v>
      </c>
      <c r="K345" s="12" t="s">
        <v>21</v>
      </c>
      <c r="L345" s="7">
        <v>41453.381203703706</v>
      </c>
      <c r="M345" s="14" t="s">
        <v>4138</v>
      </c>
      <c r="N345" s="14" t="s">
        <v>6502</v>
      </c>
      <c r="O345" s="11" t="str">
        <f t="shared" si="50"/>
        <v>View</v>
      </c>
      <c r="P345" s="15"/>
    </row>
    <row r="346">
      <c r="A346" s="7">
        <v>42421.85886574074</v>
      </c>
      <c r="B346" s="8" t="str">
        <f>HYPERLINK("https://twitter.com/KirkDBorne","@KirkDBorne")</f>
        <v>@KirkDBorne</v>
      </c>
      <c r="C346" s="10" t="s">
        <v>4099</v>
      </c>
      <c r="D346" s="10" t="s">
        <v>6941</v>
      </c>
      <c r="E346" s="11" t="str">
        <f>HYPERLINK("https://twitter.com/KirkDBorne/status/701626663424106496","701626663424106496")</f>
        <v>701626663424106496</v>
      </c>
      <c r="F346" s="12" t="s">
        <v>20</v>
      </c>
      <c r="G346" s="13">
        <v>64193.0</v>
      </c>
      <c r="H346" s="13">
        <v>62659.0</v>
      </c>
      <c r="I346" s="13">
        <v>17.0</v>
      </c>
      <c r="J346" s="13">
        <v>24.0</v>
      </c>
      <c r="K346" s="12" t="s">
        <v>21</v>
      </c>
      <c r="L346" s="7">
        <v>40991.399502314816</v>
      </c>
      <c r="M346" s="14" t="s">
        <v>4101</v>
      </c>
      <c r="N346" s="14" t="s">
        <v>4102</v>
      </c>
      <c r="O346" s="11" t="str">
        <f>HYPERLINK("https://pbs.twimg.com/profile_images/680246148762828801/flXTNSKT_normal.jpg","View")</f>
        <v>View</v>
      </c>
      <c r="P346" s="15"/>
    </row>
    <row r="347">
      <c r="A347" s="7">
        <v>42421.861608796295</v>
      </c>
      <c r="B347" s="8" t="str">
        <f>HYPERLINK("https://twitter.com/HopefulGeek","@HopefulGeek")</f>
        <v>@HopefulGeek</v>
      </c>
      <c r="C347" s="10" t="s">
        <v>4038</v>
      </c>
      <c r="D347" s="10" t="s">
        <v>6942</v>
      </c>
      <c r="E347" s="11" t="str">
        <f>HYPERLINK("https://twitter.com/HopefulGeek/status/701627656052158464","701627656052158464")</f>
        <v>701627656052158464</v>
      </c>
      <c r="F347" s="12" t="s">
        <v>20</v>
      </c>
      <c r="G347" s="13">
        <v>3516.0</v>
      </c>
      <c r="H347" s="13">
        <v>4981.0</v>
      </c>
      <c r="I347" s="13">
        <v>17.0</v>
      </c>
      <c r="J347" s="13">
        <v>0.0</v>
      </c>
      <c r="K347" s="12" t="s">
        <v>21</v>
      </c>
      <c r="L347" s="7">
        <v>40839.438622685186</v>
      </c>
      <c r="M347" s="16"/>
      <c r="N347" s="14" t="s">
        <v>4040</v>
      </c>
      <c r="O347" s="11" t="str">
        <f>HYPERLINK("https://pbs.twimg.com/profile_images/695137208118804480/8xneexGX_normal.png","View")</f>
        <v>View</v>
      </c>
      <c r="P347" s="15"/>
    </row>
    <row r="348">
      <c r="A348" s="7">
        <v>42421.86344907407</v>
      </c>
      <c r="B348" s="8" t="str">
        <f>HYPERLINK("https://twitter.com/harrysuntech","@harrysuntech")</f>
        <v>@harrysuntech</v>
      </c>
      <c r="C348" s="10" t="s">
        <v>6398</v>
      </c>
      <c r="D348" s="10" t="s">
        <v>6943</v>
      </c>
      <c r="E348" s="11" t="str">
        <f>HYPERLINK("https://twitter.com/harrysuntech/status/701628324917936128","701628324917936128")</f>
        <v>701628324917936128</v>
      </c>
      <c r="F348" s="12" t="s">
        <v>1573</v>
      </c>
      <c r="G348" s="13">
        <v>76.0</v>
      </c>
      <c r="H348" s="13">
        <v>156.0</v>
      </c>
      <c r="I348" s="13">
        <v>1.0</v>
      </c>
      <c r="J348" s="13">
        <v>0.0</v>
      </c>
      <c r="K348" s="12" t="s">
        <v>21</v>
      </c>
      <c r="L348" s="7">
        <v>40087.63778935185</v>
      </c>
      <c r="M348" s="14" t="s">
        <v>6399</v>
      </c>
      <c r="N348" s="14" t="s">
        <v>6400</v>
      </c>
      <c r="O348" s="11" t="str">
        <f>HYPERLINK("https://pbs.twimg.com/profile_images/940277327/calvin-and-hobbes1_normal.jpg","View")</f>
        <v>View</v>
      </c>
      <c r="P348" s="15"/>
    </row>
    <row r="349">
      <c r="A349" s="7">
        <v>42421.863900462966</v>
      </c>
      <c r="B349" s="8" t="str">
        <f>HYPERLINK("https://twitter.com/MudraMukherjee","@MudraMukherjee")</f>
        <v>@MudraMukherjee</v>
      </c>
      <c r="C349" s="10" t="s">
        <v>6944</v>
      </c>
      <c r="D349" s="10" t="s">
        <v>6942</v>
      </c>
      <c r="E349" s="11" t="str">
        <f>HYPERLINK("https://twitter.com/MudraMukherjee/status/701628484972650496","701628484972650496")</f>
        <v>701628484972650496</v>
      </c>
      <c r="F349" s="12" t="s">
        <v>20</v>
      </c>
      <c r="G349" s="13">
        <v>81.0</v>
      </c>
      <c r="H349" s="13">
        <v>249.0</v>
      </c>
      <c r="I349" s="13">
        <v>17.0</v>
      </c>
      <c r="J349" s="13">
        <v>0.0</v>
      </c>
      <c r="K349" s="12" t="s">
        <v>21</v>
      </c>
      <c r="L349" s="7">
        <v>40657.89446759259</v>
      </c>
      <c r="M349" s="14" t="s">
        <v>1158</v>
      </c>
      <c r="N349" s="14" t="s">
        <v>6945</v>
      </c>
      <c r="O349" s="11" t="str">
        <f>HYPERLINK("https://pbs.twimg.com/profile_images/703272650286587904/n8D2NINN_normal.jpg","View")</f>
        <v>View</v>
      </c>
      <c r="P349" s="15"/>
    </row>
    <row r="350">
      <c r="A350" s="7">
        <v>42421.86431712963</v>
      </c>
      <c r="B350" s="8" t="str">
        <f>HYPERLINK("https://twitter.com/malishoaib","@malishoaib")</f>
        <v>@malishoaib</v>
      </c>
      <c r="C350" s="10" t="s">
        <v>6946</v>
      </c>
      <c r="D350" s="10" t="s">
        <v>6942</v>
      </c>
      <c r="E350" s="11" t="str">
        <f>HYPERLINK("https://twitter.com/malishoaib/status/701628636647047168","701628636647047168")</f>
        <v>701628636647047168</v>
      </c>
      <c r="F350" s="12" t="s">
        <v>20</v>
      </c>
      <c r="G350" s="13">
        <v>185.0</v>
      </c>
      <c r="H350" s="13">
        <v>91.0</v>
      </c>
      <c r="I350" s="13">
        <v>17.0</v>
      </c>
      <c r="J350" s="13">
        <v>0.0</v>
      </c>
      <c r="K350" s="12" t="s">
        <v>21</v>
      </c>
      <c r="L350" s="7">
        <v>41604.57268518519</v>
      </c>
      <c r="M350" s="16"/>
      <c r="N350" s="14" t="s">
        <v>6947</v>
      </c>
      <c r="O350" s="11" t="str">
        <f>HYPERLINK("https://pbs.twimg.com/profile_images/487736862778204160/LehfYfpd_normal.jpeg","View")</f>
        <v>View</v>
      </c>
      <c r="P350" s="15"/>
    </row>
    <row r="351">
      <c r="A351" s="7">
        <v>42421.864895833336</v>
      </c>
      <c r="B351" s="8" t="str">
        <f>HYPERLINK("https://twitter.com/ekendriss","@ekendriss")</f>
        <v>@ekendriss</v>
      </c>
      <c r="C351" s="10" t="s">
        <v>6948</v>
      </c>
      <c r="D351" s="10" t="s">
        <v>6942</v>
      </c>
      <c r="E351" s="11" t="str">
        <f>HYPERLINK("https://twitter.com/ekendriss/status/701628847981260800","701628847981260800")</f>
        <v>701628847981260800</v>
      </c>
      <c r="F351" s="12" t="s">
        <v>1573</v>
      </c>
      <c r="G351" s="13">
        <v>872.0</v>
      </c>
      <c r="H351" s="13">
        <v>2183.0</v>
      </c>
      <c r="I351" s="13">
        <v>17.0</v>
      </c>
      <c r="J351" s="13">
        <v>0.0</v>
      </c>
      <c r="K351" s="12" t="s">
        <v>21</v>
      </c>
      <c r="L351" s="7">
        <v>39929.44217592593</v>
      </c>
      <c r="M351" s="14" t="s">
        <v>6949</v>
      </c>
      <c r="N351" s="14" t="s">
        <v>6950</v>
      </c>
      <c r="O351" s="11" t="str">
        <f>HYPERLINK("https://pbs.twimg.com/profile_images/2886052222/56e11933fcfa9800544647837f67e062_normal.png","View")</f>
        <v>View</v>
      </c>
      <c r="P351" s="15"/>
    </row>
    <row r="352">
      <c r="A352" s="7">
        <v>42421.86708333333</v>
      </c>
      <c r="B352" s="8" t="str">
        <f>HYPERLINK("https://twitter.com/japalaciosg","@japalaciosg")</f>
        <v>@japalaciosg</v>
      </c>
      <c r="C352" s="10" t="s">
        <v>6951</v>
      </c>
      <c r="D352" s="10" t="s">
        <v>6942</v>
      </c>
      <c r="E352" s="11" t="str">
        <f>HYPERLINK("https://twitter.com/japalaciosg/status/701629639823900673","701629639823900673")</f>
        <v>701629639823900673</v>
      </c>
      <c r="F352" s="12" t="s">
        <v>152</v>
      </c>
      <c r="G352" s="13">
        <v>310.0</v>
      </c>
      <c r="H352" s="13">
        <v>663.0</v>
      </c>
      <c r="I352" s="13">
        <v>17.0</v>
      </c>
      <c r="J352" s="13">
        <v>0.0</v>
      </c>
      <c r="K352" s="12" t="s">
        <v>21</v>
      </c>
      <c r="L352" s="7">
        <v>41391.16357638889</v>
      </c>
      <c r="M352" s="16"/>
      <c r="N352" s="16"/>
      <c r="O352" s="11" t="str">
        <f>HYPERLINK("https://pbs.twimg.com/profile_images/596724230449930240/Fg3wVDMe_normal.jpg","View")</f>
        <v>View</v>
      </c>
      <c r="P352" s="15"/>
    </row>
    <row r="353">
      <c r="A353" s="7">
        <v>42421.867893518516</v>
      </c>
      <c r="B353" s="8" t="str">
        <f>HYPERLINK("https://twitter.com/PalooneyLee","@PalooneyLee")</f>
        <v>@PalooneyLee</v>
      </c>
      <c r="C353" s="10" t="s">
        <v>6952</v>
      </c>
      <c r="D353" s="10" t="s">
        <v>6918</v>
      </c>
      <c r="E353" s="11" t="str">
        <f>HYPERLINK("https://twitter.com/PalooneyLee/status/701629935601868801","701629935601868801")</f>
        <v>701629935601868801</v>
      </c>
      <c r="F353" s="12" t="s">
        <v>6953</v>
      </c>
      <c r="G353" s="13">
        <v>26.0</v>
      </c>
      <c r="H353" s="13">
        <v>46.0</v>
      </c>
      <c r="I353" s="13">
        <v>32.0</v>
      </c>
      <c r="J353" s="13">
        <v>0.0</v>
      </c>
      <c r="K353" s="12" t="s">
        <v>21</v>
      </c>
      <c r="L353" s="7">
        <v>40303.02851851852</v>
      </c>
      <c r="M353" s="14" t="s">
        <v>1936</v>
      </c>
      <c r="N353" s="14" t="s">
        <v>6954</v>
      </c>
      <c r="O353" s="11" t="str">
        <f>HYPERLINK("https://pbs.twimg.com/profile_images/461360289447817216/0SVIXol4_normal.jpeg","View")</f>
        <v>View</v>
      </c>
      <c r="P353" s="15"/>
    </row>
    <row r="354">
      <c r="A354" s="7">
        <v>42421.868356481486</v>
      </c>
      <c r="B354" s="8" t="str">
        <f>HYPERLINK("https://twitter.com/rukku","@rukku")</f>
        <v>@rukku</v>
      </c>
      <c r="C354" s="10" t="s">
        <v>6955</v>
      </c>
      <c r="D354" s="10" t="s">
        <v>6942</v>
      </c>
      <c r="E354" s="11" t="str">
        <f>HYPERLINK("https://twitter.com/rukku/status/701630099880148994","701630099880148994")</f>
        <v>701630099880148994</v>
      </c>
      <c r="F354" s="12" t="s">
        <v>20</v>
      </c>
      <c r="G354" s="13">
        <v>1314.0</v>
      </c>
      <c r="H354" s="13">
        <v>2038.0</v>
      </c>
      <c r="I354" s="13">
        <v>17.0</v>
      </c>
      <c r="J354" s="13">
        <v>0.0</v>
      </c>
      <c r="K354" s="12" t="s">
        <v>21</v>
      </c>
      <c r="L354" s="7">
        <v>39441.20681712963</v>
      </c>
      <c r="M354" s="14" t="s">
        <v>6956</v>
      </c>
      <c r="N354" s="14" t="s">
        <v>6957</v>
      </c>
      <c r="O354" s="11" t="str">
        <f>HYPERLINK("https://pbs.twimg.com/profile_images/499819031860236288/8x8YDtmI_normal.jpeg","View")</f>
        <v>View</v>
      </c>
      <c r="P354" s="15"/>
    </row>
    <row r="355">
      <c r="A355" s="7">
        <v>42421.86865740741</v>
      </c>
      <c r="B355" s="8" t="str">
        <f>HYPERLINK("https://twitter.com/5h15h","@5h15h")</f>
        <v>@5h15h</v>
      </c>
      <c r="C355" s="10" t="s">
        <v>6958</v>
      </c>
      <c r="D355" s="10" t="s">
        <v>6942</v>
      </c>
      <c r="E355" s="11" t="str">
        <f>HYPERLINK("https://twitter.com/5h15h/status/701630212455292928","701630212455292928")</f>
        <v>701630212455292928</v>
      </c>
      <c r="F355" s="12" t="s">
        <v>124</v>
      </c>
      <c r="G355" s="13">
        <v>1774.0</v>
      </c>
      <c r="H355" s="13">
        <v>1374.0</v>
      </c>
      <c r="I355" s="13">
        <v>17.0</v>
      </c>
      <c r="J355" s="13">
        <v>0.0</v>
      </c>
      <c r="K355" s="12" t="s">
        <v>21</v>
      </c>
      <c r="L355" s="7">
        <v>39325.63315972222</v>
      </c>
      <c r="M355" s="14" t="s">
        <v>6959</v>
      </c>
      <c r="N355" s="14" t="s">
        <v>6960</v>
      </c>
      <c r="O355" s="11" t="str">
        <f>HYPERLINK("https://pbs.twimg.com/profile_images/455719345360883712/BQyuMRln_normal.jpeg","View")</f>
        <v>View</v>
      </c>
      <c r="P355" s="15"/>
    </row>
    <row r="356">
      <c r="A356" s="7">
        <v>42421.875081018516</v>
      </c>
      <c r="B356" s="8" t="str">
        <f>HYPERLINK("https://twitter.com/Rbloggers","@Rbloggers")</f>
        <v>@Rbloggers</v>
      </c>
      <c r="C356" s="10" t="s">
        <v>6221</v>
      </c>
      <c r="D356" s="10" t="s">
        <v>6961</v>
      </c>
      <c r="E356" s="11" t="str">
        <f>HYPERLINK("https://twitter.com/Rbloggers/status/701632536498188289","701632536498188289")</f>
        <v>701632536498188289</v>
      </c>
      <c r="F356" s="17" t="s">
        <v>6223</v>
      </c>
      <c r="G356" s="13">
        <v>28572.0</v>
      </c>
      <c r="H356" s="13">
        <v>36.0</v>
      </c>
      <c r="I356" s="13">
        <v>5.0</v>
      </c>
      <c r="J356" s="13">
        <v>6.0</v>
      </c>
      <c r="K356" s="12" t="s">
        <v>21</v>
      </c>
      <c r="L356" s="7">
        <v>40314.510601851856</v>
      </c>
      <c r="M356" s="16"/>
      <c r="N356" s="14" t="s">
        <v>6224</v>
      </c>
      <c r="O356" s="11" t="str">
        <f>HYPERLINK("https://pbs.twimg.com/profile_images/502185985786916864/gkdFh-q7_normal.png","View")</f>
        <v>View</v>
      </c>
      <c r="P356" s="15"/>
    </row>
    <row r="357">
      <c r="A357" s="7">
        <v>42421.87722222222</v>
      </c>
      <c r="B357" s="8" t="str">
        <f>HYPERLINK("https://twitter.com/rc_serban","@rc_serban")</f>
        <v>@rc_serban</v>
      </c>
      <c r="C357" s="10" t="s">
        <v>6962</v>
      </c>
      <c r="D357" s="10" t="s">
        <v>6963</v>
      </c>
      <c r="E357" s="11" t="str">
        <f>HYPERLINK("https://twitter.com/rc_serban/status/701633315435110400","701633315435110400")</f>
        <v>701633315435110400</v>
      </c>
      <c r="F357" s="12" t="s">
        <v>152</v>
      </c>
      <c r="G357" s="13">
        <v>161.0</v>
      </c>
      <c r="H357" s="13">
        <v>538.0</v>
      </c>
      <c r="I357" s="13">
        <v>5.0</v>
      </c>
      <c r="J357" s="13">
        <v>0.0</v>
      </c>
      <c r="K357" s="12" t="s">
        <v>21</v>
      </c>
      <c r="L357" s="7">
        <v>40609.252291666664</v>
      </c>
      <c r="M357" s="14" t="s">
        <v>6964</v>
      </c>
      <c r="N357" s="14" t="s">
        <v>6965</v>
      </c>
      <c r="O357" s="11" t="str">
        <f>HYPERLINK("https://pbs.twimg.com/profile_images/378800000761311535/4a74c8294e22c5c826ac6fc2c19f25ad_normal.jpeg","View")</f>
        <v>View</v>
      </c>
      <c r="P357" s="15"/>
    </row>
    <row r="358">
      <c r="A358" s="7">
        <v>42421.87871527778</v>
      </c>
      <c r="B358" s="8" t="str">
        <f>HYPERLINK("https://twitter.com/alicetoll","@alicetoll")</f>
        <v>@alicetoll</v>
      </c>
      <c r="C358" s="10" t="s">
        <v>6966</v>
      </c>
      <c r="D358" s="10" t="s">
        <v>6967</v>
      </c>
      <c r="E358" s="11" t="str">
        <f>HYPERLINK("https://twitter.com/alicetoll/status/701633856408051712","701633856408051712")</f>
        <v>701633856408051712</v>
      </c>
      <c r="F358" s="12" t="s">
        <v>20</v>
      </c>
      <c r="G358" s="13">
        <v>97.0</v>
      </c>
      <c r="H358" s="13">
        <v>187.0</v>
      </c>
      <c r="I358" s="13">
        <v>0.0</v>
      </c>
      <c r="J358" s="13">
        <v>2.0</v>
      </c>
      <c r="K358" s="12" t="s">
        <v>21</v>
      </c>
      <c r="L358" s="7">
        <v>40116.551516203705</v>
      </c>
      <c r="M358" s="14" t="s">
        <v>6968</v>
      </c>
      <c r="N358" s="14" t="s">
        <v>6969</v>
      </c>
      <c r="O358" s="11" t="str">
        <f>HYPERLINK("https://pbs.twimg.com/profile_images/3115226631/64c23b8cf4ee80371301e909c46288ea_normal.jpeg","View")</f>
        <v>View</v>
      </c>
      <c r="P358" s="15"/>
    </row>
    <row r="359">
      <c r="A359" s="7">
        <v>42421.88028935185</v>
      </c>
      <c r="B359" s="8" t="str">
        <f>HYPERLINK("https://twitter.com/darokun","@darokun")</f>
        <v>@darokun</v>
      </c>
      <c r="C359" s="10" t="s">
        <v>6970</v>
      </c>
      <c r="D359" s="10" t="s">
        <v>6918</v>
      </c>
      <c r="E359" s="11" t="str">
        <f>HYPERLINK("https://twitter.com/darokun/status/701634427508674560","701634427508674560")</f>
        <v>701634427508674560</v>
      </c>
      <c r="F359" s="12" t="s">
        <v>52</v>
      </c>
      <c r="G359" s="13">
        <v>355.0</v>
      </c>
      <c r="H359" s="13">
        <v>406.0</v>
      </c>
      <c r="I359" s="13">
        <v>32.0</v>
      </c>
      <c r="J359" s="13">
        <v>0.0</v>
      </c>
      <c r="K359" s="12" t="s">
        <v>21</v>
      </c>
      <c r="L359" s="7">
        <v>39934.42451388889</v>
      </c>
      <c r="M359" s="14" t="s">
        <v>6971</v>
      </c>
      <c r="N359" s="14" t="s">
        <v>6972</v>
      </c>
      <c r="O359" s="11" t="str">
        <f>HYPERLINK("https://pbs.twimg.com/profile_images/682132143691165696/F728CHog_normal.jpg","View")</f>
        <v>View</v>
      </c>
      <c r="P359" s="15"/>
    </row>
    <row r="360">
      <c r="A360" s="7">
        <v>42421.881747685184</v>
      </c>
      <c r="B360" s="8" t="str">
        <f>HYPERLINK("https://twitter.com/rajcs4","@rajcs4")</f>
        <v>@rajcs4</v>
      </c>
      <c r="C360" s="10" t="s">
        <v>6973</v>
      </c>
      <c r="D360" s="10" t="s">
        <v>6974</v>
      </c>
      <c r="E360" s="11" t="str">
        <f>HYPERLINK("https://twitter.com/rajcs4/status/701634955256979456","701634955256979456")</f>
        <v>701634955256979456</v>
      </c>
      <c r="F360" s="12" t="s">
        <v>240</v>
      </c>
      <c r="G360" s="13">
        <v>69.0</v>
      </c>
      <c r="H360" s="13">
        <v>88.0</v>
      </c>
      <c r="I360" s="13">
        <v>1.0</v>
      </c>
      <c r="J360" s="13">
        <v>5.0</v>
      </c>
      <c r="K360" s="12" t="s">
        <v>21</v>
      </c>
      <c r="L360" s="7">
        <v>41910.37403935185</v>
      </c>
      <c r="M360" s="14" t="s">
        <v>2514</v>
      </c>
      <c r="N360" s="14" t="s">
        <v>6975</v>
      </c>
      <c r="O360" s="11" t="str">
        <f>HYPERLINK("https://pbs.twimg.com/profile_images/678720880579493889/XRnMhsHs_normal.jpg","View")</f>
        <v>View</v>
      </c>
      <c r="P360" s="15"/>
    </row>
    <row r="361">
      <c r="A361" s="7">
        <v>42421.88506944444</v>
      </c>
      <c r="B361" s="8" t="str">
        <f>HYPERLINK("https://twitter.com/CallbackWomen","@CallbackWomen")</f>
        <v>@CallbackWomen</v>
      </c>
      <c r="C361" s="10" t="s">
        <v>6976</v>
      </c>
      <c r="D361" s="10" t="s">
        <v>6862</v>
      </c>
      <c r="E361" s="11" t="str">
        <f>HYPERLINK("https://twitter.com/CallbackWomen/status/701636157415694336","701636157415694336")</f>
        <v>701636157415694336</v>
      </c>
      <c r="F361" s="12" t="s">
        <v>446</v>
      </c>
      <c r="G361" s="13">
        <v>4519.0</v>
      </c>
      <c r="H361" s="13">
        <v>1118.0</v>
      </c>
      <c r="I361" s="13">
        <v>5.0</v>
      </c>
      <c r="J361" s="13">
        <v>0.0</v>
      </c>
      <c r="K361" s="12" t="s">
        <v>21</v>
      </c>
      <c r="L361" s="7">
        <v>41305.610347222224</v>
      </c>
      <c r="M361" s="16"/>
      <c r="N361" s="14" t="s">
        <v>6977</v>
      </c>
      <c r="O361" s="11" t="str">
        <f>HYPERLINK("https://pbs.twimg.com/profile_images/3254631162/f4c7099f74e42998e7f5cf3664e0a071_normal.png","View")</f>
        <v>View</v>
      </c>
      <c r="P361" s="15"/>
    </row>
    <row r="362">
      <c r="A362" s="7">
        <v>42421.890798611115</v>
      </c>
      <c r="B362" s="8" t="str">
        <f>HYPERLINK("https://twitter.com/JunMa_MJ","@JunMa_MJ")</f>
        <v>@JunMa_MJ</v>
      </c>
      <c r="C362" s="10" t="s">
        <v>6781</v>
      </c>
      <c r="D362" s="10" t="s">
        <v>6963</v>
      </c>
      <c r="E362" s="11" t="str">
        <f>HYPERLINK("https://twitter.com/JunMa_MJ/status/701638232442667008","701638232442667008")</f>
        <v>701638232442667008</v>
      </c>
      <c r="F362" s="12" t="s">
        <v>20</v>
      </c>
      <c r="G362" s="13">
        <v>52.0</v>
      </c>
      <c r="H362" s="13">
        <v>141.0</v>
      </c>
      <c r="I362" s="13">
        <v>5.0</v>
      </c>
      <c r="J362" s="13">
        <v>0.0</v>
      </c>
      <c r="K362" s="12" t="s">
        <v>21</v>
      </c>
      <c r="L362" s="7">
        <v>40240.3362962963</v>
      </c>
      <c r="M362" s="14" t="s">
        <v>6783</v>
      </c>
      <c r="N362" s="16"/>
      <c r="O362" s="11" t="str">
        <f>HYPERLINK("https://pbs.twimg.com/profile_images/3101002747/a4cb74aa5e937658685288c9bda02203_normal.jpeg","View")</f>
        <v>View</v>
      </c>
      <c r="P362" s="15"/>
    </row>
    <row r="363">
      <c r="A363" s="7">
        <v>42421.891076388885</v>
      </c>
      <c r="B363" s="8" t="str">
        <f>HYPERLINK("https://twitter.com/ncreen_same","@ncreen_same")</f>
        <v>@ncreen_same</v>
      </c>
      <c r="C363" s="10" t="s">
        <v>6978</v>
      </c>
      <c r="D363" s="10" t="s">
        <v>6773</v>
      </c>
      <c r="E363" s="11" t="str">
        <f>HYPERLINK("https://twitter.com/ncreen_same/status/701638335551254529","701638335551254529")</f>
        <v>701638335551254529</v>
      </c>
      <c r="F363" s="12" t="s">
        <v>6979</v>
      </c>
      <c r="G363" s="13">
        <v>302.0</v>
      </c>
      <c r="H363" s="13">
        <v>116.0</v>
      </c>
      <c r="I363" s="13">
        <v>61.0</v>
      </c>
      <c r="J363" s="13">
        <v>0.0</v>
      </c>
      <c r="K363" s="12" t="s">
        <v>21</v>
      </c>
      <c r="L363" s="7">
        <v>39964.07879629629</v>
      </c>
      <c r="M363" s="14" t="s">
        <v>6790</v>
      </c>
      <c r="N363" s="14" t="s">
        <v>6980</v>
      </c>
      <c r="O363" s="11" t="str">
        <f>HYPERLINK("https://pbs.twimg.com/profile_images/629148289045147652/uJ9G9R13_normal.jpg","View")</f>
        <v>View</v>
      </c>
      <c r="P363" s="15"/>
    </row>
    <row r="364">
      <c r="A364" s="7">
        <v>42421.891550925924</v>
      </c>
      <c r="B364" s="8" t="str">
        <f>HYPERLINK("https://twitter.com/ThakurVinay","@ThakurVinay")</f>
        <v>@ThakurVinay</v>
      </c>
      <c r="C364" s="10" t="s">
        <v>6981</v>
      </c>
      <c r="D364" s="10" t="s">
        <v>6982</v>
      </c>
      <c r="E364" s="11" t="str">
        <f>HYPERLINK("https://twitter.com/ThakurVinay/status/701638507333181440","701638507333181440")</f>
        <v>701638507333181440</v>
      </c>
      <c r="F364" s="12" t="s">
        <v>152</v>
      </c>
      <c r="G364" s="13">
        <v>62.0</v>
      </c>
      <c r="H364" s="13">
        <v>64.0</v>
      </c>
      <c r="I364" s="13">
        <v>56.0</v>
      </c>
      <c r="J364" s="13">
        <v>0.0</v>
      </c>
      <c r="K364" s="12" t="s">
        <v>21</v>
      </c>
      <c r="L364" s="7">
        <v>39974.55200231481</v>
      </c>
      <c r="M364" s="14" t="s">
        <v>4291</v>
      </c>
      <c r="N364" s="14" t="s">
        <v>6983</v>
      </c>
      <c r="O364" s="11" t="str">
        <f>HYPERLINK("https://abs.twimg.com/sticky/default_profile_images/default_profile_4_normal.png","View")</f>
        <v>View</v>
      </c>
      <c r="P364" s="15"/>
    </row>
    <row r="365">
      <c r="A365" s="7">
        <v>42421.89755787037</v>
      </c>
      <c r="B365" s="8" t="str">
        <f>HYPERLINK("https://twitter.com/zsozdemir","@zsozdemir")</f>
        <v>@zsozdemir</v>
      </c>
      <c r="C365" s="10" t="s">
        <v>6984</v>
      </c>
      <c r="D365" s="10" t="s">
        <v>6918</v>
      </c>
      <c r="E365" s="11" t="str">
        <f>HYPERLINK("https://twitter.com/zsozdemir/status/701640685141757953","701640685141757953")</f>
        <v>701640685141757953</v>
      </c>
      <c r="F365" s="12" t="s">
        <v>52</v>
      </c>
      <c r="G365" s="13">
        <v>148.0</v>
      </c>
      <c r="H365" s="13">
        <v>277.0</v>
      </c>
      <c r="I365" s="13">
        <v>32.0</v>
      </c>
      <c r="J365" s="13">
        <v>0.0</v>
      </c>
      <c r="K365" s="12" t="s">
        <v>21</v>
      </c>
      <c r="L365" s="7">
        <v>40235.36565972222</v>
      </c>
      <c r="M365" s="14" t="s">
        <v>6985</v>
      </c>
      <c r="N365" s="14" t="s">
        <v>6986</v>
      </c>
      <c r="O365" s="11" t="str">
        <f>HYPERLINK("https://pbs.twimg.com/profile_images/687380813172862976/xo2Yxv8Z_normal.jpg","View")</f>
        <v>View</v>
      </c>
      <c r="P365" s="15"/>
    </row>
    <row r="366">
      <c r="A366" s="7">
        <v>42421.90141203704</v>
      </c>
      <c r="B366" s="8" t="str">
        <f>HYPERLINK("https://twitter.com/btcplanet","@btcplanet")</f>
        <v>@btcplanet</v>
      </c>
      <c r="C366" s="10" t="s">
        <v>1037</v>
      </c>
      <c r="D366" s="10" t="s">
        <v>6393</v>
      </c>
      <c r="E366" s="11" t="str">
        <f>HYPERLINK("https://twitter.com/btcplanet/status/701642078904684546","701642078904684546")</f>
        <v>701642078904684546</v>
      </c>
      <c r="F366" s="12" t="s">
        <v>152</v>
      </c>
      <c r="G366" s="13">
        <v>477.0</v>
      </c>
      <c r="H366" s="13">
        <v>2194.0</v>
      </c>
      <c r="I366" s="13">
        <v>11.0</v>
      </c>
      <c r="J366" s="13">
        <v>0.0</v>
      </c>
      <c r="K366" s="12" t="s">
        <v>21</v>
      </c>
      <c r="L366" s="7">
        <v>41606.9137962963</v>
      </c>
      <c r="M366" s="16"/>
      <c r="N366" s="14" t="s">
        <v>1038</v>
      </c>
      <c r="O366" s="11" t="str">
        <f>HYPERLINK("https://abs.twimg.com/sticky/default_profile_images/default_profile_0_normal.png","View")</f>
        <v>View</v>
      </c>
      <c r="P366" s="15"/>
    </row>
    <row r="367">
      <c r="A367" s="7">
        <v>42421.90212962963</v>
      </c>
      <c r="B367" s="8" t="str">
        <f>HYPERLINK("https://twitter.com/renato_umeton","@renato_umeton")</f>
        <v>@renato_umeton</v>
      </c>
      <c r="C367" s="10" t="s">
        <v>1659</v>
      </c>
      <c r="D367" s="10" t="s">
        <v>6963</v>
      </c>
      <c r="E367" s="11" t="str">
        <f>HYPERLINK("https://twitter.com/renato_umeton/status/701642340931395584","701642340931395584")</f>
        <v>701642340931395584</v>
      </c>
      <c r="F367" s="12" t="s">
        <v>38</v>
      </c>
      <c r="G367" s="13">
        <v>70.0</v>
      </c>
      <c r="H367" s="13">
        <v>79.0</v>
      </c>
      <c r="I367" s="13">
        <v>5.0</v>
      </c>
      <c r="J367" s="13">
        <v>0.0</v>
      </c>
      <c r="K367" s="12" t="s">
        <v>21</v>
      </c>
      <c r="L367" s="7">
        <v>39918.052083333336</v>
      </c>
      <c r="M367" s="14" t="s">
        <v>1660</v>
      </c>
      <c r="N367" s="14" t="s">
        <v>1661</v>
      </c>
      <c r="O367" s="11" t="str">
        <f>HYPERLINK("https://pbs.twimg.com/profile_images/701553083537604608/nr8b38eG_normal.jpg","View")</f>
        <v>View</v>
      </c>
      <c r="P367" s="15"/>
    </row>
    <row r="368">
      <c r="A368" s="7">
        <v>42421.90248842593</v>
      </c>
      <c r="B368" s="8" t="str">
        <f>HYPERLINK("https://twitter.com/DrAndyPardoe","@DrAndyPardoe")</f>
        <v>@DrAndyPardoe</v>
      </c>
      <c r="C368" s="10" t="s">
        <v>3351</v>
      </c>
      <c r="D368" s="10" t="s">
        <v>6963</v>
      </c>
      <c r="E368" s="11" t="str">
        <f>HYPERLINK("https://twitter.com/DrAndyPardoe/status/701642468815671296","701642468815671296")</f>
        <v>701642468815671296</v>
      </c>
      <c r="F368" s="12" t="s">
        <v>38</v>
      </c>
      <c r="G368" s="13">
        <v>3759.0</v>
      </c>
      <c r="H368" s="13">
        <v>2473.0</v>
      </c>
      <c r="I368" s="13">
        <v>5.0</v>
      </c>
      <c r="J368" s="13">
        <v>0.0</v>
      </c>
      <c r="K368" s="12" t="s">
        <v>21</v>
      </c>
      <c r="L368" s="7">
        <v>41826.237280092595</v>
      </c>
      <c r="M368" s="14" t="s">
        <v>1093</v>
      </c>
      <c r="N368" s="14" t="s">
        <v>3352</v>
      </c>
      <c r="O368" s="11" t="str">
        <f>HYPERLINK("https://pbs.twimg.com/profile_images/485766134268837889/t4PLhSfT_normal.jpeg","View")</f>
        <v>View</v>
      </c>
      <c r="P368" s="15"/>
    </row>
    <row r="369">
      <c r="A369" s="7">
        <v>42421.907326388886</v>
      </c>
      <c r="B369" s="8" t="str">
        <f>HYPERLINK("https://twitter.com/josecarrascore","@josecarrascore")</f>
        <v>@josecarrascore</v>
      </c>
      <c r="C369" s="10" t="s">
        <v>6987</v>
      </c>
      <c r="D369" s="10" t="s">
        <v>6942</v>
      </c>
      <c r="E369" s="11" t="str">
        <f>HYPERLINK("https://twitter.com/josecarrascore/status/701644221992849410","701644221992849410")</f>
        <v>701644221992849410</v>
      </c>
      <c r="F369" s="12" t="s">
        <v>1573</v>
      </c>
      <c r="G369" s="13">
        <v>138.0</v>
      </c>
      <c r="H369" s="13">
        <v>292.0</v>
      </c>
      <c r="I369" s="13">
        <v>17.0</v>
      </c>
      <c r="J369" s="13">
        <v>0.0</v>
      </c>
      <c r="K369" s="12" t="s">
        <v>21</v>
      </c>
      <c r="L369" s="7">
        <v>40317.07105324074</v>
      </c>
      <c r="M369" s="14" t="s">
        <v>6988</v>
      </c>
      <c r="N369" s="14" t="s">
        <v>6989</v>
      </c>
      <c r="O369" s="11" t="str">
        <f>HYPERLINK("https://pbs.twimg.com/profile_images/700374224330956800/FS-GYWMF_normal.png","View")</f>
        <v>View</v>
      </c>
      <c r="P369" s="15"/>
    </row>
    <row r="370">
      <c r="A370" s="7">
        <v>42421.9228125</v>
      </c>
      <c r="B370" s="8" t="str">
        <f>HYPERLINK("https://twitter.com/DataFinest","@DataFinest")</f>
        <v>@DataFinest</v>
      </c>
      <c r="C370" s="10" t="s">
        <v>6990</v>
      </c>
      <c r="D370" s="10" t="s">
        <v>6595</v>
      </c>
      <c r="E370" s="11" t="str">
        <f>HYPERLINK("https://twitter.com/DataFinest/status/701649837310287872","701649837310287872")</f>
        <v>701649837310287872</v>
      </c>
      <c r="F370" s="12" t="s">
        <v>52</v>
      </c>
      <c r="G370" s="13">
        <v>74.0</v>
      </c>
      <c r="H370" s="13">
        <v>172.0</v>
      </c>
      <c r="I370" s="13">
        <v>6.0</v>
      </c>
      <c r="J370" s="13">
        <v>0.0</v>
      </c>
      <c r="K370" s="12" t="s">
        <v>21</v>
      </c>
      <c r="L370" s="7">
        <v>42347.028761574074</v>
      </c>
      <c r="M370" s="14" t="s">
        <v>121</v>
      </c>
      <c r="N370" s="14" t="s">
        <v>6991</v>
      </c>
      <c r="O370" s="11" t="str">
        <f>HYPERLINK("https://pbs.twimg.com/profile_images/675225906173124609/xPlpeuKw_normal.png","View")</f>
        <v>View</v>
      </c>
      <c r="P370" s="15"/>
    </row>
    <row r="371">
      <c r="A371" s="7">
        <v>42421.92307870371</v>
      </c>
      <c r="B371" s="8" t="str">
        <f>HYPERLINK("https://twitter.com/RaphCouturier","@RaphCouturier")</f>
        <v>@RaphCouturier</v>
      </c>
      <c r="C371" s="10" t="s">
        <v>6992</v>
      </c>
      <c r="D371" s="10" t="s">
        <v>6918</v>
      </c>
      <c r="E371" s="11" t="str">
        <f>HYPERLINK("https://twitter.com/RaphCouturier/status/701649931015168001","701649931015168001")</f>
        <v>701649931015168001</v>
      </c>
      <c r="F371" s="12" t="s">
        <v>152</v>
      </c>
      <c r="G371" s="13">
        <v>78.0</v>
      </c>
      <c r="H371" s="13">
        <v>161.0</v>
      </c>
      <c r="I371" s="13">
        <v>32.0</v>
      </c>
      <c r="J371" s="13">
        <v>0.0</v>
      </c>
      <c r="K371" s="12" t="s">
        <v>21</v>
      </c>
      <c r="L371" s="7">
        <v>41675.5909837963</v>
      </c>
      <c r="M371" s="14" t="s">
        <v>6993</v>
      </c>
      <c r="N371" s="14" t="s">
        <v>6994</v>
      </c>
      <c r="O371" s="11" t="str">
        <f>HYPERLINK("https://pbs.twimg.com/profile_images/431462437087227905/XeHYkN71_normal.jpeg","View")</f>
        <v>View</v>
      </c>
      <c r="P371" s="15"/>
    </row>
    <row r="372">
      <c r="A372" s="7">
        <v>42421.923738425925</v>
      </c>
      <c r="B372" s="8" t="str">
        <f>HYPERLINK("https://twitter.com/theRcast","@theRcast")</f>
        <v>@theRcast</v>
      </c>
      <c r="C372" s="10" t="s">
        <v>6995</v>
      </c>
      <c r="D372" s="10" t="s">
        <v>6996</v>
      </c>
      <c r="E372" s="11" t="str">
        <f>HYPERLINK("https://twitter.com/theRcast/status/701650172913123328","701650172913123328")</f>
        <v>701650172913123328</v>
      </c>
      <c r="F372" s="12" t="s">
        <v>20</v>
      </c>
      <c r="G372" s="13">
        <v>186.0</v>
      </c>
      <c r="H372" s="13">
        <v>2.0</v>
      </c>
      <c r="I372" s="13">
        <v>18.0</v>
      </c>
      <c r="J372" s="13">
        <v>37.0</v>
      </c>
      <c r="K372" s="12" t="s">
        <v>21</v>
      </c>
      <c r="L372" s="7">
        <v>40797.61417824074</v>
      </c>
      <c r="M372" s="16"/>
      <c r="N372" s="16"/>
      <c r="O372" s="11" t="str">
        <f>HYPERLINK("https://pbs.twimg.com/profile_images/1823651406/rss2_image_normal.png","View")</f>
        <v>View</v>
      </c>
      <c r="P372" s="15"/>
    </row>
    <row r="373">
      <c r="A373" s="7">
        <v>42421.92482638889</v>
      </c>
      <c r="B373" s="8" t="str">
        <f>HYPERLINK("https://twitter.com/hadleywickham","@hadleywickham")</f>
        <v>@hadleywickham</v>
      </c>
      <c r="C373" s="10" t="s">
        <v>6659</v>
      </c>
      <c r="D373" s="10" t="s">
        <v>6997</v>
      </c>
      <c r="E373" s="11" t="str">
        <f>HYPERLINK("https://twitter.com/hadleywickham/status/701650564363325440","701650564363325440")</f>
        <v>701650564363325440</v>
      </c>
      <c r="F373" s="12" t="s">
        <v>240</v>
      </c>
      <c r="G373" s="13">
        <v>24816.0</v>
      </c>
      <c r="H373" s="13">
        <v>244.0</v>
      </c>
      <c r="I373" s="13">
        <v>18.0</v>
      </c>
      <c r="J373" s="13">
        <v>0.0</v>
      </c>
      <c r="K373" s="12" t="s">
        <v>21</v>
      </c>
      <c r="L373" s="7">
        <v>40051.69081018519</v>
      </c>
      <c r="M373" s="14" t="s">
        <v>719</v>
      </c>
      <c r="N373" s="14" t="s">
        <v>6661</v>
      </c>
      <c r="O373" s="11" t="str">
        <f>HYPERLINK("https://pbs.twimg.com/profile_images/677589103710306304/m56O6Wgf_normal.jpg","View")</f>
        <v>View</v>
      </c>
      <c r="P373" s="15"/>
    </row>
    <row r="374">
      <c r="A374" s="7">
        <v>42421.92537037037</v>
      </c>
      <c r="B374" s="8" t="str">
        <f>HYPERLINK("https://twitter.com/patternproject","@patternproject")</f>
        <v>@patternproject</v>
      </c>
      <c r="C374" s="10" t="s">
        <v>6998</v>
      </c>
      <c r="D374" s="10" t="s">
        <v>6595</v>
      </c>
      <c r="E374" s="11" t="str">
        <f>HYPERLINK("https://twitter.com/patternproject/status/701650764536659973","701650764536659973")</f>
        <v>701650764536659973</v>
      </c>
      <c r="F374" s="12" t="s">
        <v>20</v>
      </c>
      <c r="G374" s="13">
        <v>133.0</v>
      </c>
      <c r="H374" s="13">
        <v>1378.0</v>
      </c>
      <c r="I374" s="13">
        <v>6.0</v>
      </c>
      <c r="J374" s="13">
        <v>0.0</v>
      </c>
      <c r="K374" s="12" t="s">
        <v>21</v>
      </c>
      <c r="L374" s="7">
        <v>41567.95469907408</v>
      </c>
      <c r="M374" s="16"/>
      <c r="N374" s="16"/>
      <c r="O374" s="11" t="str">
        <f>HYPERLINK("https://abs.twimg.com/sticky/default_profile_images/default_profile_0_normal.png","View")</f>
        <v>View</v>
      </c>
      <c r="P374" s="15"/>
    </row>
    <row r="375">
      <c r="A375" s="7">
        <v>42421.92612268518</v>
      </c>
      <c r="B375" s="8" t="str">
        <f>HYPERLINK("https://twitter.com/HighVizAbility","@HighVizAbility")</f>
        <v>@HighVizAbility</v>
      </c>
      <c r="C375" s="10" t="s">
        <v>6999</v>
      </c>
      <c r="D375" s="10" t="s">
        <v>6997</v>
      </c>
      <c r="E375" s="11" t="str">
        <f>HYPERLINK("https://twitter.com/HighVizAbility/status/701651034104586241","701651034104586241")</f>
        <v>701651034104586241</v>
      </c>
      <c r="F375" s="12" t="s">
        <v>20</v>
      </c>
      <c r="G375" s="13">
        <v>5054.0</v>
      </c>
      <c r="H375" s="13">
        <v>1071.0</v>
      </c>
      <c r="I375" s="13">
        <v>18.0</v>
      </c>
      <c r="J375" s="13">
        <v>0.0</v>
      </c>
      <c r="K375" s="12" t="s">
        <v>21</v>
      </c>
      <c r="L375" s="7">
        <v>40927.785578703704</v>
      </c>
      <c r="M375" s="14" t="s">
        <v>7000</v>
      </c>
      <c r="N375" s="14" t="s">
        <v>7001</v>
      </c>
      <c r="O375" s="11" t="str">
        <f>HYPERLINK("https://pbs.twimg.com/profile_images/447904439190319104/K5h54qm5_normal.jpeg","View")</f>
        <v>View</v>
      </c>
      <c r="P375" s="15"/>
    </row>
    <row r="376">
      <c r="A376" s="7">
        <v>42421.92627314814</v>
      </c>
      <c r="B376" s="8" t="str">
        <f>HYPERLINK("https://twitter.com/iamteksbrain","@iamteksbrain")</f>
        <v>@iamteksbrain</v>
      </c>
      <c r="C376" s="10" t="s">
        <v>7002</v>
      </c>
      <c r="D376" s="10" t="s">
        <v>6997</v>
      </c>
      <c r="E376" s="11" t="str">
        <f>HYPERLINK("https://twitter.com/iamteksbrain/status/701651088798257153","701651088798257153")</f>
        <v>701651088798257153</v>
      </c>
      <c r="F376" s="12" t="s">
        <v>20</v>
      </c>
      <c r="G376" s="13">
        <v>653.0</v>
      </c>
      <c r="H376" s="13">
        <v>1757.0</v>
      </c>
      <c r="I376" s="13">
        <v>18.0</v>
      </c>
      <c r="J376" s="13">
        <v>0.0</v>
      </c>
      <c r="K376" s="12" t="s">
        <v>21</v>
      </c>
      <c r="L376" s="7">
        <v>41155.58730324074</v>
      </c>
      <c r="M376" s="16"/>
      <c r="N376" s="16"/>
      <c r="O376" s="11" t="str">
        <f>HYPERLINK("https://pbs.twimg.com/profile_images/698255690494820353/YE_sfzm7_normal.jpg","View")</f>
        <v>View</v>
      </c>
      <c r="P376" s="15"/>
    </row>
    <row r="377">
      <c r="A377" s="7">
        <v>42421.93099537037</v>
      </c>
      <c r="B377" s="8" t="str">
        <f>HYPERLINK("https://twitter.com/S_Foroutan","@S_Foroutan")</f>
        <v>@S_Foroutan</v>
      </c>
      <c r="C377" s="10" t="s">
        <v>7003</v>
      </c>
      <c r="D377" s="10" t="s">
        <v>6918</v>
      </c>
      <c r="E377" s="11" t="str">
        <f>HYPERLINK("https://twitter.com/S_Foroutan/status/701652800908824576","701652800908824576")</f>
        <v>701652800908824576</v>
      </c>
      <c r="F377" s="12" t="s">
        <v>152</v>
      </c>
      <c r="G377" s="13">
        <v>28.0</v>
      </c>
      <c r="H377" s="13">
        <v>77.0</v>
      </c>
      <c r="I377" s="13">
        <v>32.0</v>
      </c>
      <c r="J377" s="13">
        <v>0.0</v>
      </c>
      <c r="K377" s="12" t="s">
        <v>21</v>
      </c>
      <c r="L377" s="7">
        <v>41971.78829861111</v>
      </c>
      <c r="M377" s="14" t="s">
        <v>7004</v>
      </c>
      <c r="N377" s="14" t="s">
        <v>7005</v>
      </c>
      <c r="O377" s="11" t="str">
        <f>HYPERLINK("https://pbs.twimg.com/profile_images/670510919936425984/1-RYnkrv_normal.jpg","View")</f>
        <v>View</v>
      </c>
      <c r="P377" s="15"/>
    </row>
    <row r="378">
      <c r="A378" s="7">
        <v>42421.93377314815</v>
      </c>
      <c r="B378" s="8" t="str">
        <f>HYPERLINK("https://twitter.com/patternproject","@patternproject")</f>
        <v>@patternproject</v>
      </c>
      <c r="C378" s="10" t="s">
        <v>6998</v>
      </c>
      <c r="D378" s="10" t="s">
        <v>6963</v>
      </c>
      <c r="E378" s="11" t="str">
        <f>HYPERLINK("https://twitter.com/patternproject/status/701653808267587584","701653808267587584")</f>
        <v>701653808267587584</v>
      </c>
      <c r="F378" s="12" t="s">
        <v>20</v>
      </c>
      <c r="G378" s="13">
        <v>133.0</v>
      </c>
      <c r="H378" s="13">
        <v>1378.0</v>
      </c>
      <c r="I378" s="13">
        <v>5.0</v>
      </c>
      <c r="J378" s="13">
        <v>0.0</v>
      </c>
      <c r="K378" s="12" t="s">
        <v>21</v>
      </c>
      <c r="L378" s="7">
        <v>41567.95469907408</v>
      </c>
      <c r="M378" s="16"/>
      <c r="N378" s="16"/>
      <c r="O378" s="11" t="str">
        <f>HYPERLINK("https://abs.twimg.com/sticky/default_profile_images/default_profile_0_normal.png","View")</f>
        <v>View</v>
      </c>
      <c r="P378" s="15"/>
    </row>
    <row r="379">
      <c r="A379" s="7">
        <v>42421.93428240741</v>
      </c>
      <c r="B379" s="8" t="str">
        <f>HYPERLINK("https://twitter.com/DataFinest","@DataFinest")</f>
        <v>@DataFinest</v>
      </c>
      <c r="C379" s="10" t="s">
        <v>6990</v>
      </c>
      <c r="D379" s="10" t="s">
        <v>6546</v>
      </c>
      <c r="E379" s="11" t="str">
        <f>HYPERLINK("https://twitter.com/DataFinest/status/701653990858223616","701653990858223616")</f>
        <v>701653990858223616</v>
      </c>
      <c r="F379" s="12" t="s">
        <v>52</v>
      </c>
      <c r="G379" s="13">
        <v>74.0</v>
      </c>
      <c r="H379" s="13">
        <v>172.0</v>
      </c>
      <c r="I379" s="13">
        <v>9.0</v>
      </c>
      <c r="J379" s="13">
        <v>0.0</v>
      </c>
      <c r="K379" s="12" t="s">
        <v>21</v>
      </c>
      <c r="L379" s="7">
        <v>42347.028761574074</v>
      </c>
      <c r="M379" s="14" t="s">
        <v>121</v>
      </c>
      <c r="N379" s="14" t="s">
        <v>6991</v>
      </c>
      <c r="O379" s="11" t="str">
        <f>HYPERLINK("https://pbs.twimg.com/profile_images/675225906173124609/xPlpeuKw_normal.png","View")</f>
        <v>View</v>
      </c>
      <c r="P379" s="15"/>
    </row>
    <row r="380">
      <c r="A380" s="7">
        <v>42421.93490740741</v>
      </c>
      <c r="B380" s="8" t="str">
        <f>HYPERLINK("https://twitter.com/ksomemo","@ksomemo")</f>
        <v>@ksomemo</v>
      </c>
      <c r="C380" s="10" t="s">
        <v>7006</v>
      </c>
      <c r="D380" s="10" t="s">
        <v>6997</v>
      </c>
      <c r="E380" s="11" t="str">
        <f>HYPERLINK("https://twitter.com/ksomemo/status/701654220794015744","701654220794015744")</f>
        <v>701654220794015744</v>
      </c>
      <c r="F380" s="12" t="s">
        <v>52</v>
      </c>
      <c r="G380" s="13">
        <v>221.0</v>
      </c>
      <c r="H380" s="13">
        <v>543.0</v>
      </c>
      <c r="I380" s="13">
        <v>18.0</v>
      </c>
      <c r="J380" s="13">
        <v>0.0</v>
      </c>
      <c r="K380" s="12" t="s">
        <v>21</v>
      </c>
      <c r="L380" s="7">
        <v>40733.048321759255</v>
      </c>
      <c r="M380" s="14" t="s">
        <v>7007</v>
      </c>
      <c r="N380" s="14" t="s">
        <v>7008</v>
      </c>
      <c r="O380" s="11" t="str">
        <f>HYPERLINK("https://pbs.twimg.com/profile_images/701330438833381376/7J3980zQ_normal.png","View")</f>
        <v>View</v>
      </c>
      <c r="P380" s="15"/>
    </row>
    <row r="381">
      <c r="A381" s="7">
        <v>42421.93616898148</v>
      </c>
      <c r="B381" s="8" t="str">
        <f>HYPERLINK("https://twitter.com/CDB_77","@CDB_77")</f>
        <v>@CDB_77</v>
      </c>
      <c r="C381" s="10" t="s">
        <v>7009</v>
      </c>
      <c r="D381" s="10" t="s">
        <v>6516</v>
      </c>
      <c r="E381" s="11" t="str">
        <f>HYPERLINK("https://twitter.com/CDB_77/status/701654674328395776","701654674328395776")</f>
        <v>701654674328395776</v>
      </c>
      <c r="F381" s="12" t="s">
        <v>20</v>
      </c>
      <c r="G381" s="13">
        <v>587.0</v>
      </c>
      <c r="H381" s="13">
        <v>131.0</v>
      </c>
      <c r="I381" s="13">
        <v>7.0</v>
      </c>
      <c r="J381" s="13">
        <v>0.0</v>
      </c>
      <c r="K381" s="12" t="s">
        <v>21</v>
      </c>
      <c r="L381" s="7">
        <v>40710.26237268519</v>
      </c>
      <c r="M381" s="14" t="s">
        <v>7010</v>
      </c>
      <c r="N381" s="14" t="s">
        <v>7011</v>
      </c>
      <c r="O381" s="11" t="str">
        <f>HYPERLINK("https://pbs.twimg.com/profile_images/1398589645/5f213863_normal.jpg","View")</f>
        <v>View</v>
      </c>
      <c r="P381" s="15"/>
    </row>
    <row r="382">
      <c r="A382" s="7">
        <v>42421.93751157407</v>
      </c>
      <c r="B382" s="8" t="str">
        <f>HYPERLINK("https://twitter.com/DailyRpackage","@DailyRpackage")</f>
        <v>@DailyRpackage</v>
      </c>
      <c r="C382" s="10" t="s">
        <v>6240</v>
      </c>
      <c r="D382" s="10" t="s">
        <v>7012</v>
      </c>
      <c r="E382" s="11" t="str">
        <f>HYPERLINK("https://twitter.com/DailyRpackage/status/701655163128274944","701655163128274944")</f>
        <v>701655163128274944</v>
      </c>
      <c r="F382" s="12" t="s">
        <v>6240</v>
      </c>
      <c r="G382" s="13">
        <v>495.0</v>
      </c>
      <c r="H382" s="13">
        <v>3.0</v>
      </c>
      <c r="I382" s="13">
        <v>0.0</v>
      </c>
      <c r="J382" s="13">
        <v>0.0</v>
      </c>
      <c r="K382" s="12" t="s">
        <v>21</v>
      </c>
      <c r="L382" s="7">
        <v>41360.287141203706</v>
      </c>
      <c r="M382" s="16"/>
      <c r="N382" s="14" t="s">
        <v>6242</v>
      </c>
      <c r="O382" s="11" t="str">
        <f>HYPERLINK("https://pbs.twimg.com/profile_images/3438004205/66da7270714af4309d185b958c4bb8be_normal.jpeg","View")</f>
        <v>View</v>
      </c>
      <c r="P382" s="15"/>
    </row>
    <row r="383">
      <c r="A383" s="7">
        <v>42421.95763888889</v>
      </c>
      <c r="B383" s="8" t="str">
        <f>HYPERLINK("https://twitter.com/frank_neff","@frank_neff")</f>
        <v>@frank_neff</v>
      </c>
      <c r="C383" s="10" t="s">
        <v>6465</v>
      </c>
      <c r="D383" s="10" t="s">
        <v>6942</v>
      </c>
      <c r="E383" s="11" t="str">
        <f>HYPERLINK("https://twitter.com/frank_neff/status/701662455919992832","701662455919992832")</f>
        <v>701662455919992832</v>
      </c>
      <c r="F383" s="12" t="s">
        <v>152</v>
      </c>
      <c r="G383" s="13">
        <v>186.0</v>
      </c>
      <c r="H383" s="13">
        <v>191.0</v>
      </c>
      <c r="I383" s="13">
        <v>17.0</v>
      </c>
      <c r="J383" s="13">
        <v>0.0</v>
      </c>
      <c r="K383" s="12" t="s">
        <v>21</v>
      </c>
      <c r="L383" s="7">
        <v>40824.025729166664</v>
      </c>
      <c r="M383" s="14" t="s">
        <v>6466</v>
      </c>
      <c r="N383" s="14" t="s">
        <v>6467</v>
      </c>
      <c r="O383" s="11" t="str">
        <f>HYPERLINK("https://pbs.twimg.com/profile_images/701067603792556033/HB_Ag4RM_normal.jpg","View")</f>
        <v>View</v>
      </c>
      <c r="P383" s="15"/>
    </row>
    <row r="384">
      <c r="A384" s="7">
        <v>42421.95899305555</v>
      </c>
      <c r="B384" s="8" t="str">
        <f>HYPERLINK("https://twitter.com/kudzaka","@kudzaka")</f>
        <v>@kudzaka</v>
      </c>
      <c r="C384" s="10" t="s">
        <v>7013</v>
      </c>
      <c r="D384" s="10" t="s">
        <v>6942</v>
      </c>
      <c r="E384" s="11" t="str">
        <f>HYPERLINK("https://twitter.com/kudzaka/status/701662945361715200","701662945361715200")</f>
        <v>701662945361715200</v>
      </c>
      <c r="F384" s="12" t="s">
        <v>52</v>
      </c>
      <c r="G384" s="13">
        <v>38.0</v>
      </c>
      <c r="H384" s="13">
        <v>253.0</v>
      </c>
      <c r="I384" s="13">
        <v>17.0</v>
      </c>
      <c r="J384" s="13">
        <v>0.0</v>
      </c>
      <c r="K384" s="12" t="s">
        <v>21</v>
      </c>
      <c r="L384" s="7">
        <v>41759.57109953704</v>
      </c>
      <c r="M384" s="14" t="s">
        <v>7014</v>
      </c>
      <c r="N384" s="14" t="s">
        <v>7015</v>
      </c>
      <c r="O384" s="11" t="str">
        <f>HYPERLINK("https://abs.twimg.com/sticky/default_profile_images/default_profile_1_normal.png","View")</f>
        <v>View</v>
      </c>
      <c r="P384" s="15"/>
    </row>
    <row r="385">
      <c r="A385" s="7">
        <v>42421.962222222224</v>
      </c>
      <c r="B385" s="8" t="str">
        <f>HYPERLINK("https://twitter.com/DataFinest","@DataFinest")</f>
        <v>@DataFinest</v>
      </c>
      <c r="C385" s="10" t="s">
        <v>6990</v>
      </c>
      <c r="D385" s="10" t="s">
        <v>6927</v>
      </c>
      <c r="E385" s="11" t="str">
        <f>HYPERLINK("https://twitter.com/DataFinest/status/701664115736051712","701664115736051712")</f>
        <v>701664115736051712</v>
      </c>
      <c r="F385" s="12" t="s">
        <v>52</v>
      </c>
      <c r="G385" s="13">
        <v>74.0</v>
      </c>
      <c r="H385" s="13">
        <v>172.0</v>
      </c>
      <c r="I385" s="13">
        <v>8.0</v>
      </c>
      <c r="J385" s="13">
        <v>0.0</v>
      </c>
      <c r="K385" s="12" t="s">
        <v>21</v>
      </c>
      <c r="L385" s="7">
        <v>42347.028761574074</v>
      </c>
      <c r="M385" s="14" t="s">
        <v>121</v>
      </c>
      <c r="N385" s="14" t="s">
        <v>6991</v>
      </c>
      <c r="O385" s="11" t="str">
        <f>HYPERLINK("https://pbs.twimg.com/profile_images/675225906173124609/xPlpeuKw_normal.png","View")</f>
        <v>View</v>
      </c>
      <c r="P385" s="15"/>
    </row>
    <row r="386">
      <c r="A386" s="7">
        <v>42421.963217592594</v>
      </c>
      <c r="B386" s="8" t="str">
        <f>HYPERLINK("https://twitter.com/DataAndDataViz","@DataAndDataViz")</f>
        <v>@DataAndDataViz</v>
      </c>
      <c r="C386" s="10" t="s">
        <v>5145</v>
      </c>
      <c r="D386" s="10" t="s">
        <v>6997</v>
      </c>
      <c r="E386" s="11" t="str">
        <f>HYPERLINK("https://twitter.com/DataAndDataViz/status/701664478807642112","701664478807642112")</f>
        <v>701664478807642112</v>
      </c>
      <c r="F386" s="12" t="s">
        <v>5146</v>
      </c>
      <c r="G386" s="13">
        <v>473.0</v>
      </c>
      <c r="H386" s="13">
        <v>140.0</v>
      </c>
      <c r="I386" s="13">
        <v>18.0</v>
      </c>
      <c r="J386" s="13">
        <v>0.0</v>
      </c>
      <c r="K386" s="12" t="s">
        <v>21</v>
      </c>
      <c r="L386" s="7">
        <v>41603.30427083334</v>
      </c>
      <c r="M386" s="16"/>
      <c r="N386" s="14" t="s">
        <v>5147</v>
      </c>
      <c r="O386" s="11" t="str">
        <f>HYPERLINK("https://pbs.twimg.com/profile_images/412249095110008832/J_K4--iQ_normal.png","View")</f>
        <v>View</v>
      </c>
      <c r="P386" s="15"/>
    </row>
    <row r="387">
      <c r="A387" s="7">
        <v>42421.963379629626</v>
      </c>
      <c r="B387" s="8" t="str">
        <f>HYPERLINK("https://twitter.com/mishra1_PK","@mishra1_PK")</f>
        <v>@mishra1_PK</v>
      </c>
      <c r="C387" s="10" t="s">
        <v>7016</v>
      </c>
      <c r="D387" s="10" t="s">
        <v>6942</v>
      </c>
      <c r="E387" s="11" t="str">
        <f>HYPERLINK("https://twitter.com/mishra1_PK/status/701664535975825408","701664535975825408")</f>
        <v>701664535975825408</v>
      </c>
      <c r="F387" s="12" t="s">
        <v>20</v>
      </c>
      <c r="G387" s="13">
        <v>373.0</v>
      </c>
      <c r="H387" s="13">
        <v>197.0</v>
      </c>
      <c r="I387" s="13">
        <v>17.0</v>
      </c>
      <c r="J387" s="13">
        <v>0.0</v>
      </c>
      <c r="K387" s="12" t="s">
        <v>21</v>
      </c>
      <c r="L387" s="7">
        <v>40327.5</v>
      </c>
      <c r="M387" s="14" t="s">
        <v>1877</v>
      </c>
      <c r="N387" s="14" t="s">
        <v>7017</v>
      </c>
      <c r="O387" s="11" t="str">
        <f>HYPERLINK("https://pbs.twimg.com/profile_images/663979354486018048/1NZ2hiBE_normal.jpg","View")</f>
        <v>View</v>
      </c>
      <c r="P387" s="15"/>
    </row>
    <row r="388">
      <c r="A388" s="7">
        <v>42421.96493055555</v>
      </c>
      <c r="B388" s="8" t="str">
        <f>HYPERLINK("https://twitter.com/DataFinest","@DataFinest")</f>
        <v>@DataFinest</v>
      </c>
      <c r="C388" s="10" t="s">
        <v>6990</v>
      </c>
      <c r="D388" s="10" t="s">
        <v>6997</v>
      </c>
      <c r="E388" s="11" t="str">
        <f>HYPERLINK("https://twitter.com/DataFinest/status/701665097144528896","701665097144528896")</f>
        <v>701665097144528896</v>
      </c>
      <c r="F388" s="12" t="s">
        <v>52</v>
      </c>
      <c r="G388" s="13">
        <v>74.0</v>
      </c>
      <c r="H388" s="13">
        <v>172.0</v>
      </c>
      <c r="I388" s="13">
        <v>18.0</v>
      </c>
      <c r="J388" s="13">
        <v>0.0</v>
      </c>
      <c r="K388" s="12" t="s">
        <v>21</v>
      </c>
      <c r="L388" s="7">
        <v>42347.028761574074</v>
      </c>
      <c r="M388" s="14" t="s">
        <v>121</v>
      </c>
      <c r="N388" s="14" t="s">
        <v>6991</v>
      </c>
      <c r="O388" s="11" t="str">
        <f>HYPERLINK("https://pbs.twimg.com/profile_images/675225906173124609/xPlpeuKw_normal.png","View")</f>
        <v>View</v>
      </c>
      <c r="P388" s="15"/>
    </row>
    <row r="389">
      <c r="A389" s="7">
        <v>42421.9666087963</v>
      </c>
      <c r="B389" s="8" t="str">
        <f t="shared" ref="B389:B390" si="51">HYPERLINK("https://twitter.com/mishra1_PK","@mishra1_PK")</f>
        <v>@mishra1_PK</v>
      </c>
      <c r="C389" s="10" t="s">
        <v>7016</v>
      </c>
      <c r="D389" s="10" t="s">
        <v>6918</v>
      </c>
      <c r="E389" s="11" t="str">
        <f>HYPERLINK("https://twitter.com/mishra1_PK/status/701665705033228288","701665705033228288")</f>
        <v>701665705033228288</v>
      </c>
      <c r="F389" s="12" t="s">
        <v>20</v>
      </c>
      <c r="G389" s="13">
        <v>373.0</v>
      </c>
      <c r="H389" s="13">
        <v>197.0</v>
      </c>
      <c r="I389" s="13">
        <v>32.0</v>
      </c>
      <c r="J389" s="13">
        <v>0.0</v>
      </c>
      <c r="K389" s="12" t="s">
        <v>21</v>
      </c>
      <c r="L389" s="7">
        <v>40327.5</v>
      </c>
      <c r="M389" s="14" t="s">
        <v>1877</v>
      </c>
      <c r="N389" s="14" t="s">
        <v>7017</v>
      </c>
      <c r="O389" s="11" t="str">
        <f t="shared" ref="O389:O390" si="52">HYPERLINK("https://pbs.twimg.com/profile_images/663979354486018048/1NZ2hiBE_normal.jpg","View")</f>
        <v>View</v>
      </c>
      <c r="P389" s="15"/>
    </row>
    <row r="390">
      <c r="A390" s="7">
        <v>42421.96674768519</v>
      </c>
      <c r="B390" s="8" t="str">
        <f t="shared" si="51"/>
        <v>@mishra1_PK</v>
      </c>
      <c r="C390" s="10" t="s">
        <v>7016</v>
      </c>
      <c r="D390" s="10" t="s">
        <v>6926</v>
      </c>
      <c r="E390" s="11" t="str">
        <f>HYPERLINK("https://twitter.com/mishra1_PK/status/701665757688561664","701665757688561664")</f>
        <v>701665757688561664</v>
      </c>
      <c r="F390" s="12" t="s">
        <v>20</v>
      </c>
      <c r="G390" s="13">
        <v>373.0</v>
      </c>
      <c r="H390" s="13">
        <v>197.0</v>
      </c>
      <c r="I390" s="13">
        <v>4.0</v>
      </c>
      <c r="J390" s="13">
        <v>0.0</v>
      </c>
      <c r="K390" s="12" t="s">
        <v>21</v>
      </c>
      <c r="L390" s="7">
        <v>40327.5</v>
      </c>
      <c r="M390" s="14" t="s">
        <v>1877</v>
      </c>
      <c r="N390" s="14" t="s">
        <v>7017</v>
      </c>
      <c r="O390" s="11" t="str">
        <f t="shared" si="52"/>
        <v>View</v>
      </c>
      <c r="P390" s="15"/>
    </row>
    <row r="391">
      <c r="A391" s="7">
        <v>42421.972916666666</v>
      </c>
      <c r="B391" s="8" t="str">
        <f>HYPERLINK("https://twitter.com/JohnBellettiere","@JohnBellettiere")</f>
        <v>@JohnBellettiere</v>
      </c>
      <c r="C391" s="10" t="s">
        <v>7018</v>
      </c>
      <c r="D391" s="10" t="s">
        <v>6997</v>
      </c>
      <c r="E391" s="11" t="str">
        <f>HYPERLINK("https://twitter.com/JohnBellettiere/status/701667993311252480","701667993311252480")</f>
        <v>701667993311252480</v>
      </c>
      <c r="F391" s="12" t="s">
        <v>20</v>
      </c>
      <c r="G391" s="13">
        <v>890.0</v>
      </c>
      <c r="H391" s="13">
        <v>311.0</v>
      </c>
      <c r="I391" s="13">
        <v>18.0</v>
      </c>
      <c r="J391" s="13">
        <v>0.0</v>
      </c>
      <c r="K391" s="12" t="s">
        <v>21</v>
      </c>
      <c r="L391" s="7">
        <v>39977.07266203704</v>
      </c>
      <c r="M391" s="14" t="s">
        <v>7019</v>
      </c>
      <c r="N391" s="14" t="s">
        <v>7020</v>
      </c>
      <c r="O391" s="11" t="str">
        <f>HYPERLINK("https://pbs.twimg.com/profile_images/651688120375578624/grDDL7wB_normal.jpg","View")</f>
        <v>View</v>
      </c>
      <c r="P391" s="15"/>
    </row>
    <row r="392">
      <c r="A392" s="7">
        <v>42421.974120370374</v>
      </c>
      <c r="B392" s="8" t="str">
        <f>HYPERLINK("https://twitter.com/zaticwu","@zaticwu")</f>
        <v>@zaticwu</v>
      </c>
      <c r="C392" s="10" t="s">
        <v>7021</v>
      </c>
      <c r="D392" s="10" t="s">
        <v>6918</v>
      </c>
      <c r="E392" s="11" t="str">
        <f>HYPERLINK("https://twitter.com/zaticwu/status/701668430303236096","701668430303236096")</f>
        <v>701668430303236096</v>
      </c>
      <c r="F392" s="12" t="s">
        <v>152</v>
      </c>
      <c r="G392" s="13">
        <v>126.0</v>
      </c>
      <c r="H392" s="13">
        <v>353.0</v>
      </c>
      <c r="I392" s="13">
        <v>32.0</v>
      </c>
      <c r="J392" s="13">
        <v>0.0</v>
      </c>
      <c r="K392" s="12" t="s">
        <v>21</v>
      </c>
      <c r="L392" s="7">
        <v>40668.12063657407</v>
      </c>
      <c r="M392" s="14" t="s">
        <v>7022</v>
      </c>
      <c r="N392" s="14" t="s">
        <v>7023</v>
      </c>
      <c r="O392" s="11" t="str">
        <f>HYPERLINK("https://pbs.twimg.com/profile_images/509100899063439361/1xdR38oG_normal.jpeg","View")</f>
        <v>View</v>
      </c>
      <c r="P392" s="15"/>
    </row>
    <row r="393">
      <c r="A393" s="7">
        <v>42421.98506944445</v>
      </c>
      <c r="B393" s="8" t="str">
        <f>HYPERLINK("https://twitter.com/ppgardne","@ppgardne")</f>
        <v>@ppgardne</v>
      </c>
      <c r="C393" s="10" t="s">
        <v>7024</v>
      </c>
      <c r="D393" s="10" t="s">
        <v>7025</v>
      </c>
      <c r="E393" s="11" t="str">
        <f>HYPERLINK("https://twitter.com/ppgardne/status/701672396470620160","701672396470620160")</f>
        <v>701672396470620160</v>
      </c>
      <c r="F393" s="12" t="s">
        <v>20</v>
      </c>
      <c r="G393" s="13">
        <v>1637.0</v>
      </c>
      <c r="H393" s="13">
        <v>1652.0</v>
      </c>
      <c r="I393" s="13">
        <v>4.0</v>
      </c>
      <c r="J393" s="13">
        <v>0.0</v>
      </c>
      <c r="K393" s="12" t="s">
        <v>21</v>
      </c>
      <c r="L393" s="7">
        <v>40291.95998842592</v>
      </c>
      <c r="M393" s="14" t="s">
        <v>7026</v>
      </c>
      <c r="N393" s="14" t="s">
        <v>7027</v>
      </c>
      <c r="O393" s="11" t="str">
        <f>HYPERLINK("https://pbs.twimg.com/profile_images/3580274843/32f29a42444d2807eaa7112781881157_normal.jpeg","View")</f>
        <v>View</v>
      </c>
      <c r="P393" s="15"/>
    </row>
    <row r="394">
      <c r="A394" s="7">
        <v>42421.98795138889</v>
      </c>
      <c r="B394" s="8" t="str">
        <f>HYPERLINK("https://twitter.com/adamson","@adamson")</f>
        <v>@adamson</v>
      </c>
      <c r="C394" s="10" t="s">
        <v>6788</v>
      </c>
      <c r="D394" s="10" t="s">
        <v>7028</v>
      </c>
      <c r="E394" s="11" t="str">
        <f>HYPERLINK("https://twitter.com/adamson/status/701673442760732672","701673442760732672")</f>
        <v>701673442760732672</v>
      </c>
      <c r="F394" s="12" t="s">
        <v>52</v>
      </c>
      <c r="G394" s="13">
        <v>10554.0</v>
      </c>
      <c r="H394" s="13">
        <v>11289.0</v>
      </c>
      <c r="I394" s="13">
        <v>0.0</v>
      </c>
      <c r="J394" s="13">
        <v>4.0</v>
      </c>
      <c r="K394" s="12" t="s">
        <v>21</v>
      </c>
      <c r="L394" s="7">
        <v>39377.993796296294</v>
      </c>
      <c r="M394" s="14" t="s">
        <v>6790</v>
      </c>
      <c r="N394" s="14" t="s">
        <v>6791</v>
      </c>
      <c r="O394" s="11" t="str">
        <f>HYPERLINK("https://pbs.twimg.com/profile_images/544790599589568512/26tIRo8H_normal.jpeg","View")</f>
        <v>View</v>
      </c>
      <c r="P394" s="15"/>
    </row>
    <row r="395">
      <c r="A395" s="7">
        <v>42421.996666666666</v>
      </c>
      <c r="B395" s="8" t="str">
        <f>HYPERLINK("https://twitter.com/Edgargdpg","@Edgargdpg")</f>
        <v>@Edgargdpg</v>
      </c>
      <c r="C395" s="10" t="s">
        <v>7029</v>
      </c>
      <c r="D395" s="10" t="s">
        <v>6319</v>
      </c>
      <c r="E395" s="11" t="str">
        <f>HYPERLINK("https://twitter.com/Edgargdpg/status/701676598374887424","701676598374887424")</f>
        <v>701676598374887424</v>
      </c>
      <c r="F395" s="12" t="s">
        <v>20</v>
      </c>
      <c r="G395" s="13">
        <v>118.0</v>
      </c>
      <c r="H395" s="13">
        <v>277.0</v>
      </c>
      <c r="I395" s="13">
        <v>106.0</v>
      </c>
      <c r="J395" s="13">
        <v>0.0</v>
      </c>
      <c r="K395" s="12" t="s">
        <v>21</v>
      </c>
      <c r="L395" s="7">
        <v>41275.54243055556</v>
      </c>
      <c r="M395" s="14" t="s">
        <v>194</v>
      </c>
      <c r="N395" s="14" t="s">
        <v>7030</v>
      </c>
      <c r="O395" s="11" t="str">
        <f>HYPERLINK("https://pbs.twimg.com/profile_images/640896669840736256/4GdurBH1_normal.jpg","View")</f>
        <v>View</v>
      </c>
      <c r="P395" s="15"/>
    </row>
    <row r="396">
      <c r="A396" s="7">
        <v>42422.00071759259</v>
      </c>
      <c r="B396" s="8" t="str">
        <f t="shared" ref="B396:B397" si="53">HYPERLINK("https://twitter.com/Rbloggers","@Rbloggers")</f>
        <v>@Rbloggers</v>
      </c>
      <c r="C396" s="10" t="s">
        <v>6221</v>
      </c>
      <c r="D396" s="10" t="s">
        <v>7031</v>
      </c>
      <c r="E396" s="11" t="str">
        <f>HYPERLINK("https://twitter.com/Rbloggers/status/701678065546502144","701678065546502144")</f>
        <v>701678065546502144</v>
      </c>
      <c r="F396" s="17" t="s">
        <v>6223</v>
      </c>
      <c r="G396" s="13">
        <v>28572.0</v>
      </c>
      <c r="H396" s="13">
        <v>36.0</v>
      </c>
      <c r="I396" s="13">
        <v>1.0</v>
      </c>
      <c r="J396" s="13">
        <v>8.0</v>
      </c>
      <c r="K396" s="12" t="s">
        <v>21</v>
      </c>
      <c r="L396" s="7">
        <v>40314.510601851856</v>
      </c>
      <c r="M396" s="16"/>
      <c r="N396" s="14" t="s">
        <v>6224</v>
      </c>
      <c r="O396" s="11" t="str">
        <f t="shared" ref="O396:O397" si="54">HYPERLINK("https://pbs.twimg.com/profile_images/502185985786916864/gkdFh-q7_normal.png","View")</f>
        <v>View</v>
      </c>
      <c r="P396" s="15"/>
    </row>
    <row r="397">
      <c r="A397" s="7">
        <v>42422.003657407404</v>
      </c>
      <c r="B397" s="8" t="str">
        <f t="shared" si="53"/>
        <v>@Rbloggers</v>
      </c>
      <c r="C397" s="10" t="s">
        <v>6221</v>
      </c>
      <c r="D397" s="10" t="s">
        <v>7032</v>
      </c>
      <c r="E397" s="11" t="str">
        <f>HYPERLINK("https://twitter.com/Rbloggers/status/701679133571420160","701679133571420160")</f>
        <v>701679133571420160</v>
      </c>
      <c r="F397" s="17" t="s">
        <v>6223</v>
      </c>
      <c r="G397" s="13">
        <v>28572.0</v>
      </c>
      <c r="H397" s="13">
        <v>36.0</v>
      </c>
      <c r="I397" s="13">
        <v>1.0</v>
      </c>
      <c r="J397" s="13">
        <v>6.0</v>
      </c>
      <c r="K397" s="12" t="s">
        <v>21</v>
      </c>
      <c r="L397" s="7">
        <v>40314.510601851856</v>
      </c>
      <c r="M397" s="16"/>
      <c r="N397" s="14" t="s">
        <v>6224</v>
      </c>
      <c r="O397" s="11" t="str">
        <f t="shared" si="54"/>
        <v>View</v>
      </c>
      <c r="P397" s="15"/>
    </row>
    <row r="398">
      <c r="A398" s="7">
        <v>42422.00398148148</v>
      </c>
      <c r="B398" s="8" t="str">
        <f t="shared" ref="B398:B399" si="55">HYPERLINK("https://twitter.com/CVNezar","@CVNezar")</f>
        <v>@CVNezar</v>
      </c>
      <c r="C398" s="10" t="s">
        <v>7033</v>
      </c>
      <c r="D398" s="10" t="s">
        <v>6982</v>
      </c>
      <c r="E398" s="11" t="str">
        <f>HYPERLINK("https://twitter.com/CVNezar/status/701679252148723713","701679252148723713")</f>
        <v>701679252148723713</v>
      </c>
      <c r="F398" s="12" t="s">
        <v>20</v>
      </c>
      <c r="G398" s="13">
        <v>45.0</v>
      </c>
      <c r="H398" s="13">
        <v>131.0</v>
      </c>
      <c r="I398" s="13">
        <v>56.0</v>
      </c>
      <c r="J398" s="13">
        <v>0.0</v>
      </c>
      <c r="K398" s="12" t="s">
        <v>21</v>
      </c>
      <c r="L398" s="7">
        <v>41883.84758101852</v>
      </c>
      <c r="M398" s="14" t="s">
        <v>7034</v>
      </c>
      <c r="N398" s="14" t="s">
        <v>7035</v>
      </c>
      <c r="O398" s="11" t="str">
        <f t="shared" ref="O398:O399" si="56">HYPERLINK("https://pbs.twimg.com/profile_images/695991694706286593/5HLY3cBi_normal.png","View")</f>
        <v>View</v>
      </c>
      <c r="P398" s="15"/>
    </row>
    <row r="399">
      <c r="A399" s="7">
        <v>42422.00549768518</v>
      </c>
      <c r="B399" s="8" t="str">
        <f t="shared" si="55"/>
        <v>@CVNezar</v>
      </c>
      <c r="C399" s="10" t="s">
        <v>7033</v>
      </c>
      <c r="D399" s="10" t="s">
        <v>6379</v>
      </c>
      <c r="E399" s="11" t="str">
        <f>HYPERLINK("https://twitter.com/CVNezar/status/701679800444919808","701679800444919808")</f>
        <v>701679800444919808</v>
      </c>
      <c r="F399" s="12" t="s">
        <v>20</v>
      </c>
      <c r="G399" s="13">
        <v>45.0</v>
      </c>
      <c r="H399" s="13">
        <v>131.0</v>
      </c>
      <c r="I399" s="13">
        <v>61.0</v>
      </c>
      <c r="J399" s="13">
        <v>0.0</v>
      </c>
      <c r="K399" s="12" t="s">
        <v>21</v>
      </c>
      <c r="L399" s="7">
        <v>41883.84758101852</v>
      </c>
      <c r="M399" s="14" t="s">
        <v>7034</v>
      </c>
      <c r="N399" s="14" t="s">
        <v>7035</v>
      </c>
      <c r="O399" s="11" t="str">
        <f t="shared" si="56"/>
        <v>View</v>
      </c>
      <c r="P399" s="15"/>
    </row>
    <row r="400">
      <c r="A400" s="7">
        <v>42422.00767361111</v>
      </c>
      <c r="B400" s="8" t="str">
        <f>HYPERLINK("https://twitter.com/beskotw","@beskotw")</f>
        <v>@beskotw</v>
      </c>
      <c r="C400" s="10" t="s">
        <v>7036</v>
      </c>
      <c r="D400" s="10" t="s">
        <v>6982</v>
      </c>
      <c r="E400" s="11" t="str">
        <f>HYPERLINK("https://twitter.com/beskotw/status/701680588760215552","701680588760215552")</f>
        <v>701680588760215552</v>
      </c>
      <c r="F400" s="12" t="s">
        <v>20</v>
      </c>
      <c r="G400" s="13">
        <v>1340.0</v>
      </c>
      <c r="H400" s="13">
        <v>1007.0</v>
      </c>
      <c r="I400" s="13">
        <v>56.0</v>
      </c>
      <c r="J400" s="13">
        <v>0.0</v>
      </c>
      <c r="K400" s="12" t="s">
        <v>21</v>
      </c>
      <c r="L400" s="7">
        <v>39960.6781712963</v>
      </c>
      <c r="M400" s="14" t="s">
        <v>7037</v>
      </c>
      <c r="N400" s="14" t="s">
        <v>7038</v>
      </c>
      <c r="O400" s="11" t="str">
        <f>HYPERLINK("https://pbs.twimg.com/profile_images/702881398563012609/D8jCqklC_normal.png","View")</f>
        <v>View</v>
      </c>
      <c r="P400" s="15"/>
    </row>
    <row r="401">
      <c r="A401" s="7">
        <v>42422.00952546296</v>
      </c>
      <c r="B401" s="8" t="str">
        <f t="shared" ref="B401:B402" si="57">HYPERLINK("https://twitter.com/CRANberriesFeed","@CRANberriesFeed")</f>
        <v>@CRANberriesFeed</v>
      </c>
      <c r="C401" s="10" t="s">
        <v>6282</v>
      </c>
      <c r="D401" s="10" t="s">
        <v>7039</v>
      </c>
      <c r="E401" s="11" t="str">
        <f>HYPERLINK("https://twitter.com/CRANberriesFeed/status/701681257613283328","701681257613283328")</f>
        <v>701681257613283328</v>
      </c>
      <c r="F401" s="12" t="s">
        <v>6284</v>
      </c>
      <c r="G401" s="13">
        <v>657.0</v>
      </c>
      <c r="H401" s="13">
        <v>0.0</v>
      </c>
      <c r="I401" s="13">
        <v>0.0</v>
      </c>
      <c r="J401" s="13">
        <v>0.0</v>
      </c>
      <c r="K401" s="12" t="s">
        <v>21</v>
      </c>
      <c r="L401" s="7">
        <v>40546.353425925925</v>
      </c>
      <c r="M401" s="14" t="s">
        <v>1158</v>
      </c>
      <c r="N401" s="16"/>
      <c r="O401" s="11" t="str">
        <f t="shared" ref="O401:O402" si="58">HYPERLINK("https://pbs.twimg.com/profile_images/1222779560/cran1_normal.jpg","View")</f>
        <v>View</v>
      </c>
      <c r="P401" s="15"/>
    </row>
    <row r="402">
      <c r="A402" s="7">
        <v>42422.0095949074</v>
      </c>
      <c r="B402" s="8" t="str">
        <f t="shared" si="57"/>
        <v>@CRANberriesFeed</v>
      </c>
      <c r="C402" s="10" t="s">
        <v>6282</v>
      </c>
      <c r="D402" s="10" t="s">
        <v>7040</v>
      </c>
      <c r="E402" s="11" t="str">
        <f>HYPERLINK("https://twitter.com/CRANberriesFeed/status/701681283685031936","701681283685031936")</f>
        <v>701681283685031936</v>
      </c>
      <c r="F402" s="12" t="s">
        <v>6284</v>
      </c>
      <c r="G402" s="13">
        <v>657.0</v>
      </c>
      <c r="H402" s="13">
        <v>0.0</v>
      </c>
      <c r="I402" s="13">
        <v>0.0</v>
      </c>
      <c r="J402" s="13">
        <v>0.0</v>
      </c>
      <c r="K402" s="12" t="s">
        <v>21</v>
      </c>
      <c r="L402" s="7">
        <v>40546.353425925925</v>
      </c>
      <c r="M402" s="14" t="s">
        <v>1158</v>
      </c>
      <c r="N402" s="16"/>
      <c r="O402" s="11" t="str">
        <f t="shared" si="58"/>
        <v>View</v>
      </c>
      <c r="P402" s="15"/>
    </row>
    <row r="403">
      <c r="A403" s="7">
        <v>42422.01587962963</v>
      </c>
      <c r="B403" s="8" t="str">
        <f>HYPERLINK("https://twitter.com/BoSchwartz","@BoSchwartz")</f>
        <v>@BoSchwartz</v>
      </c>
      <c r="C403" s="10" t="s">
        <v>6369</v>
      </c>
      <c r="D403" s="10" t="s">
        <v>7041</v>
      </c>
      <c r="E403" s="11" t="str">
        <f>HYPERLINK("https://twitter.com/BoSchwartz/status/701683561833885696","701683561833885696")</f>
        <v>701683561833885696</v>
      </c>
      <c r="F403" s="12" t="s">
        <v>20</v>
      </c>
      <c r="G403" s="13">
        <v>677.0</v>
      </c>
      <c r="H403" s="13">
        <v>788.0</v>
      </c>
      <c r="I403" s="13">
        <v>0.0</v>
      </c>
      <c r="J403" s="13">
        <v>4.0</v>
      </c>
      <c r="K403" s="12" t="s">
        <v>21</v>
      </c>
      <c r="L403" s="7">
        <v>39898.23520833333</v>
      </c>
      <c r="M403" s="14" t="s">
        <v>371</v>
      </c>
      <c r="N403" s="14" t="s">
        <v>6371</v>
      </c>
      <c r="O403" s="11" t="str">
        <f>HYPERLINK("https://pbs.twimg.com/profile_images/423758206267977729/AuOW_qcq_normal.jpeg","View")</f>
        <v>View</v>
      </c>
      <c r="P403" s="15"/>
    </row>
    <row r="404">
      <c r="A404" s="7">
        <v>42422.02690972222</v>
      </c>
      <c r="B404" s="8" t="str">
        <f>HYPERLINK("https://twitter.com/Pvalsfr","@Pvalsfr")</f>
        <v>@Pvalsfr</v>
      </c>
      <c r="C404" s="10" t="s">
        <v>771</v>
      </c>
      <c r="D404" s="10" t="s">
        <v>7042</v>
      </c>
      <c r="E404" s="11" t="str">
        <f>HYPERLINK("https://twitter.com/Pvalsfr/status/701687560024805376","701687560024805376")</f>
        <v>701687560024805376</v>
      </c>
      <c r="F404" s="12" t="s">
        <v>152</v>
      </c>
      <c r="G404" s="13">
        <v>1044.0</v>
      </c>
      <c r="H404" s="13">
        <v>1081.0</v>
      </c>
      <c r="I404" s="13">
        <v>1.0</v>
      </c>
      <c r="J404" s="13">
        <v>0.0</v>
      </c>
      <c r="K404" s="12" t="s">
        <v>21</v>
      </c>
      <c r="L404" s="7">
        <v>40867.68900462963</v>
      </c>
      <c r="M404" s="16"/>
      <c r="N404" s="16"/>
      <c r="O404" s="11" t="str">
        <f>HYPERLINK("https://abs.twimg.com/sticky/default_profile_images/default_profile_4_normal.png","View")</f>
        <v>View</v>
      </c>
      <c r="P404" s="15"/>
    </row>
    <row r="405">
      <c r="A405" s="7">
        <v>42422.02706018518</v>
      </c>
      <c r="B405" s="8" t="str">
        <f>HYPERLINK("https://twitter.com/big_data_flow","@big_data_flow")</f>
        <v>@big_data_flow</v>
      </c>
      <c r="C405" s="10" t="s">
        <v>5874</v>
      </c>
      <c r="D405" s="10" t="s">
        <v>6918</v>
      </c>
      <c r="E405" s="11" t="str">
        <f>HYPERLINK("https://twitter.com/big_data_flow/status/701687615565774850","701687615565774850")</f>
        <v>701687615565774850</v>
      </c>
      <c r="F405" s="12" t="s">
        <v>52</v>
      </c>
      <c r="G405" s="13">
        <v>368.0</v>
      </c>
      <c r="H405" s="13">
        <v>23.0</v>
      </c>
      <c r="I405" s="13">
        <v>32.0</v>
      </c>
      <c r="J405" s="13">
        <v>0.0</v>
      </c>
      <c r="K405" s="12" t="s">
        <v>21</v>
      </c>
      <c r="L405" s="7">
        <v>42365.02858796297</v>
      </c>
      <c r="M405" s="14" t="s">
        <v>2002</v>
      </c>
      <c r="N405" s="14" t="s">
        <v>5876</v>
      </c>
      <c r="O405" s="11" t="str">
        <f>HYPERLINK("https://pbs.twimg.com/profile_images/681034665923317761/G4LHHc1n_normal.jpg","View")</f>
        <v>View</v>
      </c>
      <c r="P405" s="15"/>
    </row>
    <row r="406">
      <c r="A406" s="7">
        <v>42422.02840277778</v>
      </c>
      <c r="B406" s="8" t="str">
        <f>HYPERLINK("https://twitter.com/Pvalsfr","@Pvalsfr")</f>
        <v>@Pvalsfr</v>
      </c>
      <c r="C406" s="10" t="s">
        <v>771</v>
      </c>
      <c r="D406" s="10" t="s">
        <v>7043</v>
      </c>
      <c r="E406" s="11" t="str">
        <f>HYPERLINK("https://twitter.com/Pvalsfr/status/701688101765255168","701688101765255168")</f>
        <v>701688101765255168</v>
      </c>
      <c r="F406" s="12" t="s">
        <v>152</v>
      </c>
      <c r="G406" s="13">
        <v>1044.0</v>
      </c>
      <c r="H406" s="13">
        <v>1081.0</v>
      </c>
      <c r="I406" s="13">
        <v>1.0</v>
      </c>
      <c r="J406" s="13">
        <v>0.0</v>
      </c>
      <c r="K406" s="12" t="s">
        <v>21</v>
      </c>
      <c r="L406" s="7">
        <v>40867.68900462963</v>
      </c>
      <c r="M406" s="16"/>
      <c r="N406" s="16"/>
      <c r="O406" s="11" t="str">
        <f>HYPERLINK("https://abs.twimg.com/sticky/default_profile_images/default_profile_4_normal.png","View")</f>
        <v>View</v>
      </c>
      <c r="P406" s="15"/>
    </row>
    <row r="407">
      <c r="A407" s="7">
        <v>42422.02887731481</v>
      </c>
      <c r="B407" s="8" t="str">
        <f>HYPERLINK("https://twitter.com/Hilary_Wynne","@Hilary_Wynne")</f>
        <v>@Hilary_Wynne</v>
      </c>
      <c r="C407" s="10" t="s">
        <v>7044</v>
      </c>
      <c r="D407" s="10" t="s">
        <v>6918</v>
      </c>
      <c r="E407" s="11" t="str">
        <f>HYPERLINK("https://twitter.com/Hilary_Wynne/status/701688270795776000","701688270795776000")</f>
        <v>701688270795776000</v>
      </c>
      <c r="F407" s="12" t="s">
        <v>52</v>
      </c>
      <c r="G407" s="13">
        <v>57.0</v>
      </c>
      <c r="H407" s="13">
        <v>105.0</v>
      </c>
      <c r="I407" s="13">
        <v>32.0</v>
      </c>
      <c r="J407" s="13">
        <v>0.0</v>
      </c>
      <c r="K407" s="12" t="s">
        <v>21</v>
      </c>
      <c r="L407" s="7">
        <v>42249.4221412037</v>
      </c>
      <c r="M407" s="14" t="s">
        <v>2941</v>
      </c>
      <c r="N407" s="14" t="s">
        <v>7045</v>
      </c>
      <c r="O407" s="11" t="str">
        <f>HYPERLINK("https://pbs.twimg.com/profile_images/639210838121951232/yYhBlX0B_normal.jpg","View")</f>
        <v>View</v>
      </c>
      <c r="P407" s="15"/>
    </row>
    <row r="408">
      <c r="A408" s="7">
        <v>42422.033784722225</v>
      </c>
      <c r="B408" s="8" t="str">
        <f>HYPERLINK("https://twitter.com/dasaptaerwin","@dasaptaerwin")</f>
        <v>@dasaptaerwin</v>
      </c>
      <c r="C408" s="10" t="s">
        <v>1040</v>
      </c>
      <c r="D408" s="10" t="s">
        <v>7046</v>
      </c>
      <c r="E408" s="11" t="str">
        <f>HYPERLINK("https://twitter.com/dasaptaerwin/status/701690050837291008","701690050837291008")</f>
        <v>701690050837291008</v>
      </c>
      <c r="F408" s="12" t="s">
        <v>52</v>
      </c>
      <c r="G408" s="13">
        <v>502.0</v>
      </c>
      <c r="H408" s="13">
        <v>347.0</v>
      </c>
      <c r="I408" s="13">
        <v>1.0</v>
      </c>
      <c r="J408" s="13">
        <v>3.0</v>
      </c>
      <c r="K408" s="12" t="s">
        <v>21</v>
      </c>
      <c r="L408" s="7">
        <v>40522.75613425926</v>
      </c>
      <c r="M408" s="18" t="s">
        <v>1042</v>
      </c>
      <c r="N408" s="14" t="s">
        <v>1043</v>
      </c>
      <c r="O408" s="11" t="str">
        <f>HYPERLINK("https://pbs.twimg.com/profile_images/695959239957688320/MJ4p8POC_normal.jpg","View")</f>
        <v>View</v>
      </c>
      <c r="P408" s="15"/>
    </row>
    <row r="409">
      <c r="A409" s="7">
        <v>42422.03542824074</v>
      </c>
      <c r="B409" s="8" t="str">
        <f>HYPERLINK("https://twitter.com/TAT_ITB","@TAT_ITB")</f>
        <v>@TAT_ITB</v>
      </c>
      <c r="C409" s="10" t="s">
        <v>7047</v>
      </c>
      <c r="D409" s="10" t="s">
        <v>7048</v>
      </c>
      <c r="E409" s="11" t="str">
        <f>HYPERLINK("https://twitter.com/TAT_ITB/status/701690645493084161","701690645493084161")</f>
        <v>701690645493084161</v>
      </c>
      <c r="F409" s="12" t="s">
        <v>52</v>
      </c>
      <c r="G409" s="13">
        <v>112.0</v>
      </c>
      <c r="H409" s="13">
        <v>142.0</v>
      </c>
      <c r="I409" s="13">
        <v>0.0</v>
      </c>
      <c r="J409" s="13">
        <v>1.0</v>
      </c>
      <c r="K409" s="12" t="s">
        <v>21</v>
      </c>
      <c r="L409" s="7">
        <v>41680.01274305556</v>
      </c>
      <c r="M409" s="14" t="s">
        <v>7049</v>
      </c>
      <c r="N409" s="14" t="s">
        <v>7050</v>
      </c>
      <c r="O409" s="11" t="str">
        <f>HYPERLINK("https://pbs.twimg.com/profile_images/503460551637233664/oFBLnEWw_normal.jpeg","View")</f>
        <v>View</v>
      </c>
      <c r="P409" s="15"/>
    </row>
    <row r="410">
      <c r="A410" s="7">
        <v>42422.03631944444</v>
      </c>
      <c r="B410" s="8" t="str">
        <f>HYPERLINK("https://twitter.com/CapeRUser","@CapeRUser")</f>
        <v>@CapeRUser</v>
      </c>
      <c r="C410" s="10" t="s">
        <v>7051</v>
      </c>
      <c r="D410" s="10" t="s">
        <v>6997</v>
      </c>
      <c r="E410" s="11" t="str">
        <f>HYPERLINK("https://twitter.com/CapeRUser/status/701690969297707009","701690969297707009")</f>
        <v>701690969297707009</v>
      </c>
      <c r="F410" s="12" t="s">
        <v>20</v>
      </c>
      <c r="G410" s="13">
        <v>128.0</v>
      </c>
      <c r="H410" s="13">
        <v>277.0</v>
      </c>
      <c r="I410" s="13">
        <v>18.0</v>
      </c>
      <c r="J410" s="13">
        <v>0.0</v>
      </c>
      <c r="K410" s="12" t="s">
        <v>21</v>
      </c>
      <c r="L410" s="7">
        <v>41982.46293981481</v>
      </c>
      <c r="M410" s="14" t="s">
        <v>7052</v>
      </c>
      <c r="N410" s="14" t="s">
        <v>7053</v>
      </c>
      <c r="O410" s="11" t="str">
        <f>HYPERLINK("https://pbs.twimg.com/profile_images/542639398081138689/XxKn1Cmu_normal.png","View")</f>
        <v>View</v>
      </c>
      <c r="P410" s="15"/>
    </row>
    <row r="411">
      <c r="A411" s="7">
        <v>42422.042592592596</v>
      </c>
      <c r="B411" s="8" t="str">
        <f>HYPERLINK("https://twitter.com/lpszBar","@lpszBar")</f>
        <v>@lpszBar</v>
      </c>
      <c r="C411" s="10" t="s">
        <v>7054</v>
      </c>
      <c r="D411" s="10" t="s">
        <v>6773</v>
      </c>
      <c r="E411" s="11" t="str">
        <f>HYPERLINK("https://twitter.com/lpszBar/status/701693241486397440","701693241486397440")</f>
        <v>701693241486397440</v>
      </c>
      <c r="F411" s="12" t="s">
        <v>446</v>
      </c>
      <c r="G411" s="13">
        <v>79.0</v>
      </c>
      <c r="H411" s="13">
        <v>489.0</v>
      </c>
      <c r="I411" s="13">
        <v>61.0</v>
      </c>
      <c r="J411" s="13">
        <v>0.0</v>
      </c>
      <c r="K411" s="12" t="s">
        <v>21</v>
      </c>
      <c r="L411" s="7">
        <v>41228.45042824074</v>
      </c>
      <c r="M411" s="14" t="s">
        <v>194</v>
      </c>
      <c r="N411" s="14" t="s">
        <v>7055</v>
      </c>
      <c r="O411" s="11" t="str">
        <f>HYPERLINK("https://pbs.twimg.com/profile_images/670502966420443136/_nV0_x7d_normal.jpg","View")</f>
        <v>View</v>
      </c>
      <c r="P411" s="15"/>
    </row>
    <row r="412">
      <c r="A412" s="7">
        <v>42422.04445601851</v>
      </c>
      <c r="B412" s="8" t="str">
        <f>HYPERLINK("https://twitter.com/MangoTheCat","@MangoTheCat")</f>
        <v>@MangoTheCat</v>
      </c>
      <c r="C412" s="10" t="s">
        <v>6321</v>
      </c>
      <c r="D412" s="10" t="s">
        <v>7056</v>
      </c>
      <c r="E412" s="11" t="str">
        <f>HYPERLINK("https://twitter.com/MangoTheCat/status/701693917096337408","701693917096337408")</f>
        <v>701693917096337408</v>
      </c>
      <c r="F412" s="12" t="s">
        <v>47</v>
      </c>
      <c r="G412" s="13">
        <v>2041.0</v>
      </c>
      <c r="H412" s="13">
        <v>2855.0</v>
      </c>
      <c r="I412" s="13">
        <v>1.0</v>
      </c>
      <c r="J412" s="13">
        <v>0.0</v>
      </c>
      <c r="K412" s="12" t="s">
        <v>21</v>
      </c>
      <c r="L412" s="7">
        <v>39854.3178587963</v>
      </c>
      <c r="M412" s="14" t="s">
        <v>6323</v>
      </c>
      <c r="N412" s="14" t="s">
        <v>6324</v>
      </c>
      <c r="O412" s="11" t="str">
        <f>HYPERLINK("https://pbs.twimg.com/profile_images/641183991077445633/V7VcBpJI_normal.png","View")</f>
        <v>View</v>
      </c>
      <c r="P412" s="15"/>
    </row>
    <row r="413">
      <c r="A413" s="7">
        <v>42422.04722222222</v>
      </c>
      <c r="B413" s="8" t="str">
        <f t="shared" ref="B413:B414" si="59">HYPERLINK("https://twitter.com/CmRoycostilla","@CmRoycostilla")</f>
        <v>@CmRoycostilla</v>
      </c>
      <c r="C413" s="10" t="s">
        <v>6712</v>
      </c>
      <c r="D413" s="10" t="s">
        <v>7057</v>
      </c>
      <c r="E413" s="11" t="str">
        <f>HYPERLINK("https://twitter.com/CmRoycostilla/status/701694918402551809","701694918402551809")</f>
        <v>701694918402551809</v>
      </c>
      <c r="F413" s="12" t="s">
        <v>152</v>
      </c>
      <c r="G413" s="13">
        <v>53.0</v>
      </c>
      <c r="H413" s="13">
        <v>151.0</v>
      </c>
      <c r="I413" s="13">
        <v>3.0</v>
      </c>
      <c r="J413" s="13">
        <v>0.0</v>
      </c>
      <c r="K413" s="12" t="s">
        <v>21</v>
      </c>
      <c r="L413" s="7">
        <v>42344.769791666666</v>
      </c>
      <c r="M413" s="14" t="s">
        <v>6713</v>
      </c>
      <c r="N413" s="14" t="s">
        <v>6714</v>
      </c>
      <c r="O413" s="11" t="str">
        <f t="shared" ref="O413:O414" si="60">HYPERLINK("https://pbs.twimg.com/profile_images/674172690849120256/_s6p8Xra_normal.jpg","View")</f>
        <v>View</v>
      </c>
      <c r="P413" s="15"/>
    </row>
    <row r="414">
      <c r="A414" s="7">
        <v>42422.04726851852</v>
      </c>
      <c r="B414" s="8" t="str">
        <f t="shared" si="59"/>
        <v>@CmRoycostilla</v>
      </c>
      <c r="C414" s="10" t="s">
        <v>6712</v>
      </c>
      <c r="D414" s="10" t="s">
        <v>7025</v>
      </c>
      <c r="E414" s="11" t="str">
        <f>HYPERLINK("https://twitter.com/CmRoycostilla/status/701694935146168320","701694935146168320")</f>
        <v>701694935146168320</v>
      </c>
      <c r="F414" s="12" t="s">
        <v>152</v>
      </c>
      <c r="G414" s="13">
        <v>53.0</v>
      </c>
      <c r="H414" s="13">
        <v>151.0</v>
      </c>
      <c r="I414" s="13">
        <v>4.0</v>
      </c>
      <c r="J414" s="13">
        <v>0.0</v>
      </c>
      <c r="K414" s="12" t="s">
        <v>21</v>
      </c>
      <c r="L414" s="7">
        <v>42344.769791666666</v>
      </c>
      <c r="M414" s="14" t="s">
        <v>6713</v>
      </c>
      <c r="N414" s="14" t="s">
        <v>6714</v>
      </c>
      <c r="O414" s="11" t="str">
        <f t="shared" si="60"/>
        <v>View</v>
      </c>
      <c r="P414" s="15"/>
    </row>
    <row r="415">
      <c r="A415" s="7">
        <v>42422.04958333333</v>
      </c>
      <c r="B415" s="8" t="str">
        <f>HYPERLINK("https://twitter.com/openmylab","@openmylab")</f>
        <v>@openmylab</v>
      </c>
      <c r="C415" s="10" t="s">
        <v>5852</v>
      </c>
      <c r="D415" s="10" t="s">
        <v>7058</v>
      </c>
      <c r="E415" s="11" t="str">
        <f>HYPERLINK("https://twitter.com/openmylab/status/701695776024432640","701695776024432640")</f>
        <v>701695776024432640</v>
      </c>
      <c r="F415" s="12" t="s">
        <v>20</v>
      </c>
      <c r="G415" s="13">
        <v>1017.0</v>
      </c>
      <c r="H415" s="13">
        <v>974.0</v>
      </c>
      <c r="I415" s="13">
        <v>1.0</v>
      </c>
      <c r="J415" s="13">
        <v>0.0</v>
      </c>
      <c r="K415" s="12" t="s">
        <v>21</v>
      </c>
      <c r="L415" s="7">
        <v>42283.33546296296</v>
      </c>
      <c r="M415" s="14" t="s">
        <v>5854</v>
      </c>
      <c r="N415" s="14" t="s">
        <v>5855</v>
      </c>
      <c r="O415" s="11" t="str">
        <f>HYPERLINK("https://pbs.twimg.com/profile_images/696226577386852352/yseUYL_3_normal.jpg","View")</f>
        <v>View</v>
      </c>
      <c r="P415" s="15"/>
    </row>
    <row r="416">
      <c r="A416" s="7">
        <v>42422.05070601852</v>
      </c>
      <c r="B416" s="8" t="str">
        <f>HYPERLINK("https://twitter.com/MangoTheCat","@MangoTheCat")</f>
        <v>@MangoTheCat</v>
      </c>
      <c r="C416" s="10" t="s">
        <v>6321</v>
      </c>
      <c r="D416" s="10" t="s">
        <v>7059</v>
      </c>
      <c r="E416" s="11" t="str">
        <f>HYPERLINK("https://twitter.com/MangoTheCat/status/701696181965975552","701696181965975552")</f>
        <v>701696181965975552</v>
      </c>
      <c r="F416" s="12" t="s">
        <v>47</v>
      </c>
      <c r="G416" s="13">
        <v>2041.0</v>
      </c>
      <c r="H416" s="13">
        <v>2855.0</v>
      </c>
      <c r="I416" s="13">
        <v>2.0</v>
      </c>
      <c r="J416" s="13">
        <v>0.0</v>
      </c>
      <c r="K416" s="12" t="s">
        <v>21</v>
      </c>
      <c r="L416" s="7">
        <v>39854.3178587963</v>
      </c>
      <c r="M416" s="14" t="s">
        <v>6323</v>
      </c>
      <c r="N416" s="14" t="s">
        <v>6324</v>
      </c>
      <c r="O416" s="11" t="str">
        <f>HYPERLINK("https://pbs.twimg.com/profile_images/641183991077445633/V7VcBpJI_normal.png","View")</f>
        <v>View</v>
      </c>
      <c r="P416" s="15"/>
    </row>
    <row r="417">
      <c r="A417" s="7">
        <v>42422.05322916667</v>
      </c>
      <c r="B417" s="8" t="str">
        <f>HYPERLINK("https://twitter.com/ittookten","@ittookten")</f>
        <v>@ittookten</v>
      </c>
      <c r="C417" s="10" t="s">
        <v>7060</v>
      </c>
      <c r="D417" s="10" t="s">
        <v>6480</v>
      </c>
      <c r="E417" s="11" t="str">
        <f>HYPERLINK("https://twitter.com/ittookten/status/701697098358591488","701697098358591488")</f>
        <v>701697098358591488</v>
      </c>
      <c r="F417" s="12" t="s">
        <v>446</v>
      </c>
      <c r="G417" s="13">
        <v>246.0</v>
      </c>
      <c r="H417" s="13">
        <v>394.0</v>
      </c>
      <c r="I417" s="13">
        <v>2.0</v>
      </c>
      <c r="J417" s="13">
        <v>0.0</v>
      </c>
      <c r="K417" s="12" t="s">
        <v>21</v>
      </c>
      <c r="L417" s="7">
        <v>40633.63741898148</v>
      </c>
      <c r="M417" s="14" t="s">
        <v>7061</v>
      </c>
      <c r="N417" s="14" t="s">
        <v>7062</v>
      </c>
      <c r="O417" s="11" t="str">
        <f>HYPERLINK("https://pbs.twimg.com/profile_images/686570859587190784/ceX6tp6o_normal.jpg","View")</f>
        <v>View</v>
      </c>
      <c r="P417" s="15"/>
    </row>
    <row r="418">
      <c r="A418" s="7">
        <v>42422.053761574076</v>
      </c>
      <c r="B418" s="8" t="str">
        <f>HYPERLINK("https://twitter.com/yodacomplex","@yodacomplex")</f>
        <v>@yodacomplex</v>
      </c>
      <c r="C418" s="10" t="s">
        <v>7063</v>
      </c>
      <c r="D418" s="10" t="s">
        <v>7064</v>
      </c>
      <c r="E418" s="11" t="str">
        <f>HYPERLINK("https://twitter.com/yodacomplex/status/701697289207816192","701697289207816192")</f>
        <v>701697289207816192</v>
      </c>
      <c r="F418" s="12" t="s">
        <v>20</v>
      </c>
      <c r="G418" s="13">
        <v>1521.0</v>
      </c>
      <c r="H418" s="13">
        <v>1195.0</v>
      </c>
      <c r="I418" s="13">
        <v>2.0</v>
      </c>
      <c r="J418" s="13">
        <v>3.0</v>
      </c>
      <c r="K418" s="12" t="s">
        <v>21</v>
      </c>
      <c r="L418" s="7">
        <v>40632.58425925926</v>
      </c>
      <c r="M418" s="14" t="s">
        <v>1031</v>
      </c>
      <c r="N418" s="14" t="s">
        <v>7065</v>
      </c>
      <c r="O418" s="11" t="str">
        <f>HYPERLINK("https://pbs.twimg.com/profile_images/666986454225154048/UR-LOD3R_normal.jpg","View")</f>
        <v>View</v>
      </c>
      <c r="P418" s="15"/>
    </row>
    <row r="419">
      <c r="A419" s="7">
        <v>42422.054444444446</v>
      </c>
      <c r="B419" s="8" t="str">
        <f>HYPERLINK("https://twitter.com/neilcharles_uk","@neilcharles_uk")</f>
        <v>@neilcharles_uk</v>
      </c>
      <c r="C419" s="10" t="s">
        <v>7066</v>
      </c>
      <c r="D419" s="10" t="s">
        <v>7067</v>
      </c>
      <c r="E419" s="11" t="str">
        <f>HYPERLINK("https://twitter.com/neilcharles_uk/status/701697538097881089","701697538097881089")</f>
        <v>701697538097881089</v>
      </c>
      <c r="F419" s="12" t="s">
        <v>446</v>
      </c>
      <c r="G419" s="13">
        <v>2419.0</v>
      </c>
      <c r="H419" s="13">
        <v>1157.0</v>
      </c>
      <c r="I419" s="13">
        <v>0.0</v>
      </c>
      <c r="J419" s="13">
        <v>4.0</v>
      </c>
      <c r="K419" s="12" t="s">
        <v>21</v>
      </c>
      <c r="L419" s="7">
        <v>39868.21928240741</v>
      </c>
      <c r="M419" s="14" t="s">
        <v>7068</v>
      </c>
      <c r="N419" s="14" t="s">
        <v>7069</v>
      </c>
      <c r="O419" s="11" t="str">
        <f>HYPERLINK("https://pbs.twimg.com/profile_images/1598054225/sunset_normal.jpg","View")</f>
        <v>View</v>
      </c>
      <c r="P419" s="15"/>
    </row>
    <row r="420">
      <c r="A420" s="7">
        <v>42422.05677083333</v>
      </c>
      <c r="B420" s="8" t="str">
        <f>HYPERLINK("https://twitter.com/openmylab","@openmylab")</f>
        <v>@openmylab</v>
      </c>
      <c r="C420" s="10" t="s">
        <v>5852</v>
      </c>
      <c r="D420" s="10" t="s">
        <v>6480</v>
      </c>
      <c r="E420" s="11" t="str">
        <f>HYPERLINK("https://twitter.com/openmylab/status/701698378845958144","701698378845958144")</f>
        <v>701698378845958144</v>
      </c>
      <c r="F420" s="12" t="s">
        <v>20</v>
      </c>
      <c r="G420" s="13">
        <v>1017.0</v>
      </c>
      <c r="H420" s="13">
        <v>974.0</v>
      </c>
      <c r="I420" s="13">
        <v>2.0</v>
      </c>
      <c r="J420" s="13">
        <v>0.0</v>
      </c>
      <c r="K420" s="12" t="s">
        <v>21</v>
      </c>
      <c r="L420" s="7">
        <v>42283.33546296296</v>
      </c>
      <c r="M420" s="14" t="s">
        <v>5854</v>
      </c>
      <c r="N420" s="14" t="s">
        <v>5855</v>
      </c>
      <c r="O420" s="11" t="str">
        <f>HYPERLINK("https://pbs.twimg.com/profile_images/696226577386852352/yseUYL_3_normal.jpg","View")</f>
        <v>View</v>
      </c>
      <c r="P420" s="15"/>
    </row>
    <row r="421">
      <c r="A421" s="7">
        <v>42422.056874999995</v>
      </c>
      <c r="B421" s="8" t="str">
        <f>HYPERLINK("https://twitter.com/DaniRabaiotti","@DaniRabaiotti")</f>
        <v>@DaniRabaiotti</v>
      </c>
      <c r="C421" s="10" t="s">
        <v>7070</v>
      </c>
      <c r="D421" s="10" t="s">
        <v>7071</v>
      </c>
      <c r="E421" s="11" t="str">
        <f>HYPERLINK("https://twitter.com/DaniRabaiotti/status/701698416930377728","701698416930377728")</f>
        <v>701698416930377728</v>
      </c>
      <c r="F421" s="12" t="s">
        <v>20</v>
      </c>
      <c r="G421" s="13">
        <v>851.0</v>
      </c>
      <c r="H421" s="13">
        <v>1219.0</v>
      </c>
      <c r="I421" s="13">
        <v>2.0</v>
      </c>
      <c r="J421" s="13">
        <v>0.0</v>
      </c>
      <c r="K421" s="12" t="s">
        <v>21</v>
      </c>
      <c r="L421" s="7">
        <v>41105.3112962963</v>
      </c>
      <c r="M421" s="14" t="s">
        <v>7072</v>
      </c>
      <c r="N421" s="14" t="s">
        <v>7073</v>
      </c>
      <c r="O421" s="11" t="str">
        <f>HYPERLINK("https://pbs.twimg.com/profile_images/603534966597787648/WGUDFwmR_normal.jpg","View")</f>
        <v>View</v>
      </c>
      <c r="P421" s="15"/>
    </row>
    <row r="422">
      <c r="A422" s="7">
        <v>42422.059849537036</v>
      </c>
      <c r="B422" s="8" t="str">
        <f>HYPERLINK("https://twitter.com/QuartzBio","@QuartzBio")</f>
        <v>@QuartzBio</v>
      </c>
      <c r="C422" s="10" t="s">
        <v>7074</v>
      </c>
      <c r="D422" s="10" t="s">
        <v>7075</v>
      </c>
      <c r="E422" s="11" t="str">
        <f>HYPERLINK("https://twitter.com/QuartzBio/status/701699496762327040","701699496762327040")</f>
        <v>701699496762327040</v>
      </c>
      <c r="F422" s="12" t="s">
        <v>20</v>
      </c>
      <c r="G422" s="13">
        <v>226.0</v>
      </c>
      <c r="H422" s="13">
        <v>581.0</v>
      </c>
      <c r="I422" s="13">
        <v>0.0</v>
      </c>
      <c r="J422" s="13">
        <v>0.0</v>
      </c>
      <c r="K422" s="12" t="s">
        <v>21</v>
      </c>
      <c r="L422" s="7">
        <v>41053.11695601852</v>
      </c>
      <c r="M422" s="14" t="s">
        <v>7076</v>
      </c>
      <c r="N422" s="14" t="s">
        <v>7077</v>
      </c>
      <c r="O422" s="11" t="str">
        <f>HYPERLINK("https://pbs.twimg.com/profile_images/569887063034458112/mYuZTMAg_normal.png","View")</f>
        <v>View</v>
      </c>
      <c r="P422" s="15"/>
    </row>
    <row r="423">
      <c r="A423" s="7">
        <v>42422.06202546296</v>
      </c>
      <c r="B423" s="8" t="str">
        <f>HYPERLINK("https://twitter.com/i_aldasoro","@i_aldasoro")</f>
        <v>@i_aldasoro</v>
      </c>
      <c r="C423" s="10" t="s">
        <v>7078</v>
      </c>
      <c r="D423" s="10" t="s">
        <v>7079</v>
      </c>
      <c r="E423" s="11" t="str">
        <f>HYPERLINK("https://twitter.com/i_aldasoro/status/701700286126157824","701700286126157824")</f>
        <v>701700286126157824</v>
      </c>
      <c r="F423" s="12" t="s">
        <v>20</v>
      </c>
      <c r="G423" s="13">
        <v>60.0</v>
      </c>
      <c r="H423" s="13">
        <v>129.0</v>
      </c>
      <c r="I423" s="13">
        <v>0.0</v>
      </c>
      <c r="J423" s="13">
        <v>1.0</v>
      </c>
      <c r="K423" s="12" t="s">
        <v>21</v>
      </c>
      <c r="L423" s="7">
        <v>41859.3390162037</v>
      </c>
      <c r="M423" s="16"/>
      <c r="N423" s="14" t="s">
        <v>7080</v>
      </c>
      <c r="O423" s="11" t="str">
        <f>HYPERLINK("https://pbs.twimg.com/profile_images/565226844476014592/E2fHpe_e_normal.jpeg","View")</f>
        <v>View</v>
      </c>
      <c r="P423" s="15"/>
    </row>
    <row r="424">
      <c r="A424" s="7">
        <v>42422.062569444446</v>
      </c>
      <c r="B424" s="8" t="str">
        <f t="shared" ref="B424:B426" si="61">HYPERLINK("https://twitter.com/MarcosMatabuena","@MarcosMatabuena")</f>
        <v>@MarcosMatabuena</v>
      </c>
      <c r="C424" s="10" t="s">
        <v>6499</v>
      </c>
      <c r="D424" s="10" t="s">
        <v>6687</v>
      </c>
      <c r="E424" s="11" t="str">
        <f>HYPERLINK("https://twitter.com/MarcosMatabuena/status/701700483614961664","701700483614961664")</f>
        <v>701700483614961664</v>
      </c>
      <c r="F424" s="12" t="s">
        <v>20</v>
      </c>
      <c r="G424" s="13">
        <v>69.0</v>
      </c>
      <c r="H424" s="13">
        <v>183.0</v>
      </c>
      <c r="I424" s="13">
        <v>8.0</v>
      </c>
      <c r="J424" s="13">
        <v>0.0</v>
      </c>
      <c r="K424" s="12" t="s">
        <v>21</v>
      </c>
      <c r="L424" s="7">
        <v>40934.543958333335</v>
      </c>
      <c r="M424" s="16"/>
      <c r="N424" s="14" t="s">
        <v>6500</v>
      </c>
      <c r="O424" s="11" t="str">
        <f t="shared" ref="O424:O426" si="62">HYPERLINK("https://pbs.twimg.com/profile_images/378800000197513149/67cd42127a284a220161c1295a57b65f_normal.jpeg","View")</f>
        <v>View</v>
      </c>
      <c r="P424" s="15"/>
    </row>
    <row r="425">
      <c r="A425" s="7">
        <v>42422.06261574074</v>
      </c>
      <c r="B425" s="8" t="str">
        <f t="shared" si="61"/>
        <v>@MarcosMatabuena</v>
      </c>
      <c r="C425" s="10" t="s">
        <v>6499</v>
      </c>
      <c r="D425" s="10" t="s">
        <v>6918</v>
      </c>
      <c r="E425" s="11" t="str">
        <f>HYPERLINK("https://twitter.com/MarcosMatabuena/status/701700497498107904","701700497498107904")</f>
        <v>701700497498107904</v>
      </c>
      <c r="F425" s="12" t="s">
        <v>20</v>
      </c>
      <c r="G425" s="13">
        <v>69.0</v>
      </c>
      <c r="H425" s="13">
        <v>183.0</v>
      </c>
      <c r="I425" s="13">
        <v>32.0</v>
      </c>
      <c r="J425" s="13">
        <v>0.0</v>
      </c>
      <c r="K425" s="12" t="s">
        <v>21</v>
      </c>
      <c r="L425" s="7">
        <v>40934.543958333335</v>
      </c>
      <c r="M425" s="16"/>
      <c r="N425" s="14" t="s">
        <v>6500</v>
      </c>
      <c r="O425" s="11" t="str">
        <f t="shared" si="62"/>
        <v>View</v>
      </c>
      <c r="P425" s="15"/>
    </row>
    <row r="426">
      <c r="A426" s="7">
        <v>42422.062696759254</v>
      </c>
      <c r="B426" s="8" t="str">
        <f t="shared" si="61"/>
        <v>@MarcosMatabuena</v>
      </c>
      <c r="C426" s="10" t="s">
        <v>6499</v>
      </c>
      <c r="D426" s="10" t="s">
        <v>6546</v>
      </c>
      <c r="E426" s="11" t="str">
        <f>HYPERLINK("https://twitter.com/MarcosMatabuena/status/701700526359052288","701700526359052288")</f>
        <v>701700526359052288</v>
      </c>
      <c r="F426" s="12" t="s">
        <v>20</v>
      </c>
      <c r="G426" s="13">
        <v>69.0</v>
      </c>
      <c r="H426" s="13">
        <v>183.0</v>
      </c>
      <c r="I426" s="13">
        <v>9.0</v>
      </c>
      <c r="J426" s="13">
        <v>0.0</v>
      </c>
      <c r="K426" s="12" t="s">
        <v>21</v>
      </c>
      <c r="L426" s="7">
        <v>40934.543958333335</v>
      </c>
      <c r="M426" s="16"/>
      <c r="N426" s="14" t="s">
        <v>6500</v>
      </c>
      <c r="O426" s="11" t="str">
        <f t="shared" si="62"/>
        <v>View</v>
      </c>
      <c r="P426" s="15"/>
    </row>
    <row r="427">
      <c r="A427" s="7">
        <v>42422.06390046296</v>
      </c>
      <c r="B427" s="8" t="str">
        <f t="shared" ref="B427:B428" si="63">HYPERLINK("https://twitter.com/MangoTheCat","@MangoTheCat")</f>
        <v>@MangoTheCat</v>
      </c>
      <c r="C427" s="10" t="s">
        <v>6321</v>
      </c>
      <c r="D427" s="10" t="s">
        <v>7081</v>
      </c>
      <c r="E427" s="11" t="str">
        <f>HYPERLINK("https://twitter.com/MangoTheCat/status/701700963489284097","701700963489284097")</f>
        <v>701700963489284097</v>
      </c>
      <c r="F427" s="12" t="s">
        <v>47</v>
      </c>
      <c r="G427" s="13">
        <v>2041.0</v>
      </c>
      <c r="H427" s="13">
        <v>2855.0</v>
      </c>
      <c r="I427" s="13">
        <v>0.0</v>
      </c>
      <c r="J427" s="13">
        <v>0.0</v>
      </c>
      <c r="K427" s="12" t="s">
        <v>21</v>
      </c>
      <c r="L427" s="7">
        <v>39854.3178587963</v>
      </c>
      <c r="M427" s="14" t="s">
        <v>6323</v>
      </c>
      <c r="N427" s="14" t="s">
        <v>6324</v>
      </c>
      <c r="O427" s="11" t="str">
        <f t="shared" ref="O427:O428" si="64">HYPERLINK("https://pbs.twimg.com/profile_images/641183991077445633/V7VcBpJI_normal.png","View")</f>
        <v>View</v>
      </c>
      <c r="P427" s="15"/>
    </row>
    <row r="428">
      <c r="A428" s="7">
        <v>42422.06390046296</v>
      </c>
      <c r="B428" s="8" t="str">
        <f t="shared" si="63"/>
        <v>@MangoTheCat</v>
      </c>
      <c r="C428" s="10" t="s">
        <v>6321</v>
      </c>
      <c r="D428" s="10" t="s">
        <v>7082</v>
      </c>
      <c r="E428" s="11" t="str">
        <f>HYPERLINK("https://twitter.com/MangoTheCat/status/701700964768550913","701700964768550913")</f>
        <v>701700964768550913</v>
      </c>
      <c r="F428" s="12" t="s">
        <v>47</v>
      </c>
      <c r="G428" s="13">
        <v>2041.0</v>
      </c>
      <c r="H428" s="13">
        <v>2855.0</v>
      </c>
      <c r="I428" s="13">
        <v>0.0</v>
      </c>
      <c r="J428" s="13">
        <v>0.0</v>
      </c>
      <c r="K428" s="12" t="s">
        <v>21</v>
      </c>
      <c r="L428" s="7">
        <v>39854.3178587963</v>
      </c>
      <c r="M428" s="14" t="s">
        <v>6323</v>
      </c>
      <c r="N428" s="14" t="s">
        <v>6324</v>
      </c>
      <c r="O428" s="11" t="str">
        <f t="shared" si="64"/>
        <v>View</v>
      </c>
      <c r="P428" s="15"/>
    </row>
    <row r="429">
      <c r="A429" s="7">
        <v>42422.065416666665</v>
      </c>
      <c r="B429" s="8" t="str">
        <f>HYPERLINK("https://twitter.com/fmic_","@fmic_")</f>
        <v>@fmic_</v>
      </c>
      <c r="C429" s="10" t="s">
        <v>7083</v>
      </c>
      <c r="D429" s="10" t="s">
        <v>7084</v>
      </c>
      <c r="E429" s="11" t="str">
        <f>HYPERLINK("https://twitter.com/fmic_/status/701701512628715520","701701512628715520")</f>
        <v>701701512628715520</v>
      </c>
      <c r="F429" s="12" t="s">
        <v>152</v>
      </c>
      <c r="G429" s="13">
        <v>440.0</v>
      </c>
      <c r="H429" s="13">
        <v>689.0</v>
      </c>
      <c r="I429" s="13">
        <v>1.0</v>
      </c>
      <c r="J429" s="13">
        <v>0.0</v>
      </c>
      <c r="K429" s="12" t="s">
        <v>21</v>
      </c>
      <c r="L429" s="7">
        <v>40075.79063657408</v>
      </c>
      <c r="M429" s="14" t="s">
        <v>1891</v>
      </c>
      <c r="N429" s="14" t="s">
        <v>7085</v>
      </c>
      <c r="O429" s="11" t="str">
        <f>HYPERLINK("https://pbs.twimg.com/profile_images/510508726776639489/k5KVm1Bu_normal.jpeg","View")</f>
        <v>View</v>
      </c>
      <c r="P429" s="15"/>
    </row>
    <row r="430">
      <c r="A430" s="7">
        <v>42422.073113425926</v>
      </c>
      <c r="B430" s="8" t="str">
        <f>HYPERLINK("https://twitter.com/iyuanwang","@iyuanwang")</f>
        <v>@iyuanwang</v>
      </c>
      <c r="C430" s="10" t="s">
        <v>7086</v>
      </c>
      <c r="D430" s="10" t="s">
        <v>7087</v>
      </c>
      <c r="E430" s="11" t="str">
        <f>HYPERLINK("https://twitter.com/iyuanwang/status/701704304919314432","701704304919314432")</f>
        <v>701704304919314432</v>
      </c>
      <c r="F430" s="12" t="s">
        <v>20</v>
      </c>
      <c r="G430" s="13">
        <v>209.0</v>
      </c>
      <c r="H430" s="13">
        <v>384.0</v>
      </c>
      <c r="I430" s="13">
        <v>105.0</v>
      </c>
      <c r="J430" s="13">
        <v>0.0</v>
      </c>
      <c r="K430" s="12" t="s">
        <v>21</v>
      </c>
      <c r="L430" s="7">
        <v>39939.19076388889</v>
      </c>
      <c r="M430" s="14" t="s">
        <v>69</v>
      </c>
      <c r="N430" s="14" t="s">
        <v>7088</v>
      </c>
      <c r="O430" s="11" t="str">
        <f>HYPERLINK("https://pbs.twimg.com/profile_images/489255266576105472/Y1rzDql0_normal.jpeg","View")</f>
        <v>View</v>
      </c>
      <c r="P430" s="15"/>
    </row>
    <row r="431">
      <c r="A431" s="7">
        <v>42422.07366898148</v>
      </c>
      <c r="B431" s="8" t="str">
        <f>HYPERLINK("https://twitter.com/MangoTheCat","@MangoTheCat")</f>
        <v>@MangoTheCat</v>
      </c>
      <c r="C431" s="10" t="s">
        <v>6321</v>
      </c>
      <c r="D431" s="10" t="s">
        <v>6546</v>
      </c>
      <c r="E431" s="11" t="str">
        <f>HYPERLINK("https://twitter.com/MangoTheCat/status/701704502441865216","701704502441865216")</f>
        <v>701704502441865216</v>
      </c>
      <c r="F431" s="12" t="s">
        <v>659</v>
      </c>
      <c r="G431" s="13">
        <v>2041.0</v>
      </c>
      <c r="H431" s="13">
        <v>2855.0</v>
      </c>
      <c r="I431" s="13">
        <v>9.0</v>
      </c>
      <c r="J431" s="13">
        <v>0.0</v>
      </c>
      <c r="K431" s="12" t="s">
        <v>21</v>
      </c>
      <c r="L431" s="7">
        <v>39854.3178587963</v>
      </c>
      <c r="M431" s="14" t="s">
        <v>6323</v>
      </c>
      <c r="N431" s="14" t="s">
        <v>6324</v>
      </c>
      <c r="O431" s="11" t="str">
        <f>HYPERLINK("https://pbs.twimg.com/profile_images/641183991077445633/V7VcBpJI_normal.png","View")</f>
        <v>View</v>
      </c>
      <c r="P431" s="15"/>
    </row>
    <row r="432">
      <c r="A432" s="7">
        <v>42422.074479166666</v>
      </c>
      <c r="B432" s="8" t="str">
        <f>HYPERLINK("https://twitter.com/thomasp85","@thomasp85")</f>
        <v>@thomasp85</v>
      </c>
      <c r="C432" s="10" t="s">
        <v>7089</v>
      </c>
      <c r="D432" s="10" t="s">
        <v>7090</v>
      </c>
      <c r="E432" s="11" t="str">
        <f>HYPERLINK("https://twitter.com/thomasp85/status/701704797293047808","701704797293047808")</f>
        <v>701704797293047808</v>
      </c>
      <c r="F432" s="12" t="s">
        <v>20</v>
      </c>
      <c r="G432" s="13">
        <v>166.0</v>
      </c>
      <c r="H432" s="13">
        <v>45.0</v>
      </c>
      <c r="I432" s="13">
        <v>0.0</v>
      </c>
      <c r="J432" s="13">
        <v>1.0</v>
      </c>
      <c r="K432" s="12" t="s">
        <v>21</v>
      </c>
      <c r="L432" s="7">
        <v>41078.1696875</v>
      </c>
      <c r="M432" s="14" t="s">
        <v>7091</v>
      </c>
      <c r="N432" s="14" t="s">
        <v>7092</v>
      </c>
      <c r="O432" s="11" t="str">
        <f>HYPERLINK("https://pbs.twimg.com/profile_images/685178010962505728/m0D-Pvwg_normal.jpg","View")</f>
        <v>View</v>
      </c>
      <c r="P432" s="15"/>
    </row>
    <row r="433">
      <c r="A433" s="7">
        <v>42422.076932870375</v>
      </c>
      <c r="B433" s="8" t="str">
        <f>HYPERLINK("https://twitter.com/learn_lang1","@learn_lang1")</f>
        <v>@learn_lang1</v>
      </c>
      <c r="C433" s="10" t="s">
        <v>5825</v>
      </c>
      <c r="D433" s="10" t="s">
        <v>7093</v>
      </c>
      <c r="E433" s="11" t="str">
        <f>HYPERLINK("https://twitter.com/learn_lang1/status/701705687181750272","701705687181750272")</f>
        <v>701705687181750272</v>
      </c>
      <c r="F433" s="12" t="s">
        <v>38</v>
      </c>
      <c r="G433" s="13">
        <v>1667.0</v>
      </c>
      <c r="H433" s="13">
        <v>1634.0</v>
      </c>
      <c r="I433" s="13">
        <v>1.0</v>
      </c>
      <c r="J433" s="13">
        <v>0.0</v>
      </c>
      <c r="K433" s="12" t="s">
        <v>21</v>
      </c>
      <c r="L433" s="7">
        <v>42224.544085648144</v>
      </c>
      <c r="M433" s="14" t="s">
        <v>5827</v>
      </c>
      <c r="N433" s="14" t="s">
        <v>5828</v>
      </c>
      <c r="O433" s="11" t="str">
        <f>HYPERLINK("https://pbs.twimg.com/profile_images/630112376029843457/DIp7tTzw_normal.jpg","View")</f>
        <v>View</v>
      </c>
      <c r="P433" s="15"/>
    </row>
    <row r="434">
      <c r="A434" s="7">
        <v>42422.081238425926</v>
      </c>
      <c r="B434" s="8" t="str">
        <f>HYPERLINK("https://twitter.com/BigDataShift","@BigDataShift")</f>
        <v>@BigDataShift</v>
      </c>
      <c r="C434" s="10" t="s">
        <v>7094</v>
      </c>
      <c r="D434" s="10" t="s">
        <v>6319</v>
      </c>
      <c r="E434" s="11" t="str">
        <f>HYPERLINK("https://twitter.com/BigDataShift/status/701707247483752449","701707247483752449")</f>
        <v>701707247483752449</v>
      </c>
      <c r="F434" s="12" t="s">
        <v>152</v>
      </c>
      <c r="G434" s="13">
        <v>621.0</v>
      </c>
      <c r="H434" s="13">
        <v>72.0</v>
      </c>
      <c r="I434" s="13">
        <v>106.0</v>
      </c>
      <c r="J434" s="13">
        <v>0.0</v>
      </c>
      <c r="K434" s="12" t="s">
        <v>21</v>
      </c>
      <c r="L434" s="7">
        <v>42139.3853125</v>
      </c>
      <c r="M434" s="14" t="s">
        <v>7095</v>
      </c>
      <c r="N434" s="14" t="s">
        <v>7096</v>
      </c>
      <c r="O434" s="11" t="str">
        <f>HYPERLINK("https://pbs.twimg.com/profile_images/599247330089574401/U9oq-jLO_normal.jpg","View")</f>
        <v>View</v>
      </c>
      <c r="P434" s="15"/>
    </row>
    <row r="435">
      <c r="A435" s="7">
        <v>42422.08393518519</v>
      </c>
      <c r="B435" s="8" t="str">
        <f>HYPERLINK("https://twitter.com/RadCashew","@RadCashew")</f>
        <v>@RadCashew</v>
      </c>
      <c r="C435" s="10" t="s">
        <v>7097</v>
      </c>
      <c r="D435" s="10" t="s">
        <v>7098</v>
      </c>
      <c r="E435" s="11" t="str">
        <f>HYPERLINK("https://twitter.com/RadCashew/status/701708225159294976","701708225159294976")</f>
        <v>701708225159294976</v>
      </c>
      <c r="F435" s="12" t="s">
        <v>20</v>
      </c>
      <c r="G435" s="13">
        <v>437.0</v>
      </c>
      <c r="H435" s="13">
        <v>1161.0</v>
      </c>
      <c r="I435" s="13">
        <v>0.0</v>
      </c>
      <c r="J435" s="13">
        <v>0.0</v>
      </c>
      <c r="K435" s="12" t="s">
        <v>21</v>
      </c>
      <c r="L435" s="7">
        <v>41228.08672453704</v>
      </c>
      <c r="M435" s="16"/>
      <c r="N435" s="14" t="s">
        <v>7099</v>
      </c>
      <c r="O435" s="11" t="str">
        <f>HYPERLINK("https://pbs.twimg.com/profile_images/680782491737829376/7T1R6MR6_normal.jpg","View")</f>
        <v>View</v>
      </c>
      <c r="P435" s="15"/>
    </row>
    <row r="436">
      <c r="A436" s="7">
        <v>42422.08403935185</v>
      </c>
      <c r="B436" s="8" t="str">
        <f>HYPERLINK("https://twitter.com/earlconf","@earlconf")</f>
        <v>@earlconf</v>
      </c>
      <c r="C436" s="10" t="s">
        <v>7100</v>
      </c>
      <c r="D436" s="10" t="s">
        <v>7101</v>
      </c>
      <c r="E436" s="11" t="str">
        <f>HYPERLINK("https://twitter.com/earlconf/status/701708263880921088","701708263880921088")</f>
        <v>701708263880921088</v>
      </c>
      <c r="F436" s="12" t="s">
        <v>47</v>
      </c>
      <c r="G436" s="13">
        <v>1081.0</v>
      </c>
      <c r="H436" s="13">
        <v>2351.0</v>
      </c>
      <c r="I436" s="13">
        <v>3.0</v>
      </c>
      <c r="J436" s="13">
        <v>2.0</v>
      </c>
      <c r="K436" s="12" t="s">
        <v>21</v>
      </c>
      <c r="L436" s="7">
        <v>41677.49930555555</v>
      </c>
      <c r="M436" s="14" t="s">
        <v>7102</v>
      </c>
      <c r="N436" s="14" t="s">
        <v>7103</v>
      </c>
      <c r="O436" s="11" t="str">
        <f>HYPERLINK("https://pbs.twimg.com/profile_images/432298122203512833/YDXfWlI__normal.png","View")</f>
        <v>View</v>
      </c>
      <c r="P436" s="15"/>
    </row>
    <row r="437">
      <c r="A437" s="7">
        <v>42422.08431712963</v>
      </c>
      <c r="B437" s="8" t="str">
        <f t="shared" ref="B437:B438" si="65">HYPERLINK("https://twitter.com/MangoTheCat","@MangoTheCat")</f>
        <v>@MangoTheCat</v>
      </c>
      <c r="C437" s="10" t="s">
        <v>6321</v>
      </c>
      <c r="D437" s="10" t="s">
        <v>7104</v>
      </c>
      <c r="E437" s="11" t="str">
        <f>HYPERLINK("https://twitter.com/MangoTheCat/status/701708362329751552","701708362329751552")</f>
        <v>701708362329751552</v>
      </c>
      <c r="F437" s="12" t="s">
        <v>20</v>
      </c>
      <c r="G437" s="13">
        <v>2041.0</v>
      </c>
      <c r="H437" s="13">
        <v>2855.0</v>
      </c>
      <c r="I437" s="13">
        <v>3.0</v>
      </c>
      <c r="J437" s="13">
        <v>0.0</v>
      </c>
      <c r="K437" s="12" t="s">
        <v>21</v>
      </c>
      <c r="L437" s="7">
        <v>39854.3178587963</v>
      </c>
      <c r="M437" s="14" t="s">
        <v>6323</v>
      </c>
      <c r="N437" s="14" t="s">
        <v>6324</v>
      </c>
      <c r="O437" s="11" t="str">
        <f t="shared" ref="O437:O438" si="66">HYPERLINK("https://pbs.twimg.com/profile_images/641183991077445633/V7VcBpJI_normal.png","View")</f>
        <v>View</v>
      </c>
      <c r="P437" s="15"/>
    </row>
    <row r="438">
      <c r="A438" s="7">
        <v>42422.08445601852</v>
      </c>
      <c r="B438" s="8" t="str">
        <f t="shared" si="65"/>
        <v>@MangoTheCat</v>
      </c>
      <c r="C438" s="10" t="s">
        <v>6321</v>
      </c>
      <c r="D438" s="10" t="s">
        <v>6271</v>
      </c>
      <c r="E438" s="11" t="str">
        <f>HYPERLINK("https://twitter.com/MangoTheCat/status/701708411252113408","701708411252113408")</f>
        <v>701708411252113408</v>
      </c>
      <c r="F438" s="12" t="s">
        <v>20</v>
      </c>
      <c r="G438" s="13">
        <v>2041.0</v>
      </c>
      <c r="H438" s="13">
        <v>2855.0</v>
      </c>
      <c r="I438" s="13">
        <v>4.0</v>
      </c>
      <c r="J438" s="13">
        <v>0.0</v>
      </c>
      <c r="K438" s="12" t="s">
        <v>21</v>
      </c>
      <c r="L438" s="7">
        <v>39854.3178587963</v>
      </c>
      <c r="M438" s="14" t="s">
        <v>6323</v>
      </c>
      <c r="N438" s="14" t="s">
        <v>6324</v>
      </c>
      <c r="O438" s="11" t="str">
        <f t="shared" si="66"/>
        <v>View</v>
      </c>
      <c r="P438" s="15"/>
    </row>
    <row r="439">
      <c r="A439" s="7">
        <v>42422.086006944446</v>
      </c>
      <c r="B439" s="8" t="str">
        <f>HYPERLINK("https://twitter.com/LEXsB","@LEXsB")</f>
        <v>@LEXsB</v>
      </c>
      <c r="C439" s="10" t="s">
        <v>7105</v>
      </c>
      <c r="D439" s="10" t="s">
        <v>6997</v>
      </c>
      <c r="E439" s="11" t="str">
        <f>HYPERLINK("https://twitter.com/LEXsB/status/701708973565747201","701708973565747201")</f>
        <v>701708973565747201</v>
      </c>
      <c r="F439" s="12" t="s">
        <v>152</v>
      </c>
      <c r="G439" s="13">
        <v>273.0</v>
      </c>
      <c r="H439" s="13">
        <v>1836.0</v>
      </c>
      <c r="I439" s="13">
        <v>18.0</v>
      </c>
      <c r="J439" s="13">
        <v>0.0</v>
      </c>
      <c r="K439" s="12" t="s">
        <v>21</v>
      </c>
      <c r="L439" s="7">
        <v>40009.4419212963</v>
      </c>
      <c r="M439" s="14" t="s">
        <v>1183</v>
      </c>
      <c r="N439" s="14" t="s">
        <v>7106</v>
      </c>
      <c r="O439" s="11" t="str">
        <f>HYPERLINK("https://pbs.twimg.com/profile_images/690511673069850624/YnP_zplS_normal.jpg","View")</f>
        <v>View</v>
      </c>
      <c r="P439" s="15"/>
    </row>
    <row r="440">
      <c r="A440" s="7">
        <v>42422.0868287037</v>
      </c>
      <c r="B440" s="8" t="str">
        <f>HYPERLINK("https://twitter.com/MangoTheCat","@MangoTheCat")</f>
        <v>@MangoTheCat</v>
      </c>
      <c r="C440" s="10" t="s">
        <v>6321</v>
      </c>
      <c r="D440" s="10" t="s">
        <v>7107</v>
      </c>
      <c r="E440" s="11" t="str">
        <f>HYPERLINK("https://twitter.com/MangoTheCat/status/701709273454272512","701709273454272512")</f>
        <v>701709273454272512</v>
      </c>
      <c r="F440" s="12" t="s">
        <v>20</v>
      </c>
      <c r="G440" s="13">
        <v>2041.0</v>
      </c>
      <c r="H440" s="13">
        <v>2855.0</v>
      </c>
      <c r="I440" s="13">
        <v>1.0</v>
      </c>
      <c r="J440" s="13">
        <v>0.0</v>
      </c>
      <c r="K440" s="12" t="s">
        <v>21</v>
      </c>
      <c r="L440" s="7">
        <v>39854.3178587963</v>
      </c>
      <c r="M440" s="14" t="s">
        <v>6323</v>
      </c>
      <c r="N440" s="14" t="s">
        <v>6324</v>
      </c>
      <c r="O440" s="11" t="str">
        <f>HYPERLINK("https://pbs.twimg.com/profile_images/641183991077445633/V7VcBpJI_normal.png","View")</f>
        <v>View</v>
      </c>
      <c r="P440" s="15"/>
    </row>
    <row r="441">
      <c r="A441" s="7">
        <v>42422.088124999995</v>
      </c>
      <c r="B441" s="8" t="str">
        <f>HYPERLINK("https://twitter.com/tomhouslay","@tomhouslay")</f>
        <v>@tomhouslay</v>
      </c>
      <c r="C441" s="10" t="s">
        <v>6801</v>
      </c>
      <c r="D441" s="10" t="s">
        <v>7108</v>
      </c>
      <c r="E441" s="11" t="str">
        <f>HYPERLINK("https://twitter.com/tomhouslay/status/701709742385848320","701709742385848320")</f>
        <v>701709742385848320</v>
      </c>
      <c r="F441" s="12" t="s">
        <v>20</v>
      </c>
      <c r="G441" s="13">
        <v>2957.0</v>
      </c>
      <c r="H441" s="13">
        <v>2676.0</v>
      </c>
      <c r="I441" s="13">
        <v>16.0</v>
      </c>
      <c r="J441" s="13">
        <v>11.0</v>
      </c>
      <c r="K441" s="12" t="s">
        <v>21</v>
      </c>
      <c r="L441" s="7">
        <v>40136.59471064815</v>
      </c>
      <c r="M441" s="14" t="s">
        <v>6803</v>
      </c>
      <c r="N441" s="14" t="s">
        <v>6804</v>
      </c>
      <c r="O441" s="11" t="str">
        <f>HYPERLINK("https://pbs.twimg.com/profile_images/701901513392717824/lUzJ39G2_normal.png","View")</f>
        <v>View</v>
      </c>
      <c r="P441" s="15"/>
    </row>
    <row r="442">
      <c r="A442" s="7">
        <v>42422.0883912037</v>
      </c>
      <c r="B442" s="8" t="str">
        <f>HYPERLINK("https://twitter.com/SCISYS_PLC","@SCISYS_PLC")</f>
        <v>@SCISYS_PLC</v>
      </c>
      <c r="C442" s="10" t="s">
        <v>7109</v>
      </c>
      <c r="D442" s="10" t="s">
        <v>7104</v>
      </c>
      <c r="E442" s="11" t="str">
        <f>HYPERLINK("https://twitter.com/SCISYS_PLC/status/701709838473175040","701709838473175040")</f>
        <v>701709838473175040</v>
      </c>
      <c r="F442" s="12" t="s">
        <v>20</v>
      </c>
      <c r="G442" s="13">
        <v>667.0</v>
      </c>
      <c r="H442" s="13">
        <v>1770.0</v>
      </c>
      <c r="I442" s="13">
        <v>3.0</v>
      </c>
      <c r="J442" s="13">
        <v>0.0</v>
      </c>
      <c r="K442" s="12" t="s">
        <v>21</v>
      </c>
      <c r="L442" s="7">
        <v>40695.430601851855</v>
      </c>
      <c r="M442" s="14" t="s">
        <v>7110</v>
      </c>
      <c r="N442" s="14" t="s">
        <v>7111</v>
      </c>
      <c r="O442" s="11" t="str">
        <f>HYPERLINK("https://pbs.twimg.com/profile_images/577472083665383424/44RUuy3N_normal.jpeg","View")</f>
        <v>View</v>
      </c>
      <c r="P442" s="15"/>
    </row>
    <row r="443">
      <c r="A443" s="7">
        <v>42422.08913194445</v>
      </c>
      <c r="B443" s="8" t="str">
        <f>HYPERLINK("https://twitter.com/Rbloggers","@Rbloggers")</f>
        <v>@Rbloggers</v>
      </c>
      <c r="C443" s="10" t="s">
        <v>6221</v>
      </c>
      <c r="D443" s="10" t="s">
        <v>7112</v>
      </c>
      <c r="E443" s="11" t="str">
        <f>HYPERLINK("https://twitter.com/Rbloggers/status/701710108095488000","701710108095488000")</f>
        <v>701710108095488000</v>
      </c>
      <c r="F443" s="17" t="s">
        <v>6223</v>
      </c>
      <c r="G443" s="13">
        <v>28572.0</v>
      </c>
      <c r="H443" s="13">
        <v>36.0</v>
      </c>
      <c r="I443" s="13">
        <v>6.0</v>
      </c>
      <c r="J443" s="13">
        <v>15.0</v>
      </c>
      <c r="K443" s="12" t="s">
        <v>21</v>
      </c>
      <c r="L443" s="7">
        <v>40314.510601851856</v>
      </c>
      <c r="M443" s="16"/>
      <c r="N443" s="14" t="s">
        <v>6224</v>
      </c>
      <c r="O443" s="11" t="str">
        <f>HYPERLINK("https://pbs.twimg.com/profile_images/502185985786916864/gkdFh-q7_normal.png","View")</f>
        <v>View</v>
      </c>
      <c r="P443" s="15"/>
    </row>
    <row r="444">
      <c r="A444" s="7">
        <v>42422.089733796296</v>
      </c>
      <c r="B444" s="8" t="str">
        <f>HYPERLINK("https://twitter.com/RProgramming","@RProgramming")</f>
        <v>@RProgramming</v>
      </c>
      <c r="C444" s="9" t="s">
        <v>6225</v>
      </c>
      <c r="D444" s="10" t="s">
        <v>7113</v>
      </c>
      <c r="E444" s="11" t="str">
        <f>HYPERLINK("https://twitter.com/RProgramming/status/701710326513840128","701710326513840128")</f>
        <v>701710326513840128</v>
      </c>
      <c r="F444" s="12" t="s">
        <v>1961</v>
      </c>
      <c r="G444" s="13">
        <v>227.0</v>
      </c>
      <c r="H444" s="13">
        <v>15.0</v>
      </c>
      <c r="I444" s="13">
        <v>0.0</v>
      </c>
      <c r="J444" s="13">
        <v>0.0</v>
      </c>
      <c r="K444" s="12" t="s">
        <v>21</v>
      </c>
      <c r="L444" s="7">
        <v>41350.72472222222</v>
      </c>
      <c r="M444" s="16"/>
      <c r="N444" s="14" t="s">
        <v>6227</v>
      </c>
      <c r="O444" s="11" t="str">
        <f>HYPERLINK("https://pbs.twimg.com/profile_images/696056897560915969/XpPGOuAf_normal.png","View")</f>
        <v>View</v>
      </c>
      <c r="P444" s="15"/>
    </row>
    <row r="445">
      <c r="A445" s="7">
        <v>42422.08997685185</v>
      </c>
      <c r="B445" s="8" t="str">
        <f>HYPERLINK("https://twitter.com/RadCashew","@RadCashew")</f>
        <v>@RadCashew</v>
      </c>
      <c r="C445" s="10" t="s">
        <v>7097</v>
      </c>
      <c r="D445" s="10" t="s">
        <v>7114</v>
      </c>
      <c r="E445" s="11" t="str">
        <f>HYPERLINK("https://twitter.com/RadCashew/status/701710415601004547","701710415601004547")</f>
        <v>701710415601004547</v>
      </c>
      <c r="F445" s="12" t="s">
        <v>20</v>
      </c>
      <c r="G445" s="13">
        <v>437.0</v>
      </c>
      <c r="H445" s="13">
        <v>1161.0</v>
      </c>
      <c r="I445" s="13">
        <v>0.0</v>
      </c>
      <c r="J445" s="13">
        <v>1.0</v>
      </c>
      <c r="K445" s="12" t="s">
        <v>21</v>
      </c>
      <c r="L445" s="7">
        <v>41228.08672453704</v>
      </c>
      <c r="M445" s="16"/>
      <c r="N445" s="14" t="s">
        <v>7099</v>
      </c>
      <c r="O445" s="11" t="str">
        <f>HYPERLINK("https://pbs.twimg.com/profile_images/680782491737829376/7T1R6MR6_normal.jpg","View")</f>
        <v>View</v>
      </c>
      <c r="P445" s="15"/>
    </row>
    <row r="446">
      <c r="A446" s="7">
        <v>42422.092256944445</v>
      </c>
      <c r="B446" s="8" t="str">
        <f>HYPERLINK("https://twitter.com/tomfinch89","@tomfinch89")</f>
        <v>@tomfinch89</v>
      </c>
      <c r="C446" s="10" t="s">
        <v>7115</v>
      </c>
      <c r="D446" s="10" t="s">
        <v>7116</v>
      </c>
      <c r="E446" s="11" t="str">
        <f>HYPERLINK("https://twitter.com/tomfinch89/status/701711239009984512","701711239009984512")</f>
        <v>701711239009984512</v>
      </c>
      <c r="F446" s="12" t="s">
        <v>20</v>
      </c>
      <c r="G446" s="13">
        <v>366.0</v>
      </c>
      <c r="H446" s="13">
        <v>402.0</v>
      </c>
      <c r="I446" s="13">
        <v>16.0</v>
      </c>
      <c r="J446" s="13">
        <v>0.0</v>
      </c>
      <c r="K446" s="12" t="s">
        <v>21</v>
      </c>
      <c r="L446" s="7">
        <v>40960.37557870371</v>
      </c>
      <c r="M446" s="14" t="s">
        <v>519</v>
      </c>
      <c r="N446" s="14" t="s">
        <v>7117</v>
      </c>
      <c r="O446" s="11" t="str">
        <f>HYPERLINK("https://pbs.twimg.com/profile_images/581836268327317504/q4hbk8og_normal.jpg","View")</f>
        <v>View</v>
      </c>
      <c r="P446" s="15"/>
    </row>
    <row r="447">
      <c r="A447" s="7">
        <v>42422.092824074076</v>
      </c>
      <c r="B447" s="8" t="str">
        <f>HYPERLINK("https://twitter.com/tz33cu","@tz33cu")</f>
        <v>@tz33cu</v>
      </c>
      <c r="C447" s="10" t="s">
        <v>7118</v>
      </c>
      <c r="D447" s="10" t="s">
        <v>7119</v>
      </c>
      <c r="E447" s="11" t="str">
        <f>HYPERLINK("https://twitter.com/tz33cu/status/701711447605256196","701711447605256196")</f>
        <v>701711447605256196</v>
      </c>
      <c r="F447" s="12" t="s">
        <v>52</v>
      </c>
      <c r="G447" s="13">
        <v>242.0</v>
      </c>
      <c r="H447" s="13">
        <v>111.0</v>
      </c>
      <c r="I447" s="13">
        <v>6.0</v>
      </c>
      <c r="J447" s="13">
        <v>0.0</v>
      </c>
      <c r="K447" s="12" t="s">
        <v>21</v>
      </c>
      <c r="L447" s="7">
        <v>40625.59646990741</v>
      </c>
      <c r="M447" s="16"/>
      <c r="N447" s="14" t="s">
        <v>7120</v>
      </c>
      <c r="O447" s="11" t="str">
        <f>HYPERLINK("https://pbs.twimg.com/profile_images/640243239388246016/yEAuMN4t_normal.jpg","View")</f>
        <v>View</v>
      </c>
      <c r="P447" s="15"/>
    </row>
    <row r="448">
      <c r="A448" s="7">
        <v>42422.09515046296</v>
      </c>
      <c r="B448" s="8" t="str">
        <f>HYPERLINK("https://twitter.com/earlconf","@earlconf")</f>
        <v>@earlconf</v>
      </c>
      <c r="C448" s="10" t="s">
        <v>7100</v>
      </c>
      <c r="D448" s="10" t="s">
        <v>7121</v>
      </c>
      <c r="E448" s="11" t="str">
        <f>HYPERLINK("https://twitter.com/earlconf/status/701712289821384704","701712289821384704")</f>
        <v>701712289821384704</v>
      </c>
      <c r="F448" s="12" t="s">
        <v>47</v>
      </c>
      <c r="G448" s="13">
        <v>1081.0</v>
      </c>
      <c r="H448" s="13">
        <v>2351.0</v>
      </c>
      <c r="I448" s="13">
        <v>0.0</v>
      </c>
      <c r="J448" s="13">
        <v>0.0</v>
      </c>
      <c r="K448" s="12" t="s">
        <v>21</v>
      </c>
      <c r="L448" s="7">
        <v>41677.49930555555</v>
      </c>
      <c r="M448" s="14" t="s">
        <v>7102</v>
      </c>
      <c r="N448" s="14" t="s">
        <v>7103</v>
      </c>
      <c r="O448" s="11" t="str">
        <f>HYPERLINK("https://pbs.twimg.com/profile_images/432298122203512833/YDXfWlI__normal.png","View")</f>
        <v>View</v>
      </c>
      <c r="P448" s="15"/>
    </row>
    <row r="449">
      <c r="A449" s="7">
        <v>42422.099027777775</v>
      </c>
      <c r="B449" s="8" t="str">
        <f>HYPERLINK("https://twitter.com/kirstyjean","@kirstyjean")</f>
        <v>@kirstyjean</v>
      </c>
      <c r="C449" s="10" t="s">
        <v>7122</v>
      </c>
      <c r="D449" s="10" t="s">
        <v>7116</v>
      </c>
      <c r="E449" s="11" t="str">
        <f>HYPERLINK("https://twitter.com/kirstyjean/status/701713694208741380","701713694208741380")</f>
        <v>701713694208741380</v>
      </c>
      <c r="F449" s="12" t="s">
        <v>446</v>
      </c>
      <c r="G449" s="13">
        <v>1243.0</v>
      </c>
      <c r="H449" s="13">
        <v>773.0</v>
      </c>
      <c r="I449" s="13">
        <v>16.0</v>
      </c>
      <c r="J449" s="13">
        <v>0.0</v>
      </c>
      <c r="K449" s="12" t="s">
        <v>21</v>
      </c>
      <c r="L449" s="7">
        <v>39920.21140046296</v>
      </c>
      <c r="M449" s="14" t="s">
        <v>6865</v>
      </c>
      <c r="N449" s="14" t="s">
        <v>7123</v>
      </c>
      <c r="O449" s="11" t="str">
        <f>HYPERLINK("https://pbs.twimg.com/profile_images/626006466063953921/UBSojFv4_normal.jpg","View")</f>
        <v>View</v>
      </c>
      <c r="P449" s="15"/>
    </row>
    <row r="450">
      <c r="A450" s="7">
        <v>42422.09989583334</v>
      </c>
      <c r="B450" s="8" t="str">
        <f>HYPERLINK("https://twitter.com/Sudhir_Voleti","@Sudhir_Voleti")</f>
        <v>@Sudhir_Voleti</v>
      </c>
      <c r="C450" s="10" t="s">
        <v>7124</v>
      </c>
      <c r="D450" s="10" t="s">
        <v>7125</v>
      </c>
      <c r="E450" s="11" t="str">
        <f>HYPERLINK("https://twitter.com/Sudhir_Voleti/status/701714006575226881","701714006575226881")</f>
        <v>701714006575226881</v>
      </c>
      <c r="F450" s="12" t="s">
        <v>20</v>
      </c>
      <c r="G450" s="13">
        <v>28.0</v>
      </c>
      <c r="H450" s="13">
        <v>50.0</v>
      </c>
      <c r="I450" s="13">
        <v>19.0</v>
      </c>
      <c r="J450" s="13">
        <v>0.0</v>
      </c>
      <c r="K450" s="12" t="s">
        <v>21</v>
      </c>
      <c r="L450" s="7">
        <v>42420.07453703704</v>
      </c>
      <c r="M450" s="14" t="s">
        <v>7126</v>
      </c>
      <c r="N450" s="14" t="s">
        <v>7127</v>
      </c>
      <c r="O450" s="11" t="str">
        <f>HYPERLINK("https://pbs.twimg.com/profile_images/700981182301736961/5yKNjO-i_normal.jpg","View")</f>
        <v>View</v>
      </c>
      <c r="P450" s="15"/>
    </row>
    <row r="451">
      <c r="A451" s="7">
        <v>42422.10240740741</v>
      </c>
      <c r="B451" s="8" t="str">
        <f>HYPERLINK("https://twitter.com/starignus","@starignus")</f>
        <v>@starignus</v>
      </c>
      <c r="C451" s="10" t="s">
        <v>7128</v>
      </c>
      <c r="D451" s="10" t="s">
        <v>7129</v>
      </c>
      <c r="E451" s="11" t="str">
        <f>HYPERLINK("https://twitter.com/starignus/status/701714917175533568","701714917175533568")</f>
        <v>701714917175533568</v>
      </c>
      <c r="F451" s="12" t="s">
        <v>20</v>
      </c>
      <c r="G451" s="13">
        <v>61.0</v>
      </c>
      <c r="H451" s="13">
        <v>169.0</v>
      </c>
      <c r="I451" s="13">
        <v>1.0</v>
      </c>
      <c r="J451" s="13">
        <v>2.0</v>
      </c>
      <c r="K451" s="12" t="s">
        <v>21</v>
      </c>
      <c r="L451" s="7">
        <v>40322.81774305555</v>
      </c>
      <c r="M451" s="14" t="s">
        <v>7130</v>
      </c>
      <c r="N451" s="14" t="s">
        <v>7131</v>
      </c>
      <c r="O451" s="11" t="str">
        <f>HYPERLINK("https://pbs.twimg.com/profile_images/686871254113071104/RTE8scaj_normal.jpg","View")</f>
        <v>View</v>
      </c>
      <c r="P451" s="15"/>
    </row>
    <row r="452">
      <c r="A452" s="7">
        <v>42422.10364583333</v>
      </c>
      <c r="B452" s="8" t="str">
        <f>HYPERLINK("https://twitter.com/MangoTheCat","@MangoTheCat")</f>
        <v>@MangoTheCat</v>
      </c>
      <c r="C452" s="10" t="s">
        <v>6321</v>
      </c>
      <c r="D452" s="10" t="s">
        <v>7132</v>
      </c>
      <c r="E452" s="11" t="str">
        <f>HYPERLINK("https://twitter.com/MangoTheCat/status/701715365999550465","701715365999550465")</f>
        <v>701715365999550465</v>
      </c>
      <c r="F452" s="12" t="s">
        <v>20</v>
      </c>
      <c r="G452" s="13">
        <v>2041.0</v>
      </c>
      <c r="H452" s="13">
        <v>2855.0</v>
      </c>
      <c r="I452" s="13">
        <v>1.0</v>
      </c>
      <c r="J452" s="13">
        <v>0.0</v>
      </c>
      <c r="K452" s="12" t="s">
        <v>21</v>
      </c>
      <c r="L452" s="7">
        <v>39854.3178587963</v>
      </c>
      <c r="M452" s="14" t="s">
        <v>6323</v>
      </c>
      <c r="N452" s="14" t="s">
        <v>6324</v>
      </c>
      <c r="O452" s="11" t="str">
        <f>HYPERLINK("https://pbs.twimg.com/profile_images/641183991077445633/V7VcBpJI_normal.png","View")</f>
        <v>View</v>
      </c>
      <c r="P452" s="15"/>
    </row>
    <row r="453">
      <c r="A453" s="7">
        <v>42422.1045949074</v>
      </c>
      <c r="B453" s="8" t="str">
        <f>HYPERLINK("https://twitter.com/LewisSpurgin","@LewisSpurgin")</f>
        <v>@LewisSpurgin</v>
      </c>
      <c r="C453" s="10" t="s">
        <v>7133</v>
      </c>
      <c r="D453" s="10" t="s">
        <v>7116</v>
      </c>
      <c r="E453" s="11" t="str">
        <f>HYPERLINK("https://twitter.com/LewisSpurgin/status/701715711123660800","701715711123660800")</f>
        <v>701715711123660800</v>
      </c>
      <c r="F453" s="12" t="s">
        <v>3154</v>
      </c>
      <c r="G453" s="13">
        <v>588.0</v>
      </c>
      <c r="H453" s="13">
        <v>390.0</v>
      </c>
      <c r="I453" s="13">
        <v>16.0</v>
      </c>
      <c r="J453" s="13">
        <v>0.0</v>
      </c>
      <c r="K453" s="12" t="s">
        <v>21</v>
      </c>
      <c r="L453" s="7">
        <v>40801.28638888889</v>
      </c>
      <c r="M453" s="14" t="s">
        <v>2941</v>
      </c>
      <c r="N453" s="14" t="s">
        <v>7134</v>
      </c>
      <c r="O453" s="11" t="str">
        <f>HYPERLINK("https://pbs.twimg.com/profile_images/697055714603372544/5_eawi5a_normal.png","View")</f>
        <v>View</v>
      </c>
      <c r="P453" s="15"/>
    </row>
    <row r="454">
      <c r="A454" s="7">
        <v>42422.10834490741</v>
      </c>
      <c r="B454" s="8" t="str">
        <f>HYPERLINK("https://twitter.com/earlconf","@earlconf")</f>
        <v>@earlconf</v>
      </c>
      <c r="C454" s="10" t="s">
        <v>7100</v>
      </c>
      <c r="D454" s="10" t="s">
        <v>7135</v>
      </c>
      <c r="E454" s="11" t="str">
        <f>HYPERLINK("https://twitter.com/earlconf/status/701717070770122752","701717070770122752")</f>
        <v>701717070770122752</v>
      </c>
      <c r="F454" s="12" t="s">
        <v>47</v>
      </c>
      <c r="G454" s="13">
        <v>1081.0</v>
      </c>
      <c r="H454" s="13">
        <v>2351.0</v>
      </c>
      <c r="I454" s="13">
        <v>2.0</v>
      </c>
      <c r="J454" s="13">
        <v>0.0</v>
      </c>
      <c r="K454" s="12" t="s">
        <v>21</v>
      </c>
      <c r="L454" s="7">
        <v>41677.49930555555</v>
      </c>
      <c r="M454" s="14" t="s">
        <v>7102</v>
      </c>
      <c r="N454" s="14" t="s">
        <v>7103</v>
      </c>
      <c r="O454" s="11" t="str">
        <f>HYPERLINK("https://pbs.twimg.com/profile_images/432298122203512833/YDXfWlI__normal.png","View")</f>
        <v>View</v>
      </c>
      <c r="P454" s="15"/>
    </row>
    <row r="455">
      <c r="A455" s="7">
        <v>42422.10903935185</v>
      </c>
      <c r="B455" s="8" t="str">
        <f>HYPERLINK("https://twitter.com/MangoTheCat","@MangoTheCat")</f>
        <v>@MangoTheCat</v>
      </c>
      <c r="C455" s="10" t="s">
        <v>6321</v>
      </c>
      <c r="D455" s="10" t="s">
        <v>7136</v>
      </c>
      <c r="E455" s="11" t="str">
        <f>HYPERLINK("https://twitter.com/MangoTheCat/status/701717323569205248","701717323569205248")</f>
        <v>701717323569205248</v>
      </c>
      <c r="F455" s="12" t="s">
        <v>47</v>
      </c>
      <c r="G455" s="13">
        <v>2041.0</v>
      </c>
      <c r="H455" s="13">
        <v>2855.0</v>
      </c>
      <c r="I455" s="13">
        <v>2.0</v>
      </c>
      <c r="J455" s="13">
        <v>0.0</v>
      </c>
      <c r="K455" s="12" t="s">
        <v>21</v>
      </c>
      <c r="L455" s="7">
        <v>39854.3178587963</v>
      </c>
      <c r="M455" s="14" t="s">
        <v>6323</v>
      </c>
      <c r="N455" s="14" t="s">
        <v>6324</v>
      </c>
      <c r="O455" s="11" t="str">
        <f>HYPERLINK("https://pbs.twimg.com/profile_images/641183991077445633/V7VcBpJI_normal.png","View")</f>
        <v>View</v>
      </c>
      <c r="P455" s="15"/>
    </row>
    <row r="456">
      <c r="A456" s="7">
        <v>42422.10940972222</v>
      </c>
      <c r="B456" s="8" t="str">
        <f>HYPERLINK("https://twitter.com/DataWookie","@DataWookie")</f>
        <v>@DataWookie</v>
      </c>
      <c r="C456" s="10" t="s">
        <v>6231</v>
      </c>
      <c r="D456" s="10" t="s">
        <v>7137</v>
      </c>
      <c r="E456" s="11" t="str">
        <f>HYPERLINK("https://twitter.com/DataWookie/status/701717458126639104","701717458126639104")</f>
        <v>701717458126639104</v>
      </c>
      <c r="F456" s="12" t="s">
        <v>6233</v>
      </c>
      <c r="G456" s="13">
        <v>426.0</v>
      </c>
      <c r="H456" s="13">
        <v>296.0</v>
      </c>
      <c r="I456" s="13">
        <v>0.0</v>
      </c>
      <c r="J456" s="13">
        <v>0.0</v>
      </c>
      <c r="K456" s="12" t="s">
        <v>21</v>
      </c>
      <c r="L456" s="7">
        <v>42166.966678240744</v>
      </c>
      <c r="M456" s="14" t="s">
        <v>6234</v>
      </c>
      <c r="N456" s="14" t="s">
        <v>6235</v>
      </c>
      <c r="O456" s="11" t="str">
        <f>HYPERLINK("https://pbs.twimg.com/profile_images/612471608725213184/eXKo2Kmo_normal.jpg","View")</f>
        <v>View</v>
      </c>
      <c r="P456" s="15"/>
    </row>
    <row r="457">
      <c r="A457" s="7">
        <v>42422.10943287037</v>
      </c>
      <c r="B457" s="8" t="str">
        <f>HYPERLINK("https://twitter.com/ittookten","@ittookten")</f>
        <v>@ittookten</v>
      </c>
      <c r="C457" s="10" t="s">
        <v>7060</v>
      </c>
      <c r="D457" s="10" t="s">
        <v>7138</v>
      </c>
      <c r="E457" s="11" t="str">
        <f>HYPERLINK("https://twitter.com/ittookten/status/701717464024010752","701717464024010752")</f>
        <v>701717464024010752</v>
      </c>
      <c r="F457" s="12" t="s">
        <v>446</v>
      </c>
      <c r="G457" s="13">
        <v>246.0</v>
      </c>
      <c r="H457" s="13">
        <v>394.0</v>
      </c>
      <c r="I457" s="13">
        <v>2.0</v>
      </c>
      <c r="J457" s="13">
        <v>0.0</v>
      </c>
      <c r="K457" s="12" t="s">
        <v>21</v>
      </c>
      <c r="L457" s="7">
        <v>40633.63741898148</v>
      </c>
      <c r="M457" s="14" t="s">
        <v>7061</v>
      </c>
      <c r="N457" s="14" t="s">
        <v>7062</v>
      </c>
      <c r="O457" s="11" t="str">
        <f>HYPERLINK("https://pbs.twimg.com/profile_images/686570859587190784/ceX6tp6o_normal.jpg","View")</f>
        <v>View</v>
      </c>
      <c r="P457" s="15"/>
    </row>
    <row r="458">
      <c r="A458" s="7">
        <v>42422.110196759255</v>
      </c>
      <c r="B458" s="8" t="str">
        <f>HYPERLINK("https://twitter.com/DataWookie","@DataWookie")</f>
        <v>@DataWookie</v>
      </c>
      <c r="C458" s="10" t="s">
        <v>6231</v>
      </c>
      <c r="D458" s="10" t="s">
        <v>7139</v>
      </c>
      <c r="E458" s="11" t="str">
        <f>HYPERLINK("https://twitter.com/DataWookie/status/701717742508871681","701717742508871681")</f>
        <v>701717742508871681</v>
      </c>
      <c r="F458" s="12" t="s">
        <v>6233</v>
      </c>
      <c r="G458" s="13">
        <v>426.0</v>
      </c>
      <c r="H458" s="13">
        <v>296.0</v>
      </c>
      <c r="I458" s="13">
        <v>0.0</v>
      </c>
      <c r="J458" s="13">
        <v>0.0</v>
      </c>
      <c r="K458" s="12" t="s">
        <v>21</v>
      </c>
      <c r="L458" s="7">
        <v>42166.966678240744</v>
      </c>
      <c r="M458" s="14" t="s">
        <v>6234</v>
      </c>
      <c r="N458" s="14" t="s">
        <v>6235</v>
      </c>
      <c r="O458" s="11" t="str">
        <f>HYPERLINK("https://pbs.twimg.com/profile_images/612471608725213184/eXKo2Kmo_normal.jpg","View")</f>
        <v>View</v>
      </c>
      <c r="P458" s="15"/>
    </row>
    <row r="459">
      <c r="A459" s="7">
        <v>42422.113287037035</v>
      </c>
      <c r="B459" s="8" t="str">
        <f>HYPERLINK("https://twitter.com/tomhouslay","@tomhouslay")</f>
        <v>@tomhouslay</v>
      </c>
      <c r="C459" s="10" t="s">
        <v>6801</v>
      </c>
      <c r="D459" s="10" t="s">
        <v>7140</v>
      </c>
      <c r="E459" s="11" t="str">
        <f>HYPERLINK("https://twitter.com/tomhouslay/status/701718860974710785","701718860974710785")</f>
        <v>701718860974710785</v>
      </c>
      <c r="F459" s="12" t="s">
        <v>20</v>
      </c>
      <c r="G459" s="13">
        <v>2957.0</v>
      </c>
      <c r="H459" s="13">
        <v>2676.0</v>
      </c>
      <c r="I459" s="13">
        <v>1.0</v>
      </c>
      <c r="J459" s="13">
        <v>1.0</v>
      </c>
      <c r="K459" s="12" t="s">
        <v>21</v>
      </c>
      <c r="L459" s="7">
        <v>40136.59471064815</v>
      </c>
      <c r="M459" s="14" t="s">
        <v>6803</v>
      </c>
      <c r="N459" s="14" t="s">
        <v>6804</v>
      </c>
      <c r="O459" s="11" t="str">
        <f>HYPERLINK("https://pbs.twimg.com/profile_images/701901513392717824/lUzJ39G2_normal.png","View")</f>
        <v>View</v>
      </c>
      <c r="P459" s="15"/>
    </row>
    <row r="460">
      <c r="A460" s="7">
        <v>42422.1140625</v>
      </c>
      <c r="B460" s="8" t="str">
        <f>HYPERLINK("https://twitter.com/PRstatistics","@PRstatistics")</f>
        <v>@PRstatistics</v>
      </c>
      <c r="C460" s="10" t="s">
        <v>7141</v>
      </c>
      <c r="D460" s="10" t="s">
        <v>7142</v>
      </c>
      <c r="E460" s="11" t="str">
        <f>HYPERLINK("https://twitter.com/PRstatistics/status/701719141196103680","701719141196103680")</f>
        <v>701719141196103680</v>
      </c>
      <c r="F460" s="12" t="s">
        <v>52</v>
      </c>
      <c r="G460" s="13">
        <v>202.0</v>
      </c>
      <c r="H460" s="13">
        <v>568.0</v>
      </c>
      <c r="I460" s="13">
        <v>1.0</v>
      </c>
      <c r="J460" s="13">
        <v>0.0</v>
      </c>
      <c r="K460" s="12" t="s">
        <v>21</v>
      </c>
      <c r="L460" s="7">
        <v>41893.48806712963</v>
      </c>
      <c r="M460" s="16"/>
      <c r="N460" s="16"/>
      <c r="O460" s="11" t="str">
        <f>HYPERLINK("https://pbs.twimg.com/profile_images/670980302014164998/_XLg65Np_normal.jpg","View")</f>
        <v>View</v>
      </c>
      <c r="P460" s="15"/>
    </row>
    <row r="461">
      <c r="A461" s="7">
        <v>42422.11753472222</v>
      </c>
      <c r="B461" s="8" t="str">
        <f t="shared" ref="B461:B462" si="67">HYPERLINK("https://twitter.com/tomhouslay","@tomhouslay")</f>
        <v>@tomhouslay</v>
      </c>
      <c r="C461" s="10" t="s">
        <v>6801</v>
      </c>
      <c r="D461" s="10" t="s">
        <v>7143</v>
      </c>
      <c r="E461" s="11" t="str">
        <f>HYPERLINK("https://twitter.com/tomhouslay/status/701720399395090432","701720399395090432")</f>
        <v>701720399395090432</v>
      </c>
      <c r="F461" s="12" t="s">
        <v>20</v>
      </c>
      <c r="G461" s="13">
        <v>2957.0</v>
      </c>
      <c r="H461" s="13">
        <v>2676.0</v>
      </c>
      <c r="I461" s="13">
        <v>11.0</v>
      </c>
      <c r="J461" s="13">
        <v>0.0</v>
      </c>
      <c r="K461" s="12" t="s">
        <v>21</v>
      </c>
      <c r="L461" s="7">
        <v>40136.59471064815</v>
      </c>
      <c r="M461" s="14" t="s">
        <v>6803</v>
      </c>
      <c r="N461" s="14" t="s">
        <v>6804</v>
      </c>
      <c r="O461" s="11" t="str">
        <f t="shared" ref="O461:O462" si="68">HYPERLINK("https://pbs.twimg.com/profile_images/701901513392717824/lUzJ39G2_normal.png","View")</f>
        <v>View</v>
      </c>
      <c r="P461" s="15"/>
    </row>
    <row r="462">
      <c r="A462" s="7">
        <v>42422.11767361111</v>
      </c>
      <c r="B462" s="8" t="str">
        <f t="shared" si="67"/>
        <v>@tomhouslay</v>
      </c>
      <c r="C462" s="10" t="s">
        <v>6801</v>
      </c>
      <c r="D462" s="10" t="s">
        <v>7144</v>
      </c>
      <c r="E462" s="11" t="str">
        <f>HYPERLINK("https://twitter.com/tomhouslay/status/701720451513454592","701720451513454592")</f>
        <v>701720451513454592</v>
      </c>
      <c r="F462" s="12" t="s">
        <v>20</v>
      </c>
      <c r="G462" s="13">
        <v>2957.0</v>
      </c>
      <c r="H462" s="13">
        <v>2676.0</v>
      </c>
      <c r="I462" s="13">
        <v>4.0</v>
      </c>
      <c r="J462" s="13">
        <v>0.0</v>
      </c>
      <c r="K462" s="12" t="s">
        <v>21</v>
      </c>
      <c r="L462" s="7">
        <v>40136.59471064815</v>
      </c>
      <c r="M462" s="14" t="s">
        <v>6803</v>
      </c>
      <c r="N462" s="14" t="s">
        <v>6804</v>
      </c>
      <c r="O462" s="11" t="str">
        <f t="shared" si="68"/>
        <v>View</v>
      </c>
      <c r="P462" s="15"/>
    </row>
    <row r="463">
      <c r="A463" s="7">
        <v>42422.119201388894</v>
      </c>
      <c r="B463" s="8" t="str">
        <f>HYPERLINK("https://twitter.com/Meg_Wilmore","@Meg_Wilmore")</f>
        <v>@Meg_Wilmore</v>
      </c>
      <c r="C463" s="10" t="s">
        <v>7145</v>
      </c>
      <c r="D463" s="10" t="s">
        <v>6319</v>
      </c>
      <c r="E463" s="11" t="str">
        <f>HYPERLINK("https://twitter.com/Meg_Wilmore/status/701721003769131008","701721003769131008")</f>
        <v>701721003769131008</v>
      </c>
      <c r="F463" s="12" t="s">
        <v>20</v>
      </c>
      <c r="G463" s="13">
        <v>43.0</v>
      </c>
      <c r="H463" s="13">
        <v>173.0</v>
      </c>
      <c r="I463" s="13">
        <v>106.0</v>
      </c>
      <c r="J463" s="13">
        <v>0.0</v>
      </c>
      <c r="K463" s="12" t="s">
        <v>21</v>
      </c>
      <c r="L463" s="7">
        <v>42025.045856481476</v>
      </c>
      <c r="M463" s="14" t="s">
        <v>2002</v>
      </c>
      <c r="N463" s="14" t="s">
        <v>7146</v>
      </c>
      <c r="O463" s="11" t="str">
        <f>HYPERLINK("https://pbs.twimg.com/profile_images/648812691180666880/GF-kXexI_normal.jpg","View")</f>
        <v>View</v>
      </c>
      <c r="P463" s="15"/>
    </row>
    <row r="464">
      <c r="A464" s="7">
        <v>42422.12341435185</v>
      </c>
      <c r="B464" s="8" t="str">
        <f>HYPERLINK("https://twitter.com/carlcarrie","@carlcarrie")</f>
        <v>@carlcarrie</v>
      </c>
      <c r="C464" s="10" t="s">
        <v>6365</v>
      </c>
      <c r="D464" s="10" t="s">
        <v>7147</v>
      </c>
      <c r="E464" s="11" t="str">
        <f>HYPERLINK("https://twitter.com/carlcarrie/status/701722529535303680","701722529535303680")</f>
        <v>701722529535303680</v>
      </c>
      <c r="F464" s="12" t="s">
        <v>52</v>
      </c>
      <c r="G464" s="13">
        <v>3281.0</v>
      </c>
      <c r="H464" s="13">
        <v>866.0</v>
      </c>
      <c r="I464" s="13">
        <v>0.0</v>
      </c>
      <c r="J464" s="13">
        <v>6.0</v>
      </c>
      <c r="K464" s="12" t="s">
        <v>21</v>
      </c>
      <c r="L464" s="7">
        <v>39991.62917824074</v>
      </c>
      <c r="M464" s="14" t="s">
        <v>1693</v>
      </c>
      <c r="N464" s="14" t="s">
        <v>6367</v>
      </c>
      <c r="O464" s="11" t="str">
        <f>HYPERLINK("https://pbs.twimg.com/profile_images/297743194/My_headshot_normal.png","View")</f>
        <v>View</v>
      </c>
      <c r="P464" s="15"/>
    </row>
    <row r="465">
      <c r="A465" s="7">
        <v>42422.12600694444</v>
      </c>
      <c r="B465" s="8" t="str">
        <f>HYPERLINK("https://twitter.com/svaidyar","@svaidyar")</f>
        <v>@svaidyar</v>
      </c>
      <c r="C465" s="10" t="s">
        <v>7148</v>
      </c>
      <c r="D465" s="10" t="s">
        <v>6997</v>
      </c>
      <c r="E465" s="11" t="str">
        <f>HYPERLINK("https://twitter.com/svaidyar/status/701723472666370048","701723472666370048")</f>
        <v>701723472666370048</v>
      </c>
      <c r="F465" s="12" t="s">
        <v>1573</v>
      </c>
      <c r="G465" s="13">
        <v>27.0</v>
      </c>
      <c r="H465" s="13">
        <v>146.0</v>
      </c>
      <c r="I465" s="13">
        <v>18.0</v>
      </c>
      <c r="J465" s="13">
        <v>0.0</v>
      </c>
      <c r="K465" s="12" t="s">
        <v>21</v>
      </c>
      <c r="L465" s="7">
        <v>40943.766226851854</v>
      </c>
      <c r="M465" s="16"/>
      <c r="N465" s="16"/>
      <c r="O465" s="11" t="str">
        <f>HYPERLINK("https://abs.twimg.com/sticky/default_profile_images/default_profile_0_normal.png","View")</f>
        <v>View</v>
      </c>
      <c r="P465" s="15"/>
    </row>
    <row r="466">
      <c r="A466" s="7">
        <v>42422.13144675926</v>
      </c>
      <c r="B466" s="8" t="str">
        <f t="shared" ref="B466:B468" si="69">HYPERLINK("https://twitter.com/earlconf","@earlconf")</f>
        <v>@earlconf</v>
      </c>
      <c r="C466" s="10" t="s">
        <v>7100</v>
      </c>
      <c r="D466" s="10" t="s">
        <v>6997</v>
      </c>
      <c r="E466" s="11" t="str">
        <f>HYPERLINK("https://twitter.com/earlconf/status/701725440382214144","701725440382214144")</f>
        <v>701725440382214144</v>
      </c>
      <c r="F466" s="12" t="s">
        <v>659</v>
      </c>
      <c r="G466" s="13">
        <v>1081.0</v>
      </c>
      <c r="H466" s="13">
        <v>2351.0</v>
      </c>
      <c r="I466" s="13">
        <v>18.0</v>
      </c>
      <c r="J466" s="13">
        <v>0.0</v>
      </c>
      <c r="K466" s="12" t="s">
        <v>21</v>
      </c>
      <c r="L466" s="7">
        <v>41677.49930555555</v>
      </c>
      <c r="M466" s="14" t="s">
        <v>7102</v>
      </c>
      <c r="N466" s="14" t="s">
        <v>7103</v>
      </c>
      <c r="O466" s="11" t="str">
        <f t="shared" ref="O466:O468" si="70">HYPERLINK("https://pbs.twimg.com/profile_images/432298122203512833/YDXfWlI__normal.png","View")</f>
        <v>View</v>
      </c>
      <c r="P466" s="15"/>
    </row>
    <row r="467">
      <c r="A467" s="7">
        <v>42422.1315625</v>
      </c>
      <c r="B467" s="8" t="str">
        <f t="shared" si="69"/>
        <v>@earlconf</v>
      </c>
      <c r="C467" s="10" t="s">
        <v>7100</v>
      </c>
      <c r="D467" s="10" t="s">
        <v>6319</v>
      </c>
      <c r="E467" s="11" t="str">
        <f>HYPERLINK("https://twitter.com/earlconf/status/701725483340324864","701725483340324864")</f>
        <v>701725483340324864</v>
      </c>
      <c r="F467" s="12" t="s">
        <v>659</v>
      </c>
      <c r="G467" s="13">
        <v>1081.0</v>
      </c>
      <c r="H467" s="13">
        <v>2351.0</v>
      </c>
      <c r="I467" s="13">
        <v>106.0</v>
      </c>
      <c r="J467" s="13">
        <v>0.0</v>
      </c>
      <c r="K467" s="12" t="s">
        <v>21</v>
      </c>
      <c r="L467" s="7">
        <v>41677.49930555555</v>
      </c>
      <c r="M467" s="14" t="s">
        <v>7102</v>
      </c>
      <c r="N467" s="14" t="s">
        <v>7103</v>
      </c>
      <c r="O467" s="11" t="str">
        <f t="shared" si="70"/>
        <v>View</v>
      </c>
      <c r="P467" s="15"/>
    </row>
    <row r="468">
      <c r="A468" s="7">
        <v>42422.136817129634</v>
      </c>
      <c r="B468" s="8" t="str">
        <f t="shared" si="69"/>
        <v>@earlconf</v>
      </c>
      <c r="C468" s="10" t="s">
        <v>7100</v>
      </c>
      <c r="D468" s="10" t="s">
        <v>7149</v>
      </c>
      <c r="E468" s="11" t="str">
        <f>HYPERLINK("https://twitter.com/earlconf/status/701727388195880960","701727388195880960")</f>
        <v>701727388195880960</v>
      </c>
      <c r="F468" s="12" t="s">
        <v>47</v>
      </c>
      <c r="G468" s="13">
        <v>1081.0</v>
      </c>
      <c r="H468" s="13">
        <v>2351.0</v>
      </c>
      <c r="I468" s="13">
        <v>0.0</v>
      </c>
      <c r="J468" s="13">
        <v>1.0</v>
      </c>
      <c r="K468" s="12" t="s">
        <v>21</v>
      </c>
      <c r="L468" s="7">
        <v>41677.49930555555</v>
      </c>
      <c r="M468" s="14" t="s">
        <v>7102</v>
      </c>
      <c r="N468" s="14" t="s">
        <v>7103</v>
      </c>
      <c r="O468" s="11" t="str">
        <f t="shared" si="70"/>
        <v>View</v>
      </c>
      <c r="P468" s="15"/>
    </row>
    <row r="469">
      <c r="A469" s="7">
        <v>42422.13961805556</v>
      </c>
      <c r="B469" s="8" t="str">
        <f>HYPERLINK("https://twitter.com/asanzdiego","@asanzdiego")</f>
        <v>@asanzdiego</v>
      </c>
      <c r="C469" s="10" t="s">
        <v>7150</v>
      </c>
      <c r="D469" s="10" t="s">
        <v>7151</v>
      </c>
      <c r="E469" s="11" t="str">
        <f>HYPERLINK("https://twitter.com/asanzdiego/status/701728404119416832","701728404119416832")</f>
        <v>701728404119416832</v>
      </c>
      <c r="F469" s="12" t="s">
        <v>294</v>
      </c>
      <c r="G469" s="13">
        <v>2863.0</v>
      </c>
      <c r="H469" s="13">
        <v>865.0</v>
      </c>
      <c r="I469" s="13">
        <v>11.0</v>
      </c>
      <c r="J469" s="13">
        <v>0.0</v>
      </c>
      <c r="K469" s="12" t="s">
        <v>21</v>
      </c>
      <c r="L469" s="7">
        <v>40798.352685185186</v>
      </c>
      <c r="M469" s="14" t="s">
        <v>194</v>
      </c>
      <c r="N469" s="14" t="s">
        <v>7152</v>
      </c>
      <c r="O469" s="11" t="str">
        <f>HYPERLINK("https://pbs.twimg.com/profile_images/666289426021117954/ofCOjvYf_normal.jpg","View")</f>
        <v>View</v>
      </c>
      <c r="P469" s="15"/>
    </row>
    <row r="470">
      <c r="A470" s="7">
        <v>42422.14004629629</v>
      </c>
      <c r="B470" s="8" t="str">
        <f>HYPERLINK("https://twitter.com/colgado_es","@colgado_es")</f>
        <v>@colgado_es</v>
      </c>
      <c r="C470" s="10" t="s">
        <v>7153</v>
      </c>
      <c r="D470" s="10" t="s">
        <v>7151</v>
      </c>
      <c r="E470" s="11" t="str">
        <f>HYPERLINK("https://twitter.com/colgado_es/status/701728559384174592","701728559384174592")</f>
        <v>701728559384174592</v>
      </c>
      <c r="F470" s="12" t="s">
        <v>20</v>
      </c>
      <c r="G470" s="13">
        <v>170.0</v>
      </c>
      <c r="H470" s="13">
        <v>492.0</v>
      </c>
      <c r="I470" s="13">
        <v>11.0</v>
      </c>
      <c r="J470" s="13">
        <v>0.0</v>
      </c>
      <c r="K470" s="12" t="s">
        <v>21</v>
      </c>
      <c r="L470" s="7">
        <v>41909.95386574074</v>
      </c>
      <c r="M470" s="14" t="s">
        <v>194</v>
      </c>
      <c r="N470" s="14" t="s">
        <v>7154</v>
      </c>
      <c r="O470" s="11" t="str">
        <f>HYPERLINK("https://pbs.twimg.com/profile_images/518139525558583296/Ck6g-QIg_normal.jpeg","View")</f>
        <v>View</v>
      </c>
      <c r="P470" s="15"/>
    </row>
    <row r="471">
      <c r="A471" s="7">
        <v>42422.14193287037</v>
      </c>
      <c r="B471" s="8" t="str">
        <f>HYPERLINK("https://twitter.com/SSCMeeting","@SSCMeeting")</f>
        <v>@SSCMeeting</v>
      </c>
      <c r="C471" s="10" t="s">
        <v>7155</v>
      </c>
      <c r="D471" s="10" t="s">
        <v>7119</v>
      </c>
      <c r="E471" s="11" t="str">
        <f>HYPERLINK("https://twitter.com/SSCMeeting/status/701729241768005632","701729241768005632")</f>
        <v>701729241768005632</v>
      </c>
      <c r="F471" s="12" t="s">
        <v>52</v>
      </c>
      <c r="G471" s="13">
        <v>82.0</v>
      </c>
      <c r="H471" s="13">
        <v>189.0</v>
      </c>
      <c r="I471" s="13">
        <v>6.0</v>
      </c>
      <c r="J471" s="13">
        <v>0.0</v>
      </c>
      <c r="K471" s="12" t="s">
        <v>21</v>
      </c>
      <c r="L471" s="7">
        <v>40851.690104166664</v>
      </c>
      <c r="M471" s="16"/>
      <c r="N471" s="14" t="s">
        <v>7156</v>
      </c>
      <c r="O471" s="11" t="str">
        <f>HYPERLINK("https://pbs.twimg.com/profile_images/1623759747/SSC_normal.jpg","View")</f>
        <v>View</v>
      </c>
      <c r="P471" s="15"/>
    </row>
    <row r="472">
      <c r="A472" s="7">
        <v>42422.147731481484</v>
      </c>
      <c r="B472" s="8" t="str">
        <f>HYPERLINK("https://twitter.com/BestCourses_","@BestCourses_")</f>
        <v>@BestCourses_</v>
      </c>
      <c r="C472" s="10" t="s">
        <v>409</v>
      </c>
      <c r="D472" s="10" t="s">
        <v>6351</v>
      </c>
      <c r="E472" s="11" t="str">
        <f>HYPERLINK("https://twitter.com/BestCourses_/status/701731344288710656","701731344288710656")</f>
        <v>701731344288710656</v>
      </c>
      <c r="F472" s="12" t="s">
        <v>103</v>
      </c>
      <c r="G472" s="13">
        <v>528.0</v>
      </c>
      <c r="H472" s="13">
        <v>40.0</v>
      </c>
      <c r="I472" s="13">
        <v>0.0</v>
      </c>
      <c r="J472" s="13">
        <v>0.0</v>
      </c>
      <c r="K472" s="12" t="s">
        <v>21</v>
      </c>
      <c r="L472" s="7">
        <v>42294.333125000005</v>
      </c>
      <c r="M472" s="14" t="s">
        <v>411</v>
      </c>
      <c r="N472" s="14" t="s">
        <v>412</v>
      </c>
      <c r="O472" s="11" t="str">
        <f>HYPERLINK("https://pbs.twimg.com/profile_images/655401968802861056/yuPEMhy3_normal.jpg","View")</f>
        <v>View</v>
      </c>
      <c r="P472" s="15"/>
    </row>
    <row r="473">
      <c r="A473" s="7">
        <v>42422.15263888889</v>
      </c>
      <c r="B473" s="8" t="str">
        <f>HYPERLINK("https://twitter.com/filipelenfers","@filipelenfers")</f>
        <v>@filipelenfers</v>
      </c>
      <c r="C473" s="10" t="s">
        <v>7157</v>
      </c>
      <c r="D473" s="10" t="s">
        <v>6877</v>
      </c>
      <c r="E473" s="11" t="str">
        <f>HYPERLINK("https://twitter.com/filipelenfers/status/701733120186458112","701733120186458112")</f>
        <v>701733120186458112</v>
      </c>
      <c r="F473" s="12" t="s">
        <v>52</v>
      </c>
      <c r="G473" s="13">
        <v>90.0</v>
      </c>
      <c r="H473" s="13">
        <v>249.0</v>
      </c>
      <c r="I473" s="13">
        <v>5.0</v>
      </c>
      <c r="J473" s="13">
        <v>0.0</v>
      </c>
      <c r="K473" s="12" t="s">
        <v>21</v>
      </c>
      <c r="L473" s="7">
        <v>39970.618784722225</v>
      </c>
      <c r="M473" s="14" t="s">
        <v>247</v>
      </c>
      <c r="N473" s="16"/>
      <c r="O473" s="11" t="str">
        <f>HYPERLINK("https://pbs.twimg.com/profile_images/413726952130744320/sEc11Q6-_normal.jpeg","View")</f>
        <v>View</v>
      </c>
      <c r="P473" s="15"/>
    </row>
    <row r="474">
      <c r="A474" s="7">
        <v>42422.153240740736</v>
      </c>
      <c r="B474" s="8" t="str">
        <f>HYPERLINK("https://twitter.com/matthias31000","@matthias31000")</f>
        <v>@matthias31000</v>
      </c>
      <c r="C474" s="10" t="s">
        <v>7158</v>
      </c>
      <c r="D474" s="10" t="s">
        <v>7159</v>
      </c>
      <c r="E474" s="11" t="str">
        <f>HYPERLINK("https://twitter.com/matthias31000/status/701733341008105472","701733341008105472")</f>
        <v>701733341008105472</v>
      </c>
      <c r="F474" s="12" t="s">
        <v>20</v>
      </c>
      <c r="G474" s="13">
        <v>494.0</v>
      </c>
      <c r="H474" s="13">
        <v>451.0</v>
      </c>
      <c r="I474" s="13">
        <v>0.0</v>
      </c>
      <c r="J474" s="13">
        <v>0.0</v>
      </c>
      <c r="K474" s="12" t="s">
        <v>21</v>
      </c>
      <c r="L474" s="7">
        <v>41777.3262962963</v>
      </c>
      <c r="M474" s="14" t="s">
        <v>7160</v>
      </c>
      <c r="N474" s="14" t="s">
        <v>7161</v>
      </c>
      <c r="O474" s="11" t="str">
        <f>HYPERLINK("https://pbs.twimg.com/profile_images/653156490744885249/Sb3VJNKH_normal.jpg","View")</f>
        <v>View</v>
      </c>
      <c r="P474" s="15"/>
    </row>
    <row r="475">
      <c r="A475" s="7">
        <v>42422.1544675926</v>
      </c>
      <c r="B475" s="8" t="str">
        <f t="shared" ref="B475:B476" si="71">HYPERLINK("https://twitter.com/CarinaDSLR","@CarinaDSLR")</f>
        <v>@CarinaDSLR</v>
      </c>
      <c r="C475" s="10" t="s">
        <v>7162</v>
      </c>
      <c r="D475" s="10" t="s">
        <v>7144</v>
      </c>
      <c r="E475" s="11" t="str">
        <f>HYPERLINK("https://twitter.com/CarinaDSLR/status/701733785986064384","701733785986064384")</f>
        <v>701733785986064384</v>
      </c>
      <c r="F475" s="12" t="s">
        <v>20</v>
      </c>
      <c r="G475" s="13">
        <v>2971.0</v>
      </c>
      <c r="H475" s="13">
        <v>2175.0</v>
      </c>
      <c r="I475" s="13">
        <v>4.0</v>
      </c>
      <c r="J475" s="13">
        <v>0.0</v>
      </c>
      <c r="K475" s="12" t="s">
        <v>21</v>
      </c>
      <c r="L475" s="7">
        <v>41399.548159722224</v>
      </c>
      <c r="M475" s="14" t="s">
        <v>7163</v>
      </c>
      <c r="N475" s="14" t="s">
        <v>7164</v>
      </c>
      <c r="O475" s="11" t="str">
        <f t="shared" ref="O475:O476" si="72">HYPERLINK("https://pbs.twimg.com/profile_images/536856141754417152/tN5pZV-E_normal.jpeg","View")</f>
        <v>View</v>
      </c>
      <c r="P475" s="15"/>
    </row>
    <row r="476">
      <c r="A476" s="7">
        <v>42422.15453703704</v>
      </c>
      <c r="B476" s="8" t="str">
        <f t="shared" si="71"/>
        <v>@CarinaDSLR</v>
      </c>
      <c r="C476" s="10" t="s">
        <v>7162</v>
      </c>
      <c r="D476" s="10" t="s">
        <v>7143</v>
      </c>
      <c r="E476" s="11" t="str">
        <f>HYPERLINK("https://twitter.com/CarinaDSLR/status/701733809935536130","701733809935536130")</f>
        <v>701733809935536130</v>
      </c>
      <c r="F476" s="12" t="s">
        <v>20</v>
      </c>
      <c r="G476" s="13">
        <v>2971.0</v>
      </c>
      <c r="H476" s="13">
        <v>2175.0</v>
      </c>
      <c r="I476" s="13">
        <v>11.0</v>
      </c>
      <c r="J476" s="13">
        <v>0.0</v>
      </c>
      <c r="K476" s="12" t="s">
        <v>21</v>
      </c>
      <c r="L476" s="7">
        <v>41399.548159722224</v>
      </c>
      <c r="M476" s="14" t="s">
        <v>7163</v>
      </c>
      <c r="N476" s="14" t="s">
        <v>7164</v>
      </c>
      <c r="O476" s="11" t="str">
        <f t="shared" si="72"/>
        <v>View</v>
      </c>
      <c r="P476" s="15"/>
    </row>
    <row r="477">
      <c r="A477" s="7">
        <v>42422.16069444444</v>
      </c>
      <c r="B477" s="8" t="str">
        <f>HYPERLINK("https://twitter.com/AdiePrestone","@AdiePrestone")</f>
        <v>@AdiePrestone</v>
      </c>
      <c r="C477" s="10" t="s">
        <v>6542</v>
      </c>
      <c r="D477" s="10" t="s">
        <v>6516</v>
      </c>
      <c r="E477" s="11" t="str">
        <f>HYPERLINK("https://twitter.com/AdiePrestone/status/701736043096252420","701736043096252420")</f>
        <v>701736043096252420</v>
      </c>
      <c r="F477" s="12" t="s">
        <v>446</v>
      </c>
      <c r="G477" s="13">
        <v>473.0</v>
      </c>
      <c r="H477" s="13">
        <v>376.0</v>
      </c>
      <c r="I477" s="13">
        <v>7.0</v>
      </c>
      <c r="J477" s="13">
        <v>0.0</v>
      </c>
      <c r="K477" s="12" t="s">
        <v>21</v>
      </c>
      <c r="L477" s="7">
        <v>40559.146527777775</v>
      </c>
      <c r="M477" s="14" t="s">
        <v>6544</v>
      </c>
      <c r="N477" s="14" t="s">
        <v>6545</v>
      </c>
      <c r="O477" s="11" t="str">
        <f>HYPERLINK("https://pbs.twimg.com/profile_images/685318018793127936/9LH8YuIT_normal.jpg","View")</f>
        <v>View</v>
      </c>
      <c r="P477" s="15"/>
    </row>
    <row r="478">
      <c r="A478" s="7">
        <v>42422.1622800926</v>
      </c>
      <c r="B478" s="8" t="str">
        <f>HYPERLINK("https://twitter.com/Legasquare90","@Legasquare90")</f>
        <v>@Legasquare90</v>
      </c>
      <c r="C478" s="10" t="s">
        <v>7165</v>
      </c>
      <c r="D478" s="10" t="s">
        <v>7151</v>
      </c>
      <c r="E478" s="11" t="str">
        <f>HYPERLINK("https://twitter.com/Legasquare90/status/701736614440075264","701736614440075264")</f>
        <v>701736614440075264</v>
      </c>
      <c r="F478" s="12" t="s">
        <v>20</v>
      </c>
      <c r="G478" s="13">
        <v>288.0</v>
      </c>
      <c r="H478" s="13">
        <v>268.0</v>
      </c>
      <c r="I478" s="13">
        <v>11.0</v>
      </c>
      <c r="J478" s="13">
        <v>0.0</v>
      </c>
      <c r="K478" s="12" t="s">
        <v>21</v>
      </c>
      <c r="L478" s="7">
        <v>40612.67763888889</v>
      </c>
      <c r="M478" s="16"/>
      <c r="N478" s="14" t="s">
        <v>7166</v>
      </c>
      <c r="O478" s="11" t="str">
        <f>HYPERLINK("https://pbs.twimg.com/profile_images/1524160506/yo_normal.jpg","View")</f>
        <v>View</v>
      </c>
      <c r="P478" s="15"/>
    </row>
    <row r="479">
      <c r="A479" s="7">
        <v>42422.16302083334</v>
      </c>
      <c r="B479" s="8" t="str">
        <f>HYPERLINK("https://twitter.com/convalytics","@convalytics")</f>
        <v>@convalytics</v>
      </c>
      <c r="C479" s="10" t="s">
        <v>7167</v>
      </c>
      <c r="D479" s="10" t="s">
        <v>7138</v>
      </c>
      <c r="E479" s="11" t="str">
        <f>HYPERLINK("https://twitter.com/convalytics/status/701736886168068096","701736886168068096")</f>
        <v>701736886168068096</v>
      </c>
      <c r="F479" s="12" t="s">
        <v>152</v>
      </c>
      <c r="G479" s="13">
        <v>233.0</v>
      </c>
      <c r="H479" s="13">
        <v>784.0</v>
      </c>
      <c r="I479" s="13">
        <v>2.0</v>
      </c>
      <c r="J479" s="13">
        <v>0.0</v>
      </c>
      <c r="K479" s="12" t="s">
        <v>21</v>
      </c>
      <c r="L479" s="7">
        <v>40564.26189814815</v>
      </c>
      <c r="M479" s="14" t="s">
        <v>7168</v>
      </c>
      <c r="N479" s="14" t="s">
        <v>7169</v>
      </c>
      <c r="O479" s="11" t="str">
        <f>HYPERLINK("https://pbs.twimg.com/profile_images/1222782010/Jason-Green_normal.jpg","View")</f>
        <v>View</v>
      </c>
      <c r="P479" s="15"/>
    </row>
    <row r="480">
      <c r="A480" s="7">
        <v>42422.163043981476</v>
      </c>
      <c r="B480" s="8" t="str">
        <f t="shared" ref="B480:B481" si="73">HYPERLINK("https://twitter.com/jeniferjones","@jeniferjones")</f>
        <v>@jeniferjones</v>
      </c>
      <c r="C480" s="10" t="s">
        <v>6528</v>
      </c>
      <c r="D480" s="10" t="s">
        <v>6561</v>
      </c>
      <c r="E480" s="11" t="str">
        <f>HYPERLINK("https://twitter.com/jeniferjones/status/701736894036627456","701736894036627456")</f>
        <v>701736894036627456</v>
      </c>
      <c r="F480" s="12" t="s">
        <v>152</v>
      </c>
      <c r="G480" s="13">
        <v>219.0</v>
      </c>
      <c r="H480" s="13">
        <v>515.0</v>
      </c>
      <c r="I480" s="13">
        <v>4.0</v>
      </c>
      <c r="J480" s="13">
        <v>0.0</v>
      </c>
      <c r="K480" s="12" t="s">
        <v>21</v>
      </c>
      <c r="L480" s="7">
        <v>39876.55601851852</v>
      </c>
      <c r="M480" s="16"/>
      <c r="N480" s="16"/>
      <c r="O480" s="11" t="str">
        <f t="shared" ref="O480:O481" si="74">HYPERLINK("https://pbs.twimg.com/profile_images/551824464003219458/gVZL97yA_normal.jpeg","View")</f>
        <v>View</v>
      </c>
      <c r="P480" s="15"/>
    </row>
    <row r="481">
      <c r="A481" s="7">
        <v>42422.16315972222</v>
      </c>
      <c r="B481" s="8" t="str">
        <f t="shared" si="73"/>
        <v>@jeniferjones</v>
      </c>
      <c r="C481" s="10" t="s">
        <v>6528</v>
      </c>
      <c r="D481" s="10" t="s">
        <v>6546</v>
      </c>
      <c r="E481" s="11" t="str">
        <f>HYPERLINK("https://twitter.com/jeniferjones/status/701736933148508160","701736933148508160")</f>
        <v>701736933148508160</v>
      </c>
      <c r="F481" s="12" t="s">
        <v>152</v>
      </c>
      <c r="G481" s="13">
        <v>219.0</v>
      </c>
      <c r="H481" s="13">
        <v>515.0</v>
      </c>
      <c r="I481" s="13">
        <v>9.0</v>
      </c>
      <c r="J481" s="13">
        <v>0.0</v>
      </c>
      <c r="K481" s="12" t="s">
        <v>21</v>
      </c>
      <c r="L481" s="7">
        <v>39876.55601851852</v>
      </c>
      <c r="M481" s="16"/>
      <c r="N481" s="16"/>
      <c r="O481" s="11" t="str">
        <f t="shared" si="74"/>
        <v>View</v>
      </c>
      <c r="P481" s="15"/>
    </row>
    <row r="482">
      <c r="A482" s="7">
        <v>42422.16457175926</v>
      </c>
      <c r="B482" s="8" t="str">
        <f>HYPERLINK("https://twitter.com/RelearnML","@RelearnML")</f>
        <v>@RelearnML</v>
      </c>
      <c r="C482" s="10" t="s">
        <v>7170</v>
      </c>
      <c r="D482" s="10" t="s">
        <v>6918</v>
      </c>
      <c r="E482" s="11" t="str">
        <f>HYPERLINK("https://twitter.com/RelearnML/status/701737444677320704","701737444677320704")</f>
        <v>701737444677320704</v>
      </c>
      <c r="F482" s="12" t="s">
        <v>5850</v>
      </c>
      <c r="G482" s="13">
        <v>682.0</v>
      </c>
      <c r="H482" s="13">
        <v>687.0</v>
      </c>
      <c r="I482" s="13">
        <v>32.0</v>
      </c>
      <c r="J482" s="13">
        <v>0.0</v>
      </c>
      <c r="K482" s="12" t="s">
        <v>21</v>
      </c>
      <c r="L482" s="7">
        <v>42333.37112268519</v>
      </c>
      <c r="M482" s="16"/>
      <c r="N482" s="14" t="s">
        <v>7171</v>
      </c>
      <c r="O482" s="11" t="str">
        <f>HYPERLINK("https://pbs.twimg.com/profile_images/669561390869385220/nA3IwO60_normal.png","View")</f>
        <v>View</v>
      </c>
      <c r="P482" s="15"/>
    </row>
    <row r="483">
      <c r="A483" s="7">
        <v>42422.1702662037</v>
      </c>
      <c r="B483" s="8" t="str">
        <f>HYPERLINK("https://twitter.com/srchekroud","@srchekroud")</f>
        <v>@srchekroud</v>
      </c>
      <c r="C483" s="10" t="s">
        <v>7172</v>
      </c>
      <c r="D483" s="10" t="s">
        <v>7173</v>
      </c>
      <c r="E483" s="11" t="str">
        <f>HYPERLINK("https://twitter.com/srchekroud/status/701739510078504960","701739510078504960")</f>
        <v>701739510078504960</v>
      </c>
      <c r="F483" s="12" t="s">
        <v>52</v>
      </c>
      <c r="G483" s="13">
        <v>232.0</v>
      </c>
      <c r="H483" s="13">
        <v>504.0</v>
      </c>
      <c r="I483" s="13">
        <v>1.0</v>
      </c>
      <c r="J483" s="13">
        <v>0.0</v>
      </c>
      <c r="K483" s="12" t="s">
        <v>21</v>
      </c>
      <c r="L483" s="7">
        <v>40650.68350694444</v>
      </c>
      <c r="M483" s="14" t="s">
        <v>7174</v>
      </c>
      <c r="N483" s="14" t="s">
        <v>7175</v>
      </c>
      <c r="O483" s="11" t="str">
        <f>HYPERLINK("https://pbs.twimg.com/profile_images/560200880684007426/ajAK9oq1_normal.jpeg","View")</f>
        <v>View</v>
      </c>
      <c r="P483" s="15"/>
    </row>
    <row r="484">
      <c r="A484" s="7">
        <v>42422.172071759254</v>
      </c>
      <c r="B484" s="8" t="str">
        <f>HYPERLINK("https://twitter.com/MozillaScience","@MozillaScience")</f>
        <v>@MozillaScience</v>
      </c>
      <c r="C484" s="10" t="s">
        <v>7176</v>
      </c>
      <c r="D484" s="10" t="s">
        <v>7025</v>
      </c>
      <c r="E484" s="11" t="str">
        <f>HYPERLINK("https://twitter.com/MozillaScience/status/701740166214504449","701740166214504449")</f>
        <v>701740166214504449</v>
      </c>
      <c r="F484" s="12" t="s">
        <v>52</v>
      </c>
      <c r="G484" s="13">
        <v>8309.0</v>
      </c>
      <c r="H484" s="13">
        <v>678.0</v>
      </c>
      <c r="I484" s="13">
        <v>4.0</v>
      </c>
      <c r="J484" s="13">
        <v>0.0</v>
      </c>
      <c r="K484" s="12" t="s">
        <v>21</v>
      </c>
      <c r="L484" s="7">
        <v>41408.496562500004</v>
      </c>
      <c r="M484" s="16"/>
      <c r="N484" s="14" t="s">
        <v>7177</v>
      </c>
      <c r="O484" s="11" t="str">
        <f>HYPERLINK("https://pbs.twimg.com/profile_images/687287790049034240/lwIk-ZQT_normal.png","View")</f>
        <v>View</v>
      </c>
      <c r="P484" s="15"/>
    </row>
    <row r="485">
      <c r="A485" s="7">
        <v>42422.172430555554</v>
      </c>
      <c r="B485" s="8" t="str">
        <f>HYPERLINK("https://twitter.com/AxelBizel","@AxelBizel")</f>
        <v>@AxelBizel</v>
      </c>
      <c r="C485" s="10" t="s">
        <v>7178</v>
      </c>
      <c r="D485" s="10" t="s">
        <v>6516</v>
      </c>
      <c r="E485" s="11" t="str">
        <f>HYPERLINK("https://twitter.com/AxelBizel/status/701740292437770241","701740292437770241")</f>
        <v>701740292437770241</v>
      </c>
      <c r="F485" s="12" t="s">
        <v>446</v>
      </c>
      <c r="G485" s="13">
        <v>872.0</v>
      </c>
      <c r="H485" s="13">
        <v>875.0</v>
      </c>
      <c r="I485" s="13">
        <v>7.0</v>
      </c>
      <c r="J485" s="13">
        <v>0.0</v>
      </c>
      <c r="K485" s="12" t="s">
        <v>21</v>
      </c>
      <c r="L485" s="7">
        <v>40817.40747685185</v>
      </c>
      <c r="M485" s="14" t="s">
        <v>241</v>
      </c>
      <c r="N485" s="14" t="s">
        <v>7179</v>
      </c>
      <c r="O485" s="11" t="str">
        <f>HYPERLINK("https://pbs.twimg.com/profile_images/2801502782/6a573e91377a9bae502ad67b6607df97_normal.jpeg","View")</f>
        <v>View</v>
      </c>
      <c r="P485" s="15"/>
    </row>
    <row r="486">
      <c r="A486" s="7">
        <v>42422.17260416667</v>
      </c>
      <c r="B486" s="8" t="str">
        <f>HYPERLINK("https://twitter.com/JacobyDave","@JacobyDave")</f>
        <v>@JacobyDave</v>
      </c>
      <c r="C486" s="10" t="s">
        <v>7180</v>
      </c>
      <c r="D486" s="10" t="s">
        <v>7025</v>
      </c>
      <c r="E486" s="11" t="str">
        <f>HYPERLINK("https://twitter.com/JacobyDave/status/701740356178546688","701740356178546688")</f>
        <v>701740356178546688</v>
      </c>
      <c r="F486" s="12" t="s">
        <v>152</v>
      </c>
      <c r="G486" s="13">
        <v>1128.0</v>
      </c>
      <c r="H486" s="13">
        <v>1963.0</v>
      </c>
      <c r="I486" s="13">
        <v>4.0</v>
      </c>
      <c r="J486" s="13">
        <v>0.0</v>
      </c>
      <c r="K486" s="12" t="s">
        <v>21</v>
      </c>
      <c r="L486" s="7">
        <v>39610.48605324074</v>
      </c>
      <c r="M486" s="14" t="s">
        <v>7181</v>
      </c>
      <c r="N486" s="14" t="s">
        <v>7182</v>
      </c>
      <c r="O486" s="11" t="str">
        <f>HYPERLINK("https://pbs.twimg.com/profile_images/703082089911066624/VbC44206_normal.png","View")</f>
        <v>View</v>
      </c>
      <c r="P486" s="15"/>
    </row>
    <row r="487">
      <c r="A487" s="7">
        <v>42422.174062499995</v>
      </c>
      <c r="B487" s="8" t="str">
        <f>HYPERLINK("https://twitter.com/mmeierer","@mmeierer")</f>
        <v>@mmeierer</v>
      </c>
      <c r="C487" s="10" t="s">
        <v>7183</v>
      </c>
      <c r="D487" s="10" t="s">
        <v>6918</v>
      </c>
      <c r="E487" s="11" t="str">
        <f>HYPERLINK("https://twitter.com/mmeierer/status/701740885894107136","701740885894107136")</f>
        <v>701740885894107136</v>
      </c>
      <c r="F487" s="12" t="s">
        <v>7184</v>
      </c>
      <c r="G487" s="13">
        <v>85.0</v>
      </c>
      <c r="H487" s="13">
        <v>76.0</v>
      </c>
      <c r="I487" s="13">
        <v>32.0</v>
      </c>
      <c r="J487" s="13">
        <v>0.0</v>
      </c>
      <c r="K487" s="12" t="s">
        <v>21</v>
      </c>
      <c r="L487" s="7">
        <v>41438.467627314814</v>
      </c>
      <c r="M487" s="14" t="s">
        <v>7185</v>
      </c>
      <c r="N487" s="14" t="s">
        <v>7186</v>
      </c>
      <c r="O487" s="11" t="str">
        <f>HYPERLINK("https://pbs.twimg.com/profile_images/378800000064431810/49d16d6ec2271b0cf7db5d8897ca8b37_normal.jpeg","View")</f>
        <v>View</v>
      </c>
      <c r="P487" s="15"/>
    </row>
    <row r="488">
      <c r="A488" s="7">
        <v>42422.175833333335</v>
      </c>
      <c r="B488" s="8" t="str">
        <f>HYPERLINK("https://twitter.com/opendatadurban","@opendatadurban")</f>
        <v>@opendatadurban</v>
      </c>
      <c r="C488" s="10" t="s">
        <v>7187</v>
      </c>
      <c r="D488" s="10" t="s">
        <v>7188</v>
      </c>
      <c r="E488" s="11" t="str">
        <f>HYPERLINK("https://twitter.com/opendatadurban/status/701741525697482752","701741525697482752")</f>
        <v>701741525697482752</v>
      </c>
      <c r="F488" s="12" t="s">
        <v>52</v>
      </c>
      <c r="G488" s="13">
        <v>81.0</v>
      </c>
      <c r="H488" s="13">
        <v>105.0</v>
      </c>
      <c r="I488" s="13">
        <v>2.0</v>
      </c>
      <c r="J488" s="13">
        <v>0.0</v>
      </c>
      <c r="K488" s="12" t="s">
        <v>21</v>
      </c>
      <c r="L488" s="7">
        <v>42114.941400462965</v>
      </c>
      <c r="M488" s="14" t="s">
        <v>6234</v>
      </c>
      <c r="N488" s="14" t="s">
        <v>7189</v>
      </c>
      <c r="O488" s="11" t="str">
        <f>HYPERLINK("https://pbs.twimg.com/profile_images/691921909458542596/E9NJwlHf_normal.png","View")</f>
        <v>View</v>
      </c>
      <c r="P488" s="15"/>
    </row>
    <row r="489">
      <c r="A489" s="7">
        <v>42422.17616898148</v>
      </c>
      <c r="B489" s="8" t="str">
        <f>HYPERLINK("https://twitter.com/CRANberriesFeed","@CRANberriesFeed")</f>
        <v>@CRANberriesFeed</v>
      </c>
      <c r="C489" s="10" t="s">
        <v>6282</v>
      </c>
      <c r="D489" s="10" t="s">
        <v>7190</v>
      </c>
      <c r="E489" s="11" t="str">
        <f>HYPERLINK("https://twitter.com/CRANberriesFeed/status/701741647193837569","701741647193837569")</f>
        <v>701741647193837569</v>
      </c>
      <c r="F489" s="12" t="s">
        <v>6284</v>
      </c>
      <c r="G489" s="13">
        <v>657.0</v>
      </c>
      <c r="H489" s="13">
        <v>0.0</v>
      </c>
      <c r="I489" s="13">
        <v>0.0</v>
      </c>
      <c r="J489" s="13">
        <v>0.0</v>
      </c>
      <c r="K489" s="12" t="s">
        <v>21</v>
      </c>
      <c r="L489" s="7">
        <v>40546.353425925925</v>
      </c>
      <c r="M489" s="14" t="s">
        <v>1158</v>
      </c>
      <c r="N489" s="16"/>
      <c r="O489" s="11" t="str">
        <f>HYPERLINK("https://pbs.twimg.com/profile_images/1222779560/cran1_normal.jpg","View")</f>
        <v>View</v>
      </c>
      <c r="P489" s="15"/>
    </row>
    <row r="490">
      <c r="A490" s="7">
        <v>42422.188796296294</v>
      </c>
      <c r="B490" s="8" t="str">
        <f>HYPERLINK("https://twitter.com/diegovalle","@diegovalle")</f>
        <v>@diegovalle</v>
      </c>
      <c r="C490" s="10" t="s">
        <v>7191</v>
      </c>
      <c r="D490" s="10" t="s">
        <v>6248</v>
      </c>
      <c r="E490" s="11" t="str">
        <f>HYPERLINK("https://twitter.com/diegovalle/status/701746225356238848","701746225356238848")</f>
        <v>701746225356238848</v>
      </c>
      <c r="F490" s="12" t="s">
        <v>1573</v>
      </c>
      <c r="G490" s="13">
        <v>1969.0</v>
      </c>
      <c r="H490" s="13">
        <v>138.0</v>
      </c>
      <c r="I490" s="13">
        <v>9.0</v>
      </c>
      <c r="J490" s="13">
        <v>0.0</v>
      </c>
      <c r="K490" s="12" t="s">
        <v>21</v>
      </c>
      <c r="L490" s="7">
        <v>39545.38736111111</v>
      </c>
      <c r="M490" s="16"/>
      <c r="N490" s="14" t="s">
        <v>7192</v>
      </c>
      <c r="O490" s="11" t="str">
        <f>HYPERLINK("https://pbs.twimg.com/profile_images/2589309770/9nslz60vob1qkif8s43v_normal.png","View")</f>
        <v>View</v>
      </c>
      <c r="P490" s="15"/>
    </row>
    <row r="491">
      <c r="A491" s="7">
        <v>42422.190671296295</v>
      </c>
      <c r="B491" s="8" t="str">
        <f>HYPERLINK("https://twitter.com/sfrechette","@sfrechette")</f>
        <v>@sfrechette</v>
      </c>
      <c r="C491" s="10" t="s">
        <v>6564</v>
      </c>
      <c r="D491" s="10" t="s">
        <v>7193</v>
      </c>
      <c r="E491" s="11" t="str">
        <f>HYPERLINK("https://twitter.com/sfrechette/status/701746904540045312","701746904540045312")</f>
        <v>701746904540045312</v>
      </c>
      <c r="F491" s="12" t="s">
        <v>6566</v>
      </c>
      <c r="G491" s="13">
        <v>1352.0</v>
      </c>
      <c r="H491" s="13">
        <v>1178.0</v>
      </c>
      <c r="I491" s="13">
        <v>0.0</v>
      </c>
      <c r="J491" s="13">
        <v>0.0</v>
      </c>
      <c r="K491" s="12" t="s">
        <v>21</v>
      </c>
      <c r="L491" s="7">
        <v>39873.53702546297</v>
      </c>
      <c r="M491" s="14" t="s">
        <v>6567</v>
      </c>
      <c r="N491" s="14" t="s">
        <v>6568</v>
      </c>
      <c r="O491" s="11" t="str">
        <f>HYPERLINK("https://pbs.twimg.com/profile_images/662342111799304192/Xtv8MZ-P_normal.jpg","View")</f>
        <v>View</v>
      </c>
      <c r="P491" s="15"/>
    </row>
    <row r="492">
      <c r="A492" s="7">
        <v>42422.19125</v>
      </c>
      <c r="B492" s="8" t="str">
        <f>HYPERLINK("https://twitter.com/abxda","@abxda")</f>
        <v>@abxda</v>
      </c>
      <c r="C492" s="10" t="s">
        <v>7194</v>
      </c>
      <c r="D492" s="10" t="s">
        <v>6248</v>
      </c>
      <c r="E492" s="11" t="str">
        <f>HYPERLINK("https://twitter.com/abxda/status/701747115744100352","701747115744100352")</f>
        <v>701747115744100352</v>
      </c>
      <c r="F492" s="12" t="s">
        <v>152</v>
      </c>
      <c r="G492" s="13">
        <v>1147.0</v>
      </c>
      <c r="H492" s="13">
        <v>1205.0</v>
      </c>
      <c r="I492" s="13">
        <v>9.0</v>
      </c>
      <c r="J492" s="13">
        <v>0.0</v>
      </c>
      <c r="K492" s="12" t="s">
        <v>21</v>
      </c>
      <c r="L492" s="7">
        <v>39842.449270833335</v>
      </c>
      <c r="M492" s="14" t="s">
        <v>7195</v>
      </c>
      <c r="N492" s="14" t="s">
        <v>7196</v>
      </c>
      <c r="O492" s="11" t="str">
        <f>HYPERLINK("https://pbs.twimg.com/profile_images/378800000488736368/a4c75a45213cf38e228f9c7be9ae6cfd_normal.jpeg","View")</f>
        <v>View</v>
      </c>
      <c r="P492" s="15"/>
    </row>
    <row r="493">
      <c r="A493" s="7">
        <v>42422.193344907406</v>
      </c>
      <c r="B493" s="8" t="str">
        <f>HYPERLINK("https://twitter.com/timelyportfolio","@timelyportfolio")</f>
        <v>@timelyportfolio</v>
      </c>
      <c r="C493" s="10" t="s">
        <v>3698</v>
      </c>
      <c r="D493" s="10" t="s">
        <v>6997</v>
      </c>
      <c r="E493" s="11" t="str">
        <f>HYPERLINK("https://twitter.com/timelyportfolio/status/701747872560189441","701747872560189441")</f>
        <v>701747872560189441</v>
      </c>
      <c r="F493" s="12" t="s">
        <v>52</v>
      </c>
      <c r="G493" s="13">
        <v>1875.0</v>
      </c>
      <c r="H493" s="13">
        <v>2248.0</v>
      </c>
      <c r="I493" s="13">
        <v>18.0</v>
      </c>
      <c r="J493" s="13">
        <v>0.0</v>
      </c>
      <c r="K493" s="12" t="s">
        <v>21</v>
      </c>
      <c r="L493" s="7">
        <v>40573.86280092593</v>
      </c>
      <c r="M493" s="14" t="s">
        <v>3700</v>
      </c>
      <c r="N493" s="14" t="s">
        <v>3701</v>
      </c>
      <c r="O493" s="11" t="str">
        <f>HYPERLINK("https://pbs.twimg.com/profile_images/2198946077/image_normal.jpg","View")</f>
        <v>View</v>
      </c>
      <c r="P493" s="15"/>
    </row>
    <row r="494">
      <c r="A494" s="7">
        <v>42422.19440972222</v>
      </c>
      <c r="B494" s="8" t="str">
        <f>HYPERLINK("https://twitter.com/vexedmuddler","@vexedmuddler")</f>
        <v>@vexedmuddler</v>
      </c>
      <c r="C494" s="10" t="s">
        <v>7197</v>
      </c>
      <c r="D494" s="10" t="s">
        <v>7143</v>
      </c>
      <c r="E494" s="11" t="str">
        <f>HYPERLINK("https://twitter.com/vexedmuddler/status/701748259581202438","701748259581202438")</f>
        <v>701748259581202438</v>
      </c>
      <c r="F494" s="12" t="s">
        <v>52</v>
      </c>
      <c r="G494" s="13">
        <v>1327.0</v>
      </c>
      <c r="H494" s="13">
        <v>626.0</v>
      </c>
      <c r="I494" s="13">
        <v>11.0</v>
      </c>
      <c r="J494" s="13">
        <v>0.0</v>
      </c>
      <c r="K494" s="12" t="s">
        <v>21</v>
      </c>
      <c r="L494" s="7">
        <v>39871.60837962963</v>
      </c>
      <c r="M494" s="14" t="s">
        <v>6753</v>
      </c>
      <c r="N494" s="14" t="s">
        <v>7198</v>
      </c>
      <c r="O494" s="11" t="str">
        <f>HYPERLINK("https://pbs.twimg.com/profile_images/577980387084742656/1d0pWjPy_normal.png","View")</f>
        <v>View</v>
      </c>
      <c r="P494" s="15"/>
    </row>
    <row r="495">
      <c r="A495" s="7">
        <v>42422.19730324074</v>
      </c>
      <c r="B495" s="8" t="str">
        <f>HYPERLINK("https://twitter.com/leach_jim","@leach_jim")</f>
        <v>@leach_jim</v>
      </c>
      <c r="C495" s="10" t="s">
        <v>7199</v>
      </c>
      <c r="D495" s="10" t="s">
        <v>7200</v>
      </c>
      <c r="E495" s="11" t="str">
        <f>HYPERLINK("https://twitter.com/leach_jim/status/701749309130334208","701749309130334208")</f>
        <v>701749309130334208</v>
      </c>
      <c r="F495" s="12" t="s">
        <v>4867</v>
      </c>
      <c r="G495" s="13">
        <v>51.0</v>
      </c>
      <c r="H495" s="13">
        <v>130.0</v>
      </c>
      <c r="I495" s="13">
        <v>1.0</v>
      </c>
      <c r="J495" s="13">
        <v>0.0</v>
      </c>
      <c r="K495" s="12" t="s">
        <v>21</v>
      </c>
      <c r="L495" s="7">
        <v>41365.17628472222</v>
      </c>
      <c r="M495" s="16"/>
      <c r="N495" s="14" t="s">
        <v>7201</v>
      </c>
      <c r="O495" s="11" t="str">
        <f>HYPERLINK("https://pbs.twimg.com/profile_images/606390830874697729/NeUj44E2_normal.jpg","View")</f>
        <v>View</v>
      </c>
      <c r="P495" s="15"/>
    </row>
    <row r="496">
      <c r="A496" s="7">
        <v>42422.197488425925</v>
      </c>
      <c r="B496" s="8" t="str">
        <f>HYPERLINK("https://twitter.com/rippedwarrior","@rippedwarrior")</f>
        <v>@rippedwarrior</v>
      </c>
      <c r="C496" s="10" t="s">
        <v>7202</v>
      </c>
      <c r="D496" s="10" t="s">
        <v>6759</v>
      </c>
      <c r="E496" s="11" t="str">
        <f>HYPERLINK("https://twitter.com/rippedwarrior/status/701749374607556608","701749374607556608")</f>
        <v>701749374607556608</v>
      </c>
      <c r="F496" s="12" t="s">
        <v>52</v>
      </c>
      <c r="G496" s="13">
        <v>56.0</v>
      </c>
      <c r="H496" s="13">
        <v>62.0</v>
      </c>
      <c r="I496" s="13">
        <v>4.0</v>
      </c>
      <c r="J496" s="13">
        <v>0.0</v>
      </c>
      <c r="K496" s="12" t="s">
        <v>21</v>
      </c>
      <c r="L496" s="7">
        <v>40891.80328703704</v>
      </c>
      <c r="M496" s="14" t="s">
        <v>1134</v>
      </c>
      <c r="N496" s="14" t="s">
        <v>7203</v>
      </c>
      <c r="O496" s="11" t="str">
        <f>HYPERLINK("https://pbs.twimg.com/profile_images/554069426538958848/IO9GBjBE_normal.jpeg","View")</f>
        <v>View</v>
      </c>
      <c r="P496" s="15"/>
    </row>
    <row r="497">
      <c r="A497" s="7">
        <v>42422.197499999995</v>
      </c>
      <c r="B497" s="8" t="str">
        <f>HYPERLINK("https://twitter.com/mambrujo","@mambrujo")</f>
        <v>@mambrujo</v>
      </c>
      <c r="C497" s="10" t="s">
        <v>7204</v>
      </c>
      <c r="D497" s="10" t="s">
        <v>7151</v>
      </c>
      <c r="E497" s="11" t="str">
        <f>HYPERLINK("https://twitter.com/mambrujo/status/701749378227130369","701749378227130369")</f>
        <v>701749378227130369</v>
      </c>
      <c r="F497" s="12" t="s">
        <v>152</v>
      </c>
      <c r="G497" s="13">
        <v>432.0</v>
      </c>
      <c r="H497" s="13">
        <v>290.0</v>
      </c>
      <c r="I497" s="13">
        <v>11.0</v>
      </c>
      <c r="J497" s="13">
        <v>0.0</v>
      </c>
      <c r="K497" s="12" t="s">
        <v>21</v>
      </c>
      <c r="L497" s="7">
        <v>39928.25429398148</v>
      </c>
      <c r="M497" s="14" t="s">
        <v>7205</v>
      </c>
      <c r="N497" s="14" t="s">
        <v>7206</v>
      </c>
      <c r="O497" s="11" t="str">
        <f>HYPERLINK("https://pbs.twimg.com/profile_images/378800000036916427/4ff0dae5d9baced4aa4e172b6cc6c747_normal.jpeg","View")</f>
        <v>View</v>
      </c>
      <c r="P497" s="15"/>
    </row>
    <row r="498">
      <c r="A498" s="7">
        <v>42422.19751157408</v>
      </c>
      <c r="B498" s="8" t="str">
        <f>HYPERLINK("https://twitter.com/MaxKSchloemer","@MaxKSchloemer")</f>
        <v>@MaxKSchloemer</v>
      </c>
      <c r="C498" s="10" t="s">
        <v>7207</v>
      </c>
      <c r="D498" s="10" t="s">
        <v>7208</v>
      </c>
      <c r="E498" s="11" t="str">
        <f>HYPERLINK("https://twitter.com/MaxKSchloemer/status/701749385290362880","701749385290362880")</f>
        <v>701749385290362880</v>
      </c>
      <c r="F498" s="12" t="s">
        <v>52</v>
      </c>
      <c r="G498" s="13">
        <v>100.0</v>
      </c>
      <c r="H498" s="13">
        <v>324.0</v>
      </c>
      <c r="I498" s="13">
        <v>9.0</v>
      </c>
      <c r="J498" s="13">
        <v>0.0</v>
      </c>
      <c r="K498" s="12" t="s">
        <v>21</v>
      </c>
      <c r="L498" s="7">
        <v>41725.71423611111</v>
      </c>
      <c r="M498" s="14" t="s">
        <v>3175</v>
      </c>
      <c r="N498" s="14" t="s">
        <v>7209</v>
      </c>
      <c r="O498" s="11" t="str">
        <f>HYPERLINK("https://pbs.twimg.com/profile_images/451874857379053568/5WF9PNNr_normal.jpeg","View")</f>
        <v>View</v>
      </c>
      <c r="P498" s="15"/>
    </row>
    <row r="499">
      <c r="A499" s="7">
        <v>42422.19804398148</v>
      </c>
      <c r="B499" s="8" t="str">
        <f>HYPERLINK("https://twitter.com/cloudtoad","@cloudtoad")</f>
        <v>@cloudtoad</v>
      </c>
      <c r="C499" s="10" t="s">
        <v>7210</v>
      </c>
      <c r="D499" s="10" t="s">
        <v>7211</v>
      </c>
      <c r="E499" s="11" t="str">
        <f>HYPERLINK("https://twitter.com/cloudtoad/status/701749574998687744","701749574998687744")</f>
        <v>701749574998687744</v>
      </c>
      <c r="F499" s="12" t="s">
        <v>152</v>
      </c>
      <c r="G499" s="13">
        <v>2835.0</v>
      </c>
      <c r="H499" s="13">
        <v>86.0</v>
      </c>
      <c r="I499" s="13">
        <v>1.0</v>
      </c>
      <c r="J499" s="13">
        <v>0.0</v>
      </c>
      <c r="K499" s="12" t="s">
        <v>21</v>
      </c>
      <c r="L499" s="7">
        <v>39762.21655092593</v>
      </c>
      <c r="M499" s="16"/>
      <c r="N499" s="14" t="s">
        <v>7212</v>
      </c>
      <c r="O499" s="11" t="str">
        <f>HYPERLINK("https://pbs.twimg.com/profile_images/591372075182338048/JbeePn6j_normal.jpg","View")</f>
        <v>View</v>
      </c>
      <c r="P499" s="15"/>
    </row>
    <row r="500">
      <c r="A500" s="7">
        <v>42422.20082175926</v>
      </c>
      <c r="B500" s="8" t="str">
        <f>HYPERLINK("https://twitter.com/mgwhitfield","@mgwhitfield")</f>
        <v>@mgwhitfield</v>
      </c>
      <c r="C500" s="10" t="s">
        <v>7213</v>
      </c>
      <c r="D500" s="10" t="s">
        <v>7116</v>
      </c>
      <c r="E500" s="11" t="str">
        <f>HYPERLINK("https://twitter.com/mgwhitfield/status/701750584853057536","701750584853057536")</f>
        <v>701750584853057536</v>
      </c>
      <c r="F500" s="12" t="s">
        <v>446</v>
      </c>
      <c r="G500" s="13">
        <v>639.0</v>
      </c>
      <c r="H500" s="13">
        <v>585.0</v>
      </c>
      <c r="I500" s="13">
        <v>16.0</v>
      </c>
      <c r="J500" s="13">
        <v>0.0</v>
      </c>
      <c r="K500" s="12" t="s">
        <v>21</v>
      </c>
      <c r="L500" s="7">
        <v>40150.08924768519</v>
      </c>
      <c r="M500" s="14" t="s">
        <v>7214</v>
      </c>
      <c r="N500" s="14" t="s">
        <v>7215</v>
      </c>
      <c r="O500" s="11" t="str">
        <f>HYPERLINK("https://pbs.twimg.com/profile_images/583286350151098368/5H4-zEen_normal.jpg","View")</f>
        <v>View</v>
      </c>
      <c r="P500" s="15"/>
    </row>
    <row r="501">
      <c r="A501" s="7">
        <v>42422.2034837963</v>
      </c>
      <c r="B501" s="8" t="str">
        <f>HYPERLINK("https://twitter.com/R_Graph_Gallery","@R_Graph_Gallery")</f>
        <v>@R_Graph_Gallery</v>
      </c>
      <c r="C501" s="10" t="s">
        <v>7216</v>
      </c>
      <c r="D501" s="10" t="s">
        <v>7217</v>
      </c>
      <c r="E501" s="11" t="str">
        <f>HYPERLINK("https://twitter.com/R_Graph_Gallery/status/701751547076730880","701751547076730880")</f>
        <v>701751547076730880</v>
      </c>
      <c r="F501" s="12" t="s">
        <v>20</v>
      </c>
      <c r="G501" s="13">
        <v>21.0</v>
      </c>
      <c r="H501" s="13">
        <v>0.0</v>
      </c>
      <c r="I501" s="13">
        <v>5.0</v>
      </c>
      <c r="J501" s="13">
        <v>8.0</v>
      </c>
      <c r="K501" s="12" t="s">
        <v>21</v>
      </c>
      <c r="L501" s="7">
        <v>42421.52130787037</v>
      </c>
      <c r="M501" s="14" t="s">
        <v>7218</v>
      </c>
      <c r="N501" s="16"/>
      <c r="O501" s="11" t="str">
        <f>HYPERLINK("https://pbs.twimg.com/profile_images/701732569944092672/lj__tCoY_normal.jpg","View")</f>
        <v>View</v>
      </c>
      <c r="P501" s="15"/>
    </row>
    <row r="502">
      <c r="A502" s="7">
        <v>42422.20400462963</v>
      </c>
      <c r="B502" s="8" t="str">
        <f>HYPERLINK("https://twitter.com/wrgarciag","@wrgarciag")</f>
        <v>@wrgarciag</v>
      </c>
      <c r="C502" s="10" t="s">
        <v>6411</v>
      </c>
      <c r="D502" s="10" t="s">
        <v>6918</v>
      </c>
      <c r="E502" s="11" t="str">
        <f>HYPERLINK("https://twitter.com/wrgarciag/status/701751738018222084","701751738018222084")</f>
        <v>701751738018222084</v>
      </c>
      <c r="F502" s="12" t="s">
        <v>152</v>
      </c>
      <c r="G502" s="13">
        <v>48.0</v>
      </c>
      <c r="H502" s="13">
        <v>248.0</v>
      </c>
      <c r="I502" s="13">
        <v>32.0</v>
      </c>
      <c r="J502" s="13">
        <v>0.0</v>
      </c>
      <c r="K502" s="12" t="s">
        <v>21</v>
      </c>
      <c r="L502" s="7">
        <v>41367.64738425926</v>
      </c>
      <c r="M502" s="14" t="s">
        <v>1183</v>
      </c>
      <c r="N502" s="14" t="s">
        <v>6412</v>
      </c>
      <c r="O502" s="11" t="str">
        <f>HYPERLINK("https://pbs.twimg.com/profile_images/548931380541792256/RN_Lg1sS_normal.jpeg","View")</f>
        <v>View</v>
      </c>
      <c r="P502" s="15"/>
    </row>
    <row r="503">
      <c r="A503" s="7">
        <v>42422.20479166666</v>
      </c>
      <c r="B503" s="8" t="str">
        <f>HYPERLINK("https://twitter.com/davidmeza1","@davidmeza1")</f>
        <v>@davidmeza1</v>
      </c>
      <c r="C503" s="10" t="s">
        <v>7219</v>
      </c>
      <c r="D503" s="10" t="s">
        <v>6997</v>
      </c>
      <c r="E503" s="11" t="str">
        <f>HYPERLINK("https://twitter.com/davidmeza1/status/701752021292969984","701752021292969984")</f>
        <v>701752021292969984</v>
      </c>
      <c r="F503" s="12" t="s">
        <v>1573</v>
      </c>
      <c r="G503" s="13">
        <v>69.0</v>
      </c>
      <c r="H503" s="13">
        <v>55.0</v>
      </c>
      <c r="I503" s="13">
        <v>18.0</v>
      </c>
      <c r="J503" s="13">
        <v>0.0</v>
      </c>
      <c r="K503" s="12" t="s">
        <v>21</v>
      </c>
      <c r="L503" s="7">
        <v>39895.805625</v>
      </c>
      <c r="M503" s="14" t="s">
        <v>4302</v>
      </c>
      <c r="N503" s="14" t="s">
        <v>7220</v>
      </c>
      <c r="O503" s="11" t="str">
        <f>HYPERLINK("https://pbs.twimg.com/profile_images/3760071618/d215633771a2732f1c5df22f9ecfa54e_normal.jpeg","View")</f>
        <v>View</v>
      </c>
      <c r="P503" s="15"/>
    </row>
    <row r="504">
      <c r="A504" s="7">
        <v>42422.20481481482</v>
      </c>
      <c r="B504" s="8" t="str">
        <f>HYPERLINK("https://twitter.com/iedrulu","@iedrulu")</f>
        <v>@iedrulu</v>
      </c>
      <c r="C504" s="10" t="s">
        <v>7221</v>
      </c>
      <c r="D504" s="10" t="s">
        <v>7116</v>
      </c>
      <c r="E504" s="11" t="str">
        <f>HYPERLINK("https://twitter.com/iedrulu/status/701752030411489280","701752030411489280")</f>
        <v>701752030411489280</v>
      </c>
      <c r="F504" s="12" t="s">
        <v>52</v>
      </c>
      <c r="G504" s="13">
        <v>232.0</v>
      </c>
      <c r="H504" s="13">
        <v>545.0</v>
      </c>
      <c r="I504" s="13">
        <v>16.0</v>
      </c>
      <c r="J504" s="13">
        <v>0.0</v>
      </c>
      <c r="K504" s="12" t="s">
        <v>21</v>
      </c>
      <c r="L504" s="7">
        <v>40420.093356481484</v>
      </c>
      <c r="M504" s="14" t="s">
        <v>7222</v>
      </c>
      <c r="N504" s="14" t="s">
        <v>7223</v>
      </c>
      <c r="O504" s="11" t="str">
        <f>HYPERLINK("https://pbs.twimg.com/profile_images/693001348909010945/xakkt-cn_normal.jpg","View")</f>
        <v>View</v>
      </c>
      <c r="P504" s="15"/>
    </row>
    <row r="505">
      <c r="A505" s="7">
        <v>42422.20895833333</v>
      </c>
      <c r="B505" s="8" t="str">
        <f>HYPERLINK("https://twitter.com/HaithamHS","@HaithamHS")</f>
        <v>@HaithamHS</v>
      </c>
      <c r="C505" s="10" t="s">
        <v>7224</v>
      </c>
      <c r="D505" s="10" t="s">
        <v>6262</v>
      </c>
      <c r="E505" s="11" t="str">
        <f>HYPERLINK("https://twitter.com/HaithamHS/status/701753531020271617","701753531020271617")</f>
        <v>701753531020271617</v>
      </c>
      <c r="F505" s="12" t="s">
        <v>152</v>
      </c>
      <c r="G505" s="13">
        <v>239.0</v>
      </c>
      <c r="H505" s="13">
        <v>549.0</v>
      </c>
      <c r="I505" s="13">
        <v>32.0</v>
      </c>
      <c r="J505" s="13">
        <v>0.0</v>
      </c>
      <c r="K505" s="12" t="s">
        <v>21</v>
      </c>
      <c r="L505" s="7">
        <v>40701.178136574075</v>
      </c>
      <c r="M505" s="16"/>
      <c r="N505" s="14" t="s">
        <v>7225</v>
      </c>
      <c r="O505" s="11" t="str">
        <f>HYPERLINK("https://pbs.twimg.com/profile_images/1797381334/Untitled232_normal.png","View")</f>
        <v>View</v>
      </c>
      <c r="P505" s="15"/>
    </row>
    <row r="506">
      <c r="A506" s="7">
        <v>42422.20952546297</v>
      </c>
      <c r="B506" s="8" t="str">
        <f>HYPERLINK("https://twitter.com/AubreyKCMaseko","@AubreyKCMaseko")</f>
        <v>@AubreyKCMaseko</v>
      </c>
      <c r="C506" s="10" t="s">
        <v>7226</v>
      </c>
      <c r="D506" s="10" t="s">
        <v>6942</v>
      </c>
      <c r="E506" s="11" t="str">
        <f>HYPERLINK("https://twitter.com/AubreyKCMaseko/status/701753735773601792","701753735773601792")</f>
        <v>701753735773601792</v>
      </c>
      <c r="F506" s="12" t="s">
        <v>52</v>
      </c>
      <c r="G506" s="13">
        <v>717.0</v>
      </c>
      <c r="H506" s="13">
        <v>672.0</v>
      </c>
      <c r="I506" s="13">
        <v>17.0</v>
      </c>
      <c r="J506" s="13">
        <v>0.0</v>
      </c>
      <c r="K506" s="12" t="s">
        <v>21</v>
      </c>
      <c r="L506" s="7">
        <v>40484.70496527778</v>
      </c>
      <c r="M506" s="14" t="s">
        <v>7227</v>
      </c>
      <c r="N506" s="14" t="s">
        <v>7228</v>
      </c>
      <c r="O506" s="11" t="str">
        <f>HYPERLINK("https://pbs.twimg.com/profile_images/2619565448/image_normal.jpg","View")</f>
        <v>View</v>
      </c>
      <c r="P506" s="15"/>
    </row>
    <row r="507">
      <c r="A507" s="7">
        <v>42422.21302083333</v>
      </c>
      <c r="B507" s="8" t="str">
        <f>HYPERLINK("https://twitter.com/BillPetti","@BillPetti")</f>
        <v>@BillPetti</v>
      </c>
      <c r="C507" s="10" t="s">
        <v>7229</v>
      </c>
      <c r="D507" s="10" t="s">
        <v>7230</v>
      </c>
      <c r="E507" s="11" t="str">
        <f>HYPERLINK("https://twitter.com/BillPetti/status/701755002759598080","701755002759598080")</f>
        <v>701755002759598080</v>
      </c>
      <c r="F507" s="12" t="s">
        <v>20</v>
      </c>
      <c r="G507" s="13">
        <v>2350.0</v>
      </c>
      <c r="H507" s="13">
        <v>978.0</v>
      </c>
      <c r="I507" s="13">
        <v>0.0</v>
      </c>
      <c r="J507" s="13">
        <v>4.0</v>
      </c>
      <c r="K507" s="12" t="s">
        <v>21</v>
      </c>
      <c r="L507" s="7">
        <v>39909.537997685184</v>
      </c>
      <c r="M507" s="14" t="s">
        <v>7231</v>
      </c>
      <c r="N507" s="14" t="s">
        <v>7232</v>
      </c>
      <c r="O507" s="11" t="str">
        <f>HYPERLINK("https://pbs.twimg.com/profile_images/378800000666016370/4659ea1cf77b789e488e4c6888419315_normal.png","View")</f>
        <v>View</v>
      </c>
      <c r="P507" s="15"/>
    </row>
    <row r="508">
      <c r="A508" s="7">
        <v>42422.2133912037</v>
      </c>
      <c r="B508" s="8" t="str">
        <f>HYPERLINK("https://twitter.com/rlnel","@rlnel")</f>
        <v>@rlnel</v>
      </c>
      <c r="C508" s="10" t="s">
        <v>7233</v>
      </c>
      <c r="D508" s="10" t="s">
        <v>7208</v>
      </c>
      <c r="E508" s="11" t="str">
        <f>HYPERLINK("https://twitter.com/rlnel/status/701755137568563200","701755137568563200")</f>
        <v>701755137568563200</v>
      </c>
      <c r="F508" s="12" t="s">
        <v>7234</v>
      </c>
      <c r="G508" s="13">
        <v>373.0</v>
      </c>
      <c r="H508" s="13">
        <v>211.0</v>
      </c>
      <c r="I508" s="13">
        <v>9.0</v>
      </c>
      <c r="J508" s="13">
        <v>0.0</v>
      </c>
      <c r="K508" s="12" t="s">
        <v>21</v>
      </c>
      <c r="L508" s="7">
        <v>40603.177939814814</v>
      </c>
      <c r="M508" s="14" t="s">
        <v>7235</v>
      </c>
      <c r="N508" s="14" t="s">
        <v>7236</v>
      </c>
      <c r="O508" s="11" t="str">
        <f>HYPERLINK("https://pbs.twimg.com/profile_images/632860258545848320/m-EFeAuX_normal.jpg","View")</f>
        <v>View</v>
      </c>
      <c r="P508" s="15"/>
    </row>
    <row r="509">
      <c r="A509" s="7">
        <v>42422.21587962963</v>
      </c>
      <c r="B509" s="8" t="str">
        <f>HYPERLINK("https://twitter.com/odsc","@odsc")</f>
        <v>@odsc</v>
      </c>
      <c r="C509" s="10" t="s">
        <v>3212</v>
      </c>
      <c r="D509" s="10" t="s">
        <v>7237</v>
      </c>
      <c r="E509" s="11" t="str">
        <f>HYPERLINK("https://twitter.com/odsc/status/701756038383534080","701756038383534080")</f>
        <v>701756038383534080</v>
      </c>
      <c r="F509" s="12" t="s">
        <v>659</v>
      </c>
      <c r="G509" s="13">
        <v>13823.0</v>
      </c>
      <c r="H509" s="13">
        <v>6657.0</v>
      </c>
      <c r="I509" s="13">
        <v>6.0</v>
      </c>
      <c r="J509" s="13">
        <v>9.0</v>
      </c>
      <c r="K509" s="12" t="s">
        <v>21</v>
      </c>
      <c r="L509" s="7">
        <v>42039.6077662037</v>
      </c>
      <c r="M509" s="14" t="s">
        <v>3214</v>
      </c>
      <c r="N509" s="14" t="s">
        <v>3215</v>
      </c>
      <c r="O509" s="11" t="str">
        <f>HYPERLINK("https://pbs.twimg.com/profile_images/623923923441348612/HxO7gaZZ_normal.png","View")</f>
        <v>View</v>
      </c>
      <c r="P509" s="15"/>
    </row>
    <row r="510">
      <c r="A510" s="7">
        <v>42422.21947916667</v>
      </c>
      <c r="B510" s="8" t="str">
        <f>HYPERLINK("https://twitter.com/DataMinerX","@DataMinerX")</f>
        <v>@DataMinerX</v>
      </c>
      <c r="C510" s="10" t="s">
        <v>7238</v>
      </c>
      <c r="D510" s="10" t="s">
        <v>7239</v>
      </c>
      <c r="E510" s="11" t="str">
        <f>HYPERLINK("https://twitter.com/DataMinerX/status/701757343545950209","701757343545950209")</f>
        <v>701757343545950209</v>
      </c>
      <c r="F510" s="12" t="s">
        <v>152</v>
      </c>
      <c r="G510" s="13">
        <v>33.0</v>
      </c>
      <c r="H510" s="13">
        <v>39.0</v>
      </c>
      <c r="I510" s="13">
        <v>0.0</v>
      </c>
      <c r="J510" s="13">
        <v>1.0</v>
      </c>
      <c r="K510" s="12" t="s">
        <v>21</v>
      </c>
      <c r="L510" s="7">
        <v>42036.756886574076</v>
      </c>
      <c r="M510" s="14" t="s">
        <v>7240</v>
      </c>
      <c r="N510" s="14" t="s">
        <v>7241</v>
      </c>
      <c r="O510" s="11" t="str">
        <f>HYPERLINK("https://pbs.twimg.com/profile_images/678987422475018240/zOKqetJt_normal.jpg","View")</f>
        <v>View</v>
      </c>
      <c r="P510" s="15"/>
    </row>
    <row r="511">
      <c r="A511" s="7">
        <v>42422.2283449074</v>
      </c>
      <c r="B511" s="8" t="str">
        <f>HYPERLINK("https://twitter.com/datacarpentry","@datacarpentry")</f>
        <v>@datacarpentry</v>
      </c>
      <c r="C511" s="10" t="s">
        <v>7242</v>
      </c>
      <c r="D511" s="10" t="s">
        <v>7057</v>
      </c>
      <c r="E511" s="11" t="str">
        <f>HYPERLINK("https://twitter.com/datacarpentry/status/701760558039601152","701760558039601152")</f>
        <v>701760558039601152</v>
      </c>
      <c r="F511" s="12" t="s">
        <v>52</v>
      </c>
      <c r="G511" s="13">
        <v>2310.0</v>
      </c>
      <c r="H511" s="13">
        <v>20.0</v>
      </c>
      <c r="I511" s="13">
        <v>3.0</v>
      </c>
      <c r="J511" s="13">
        <v>0.0</v>
      </c>
      <c r="K511" s="12" t="s">
        <v>21</v>
      </c>
      <c r="L511" s="7">
        <v>41772.512141203704</v>
      </c>
      <c r="M511" s="16"/>
      <c r="N511" s="14" t="s">
        <v>7243</v>
      </c>
      <c r="O511" s="11" t="str">
        <f>HYPERLINK("https://pbs.twimg.com/profile_images/511900964924559360/35j4V6VI_normal.png","View")</f>
        <v>View</v>
      </c>
      <c r="P511" s="15"/>
    </row>
    <row r="512">
      <c r="A512" s="7">
        <v>42422.230891203704</v>
      </c>
      <c r="B512" s="8" t="str">
        <f>HYPERLINK("https://twitter.com/DataEducationDC","@DataEducationDC")</f>
        <v>@DataEducationDC</v>
      </c>
      <c r="C512" s="10" t="s">
        <v>7244</v>
      </c>
      <c r="D512" s="10" t="s">
        <v>7119</v>
      </c>
      <c r="E512" s="11" t="str">
        <f>HYPERLINK("https://twitter.com/DataEducationDC/status/701761478714462208","701761478714462208")</f>
        <v>701761478714462208</v>
      </c>
      <c r="F512" s="12" t="s">
        <v>52</v>
      </c>
      <c r="G512" s="13">
        <v>44.0</v>
      </c>
      <c r="H512" s="13">
        <v>46.0</v>
      </c>
      <c r="I512" s="13">
        <v>6.0</v>
      </c>
      <c r="J512" s="13">
        <v>0.0</v>
      </c>
      <c r="K512" s="12" t="s">
        <v>21</v>
      </c>
      <c r="L512" s="7">
        <v>42073.50607638889</v>
      </c>
      <c r="M512" s="14" t="s">
        <v>784</v>
      </c>
      <c r="N512" s="14" t="s">
        <v>7245</v>
      </c>
      <c r="O512" s="11" t="str">
        <f>HYPERLINK("https://pbs.twimg.com/profile_images/575374629717475328/e5xyoIsT_normal.png","View")</f>
        <v>View</v>
      </c>
      <c r="P512" s="15"/>
    </row>
    <row r="513">
      <c r="A513" s="7">
        <v>42422.23127314815</v>
      </c>
      <c r="B513" s="8" t="str">
        <f>HYPERLINK("https://twitter.com/dogvile","@dogvile")</f>
        <v>@dogvile</v>
      </c>
      <c r="C513" s="10" t="s">
        <v>7246</v>
      </c>
      <c r="D513" s="10" t="s">
        <v>7247</v>
      </c>
      <c r="E513" s="11" t="str">
        <f>HYPERLINK("https://twitter.com/dogvile/status/701761617248313344","701761617248313344")</f>
        <v>701761617248313344</v>
      </c>
      <c r="F513" s="12" t="s">
        <v>20</v>
      </c>
      <c r="G513" s="13">
        <v>2313.0</v>
      </c>
      <c r="H513" s="13">
        <v>4998.0</v>
      </c>
      <c r="I513" s="13">
        <v>2.0</v>
      </c>
      <c r="J513" s="13">
        <v>0.0</v>
      </c>
      <c r="K513" s="12" t="s">
        <v>21</v>
      </c>
      <c r="L513" s="7">
        <v>39809.12537037037</v>
      </c>
      <c r="M513" s="14" t="s">
        <v>2224</v>
      </c>
      <c r="N513" s="14" t="s">
        <v>7248</v>
      </c>
      <c r="O513" s="11" t="str">
        <f>HYPERLINK("https://pbs.twimg.com/profile_images/461862990262710272/VqV2sKZR_normal.jpeg","View")</f>
        <v>View</v>
      </c>
      <c r="P513" s="15"/>
    </row>
    <row r="514">
      <c r="A514" s="7">
        <v>42422.234201388885</v>
      </c>
      <c r="B514" s="8" t="str">
        <f>HYPERLINK("https://twitter.com/PedrorubioCh","@PedrorubioCh")</f>
        <v>@PedrorubioCh</v>
      </c>
      <c r="C514" s="10" t="s">
        <v>7249</v>
      </c>
      <c r="D514" s="10" t="s">
        <v>7250</v>
      </c>
      <c r="E514" s="11" t="str">
        <f>HYPERLINK("https://twitter.com/PedrorubioCh/status/701762680609234946","701762680609234946")</f>
        <v>701762680609234946</v>
      </c>
      <c r="F514" s="12" t="s">
        <v>20</v>
      </c>
      <c r="G514" s="13">
        <v>676.0</v>
      </c>
      <c r="H514" s="13">
        <v>745.0</v>
      </c>
      <c r="I514" s="13">
        <v>3.0</v>
      </c>
      <c r="J514" s="13">
        <v>0.0</v>
      </c>
      <c r="K514" s="12" t="s">
        <v>21</v>
      </c>
      <c r="L514" s="7">
        <v>41298.29210648148</v>
      </c>
      <c r="M514" s="14" t="s">
        <v>5507</v>
      </c>
      <c r="N514" s="14" t="s">
        <v>7251</v>
      </c>
      <c r="O514" s="11" t="str">
        <f>HYPERLINK("https://pbs.twimg.com/profile_images/378800000077176852/3bf612fea6beb203a81dee0b85679ffb_normal.jpeg","View")</f>
        <v>View</v>
      </c>
      <c r="P514" s="15"/>
    </row>
    <row r="515">
      <c r="A515" s="7">
        <v>42422.241643518515</v>
      </c>
      <c r="B515" s="8" t="str">
        <f>HYPERLINK("https://twitter.com/vbd","@vbd")</f>
        <v>@vbd</v>
      </c>
      <c r="C515" s="10" t="s">
        <v>7252</v>
      </c>
      <c r="D515" s="10" t="s">
        <v>7253</v>
      </c>
      <c r="E515" s="11" t="str">
        <f>HYPERLINK("https://twitter.com/vbd/status/701765374388396032","701765374388396032")</f>
        <v>701765374388396032</v>
      </c>
      <c r="F515" s="12" t="s">
        <v>446</v>
      </c>
      <c r="G515" s="13">
        <v>74.0</v>
      </c>
      <c r="H515" s="13">
        <v>126.0</v>
      </c>
      <c r="I515" s="13">
        <v>0.0</v>
      </c>
      <c r="J515" s="13">
        <v>2.0</v>
      </c>
      <c r="K515" s="12" t="s">
        <v>21</v>
      </c>
      <c r="L515" s="7">
        <v>39615.08459490741</v>
      </c>
      <c r="M515" s="14" t="s">
        <v>7254</v>
      </c>
      <c r="N515" s="14" t="s">
        <v>7255</v>
      </c>
      <c r="O515" s="11" t="str">
        <f>HYPERLINK("https://pbs.twimg.com/profile_images/1983753843/avatar_normal.png","View")</f>
        <v>View</v>
      </c>
      <c r="P515" s="15"/>
    </row>
    <row r="516">
      <c r="A516" s="7">
        <v>42422.24251157408</v>
      </c>
      <c r="B516" s="8" t="str">
        <f>HYPERLINK("https://twitter.com/Pvalsfr","@Pvalsfr")</f>
        <v>@Pvalsfr</v>
      </c>
      <c r="C516" s="10" t="s">
        <v>771</v>
      </c>
      <c r="D516" s="10" t="s">
        <v>7256</v>
      </c>
      <c r="E516" s="11" t="str">
        <f>HYPERLINK("https://twitter.com/Pvalsfr/status/701765692178219009","701765692178219009")</f>
        <v>701765692178219009</v>
      </c>
      <c r="F516" s="12" t="s">
        <v>152</v>
      </c>
      <c r="G516" s="13">
        <v>1044.0</v>
      </c>
      <c r="H516" s="13">
        <v>1081.0</v>
      </c>
      <c r="I516" s="13">
        <v>6.0</v>
      </c>
      <c r="J516" s="13">
        <v>0.0</v>
      </c>
      <c r="K516" s="12" t="s">
        <v>21</v>
      </c>
      <c r="L516" s="7">
        <v>40867.68900462963</v>
      </c>
      <c r="M516" s="16"/>
      <c r="N516" s="16"/>
      <c r="O516" s="11" t="str">
        <f>HYPERLINK("https://abs.twimg.com/sticky/default_profile_images/default_profile_4_normal.png","View")</f>
        <v>View</v>
      </c>
      <c r="P516" s="15"/>
    </row>
    <row r="517">
      <c r="A517" s="7">
        <v>42422.24341435185</v>
      </c>
      <c r="B517" s="8" t="str">
        <f>HYPERLINK("https://twitter.com/bigboardsio","@bigboardsio")</f>
        <v>@bigboardsio</v>
      </c>
      <c r="C517" s="10" t="s">
        <v>5651</v>
      </c>
      <c r="D517" s="10" t="s">
        <v>7256</v>
      </c>
      <c r="E517" s="11" t="str">
        <f>HYPERLINK("https://twitter.com/bigboardsio/status/701766017182257152","701766017182257152")</f>
        <v>701766017182257152</v>
      </c>
      <c r="F517" s="12" t="s">
        <v>38</v>
      </c>
      <c r="G517" s="13">
        <v>3089.0</v>
      </c>
      <c r="H517" s="13">
        <v>2635.0</v>
      </c>
      <c r="I517" s="13">
        <v>6.0</v>
      </c>
      <c r="J517" s="13">
        <v>0.0</v>
      </c>
      <c r="K517" s="12" t="s">
        <v>21</v>
      </c>
      <c r="L517" s="7">
        <v>41449.67438657407</v>
      </c>
      <c r="M517" s="14" t="s">
        <v>5652</v>
      </c>
      <c r="N517" s="14" t="s">
        <v>5653</v>
      </c>
      <c r="O517" s="11" t="str">
        <f>HYPERLINK("https://pbs.twimg.com/profile_images/489375332743409664/P4sYDY1__normal.png","View")</f>
        <v>View</v>
      </c>
      <c r="P517" s="15"/>
    </row>
    <row r="518">
      <c r="A518" s="7">
        <v>42422.24408564815</v>
      </c>
      <c r="B518" s="8" t="str">
        <f>HYPERLINK("https://twitter.com/vexedmuddler","@vexedmuddler")</f>
        <v>@vexedmuddler</v>
      </c>
      <c r="C518" s="10" t="s">
        <v>7197</v>
      </c>
      <c r="D518" s="10" t="s">
        <v>7257</v>
      </c>
      <c r="E518" s="11" t="str">
        <f>HYPERLINK("https://twitter.com/vexedmuddler/status/701766262192533505","701766262192533505")</f>
        <v>701766262192533505</v>
      </c>
      <c r="F518" s="12" t="s">
        <v>52</v>
      </c>
      <c r="G518" s="13">
        <v>1327.0</v>
      </c>
      <c r="H518" s="13">
        <v>626.0</v>
      </c>
      <c r="I518" s="13">
        <v>2.0</v>
      </c>
      <c r="J518" s="13">
        <v>5.0</v>
      </c>
      <c r="K518" s="12" t="s">
        <v>21</v>
      </c>
      <c r="L518" s="7">
        <v>39871.60837962963</v>
      </c>
      <c r="M518" s="14" t="s">
        <v>6753</v>
      </c>
      <c r="N518" s="14" t="s">
        <v>7198</v>
      </c>
      <c r="O518" s="11" t="str">
        <f>HYPERLINK("https://pbs.twimg.com/profile_images/577980387084742656/1d0pWjPy_normal.png","View")</f>
        <v>View</v>
      </c>
      <c r="P518" s="15"/>
    </row>
    <row r="519">
      <c r="A519" s="7">
        <v>42422.245370370365</v>
      </c>
      <c r="B519" s="8" t="str">
        <f>HYPERLINK("https://twitter.com/Pvalsfr","@Pvalsfr")</f>
        <v>@Pvalsfr</v>
      </c>
      <c r="C519" s="10" t="s">
        <v>771</v>
      </c>
      <c r="D519" s="10" t="s">
        <v>7119</v>
      </c>
      <c r="E519" s="11" t="str">
        <f>HYPERLINK("https://twitter.com/Pvalsfr/status/701766726699118592","701766726699118592")</f>
        <v>701766726699118592</v>
      </c>
      <c r="F519" s="12" t="s">
        <v>152</v>
      </c>
      <c r="G519" s="13">
        <v>1044.0</v>
      </c>
      <c r="H519" s="13">
        <v>1081.0</v>
      </c>
      <c r="I519" s="13">
        <v>6.0</v>
      </c>
      <c r="J519" s="13">
        <v>0.0</v>
      </c>
      <c r="K519" s="12" t="s">
        <v>21</v>
      </c>
      <c r="L519" s="7">
        <v>40867.68900462963</v>
      </c>
      <c r="M519" s="16"/>
      <c r="N519" s="16"/>
      <c r="O519" s="11" t="str">
        <f>HYPERLINK("https://abs.twimg.com/sticky/default_profile_images/default_profile_4_normal.png","View")</f>
        <v>View</v>
      </c>
      <c r="P519" s="15"/>
    </row>
    <row r="520">
      <c r="A520" s="7">
        <v>42422.245474537034</v>
      </c>
      <c r="B520" s="8" t="str">
        <f>HYPERLINK("https://twitter.com/Cataranea","@Cataranea")</f>
        <v>@Cataranea</v>
      </c>
      <c r="C520" s="10" t="s">
        <v>7258</v>
      </c>
      <c r="D520" s="10" t="s">
        <v>7259</v>
      </c>
      <c r="E520" s="11" t="str">
        <f>HYPERLINK("https://twitter.com/Cataranea/status/701766765399949313","701766765399949313")</f>
        <v>701766765399949313</v>
      </c>
      <c r="F520" s="12" t="s">
        <v>20</v>
      </c>
      <c r="G520" s="13">
        <v>2561.0</v>
      </c>
      <c r="H520" s="13">
        <v>752.0</v>
      </c>
      <c r="I520" s="13">
        <v>2.0</v>
      </c>
      <c r="J520" s="13">
        <v>0.0</v>
      </c>
      <c r="K520" s="12" t="s">
        <v>21</v>
      </c>
      <c r="L520" s="7">
        <v>41367.82241898148</v>
      </c>
      <c r="M520" s="14" t="s">
        <v>5139</v>
      </c>
      <c r="N520" s="14" t="s">
        <v>7260</v>
      </c>
      <c r="O520" s="11" t="str">
        <f>HYPERLINK("https://pbs.twimg.com/profile_images/701396411796033536/gge6-6QG_normal.jpg","View")</f>
        <v>View</v>
      </c>
      <c r="P520" s="15"/>
    </row>
    <row r="521">
      <c r="A521" s="7">
        <v>42422.246724537035</v>
      </c>
      <c r="B521" s="8" t="str">
        <f t="shared" ref="B521:B522" si="75">HYPERLINK("https://twitter.com/Rbloggers","@Rbloggers")</f>
        <v>@Rbloggers</v>
      </c>
      <c r="C521" s="10" t="s">
        <v>6221</v>
      </c>
      <c r="D521" s="10" t="s">
        <v>7261</v>
      </c>
      <c r="E521" s="11" t="str">
        <f>HYPERLINK("https://twitter.com/Rbloggers/status/701767215595454464","701767215595454464")</f>
        <v>701767215595454464</v>
      </c>
      <c r="F521" s="17" t="s">
        <v>6223</v>
      </c>
      <c r="G521" s="13">
        <v>28572.0</v>
      </c>
      <c r="H521" s="13">
        <v>36.0</v>
      </c>
      <c r="I521" s="13">
        <v>17.0</v>
      </c>
      <c r="J521" s="13">
        <v>28.0</v>
      </c>
      <c r="K521" s="12" t="s">
        <v>21</v>
      </c>
      <c r="L521" s="7">
        <v>40314.510601851856</v>
      </c>
      <c r="M521" s="16"/>
      <c r="N521" s="14" t="s">
        <v>6224</v>
      </c>
      <c r="O521" s="11" t="str">
        <f t="shared" ref="O521:O522" si="76">HYPERLINK("https://pbs.twimg.com/profile_images/502185985786916864/gkdFh-q7_normal.png","View")</f>
        <v>View</v>
      </c>
      <c r="P521" s="15"/>
    </row>
    <row r="522">
      <c r="A522" s="7">
        <v>42422.246828703705</v>
      </c>
      <c r="B522" s="8" t="str">
        <f t="shared" si="75"/>
        <v>@Rbloggers</v>
      </c>
      <c r="C522" s="10" t="s">
        <v>6221</v>
      </c>
      <c r="D522" s="10" t="s">
        <v>7262</v>
      </c>
      <c r="E522" s="11" t="str">
        <f>HYPERLINK("https://twitter.com/Rbloggers/status/701767257274212353","701767257274212353")</f>
        <v>701767257274212353</v>
      </c>
      <c r="F522" s="17" t="s">
        <v>6223</v>
      </c>
      <c r="G522" s="13">
        <v>28572.0</v>
      </c>
      <c r="H522" s="13">
        <v>36.0</v>
      </c>
      <c r="I522" s="13">
        <v>8.0</v>
      </c>
      <c r="J522" s="13">
        <v>7.0</v>
      </c>
      <c r="K522" s="12" t="s">
        <v>21</v>
      </c>
      <c r="L522" s="7">
        <v>40314.510601851856</v>
      </c>
      <c r="M522" s="16"/>
      <c r="N522" s="14" t="s">
        <v>6224</v>
      </c>
      <c r="O522" s="11" t="str">
        <f t="shared" si="76"/>
        <v>View</v>
      </c>
      <c r="P522" s="15"/>
    </row>
    <row r="523">
      <c r="A523" s="7">
        <v>42422.24685185185</v>
      </c>
      <c r="B523" s="8" t="str">
        <f>HYPERLINK("https://twitter.com/puneethmishra","@puneethmishra")</f>
        <v>@puneethmishra</v>
      </c>
      <c r="C523" s="10" t="s">
        <v>6408</v>
      </c>
      <c r="D523" s="10" t="s">
        <v>7263</v>
      </c>
      <c r="E523" s="11" t="str">
        <f>HYPERLINK("https://twitter.com/puneethmishra/status/701767263112658948","701767263112658948")</f>
        <v>701767263112658948</v>
      </c>
      <c r="F523" s="12" t="s">
        <v>20</v>
      </c>
      <c r="G523" s="13">
        <v>321.0</v>
      </c>
      <c r="H523" s="13">
        <v>1025.0</v>
      </c>
      <c r="I523" s="13">
        <v>17.0</v>
      </c>
      <c r="J523" s="13">
        <v>0.0</v>
      </c>
      <c r="K523" s="12" t="s">
        <v>21</v>
      </c>
      <c r="L523" s="7">
        <v>39851.15701388889</v>
      </c>
      <c r="M523" s="14" t="s">
        <v>6409</v>
      </c>
      <c r="N523" s="14" t="s">
        <v>6410</v>
      </c>
      <c r="O523" s="11" t="str">
        <f>HYPERLINK("https://pbs.twimg.com/profile_images/297245835/Picture_002_normal.jpg","View")</f>
        <v>View</v>
      </c>
      <c r="P523" s="15"/>
    </row>
    <row r="524">
      <c r="A524" s="7">
        <v>42422.248032407406</v>
      </c>
      <c r="B524" s="8" t="str">
        <f>HYPERLINK("https://twitter.com/nyonenyone","@nyonenyone")</f>
        <v>@nyonenyone</v>
      </c>
      <c r="C524" s="10" t="s">
        <v>7264</v>
      </c>
      <c r="D524" s="10" t="s">
        <v>7263</v>
      </c>
      <c r="E524" s="11" t="str">
        <f>HYPERLINK("https://twitter.com/nyonenyone/status/701767692189982722","701767692189982722")</f>
        <v>701767692189982722</v>
      </c>
      <c r="F524" s="12" t="s">
        <v>52</v>
      </c>
      <c r="G524" s="13">
        <v>618.0</v>
      </c>
      <c r="H524" s="13">
        <v>2405.0</v>
      </c>
      <c r="I524" s="13">
        <v>17.0</v>
      </c>
      <c r="J524" s="13">
        <v>0.0</v>
      </c>
      <c r="K524" s="12" t="s">
        <v>21</v>
      </c>
      <c r="L524" s="7">
        <v>39995.18337962963</v>
      </c>
      <c r="M524" s="14" t="s">
        <v>7265</v>
      </c>
      <c r="N524" s="14" t="s">
        <v>7266</v>
      </c>
      <c r="O524" s="11" t="str">
        <f>HYPERLINK("https://pbs.twimg.com/profile_images/1372030658/KSKandN_normal.JPG","View")</f>
        <v>View</v>
      </c>
      <c r="P524" s="15"/>
    </row>
    <row r="525">
      <c r="A525" s="7">
        <v>42422.249340277776</v>
      </c>
      <c r="B525" s="8" t="str">
        <f>HYPERLINK("https://twitter.com/rusertw95582000","@rusertw95582000")</f>
        <v>@rusertw95582000</v>
      </c>
      <c r="C525" s="10" t="s">
        <v>7267</v>
      </c>
      <c r="D525" s="10" t="s">
        <v>7268</v>
      </c>
      <c r="E525" s="11" t="str">
        <f>HYPERLINK("https://twitter.com/rusertw95582000/status/701768166796611584","701768166796611584")</f>
        <v>701768166796611584</v>
      </c>
      <c r="F525" s="12" t="s">
        <v>20</v>
      </c>
      <c r="G525" s="13">
        <v>1.0</v>
      </c>
      <c r="H525" s="13">
        <v>0.0</v>
      </c>
      <c r="I525" s="13">
        <v>0.0</v>
      </c>
      <c r="J525" s="13">
        <v>0.0</v>
      </c>
      <c r="K525" s="12" t="s">
        <v>21</v>
      </c>
      <c r="L525" s="7">
        <v>42422.2156712963</v>
      </c>
      <c r="M525" s="14" t="s">
        <v>1054</v>
      </c>
      <c r="N525" s="16"/>
      <c r="O525" s="11" t="str">
        <f>HYPERLINK("https://abs.twimg.com/sticky/default_profile_images/default_profile_0_normal.png","View")</f>
        <v>View</v>
      </c>
      <c r="P525" s="15"/>
    </row>
    <row r="526">
      <c r="A526" s="7">
        <v>42422.251875</v>
      </c>
      <c r="B526" s="8" t="str">
        <f>HYPERLINK("https://twitter.com/dataandme","@dataandme")</f>
        <v>@dataandme</v>
      </c>
      <c r="C526" s="10" t="s">
        <v>6648</v>
      </c>
      <c r="D526" s="10" t="s">
        <v>7269</v>
      </c>
      <c r="E526" s="11" t="str">
        <f>HYPERLINK("https://twitter.com/dataandme/status/701769082937470977","701769082937470977")</f>
        <v>701769082937470977</v>
      </c>
      <c r="F526" s="12" t="s">
        <v>294</v>
      </c>
      <c r="G526" s="13">
        <v>2502.0</v>
      </c>
      <c r="H526" s="13">
        <v>1940.0</v>
      </c>
      <c r="I526" s="13">
        <v>3.0</v>
      </c>
      <c r="J526" s="13">
        <v>10.0</v>
      </c>
      <c r="K526" s="12" t="s">
        <v>21</v>
      </c>
      <c r="L526" s="7">
        <v>42127.19739583333</v>
      </c>
      <c r="M526" s="14" t="s">
        <v>332</v>
      </c>
      <c r="N526" s="14" t="s">
        <v>6650</v>
      </c>
      <c r="O526" s="11" t="str">
        <f>HYPERLINK("https://pbs.twimg.com/profile_images/598126722920361984/HdS1NWXJ_normal.png","View")</f>
        <v>View</v>
      </c>
      <c r="P526" s="15"/>
    </row>
    <row r="527">
      <c r="A527" s="7">
        <v>42422.252291666664</v>
      </c>
      <c r="B527" s="8" t="str">
        <f t="shared" ref="B527:B528" si="77">HYPERLINK("https://twitter.com/supergianinna","@supergianinna")</f>
        <v>@supergianinna</v>
      </c>
      <c r="C527" s="10" t="s">
        <v>7270</v>
      </c>
      <c r="D527" s="10" t="s">
        <v>7271</v>
      </c>
      <c r="E527" s="11" t="str">
        <f>HYPERLINK("https://twitter.com/supergianinna/status/701769236192964610","701769236192964610")</f>
        <v>701769236192964610</v>
      </c>
      <c r="F527" s="12" t="s">
        <v>152</v>
      </c>
      <c r="G527" s="13">
        <v>4354.0</v>
      </c>
      <c r="H527" s="13">
        <v>567.0</v>
      </c>
      <c r="I527" s="13">
        <v>8.0</v>
      </c>
      <c r="J527" s="13">
        <v>0.0</v>
      </c>
      <c r="K527" s="12" t="s">
        <v>21</v>
      </c>
      <c r="L527" s="7">
        <v>40325.01850694444</v>
      </c>
      <c r="M527" s="14" t="s">
        <v>1072</v>
      </c>
      <c r="N527" s="14" t="s">
        <v>7272</v>
      </c>
      <c r="O527" s="11" t="str">
        <f t="shared" ref="O527:O528" si="78">HYPERLINK("https://pbs.twimg.com/profile_images/624925492013993984/QxYyM8L7_normal.jpg","View")</f>
        <v>View</v>
      </c>
      <c r="P527" s="15"/>
    </row>
    <row r="528">
      <c r="A528" s="7">
        <v>42422.25237268519</v>
      </c>
      <c r="B528" s="8" t="str">
        <f t="shared" si="77"/>
        <v>@supergianinna</v>
      </c>
      <c r="C528" s="10" t="s">
        <v>7270</v>
      </c>
      <c r="D528" s="10" t="s">
        <v>7263</v>
      </c>
      <c r="E528" s="11" t="str">
        <f>HYPERLINK("https://twitter.com/supergianinna/status/701769264135409664","701769264135409664")</f>
        <v>701769264135409664</v>
      </c>
      <c r="F528" s="12" t="s">
        <v>152</v>
      </c>
      <c r="G528" s="13">
        <v>4354.0</v>
      </c>
      <c r="H528" s="13">
        <v>567.0</v>
      </c>
      <c r="I528" s="13">
        <v>17.0</v>
      </c>
      <c r="J528" s="13">
        <v>0.0</v>
      </c>
      <c r="K528" s="12" t="s">
        <v>21</v>
      </c>
      <c r="L528" s="7">
        <v>40325.01850694444</v>
      </c>
      <c r="M528" s="14" t="s">
        <v>1072</v>
      </c>
      <c r="N528" s="14" t="s">
        <v>7272</v>
      </c>
      <c r="O528" s="11" t="str">
        <f t="shared" si="78"/>
        <v>View</v>
      </c>
      <c r="P528" s="15"/>
    </row>
    <row r="529">
      <c r="A529" s="7">
        <v>42422.25436342593</v>
      </c>
      <c r="B529" s="8" t="str">
        <f>HYPERLINK("https://twitter.com/dataJujitsu","@dataJujitsu")</f>
        <v>@dataJujitsu</v>
      </c>
      <c r="C529" s="10" t="s">
        <v>7273</v>
      </c>
      <c r="D529" s="10" t="s">
        <v>7271</v>
      </c>
      <c r="E529" s="11" t="str">
        <f>HYPERLINK("https://twitter.com/dataJujitsu/status/701769985711075328","701769985711075328")</f>
        <v>701769985711075328</v>
      </c>
      <c r="F529" s="12" t="s">
        <v>20</v>
      </c>
      <c r="G529" s="13">
        <v>525.0</v>
      </c>
      <c r="H529" s="13">
        <v>402.0</v>
      </c>
      <c r="I529" s="13">
        <v>8.0</v>
      </c>
      <c r="J529" s="13">
        <v>0.0</v>
      </c>
      <c r="K529" s="12" t="s">
        <v>21</v>
      </c>
      <c r="L529" s="7">
        <v>40528.120347222226</v>
      </c>
      <c r="M529" s="14" t="s">
        <v>7274</v>
      </c>
      <c r="N529" s="14" t="s">
        <v>7275</v>
      </c>
      <c r="O529" s="11" t="str">
        <f>HYPERLINK("https://pbs.twimg.com/profile_images/3094300984/ff647084431d08fa5d417b0aa682346f_normal.jpeg","View")</f>
        <v>View</v>
      </c>
      <c r="P529" s="15"/>
    </row>
    <row r="530">
      <c r="A530" s="7">
        <v>42422.255000000005</v>
      </c>
      <c r="B530" s="8" t="str">
        <f>HYPERLINK("https://twitter.com/hrbrmstr","@hrbrmstr")</f>
        <v>@hrbrmstr</v>
      </c>
      <c r="C530" s="10" t="s">
        <v>7276</v>
      </c>
      <c r="D530" s="10" t="s">
        <v>7277</v>
      </c>
      <c r="E530" s="11" t="str">
        <f>HYPERLINK("https://twitter.com/hrbrmstr/status/701770216372617216","701770216372617216")</f>
        <v>701770216372617216</v>
      </c>
      <c r="F530" s="12" t="s">
        <v>991</v>
      </c>
      <c r="G530" s="13">
        <v>6135.0</v>
      </c>
      <c r="H530" s="13">
        <v>2926.0</v>
      </c>
      <c r="I530" s="13">
        <v>2.0</v>
      </c>
      <c r="J530" s="13">
        <v>16.0</v>
      </c>
      <c r="K530" s="12" t="s">
        <v>21</v>
      </c>
      <c r="L530" s="7">
        <v>39203.29472222222</v>
      </c>
      <c r="M530" s="14" t="s">
        <v>7278</v>
      </c>
      <c r="N530" s="14" t="s">
        <v>7279</v>
      </c>
      <c r="O530" s="11" t="str">
        <f>HYPERLINK("https://pbs.twimg.com/profile_images/557592259298729985/kpCUQWH1_normal.png","View")</f>
        <v>View</v>
      </c>
      <c r="P530" s="15"/>
    </row>
    <row r="531">
      <c r="A531" s="7">
        <v>42422.25548611111</v>
      </c>
      <c r="B531" s="8" t="str">
        <f>HYPERLINK("https://twitter.com/NWU_eResearch","@NWU_eResearch")</f>
        <v>@NWU_eResearch</v>
      </c>
      <c r="C531" s="10" t="s">
        <v>7280</v>
      </c>
      <c r="D531" s="10" t="s">
        <v>7057</v>
      </c>
      <c r="E531" s="11" t="str">
        <f>HYPERLINK("https://twitter.com/NWU_eResearch/status/701770391052754945","701770391052754945")</f>
        <v>701770391052754945</v>
      </c>
      <c r="F531" s="12" t="s">
        <v>152</v>
      </c>
      <c r="G531" s="13">
        <v>68.0</v>
      </c>
      <c r="H531" s="13">
        <v>35.0</v>
      </c>
      <c r="I531" s="13">
        <v>3.0</v>
      </c>
      <c r="J531" s="13">
        <v>0.0</v>
      </c>
      <c r="K531" s="12" t="s">
        <v>21</v>
      </c>
      <c r="L531" s="7">
        <v>42277.090208333335</v>
      </c>
      <c r="M531" s="14" t="s">
        <v>7281</v>
      </c>
      <c r="N531" s="14" t="s">
        <v>7282</v>
      </c>
      <c r="O531" s="11" t="str">
        <f>HYPERLINK("https://pbs.twimg.com/profile_images/652409152757723136/8k9DcfTJ_normal.png","View")</f>
        <v>View</v>
      </c>
      <c r="P531" s="15"/>
    </row>
    <row r="532">
      <c r="A532" s="7">
        <v>42422.25575231481</v>
      </c>
      <c r="B532" s="8" t="str">
        <f>HYPERLINK("https://twitter.com/fransvandunne","@fransvandunne")</f>
        <v>@fransvandunne</v>
      </c>
      <c r="C532" s="10" t="s">
        <v>7283</v>
      </c>
      <c r="D532" s="10" t="s">
        <v>7284</v>
      </c>
      <c r="E532" s="11" t="str">
        <f>HYPERLINK("https://twitter.com/fransvandunne/status/701770490361196544","701770490361196544")</f>
        <v>701770490361196544</v>
      </c>
      <c r="F532" s="12" t="s">
        <v>20</v>
      </c>
      <c r="G532" s="13">
        <v>41.0</v>
      </c>
      <c r="H532" s="13">
        <v>120.0</v>
      </c>
      <c r="I532" s="13">
        <v>1.0</v>
      </c>
      <c r="J532" s="13">
        <v>2.0</v>
      </c>
      <c r="K532" s="12" t="s">
        <v>21</v>
      </c>
      <c r="L532" s="7">
        <v>40456.060578703706</v>
      </c>
      <c r="M532" s="14" t="s">
        <v>7285</v>
      </c>
      <c r="N532" s="14" t="s">
        <v>7286</v>
      </c>
      <c r="O532" s="11" t="str">
        <f>HYPERLINK("https://pbs.twimg.com/profile_images/378800000721730542/505d6a1d163b66987fafe2dc5a5b6c0d_normal.png","View")</f>
        <v>View</v>
      </c>
      <c r="P532" s="15"/>
    </row>
    <row r="533">
      <c r="A533" s="7">
        <v>42422.25585648148</v>
      </c>
      <c r="B533" s="8" t="str">
        <f t="shared" ref="B533:B534" si="79">HYPERLINK("https://twitter.com/Pvalsfr","@Pvalsfr")</f>
        <v>@Pvalsfr</v>
      </c>
      <c r="C533" s="10" t="s">
        <v>771</v>
      </c>
      <c r="D533" s="10" t="s">
        <v>7263</v>
      </c>
      <c r="E533" s="11" t="str">
        <f>HYPERLINK("https://twitter.com/Pvalsfr/status/701770528001024000","701770528001024000")</f>
        <v>701770528001024000</v>
      </c>
      <c r="F533" s="12" t="s">
        <v>152</v>
      </c>
      <c r="G533" s="13">
        <v>1044.0</v>
      </c>
      <c r="H533" s="13">
        <v>1081.0</v>
      </c>
      <c r="I533" s="13">
        <v>17.0</v>
      </c>
      <c r="J533" s="13">
        <v>0.0</v>
      </c>
      <c r="K533" s="12" t="s">
        <v>21</v>
      </c>
      <c r="L533" s="7">
        <v>40867.68900462963</v>
      </c>
      <c r="M533" s="16"/>
      <c r="N533" s="16"/>
      <c r="O533" s="11" t="str">
        <f t="shared" ref="O533:O534" si="80">HYPERLINK("https://abs.twimg.com/sticky/default_profile_images/default_profile_4_normal.png","View")</f>
        <v>View</v>
      </c>
      <c r="P533" s="15"/>
    </row>
    <row r="534">
      <c r="A534" s="7">
        <v>42422.255891203706</v>
      </c>
      <c r="B534" s="8" t="str">
        <f t="shared" si="79"/>
        <v>@Pvalsfr</v>
      </c>
      <c r="C534" s="10" t="s">
        <v>771</v>
      </c>
      <c r="D534" s="10" t="s">
        <v>7271</v>
      </c>
      <c r="E534" s="11" t="str">
        <f>HYPERLINK("https://twitter.com/Pvalsfr/status/701770538255953920","701770538255953920")</f>
        <v>701770538255953920</v>
      </c>
      <c r="F534" s="12" t="s">
        <v>152</v>
      </c>
      <c r="G534" s="13">
        <v>1044.0</v>
      </c>
      <c r="H534" s="13">
        <v>1081.0</v>
      </c>
      <c r="I534" s="13">
        <v>8.0</v>
      </c>
      <c r="J534" s="13">
        <v>0.0</v>
      </c>
      <c r="K534" s="12" t="s">
        <v>21</v>
      </c>
      <c r="L534" s="7">
        <v>40867.68900462963</v>
      </c>
      <c r="M534" s="16"/>
      <c r="N534" s="16"/>
      <c r="O534" s="11" t="str">
        <f t="shared" si="80"/>
        <v>View</v>
      </c>
      <c r="P534" s="15"/>
    </row>
    <row r="535">
      <c r="A535" s="7">
        <v>42422.25619212963</v>
      </c>
      <c r="B535" s="8" t="str">
        <f>HYPERLINK("https://twitter.com/matthias31000","@matthias31000")</f>
        <v>@matthias31000</v>
      </c>
      <c r="C535" s="10" t="s">
        <v>7158</v>
      </c>
      <c r="D535" s="10" t="s">
        <v>7287</v>
      </c>
      <c r="E535" s="11" t="str">
        <f>HYPERLINK("https://twitter.com/matthias31000/status/701770646972403712","701770646972403712")</f>
        <v>701770646972403712</v>
      </c>
      <c r="F535" s="12" t="s">
        <v>20</v>
      </c>
      <c r="G535" s="13">
        <v>494.0</v>
      </c>
      <c r="H535" s="13">
        <v>451.0</v>
      </c>
      <c r="I535" s="13">
        <v>0.0</v>
      </c>
      <c r="J535" s="13">
        <v>0.0</v>
      </c>
      <c r="K535" s="12" t="s">
        <v>21</v>
      </c>
      <c r="L535" s="7">
        <v>41777.3262962963</v>
      </c>
      <c r="M535" s="14" t="s">
        <v>7160</v>
      </c>
      <c r="N535" s="14" t="s">
        <v>7161</v>
      </c>
      <c r="O535" s="11" t="str">
        <f>HYPERLINK("https://pbs.twimg.com/profile_images/653156490744885249/Sb3VJNKH_normal.jpg","View")</f>
        <v>View</v>
      </c>
      <c r="P535" s="15"/>
    </row>
    <row r="536">
      <c r="A536" s="7">
        <v>42422.257013888884</v>
      </c>
      <c r="B536" s="8" t="str">
        <f>HYPERLINK("https://twitter.com/mdsumner","@mdsumner")</f>
        <v>@mdsumner</v>
      </c>
      <c r="C536" s="10" t="s">
        <v>7288</v>
      </c>
      <c r="D536" s="10" t="s">
        <v>7289</v>
      </c>
      <c r="E536" s="11" t="str">
        <f>HYPERLINK("https://twitter.com/mdsumner/status/701770945472516096","701770945472516096")</f>
        <v>701770945472516096</v>
      </c>
      <c r="F536" s="12" t="s">
        <v>2063</v>
      </c>
      <c r="G536" s="13">
        <v>189.0</v>
      </c>
      <c r="H536" s="13">
        <v>593.0</v>
      </c>
      <c r="I536" s="13">
        <v>2.0</v>
      </c>
      <c r="J536" s="13">
        <v>0.0</v>
      </c>
      <c r="K536" s="12" t="s">
        <v>21</v>
      </c>
      <c r="L536" s="7">
        <v>40188.00508101852</v>
      </c>
      <c r="M536" s="14" t="s">
        <v>7290</v>
      </c>
      <c r="N536" s="14" t="s">
        <v>7291</v>
      </c>
      <c r="O536" s="11" t="str">
        <f>HYPERLINK("https://pbs.twimg.com/profile_images/378800000711929469/c6f40d0623b31334f4f55e218c96df23_normal.jpeg","View")</f>
        <v>View</v>
      </c>
      <c r="P536" s="15"/>
    </row>
    <row r="537">
      <c r="A537" s="7">
        <v>42422.25796296296</v>
      </c>
      <c r="B537" s="8" t="str">
        <f>HYPERLINK("https://twitter.com/artemklevtsov","@artemklevtsov")</f>
        <v>@artemklevtsov</v>
      </c>
      <c r="C537" s="10" t="s">
        <v>7292</v>
      </c>
      <c r="D537" s="10" t="s">
        <v>7263</v>
      </c>
      <c r="E537" s="11" t="str">
        <f>HYPERLINK("https://twitter.com/artemklevtsov/status/701771288268902404","701771288268902404")</f>
        <v>701771288268902404</v>
      </c>
      <c r="F537" s="12" t="s">
        <v>152</v>
      </c>
      <c r="G537" s="13">
        <v>56.0</v>
      </c>
      <c r="H537" s="13">
        <v>65.0</v>
      </c>
      <c r="I537" s="13">
        <v>17.0</v>
      </c>
      <c r="J537" s="13">
        <v>0.0</v>
      </c>
      <c r="K537" s="12" t="s">
        <v>21</v>
      </c>
      <c r="L537" s="7">
        <v>41777.31737268518</v>
      </c>
      <c r="M537" s="14" t="s">
        <v>4647</v>
      </c>
      <c r="N537" s="14" t="s">
        <v>7293</v>
      </c>
      <c r="O537" s="11" t="str">
        <f>HYPERLINK("https://pbs.twimg.com/profile_images/582945739141058560/m1lDOgFc_normal.png","View")</f>
        <v>View</v>
      </c>
      <c r="P537" s="15"/>
    </row>
    <row r="538">
      <c r="A538" s="7">
        <v>42422.2594212963</v>
      </c>
      <c r="B538" s="8" t="str">
        <f>HYPERLINK("https://twitter.com/Leegarciauk","@Leegarciauk")</f>
        <v>@Leegarciauk</v>
      </c>
      <c r="C538" s="10" t="s">
        <v>7294</v>
      </c>
      <c r="D538" s="10" t="s">
        <v>6319</v>
      </c>
      <c r="E538" s="11" t="str">
        <f>HYPERLINK("https://twitter.com/Leegarciauk/status/701771818714185733","701771818714185733")</f>
        <v>701771818714185733</v>
      </c>
      <c r="F538" s="12" t="s">
        <v>20</v>
      </c>
      <c r="G538" s="13">
        <v>1338.0</v>
      </c>
      <c r="H538" s="13">
        <v>161.0</v>
      </c>
      <c r="I538" s="13">
        <v>106.0</v>
      </c>
      <c r="J538" s="13">
        <v>0.0</v>
      </c>
      <c r="K538" s="12" t="s">
        <v>21</v>
      </c>
      <c r="L538" s="7">
        <v>40639.167175925926</v>
      </c>
      <c r="M538" s="14" t="s">
        <v>489</v>
      </c>
      <c r="N538" s="14" t="s">
        <v>7295</v>
      </c>
      <c r="O538" s="11" t="str">
        <f>HYPERLINK("https://pbs.twimg.com/profile_images/593089177048248320/pbA_00NL_normal.jpg","View")</f>
        <v>View</v>
      </c>
      <c r="P538" s="15"/>
    </row>
    <row r="539">
      <c r="A539" s="7">
        <v>42422.259618055556</v>
      </c>
      <c r="B539" s="8" t="str">
        <f>HYPERLINK("https://twitter.com/CRANberriesFeed","@CRANberriesFeed")</f>
        <v>@CRANberriesFeed</v>
      </c>
      <c r="C539" s="10" t="s">
        <v>6282</v>
      </c>
      <c r="D539" s="10" t="s">
        <v>7296</v>
      </c>
      <c r="E539" s="11" t="str">
        <f>HYPERLINK("https://twitter.com/CRANberriesFeed/status/701771887886659584","701771887886659584")</f>
        <v>701771887886659584</v>
      </c>
      <c r="F539" s="12" t="s">
        <v>6284</v>
      </c>
      <c r="G539" s="13">
        <v>657.0</v>
      </c>
      <c r="H539" s="13">
        <v>0.0</v>
      </c>
      <c r="I539" s="13">
        <v>0.0</v>
      </c>
      <c r="J539" s="13">
        <v>0.0</v>
      </c>
      <c r="K539" s="12" t="s">
        <v>21</v>
      </c>
      <c r="L539" s="7">
        <v>40546.353425925925</v>
      </c>
      <c r="M539" s="14" t="s">
        <v>1158</v>
      </c>
      <c r="N539" s="16"/>
      <c r="O539" s="11" t="str">
        <f>HYPERLINK("https://pbs.twimg.com/profile_images/1222779560/cran1_normal.jpg","View")</f>
        <v>View</v>
      </c>
      <c r="P539" s="15"/>
    </row>
    <row r="540">
      <c r="A540" s="7">
        <v>42422.26045138889</v>
      </c>
      <c r="B540" s="8" t="str">
        <f>HYPERLINK("https://twitter.com/DrAndyPardoe","@DrAndyPardoe")</f>
        <v>@DrAndyPardoe</v>
      </c>
      <c r="C540" s="10" t="s">
        <v>3351</v>
      </c>
      <c r="D540" s="10" t="s">
        <v>7256</v>
      </c>
      <c r="E540" s="11" t="str">
        <f>HYPERLINK("https://twitter.com/DrAndyPardoe/status/701772193982767104","701772193982767104")</f>
        <v>701772193982767104</v>
      </c>
      <c r="F540" s="12" t="s">
        <v>38</v>
      </c>
      <c r="G540" s="13">
        <v>3759.0</v>
      </c>
      <c r="H540" s="13">
        <v>2473.0</v>
      </c>
      <c r="I540" s="13">
        <v>6.0</v>
      </c>
      <c r="J540" s="13">
        <v>0.0</v>
      </c>
      <c r="K540" s="12" t="s">
        <v>21</v>
      </c>
      <c r="L540" s="7">
        <v>41826.237280092595</v>
      </c>
      <c r="M540" s="14" t="s">
        <v>1093</v>
      </c>
      <c r="N540" s="14" t="s">
        <v>3352</v>
      </c>
      <c r="O540" s="11" t="str">
        <f>HYPERLINK("https://pbs.twimg.com/profile_images/485766134268837889/t4PLhSfT_normal.jpeg","View")</f>
        <v>View</v>
      </c>
      <c r="P540" s="15"/>
    </row>
    <row r="541">
      <c r="A541" s="7">
        <v>42422.26049768519</v>
      </c>
      <c r="B541" s="8" t="str">
        <f>HYPERLINK("https://twitter.com/tripartio","@tripartio")</f>
        <v>@tripartio</v>
      </c>
      <c r="C541" s="10" t="s">
        <v>6827</v>
      </c>
      <c r="D541" s="10" t="s">
        <v>7297</v>
      </c>
      <c r="E541" s="11" t="str">
        <f>HYPERLINK("https://twitter.com/tripartio/status/701772206792167424","701772206792167424")</f>
        <v>701772206792167424</v>
      </c>
      <c r="F541" s="12" t="s">
        <v>20</v>
      </c>
      <c r="G541" s="13">
        <v>33.0</v>
      </c>
      <c r="H541" s="13">
        <v>64.0</v>
      </c>
      <c r="I541" s="13">
        <v>0.0</v>
      </c>
      <c r="J541" s="13">
        <v>0.0</v>
      </c>
      <c r="K541" s="12" t="s">
        <v>21</v>
      </c>
      <c r="L541" s="7">
        <v>41946.83112268519</v>
      </c>
      <c r="M541" s="14" t="s">
        <v>1806</v>
      </c>
      <c r="N541" s="14" t="s">
        <v>6829</v>
      </c>
      <c r="O541" s="11" t="str">
        <f>HYPERLINK("https://pbs.twimg.com/profile_images/529482878543867904/H-UGY1d0_normal.png","View")</f>
        <v>View</v>
      </c>
      <c r="P541" s="15"/>
    </row>
    <row r="542">
      <c r="A542" s="7">
        <v>42422.26167824074</v>
      </c>
      <c r="B542" s="8" t="str">
        <f>HYPERLINK("https://twitter.com/mpotter27","@mpotter27")</f>
        <v>@mpotter27</v>
      </c>
      <c r="C542" s="10" t="s">
        <v>7298</v>
      </c>
      <c r="D542" s="10" t="s">
        <v>7259</v>
      </c>
      <c r="E542" s="11" t="str">
        <f>HYPERLINK("https://twitter.com/mpotter27/status/701772636162908160","701772636162908160")</f>
        <v>701772636162908160</v>
      </c>
      <c r="F542" s="12" t="s">
        <v>20</v>
      </c>
      <c r="G542" s="13">
        <v>103.0</v>
      </c>
      <c r="H542" s="13">
        <v>388.0</v>
      </c>
      <c r="I542" s="13">
        <v>2.0</v>
      </c>
      <c r="J542" s="13">
        <v>0.0</v>
      </c>
      <c r="K542" s="12" t="s">
        <v>21</v>
      </c>
      <c r="L542" s="7">
        <v>41954.50295138889</v>
      </c>
      <c r="M542" s="14" t="s">
        <v>1333</v>
      </c>
      <c r="N542" s="14" t="s">
        <v>7299</v>
      </c>
      <c r="O542" s="11" t="str">
        <f>HYPERLINK("https://pbs.twimg.com/profile_images/687644694768148480/zC3IwoS0_normal.jpg","View")</f>
        <v>View</v>
      </c>
      <c r="P542" s="15"/>
    </row>
    <row r="543">
      <c r="A543" s="7">
        <v>42422.263182870374</v>
      </c>
      <c r="B543" s="8" t="str">
        <f>HYPERLINK("https://twitter.com/segalop","@segalop")</f>
        <v>@segalop</v>
      </c>
      <c r="C543" s="10" t="s">
        <v>6448</v>
      </c>
      <c r="D543" s="10" t="s">
        <v>6918</v>
      </c>
      <c r="E543" s="11" t="str">
        <f>HYPERLINK("https://twitter.com/segalop/status/701773180269150208","701773180269150208")</f>
        <v>701773180269150208</v>
      </c>
      <c r="F543" s="12" t="s">
        <v>3154</v>
      </c>
      <c r="G543" s="13">
        <v>172.0</v>
      </c>
      <c r="H543" s="13">
        <v>378.0</v>
      </c>
      <c r="I543" s="13">
        <v>32.0</v>
      </c>
      <c r="J543" s="13">
        <v>0.0</v>
      </c>
      <c r="K543" s="12" t="s">
        <v>21</v>
      </c>
      <c r="L543" s="7">
        <v>41328.53219907408</v>
      </c>
      <c r="M543" s="16"/>
      <c r="N543" s="14" t="s">
        <v>6449</v>
      </c>
      <c r="O543" s="11" t="str">
        <f>HYPERLINK("https://pbs.twimg.com/profile_images/470626645083037696/FicOo9YX_normal.jpeg","View")</f>
        <v>View</v>
      </c>
      <c r="P543" s="15"/>
    </row>
    <row r="544">
      <c r="A544" s="7">
        <v>42422.27138888889</v>
      </c>
      <c r="B544" s="8" t="str">
        <f>HYPERLINK("https://twitter.com/Hoog10HK","@Hoog10HK")</f>
        <v>@Hoog10HK</v>
      </c>
      <c r="C544" s="10" t="s">
        <v>7300</v>
      </c>
      <c r="D544" s="10" t="s">
        <v>6997</v>
      </c>
      <c r="E544" s="11" t="str">
        <f>HYPERLINK("https://twitter.com/Hoog10HK/status/701776154043273216","701776154043273216")</f>
        <v>701776154043273216</v>
      </c>
      <c r="F544" s="12" t="s">
        <v>52</v>
      </c>
      <c r="G544" s="13">
        <v>244.0</v>
      </c>
      <c r="H544" s="13">
        <v>449.0</v>
      </c>
      <c r="I544" s="13">
        <v>18.0</v>
      </c>
      <c r="J544" s="13">
        <v>0.0</v>
      </c>
      <c r="K544" s="12" t="s">
        <v>21</v>
      </c>
      <c r="L544" s="7">
        <v>41924.79883101852</v>
      </c>
      <c r="M544" s="14" t="s">
        <v>7301</v>
      </c>
      <c r="N544" s="14" t="s">
        <v>7302</v>
      </c>
      <c r="O544" s="11" t="str">
        <f>HYPERLINK("https://pbs.twimg.com/profile_images/554924936985206786/FBkNWZp8_normal.png","View")</f>
        <v>View</v>
      </c>
      <c r="P544" s="15"/>
    </row>
    <row r="545">
      <c r="A545" s="7">
        <v>42422.27153935185</v>
      </c>
      <c r="B545" s="8" t="str">
        <f>HYPERLINK("https://twitter.com/earlconf","@earlconf")</f>
        <v>@earlconf</v>
      </c>
      <c r="C545" s="10" t="s">
        <v>7100</v>
      </c>
      <c r="D545" s="10" t="s">
        <v>7303</v>
      </c>
      <c r="E545" s="11" t="str">
        <f>HYPERLINK("https://twitter.com/earlconf/status/701776208510386176","701776208510386176")</f>
        <v>701776208510386176</v>
      </c>
      <c r="F545" s="12" t="s">
        <v>47</v>
      </c>
      <c r="G545" s="13">
        <v>1081.0</v>
      </c>
      <c r="H545" s="13">
        <v>2351.0</v>
      </c>
      <c r="I545" s="13">
        <v>2.0</v>
      </c>
      <c r="J545" s="13">
        <v>3.0</v>
      </c>
      <c r="K545" s="12" t="s">
        <v>21</v>
      </c>
      <c r="L545" s="7">
        <v>41677.49930555555</v>
      </c>
      <c r="M545" s="14" t="s">
        <v>7102</v>
      </c>
      <c r="N545" s="14" t="s">
        <v>7103</v>
      </c>
      <c r="O545" s="11" t="str">
        <f>HYPERLINK("https://pbs.twimg.com/profile_images/432298122203512833/YDXfWlI__normal.png","View")</f>
        <v>View</v>
      </c>
      <c r="P545" s="15"/>
    </row>
    <row r="546">
      <c r="A546" s="7">
        <v>42422.27390046296</v>
      </c>
      <c r="B546" s="8" t="str">
        <f>HYPERLINK("https://twitter.com/hrbrmstr","@hrbrmstr")</f>
        <v>@hrbrmstr</v>
      </c>
      <c r="C546" s="10" t="s">
        <v>7276</v>
      </c>
      <c r="D546" s="10" t="s">
        <v>7304</v>
      </c>
      <c r="E546" s="11" t="str">
        <f>HYPERLINK("https://twitter.com/hrbrmstr/status/701777067013230592","701777067013230592")</f>
        <v>701777067013230592</v>
      </c>
      <c r="F546" s="12" t="s">
        <v>20</v>
      </c>
      <c r="G546" s="13">
        <v>6135.0</v>
      </c>
      <c r="H546" s="13">
        <v>2926.0</v>
      </c>
      <c r="I546" s="13">
        <v>0.0</v>
      </c>
      <c r="J546" s="13">
        <v>1.0</v>
      </c>
      <c r="K546" s="12" t="s">
        <v>21</v>
      </c>
      <c r="L546" s="7">
        <v>39203.29472222222</v>
      </c>
      <c r="M546" s="14" t="s">
        <v>7278</v>
      </c>
      <c r="N546" s="14" t="s">
        <v>7279</v>
      </c>
      <c r="O546" s="11" t="str">
        <f>HYPERLINK("https://pbs.twimg.com/profile_images/557592259298729985/kpCUQWH1_normal.png","View")</f>
        <v>View</v>
      </c>
      <c r="P546" s="15"/>
    </row>
    <row r="547">
      <c r="A547" s="7">
        <v>42422.274351851855</v>
      </c>
      <c r="B547" s="8" t="str">
        <f t="shared" ref="B547:B548" si="81">HYPERLINK("https://twitter.com/SunitJain","@SunitJain")</f>
        <v>@SunitJain</v>
      </c>
      <c r="C547" s="10" t="s">
        <v>7305</v>
      </c>
      <c r="D547" s="10" t="s">
        <v>6918</v>
      </c>
      <c r="E547" s="11" t="str">
        <f>HYPERLINK("https://twitter.com/SunitJain/status/701777228150001665","701777228150001665")</f>
        <v>701777228150001665</v>
      </c>
      <c r="F547" s="12" t="s">
        <v>7306</v>
      </c>
      <c r="G547" s="13">
        <v>284.0</v>
      </c>
      <c r="H547" s="13">
        <v>345.0</v>
      </c>
      <c r="I547" s="13">
        <v>32.0</v>
      </c>
      <c r="J547" s="13">
        <v>0.0</v>
      </c>
      <c r="K547" s="12" t="s">
        <v>21</v>
      </c>
      <c r="L547" s="7">
        <v>39743.199479166666</v>
      </c>
      <c r="M547" s="14" t="s">
        <v>69</v>
      </c>
      <c r="N547" s="14" t="s">
        <v>7307</v>
      </c>
      <c r="O547" s="11" t="str">
        <f t="shared" ref="O547:O548" si="82">HYPERLINK("https://pbs.twimg.com/profile_images/699125339264569344/xOJ82wQq_normal.jpg","View")</f>
        <v>View</v>
      </c>
      <c r="P547" s="15"/>
    </row>
    <row r="548">
      <c r="A548" s="7">
        <v>42422.27532407407</v>
      </c>
      <c r="B548" s="8" t="str">
        <f t="shared" si="81"/>
        <v>@SunitJain</v>
      </c>
      <c r="C548" s="10" t="s">
        <v>7305</v>
      </c>
      <c r="D548" s="10" t="s">
        <v>7263</v>
      </c>
      <c r="E548" s="11" t="str">
        <f>HYPERLINK("https://twitter.com/SunitJain/status/701777582472241152","701777582472241152")</f>
        <v>701777582472241152</v>
      </c>
      <c r="F548" s="12" t="s">
        <v>7306</v>
      </c>
      <c r="G548" s="13">
        <v>284.0</v>
      </c>
      <c r="H548" s="13">
        <v>345.0</v>
      </c>
      <c r="I548" s="13">
        <v>17.0</v>
      </c>
      <c r="J548" s="13">
        <v>0.0</v>
      </c>
      <c r="K548" s="12" t="s">
        <v>21</v>
      </c>
      <c r="L548" s="7">
        <v>39743.199479166666</v>
      </c>
      <c r="M548" s="14" t="s">
        <v>69</v>
      </c>
      <c r="N548" s="14" t="s">
        <v>7307</v>
      </c>
      <c r="O548" s="11" t="str">
        <f t="shared" si="82"/>
        <v>View</v>
      </c>
      <c r="P548" s="15"/>
    </row>
    <row r="549">
      <c r="A549" s="7">
        <v>42422.27594907407</v>
      </c>
      <c r="B549" s="8" t="str">
        <f>HYPERLINK("https://twitter.com/rushworth_a","@rushworth_a")</f>
        <v>@rushworth_a</v>
      </c>
      <c r="C549" s="10" t="s">
        <v>7308</v>
      </c>
      <c r="D549" s="10" t="s">
        <v>7309</v>
      </c>
      <c r="E549" s="11" t="str">
        <f>HYPERLINK("https://twitter.com/rushworth_a/status/701777810122215425","701777810122215425")</f>
        <v>701777810122215425</v>
      </c>
      <c r="F549" s="12" t="s">
        <v>52</v>
      </c>
      <c r="G549" s="13">
        <v>165.0</v>
      </c>
      <c r="H549" s="13">
        <v>373.0</v>
      </c>
      <c r="I549" s="13">
        <v>1.0</v>
      </c>
      <c r="J549" s="13">
        <v>0.0</v>
      </c>
      <c r="K549" s="12" t="s">
        <v>21</v>
      </c>
      <c r="L549" s="7">
        <v>41377.14260416667</v>
      </c>
      <c r="M549" s="14" t="s">
        <v>7310</v>
      </c>
      <c r="N549" s="14" t="s">
        <v>7311</v>
      </c>
      <c r="O549" s="11" t="str">
        <f>HYPERLINK("https://pbs.twimg.com/profile_images/599898684705374208/CooYcNCz_normal.jpg","View")</f>
        <v>View</v>
      </c>
      <c r="P549" s="15"/>
    </row>
    <row r="550">
      <c r="A550" s="7">
        <v>42422.277233796296</v>
      </c>
      <c r="B550" s="8" t="str">
        <f>HYPERLINK("https://twitter.com/abresler","@abresler")</f>
        <v>@abresler</v>
      </c>
      <c r="C550" s="10" t="s">
        <v>6436</v>
      </c>
      <c r="D550" s="10" t="s">
        <v>7312</v>
      </c>
      <c r="E550" s="11" t="str">
        <f>HYPERLINK("https://twitter.com/abresler/status/701778273576034304","701778273576034304")</f>
        <v>701778273576034304</v>
      </c>
      <c r="F550" s="12" t="s">
        <v>20</v>
      </c>
      <c r="G550" s="13">
        <v>1626.0</v>
      </c>
      <c r="H550" s="13">
        <v>2074.0</v>
      </c>
      <c r="I550" s="13">
        <v>1.0</v>
      </c>
      <c r="J550" s="13">
        <v>0.0</v>
      </c>
      <c r="K550" s="12" t="s">
        <v>21</v>
      </c>
      <c r="L550" s="7">
        <v>39796.802407407406</v>
      </c>
      <c r="M550" s="14" t="s">
        <v>6438</v>
      </c>
      <c r="N550" s="14" t="s">
        <v>6439</v>
      </c>
      <c r="O550" s="11" t="str">
        <f>HYPERLINK("https://pbs.twimg.com/profile_images/669441951192760324/zJylEnJ7_normal.jpg","View")</f>
        <v>View</v>
      </c>
      <c r="P550" s="15"/>
    </row>
    <row r="551">
      <c r="A551" s="7">
        <v>42422.2797337963</v>
      </c>
      <c r="B551" s="8" t="str">
        <f>HYPERLINK("https://twitter.com/Emaasit","@Emaasit")</f>
        <v>@Emaasit</v>
      </c>
      <c r="C551" s="10" t="s">
        <v>7313</v>
      </c>
      <c r="D551" s="10" t="s">
        <v>7314</v>
      </c>
      <c r="E551" s="11" t="str">
        <f>HYPERLINK("https://twitter.com/Emaasit/status/701779180833275904","701779180833275904")</f>
        <v>701779180833275904</v>
      </c>
      <c r="F551" s="12" t="s">
        <v>20</v>
      </c>
      <c r="G551" s="13">
        <v>1025.0</v>
      </c>
      <c r="H551" s="13">
        <v>2909.0</v>
      </c>
      <c r="I551" s="13">
        <v>0.0</v>
      </c>
      <c r="J551" s="13">
        <v>3.0</v>
      </c>
      <c r="K551" s="12" t="s">
        <v>21</v>
      </c>
      <c r="L551" s="7">
        <v>39981.148981481485</v>
      </c>
      <c r="M551" s="14" t="s">
        <v>7315</v>
      </c>
      <c r="N551" s="14" t="s">
        <v>7316</v>
      </c>
      <c r="O551" s="11" t="str">
        <f>HYPERLINK("https://pbs.twimg.com/profile_images/567588045927354370/NN8xp_M5_normal.jpeg","View")</f>
        <v>View</v>
      </c>
      <c r="P551" s="15"/>
    </row>
    <row r="552">
      <c r="A552" s="7">
        <v>42422.28224537037</v>
      </c>
      <c r="B552" s="8" t="str">
        <f>HYPERLINK("https://twitter.com/tripartio","@tripartio")</f>
        <v>@tripartio</v>
      </c>
      <c r="C552" s="10" t="s">
        <v>6827</v>
      </c>
      <c r="D552" s="10" t="s">
        <v>7317</v>
      </c>
      <c r="E552" s="11" t="str">
        <f>HYPERLINK("https://twitter.com/tripartio/status/701780091039301632","701780091039301632")</f>
        <v>701780091039301632</v>
      </c>
      <c r="F552" s="12" t="s">
        <v>20</v>
      </c>
      <c r="G552" s="13">
        <v>33.0</v>
      </c>
      <c r="H552" s="13">
        <v>64.0</v>
      </c>
      <c r="I552" s="13">
        <v>0.0</v>
      </c>
      <c r="J552" s="13">
        <v>0.0</v>
      </c>
      <c r="K552" s="12" t="s">
        <v>21</v>
      </c>
      <c r="L552" s="7">
        <v>41946.83112268519</v>
      </c>
      <c r="M552" s="14" t="s">
        <v>1806</v>
      </c>
      <c r="N552" s="14" t="s">
        <v>6829</v>
      </c>
      <c r="O552" s="11" t="str">
        <f>HYPERLINK("https://pbs.twimg.com/profile_images/529482878543867904/H-UGY1d0_normal.png","View")</f>
        <v>View</v>
      </c>
      <c r="P552" s="15"/>
    </row>
    <row r="553">
      <c r="A553" s="7">
        <v>42422.28375</v>
      </c>
      <c r="B553" s="8" t="str">
        <f>HYPERLINK("https://twitter.com/precariobecario","@precariobecario")</f>
        <v>@precariobecario</v>
      </c>
      <c r="C553" s="10" t="s">
        <v>7318</v>
      </c>
      <c r="D553" s="10" t="s">
        <v>7319</v>
      </c>
      <c r="E553" s="11" t="str">
        <f>HYPERLINK("https://twitter.com/precariobecario/status/701780632964349953","701780632964349953")</f>
        <v>701780632964349953</v>
      </c>
      <c r="F553" s="12" t="s">
        <v>20</v>
      </c>
      <c r="G553" s="13">
        <v>71.0</v>
      </c>
      <c r="H553" s="13">
        <v>142.0</v>
      </c>
      <c r="I553" s="13">
        <v>0.0</v>
      </c>
      <c r="J553" s="13">
        <v>2.0</v>
      </c>
      <c r="K553" s="12" t="s">
        <v>21</v>
      </c>
      <c r="L553" s="7">
        <v>39416.20982638889</v>
      </c>
      <c r="M553" s="14" t="s">
        <v>7320</v>
      </c>
      <c r="N553" s="14" t="s">
        <v>7321</v>
      </c>
      <c r="O553" s="11" t="str">
        <f>HYPERLINK("https://pbs.twimg.com/profile_images/557938759753166850/O2-Bt_AF_normal.jpeg","View")</f>
        <v>View</v>
      </c>
      <c r="P553" s="15"/>
    </row>
    <row r="554">
      <c r="A554" s="7">
        <v>42422.28393518519</v>
      </c>
      <c r="B554" s="8" t="str">
        <f t="shared" ref="B554:B555" si="83">HYPERLINK("https://twitter.com/homeAIinfo","@homeAIinfo")</f>
        <v>@homeAIinfo</v>
      </c>
      <c r="C554" s="10" t="s">
        <v>36</v>
      </c>
      <c r="D554" s="10" t="s">
        <v>7263</v>
      </c>
      <c r="E554" s="11" t="str">
        <f>HYPERLINK("https://twitter.com/homeAIinfo/status/701780702124179460","701780702124179460")</f>
        <v>701780702124179460</v>
      </c>
      <c r="F554" s="12" t="s">
        <v>38</v>
      </c>
      <c r="G554" s="13">
        <v>52868.0</v>
      </c>
      <c r="H554" s="13">
        <v>1328.0</v>
      </c>
      <c r="I554" s="13">
        <v>17.0</v>
      </c>
      <c r="J554" s="13">
        <v>0.0</v>
      </c>
      <c r="K554" s="12" t="s">
        <v>21</v>
      </c>
      <c r="L554" s="7">
        <v>42133.34662037037</v>
      </c>
      <c r="M554" s="14" t="s">
        <v>39</v>
      </c>
      <c r="N554" s="14" t="s">
        <v>40</v>
      </c>
      <c r="O554" s="11" t="str">
        <f t="shared" ref="O554:O555" si="84">HYPERLINK("https://pbs.twimg.com/profile_images/645650110374936580/-oQakt8x_normal.png","View")</f>
        <v>View</v>
      </c>
      <c r="P554" s="15"/>
    </row>
    <row r="555">
      <c r="A555" s="7">
        <v>42422.28393518519</v>
      </c>
      <c r="B555" s="8" t="str">
        <f t="shared" si="83"/>
        <v>@homeAIinfo</v>
      </c>
      <c r="C555" s="10" t="s">
        <v>36</v>
      </c>
      <c r="D555" s="10" t="s">
        <v>7271</v>
      </c>
      <c r="E555" s="11" t="str">
        <f>HYPERLINK("https://twitter.com/homeAIinfo/status/701780703269281793","701780703269281793")</f>
        <v>701780703269281793</v>
      </c>
      <c r="F555" s="12" t="s">
        <v>38</v>
      </c>
      <c r="G555" s="13">
        <v>52868.0</v>
      </c>
      <c r="H555" s="13">
        <v>1328.0</v>
      </c>
      <c r="I555" s="13">
        <v>8.0</v>
      </c>
      <c r="J555" s="13">
        <v>0.0</v>
      </c>
      <c r="K555" s="12" t="s">
        <v>21</v>
      </c>
      <c r="L555" s="7">
        <v>42133.34662037037</v>
      </c>
      <c r="M555" s="14" t="s">
        <v>39</v>
      </c>
      <c r="N555" s="14" t="s">
        <v>40</v>
      </c>
      <c r="O555" s="11" t="str">
        <f t="shared" si="84"/>
        <v>View</v>
      </c>
      <c r="P555" s="15"/>
    </row>
    <row r="556">
      <c r="A556" s="7">
        <v>42422.28402777778</v>
      </c>
      <c r="B556" s="8" t="str">
        <f>HYPERLINK("https://twitter.com/neilcharles_uk","@neilcharles_uk")</f>
        <v>@neilcharles_uk</v>
      </c>
      <c r="C556" s="10" t="s">
        <v>7066</v>
      </c>
      <c r="D556" s="10" t="s">
        <v>7322</v>
      </c>
      <c r="E556" s="11" t="str">
        <f>HYPERLINK("https://twitter.com/neilcharles_uk/status/701780735640866817","701780735640866817")</f>
        <v>701780735640866817</v>
      </c>
      <c r="F556" s="12" t="s">
        <v>446</v>
      </c>
      <c r="G556" s="13">
        <v>2419.0</v>
      </c>
      <c r="H556" s="13">
        <v>1157.0</v>
      </c>
      <c r="I556" s="13">
        <v>0.0</v>
      </c>
      <c r="J556" s="13">
        <v>2.0</v>
      </c>
      <c r="K556" s="12" t="s">
        <v>21</v>
      </c>
      <c r="L556" s="7">
        <v>39868.21928240741</v>
      </c>
      <c r="M556" s="14" t="s">
        <v>7068</v>
      </c>
      <c r="N556" s="14" t="s">
        <v>7069</v>
      </c>
      <c r="O556" s="11" t="str">
        <f>HYPERLINK("https://pbs.twimg.com/profile_images/1598054225/sunset_normal.jpg","View")</f>
        <v>View</v>
      </c>
      <c r="P556" s="15"/>
    </row>
    <row r="557">
      <c r="A557" s="7">
        <v>42422.285520833335</v>
      </c>
      <c r="B557" s="8" t="str">
        <f>HYPERLINK("https://twitter.com/openmylab","@openmylab")</f>
        <v>@openmylab</v>
      </c>
      <c r="C557" s="10" t="s">
        <v>5852</v>
      </c>
      <c r="D557" s="10" t="s">
        <v>7323</v>
      </c>
      <c r="E557" s="11" t="str">
        <f>HYPERLINK("https://twitter.com/openmylab/status/701781275791601664","701781275791601664")</f>
        <v>701781275791601664</v>
      </c>
      <c r="F557" s="12" t="s">
        <v>2063</v>
      </c>
      <c r="G557" s="13">
        <v>1017.0</v>
      </c>
      <c r="H557" s="13">
        <v>974.0</v>
      </c>
      <c r="I557" s="13">
        <v>3.0</v>
      </c>
      <c r="J557" s="13">
        <v>0.0</v>
      </c>
      <c r="K557" s="12" t="s">
        <v>21</v>
      </c>
      <c r="L557" s="7">
        <v>42283.33546296296</v>
      </c>
      <c r="M557" s="14" t="s">
        <v>5854</v>
      </c>
      <c r="N557" s="14" t="s">
        <v>5855</v>
      </c>
      <c r="O557" s="11" t="str">
        <f>HYPERLINK("https://pbs.twimg.com/profile_images/696226577386852352/yseUYL_3_normal.jpg","View")</f>
        <v>View</v>
      </c>
      <c r="P557" s="15"/>
    </row>
    <row r="558">
      <c r="A558" s="7">
        <v>42422.28875</v>
      </c>
      <c r="B558" s="8" t="str">
        <f>HYPERLINK("https://twitter.com/Bioconductor","@Bioconductor")</f>
        <v>@Bioconductor</v>
      </c>
      <c r="C558" s="10" t="s">
        <v>7324</v>
      </c>
      <c r="D558" s="10" t="s">
        <v>7325</v>
      </c>
      <c r="E558" s="11" t="str">
        <f>HYPERLINK("https://twitter.com/Bioconductor/status/701782447646752770","701782447646752770")</f>
        <v>701782447646752770</v>
      </c>
      <c r="F558" s="12" t="s">
        <v>20</v>
      </c>
      <c r="G558" s="13">
        <v>1739.0</v>
      </c>
      <c r="H558" s="13">
        <v>0.0</v>
      </c>
      <c r="I558" s="13">
        <v>4.0</v>
      </c>
      <c r="J558" s="13">
        <v>2.0</v>
      </c>
      <c r="K558" s="12" t="s">
        <v>21</v>
      </c>
      <c r="L558" s="7">
        <v>40854.48306712963</v>
      </c>
      <c r="M558" s="14" t="s">
        <v>7326</v>
      </c>
      <c r="N558" s="16"/>
      <c r="O558" s="11" t="str">
        <f>HYPERLINK("https://pbs.twimg.com/profile_images/1993565463/note_normal.jpg","View")</f>
        <v>View</v>
      </c>
      <c r="P558" s="15"/>
    </row>
    <row r="559">
      <c r="A559" s="7">
        <v>42422.288888888885</v>
      </c>
      <c r="B559" s="8" t="str">
        <f>HYPERLINK("https://twitter.com/frankwwu","@frankwwu")</f>
        <v>@frankwwu</v>
      </c>
      <c r="C559" s="10" t="s">
        <v>6644</v>
      </c>
      <c r="D559" s="10" t="s">
        <v>7271</v>
      </c>
      <c r="E559" s="11" t="str">
        <f>HYPERLINK("https://twitter.com/frankwwu/status/701782498016034816","701782498016034816")</f>
        <v>701782498016034816</v>
      </c>
      <c r="F559" s="12" t="s">
        <v>20</v>
      </c>
      <c r="G559" s="13">
        <v>122.0</v>
      </c>
      <c r="H559" s="13">
        <v>232.0</v>
      </c>
      <c r="I559" s="13">
        <v>8.0</v>
      </c>
      <c r="J559" s="13">
        <v>0.0</v>
      </c>
      <c r="K559" s="12" t="s">
        <v>21</v>
      </c>
      <c r="L559" s="7">
        <v>39235.83243055556</v>
      </c>
      <c r="M559" s="14" t="s">
        <v>6646</v>
      </c>
      <c r="N559" s="14" t="s">
        <v>6647</v>
      </c>
      <c r="O559" s="11" t="str">
        <f>HYPERLINK("https://pbs.twimg.com/profile_images/647923180795994112/kfRnOF24_normal.jpg","View")</f>
        <v>View</v>
      </c>
      <c r="P559" s="15"/>
    </row>
    <row r="560">
      <c r="A560" s="7">
        <v>42422.28944444444</v>
      </c>
      <c r="B560" s="8" t="str">
        <f>HYPERLINK("https://twitter.com/bigboardsio","@bigboardsio")</f>
        <v>@bigboardsio</v>
      </c>
      <c r="C560" s="10" t="s">
        <v>5651</v>
      </c>
      <c r="D560" s="10" t="s">
        <v>7271</v>
      </c>
      <c r="E560" s="11" t="str">
        <f>HYPERLINK("https://twitter.com/bigboardsio/status/701782698986225664","701782698986225664")</f>
        <v>701782698986225664</v>
      </c>
      <c r="F560" s="12" t="s">
        <v>38</v>
      </c>
      <c r="G560" s="13">
        <v>3089.0</v>
      </c>
      <c r="H560" s="13">
        <v>2635.0</v>
      </c>
      <c r="I560" s="13">
        <v>8.0</v>
      </c>
      <c r="J560" s="13">
        <v>0.0</v>
      </c>
      <c r="K560" s="12" t="s">
        <v>21</v>
      </c>
      <c r="L560" s="7">
        <v>41449.67438657407</v>
      </c>
      <c r="M560" s="14" t="s">
        <v>5652</v>
      </c>
      <c r="N560" s="14" t="s">
        <v>5653</v>
      </c>
      <c r="O560" s="11" t="str">
        <f>HYPERLINK("https://pbs.twimg.com/profile_images/489375332743409664/P4sYDY1__normal.png","View")</f>
        <v>View</v>
      </c>
      <c r="P560" s="15"/>
    </row>
    <row r="561">
      <c r="A561" s="7">
        <v>42422.291400462964</v>
      </c>
      <c r="B561" s="8" t="str">
        <f t="shared" ref="B561:B562" si="85">HYPERLINK("https://twitter.com/doyoupoincare","@doyoupoincare")</f>
        <v>@doyoupoincare</v>
      </c>
      <c r="C561" s="10" t="s">
        <v>7327</v>
      </c>
      <c r="D561" s="10" t="s">
        <v>7263</v>
      </c>
      <c r="E561" s="11" t="str">
        <f>HYPERLINK("https://twitter.com/doyoupoincare/status/701783406149931008","701783406149931008")</f>
        <v>701783406149931008</v>
      </c>
      <c r="F561" s="12" t="s">
        <v>52</v>
      </c>
      <c r="G561" s="13">
        <v>49.0</v>
      </c>
      <c r="H561" s="13">
        <v>1380.0</v>
      </c>
      <c r="I561" s="13">
        <v>17.0</v>
      </c>
      <c r="J561" s="13">
        <v>0.0</v>
      </c>
      <c r="K561" s="12" t="s">
        <v>21</v>
      </c>
      <c r="L561" s="7">
        <v>39821.86159722222</v>
      </c>
      <c r="M561" s="16"/>
      <c r="N561" s="14" t="s">
        <v>7328</v>
      </c>
      <c r="O561" s="11" t="str">
        <f t="shared" ref="O561:O562" si="86">HYPERLINK("https://pbs.twimg.com/profile_images/598111061292646400/nL5KUL4I_normal.jpg","View")</f>
        <v>View</v>
      </c>
      <c r="P561" s="15"/>
    </row>
    <row r="562">
      <c r="A562" s="7">
        <v>42422.29143518519</v>
      </c>
      <c r="B562" s="8" t="str">
        <f t="shared" si="85"/>
        <v>@doyoupoincare</v>
      </c>
      <c r="C562" s="10" t="s">
        <v>7327</v>
      </c>
      <c r="D562" s="10" t="s">
        <v>7271</v>
      </c>
      <c r="E562" s="11" t="str">
        <f>HYPERLINK("https://twitter.com/doyoupoincare/status/701783418149834757","701783418149834757")</f>
        <v>701783418149834757</v>
      </c>
      <c r="F562" s="12" t="s">
        <v>52</v>
      </c>
      <c r="G562" s="13">
        <v>49.0</v>
      </c>
      <c r="H562" s="13">
        <v>1380.0</v>
      </c>
      <c r="I562" s="13">
        <v>8.0</v>
      </c>
      <c r="J562" s="13">
        <v>0.0</v>
      </c>
      <c r="K562" s="12" t="s">
        <v>21</v>
      </c>
      <c r="L562" s="7">
        <v>39821.86159722222</v>
      </c>
      <c r="M562" s="16"/>
      <c r="N562" s="14" t="s">
        <v>7328</v>
      </c>
      <c r="O562" s="11" t="str">
        <f t="shared" si="86"/>
        <v>View</v>
      </c>
      <c r="P562" s="15"/>
    </row>
    <row r="563">
      <c r="A563" s="7">
        <v>42422.29253472222</v>
      </c>
      <c r="B563" s="8" t="str">
        <f>HYPERLINK("https://twitter.com/klunkySQL","@klunkySQL")</f>
        <v>@klunkySQL</v>
      </c>
      <c r="C563" s="10" t="s">
        <v>7329</v>
      </c>
      <c r="D563" s="10" t="s">
        <v>7256</v>
      </c>
      <c r="E563" s="11" t="str">
        <f>HYPERLINK("https://twitter.com/klunkySQL/status/701783819679088641","701783819679088641")</f>
        <v>701783819679088641</v>
      </c>
      <c r="F563" s="12" t="s">
        <v>52</v>
      </c>
      <c r="G563" s="13">
        <v>18434.0</v>
      </c>
      <c r="H563" s="13">
        <v>17057.0</v>
      </c>
      <c r="I563" s="13">
        <v>6.0</v>
      </c>
      <c r="J563" s="13">
        <v>0.0</v>
      </c>
      <c r="K563" s="12" t="s">
        <v>21</v>
      </c>
      <c r="L563" s="7">
        <v>39772.462384259255</v>
      </c>
      <c r="M563" s="14" t="s">
        <v>3505</v>
      </c>
      <c r="N563" s="14" t="s">
        <v>7330</v>
      </c>
      <c r="O563" s="11" t="str">
        <f>HYPERLINK("https://pbs.twimg.com/profile_images/378800000400158691/edbe12abee25147a4fa5f37eced8f9cb_normal.png","View")</f>
        <v>View</v>
      </c>
      <c r="P563" s="15"/>
    </row>
    <row r="564">
      <c r="A564" s="7">
        <v>42422.29935185185</v>
      </c>
      <c r="B564" s="8" t="str">
        <f>HYPERLINK("https://twitter.com/MangoTheCat","@MangoTheCat")</f>
        <v>@MangoTheCat</v>
      </c>
      <c r="C564" s="10" t="s">
        <v>6321</v>
      </c>
      <c r="D564" s="10" t="s">
        <v>7331</v>
      </c>
      <c r="E564" s="11" t="str">
        <f>HYPERLINK("https://twitter.com/MangoTheCat/status/701786288446435328","701786288446435328")</f>
        <v>701786288446435328</v>
      </c>
      <c r="F564" s="12" t="s">
        <v>20</v>
      </c>
      <c r="G564" s="13">
        <v>2041.0</v>
      </c>
      <c r="H564" s="13">
        <v>2855.0</v>
      </c>
      <c r="I564" s="13">
        <v>2.0</v>
      </c>
      <c r="J564" s="13">
        <v>0.0</v>
      </c>
      <c r="K564" s="12" t="s">
        <v>21</v>
      </c>
      <c r="L564" s="7">
        <v>39854.3178587963</v>
      </c>
      <c r="M564" s="14" t="s">
        <v>6323</v>
      </c>
      <c r="N564" s="14" t="s">
        <v>6324</v>
      </c>
      <c r="O564" s="11" t="str">
        <f>HYPERLINK("https://pbs.twimg.com/profile_images/641183991077445633/V7VcBpJI_normal.png","View")</f>
        <v>View</v>
      </c>
      <c r="P564" s="15"/>
    </row>
    <row r="565">
      <c r="A565" s="7">
        <v>42422.3080787037</v>
      </c>
      <c r="B565" s="8" t="str">
        <f>HYPERLINK("https://twitter.com/pageinini","@pageinini")</f>
        <v>@pageinini</v>
      </c>
      <c r="C565" s="10" t="s">
        <v>7332</v>
      </c>
      <c r="D565" s="10" t="s">
        <v>7333</v>
      </c>
      <c r="E565" s="11" t="str">
        <f>HYPERLINK("https://twitter.com/pageinini/status/701789449882116102","701789449882116102")</f>
        <v>701789449882116102</v>
      </c>
      <c r="F565" s="12" t="s">
        <v>20</v>
      </c>
      <c r="G565" s="13">
        <v>37.0</v>
      </c>
      <c r="H565" s="13">
        <v>54.0</v>
      </c>
      <c r="I565" s="13">
        <v>0.0</v>
      </c>
      <c r="J565" s="13">
        <v>0.0</v>
      </c>
      <c r="K565" s="12" t="s">
        <v>21</v>
      </c>
      <c r="L565" s="7">
        <v>41887.55305555556</v>
      </c>
      <c r="M565" s="14" t="s">
        <v>462</v>
      </c>
      <c r="N565" s="14" t="s">
        <v>7334</v>
      </c>
      <c r="O565" s="11" t="str">
        <f>HYPERLINK("https://pbs.twimg.com/profile_images/507990966200852480/Oi-U7rt6_normal.jpeg","View")</f>
        <v>View</v>
      </c>
      <c r="P565" s="15"/>
    </row>
    <row r="566">
      <c r="A566" s="7">
        <v>42422.30868055555</v>
      </c>
      <c r="B566" s="8" t="str">
        <f>HYPERLINK("https://twitter.com/hexheadtn","@hexheadtn")</f>
        <v>@hexheadtn</v>
      </c>
      <c r="C566" s="10" t="s">
        <v>7335</v>
      </c>
      <c r="D566" s="10" t="s">
        <v>7336</v>
      </c>
      <c r="E566" s="11" t="str">
        <f>HYPERLINK("https://twitter.com/hexheadtn/status/701789669768318976","701789669768318976")</f>
        <v>701789669768318976</v>
      </c>
      <c r="F566" s="12" t="s">
        <v>20</v>
      </c>
      <c r="G566" s="13">
        <v>211.0</v>
      </c>
      <c r="H566" s="13">
        <v>244.0</v>
      </c>
      <c r="I566" s="13">
        <v>0.0</v>
      </c>
      <c r="J566" s="13">
        <v>0.0</v>
      </c>
      <c r="K566" s="12" t="s">
        <v>21</v>
      </c>
      <c r="L566" s="7">
        <v>39798.211377314816</v>
      </c>
      <c r="M566" s="14" t="s">
        <v>7337</v>
      </c>
      <c r="N566" s="14" t="s">
        <v>7338</v>
      </c>
      <c r="O566" s="11" t="str">
        <f>HYPERLINK("https://pbs.twimg.com/profile_images/716369722/MeThinker_normal.jpg","View")</f>
        <v>View</v>
      </c>
      <c r="P566" s="15"/>
    </row>
    <row r="567">
      <c r="A567" s="7">
        <v>42422.310208333336</v>
      </c>
      <c r="B567" s="8" t="str">
        <f>HYPERLINK("https://twitter.com/jon_m_rob","@jon_m_rob")</f>
        <v>@jon_m_rob</v>
      </c>
      <c r="C567" s="10" t="s">
        <v>7339</v>
      </c>
      <c r="D567" s="10" t="s">
        <v>6773</v>
      </c>
      <c r="E567" s="11" t="str">
        <f>HYPERLINK("https://twitter.com/jon_m_rob/status/701790221461893120","701790221461893120")</f>
        <v>701790221461893120</v>
      </c>
      <c r="F567" s="12" t="s">
        <v>20</v>
      </c>
      <c r="G567" s="13">
        <v>793.0</v>
      </c>
      <c r="H567" s="13">
        <v>1227.0</v>
      </c>
      <c r="I567" s="13">
        <v>61.0</v>
      </c>
      <c r="J567" s="13">
        <v>0.0</v>
      </c>
      <c r="K567" s="12" t="s">
        <v>21</v>
      </c>
      <c r="L567" s="7">
        <v>41071.80006944444</v>
      </c>
      <c r="M567" s="14" t="s">
        <v>784</v>
      </c>
      <c r="N567" s="14" t="s">
        <v>7340</v>
      </c>
      <c r="O567" s="11" t="str">
        <f>HYPERLINK("https://pbs.twimg.com/profile_images/610229649478668289/GSd903U8_normal.jpg","View")</f>
        <v>View</v>
      </c>
      <c r="P567" s="15"/>
    </row>
    <row r="568">
      <c r="A568" s="7">
        <v>42422.310266203705</v>
      </c>
      <c r="B568" s="8" t="str">
        <f>HYPERLINK("https://twitter.com/drob","@drob")</f>
        <v>@drob</v>
      </c>
      <c r="C568" s="10" t="s">
        <v>7341</v>
      </c>
      <c r="D568" s="10" t="s">
        <v>7342</v>
      </c>
      <c r="E568" s="11" t="str">
        <f>HYPERLINK("https://twitter.com/drob/status/701790246111825925","701790246111825925")</f>
        <v>701790246111825925</v>
      </c>
      <c r="F568" s="12" t="s">
        <v>20</v>
      </c>
      <c r="G568" s="13">
        <v>2249.0</v>
      </c>
      <c r="H568" s="13">
        <v>230.0</v>
      </c>
      <c r="I568" s="13">
        <v>48.0</v>
      </c>
      <c r="J568" s="13">
        <v>75.0</v>
      </c>
      <c r="K568" s="12" t="s">
        <v>21</v>
      </c>
      <c r="L568" s="7">
        <v>39974.65020833333</v>
      </c>
      <c r="M568" s="14" t="s">
        <v>1018</v>
      </c>
      <c r="N568" s="14" t="s">
        <v>7343</v>
      </c>
      <c r="O568" s="11" t="str">
        <f>HYPERLINK("https://pbs.twimg.com/profile_images/777175344/David_Robinson_normal.jpg","View")</f>
        <v>View</v>
      </c>
      <c r="P568" s="15"/>
    </row>
    <row r="569">
      <c r="A569" s="7">
        <v>42422.311585648145</v>
      </c>
      <c r="B569" s="8" t="str">
        <f>HYPERLINK("https://twitter.com/dragonflystats","@dragonflystats")</f>
        <v>@dragonflystats</v>
      </c>
      <c r="C569" s="10" t="s">
        <v>7344</v>
      </c>
      <c r="D569" s="10" t="s">
        <v>7345</v>
      </c>
      <c r="E569" s="11" t="str">
        <f>HYPERLINK("https://twitter.com/dragonflystats/status/701790721754447877","701790721754447877")</f>
        <v>701790721754447877</v>
      </c>
      <c r="F569" s="12" t="s">
        <v>20</v>
      </c>
      <c r="G569" s="13">
        <v>2313.0</v>
      </c>
      <c r="H569" s="13">
        <v>2016.0</v>
      </c>
      <c r="I569" s="13">
        <v>1.0</v>
      </c>
      <c r="J569" s="13">
        <v>1.0</v>
      </c>
      <c r="K569" s="12" t="s">
        <v>21</v>
      </c>
      <c r="L569" s="7">
        <v>41356.21569444444</v>
      </c>
      <c r="M569" s="14" t="s">
        <v>1031</v>
      </c>
      <c r="N569" s="14" t="s">
        <v>7346</v>
      </c>
      <c r="O569" s="11" t="str">
        <f>HYPERLINK("https://pbs.twimg.com/profile_images/3427713318/840e4aa0a6dca9263a0507fbfe4c4074_normal.jpeg","View")</f>
        <v>View</v>
      </c>
      <c r="P569" s="15"/>
    </row>
    <row r="570">
      <c r="A570" s="7">
        <v>42422.311944444446</v>
      </c>
      <c r="B570" s="8" t="str">
        <f>HYPERLINK("https://twitter.com/briankreeger","@briankreeger")</f>
        <v>@briankreeger</v>
      </c>
      <c r="C570" s="10" t="s">
        <v>7347</v>
      </c>
      <c r="D570" s="10" t="s">
        <v>7348</v>
      </c>
      <c r="E570" s="11" t="str">
        <f>HYPERLINK("https://twitter.com/briankreeger/status/701790851752570880","701790851752570880")</f>
        <v>701790851752570880</v>
      </c>
      <c r="F570" s="12" t="s">
        <v>20</v>
      </c>
      <c r="G570" s="13">
        <v>32.0</v>
      </c>
      <c r="H570" s="13">
        <v>150.0</v>
      </c>
      <c r="I570" s="13">
        <v>0.0</v>
      </c>
      <c r="J570" s="13">
        <v>0.0</v>
      </c>
      <c r="K570" s="12" t="s">
        <v>21</v>
      </c>
      <c r="L570" s="7">
        <v>42201.870104166665</v>
      </c>
      <c r="M570" s="14" t="s">
        <v>7349</v>
      </c>
      <c r="N570" s="14" t="s">
        <v>7350</v>
      </c>
      <c r="O570" s="11" t="str">
        <f>HYPERLINK("https://pbs.twimg.com/profile_images/636990062933053440/OlUaVGOM_normal.jpg","View")</f>
        <v>View</v>
      </c>
      <c r="P570" s="15"/>
    </row>
    <row r="571">
      <c r="A571" s="7">
        <v>42422.31234953704</v>
      </c>
      <c r="B571" s="8" t="str">
        <f>HYPERLINK("https://twitter.com/David_Roberson","@David_Roberson")</f>
        <v>@David_Roberson</v>
      </c>
      <c r="C571" s="10" t="s">
        <v>7351</v>
      </c>
      <c r="D571" s="10" t="s">
        <v>7352</v>
      </c>
      <c r="E571" s="11" t="str">
        <f>HYPERLINK("https://twitter.com/David_Roberson/status/701790998159040512","701790998159040512")</f>
        <v>701790998159040512</v>
      </c>
      <c r="F571" s="12" t="s">
        <v>152</v>
      </c>
      <c r="G571" s="13">
        <v>66.0</v>
      </c>
      <c r="H571" s="13">
        <v>118.0</v>
      </c>
      <c r="I571" s="13">
        <v>48.0</v>
      </c>
      <c r="J571" s="13">
        <v>0.0</v>
      </c>
      <c r="K571" s="12" t="s">
        <v>21</v>
      </c>
      <c r="L571" s="7">
        <v>39541.299780092595</v>
      </c>
      <c r="M571" s="14" t="s">
        <v>7353</v>
      </c>
      <c r="N571" s="14" t="s">
        <v>7354</v>
      </c>
      <c r="O571" s="11" t="str">
        <f>HYPERLINK("https://pbs.twimg.com/profile_images/553165449169362945/5zO4P1iK_normal.jpeg","View")</f>
        <v>View</v>
      </c>
      <c r="P571" s="15"/>
    </row>
    <row r="572">
      <c r="A572" s="7">
        <v>42422.3125</v>
      </c>
      <c r="B572" s="8" t="str">
        <f>HYPERLINK("https://twitter.com/Hypoport","@Hypoport")</f>
        <v>@Hypoport</v>
      </c>
      <c r="C572" s="10" t="s">
        <v>7355</v>
      </c>
      <c r="D572" s="10" t="s">
        <v>7356</v>
      </c>
      <c r="E572" s="11" t="str">
        <f>HYPERLINK("https://twitter.com/Hypoport/status/701791052756348929","701791052756348929")</f>
        <v>701791052756348929</v>
      </c>
      <c r="F572" s="12" t="s">
        <v>20</v>
      </c>
      <c r="G572" s="13">
        <v>467.0</v>
      </c>
      <c r="H572" s="13">
        <v>771.0</v>
      </c>
      <c r="I572" s="13">
        <v>1.0</v>
      </c>
      <c r="J572" s="13">
        <v>0.0</v>
      </c>
      <c r="K572" s="12" t="s">
        <v>21</v>
      </c>
      <c r="L572" s="7">
        <v>40043.18891203704</v>
      </c>
      <c r="M572" s="14" t="s">
        <v>7357</v>
      </c>
      <c r="N572" s="14" t="s">
        <v>7358</v>
      </c>
      <c r="O572" s="11" t="str">
        <f>HYPERLINK("https://pbs.twimg.com/profile_images/516590578692136960/hW9E50Nj_normal.png","View")</f>
        <v>View</v>
      </c>
      <c r="P572" s="15"/>
    </row>
    <row r="573">
      <c r="A573" s="7">
        <v>42422.31407407408</v>
      </c>
      <c r="B573" s="8" t="str">
        <f>HYPERLINK("https://twitter.com/kierisi","@kierisi")</f>
        <v>@kierisi</v>
      </c>
      <c r="C573" s="10" t="s">
        <v>1614</v>
      </c>
      <c r="D573" s="10" t="s">
        <v>7359</v>
      </c>
      <c r="E573" s="11" t="str">
        <f>HYPERLINK("https://twitter.com/kierisi/status/701791626092347392","701791626092347392")</f>
        <v>701791626092347392</v>
      </c>
      <c r="F573" s="12" t="s">
        <v>152</v>
      </c>
      <c r="G573" s="13">
        <v>668.0</v>
      </c>
      <c r="H573" s="13">
        <v>588.0</v>
      </c>
      <c r="I573" s="13">
        <v>0.0</v>
      </c>
      <c r="J573" s="13">
        <v>6.0</v>
      </c>
      <c r="K573" s="12" t="s">
        <v>21</v>
      </c>
      <c r="L573" s="7">
        <v>41741.39902777778</v>
      </c>
      <c r="M573" s="14" t="s">
        <v>1616</v>
      </c>
      <c r="N573" s="14" t="s">
        <v>1617</v>
      </c>
      <c r="O573" s="11" t="str">
        <f>HYPERLINK("https://pbs.twimg.com/profile_images/679646902145556480/cM-3XPTI_normal.jpg","View")</f>
        <v>View</v>
      </c>
      <c r="P573" s="15"/>
    </row>
    <row r="574">
      <c r="A574" s="7">
        <v>42422.31462962963</v>
      </c>
      <c r="B574" s="8" t="str">
        <f>HYPERLINK("https://twitter.com/skilloak","@skilloak")</f>
        <v>@skilloak</v>
      </c>
      <c r="C574" s="10" t="s">
        <v>5999</v>
      </c>
      <c r="D574" s="10" t="s">
        <v>7360</v>
      </c>
      <c r="E574" s="11" t="str">
        <f>HYPERLINK("https://twitter.com/skilloak/status/701791827280572416","701791827280572416")</f>
        <v>701791827280572416</v>
      </c>
      <c r="F574" s="12" t="s">
        <v>446</v>
      </c>
      <c r="G574" s="13">
        <v>2427.0</v>
      </c>
      <c r="H574" s="13">
        <v>338.0</v>
      </c>
      <c r="I574" s="13">
        <v>0.0</v>
      </c>
      <c r="J574" s="13">
        <v>0.0</v>
      </c>
      <c r="K574" s="12" t="s">
        <v>21</v>
      </c>
      <c r="L574" s="7">
        <v>41308.39502314815</v>
      </c>
      <c r="M574" s="16"/>
      <c r="N574" s="14" t="s">
        <v>6001</v>
      </c>
      <c r="O574" s="11" t="str">
        <f>HYPERLINK("https://pbs.twimg.com/profile_images/670315479517413376/Kkf5JA8s_normal.png","View")</f>
        <v>View</v>
      </c>
      <c r="P574" s="15"/>
    </row>
    <row r="575">
      <c r="A575" s="7">
        <v>42422.31527777778</v>
      </c>
      <c r="B575" s="8" t="str">
        <f>HYPERLINK("https://twitter.com/dccc_phd","@dccc_phd")</f>
        <v>@dccc_phd</v>
      </c>
      <c r="C575" s="10" t="s">
        <v>7361</v>
      </c>
      <c r="D575" s="10" t="s">
        <v>7352</v>
      </c>
      <c r="E575" s="11" t="str">
        <f>HYPERLINK("https://twitter.com/dccc_phd/status/701792061662609412","701792061662609412")</f>
        <v>701792061662609412</v>
      </c>
      <c r="F575" s="12" t="s">
        <v>20</v>
      </c>
      <c r="G575" s="13">
        <v>115.0</v>
      </c>
      <c r="H575" s="13">
        <v>406.0</v>
      </c>
      <c r="I575" s="13">
        <v>48.0</v>
      </c>
      <c r="J575" s="13">
        <v>0.0</v>
      </c>
      <c r="K575" s="12" t="s">
        <v>21</v>
      </c>
      <c r="L575" s="7">
        <v>41698.293807870374</v>
      </c>
      <c r="M575" s="14" t="s">
        <v>332</v>
      </c>
      <c r="N575" s="14" t="s">
        <v>7362</v>
      </c>
      <c r="O575" s="11" t="str">
        <f>HYPERLINK("https://pbs.twimg.com/profile_images/466601448952717312/IDi2ej9-_normal.jpeg","View")</f>
        <v>View</v>
      </c>
      <c r="P575" s="15"/>
    </row>
    <row r="576">
      <c r="A576" s="7">
        <v>42422.31534722222</v>
      </c>
      <c r="B576" s="8" t="str">
        <f>HYPERLINK("https://twitter.com/hrhotz","@hrhotz")</f>
        <v>@hrhotz</v>
      </c>
      <c r="C576" s="10" t="s">
        <v>7363</v>
      </c>
      <c r="D576" s="10" t="s">
        <v>7364</v>
      </c>
      <c r="E576" s="11" t="str">
        <f>HYPERLINK("https://twitter.com/hrhotz/status/701792085511434240","701792085511434240")</f>
        <v>701792085511434240</v>
      </c>
      <c r="F576" s="12" t="s">
        <v>20</v>
      </c>
      <c r="G576" s="13">
        <v>107.0</v>
      </c>
      <c r="H576" s="13">
        <v>126.0</v>
      </c>
      <c r="I576" s="13">
        <v>4.0</v>
      </c>
      <c r="J576" s="13">
        <v>0.0</v>
      </c>
      <c r="K576" s="12" t="s">
        <v>21</v>
      </c>
      <c r="L576" s="7">
        <v>40686.196018518516</v>
      </c>
      <c r="M576" s="16"/>
      <c r="N576" s="16"/>
      <c r="O576" s="11" t="str">
        <f>HYPERLINK("https://pbs.twimg.com/profile_images/459219127203164160/oglOcHsK_normal.jpeg","View")</f>
        <v>View</v>
      </c>
      <c r="P576" s="15"/>
    </row>
    <row r="577">
      <c r="A577" s="7">
        <v>42422.31627314815</v>
      </c>
      <c r="B577" s="8" t="str">
        <f>HYPERLINK("https://twitter.com/DrMarkDunning","@DrMarkDunning")</f>
        <v>@DrMarkDunning</v>
      </c>
      <c r="C577" s="10" t="s">
        <v>7365</v>
      </c>
      <c r="D577" s="10" t="s">
        <v>7364</v>
      </c>
      <c r="E577" s="11" t="str">
        <f>HYPERLINK("https://twitter.com/DrMarkDunning/status/701792422234345473","701792422234345473")</f>
        <v>701792422234345473</v>
      </c>
      <c r="F577" s="12" t="s">
        <v>20</v>
      </c>
      <c r="G577" s="13">
        <v>71.0</v>
      </c>
      <c r="H577" s="13">
        <v>160.0</v>
      </c>
      <c r="I577" s="13">
        <v>4.0</v>
      </c>
      <c r="J577" s="13">
        <v>0.0</v>
      </c>
      <c r="K577" s="12" t="s">
        <v>21</v>
      </c>
      <c r="L577" s="7">
        <v>40868.500439814816</v>
      </c>
      <c r="M577" s="14" t="s">
        <v>7366</v>
      </c>
      <c r="N577" s="14" t="s">
        <v>7367</v>
      </c>
      <c r="O577" s="11" t="str">
        <f>HYPERLINK("https://pbs.twimg.com/profile_images/3338274218/a50c630bc9de670c36de594a53d890dd_normal.jpeg","View")</f>
        <v>View</v>
      </c>
      <c r="P577" s="15"/>
    </row>
    <row r="578">
      <c r="A578" s="7">
        <v>42422.31674768518</v>
      </c>
      <c r="B578" s="8" t="str">
        <f>HYPERLINK("https://twitter.com/hjms","@hjms")</f>
        <v>@hjms</v>
      </c>
      <c r="C578" s="10" t="s">
        <v>7368</v>
      </c>
      <c r="D578" s="10" t="s">
        <v>7352</v>
      </c>
      <c r="E578" s="11" t="str">
        <f>HYPERLINK("https://twitter.com/hjms/status/701792591348678656","701792591348678656")</f>
        <v>701792591348678656</v>
      </c>
      <c r="F578" s="12" t="s">
        <v>446</v>
      </c>
      <c r="G578" s="13">
        <v>432.0</v>
      </c>
      <c r="H578" s="13">
        <v>390.0</v>
      </c>
      <c r="I578" s="13">
        <v>48.0</v>
      </c>
      <c r="J578" s="13">
        <v>0.0</v>
      </c>
      <c r="K578" s="12" t="s">
        <v>21</v>
      </c>
      <c r="L578" s="7">
        <v>39832.390335648146</v>
      </c>
      <c r="M578" s="14" t="s">
        <v>4464</v>
      </c>
      <c r="N578" s="14" t="s">
        <v>7369</v>
      </c>
      <c r="O578" s="11" t="str">
        <f>HYPERLINK("https://pbs.twimg.com/profile_images/561827230108512256/A-TCfbuf_normal.jpeg","View")</f>
        <v>View</v>
      </c>
      <c r="P578" s="15"/>
    </row>
    <row r="579">
      <c r="A579" s="7">
        <v>42422.31685185185</v>
      </c>
      <c r="B579" s="8" t="str">
        <f>HYPERLINK("https://twitter.com/EvanTachovsky","@EvanTachovsky")</f>
        <v>@EvanTachovsky</v>
      </c>
      <c r="C579" s="10" t="s">
        <v>7370</v>
      </c>
      <c r="D579" s="10" t="s">
        <v>7352</v>
      </c>
      <c r="E579" s="11" t="str">
        <f>HYPERLINK("https://twitter.com/EvanTachovsky/status/701792628942184449","701792628942184449")</f>
        <v>701792628942184449</v>
      </c>
      <c r="F579" s="12" t="s">
        <v>20</v>
      </c>
      <c r="G579" s="13">
        <v>141.0</v>
      </c>
      <c r="H579" s="13">
        <v>423.0</v>
      </c>
      <c r="I579" s="13">
        <v>48.0</v>
      </c>
      <c r="J579" s="13">
        <v>0.0</v>
      </c>
      <c r="K579" s="12" t="s">
        <v>21</v>
      </c>
      <c r="L579" s="7">
        <v>40571.74166666667</v>
      </c>
      <c r="M579" s="16"/>
      <c r="N579" s="14" t="s">
        <v>7371</v>
      </c>
      <c r="O579" s="11" t="str">
        <f>HYPERLINK("https://pbs.twimg.com/profile_images/571074052161150976/roiKBKRf_normal.jpeg","View")</f>
        <v>View</v>
      </c>
      <c r="P579" s="15"/>
    </row>
    <row r="580">
      <c r="A580" s="7">
        <v>42422.31688657407</v>
      </c>
      <c r="B580" s="8" t="str">
        <f>HYPERLINK("https://twitter.com/mtrost2","@mtrost2")</f>
        <v>@mtrost2</v>
      </c>
      <c r="C580" s="10" t="s">
        <v>7372</v>
      </c>
      <c r="D580" s="10" t="s">
        <v>7352</v>
      </c>
      <c r="E580" s="11" t="str">
        <f>HYPERLINK("https://twitter.com/mtrost2/status/701792641525141506","701792641525141506")</f>
        <v>701792641525141506</v>
      </c>
      <c r="F580" s="12" t="s">
        <v>152</v>
      </c>
      <c r="G580" s="13">
        <v>16.0</v>
      </c>
      <c r="H580" s="13">
        <v>102.0</v>
      </c>
      <c r="I580" s="13">
        <v>48.0</v>
      </c>
      <c r="J580" s="13">
        <v>0.0</v>
      </c>
      <c r="K580" s="12" t="s">
        <v>21</v>
      </c>
      <c r="L580" s="7">
        <v>40619.09730324074</v>
      </c>
      <c r="M580" s="16"/>
      <c r="N580" s="16"/>
      <c r="O580" s="11" t="str">
        <f>HYPERLINK("https://abs.twimg.com/sticky/default_profile_images/default_profile_0_normal.png","View")</f>
        <v>View</v>
      </c>
      <c r="P580" s="15"/>
    </row>
    <row r="581">
      <c r="A581" s="7">
        <v>42422.318518518514</v>
      </c>
      <c r="B581" s="8" t="str">
        <f>HYPERLINK("https://twitter.com/stefanpiatek","@stefanpiatek")</f>
        <v>@stefanpiatek</v>
      </c>
      <c r="C581" s="10" t="s">
        <v>7373</v>
      </c>
      <c r="D581" s="10" t="s">
        <v>7352</v>
      </c>
      <c r="E581" s="11" t="str">
        <f>HYPERLINK("https://twitter.com/stefanpiatek/status/701793234977210369","701793234977210369")</f>
        <v>701793234977210369</v>
      </c>
      <c r="F581" s="12" t="s">
        <v>20</v>
      </c>
      <c r="G581" s="13">
        <v>131.0</v>
      </c>
      <c r="H581" s="13">
        <v>278.0</v>
      </c>
      <c r="I581" s="13">
        <v>48.0</v>
      </c>
      <c r="J581" s="13">
        <v>0.0</v>
      </c>
      <c r="K581" s="12" t="s">
        <v>21</v>
      </c>
      <c r="L581" s="7">
        <v>39885.29752314815</v>
      </c>
      <c r="M581" s="14" t="s">
        <v>489</v>
      </c>
      <c r="N581" s="14" t="s">
        <v>7374</v>
      </c>
      <c r="O581" s="11" t="str">
        <f>HYPERLINK("https://pbs.twimg.com/profile_images/653526133451923456/8sKgc6yf_normal.jpg","View")</f>
        <v>View</v>
      </c>
      <c r="P581" s="15"/>
    </row>
    <row r="582">
      <c r="A582" s="7">
        <v>42422.31880787037</v>
      </c>
      <c r="B582" s="8" t="str">
        <f>HYPERLINK("https://twitter.com/randyzwitch","@randyzwitch")</f>
        <v>@randyzwitch</v>
      </c>
      <c r="C582" s="10" t="s">
        <v>7375</v>
      </c>
      <c r="D582" s="10" t="s">
        <v>7376</v>
      </c>
      <c r="E582" s="11" t="str">
        <f>HYPERLINK("https://twitter.com/randyzwitch/status/701793341126504448","701793341126504448")</f>
        <v>701793341126504448</v>
      </c>
      <c r="F582" s="12" t="s">
        <v>446</v>
      </c>
      <c r="G582" s="13">
        <v>1516.0</v>
      </c>
      <c r="H582" s="13">
        <v>290.0</v>
      </c>
      <c r="I582" s="13">
        <v>2.0</v>
      </c>
      <c r="J582" s="13">
        <v>1.0</v>
      </c>
      <c r="K582" s="12" t="s">
        <v>21</v>
      </c>
      <c r="L582" s="7">
        <v>40169.42957175926</v>
      </c>
      <c r="M582" s="14" t="s">
        <v>1099</v>
      </c>
      <c r="N582" s="14" t="s">
        <v>7377</v>
      </c>
      <c r="O582" s="11" t="str">
        <f>HYPERLINK("https://pbs.twimg.com/profile_images/608974242319863808/qU7nnjuo_normal.jpg","View")</f>
        <v>View</v>
      </c>
      <c r="P582" s="15"/>
    </row>
    <row r="583">
      <c r="A583" s="7">
        <v>42422.31959490741</v>
      </c>
      <c r="B583" s="8" t="str">
        <f>HYPERLINK("https://twitter.com/ukituki","@ukituki")</f>
        <v>@ukituki</v>
      </c>
      <c r="C583" s="10" t="s">
        <v>7378</v>
      </c>
      <c r="D583" s="10" t="s">
        <v>7379</v>
      </c>
      <c r="E583" s="11" t="str">
        <f>HYPERLINK("https://twitter.com/ukituki/status/701793625332703232","701793625332703232")</f>
        <v>701793625332703232</v>
      </c>
      <c r="F583" s="12" t="s">
        <v>294</v>
      </c>
      <c r="G583" s="13">
        <v>1035.0</v>
      </c>
      <c r="H583" s="13">
        <v>2058.0</v>
      </c>
      <c r="I583" s="13">
        <v>0.0</v>
      </c>
      <c r="J583" s="13">
        <v>1.0</v>
      </c>
      <c r="K583" s="12" t="s">
        <v>21</v>
      </c>
      <c r="L583" s="7">
        <v>39216.46975694445</v>
      </c>
      <c r="M583" s="14" t="s">
        <v>4621</v>
      </c>
      <c r="N583" s="14" t="s">
        <v>7380</v>
      </c>
      <c r="O583" s="11" t="str">
        <f>HYPERLINK("https://pbs.twimg.com/profile_images/1773918608/gravatar_normal.png","View")</f>
        <v>View</v>
      </c>
      <c r="P583" s="15"/>
    </row>
    <row r="584">
      <c r="A584" s="7">
        <v>42422.31989583334</v>
      </c>
      <c r="B584" s="8" t="str">
        <f>HYPERLINK("https://twitter.com/thediceareright","@thediceareright")</f>
        <v>@thediceareright</v>
      </c>
      <c r="C584" s="10" t="s">
        <v>7381</v>
      </c>
      <c r="D584" s="10" t="s">
        <v>7352</v>
      </c>
      <c r="E584" s="11" t="str">
        <f>HYPERLINK("https://twitter.com/thediceareright/status/701793733709275136","701793733709275136")</f>
        <v>701793733709275136</v>
      </c>
      <c r="F584" s="12" t="s">
        <v>20</v>
      </c>
      <c r="G584" s="13">
        <v>59.0</v>
      </c>
      <c r="H584" s="13">
        <v>141.0</v>
      </c>
      <c r="I584" s="13">
        <v>48.0</v>
      </c>
      <c r="J584" s="13">
        <v>0.0</v>
      </c>
      <c r="K584" s="12" t="s">
        <v>21</v>
      </c>
      <c r="L584" s="7">
        <v>41478.41318287037</v>
      </c>
      <c r="M584" s="16"/>
      <c r="N584" s="14" t="s">
        <v>7382</v>
      </c>
      <c r="O584" s="11" t="str">
        <f>HYPERLINK("https://pbs.twimg.com/profile_images/378800000712866654/76806a759a4d02e0ca9c49357962b123_normal.png","View")</f>
        <v>View</v>
      </c>
      <c r="P584" s="15"/>
    </row>
    <row r="585">
      <c r="A585" s="7">
        <v>42422.32026620371</v>
      </c>
      <c r="B585" s="8" t="str">
        <f>HYPERLINK("https://twitter.com/ryanpraski","@ryanpraski")</f>
        <v>@ryanpraski</v>
      </c>
      <c r="C585" s="10" t="s">
        <v>7383</v>
      </c>
      <c r="D585" s="10" t="s">
        <v>7384</v>
      </c>
      <c r="E585" s="11" t="str">
        <f>HYPERLINK("https://twitter.com/ryanpraski/status/701793868245762049","701793868245762049")</f>
        <v>701793868245762049</v>
      </c>
      <c r="F585" s="12" t="s">
        <v>20</v>
      </c>
      <c r="G585" s="13">
        <v>1262.0</v>
      </c>
      <c r="H585" s="13">
        <v>734.0</v>
      </c>
      <c r="I585" s="13">
        <v>2.0</v>
      </c>
      <c r="J585" s="13">
        <v>0.0</v>
      </c>
      <c r="K585" s="12" t="s">
        <v>21</v>
      </c>
      <c r="L585" s="7">
        <v>39979.54449074074</v>
      </c>
      <c r="M585" s="14" t="s">
        <v>1939</v>
      </c>
      <c r="N585" s="14" t="s">
        <v>7385</v>
      </c>
      <c r="O585" s="11" t="str">
        <f>HYPERLINK("https://pbs.twimg.com/profile_images/634449864684924928/VtH3s8ip_normal.png","View")</f>
        <v>View</v>
      </c>
      <c r="P585" s="15"/>
    </row>
    <row r="586">
      <c r="A586" s="7">
        <v>42422.32189814815</v>
      </c>
      <c r="B586" s="8" t="str">
        <f>HYPERLINK("https://twitter.com/Mehdi_Nemlaghi","@Mehdi_Nemlaghi")</f>
        <v>@Mehdi_Nemlaghi</v>
      </c>
      <c r="C586" s="10" t="s">
        <v>7386</v>
      </c>
      <c r="D586" s="10" t="s">
        <v>7387</v>
      </c>
      <c r="E586" s="11" t="str">
        <f>HYPERLINK("https://twitter.com/Mehdi_Nemlaghi/status/701794459231588353","701794459231588353")</f>
        <v>701794459231588353</v>
      </c>
      <c r="F586" s="12" t="s">
        <v>152</v>
      </c>
      <c r="G586" s="13">
        <v>79.0</v>
      </c>
      <c r="H586" s="13">
        <v>174.0</v>
      </c>
      <c r="I586" s="13">
        <v>4.0</v>
      </c>
      <c r="J586" s="13">
        <v>4.0</v>
      </c>
      <c r="K586" s="12" t="s">
        <v>21</v>
      </c>
      <c r="L586" s="7">
        <v>42024.97315972223</v>
      </c>
      <c r="M586" s="14" t="s">
        <v>7388</v>
      </c>
      <c r="N586" s="14" t="s">
        <v>7389</v>
      </c>
      <c r="O586" s="11" t="str">
        <f>HYPERLINK("https://pbs.twimg.com/profile_images/658254996434198528/0E3NI5kB_normal.jpg","View")</f>
        <v>View</v>
      </c>
      <c r="P586" s="15"/>
    </row>
    <row r="587">
      <c r="A587" s="7">
        <v>42422.32299768519</v>
      </c>
      <c r="B587" s="8" t="str">
        <f>HYPERLINK("https://twitter.com/Rbloggers","@Rbloggers")</f>
        <v>@Rbloggers</v>
      </c>
      <c r="C587" s="10" t="s">
        <v>6221</v>
      </c>
      <c r="D587" s="10" t="s">
        <v>7390</v>
      </c>
      <c r="E587" s="11" t="str">
        <f>HYPERLINK("https://twitter.com/Rbloggers/status/701794856234913793","701794856234913793")</f>
        <v>701794856234913793</v>
      </c>
      <c r="F587" s="17" t="s">
        <v>6223</v>
      </c>
      <c r="G587" s="13">
        <v>28572.0</v>
      </c>
      <c r="H587" s="13">
        <v>36.0</v>
      </c>
      <c r="I587" s="13">
        <v>3.0</v>
      </c>
      <c r="J587" s="13">
        <v>7.0</v>
      </c>
      <c r="K587" s="12" t="s">
        <v>21</v>
      </c>
      <c r="L587" s="7">
        <v>40314.510601851856</v>
      </c>
      <c r="M587" s="16"/>
      <c r="N587" s="14" t="s">
        <v>6224</v>
      </c>
      <c r="O587" s="11" t="str">
        <f>HYPERLINK("https://pbs.twimg.com/profile_images/502185985786916864/gkdFh-q7_normal.png","View")</f>
        <v>View</v>
      </c>
      <c r="P587" s="15"/>
    </row>
    <row r="588">
      <c r="A588" s="7">
        <v>42422.324479166666</v>
      </c>
      <c r="B588" s="8" t="str">
        <f>HYPERLINK("https://twitter.com/le_girafe","@le_girafe")</f>
        <v>@le_girafe</v>
      </c>
      <c r="C588" s="10" t="s">
        <v>7391</v>
      </c>
      <c r="D588" s="10" t="s">
        <v>7392</v>
      </c>
      <c r="E588" s="11" t="str">
        <f>HYPERLINK("https://twitter.com/le_girafe/status/701795395287064576","701795395287064576")</f>
        <v>701795395287064576</v>
      </c>
      <c r="F588" s="12" t="s">
        <v>446</v>
      </c>
      <c r="G588" s="13">
        <v>56.0</v>
      </c>
      <c r="H588" s="13">
        <v>100.0</v>
      </c>
      <c r="I588" s="13">
        <v>4.0</v>
      </c>
      <c r="J588" s="13">
        <v>0.0</v>
      </c>
      <c r="K588" s="12" t="s">
        <v>21</v>
      </c>
      <c r="L588" s="7">
        <v>40920.631273148145</v>
      </c>
      <c r="M588" s="16"/>
      <c r="N588" s="16"/>
      <c r="O588" s="11" t="str">
        <f>HYPERLINK("https://pbs.twimg.com/profile_images/1750934315/JR_normal.jpg","View")</f>
        <v>View</v>
      </c>
      <c r="P588" s="15"/>
    </row>
    <row r="589">
      <c r="A589" s="7">
        <v>42422.32502314815</v>
      </c>
      <c r="B589" s="8" t="str">
        <f>HYPERLINK("https://twitter.com/Iam_urdata","@Iam_urdata")</f>
        <v>@Iam_urdata</v>
      </c>
      <c r="C589" s="10" t="s">
        <v>1754</v>
      </c>
      <c r="D589" s="10" t="s">
        <v>7352</v>
      </c>
      <c r="E589" s="11" t="str">
        <f>HYPERLINK("https://twitter.com/Iam_urdata/status/701795593950068736","701795593950068736")</f>
        <v>701795593950068736</v>
      </c>
      <c r="F589" s="12" t="s">
        <v>20</v>
      </c>
      <c r="G589" s="13">
        <v>113.0</v>
      </c>
      <c r="H589" s="13">
        <v>202.0</v>
      </c>
      <c r="I589" s="13">
        <v>48.0</v>
      </c>
      <c r="J589" s="13">
        <v>0.0</v>
      </c>
      <c r="K589" s="12" t="s">
        <v>21</v>
      </c>
      <c r="L589" s="7">
        <v>40136.10951388889</v>
      </c>
      <c r="M589" s="14" t="s">
        <v>1756</v>
      </c>
      <c r="N589" s="14" t="s">
        <v>1757</v>
      </c>
      <c r="O589" s="11" t="str">
        <f>HYPERLINK("https://pbs.twimg.com/profile_images/701689285678727168/05uXY6gz_normal.jpg","View")</f>
        <v>View</v>
      </c>
      <c r="P589" s="15"/>
    </row>
    <row r="590">
      <c r="A590" s="7">
        <v>42422.32604166667</v>
      </c>
      <c r="B590" s="8" t="str">
        <f>HYPERLINK("https://twitter.com/StrictlyStat","@StrictlyStat")</f>
        <v>@StrictlyStat</v>
      </c>
      <c r="C590" s="10" t="s">
        <v>7393</v>
      </c>
      <c r="D590" s="10" t="s">
        <v>7352</v>
      </c>
      <c r="E590" s="11" t="str">
        <f>HYPERLINK("https://twitter.com/StrictlyStat/status/701795960834359296","701795960834359296")</f>
        <v>701795960834359296</v>
      </c>
      <c r="F590" s="12" t="s">
        <v>52</v>
      </c>
      <c r="G590" s="13">
        <v>688.0</v>
      </c>
      <c r="H590" s="13">
        <v>343.0</v>
      </c>
      <c r="I590" s="13">
        <v>48.0</v>
      </c>
      <c r="J590" s="13">
        <v>0.0</v>
      </c>
      <c r="K590" s="12" t="s">
        <v>21</v>
      </c>
      <c r="L590" s="7">
        <v>40963.32622685185</v>
      </c>
      <c r="M590" s="14" t="s">
        <v>7394</v>
      </c>
      <c r="N590" s="14" t="s">
        <v>7395</v>
      </c>
      <c r="O590" s="11" t="str">
        <f>HYPERLINK("https://pbs.twimg.com/profile_images/3161295308/9565457a1e48014c90a353c2ce1eea96_normal.png","View")</f>
        <v>View</v>
      </c>
      <c r="P590" s="15"/>
    </row>
    <row r="591">
      <c r="A591" s="7">
        <v>42422.33138888889</v>
      </c>
      <c r="B591" s="8" t="str">
        <f>HYPERLINK("https://twitter.com/hexheadtn","@hexheadtn")</f>
        <v>@hexheadtn</v>
      </c>
      <c r="C591" s="10" t="s">
        <v>7335</v>
      </c>
      <c r="D591" s="10" t="s">
        <v>7396</v>
      </c>
      <c r="E591" s="11" t="str">
        <f>HYPERLINK("https://twitter.com/hexheadtn/status/701797900532101120","701797900532101120")</f>
        <v>701797900532101120</v>
      </c>
      <c r="F591" s="12" t="s">
        <v>20</v>
      </c>
      <c r="G591" s="13">
        <v>211.0</v>
      </c>
      <c r="H591" s="13">
        <v>244.0</v>
      </c>
      <c r="I591" s="13">
        <v>3.0</v>
      </c>
      <c r="J591" s="13">
        <v>0.0</v>
      </c>
      <c r="K591" s="12" t="s">
        <v>21</v>
      </c>
      <c r="L591" s="7">
        <v>39798.211377314816</v>
      </c>
      <c r="M591" s="14" t="s">
        <v>7337</v>
      </c>
      <c r="N591" s="14" t="s">
        <v>7338</v>
      </c>
      <c r="O591" s="11" t="str">
        <f>HYPERLINK("https://pbs.twimg.com/profile_images/716369722/MeThinker_normal.jpg","View")</f>
        <v>View</v>
      </c>
      <c r="P591" s="15"/>
    </row>
    <row r="592">
      <c r="A592" s="7">
        <v>42422.33251157407</v>
      </c>
      <c r="B592" s="8" t="str">
        <f>HYPERLINK("https://twitter.com/MangoTheCat","@MangoTheCat")</f>
        <v>@MangoTheCat</v>
      </c>
      <c r="C592" s="10" t="s">
        <v>6321</v>
      </c>
      <c r="D592" s="10" t="s">
        <v>6918</v>
      </c>
      <c r="E592" s="11" t="str">
        <f>HYPERLINK("https://twitter.com/MangoTheCat/status/701798306813505539","701798306813505539")</f>
        <v>701798306813505539</v>
      </c>
      <c r="F592" s="12" t="s">
        <v>20</v>
      </c>
      <c r="G592" s="13">
        <v>2041.0</v>
      </c>
      <c r="H592" s="13">
        <v>2855.0</v>
      </c>
      <c r="I592" s="13">
        <v>32.0</v>
      </c>
      <c r="J592" s="13">
        <v>0.0</v>
      </c>
      <c r="K592" s="12" t="s">
        <v>21</v>
      </c>
      <c r="L592" s="7">
        <v>39854.3178587963</v>
      </c>
      <c r="M592" s="14" t="s">
        <v>6323</v>
      </c>
      <c r="N592" s="14" t="s">
        <v>6324</v>
      </c>
      <c r="O592" s="11" t="str">
        <f>HYPERLINK("https://pbs.twimg.com/profile_images/641183991077445633/V7VcBpJI_normal.png","View")</f>
        <v>View</v>
      </c>
      <c r="P592" s="15"/>
    </row>
    <row r="593">
      <c r="A593" s="7">
        <v>42422.33268518519</v>
      </c>
      <c r="B593" s="8" t="str">
        <f>HYPERLINK("https://twitter.com/nierhoff","@nierhoff")</f>
        <v>@nierhoff</v>
      </c>
      <c r="C593" s="10" t="s">
        <v>7397</v>
      </c>
      <c r="D593" s="10" t="s">
        <v>7398</v>
      </c>
      <c r="E593" s="11" t="str">
        <f>HYPERLINK("https://twitter.com/nierhoff/status/701798368209727488","701798368209727488")</f>
        <v>701798368209727488</v>
      </c>
      <c r="F593" s="12" t="s">
        <v>294</v>
      </c>
      <c r="G593" s="13">
        <v>296.0</v>
      </c>
      <c r="H593" s="13">
        <v>244.0</v>
      </c>
      <c r="I593" s="13">
        <v>1.0</v>
      </c>
      <c r="J593" s="13">
        <v>1.0</v>
      </c>
      <c r="K593" s="12" t="s">
        <v>21</v>
      </c>
      <c r="L593" s="7">
        <v>40304.130995370375</v>
      </c>
      <c r="M593" s="14" t="s">
        <v>7399</v>
      </c>
      <c r="N593" s="14" t="s">
        <v>7400</v>
      </c>
      <c r="O593" s="11" t="str">
        <f>HYPERLINK("https://pbs.twimg.com/profile_images/466323009796456448/toIsECgZ_normal.jpeg","View")</f>
        <v>View</v>
      </c>
      <c r="P593" s="15"/>
    </row>
    <row r="594">
      <c r="A594" s="7">
        <v>42422.334386574075</v>
      </c>
      <c r="B594" s="8" t="str">
        <f>HYPERLINK("https://twitter.com/t_pren","@t_pren")</f>
        <v>@t_pren</v>
      </c>
      <c r="C594" s="10" t="s">
        <v>7401</v>
      </c>
      <c r="D594" s="10" t="s">
        <v>7352</v>
      </c>
      <c r="E594" s="11" t="str">
        <f>HYPERLINK("https://twitter.com/t_pren/status/701798983283380224","701798983283380224")</f>
        <v>701798983283380224</v>
      </c>
      <c r="F594" s="12" t="s">
        <v>20</v>
      </c>
      <c r="G594" s="13">
        <v>76.0</v>
      </c>
      <c r="H594" s="13">
        <v>211.0</v>
      </c>
      <c r="I594" s="13">
        <v>48.0</v>
      </c>
      <c r="J594" s="13">
        <v>0.0</v>
      </c>
      <c r="K594" s="12" t="s">
        <v>21</v>
      </c>
      <c r="L594" s="7">
        <v>40610.286828703705</v>
      </c>
      <c r="M594" s="16"/>
      <c r="N594" s="16"/>
      <c r="O594" s="11" t="str">
        <f>HYPERLINK("https://pbs.twimg.com/profile_images/1444329161/picknose_normal.jpg","View")</f>
        <v>View</v>
      </c>
      <c r="P594" s="15"/>
    </row>
    <row r="595">
      <c r="A595" s="7">
        <v>42422.338483796295</v>
      </c>
      <c r="B595" s="8" t="str">
        <f>HYPERLINK("https://twitter.com/DataWookie","@DataWookie")</f>
        <v>@DataWookie</v>
      </c>
      <c r="C595" s="10" t="s">
        <v>6231</v>
      </c>
      <c r="D595" s="10" t="s">
        <v>7402</v>
      </c>
      <c r="E595" s="11" t="str">
        <f>HYPERLINK("https://twitter.com/DataWookie/status/701800467811020801","701800467811020801")</f>
        <v>701800467811020801</v>
      </c>
      <c r="F595" s="12" t="s">
        <v>6233</v>
      </c>
      <c r="G595" s="13">
        <v>426.0</v>
      </c>
      <c r="H595" s="13">
        <v>296.0</v>
      </c>
      <c r="I595" s="13">
        <v>0.0</v>
      </c>
      <c r="J595" s="13">
        <v>0.0</v>
      </c>
      <c r="K595" s="12" t="s">
        <v>21</v>
      </c>
      <c r="L595" s="7">
        <v>42166.966678240744</v>
      </c>
      <c r="M595" s="14" t="s">
        <v>6234</v>
      </c>
      <c r="N595" s="14" t="s">
        <v>6235</v>
      </c>
      <c r="O595" s="11" t="str">
        <f>HYPERLINK("https://pbs.twimg.com/profile_images/612471608725213184/eXKo2Kmo_normal.jpg","View")</f>
        <v>View</v>
      </c>
      <c r="P595" s="15"/>
    </row>
    <row r="596">
      <c r="A596" s="7">
        <v>42422.338958333334</v>
      </c>
      <c r="B596" s="8" t="str">
        <f>HYPERLINK("https://twitter.com/LovedeepSG","@LovedeepSG")</f>
        <v>@LovedeepSG</v>
      </c>
      <c r="C596" s="10" t="s">
        <v>6501</v>
      </c>
      <c r="D596" s="10" t="s">
        <v>7263</v>
      </c>
      <c r="E596" s="11" t="str">
        <f>HYPERLINK("https://twitter.com/LovedeepSG/status/701800639840407552","701800639840407552")</f>
        <v>701800639840407552</v>
      </c>
      <c r="F596" s="12" t="s">
        <v>152</v>
      </c>
      <c r="G596" s="13">
        <v>46.0</v>
      </c>
      <c r="H596" s="13">
        <v>85.0</v>
      </c>
      <c r="I596" s="13">
        <v>17.0</v>
      </c>
      <c r="J596" s="13">
        <v>0.0</v>
      </c>
      <c r="K596" s="12" t="s">
        <v>21</v>
      </c>
      <c r="L596" s="7">
        <v>41453.381203703706</v>
      </c>
      <c r="M596" s="14" t="s">
        <v>4138</v>
      </c>
      <c r="N596" s="14" t="s">
        <v>6502</v>
      </c>
      <c r="O596" s="11" t="str">
        <f>HYPERLINK("https://pbs.twimg.com/profile_images/378800000059126288/17d4fa184bbd13c1e64465a3cc234efc_normal.jpeg","View")</f>
        <v>View</v>
      </c>
      <c r="P596" s="15"/>
    </row>
    <row r="597">
      <c r="A597" s="7">
        <v>42422.339421296296</v>
      </c>
      <c r="B597" s="8" t="str">
        <f>HYPERLINK("https://twitter.com/frankwwu","@frankwwu")</f>
        <v>@frankwwu</v>
      </c>
      <c r="C597" s="10" t="s">
        <v>6644</v>
      </c>
      <c r="D597" s="10" t="s">
        <v>7263</v>
      </c>
      <c r="E597" s="11" t="str">
        <f>HYPERLINK("https://twitter.com/frankwwu/status/701800809365770240","701800809365770240")</f>
        <v>701800809365770240</v>
      </c>
      <c r="F597" s="12" t="s">
        <v>20</v>
      </c>
      <c r="G597" s="13">
        <v>122.0</v>
      </c>
      <c r="H597" s="13">
        <v>232.0</v>
      </c>
      <c r="I597" s="13">
        <v>17.0</v>
      </c>
      <c r="J597" s="13">
        <v>0.0</v>
      </c>
      <c r="K597" s="12" t="s">
        <v>21</v>
      </c>
      <c r="L597" s="7">
        <v>39235.83243055556</v>
      </c>
      <c r="M597" s="14" t="s">
        <v>6646</v>
      </c>
      <c r="N597" s="14" t="s">
        <v>6647</v>
      </c>
      <c r="O597" s="11" t="str">
        <f>HYPERLINK("https://pbs.twimg.com/profile_images/647923180795994112/kfRnOF24_normal.jpg","View")</f>
        <v>View</v>
      </c>
      <c r="P597" s="15"/>
    </row>
    <row r="598">
      <c r="A598" s="7">
        <v>42422.34018518518</v>
      </c>
      <c r="B598" s="8" t="str">
        <f>HYPERLINK("https://twitter.com/salvag63","@salvag63")</f>
        <v>@salvag63</v>
      </c>
      <c r="C598" s="10" t="s">
        <v>6551</v>
      </c>
      <c r="D598" s="10" t="s">
        <v>7403</v>
      </c>
      <c r="E598" s="11" t="str">
        <f>HYPERLINK("https://twitter.com/salvag63/status/701801086286487552","701801086286487552")</f>
        <v>701801086286487552</v>
      </c>
      <c r="F598" s="12" t="s">
        <v>20</v>
      </c>
      <c r="G598" s="13">
        <v>244.0</v>
      </c>
      <c r="H598" s="13">
        <v>166.0</v>
      </c>
      <c r="I598" s="13">
        <v>1.0</v>
      </c>
      <c r="J598" s="13">
        <v>0.0</v>
      </c>
      <c r="K598" s="12" t="s">
        <v>21</v>
      </c>
      <c r="L598" s="7">
        <v>39872.207500000004</v>
      </c>
      <c r="M598" s="16"/>
      <c r="N598" s="14" t="s">
        <v>6553</v>
      </c>
      <c r="O598" s="11" t="str">
        <f>HYPERLINK("https://pbs.twimg.com/profile_images/234609034/Press4_normal.jpg","View")</f>
        <v>View</v>
      </c>
      <c r="P598" s="15"/>
    </row>
    <row r="599">
      <c r="A599" s="7">
        <v>42422.34061342593</v>
      </c>
      <c r="B599" s="8" t="str">
        <f>HYPERLINK("https://twitter.com/vikmatic","@vikmatic")</f>
        <v>@vikmatic</v>
      </c>
      <c r="C599" s="10" t="s">
        <v>7404</v>
      </c>
      <c r="D599" s="10" t="s">
        <v>7323</v>
      </c>
      <c r="E599" s="11" t="str">
        <f>HYPERLINK("https://twitter.com/vikmatic/status/701801243073757184","701801243073757184")</f>
        <v>701801243073757184</v>
      </c>
      <c r="F599" s="12" t="s">
        <v>52</v>
      </c>
      <c r="G599" s="13">
        <v>129.0</v>
      </c>
      <c r="H599" s="13">
        <v>133.0</v>
      </c>
      <c r="I599" s="13">
        <v>3.0</v>
      </c>
      <c r="J599" s="13">
        <v>0.0</v>
      </c>
      <c r="K599" s="12" t="s">
        <v>21</v>
      </c>
      <c r="L599" s="7">
        <v>40350.089537037034</v>
      </c>
      <c r="M599" s="14" t="s">
        <v>695</v>
      </c>
      <c r="N599" s="14" t="s">
        <v>7405</v>
      </c>
      <c r="O599" s="11" t="str">
        <f>HYPERLINK("https://pbs.twimg.com/profile_images/477192170860851200/XcwQ9f1A_normal.jpeg","View")</f>
        <v>View</v>
      </c>
      <c r="P599" s="15"/>
    </row>
    <row r="600">
      <c r="A600" s="7">
        <v>42422.340729166666</v>
      </c>
      <c r="B600" s="8" t="str">
        <f>HYPERLINK("https://twitter.com/salvag63","@salvag63")</f>
        <v>@salvag63</v>
      </c>
      <c r="C600" s="10" t="s">
        <v>6551</v>
      </c>
      <c r="D600" s="10" t="s">
        <v>7406</v>
      </c>
      <c r="E600" s="11" t="str">
        <f>HYPERLINK("https://twitter.com/salvag63/status/701801285142630401","701801285142630401")</f>
        <v>701801285142630401</v>
      </c>
      <c r="F600" s="12" t="s">
        <v>20</v>
      </c>
      <c r="G600" s="13">
        <v>244.0</v>
      </c>
      <c r="H600" s="13">
        <v>166.0</v>
      </c>
      <c r="I600" s="13">
        <v>0.0</v>
      </c>
      <c r="J600" s="13">
        <v>0.0</v>
      </c>
      <c r="K600" s="12" t="s">
        <v>21</v>
      </c>
      <c r="L600" s="7">
        <v>39872.207500000004</v>
      </c>
      <c r="M600" s="16"/>
      <c r="N600" s="14" t="s">
        <v>6553</v>
      </c>
      <c r="O600" s="11" t="str">
        <f>HYPERLINK("https://pbs.twimg.com/profile_images/234609034/Press4_normal.jpg","View")</f>
        <v>View</v>
      </c>
      <c r="P600" s="15"/>
    </row>
    <row r="601">
      <c r="A601" s="7">
        <v>42422.34077546296</v>
      </c>
      <c r="B601" s="8" t="str">
        <f>HYPERLINK("https://twitter.com/hspter","@hspter")</f>
        <v>@hspter</v>
      </c>
      <c r="C601" s="10" t="s">
        <v>7407</v>
      </c>
      <c r="D601" s="10" t="s">
        <v>7352</v>
      </c>
      <c r="E601" s="11" t="str">
        <f>HYPERLINK("https://twitter.com/hspter/status/701801298295918596","701801298295918596")</f>
        <v>701801298295918596</v>
      </c>
      <c r="F601" s="12" t="s">
        <v>20</v>
      </c>
      <c r="G601" s="13">
        <v>7575.0</v>
      </c>
      <c r="H601" s="13">
        <v>1760.0</v>
      </c>
      <c r="I601" s="13">
        <v>48.0</v>
      </c>
      <c r="J601" s="13">
        <v>0.0</v>
      </c>
      <c r="K601" s="12" t="s">
        <v>21</v>
      </c>
      <c r="L601" s="7">
        <v>39885.49967592592</v>
      </c>
      <c r="M601" s="14" t="s">
        <v>7408</v>
      </c>
      <c r="N601" s="14" t="s">
        <v>7409</v>
      </c>
      <c r="O601" s="11" t="str">
        <f>HYPERLINK("https://pbs.twimg.com/profile_images/611535712710729728/ZrqMrN21_normal.jpg","View")</f>
        <v>View</v>
      </c>
      <c r="P601" s="15"/>
    </row>
    <row r="602">
      <c r="A602" s="7">
        <v>42422.34103009259</v>
      </c>
      <c r="B602" s="8" t="str">
        <f>HYPERLINK("https://twitter.com/exaptive","@exaptive")</f>
        <v>@exaptive</v>
      </c>
      <c r="C602" s="10" t="s">
        <v>7410</v>
      </c>
      <c r="D602" s="10" t="s">
        <v>7411</v>
      </c>
      <c r="E602" s="11" t="str">
        <f>HYPERLINK("https://twitter.com/exaptive/status/701801394488143872","701801394488143872")</f>
        <v>701801394488143872</v>
      </c>
      <c r="F602" s="12" t="s">
        <v>2737</v>
      </c>
      <c r="G602" s="13">
        <v>379.0</v>
      </c>
      <c r="H602" s="13">
        <v>301.0</v>
      </c>
      <c r="I602" s="13">
        <v>1.0</v>
      </c>
      <c r="J602" s="13">
        <v>1.0</v>
      </c>
      <c r="K602" s="12" t="s">
        <v>21</v>
      </c>
      <c r="L602" s="7">
        <v>41727.46494212963</v>
      </c>
      <c r="M602" s="14" t="s">
        <v>1660</v>
      </c>
      <c r="N602" s="14" t="s">
        <v>7412</v>
      </c>
      <c r="O602" s="11" t="str">
        <f>HYPERLINK("https://pbs.twimg.com/profile_images/449982291742183424/FExvLFdl_normal.png","View")</f>
        <v>View</v>
      </c>
      <c r="P602" s="15"/>
    </row>
    <row r="603">
      <c r="A603" s="7">
        <v>42422.34144675926</v>
      </c>
      <c r="B603" s="8" t="str">
        <f>HYPERLINK("https://twitter.com/kierisi","@kierisi")</f>
        <v>@kierisi</v>
      </c>
      <c r="C603" s="10" t="s">
        <v>1614</v>
      </c>
      <c r="D603" s="10" t="s">
        <v>7323</v>
      </c>
      <c r="E603" s="11" t="str">
        <f>HYPERLINK("https://twitter.com/kierisi/status/701801542597279745","701801542597279745")</f>
        <v>701801542597279745</v>
      </c>
      <c r="F603" s="12" t="s">
        <v>20</v>
      </c>
      <c r="G603" s="13">
        <v>668.0</v>
      </c>
      <c r="H603" s="13">
        <v>588.0</v>
      </c>
      <c r="I603" s="13">
        <v>3.0</v>
      </c>
      <c r="J603" s="13">
        <v>0.0</v>
      </c>
      <c r="K603" s="12" t="s">
        <v>21</v>
      </c>
      <c r="L603" s="7">
        <v>41741.39902777778</v>
      </c>
      <c r="M603" s="14" t="s">
        <v>1616</v>
      </c>
      <c r="N603" s="14" t="s">
        <v>1617</v>
      </c>
      <c r="O603" s="11" t="str">
        <f>HYPERLINK("https://pbs.twimg.com/profile_images/679646902145556480/cM-3XPTI_normal.jpg","View")</f>
        <v>View</v>
      </c>
      <c r="P603" s="15"/>
    </row>
    <row r="604">
      <c r="A604" s="7">
        <v>42422.341886574075</v>
      </c>
      <c r="B604" s="8" t="str">
        <f>HYPERLINK("https://twitter.com/McCurdyColton","@McCurdyColton")</f>
        <v>@McCurdyColton</v>
      </c>
      <c r="C604" s="10" t="s">
        <v>7413</v>
      </c>
      <c r="D604" s="10" t="s">
        <v>7352</v>
      </c>
      <c r="E604" s="11" t="str">
        <f>HYPERLINK("https://twitter.com/McCurdyColton/status/701801702501040129","701801702501040129")</f>
        <v>701801702501040129</v>
      </c>
      <c r="F604" s="12" t="s">
        <v>152</v>
      </c>
      <c r="G604" s="13">
        <v>36.0</v>
      </c>
      <c r="H604" s="13">
        <v>51.0</v>
      </c>
      <c r="I604" s="13">
        <v>48.0</v>
      </c>
      <c r="J604" s="13">
        <v>0.0</v>
      </c>
      <c r="K604" s="12" t="s">
        <v>21</v>
      </c>
      <c r="L604" s="7">
        <v>41656.53340277778</v>
      </c>
      <c r="M604" s="14" t="s">
        <v>7414</v>
      </c>
      <c r="N604" s="14" t="s">
        <v>7415</v>
      </c>
      <c r="O604" s="11" t="str">
        <f>HYPERLINK("https://pbs.twimg.com/profile_images/677584715927306240/6RAY2FdN_normal.png","View")</f>
        <v>View</v>
      </c>
      <c r="P604" s="15"/>
    </row>
    <row r="605">
      <c r="A605" s="7">
        <v>42422.341932870375</v>
      </c>
      <c r="B605" s="8" t="str">
        <f>HYPERLINK("https://twitter.com/tripartio","@tripartio")</f>
        <v>@tripartio</v>
      </c>
      <c r="C605" s="10" t="s">
        <v>6827</v>
      </c>
      <c r="D605" s="10" t="s">
        <v>7416</v>
      </c>
      <c r="E605" s="11" t="str">
        <f>HYPERLINK("https://twitter.com/tripartio/status/701801719861276672","701801719861276672")</f>
        <v>701801719861276672</v>
      </c>
      <c r="F605" s="12" t="s">
        <v>20</v>
      </c>
      <c r="G605" s="13">
        <v>33.0</v>
      </c>
      <c r="H605" s="13">
        <v>64.0</v>
      </c>
      <c r="I605" s="13">
        <v>0.0</v>
      </c>
      <c r="J605" s="13">
        <v>1.0</v>
      </c>
      <c r="K605" s="12" t="s">
        <v>21</v>
      </c>
      <c r="L605" s="7">
        <v>41946.83112268519</v>
      </c>
      <c r="M605" s="14" t="s">
        <v>1806</v>
      </c>
      <c r="N605" s="14" t="s">
        <v>6829</v>
      </c>
      <c r="O605" s="11" t="str">
        <f>HYPERLINK("https://pbs.twimg.com/profile_images/529482878543867904/H-UGY1d0_normal.png","View")</f>
        <v>View</v>
      </c>
      <c r="P605" s="15"/>
    </row>
    <row r="606">
      <c r="A606" s="7">
        <v>42422.34222222222</v>
      </c>
      <c r="B606" s="8" t="str">
        <f>HYPERLINK("https://twitter.com/Pvalsfr","@Pvalsfr")</f>
        <v>@Pvalsfr</v>
      </c>
      <c r="C606" s="10" t="s">
        <v>771</v>
      </c>
      <c r="D606" s="10" t="s">
        <v>7396</v>
      </c>
      <c r="E606" s="11" t="str">
        <f>HYPERLINK("https://twitter.com/Pvalsfr/status/701801826698526721","701801826698526721")</f>
        <v>701801826698526721</v>
      </c>
      <c r="F606" s="12" t="s">
        <v>152</v>
      </c>
      <c r="G606" s="13">
        <v>1044.0</v>
      </c>
      <c r="H606" s="13">
        <v>1081.0</v>
      </c>
      <c r="I606" s="13">
        <v>3.0</v>
      </c>
      <c r="J606" s="13">
        <v>0.0</v>
      </c>
      <c r="K606" s="12" t="s">
        <v>21</v>
      </c>
      <c r="L606" s="7">
        <v>40867.68900462963</v>
      </c>
      <c r="M606" s="16"/>
      <c r="N606" s="16"/>
      <c r="O606" s="11" t="str">
        <f>HYPERLINK("https://abs.twimg.com/sticky/default_profile_images/default_profile_4_normal.png","View")</f>
        <v>View</v>
      </c>
      <c r="P606" s="15"/>
    </row>
    <row r="607">
      <c r="A607" s="7">
        <v>42422.342731481476</v>
      </c>
      <c r="B607" s="8" t="str">
        <f>HYPERLINK("https://twitter.com/ThugMetrics","@ThugMetrics")</f>
        <v>@ThugMetrics</v>
      </c>
      <c r="C607" s="10" t="s">
        <v>7417</v>
      </c>
      <c r="D607" s="10" t="s">
        <v>7418</v>
      </c>
      <c r="E607" s="11" t="str">
        <f>HYPERLINK("https://twitter.com/ThugMetrics/status/701802008467132416","701802008467132416")</f>
        <v>701802008467132416</v>
      </c>
      <c r="F607" s="12" t="s">
        <v>38</v>
      </c>
      <c r="G607" s="13">
        <v>1049.0</v>
      </c>
      <c r="H607" s="13">
        <v>497.0</v>
      </c>
      <c r="I607" s="13">
        <v>1.0</v>
      </c>
      <c r="J607" s="13">
        <v>0.0</v>
      </c>
      <c r="K607" s="12" t="s">
        <v>21</v>
      </c>
      <c r="L607" s="7">
        <v>41974.772627314815</v>
      </c>
      <c r="M607" s="14" t="s">
        <v>379</v>
      </c>
      <c r="N607" s="14" t="s">
        <v>7419</v>
      </c>
      <c r="O607" s="11" t="str">
        <f>HYPERLINK("https://pbs.twimg.com/profile_images/545309149953667072/f3IMwCEc_normal.jpeg","View")</f>
        <v>View</v>
      </c>
      <c r="P607" s="15"/>
    </row>
    <row r="608">
      <c r="A608" s="7">
        <v>42422.34378472222</v>
      </c>
      <c r="B608" s="8" t="str">
        <f>HYPERLINK("https://twitter.com/brianau","@brianau")</f>
        <v>@brianau</v>
      </c>
      <c r="C608" s="10" t="s">
        <v>7420</v>
      </c>
      <c r="D608" s="10" t="s">
        <v>7384</v>
      </c>
      <c r="E608" s="11" t="str">
        <f>HYPERLINK("https://twitter.com/brianau/status/701802388844212225","701802388844212225")</f>
        <v>701802388844212225</v>
      </c>
      <c r="F608" s="12" t="s">
        <v>20</v>
      </c>
      <c r="G608" s="13">
        <v>1096.0</v>
      </c>
      <c r="H608" s="13">
        <v>507.0</v>
      </c>
      <c r="I608" s="13">
        <v>2.0</v>
      </c>
      <c r="J608" s="13">
        <v>0.0</v>
      </c>
      <c r="K608" s="12" t="s">
        <v>21</v>
      </c>
      <c r="L608" s="7">
        <v>39609.422002314815</v>
      </c>
      <c r="M608" s="14" t="s">
        <v>69</v>
      </c>
      <c r="N608" s="14" t="s">
        <v>7421</v>
      </c>
      <c r="O608" s="11" t="str">
        <f>HYPERLINK("https://pbs.twimg.com/profile_images/494353652186767364/WBrLXthh_normal.jpeg","View")</f>
        <v>View</v>
      </c>
      <c r="P608" s="15"/>
    </row>
    <row r="609">
      <c r="A609" s="7">
        <v>42422.34525462963</v>
      </c>
      <c r="B609" s="8" t="str">
        <f>HYPERLINK("https://twitter.com/StatGarrett","@StatGarrett")</f>
        <v>@StatGarrett</v>
      </c>
      <c r="C609" s="10" t="s">
        <v>7422</v>
      </c>
      <c r="D609" s="10" t="s">
        <v>7423</v>
      </c>
      <c r="E609" s="11" t="str">
        <f>HYPERLINK("https://twitter.com/StatGarrett/status/701802924255608832","701802924255608832")</f>
        <v>701802924255608832</v>
      </c>
      <c r="F609" s="12" t="s">
        <v>20</v>
      </c>
      <c r="G609" s="13">
        <v>2139.0</v>
      </c>
      <c r="H609" s="13">
        <v>21.0</v>
      </c>
      <c r="I609" s="13">
        <v>0.0</v>
      </c>
      <c r="J609" s="13">
        <v>0.0</v>
      </c>
      <c r="K609" s="12" t="s">
        <v>21</v>
      </c>
      <c r="L609" s="7">
        <v>41775.31407407408</v>
      </c>
      <c r="M609" s="14" t="s">
        <v>719</v>
      </c>
      <c r="N609" s="14" t="s">
        <v>7424</v>
      </c>
      <c r="O609" s="11" t="str">
        <f>HYPERLINK("https://pbs.twimg.com/profile_images/467313147250868224/ZekxgNV9_normal.jpeg","View")</f>
        <v>View</v>
      </c>
      <c r="P609" s="15"/>
    </row>
    <row r="610">
      <c r="A610" s="7">
        <v>42422.348761574074</v>
      </c>
      <c r="B610" s="8" t="str">
        <f>HYPERLINK("https://twitter.com/callabagels","@callabagels")</f>
        <v>@callabagels</v>
      </c>
      <c r="C610" s="10" t="s">
        <v>7425</v>
      </c>
      <c r="D610" s="10" t="s">
        <v>7352</v>
      </c>
      <c r="E610" s="11" t="str">
        <f>HYPERLINK("https://twitter.com/callabagels/status/701804192738881537","701804192738881537")</f>
        <v>701804192738881537</v>
      </c>
      <c r="F610" s="12" t="s">
        <v>152</v>
      </c>
      <c r="G610" s="13">
        <v>309.0</v>
      </c>
      <c r="H610" s="13">
        <v>477.0</v>
      </c>
      <c r="I610" s="13">
        <v>48.0</v>
      </c>
      <c r="J610" s="13">
        <v>0.0</v>
      </c>
      <c r="K610" s="12" t="s">
        <v>21</v>
      </c>
      <c r="L610" s="7">
        <v>40685.42690972222</v>
      </c>
      <c r="M610" s="14" t="s">
        <v>1264</v>
      </c>
      <c r="N610" s="14" t="s">
        <v>7426</v>
      </c>
      <c r="O610" s="11" t="str">
        <f>HYPERLINK("https://pbs.twimg.com/profile_images/691849157611515906/pmvsKlxa_normal.jpg","View")</f>
        <v>View</v>
      </c>
      <c r="P610" s="15"/>
    </row>
    <row r="611">
      <c r="A611" s="7">
        <v>42422.34916666667</v>
      </c>
      <c r="B611" s="8" t="str">
        <f t="shared" ref="B611:B612" si="87">HYPERLINK("https://twitter.com/britideb","@britideb")</f>
        <v>@britideb</v>
      </c>
      <c r="C611" s="10" t="s">
        <v>7427</v>
      </c>
      <c r="D611" s="10" t="s">
        <v>6918</v>
      </c>
      <c r="E611" s="11" t="str">
        <f>HYPERLINK("https://twitter.com/britideb/status/701804343209512960","701804343209512960")</f>
        <v>701804343209512960</v>
      </c>
      <c r="F611" s="12" t="s">
        <v>20</v>
      </c>
      <c r="G611" s="13">
        <v>16.0</v>
      </c>
      <c r="H611" s="13">
        <v>45.0</v>
      </c>
      <c r="I611" s="13">
        <v>32.0</v>
      </c>
      <c r="J611" s="13">
        <v>0.0</v>
      </c>
      <c r="K611" s="12" t="s">
        <v>21</v>
      </c>
      <c r="L611" s="7">
        <v>40746.37658564815</v>
      </c>
      <c r="M611" s="14" t="s">
        <v>34</v>
      </c>
      <c r="N611" s="14" t="s">
        <v>7428</v>
      </c>
      <c r="O611" s="11" t="str">
        <f t="shared" ref="O611:O612" si="88">HYPERLINK("https://pbs.twimg.com/profile_images/497357142832058368/80dm_tk5_normal.jpeg","View")</f>
        <v>View</v>
      </c>
      <c r="P611" s="15"/>
    </row>
    <row r="612">
      <c r="A612" s="7">
        <v>42422.35024305555</v>
      </c>
      <c r="B612" s="8" t="str">
        <f t="shared" si="87"/>
        <v>@britideb</v>
      </c>
      <c r="C612" s="10" t="s">
        <v>7427</v>
      </c>
      <c r="D612" s="10" t="s">
        <v>6319</v>
      </c>
      <c r="E612" s="11" t="str">
        <f>HYPERLINK("https://twitter.com/britideb/status/701804731035885568","701804731035885568")</f>
        <v>701804731035885568</v>
      </c>
      <c r="F612" s="12" t="s">
        <v>20</v>
      </c>
      <c r="G612" s="13">
        <v>16.0</v>
      </c>
      <c r="H612" s="13">
        <v>45.0</v>
      </c>
      <c r="I612" s="13">
        <v>106.0</v>
      </c>
      <c r="J612" s="13">
        <v>0.0</v>
      </c>
      <c r="K612" s="12" t="s">
        <v>21</v>
      </c>
      <c r="L612" s="7">
        <v>40746.37658564815</v>
      </c>
      <c r="M612" s="14" t="s">
        <v>34</v>
      </c>
      <c r="N612" s="14" t="s">
        <v>7428</v>
      </c>
      <c r="O612" s="11" t="str">
        <f t="shared" si="88"/>
        <v>View</v>
      </c>
      <c r="P612" s="15"/>
    </row>
    <row r="613">
      <c r="A613" s="7">
        <v>42422.35050925926</v>
      </c>
      <c r="B613" s="8" t="str">
        <f>HYPERLINK("https://twitter.com/USGS_R","@USGS_R")</f>
        <v>@USGS_R</v>
      </c>
      <c r="C613" s="10" t="s">
        <v>7429</v>
      </c>
      <c r="D613" s="10" t="s">
        <v>7256</v>
      </c>
      <c r="E613" s="11" t="str">
        <f>HYPERLINK("https://twitter.com/USGS_R/status/701804829497171968","701804829497171968")</f>
        <v>701804829497171968</v>
      </c>
      <c r="F613" s="12" t="s">
        <v>446</v>
      </c>
      <c r="G613" s="13">
        <v>407.0</v>
      </c>
      <c r="H613" s="13">
        <v>43.0</v>
      </c>
      <c r="I613" s="13">
        <v>6.0</v>
      </c>
      <c r="J613" s="13">
        <v>0.0</v>
      </c>
      <c r="K613" s="12" t="s">
        <v>21</v>
      </c>
      <c r="L613" s="7">
        <v>42228.35309027778</v>
      </c>
      <c r="M613" s="16"/>
      <c r="N613" s="14" t="s">
        <v>7430</v>
      </c>
      <c r="O613" s="11" t="str">
        <f>HYPERLINK("https://pbs.twimg.com/profile_images/631488083863584769/gDqhLdAL_normal.png","View")</f>
        <v>View</v>
      </c>
      <c r="P613" s="15"/>
    </row>
    <row r="614">
      <c r="A614" s="7">
        <v>42422.35070601852</v>
      </c>
      <c r="B614" s="8" t="str">
        <f>HYPERLINK("https://twitter.com/ShinyappsRecent","@ShinyappsRecent")</f>
        <v>@ShinyappsRecent</v>
      </c>
      <c r="C614" s="10" t="s">
        <v>6422</v>
      </c>
      <c r="D614" s="10" t="s">
        <v>7431</v>
      </c>
      <c r="E614" s="11" t="str">
        <f>HYPERLINK("https://twitter.com/ShinyappsRecent/status/701804898896089089","701804898896089089")</f>
        <v>701804898896089089</v>
      </c>
      <c r="F614" s="12" t="s">
        <v>6424</v>
      </c>
      <c r="G614" s="13">
        <v>212.0</v>
      </c>
      <c r="H614" s="13">
        <v>6.0</v>
      </c>
      <c r="I614" s="13">
        <v>0.0</v>
      </c>
      <c r="J614" s="13">
        <v>0.0</v>
      </c>
      <c r="K614" s="12" t="s">
        <v>21</v>
      </c>
      <c r="L614" s="7">
        <v>42004.08681712963</v>
      </c>
      <c r="M614" s="14" t="s">
        <v>6425</v>
      </c>
      <c r="N614" s="14" t="s">
        <v>6426</v>
      </c>
      <c r="O614" s="11" t="str">
        <f>HYPERLINK("https://pbs.twimg.com/profile_images/550280885480603648/jye_0y8s_normal.png","View")</f>
        <v>View</v>
      </c>
      <c r="P614" s="15"/>
    </row>
    <row r="615">
      <c r="A615" s="7">
        <v>42422.35270833333</v>
      </c>
      <c r="B615" s="8" t="str">
        <f t="shared" ref="B615:B617" si="89">HYPERLINK("https://twitter.com/MangoTheCat","@MangoTheCat")</f>
        <v>@MangoTheCat</v>
      </c>
      <c r="C615" s="10" t="s">
        <v>6321</v>
      </c>
      <c r="D615" s="10" t="s">
        <v>6319</v>
      </c>
      <c r="E615" s="11" t="str">
        <f>HYPERLINK("https://twitter.com/MangoTheCat/status/701805623663583232","701805623663583232")</f>
        <v>701805623663583232</v>
      </c>
      <c r="F615" s="12" t="s">
        <v>659</v>
      </c>
      <c r="G615" s="13">
        <v>2041.0</v>
      </c>
      <c r="H615" s="13">
        <v>2855.0</v>
      </c>
      <c r="I615" s="13">
        <v>106.0</v>
      </c>
      <c r="J615" s="13">
        <v>0.0</v>
      </c>
      <c r="K615" s="12" t="s">
        <v>21</v>
      </c>
      <c r="L615" s="7">
        <v>39854.3178587963</v>
      </c>
      <c r="M615" s="14" t="s">
        <v>6323</v>
      </c>
      <c r="N615" s="14" t="s">
        <v>6324</v>
      </c>
      <c r="O615" s="11" t="str">
        <f t="shared" ref="O615:O617" si="90">HYPERLINK("https://pbs.twimg.com/profile_images/641183991077445633/V7VcBpJI_normal.png","View")</f>
        <v>View</v>
      </c>
      <c r="P615" s="15"/>
    </row>
    <row r="616">
      <c r="A616" s="7">
        <v>42422.35309027778</v>
      </c>
      <c r="B616" s="8" t="str">
        <f t="shared" si="89"/>
        <v>@MangoTheCat</v>
      </c>
      <c r="C616" s="10" t="s">
        <v>6321</v>
      </c>
      <c r="D616" s="10" t="s">
        <v>7432</v>
      </c>
      <c r="E616" s="11" t="str">
        <f>HYPERLINK("https://twitter.com/MangoTheCat/status/701805763812073476","701805763812073476")</f>
        <v>701805763812073476</v>
      </c>
      <c r="F616" s="12" t="s">
        <v>659</v>
      </c>
      <c r="G616" s="13">
        <v>2041.0</v>
      </c>
      <c r="H616" s="13">
        <v>2855.0</v>
      </c>
      <c r="I616" s="13">
        <v>1.0</v>
      </c>
      <c r="J616" s="13">
        <v>0.0</v>
      </c>
      <c r="K616" s="12" t="s">
        <v>21</v>
      </c>
      <c r="L616" s="7">
        <v>39854.3178587963</v>
      </c>
      <c r="M616" s="14" t="s">
        <v>6323</v>
      </c>
      <c r="N616" s="14" t="s">
        <v>6324</v>
      </c>
      <c r="O616" s="11" t="str">
        <f t="shared" si="90"/>
        <v>View</v>
      </c>
      <c r="P616" s="15"/>
    </row>
    <row r="617">
      <c r="A617" s="7">
        <v>42422.353483796294</v>
      </c>
      <c r="B617" s="8" t="str">
        <f t="shared" si="89"/>
        <v>@MangoTheCat</v>
      </c>
      <c r="C617" s="10" t="s">
        <v>6321</v>
      </c>
      <c r="D617" s="10" t="s">
        <v>7433</v>
      </c>
      <c r="E617" s="11" t="str">
        <f>HYPERLINK("https://twitter.com/MangoTheCat/status/701805905579380736","701805905579380736")</f>
        <v>701805905579380736</v>
      </c>
      <c r="F617" s="12" t="s">
        <v>47</v>
      </c>
      <c r="G617" s="13">
        <v>2041.0</v>
      </c>
      <c r="H617" s="13">
        <v>2855.0</v>
      </c>
      <c r="I617" s="13">
        <v>4.0</v>
      </c>
      <c r="J617" s="13">
        <v>2.0</v>
      </c>
      <c r="K617" s="12" t="s">
        <v>21</v>
      </c>
      <c r="L617" s="7">
        <v>39854.3178587963</v>
      </c>
      <c r="M617" s="14" t="s">
        <v>6323</v>
      </c>
      <c r="N617" s="14" t="s">
        <v>6324</v>
      </c>
      <c r="O617" s="11" t="str">
        <f t="shared" si="90"/>
        <v>View</v>
      </c>
      <c r="P617" s="15"/>
    </row>
    <row r="618">
      <c r="A618" s="7">
        <v>42422.35371527778</v>
      </c>
      <c r="B618" s="8" t="str">
        <f>HYPERLINK("https://twitter.com/shobz","@shobz")</f>
        <v>@shobz</v>
      </c>
      <c r="C618" s="10" t="s">
        <v>7434</v>
      </c>
      <c r="D618" s="10" t="s">
        <v>6319</v>
      </c>
      <c r="E618" s="11" t="str">
        <f>HYPERLINK("https://twitter.com/shobz/status/701805990660988928","701805990660988928")</f>
        <v>701805990660988928</v>
      </c>
      <c r="F618" s="12" t="s">
        <v>152</v>
      </c>
      <c r="G618" s="13">
        <v>5629.0</v>
      </c>
      <c r="H618" s="13">
        <v>1349.0</v>
      </c>
      <c r="I618" s="13">
        <v>106.0</v>
      </c>
      <c r="J618" s="13">
        <v>0.0</v>
      </c>
      <c r="K618" s="12" t="s">
        <v>21</v>
      </c>
      <c r="L618" s="7">
        <v>39211.46082175926</v>
      </c>
      <c r="M618" s="14" t="s">
        <v>2034</v>
      </c>
      <c r="N618" s="14" t="s">
        <v>7435</v>
      </c>
      <c r="O618" s="11" t="str">
        <f>HYPERLINK("https://pbs.twimg.com/profile_images/702208127333244932/irdExH5k_normal.jpg","View")</f>
        <v>View</v>
      </c>
      <c r="P618" s="15"/>
    </row>
    <row r="619">
      <c r="A619" s="7">
        <v>42422.35475694445</v>
      </c>
      <c r="B619" s="8" t="str">
        <f>HYPERLINK("https://twitter.com/rusertw95582000","@rusertw95582000")</f>
        <v>@rusertw95582000</v>
      </c>
      <c r="C619" s="10" t="s">
        <v>7267</v>
      </c>
      <c r="D619" s="10" t="s">
        <v>7436</v>
      </c>
      <c r="E619" s="11" t="str">
        <f>HYPERLINK("https://twitter.com/rusertw95582000/status/701806367997349890","701806367997349890")</f>
        <v>701806367997349890</v>
      </c>
      <c r="F619" s="12" t="s">
        <v>20</v>
      </c>
      <c r="G619" s="13">
        <v>1.0</v>
      </c>
      <c r="H619" s="13">
        <v>0.0</v>
      </c>
      <c r="I619" s="13">
        <v>0.0</v>
      </c>
      <c r="J619" s="13">
        <v>0.0</v>
      </c>
      <c r="K619" s="12" t="s">
        <v>21</v>
      </c>
      <c r="L619" s="7">
        <v>42422.2156712963</v>
      </c>
      <c r="M619" s="14" t="s">
        <v>1054</v>
      </c>
      <c r="N619" s="16"/>
      <c r="O619" s="11" t="str">
        <f>HYPERLINK("https://abs.twimg.com/sticky/default_profile_images/default_profile_0_normal.png","View")</f>
        <v>View</v>
      </c>
      <c r="P619" s="15"/>
    </row>
    <row r="620">
      <c r="A620" s="7">
        <v>42422.35613425926</v>
      </c>
      <c r="B620" s="8" t="str">
        <f>HYPERLINK("https://twitter.com/MangoMattGlover","@MangoMattGlover")</f>
        <v>@MangoMattGlover</v>
      </c>
      <c r="C620" s="10" t="s">
        <v>7437</v>
      </c>
      <c r="D620" s="10" t="s">
        <v>7438</v>
      </c>
      <c r="E620" s="11" t="str">
        <f>HYPERLINK("https://twitter.com/MangoMattGlover/status/701806864284131328","701806864284131328")</f>
        <v>701806864284131328</v>
      </c>
      <c r="F620" s="12" t="s">
        <v>20</v>
      </c>
      <c r="G620" s="13">
        <v>27.0</v>
      </c>
      <c r="H620" s="13">
        <v>40.0</v>
      </c>
      <c r="I620" s="13">
        <v>4.0</v>
      </c>
      <c r="J620" s="13">
        <v>0.0</v>
      </c>
      <c r="K620" s="12" t="s">
        <v>21</v>
      </c>
      <c r="L620" s="7">
        <v>42300.29976851852</v>
      </c>
      <c r="M620" s="14" t="s">
        <v>7439</v>
      </c>
      <c r="N620" s="16"/>
      <c r="O620" s="11" t="str">
        <f>HYPERLINK("https://pbs.twimg.com/profile_images/658671552783896576/qahSiVSy_normal.jpg","View")</f>
        <v>View</v>
      </c>
      <c r="P620" s="15"/>
    </row>
    <row r="621">
      <c r="A621" s="7">
        <v>42422.35729166667</v>
      </c>
      <c r="B621" s="8" t="str">
        <f>HYPERLINK("https://twitter.com/kevin_ushey","@kevin_ushey")</f>
        <v>@kevin_ushey</v>
      </c>
      <c r="C621" s="10" t="s">
        <v>7440</v>
      </c>
      <c r="D621" s="10" t="s">
        <v>7441</v>
      </c>
      <c r="E621" s="11" t="str">
        <f>HYPERLINK("https://twitter.com/kevin_ushey/status/701807286914674688","701807286914674688")</f>
        <v>701807286914674688</v>
      </c>
      <c r="F621" s="12" t="s">
        <v>20</v>
      </c>
      <c r="G621" s="13">
        <v>801.0</v>
      </c>
      <c r="H621" s="13">
        <v>466.0</v>
      </c>
      <c r="I621" s="13">
        <v>0.0</v>
      </c>
      <c r="J621" s="13">
        <v>5.0</v>
      </c>
      <c r="K621" s="12" t="s">
        <v>21</v>
      </c>
      <c r="L621" s="7">
        <v>40188.63664351852</v>
      </c>
      <c r="M621" s="14" t="s">
        <v>7442</v>
      </c>
      <c r="N621" s="14" t="s">
        <v>7443</v>
      </c>
      <c r="O621" s="11" t="str">
        <f>HYPERLINK("https://pbs.twimg.com/profile_images/480453401298223104/Ce3-EVYP_normal.jpeg","View")</f>
        <v>View</v>
      </c>
      <c r="P621" s="15"/>
    </row>
    <row r="622">
      <c r="A622" s="7">
        <v>42422.35888888889</v>
      </c>
      <c r="B622" s="8" t="str">
        <f>HYPERLINK("https://twitter.com/TAT_ITB","@TAT_ITB")</f>
        <v>@TAT_ITB</v>
      </c>
      <c r="C622" s="10" t="s">
        <v>7047</v>
      </c>
      <c r="D622" s="10" t="s">
        <v>7444</v>
      </c>
      <c r="E622" s="11" t="str">
        <f>HYPERLINK("https://twitter.com/TAT_ITB/status/701807863308513280","701807863308513280")</f>
        <v>701807863308513280</v>
      </c>
      <c r="F622" s="12" t="s">
        <v>52</v>
      </c>
      <c r="G622" s="13">
        <v>112.0</v>
      </c>
      <c r="H622" s="13">
        <v>142.0</v>
      </c>
      <c r="I622" s="13">
        <v>0.0</v>
      </c>
      <c r="J622" s="13">
        <v>0.0</v>
      </c>
      <c r="K622" s="12" t="s">
        <v>21</v>
      </c>
      <c r="L622" s="7">
        <v>41680.01274305556</v>
      </c>
      <c r="M622" s="14" t="s">
        <v>7049</v>
      </c>
      <c r="N622" s="14" t="s">
        <v>7050</v>
      </c>
      <c r="O622" s="11" t="str">
        <f>HYPERLINK("https://pbs.twimg.com/profile_images/503460551637233664/oFBLnEWw_normal.jpeg","View")</f>
        <v>View</v>
      </c>
      <c r="P622" s="15"/>
    </row>
    <row r="623">
      <c r="A623" s="7">
        <v>42422.36262731481</v>
      </c>
      <c r="B623" s="8" t="str">
        <f>HYPERLINK("https://twitter.com/polonglin","@polonglin")</f>
        <v>@polonglin</v>
      </c>
      <c r="C623" s="10" t="s">
        <v>7445</v>
      </c>
      <c r="D623" s="10" t="s">
        <v>7446</v>
      </c>
      <c r="E623" s="11" t="str">
        <f>HYPERLINK("https://twitter.com/polonglin/status/701809219020849153","701809219020849153")</f>
        <v>701809219020849153</v>
      </c>
      <c r="F623" s="12" t="s">
        <v>20</v>
      </c>
      <c r="G623" s="13">
        <v>86.0</v>
      </c>
      <c r="H623" s="13">
        <v>124.0</v>
      </c>
      <c r="I623" s="13">
        <v>3.0</v>
      </c>
      <c r="J623" s="13">
        <v>1.0</v>
      </c>
      <c r="K623" s="12" t="s">
        <v>21</v>
      </c>
      <c r="L623" s="7">
        <v>42174.30122685185</v>
      </c>
      <c r="M623" s="14" t="s">
        <v>3278</v>
      </c>
      <c r="N623" s="14" t="s">
        <v>7447</v>
      </c>
      <c r="O623" s="11" t="str">
        <f>HYPERLINK("https://pbs.twimg.com/profile_images/611905778018988033/dJ0XLsZy_normal.jpg","View")</f>
        <v>View</v>
      </c>
      <c r="P623" s="15"/>
    </row>
    <row r="624">
      <c r="A624" s="7">
        <v>42422.36351851852</v>
      </c>
      <c r="B624" s="8" t="str">
        <f>HYPERLINK("https://twitter.com/VMuraliKRaju","@VMuraliKRaju")</f>
        <v>@VMuraliKRaju</v>
      </c>
      <c r="C624" s="10" t="s">
        <v>6481</v>
      </c>
      <c r="D624" s="10" t="s">
        <v>6319</v>
      </c>
      <c r="E624" s="11" t="str">
        <f>HYPERLINK("https://twitter.com/VMuraliKRaju/status/701809540468113408","701809540468113408")</f>
        <v>701809540468113408</v>
      </c>
      <c r="F624" s="12" t="s">
        <v>152</v>
      </c>
      <c r="G624" s="13">
        <v>81.0</v>
      </c>
      <c r="H624" s="13">
        <v>305.0</v>
      </c>
      <c r="I624" s="13">
        <v>106.0</v>
      </c>
      <c r="J624" s="13">
        <v>0.0</v>
      </c>
      <c r="K624" s="12" t="s">
        <v>21</v>
      </c>
      <c r="L624" s="7">
        <v>41483.425462962965</v>
      </c>
      <c r="M624" s="16"/>
      <c r="N624" s="16"/>
      <c r="O624" s="11" t="str">
        <f>HYPERLINK("https://abs.twimg.com/sticky/default_profile_images/default_profile_2_normal.png","View")</f>
        <v>View</v>
      </c>
      <c r="P624" s="15"/>
    </row>
    <row r="625">
      <c r="A625" s="7">
        <v>42422.36443287037</v>
      </c>
      <c r="B625" s="8" t="str">
        <f>HYPERLINK("https://twitter.com/EricaLynn_AK","@EricaLynn_AK")</f>
        <v>@EricaLynn_AK</v>
      </c>
      <c r="C625" s="10" t="s">
        <v>7448</v>
      </c>
      <c r="D625" s="10" t="s">
        <v>6275</v>
      </c>
      <c r="E625" s="11" t="str">
        <f>HYPERLINK("https://twitter.com/EricaLynn_AK/status/701809871730012160","701809871730012160")</f>
        <v>701809871730012160</v>
      </c>
      <c r="F625" s="12" t="s">
        <v>1573</v>
      </c>
      <c r="G625" s="13">
        <v>190.0</v>
      </c>
      <c r="H625" s="13">
        <v>1083.0</v>
      </c>
      <c r="I625" s="13">
        <v>31.0</v>
      </c>
      <c r="J625" s="13">
        <v>0.0</v>
      </c>
      <c r="K625" s="12" t="s">
        <v>21</v>
      </c>
      <c r="L625" s="7">
        <v>41581.791493055556</v>
      </c>
      <c r="M625" s="16"/>
      <c r="N625" s="14" t="s">
        <v>7449</v>
      </c>
      <c r="O625" s="11" t="str">
        <f>HYPERLINK("https://pbs.twimg.com/profile_images/430096190009405440/mcSJVJzQ_normal.jpeg","View")</f>
        <v>View</v>
      </c>
      <c r="P625" s="15"/>
    </row>
    <row r="626">
      <c r="A626" s="7">
        <v>42422.36466435185</v>
      </c>
      <c r="B626" s="8" t="str">
        <f>HYPERLINK("https://twitter.com/MangoTheCat","@MangoTheCat")</f>
        <v>@MangoTheCat</v>
      </c>
      <c r="C626" s="10" t="s">
        <v>6321</v>
      </c>
      <c r="D626" s="10" t="s">
        <v>7450</v>
      </c>
      <c r="E626" s="11" t="str">
        <f>HYPERLINK("https://twitter.com/MangoTheCat/status/701809958749212672","701809958749212672")</f>
        <v>701809958749212672</v>
      </c>
      <c r="F626" s="12" t="s">
        <v>47</v>
      </c>
      <c r="G626" s="13">
        <v>2041.0</v>
      </c>
      <c r="H626" s="13">
        <v>2855.0</v>
      </c>
      <c r="I626" s="13">
        <v>2.0</v>
      </c>
      <c r="J626" s="13">
        <v>0.0</v>
      </c>
      <c r="K626" s="12" t="s">
        <v>21</v>
      </c>
      <c r="L626" s="7">
        <v>39854.3178587963</v>
      </c>
      <c r="M626" s="14" t="s">
        <v>6323</v>
      </c>
      <c r="N626" s="14" t="s">
        <v>6324</v>
      </c>
      <c r="O626" s="11" t="str">
        <f>HYPERLINK("https://pbs.twimg.com/profile_images/641183991077445633/V7VcBpJI_normal.png","View")</f>
        <v>View</v>
      </c>
      <c r="P626" s="15"/>
    </row>
    <row r="627">
      <c r="A627" s="7">
        <v>42422.37043981481</v>
      </c>
      <c r="B627" s="8" t="str">
        <f t="shared" ref="B627:B630" si="91">HYPERLINK("https://twitter.com/AngelaatMango","@AngelaatMango")</f>
        <v>@AngelaatMango</v>
      </c>
      <c r="C627" s="10" t="s">
        <v>7451</v>
      </c>
      <c r="D627" s="10" t="s">
        <v>7104</v>
      </c>
      <c r="E627" s="11" t="str">
        <f>HYPERLINK("https://twitter.com/AngelaatMango/status/701812048649388032","701812048649388032")</f>
        <v>701812048649388032</v>
      </c>
      <c r="F627" s="12" t="s">
        <v>20</v>
      </c>
      <c r="G627" s="13">
        <v>287.0</v>
      </c>
      <c r="H627" s="13">
        <v>482.0</v>
      </c>
      <c r="I627" s="13">
        <v>3.0</v>
      </c>
      <c r="J627" s="13">
        <v>0.0</v>
      </c>
      <c r="K627" s="12" t="s">
        <v>21</v>
      </c>
      <c r="L627" s="7">
        <v>42220.35135416666</v>
      </c>
      <c r="M627" s="14" t="s">
        <v>7439</v>
      </c>
      <c r="N627" s="14" t="s">
        <v>7452</v>
      </c>
      <c r="O627" s="11" t="str">
        <f t="shared" ref="O627:O630" si="92">HYPERLINK("https://pbs.twimg.com/profile_images/628595993399939072/_8_qlUsA_normal.jpg","View")</f>
        <v>View</v>
      </c>
      <c r="P627" s="15"/>
    </row>
    <row r="628">
      <c r="A628" s="7">
        <v>42422.370520833334</v>
      </c>
      <c r="B628" s="8" t="str">
        <f t="shared" si="91"/>
        <v>@AngelaatMango</v>
      </c>
      <c r="C628" s="10" t="s">
        <v>7451</v>
      </c>
      <c r="D628" s="10" t="s">
        <v>7331</v>
      </c>
      <c r="E628" s="11" t="str">
        <f>HYPERLINK("https://twitter.com/AngelaatMango/status/701812079267815424","701812079267815424")</f>
        <v>701812079267815424</v>
      </c>
      <c r="F628" s="12" t="s">
        <v>20</v>
      </c>
      <c r="G628" s="13">
        <v>287.0</v>
      </c>
      <c r="H628" s="13">
        <v>482.0</v>
      </c>
      <c r="I628" s="13">
        <v>2.0</v>
      </c>
      <c r="J628" s="13">
        <v>0.0</v>
      </c>
      <c r="K628" s="12" t="s">
        <v>21</v>
      </c>
      <c r="L628" s="7">
        <v>42220.35135416666</v>
      </c>
      <c r="M628" s="14" t="s">
        <v>7439</v>
      </c>
      <c r="N628" s="14" t="s">
        <v>7452</v>
      </c>
      <c r="O628" s="11" t="str">
        <f t="shared" si="92"/>
        <v>View</v>
      </c>
      <c r="P628" s="15"/>
    </row>
    <row r="629">
      <c r="A629" s="7">
        <v>42422.37091435185</v>
      </c>
      <c r="B629" s="8" t="str">
        <f t="shared" si="91"/>
        <v>@AngelaatMango</v>
      </c>
      <c r="C629" s="10" t="s">
        <v>7451</v>
      </c>
      <c r="D629" s="10" t="s">
        <v>7453</v>
      </c>
      <c r="E629" s="11" t="str">
        <f>HYPERLINK("https://twitter.com/AngelaatMango/status/701812221177942017","701812221177942017")</f>
        <v>701812221177942017</v>
      </c>
      <c r="F629" s="12" t="s">
        <v>20</v>
      </c>
      <c r="G629" s="13">
        <v>287.0</v>
      </c>
      <c r="H629" s="13">
        <v>482.0</v>
      </c>
      <c r="I629" s="13">
        <v>2.0</v>
      </c>
      <c r="J629" s="13">
        <v>0.0</v>
      </c>
      <c r="K629" s="12" t="s">
        <v>21</v>
      </c>
      <c r="L629" s="7">
        <v>42220.35135416666</v>
      </c>
      <c r="M629" s="14" t="s">
        <v>7439</v>
      </c>
      <c r="N629" s="14" t="s">
        <v>7452</v>
      </c>
      <c r="O629" s="11" t="str">
        <f t="shared" si="92"/>
        <v>View</v>
      </c>
      <c r="P629" s="15"/>
    </row>
    <row r="630">
      <c r="A630" s="7">
        <v>42422.370995370366</v>
      </c>
      <c r="B630" s="8" t="str">
        <f t="shared" si="91"/>
        <v>@AngelaatMango</v>
      </c>
      <c r="C630" s="10" t="s">
        <v>7451</v>
      </c>
      <c r="D630" s="10" t="s">
        <v>7438</v>
      </c>
      <c r="E630" s="11" t="str">
        <f>HYPERLINK("https://twitter.com/AngelaatMango/status/701812253209796608","701812253209796608")</f>
        <v>701812253209796608</v>
      </c>
      <c r="F630" s="12" t="s">
        <v>20</v>
      </c>
      <c r="G630" s="13">
        <v>287.0</v>
      </c>
      <c r="H630" s="13">
        <v>482.0</v>
      </c>
      <c r="I630" s="13">
        <v>4.0</v>
      </c>
      <c r="J630" s="13">
        <v>0.0</v>
      </c>
      <c r="K630" s="12" t="s">
        <v>21</v>
      </c>
      <c r="L630" s="7">
        <v>42220.35135416666</v>
      </c>
      <c r="M630" s="14" t="s">
        <v>7439</v>
      </c>
      <c r="N630" s="14" t="s">
        <v>7452</v>
      </c>
      <c r="O630" s="11" t="str">
        <f t="shared" si="92"/>
        <v>View</v>
      </c>
      <c r="P630" s="15"/>
    </row>
    <row r="631">
      <c r="A631" s="7">
        <v>42422.37215277778</v>
      </c>
      <c r="B631" s="8" t="str">
        <f t="shared" ref="B631:B632" si="93">HYPERLINK("https://twitter.com/earlconf","@earlconf")</f>
        <v>@earlconf</v>
      </c>
      <c r="C631" s="10" t="s">
        <v>7100</v>
      </c>
      <c r="D631" s="10" t="s">
        <v>7438</v>
      </c>
      <c r="E631" s="11" t="str">
        <f>HYPERLINK("https://twitter.com/earlconf/status/701812671377756160","701812671377756160")</f>
        <v>701812671377756160</v>
      </c>
      <c r="F631" s="12" t="s">
        <v>20</v>
      </c>
      <c r="G631" s="13">
        <v>1081.0</v>
      </c>
      <c r="H631" s="13">
        <v>2351.0</v>
      </c>
      <c r="I631" s="13">
        <v>4.0</v>
      </c>
      <c r="J631" s="13">
        <v>0.0</v>
      </c>
      <c r="K631" s="12" t="s">
        <v>21</v>
      </c>
      <c r="L631" s="7">
        <v>41677.49930555555</v>
      </c>
      <c r="M631" s="14" t="s">
        <v>7102</v>
      </c>
      <c r="N631" s="14" t="s">
        <v>7103</v>
      </c>
      <c r="O631" s="11" t="str">
        <f t="shared" ref="O631:O632" si="94">HYPERLINK("https://pbs.twimg.com/profile_images/432298122203512833/YDXfWlI__normal.png","View")</f>
        <v>View</v>
      </c>
      <c r="P631" s="15"/>
    </row>
    <row r="632">
      <c r="A632" s="7">
        <v>42422.37240740741</v>
      </c>
      <c r="B632" s="8" t="str">
        <f t="shared" si="93"/>
        <v>@earlconf</v>
      </c>
      <c r="C632" s="10" t="s">
        <v>7100</v>
      </c>
      <c r="D632" s="10" t="s">
        <v>6918</v>
      </c>
      <c r="E632" s="11" t="str">
        <f>HYPERLINK("https://twitter.com/earlconf/status/701812764931702784","701812764931702784")</f>
        <v>701812764931702784</v>
      </c>
      <c r="F632" s="12" t="s">
        <v>20</v>
      </c>
      <c r="G632" s="13">
        <v>1081.0</v>
      </c>
      <c r="H632" s="13">
        <v>2351.0</v>
      </c>
      <c r="I632" s="13">
        <v>32.0</v>
      </c>
      <c r="J632" s="13">
        <v>0.0</v>
      </c>
      <c r="K632" s="12" t="s">
        <v>21</v>
      </c>
      <c r="L632" s="7">
        <v>41677.49930555555</v>
      </c>
      <c r="M632" s="14" t="s">
        <v>7102</v>
      </c>
      <c r="N632" s="14" t="s">
        <v>7103</v>
      </c>
      <c r="O632" s="11" t="str">
        <f t="shared" si="94"/>
        <v>View</v>
      </c>
      <c r="P632" s="15"/>
    </row>
    <row r="633">
      <c r="A633" s="7">
        <v>42422.3759837963</v>
      </c>
      <c r="B633" s="8" t="str">
        <f>HYPERLINK("https://twitter.com/kihyy","@kihyy")</f>
        <v>@kihyy</v>
      </c>
      <c r="C633" s="10" t="s">
        <v>7454</v>
      </c>
      <c r="D633" s="10" t="s">
        <v>7455</v>
      </c>
      <c r="E633" s="11" t="str">
        <f>HYPERLINK("https://twitter.com/kihyy/status/701814060304769024","701814060304769024")</f>
        <v>701814060304769024</v>
      </c>
      <c r="F633" s="12" t="s">
        <v>20</v>
      </c>
      <c r="G633" s="13">
        <v>650.0</v>
      </c>
      <c r="H633" s="13">
        <v>670.0</v>
      </c>
      <c r="I633" s="13">
        <v>1.0</v>
      </c>
      <c r="J633" s="13">
        <v>0.0</v>
      </c>
      <c r="K633" s="12" t="s">
        <v>21</v>
      </c>
      <c r="L633" s="7">
        <v>40507.24512731482</v>
      </c>
      <c r="M633" s="14" t="s">
        <v>6333</v>
      </c>
      <c r="N633" s="14" t="s">
        <v>7456</v>
      </c>
      <c r="O633" s="11" t="str">
        <f>HYPERLINK("https://pbs.twimg.com/profile_images/675714815000580097/qWgkr4rn_normal.png","View")</f>
        <v>View</v>
      </c>
      <c r="P633" s="15"/>
    </row>
    <row r="634">
      <c r="A634" s="7">
        <v>42422.378912037035</v>
      </c>
      <c r="B634" s="8" t="str">
        <f>HYPERLINK("https://twitter.com/JennyBryan","@JennyBryan")</f>
        <v>@JennyBryan</v>
      </c>
      <c r="C634" s="10" t="s">
        <v>7457</v>
      </c>
      <c r="D634" s="10" t="s">
        <v>7458</v>
      </c>
      <c r="E634" s="11" t="str">
        <f>HYPERLINK("https://twitter.com/JennyBryan/status/701815120683380736","701815120683380736")</f>
        <v>701815120683380736</v>
      </c>
      <c r="F634" s="12" t="s">
        <v>240</v>
      </c>
      <c r="G634" s="13">
        <v>3780.0</v>
      </c>
      <c r="H634" s="13">
        <v>466.0</v>
      </c>
      <c r="I634" s="13">
        <v>6.0</v>
      </c>
      <c r="J634" s="13">
        <v>27.0</v>
      </c>
      <c r="K634" s="12" t="s">
        <v>21</v>
      </c>
      <c r="L634" s="7">
        <v>41578.4809837963</v>
      </c>
      <c r="M634" s="14" t="s">
        <v>1855</v>
      </c>
      <c r="N634" s="14" t="s">
        <v>7459</v>
      </c>
      <c r="O634" s="11" t="str">
        <f>HYPERLINK("https://pbs.twimg.com/profile_images/660978605606875137/s3YrJetD_normal.jpg","View")</f>
        <v>View</v>
      </c>
      <c r="P634" s="15"/>
    </row>
    <row r="635">
      <c r="A635" s="7">
        <v>42422.37913194444</v>
      </c>
      <c r="B635" s="8" t="str">
        <f>HYPERLINK("https://twitter.com/RLangTip","@RLangTip")</f>
        <v>@RLangTip</v>
      </c>
      <c r="C635" s="10" t="s">
        <v>7460</v>
      </c>
      <c r="D635" s="10" t="s">
        <v>7461</v>
      </c>
      <c r="E635" s="11" t="str">
        <f>HYPERLINK("https://twitter.com/RLangTip/status/701815200631095296","701815200631095296")</f>
        <v>701815200631095296</v>
      </c>
      <c r="F635" s="12" t="s">
        <v>659</v>
      </c>
      <c r="G635" s="13">
        <v>30041.0</v>
      </c>
      <c r="H635" s="13">
        <v>11.0</v>
      </c>
      <c r="I635" s="13">
        <v>8.0</v>
      </c>
      <c r="J635" s="13">
        <v>19.0</v>
      </c>
      <c r="K635" s="12" t="s">
        <v>21</v>
      </c>
      <c r="L635" s="7">
        <v>40671.57754629629</v>
      </c>
      <c r="M635" s="16"/>
      <c r="N635" s="14" t="s">
        <v>7462</v>
      </c>
      <c r="O635" s="11" t="str">
        <f>HYPERLINK("https://pbs.twimg.com/profile_images/1344530309/RLangTip_normal.png","View")</f>
        <v>View</v>
      </c>
      <c r="P635" s="15"/>
    </row>
    <row r="636">
      <c r="A636" s="7">
        <v>42422.380740740744</v>
      </c>
      <c r="B636" s="8" t="str">
        <f>HYPERLINK("https://twitter.com/flexiodata","@flexiodata")</f>
        <v>@flexiodata</v>
      </c>
      <c r="C636" s="9" t="s">
        <v>3570</v>
      </c>
      <c r="D636" s="10" t="s">
        <v>7463</v>
      </c>
      <c r="E636" s="11" t="str">
        <f>HYPERLINK("https://twitter.com/flexiodata/status/701815782049767428","701815782049767428")</f>
        <v>701815782049767428</v>
      </c>
      <c r="F636" s="12" t="s">
        <v>294</v>
      </c>
      <c r="G636" s="13">
        <v>5516.0</v>
      </c>
      <c r="H636" s="13">
        <v>4912.0</v>
      </c>
      <c r="I636" s="13">
        <v>4.0</v>
      </c>
      <c r="J636" s="13">
        <v>4.0</v>
      </c>
      <c r="K636" s="12" t="s">
        <v>21</v>
      </c>
      <c r="L636" s="7">
        <v>41808.5715162037</v>
      </c>
      <c r="M636" s="14" t="s">
        <v>2544</v>
      </c>
      <c r="N636" s="14" t="s">
        <v>3572</v>
      </c>
      <c r="O636" s="11" t="str">
        <f>HYPERLINK("https://pbs.twimg.com/profile_images/494612417981067265/EBSDgGf4_normal.png","View")</f>
        <v>View</v>
      </c>
      <c r="P636" s="15"/>
    </row>
    <row r="637">
      <c r="A637" s="7">
        <v>42422.38267361111</v>
      </c>
      <c r="B637" s="8" t="str">
        <f t="shared" ref="B637:B638" si="95">HYPERLINK("https://twitter.com/inside_R","@inside_R")</f>
        <v>@inside_R</v>
      </c>
      <c r="C637" s="10" t="s">
        <v>7464</v>
      </c>
      <c r="D637" s="10" t="s">
        <v>7465</v>
      </c>
      <c r="E637" s="11" t="str">
        <f>HYPERLINK("https://twitter.com/inside_R/status/701816482859245569","701816482859245569")</f>
        <v>701816482859245569</v>
      </c>
      <c r="F637" s="12" t="s">
        <v>659</v>
      </c>
      <c r="G637" s="13">
        <v>15570.0</v>
      </c>
      <c r="H637" s="13">
        <v>965.0</v>
      </c>
      <c r="I637" s="13">
        <v>0.0</v>
      </c>
      <c r="J637" s="13">
        <v>0.0</v>
      </c>
      <c r="K637" s="12" t="s">
        <v>21</v>
      </c>
      <c r="L637" s="7">
        <v>40275.4490625</v>
      </c>
      <c r="M637" s="16"/>
      <c r="N637" s="14" t="s">
        <v>7466</v>
      </c>
      <c r="O637" s="11" t="str">
        <f t="shared" ref="O637:O638" si="96">HYPERLINK("https://pbs.twimg.com/profile_images/862610035/Inside_r_icon_normal.png","View")</f>
        <v>View</v>
      </c>
      <c r="P637" s="15"/>
    </row>
    <row r="638">
      <c r="A638" s="7">
        <v>42422.38267361111</v>
      </c>
      <c r="B638" s="8" t="str">
        <f t="shared" si="95"/>
        <v>@inside_R</v>
      </c>
      <c r="C638" s="10" t="s">
        <v>7464</v>
      </c>
      <c r="D638" s="10" t="s">
        <v>7467</v>
      </c>
      <c r="E638" s="11" t="str">
        <f>HYPERLINK("https://twitter.com/inside_R/status/701816482863435777","701816482863435777")</f>
        <v>701816482863435777</v>
      </c>
      <c r="F638" s="12" t="s">
        <v>659</v>
      </c>
      <c r="G638" s="13">
        <v>15570.0</v>
      </c>
      <c r="H638" s="13">
        <v>965.0</v>
      </c>
      <c r="I638" s="13">
        <v>0.0</v>
      </c>
      <c r="J638" s="13">
        <v>0.0</v>
      </c>
      <c r="K638" s="12" t="s">
        <v>21</v>
      </c>
      <c r="L638" s="7">
        <v>40275.4490625</v>
      </c>
      <c r="M638" s="16"/>
      <c r="N638" s="14" t="s">
        <v>7466</v>
      </c>
      <c r="O638" s="11" t="str">
        <f t="shared" si="96"/>
        <v>View</v>
      </c>
      <c r="P638" s="15"/>
    </row>
    <row r="639">
      <c r="A639" s="7">
        <v>42422.386817129634</v>
      </c>
      <c r="B639" s="8" t="str">
        <f>HYPERLINK("https://twitter.com/tangming2005","@tangming2005")</f>
        <v>@tangming2005</v>
      </c>
      <c r="C639" s="10" t="s">
        <v>7468</v>
      </c>
      <c r="D639" s="10" t="s">
        <v>7364</v>
      </c>
      <c r="E639" s="11" t="str">
        <f>HYPERLINK("https://twitter.com/tangming2005/status/701817984872886272","701817984872886272")</f>
        <v>701817984872886272</v>
      </c>
      <c r="F639" s="12" t="s">
        <v>20</v>
      </c>
      <c r="G639" s="13">
        <v>305.0</v>
      </c>
      <c r="H639" s="13">
        <v>383.0</v>
      </c>
      <c r="I639" s="13">
        <v>4.0</v>
      </c>
      <c r="J639" s="13">
        <v>0.0</v>
      </c>
      <c r="K639" s="12" t="s">
        <v>21</v>
      </c>
      <c r="L639" s="7">
        <v>40887.43666666667</v>
      </c>
      <c r="M639" s="14" t="s">
        <v>719</v>
      </c>
      <c r="N639" s="14" t="s">
        <v>7469</v>
      </c>
      <c r="O639" s="11" t="str">
        <f>HYPERLINK("https://pbs.twimg.com/profile_images/442060405225967617/jOtd1ueH_normal.jpeg","View")</f>
        <v>View</v>
      </c>
      <c r="P639" s="15"/>
    </row>
    <row r="640">
      <c r="A640" s="7">
        <v>42422.38891203704</v>
      </c>
      <c r="B640" s="8" t="str">
        <f>HYPERLINK("https://twitter.com/iTweetSarah","@iTweetSarah")</f>
        <v>@iTweetSarah</v>
      </c>
      <c r="C640" s="10" t="s">
        <v>7470</v>
      </c>
      <c r="D640" s="10" t="s">
        <v>6319</v>
      </c>
      <c r="E640" s="11" t="str">
        <f>HYPERLINK("https://twitter.com/iTweetSarah/status/701818742909440000","701818742909440000")</f>
        <v>701818742909440000</v>
      </c>
      <c r="F640" s="12" t="s">
        <v>52</v>
      </c>
      <c r="G640" s="13">
        <v>685.0</v>
      </c>
      <c r="H640" s="13">
        <v>711.0</v>
      </c>
      <c r="I640" s="13">
        <v>106.0</v>
      </c>
      <c r="J640" s="13">
        <v>0.0</v>
      </c>
      <c r="K640" s="12" t="s">
        <v>21</v>
      </c>
      <c r="L640" s="7">
        <v>41009.65552083333</v>
      </c>
      <c r="M640" s="14" t="s">
        <v>69</v>
      </c>
      <c r="N640" s="14" t="s">
        <v>7471</v>
      </c>
      <c r="O640" s="11" t="str">
        <f>HYPERLINK("https://pbs.twimg.com/profile_images/3628020955/5bed057249c884ae2f28e089c3fa5bd0_normal.jpeg","View")</f>
        <v>View</v>
      </c>
      <c r="P640" s="15"/>
    </row>
    <row r="641">
      <c r="A641" s="7">
        <v>42422.39172453704</v>
      </c>
      <c r="B641" s="8" t="str">
        <f>HYPERLINK("https://twitter.com/kwbroman","@kwbroman")</f>
        <v>@kwbroman</v>
      </c>
      <c r="C641" s="10" t="s">
        <v>6662</v>
      </c>
      <c r="D641" s="10" t="s">
        <v>7472</v>
      </c>
      <c r="E641" s="11" t="str">
        <f>HYPERLINK("https://twitter.com/kwbroman/status/701819763572535296","701819763572535296")</f>
        <v>701819763572535296</v>
      </c>
      <c r="F641" s="12" t="s">
        <v>1082</v>
      </c>
      <c r="G641" s="13">
        <v>3617.0</v>
      </c>
      <c r="H641" s="13">
        <v>392.0</v>
      </c>
      <c r="I641" s="13">
        <v>6.0</v>
      </c>
      <c r="J641" s="13">
        <v>0.0</v>
      </c>
      <c r="K641" s="12" t="s">
        <v>21</v>
      </c>
      <c r="L641" s="7">
        <v>41335.79141203704</v>
      </c>
      <c r="M641" s="14" t="s">
        <v>6664</v>
      </c>
      <c r="N641" s="14" t="s">
        <v>6665</v>
      </c>
      <c r="O641" s="11" t="str">
        <f>HYPERLINK("https://pbs.twimg.com/profile_images/680796333460959232/CzoFZb76_normal.jpg","View")</f>
        <v>View</v>
      </c>
      <c r="P641" s="15"/>
    </row>
    <row r="642">
      <c r="A642" s="7">
        <v>42422.394328703704</v>
      </c>
      <c r="B642" s="8" t="str">
        <f>HYPERLINK("https://twitter.com/rickwargo","@rickwargo")</f>
        <v>@rickwargo</v>
      </c>
      <c r="C642" s="10" t="s">
        <v>7473</v>
      </c>
      <c r="D642" s="10" t="s">
        <v>7474</v>
      </c>
      <c r="E642" s="11" t="str">
        <f>HYPERLINK("https://twitter.com/rickwargo/status/701820705470451713","701820705470451713")</f>
        <v>701820705470451713</v>
      </c>
      <c r="F642" s="12" t="s">
        <v>20</v>
      </c>
      <c r="G642" s="13">
        <v>115.0</v>
      </c>
      <c r="H642" s="13">
        <v>100.0</v>
      </c>
      <c r="I642" s="13">
        <v>0.0</v>
      </c>
      <c r="J642" s="13">
        <v>1.0</v>
      </c>
      <c r="K642" s="12" t="s">
        <v>21</v>
      </c>
      <c r="L642" s="7">
        <v>39585.41105324074</v>
      </c>
      <c r="M642" s="14" t="s">
        <v>7475</v>
      </c>
      <c r="N642" s="14" t="s">
        <v>7476</v>
      </c>
      <c r="O642" s="11" t="str">
        <f>HYPERLINK("https://pbs.twimg.com/profile_images/73107713/headshot_normal.png","View")</f>
        <v>View</v>
      </c>
      <c r="P642" s="15"/>
    </row>
    <row r="643">
      <c r="A643" s="7">
        <v>42422.39815972222</v>
      </c>
      <c r="B643" s="8" t="str">
        <f>HYPERLINK("https://twitter.com/earlconf","@earlconf")</f>
        <v>@earlconf</v>
      </c>
      <c r="C643" s="10" t="s">
        <v>7100</v>
      </c>
      <c r="D643" s="10" t="s">
        <v>7472</v>
      </c>
      <c r="E643" s="11" t="str">
        <f>HYPERLINK("https://twitter.com/earlconf/status/701822096217923584","701822096217923584")</f>
        <v>701822096217923584</v>
      </c>
      <c r="F643" s="12" t="s">
        <v>659</v>
      </c>
      <c r="G643" s="13">
        <v>1081.0</v>
      </c>
      <c r="H643" s="13">
        <v>2351.0</v>
      </c>
      <c r="I643" s="13">
        <v>6.0</v>
      </c>
      <c r="J643" s="13">
        <v>0.0</v>
      </c>
      <c r="K643" s="12" t="s">
        <v>21</v>
      </c>
      <c r="L643" s="7">
        <v>41677.49930555555</v>
      </c>
      <c r="M643" s="14" t="s">
        <v>7102</v>
      </c>
      <c r="N643" s="14" t="s">
        <v>7103</v>
      </c>
      <c r="O643" s="11" t="str">
        <f>HYPERLINK("https://pbs.twimg.com/profile_images/432298122203512833/YDXfWlI__normal.png","View")</f>
        <v>View</v>
      </c>
      <c r="P643" s="15"/>
    </row>
    <row r="644">
      <c r="A644" s="7">
        <v>42422.39875</v>
      </c>
      <c r="B644" s="8" t="str">
        <f>HYPERLINK("https://twitter.com/pssGuy","@pssGuy")</f>
        <v>@pssGuy</v>
      </c>
      <c r="C644" s="10" t="s">
        <v>7477</v>
      </c>
      <c r="D644" s="10" t="s">
        <v>7478</v>
      </c>
      <c r="E644" s="11" t="str">
        <f>HYPERLINK("https://twitter.com/pssGuy/status/701822307983978496","701822307983978496")</f>
        <v>701822307983978496</v>
      </c>
      <c r="F644" s="12" t="s">
        <v>20</v>
      </c>
      <c r="G644" s="13">
        <v>318.0</v>
      </c>
      <c r="H644" s="13">
        <v>118.0</v>
      </c>
      <c r="I644" s="13">
        <v>2.0</v>
      </c>
      <c r="J644" s="13">
        <v>3.0</v>
      </c>
      <c r="K644" s="12" t="s">
        <v>21</v>
      </c>
      <c r="L644" s="7">
        <v>40451.41810185185</v>
      </c>
      <c r="M644" s="14" t="s">
        <v>7479</v>
      </c>
      <c r="N644" s="14" t="s">
        <v>7480</v>
      </c>
      <c r="O644" s="11" t="str">
        <f>HYPERLINK("https://pbs.twimg.com/profile_images/1138368380/P1010066small_normal.jpg","View")</f>
        <v>View</v>
      </c>
      <c r="P644" s="15"/>
    </row>
    <row r="645">
      <c r="A645" s="7">
        <v>42422.399247685185</v>
      </c>
      <c r="B645" s="8" t="str">
        <f>HYPERLINK("https://twitter.com/mgwhitfield","@mgwhitfield")</f>
        <v>@mgwhitfield</v>
      </c>
      <c r="C645" s="10" t="s">
        <v>7213</v>
      </c>
      <c r="D645" s="10" t="s">
        <v>7071</v>
      </c>
      <c r="E645" s="11" t="str">
        <f>HYPERLINK("https://twitter.com/mgwhitfield/status/701822490625122307","701822490625122307")</f>
        <v>701822490625122307</v>
      </c>
      <c r="F645" s="12" t="s">
        <v>152</v>
      </c>
      <c r="G645" s="13">
        <v>639.0</v>
      </c>
      <c r="H645" s="13">
        <v>585.0</v>
      </c>
      <c r="I645" s="13">
        <v>2.0</v>
      </c>
      <c r="J645" s="13">
        <v>0.0</v>
      </c>
      <c r="K645" s="12" t="s">
        <v>21</v>
      </c>
      <c r="L645" s="7">
        <v>40150.08924768519</v>
      </c>
      <c r="M645" s="14" t="s">
        <v>7214</v>
      </c>
      <c r="N645" s="14" t="s">
        <v>7215</v>
      </c>
      <c r="O645" s="11" t="str">
        <f>HYPERLINK("https://pbs.twimg.com/profile_images/583286350151098368/5H4-zEen_normal.jpg","View")</f>
        <v>View</v>
      </c>
      <c r="P645" s="15"/>
    </row>
    <row r="646">
      <c r="A646" s="7">
        <v>42422.399409722224</v>
      </c>
      <c r="B646" s="8" t="str">
        <f t="shared" ref="B646:B647" si="97">HYPERLINK("https://twitter.com/earlconf","@earlconf")</f>
        <v>@earlconf</v>
      </c>
      <c r="C646" s="10" t="s">
        <v>7100</v>
      </c>
      <c r="D646" s="10" t="s">
        <v>7481</v>
      </c>
      <c r="E646" s="11" t="str">
        <f>HYPERLINK("https://twitter.com/earlconf/status/701822547592093696","701822547592093696")</f>
        <v>701822547592093696</v>
      </c>
      <c r="F646" s="12" t="s">
        <v>659</v>
      </c>
      <c r="G646" s="13">
        <v>1081.0</v>
      </c>
      <c r="H646" s="13">
        <v>2351.0</v>
      </c>
      <c r="I646" s="13">
        <v>4.0</v>
      </c>
      <c r="J646" s="13">
        <v>0.0</v>
      </c>
      <c r="K646" s="12" t="s">
        <v>21</v>
      </c>
      <c r="L646" s="7">
        <v>41677.49930555555</v>
      </c>
      <c r="M646" s="14" t="s">
        <v>7102</v>
      </c>
      <c r="N646" s="14" t="s">
        <v>7103</v>
      </c>
      <c r="O646" s="11" t="str">
        <f t="shared" ref="O646:O647" si="98">HYPERLINK("https://pbs.twimg.com/profile_images/432298122203512833/YDXfWlI__normal.png","View")</f>
        <v>View</v>
      </c>
      <c r="P646" s="15"/>
    </row>
    <row r="647">
      <c r="A647" s="7">
        <v>42422.39954861111</v>
      </c>
      <c r="B647" s="8" t="str">
        <f t="shared" si="97"/>
        <v>@earlconf</v>
      </c>
      <c r="C647" s="10" t="s">
        <v>7100</v>
      </c>
      <c r="D647" s="10" t="s">
        <v>7482</v>
      </c>
      <c r="E647" s="11" t="str">
        <f>HYPERLINK("https://twitter.com/earlconf/status/701822597852491776","701822597852491776")</f>
        <v>701822597852491776</v>
      </c>
      <c r="F647" s="12" t="s">
        <v>659</v>
      </c>
      <c r="G647" s="13">
        <v>1081.0</v>
      </c>
      <c r="H647" s="13">
        <v>2351.0</v>
      </c>
      <c r="I647" s="13">
        <v>8.0</v>
      </c>
      <c r="J647" s="13">
        <v>0.0</v>
      </c>
      <c r="K647" s="12" t="s">
        <v>21</v>
      </c>
      <c r="L647" s="7">
        <v>41677.49930555555</v>
      </c>
      <c r="M647" s="14" t="s">
        <v>7102</v>
      </c>
      <c r="N647" s="14" t="s">
        <v>7103</v>
      </c>
      <c r="O647" s="11" t="str">
        <f t="shared" si="98"/>
        <v>View</v>
      </c>
      <c r="P647" s="15"/>
    </row>
    <row r="648">
      <c r="A648" s="7">
        <v>42422.40101851852</v>
      </c>
      <c r="B648" s="8" t="str">
        <f>HYPERLINK("https://twitter.com/sharlagelfand","@sharlagelfand")</f>
        <v>@sharlagelfand</v>
      </c>
      <c r="C648" s="10" t="s">
        <v>7483</v>
      </c>
      <c r="D648" s="10" t="s">
        <v>7352</v>
      </c>
      <c r="E648" s="11" t="str">
        <f>HYPERLINK("https://twitter.com/sharlagelfand/status/701823131644637184","701823131644637184")</f>
        <v>701823131644637184</v>
      </c>
      <c r="F648" s="12" t="s">
        <v>152</v>
      </c>
      <c r="G648" s="13">
        <v>54.0</v>
      </c>
      <c r="H648" s="13">
        <v>126.0</v>
      </c>
      <c r="I648" s="13">
        <v>48.0</v>
      </c>
      <c r="J648" s="13">
        <v>0.0</v>
      </c>
      <c r="K648" s="12" t="s">
        <v>21</v>
      </c>
      <c r="L648" s="7">
        <v>42317.95533564815</v>
      </c>
      <c r="M648" s="14" t="s">
        <v>4138</v>
      </c>
      <c r="N648" s="14" t="s">
        <v>7484</v>
      </c>
      <c r="O648" s="11" t="str">
        <f>HYPERLINK("https://pbs.twimg.com/profile_images/700150340843237376/YCSXvjF6_normal.jpg","View")</f>
        <v>View</v>
      </c>
      <c r="P648" s="15"/>
    </row>
    <row r="649">
      <c r="A649" s="7">
        <v>42422.40179398148</v>
      </c>
      <c r="B649" s="8" t="str">
        <f>HYPERLINK("https://twitter.com/DataAnalyticss","@DataAnalyticss")</f>
        <v>@DataAnalyticss</v>
      </c>
      <c r="C649" s="10" t="s">
        <v>2467</v>
      </c>
      <c r="D649" s="10" t="s">
        <v>7481</v>
      </c>
      <c r="E649" s="11" t="str">
        <f>HYPERLINK("https://twitter.com/DataAnalyticss/status/701823413111930881","701823413111930881")</f>
        <v>701823413111930881</v>
      </c>
      <c r="F649" s="12" t="s">
        <v>38</v>
      </c>
      <c r="G649" s="13">
        <v>718.0</v>
      </c>
      <c r="H649" s="13">
        <v>456.0</v>
      </c>
      <c r="I649" s="13">
        <v>4.0</v>
      </c>
      <c r="J649" s="13">
        <v>0.0</v>
      </c>
      <c r="K649" s="12" t="s">
        <v>21</v>
      </c>
      <c r="L649" s="7">
        <v>41953.30762731482</v>
      </c>
      <c r="M649" s="16"/>
      <c r="N649" s="16"/>
      <c r="O649" s="11" t="str">
        <f>HYPERLINK("https://pbs.twimg.com/profile_images/532798437897412608/flHdPUCx_normal.png","View")</f>
        <v>View</v>
      </c>
      <c r="P649" s="15"/>
    </row>
    <row r="650">
      <c r="A650" s="7">
        <v>42422.403333333335</v>
      </c>
      <c r="B650" s="8" t="str">
        <f>HYPERLINK("https://twitter.com/nishantsbi","@nishantsbi")</f>
        <v>@nishantsbi</v>
      </c>
      <c r="C650" s="10" t="s">
        <v>7485</v>
      </c>
      <c r="D650" s="10" t="s">
        <v>6319</v>
      </c>
      <c r="E650" s="11" t="str">
        <f>HYPERLINK("https://twitter.com/nishantsbi/status/701823971545579520","701823971545579520")</f>
        <v>701823971545579520</v>
      </c>
      <c r="F650" s="12" t="s">
        <v>20</v>
      </c>
      <c r="G650" s="13">
        <v>159.0</v>
      </c>
      <c r="H650" s="13">
        <v>345.0</v>
      </c>
      <c r="I650" s="13">
        <v>106.0</v>
      </c>
      <c r="J650" s="13">
        <v>0.0</v>
      </c>
      <c r="K650" s="12" t="s">
        <v>21</v>
      </c>
      <c r="L650" s="7">
        <v>41936.94688657408</v>
      </c>
      <c r="M650" s="14" t="s">
        <v>7486</v>
      </c>
      <c r="N650" s="14" t="s">
        <v>7487</v>
      </c>
      <c r="O650" s="11" t="str">
        <f>HYPERLINK("https://pbs.twimg.com/profile_images/525885796109139968/FiOo7RSZ_normal.jpeg","View")</f>
        <v>View</v>
      </c>
      <c r="P650" s="15"/>
    </row>
    <row r="651">
      <c r="A651" s="7">
        <v>42422.40402777778</v>
      </c>
      <c r="B651" s="8" t="str">
        <f>HYPERLINK("https://twitter.com/algaebarnacle","@algaebarnacle")</f>
        <v>@algaebarnacle</v>
      </c>
      <c r="C651" s="10" t="s">
        <v>7488</v>
      </c>
      <c r="D651" s="10" t="s">
        <v>7489</v>
      </c>
      <c r="E651" s="11" t="str">
        <f>HYPERLINK("https://twitter.com/algaebarnacle/status/701824222344007685","701824222344007685")</f>
        <v>701824222344007685</v>
      </c>
      <c r="F651" s="12" t="s">
        <v>20</v>
      </c>
      <c r="G651" s="13">
        <v>1676.0</v>
      </c>
      <c r="H651" s="13">
        <v>965.0</v>
      </c>
      <c r="I651" s="13">
        <v>0.0</v>
      </c>
      <c r="J651" s="13">
        <v>0.0</v>
      </c>
      <c r="K651" s="12" t="s">
        <v>21</v>
      </c>
      <c r="L651" s="7">
        <v>41278.61440972222</v>
      </c>
      <c r="M651" s="14" t="s">
        <v>7490</v>
      </c>
      <c r="N651" s="14" t="s">
        <v>7491</v>
      </c>
      <c r="O651" s="11" t="str">
        <f>HYPERLINK("https://pbs.twimg.com/profile_images/661300124870545408/hRw_N9Wk_normal.jpg","View")</f>
        <v>View</v>
      </c>
      <c r="P651" s="15"/>
    </row>
    <row r="652">
      <c r="A652" s="7">
        <v>42422.40412037037</v>
      </c>
      <c r="B652" s="8" t="str">
        <f>HYPERLINK("https://twitter.com/antbarros","@antbarros")</f>
        <v>@antbarros</v>
      </c>
      <c r="C652" s="10" t="s">
        <v>7492</v>
      </c>
      <c r="D652" s="10" t="s">
        <v>7263</v>
      </c>
      <c r="E652" s="11" t="str">
        <f>HYPERLINK("https://twitter.com/antbarros/status/701824253797208064","701824253797208064")</f>
        <v>701824253797208064</v>
      </c>
      <c r="F652" s="12" t="s">
        <v>20</v>
      </c>
      <c r="G652" s="13">
        <v>144.0</v>
      </c>
      <c r="H652" s="13">
        <v>398.0</v>
      </c>
      <c r="I652" s="13">
        <v>17.0</v>
      </c>
      <c r="J652" s="13">
        <v>0.0</v>
      </c>
      <c r="K652" s="12" t="s">
        <v>21</v>
      </c>
      <c r="L652" s="7">
        <v>39834.61170138889</v>
      </c>
      <c r="M652" s="14" t="s">
        <v>7493</v>
      </c>
      <c r="N652" s="14" t="s">
        <v>7494</v>
      </c>
      <c r="O652" s="11" t="str">
        <f>HYPERLINK("https://pbs.twimg.com/profile_images/3212894266/18133d38ffd7c042588b27ea15b3cd16_normal.jpeg","View")</f>
        <v>View</v>
      </c>
      <c r="P652" s="15"/>
    </row>
    <row r="653">
      <c r="A653" s="7">
        <v>42422.404502314814</v>
      </c>
      <c r="B653" s="8" t="str">
        <f>HYPERLINK("https://twitter.com/rakanakar_rakan","@rakanakar_rakan")</f>
        <v>@rakanakar_rakan</v>
      </c>
      <c r="C653" s="10" t="s">
        <v>7495</v>
      </c>
      <c r="D653" s="10" t="s">
        <v>7263</v>
      </c>
      <c r="E653" s="11" t="str">
        <f>HYPERLINK("https://twitter.com/rakanakar_rakan/status/701824393664716800","701824393664716800")</f>
        <v>701824393664716800</v>
      </c>
      <c r="F653" s="12" t="s">
        <v>52</v>
      </c>
      <c r="G653" s="13">
        <v>43.0</v>
      </c>
      <c r="H653" s="13">
        <v>33.0</v>
      </c>
      <c r="I653" s="13">
        <v>17.0</v>
      </c>
      <c r="J653" s="13">
        <v>0.0</v>
      </c>
      <c r="K653" s="12" t="s">
        <v>21</v>
      </c>
      <c r="L653" s="7">
        <v>41221.82769675926</v>
      </c>
      <c r="M653" s="16"/>
      <c r="N653" s="16"/>
      <c r="O653" s="11" t="str">
        <f>HYPERLINK("https://pbs.twimg.com/profile_images/2825568866/212ce5fed5b88bd00de4b674dec27a8b_normal.jpeg","View")</f>
        <v>View</v>
      </c>
      <c r="P653" s="15"/>
    </row>
    <row r="654">
      <c r="A654" s="7">
        <v>42422.40491898148</v>
      </c>
      <c r="B654" s="8" t="str">
        <f>HYPERLINK("https://twitter.com/polesasunder","@polesasunder")</f>
        <v>@polesasunder</v>
      </c>
      <c r="C654" s="10" t="s">
        <v>7496</v>
      </c>
      <c r="D654" s="10" t="s">
        <v>7497</v>
      </c>
      <c r="E654" s="11" t="str">
        <f>HYPERLINK("https://twitter.com/polesasunder/status/701824547079659520","701824547079659520")</f>
        <v>701824547079659520</v>
      </c>
      <c r="F654" s="12" t="s">
        <v>446</v>
      </c>
      <c r="G654" s="13">
        <v>1560.0</v>
      </c>
      <c r="H654" s="13">
        <v>1353.0</v>
      </c>
      <c r="I654" s="13">
        <v>3.0</v>
      </c>
      <c r="J654" s="13">
        <v>6.0</v>
      </c>
      <c r="K654" s="12" t="s">
        <v>21</v>
      </c>
      <c r="L654" s="7">
        <v>40268.41755787037</v>
      </c>
      <c r="M654" s="14" t="s">
        <v>2216</v>
      </c>
      <c r="N654" s="14" t="s">
        <v>7498</v>
      </c>
      <c r="O654" s="11" t="str">
        <f>HYPERLINK("https://pbs.twimg.com/profile_images/499358811564425216/jiX57F1h_normal.jpeg","View")</f>
        <v>View</v>
      </c>
      <c r="P654" s="15"/>
    </row>
    <row r="655">
      <c r="A655" s="7">
        <v>42422.40525462963</v>
      </c>
      <c r="B655" s="8" t="str">
        <f>HYPERLINK("https://twitter.com/billdoesphysics","@billdoesphysics")</f>
        <v>@billdoesphysics</v>
      </c>
      <c r="C655" s="10" t="s">
        <v>7499</v>
      </c>
      <c r="D655" s="10" t="s">
        <v>7500</v>
      </c>
      <c r="E655" s="11" t="str">
        <f>HYPERLINK("https://twitter.com/billdoesphysics/status/701824667460329472","701824667460329472")</f>
        <v>701824667460329472</v>
      </c>
      <c r="F655" s="12" t="s">
        <v>52</v>
      </c>
      <c r="G655" s="13">
        <v>908.0</v>
      </c>
      <c r="H655" s="13">
        <v>328.0</v>
      </c>
      <c r="I655" s="13">
        <v>3.0</v>
      </c>
      <c r="J655" s="13">
        <v>0.0</v>
      </c>
      <c r="K655" s="12" t="s">
        <v>21</v>
      </c>
      <c r="L655" s="7">
        <v>40950.67833333333</v>
      </c>
      <c r="M655" s="16"/>
      <c r="N655" s="14" t="s">
        <v>7501</v>
      </c>
      <c r="O655" s="11" t="str">
        <f>HYPERLINK("https://pbs.twimg.com/profile_images/1820871682/image_normal.jpg","View")</f>
        <v>View</v>
      </c>
      <c r="P655" s="15"/>
    </row>
    <row r="656">
      <c r="A656" s="7">
        <v>42422.405324074076</v>
      </c>
      <c r="B656" s="8" t="str">
        <f>HYPERLINK("https://twitter.com/minisciencegirl","@minisciencegirl")</f>
        <v>@minisciencegirl</v>
      </c>
      <c r="C656" s="10" t="s">
        <v>7502</v>
      </c>
      <c r="D656" s="10" t="s">
        <v>7500</v>
      </c>
      <c r="E656" s="11" t="str">
        <f>HYPERLINK("https://twitter.com/minisciencegirl/status/701824690063482880","701824690063482880")</f>
        <v>701824690063482880</v>
      </c>
      <c r="F656" s="12" t="s">
        <v>52</v>
      </c>
      <c r="G656" s="13">
        <v>1043.0</v>
      </c>
      <c r="H656" s="13">
        <v>1648.0</v>
      </c>
      <c r="I656" s="13">
        <v>3.0</v>
      </c>
      <c r="J656" s="13">
        <v>0.0</v>
      </c>
      <c r="K656" s="12" t="s">
        <v>21</v>
      </c>
      <c r="L656" s="7">
        <v>39993.604166666664</v>
      </c>
      <c r="M656" s="16"/>
      <c r="N656" s="14" t="s">
        <v>7503</v>
      </c>
      <c r="O656" s="11" t="str">
        <f>HYPERLINK("https://pbs.twimg.com/profile_images/1174331944/IMG_7717_normal.jpg","View")</f>
        <v>View</v>
      </c>
      <c r="P656" s="15"/>
    </row>
    <row r="657">
      <c r="A657" s="7">
        <v>42422.40574074074</v>
      </c>
      <c r="B657" s="8" t="str">
        <f>HYPERLINK("https://twitter.com/YorkUScientists","@YorkUScientists")</f>
        <v>@YorkUScientists</v>
      </c>
      <c r="C657" s="10" t="s">
        <v>7504</v>
      </c>
      <c r="D657" s="10" t="s">
        <v>6319</v>
      </c>
      <c r="E657" s="11" t="str">
        <f>HYPERLINK("https://twitter.com/YorkUScientists/status/701824841205288960","701824841205288960")</f>
        <v>701824841205288960</v>
      </c>
      <c r="F657" s="12" t="s">
        <v>20</v>
      </c>
      <c r="G657" s="13">
        <v>386.0</v>
      </c>
      <c r="H657" s="13">
        <v>458.0</v>
      </c>
      <c r="I657" s="13">
        <v>106.0</v>
      </c>
      <c r="J657" s="13">
        <v>0.0</v>
      </c>
      <c r="K657" s="12" t="s">
        <v>21</v>
      </c>
      <c r="L657" s="7">
        <v>41612.171689814815</v>
      </c>
      <c r="M657" s="14" t="s">
        <v>7505</v>
      </c>
      <c r="N657" s="14" t="s">
        <v>7506</v>
      </c>
      <c r="O657" s="11" t="str">
        <f>HYPERLINK("https://pbs.twimg.com/profile_images/701787680850337792/3ntUzwll_normal.png","View")</f>
        <v>View</v>
      </c>
      <c r="P657" s="15"/>
    </row>
    <row r="658">
      <c r="A658" s="7">
        <v>42422.406435185185</v>
      </c>
      <c r="B658" s="8" t="str">
        <f>HYPERLINK("https://twitter.com/ippalarajesh","@ippalarajesh")</f>
        <v>@ippalarajesh</v>
      </c>
      <c r="C658" s="10" t="s">
        <v>7507</v>
      </c>
      <c r="D658" s="10" t="s">
        <v>7472</v>
      </c>
      <c r="E658" s="11" t="str">
        <f>HYPERLINK("https://twitter.com/ippalarajesh/status/701825093886877696","701825093886877696")</f>
        <v>701825093886877696</v>
      </c>
      <c r="F658" s="12" t="s">
        <v>152</v>
      </c>
      <c r="G658" s="13">
        <v>72.0</v>
      </c>
      <c r="H658" s="13">
        <v>324.0</v>
      </c>
      <c r="I658" s="13">
        <v>6.0</v>
      </c>
      <c r="J658" s="13">
        <v>0.0</v>
      </c>
      <c r="K658" s="12" t="s">
        <v>21</v>
      </c>
      <c r="L658" s="7">
        <v>40182.05966435185</v>
      </c>
      <c r="M658" s="16"/>
      <c r="N658" s="16"/>
      <c r="O658" s="11" t="str">
        <f>HYPERLINK("https://pbs.twimg.com/profile_images/636008402179657728/yTE3KJG3_normal.jpg","View")</f>
        <v>View</v>
      </c>
      <c r="P658" s="15"/>
    </row>
    <row r="659">
      <c r="A659" s="7">
        <v>42422.40751157407</v>
      </c>
      <c r="B659" s="8" t="str">
        <f>HYPERLINK("https://twitter.com/samarthbhaskar","@samarthbhaskar")</f>
        <v>@samarthbhaskar</v>
      </c>
      <c r="C659" s="10" t="s">
        <v>7508</v>
      </c>
      <c r="D659" s="10" t="s">
        <v>7509</v>
      </c>
      <c r="E659" s="11" t="str">
        <f>HYPERLINK("https://twitter.com/samarthbhaskar/status/701825483411828736","701825483411828736")</f>
        <v>701825483411828736</v>
      </c>
      <c r="F659" s="12" t="s">
        <v>446</v>
      </c>
      <c r="G659" s="13">
        <v>2174.0</v>
      </c>
      <c r="H659" s="13">
        <v>1909.0</v>
      </c>
      <c r="I659" s="13">
        <v>0.0</v>
      </c>
      <c r="J659" s="13">
        <v>1.0</v>
      </c>
      <c r="K659" s="12" t="s">
        <v>21</v>
      </c>
      <c r="L659" s="7">
        <v>39791.45209490741</v>
      </c>
      <c r="M659" s="14" t="s">
        <v>695</v>
      </c>
      <c r="N659" s="14" t="s">
        <v>7510</v>
      </c>
      <c r="O659" s="11" t="str">
        <f>HYPERLINK("https://pbs.twimg.com/profile_images/568817200287326208/Na9C2nwv_normal.jpeg","View")</f>
        <v>View</v>
      </c>
      <c r="P659" s="15"/>
    </row>
    <row r="660">
      <c r="A660" s="7">
        <v>42422.40896990741</v>
      </c>
      <c r="B660" s="8" t="str">
        <f>HYPERLINK("https://twitter.com/mhultstrom","@mhultstrom")</f>
        <v>@mhultstrom</v>
      </c>
      <c r="C660" s="10" t="s">
        <v>7511</v>
      </c>
      <c r="D660" s="10" t="s">
        <v>7472</v>
      </c>
      <c r="E660" s="11" t="str">
        <f>HYPERLINK("https://twitter.com/mhultstrom/status/701826011416162306","701826011416162306")</f>
        <v>701826011416162306</v>
      </c>
      <c r="F660" s="12" t="s">
        <v>20</v>
      </c>
      <c r="G660" s="13">
        <v>207.0</v>
      </c>
      <c r="H660" s="13">
        <v>373.0</v>
      </c>
      <c r="I660" s="13">
        <v>6.0</v>
      </c>
      <c r="J660" s="13">
        <v>0.0</v>
      </c>
      <c r="K660" s="12" t="s">
        <v>21</v>
      </c>
      <c r="L660" s="7">
        <v>40506.38873842593</v>
      </c>
      <c r="M660" s="14" t="s">
        <v>7512</v>
      </c>
      <c r="N660" s="14" t="s">
        <v>7513</v>
      </c>
      <c r="O660" s="11" t="str">
        <f>HYPERLINK("https://pbs.twimg.com/profile_images/2746146658/4d05ba6e1fdfd38d3386922bf39aebcd_normal.png","View")</f>
        <v>View</v>
      </c>
      <c r="P660" s="15"/>
    </row>
    <row r="661">
      <c r="A661" s="7">
        <v>42422.41074074074</v>
      </c>
      <c r="B661" s="8" t="str">
        <f>HYPERLINK("https://twitter.com/zaticwu","@zaticwu")</f>
        <v>@zaticwu</v>
      </c>
      <c r="C661" s="10" t="s">
        <v>7021</v>
      </c>
      <c r="D661" s="10" t="s">
        <v>7271</v>
      </c>
      <c r="E661" s="11" t="str">
        <f>HYPERLINK("https://twitter.com/zaticwu/status/701826656365727744","701826656365727744")</f>
        <v>701826656365727744</v>
      </c>
      <c r="F661" s="12" t="s">
        <v>152</v>
      </c>
      <c r="G661" s="13">
        <v>126.0</v>
      </c>
      <c r="H661" s="13">
        <v>353.0</v>
      </c>
      <c r="I661" s="13">
        <v>8.0</v>
      </c>
      <c r="J661" s="13">
        <v>0.0</v>
      </c>
      <c r="K661" s="12" t="s">
        <v>21</v>
      </c>
      <c r="L661" s="7">
        <v>40668.12063657407</v>
      </c>
      <c r="M661" s="14" t="s">
        <v>7022</v>
      </c>
      <c r="N661" s="14" t="s">
        <v>7023</v>
      </c>
      <c r="O661" s="11" t="str">
        <f>HYPERLINK("https://pbs.twimg.com/profile_images/509100899063439361/1xdR38oG_normal.jpeg","View")</f>
        <v>View</v>
      </c>
      <c r="P661" s="15"/>
    </row>
    <row r="662">
      <c r="A662" s="7">
        <v>42422.41211805555</v>
      </c>
      <c r="B662" s="8" t="str">
        <f>HYPERLINK("https://twitter.com/withbioinformat","@withbioinformat")</f>
        <v>@withbioinformat</v>
      </c>
      <c r="C662" s="10" t="s">
        <v>7514</v>
      </c>
      <c r="D662" s="10" t="s">
        <v>6918</v>
      </c>
      <c r="E662" s="11" t="str">
        <f>HYPERLINK("https://twitter.com/withbioinformat/status/701827153789394944","701827153789394944")</f>
        <v>701827153789394944</v>
      </c>
      <c r="F662" s="12" t="s">
        <v>20</v>
      </c>
      <c r="G662" s="13">
        <v>45.0</v>
      </c>
      <c r="H662" s="13">
        <v>98.0</v>
      </c>
      <c r="I662" s="13">
        <v>32.0</v>
      </c>
      <c r="J662" s="13">
        <v>0.0</v>
      </c>
      <c r="K662" s="12" t="s">
        <v>21</v>
      </c>
      <c r="L662" s="7">
        <v>40886.47818287037</v>
      </c>
      <c r="M662" s="14" t="s">
        <v>7515</v>
      </c>
      <c r="N662" s="14" t="s">
        <v>7516</v>
      </c>
      <c r="O662" s="11" t="str">
        <f>HYPERLINK("https://pbs.twimg.com/profile_images/1683660920/kres_normal.jpg","View")</f>
        <v>View</v>
      </c>
      <c r="P662" s="15"/>
    </row>
    <row r="663">
      <c r="A663" s="7">
        <v>42422.4128125</v>
      </c>
      <c r="B663" s="8" t="str">
        <f>HYPERLINK("https://twitter.com/mtrost2","@mtrost2")</f>
        <v>@mtrost2</v>
      </c>
      <c r="C663" s="10" t="s">
        <v>7372</v>
      </c>
      <c r="D663" s="10" t="s">
        <v>7392</v>
      </c>
      <c r="E663" s="11" t="str">
        <f>HYPERLINK("https://twitter.com/mtrost2/status/701827404407382018","701827404407382018")</f>
        <v>701827404407382018</v>
      </c>
      <c r="F663" s="12" t="s">
        <v>152</v>
      </c>
      <c r="G663" s="13">
        <v>16.0</v>
      </c>
      <c r="H663" s="13">
        <v>102.0</v>
      </c>
      <c r="I663" s="13">
        <v>4.0</v>
      </c>
      <c r="J663" s="13">
        <v>0.0</v>
      </c>
      <c r="K663" s="12" t="s">
        <v>21</v>
      </c>
      <c r="L663" s="7">
        <v>40619.09730324074</v>
      </c>
      <c r="M663" s="16"/>
      <c r="N663" s="16"/>
      <c r="O663" s="11" t="str">
        <f>HYPERLINK("https://abs.twimg.com/sticky/default_profile_images/default_profile_0_normal.png","View")</f>
        <v>View</v>
      </c>
      <c r="P663" s="15"/>
    </row>
    <row r="664">
      <c r="A664" s="7">
        <v>42422.41415509259</v>
      </c>
      <c r="B664" s="8" t="str">
        <f>HYPERLINK("https://twitter.com/nishantsbi","@nishantsbi")</f>
        <v>@nishantsbi</v>
      </c>
      <c r="C664" s="10" t="s">
        <v>7485</v>
      </c>
      <c r="D664" s="10" t="s">
        <v>7482</v>
      </c>
      <c r="E664" s="11" t="str">
        <f>HYPERLINK("https://twitter.com/nishantsbi/status/701827892783632385","701827892783632385")</f>
        <v>701827892783632385</v>
      </c>
      <c r="F664" s="12" t="s">
        <v>20</v>
      </c>
      <c r="G664" s="13">
        <v>159.0</v>
      </c>
      <c r="H664" s="13">
        <v>345.0</v>
      </c>
      <c r="I664" s="13">
        <v>8.0</v>
      </c>
      <c r="J664" s="13">
        <v>0.0</v>
      </c>
      <c r="K664" s="12" t="s">
        <v>21</v>
      </c>
      <c r="L664" s="7">
        <v>41936.94688657408</v>
      </c>
      <c r="M664" s="14" t="s">
        <v>7486</v>
      </c>
      <c r="N664" s="14" t="s">
        <v>7487</v>
      </c>
      <c r="O664" s="11" t="str">
        <f>HYPERLINK("https://pbs.twimg.com/profile_images/525885796109139968/FiOo7RSZ_normal.jpeg","View")</f>
        <v>View</v>
      </c>
      <c r="P664" s="15"/>
    </row>
    <row r="665">
      <c r="A665" s="7">
        <v>42422.414618055554</v>
      </c>
      <c r="B665" s="8" t="str">
        <f>HYPERLINK("https://twitter.com/hrbrmstr","@hrbrmstr")</f>
        <v>@hrbrmstr</v>
      </c>
      <c r="C665" s="10" t="s">
        <v>7276</v>
      </c>
      <c r="D665" s="10" t="s">
        <v>7517</v>
      </c>
      <c r="E665" s="11" t="str">
        <f>HYPERLINK("https://twitter.com/hrbrmstr/status/701828061524795392","701828061524795392")</f>
        <v>701828061524795392</v>
      </c>
      <c r="F665" s="12" t="s">
        <v>20</v>
      </c>
      <c r="G665" s="13">
        <v>6135.0</v>
      </c>
      <c r="H665" s="13">
        <v>2926.0</v>
      </c>
      <c r="I665" s="13">
        <v>2.0</v>
      </c>
      <c r="J665" s="13">
        <v>7.0</v>
      </c>
      <c r="K665" s="12" t="s">
        <v>21</v>
      </c>
      <c r="L665" s="7">
        <v>39203.29472222222</v>
      </c>
      <c r="M665" s="14" t="s">
        <v>7278</v>
      </c>
      <c r="N665" s="14" t="s">
        <v>7279</v>
      </c>
      <c r="O665" s="11" t="str">
        <f>HYPERLINK("https://pbs.twimg.com/profile_images/557592259298729985/kpCUQWH1_normal.png","View")</f>
        <v>View</v>
      </c>
      <c r="P665" s="15"/>
    </row>
    <row r="666">
      <c r="A666" s="7">
        <v>42422.4146875</v>
      </c>
      <c r="B666" s="8" t="str">
        <f>HYPERLINK("https://twitter.com/algaebarnacle","@algaebarnacle")</f>
        <v>@algaebarnacle</v>
      </c>
      <c r="C666" s="10" t="s">
        <v>7488</v>
      </c>
      <c r="D666" s="10" t="s">
        <v>7518</v>
      </c>
      <c r="E666" s="11" t="str">
        <f>HYPERLINK("https://twitter.com/algaebarnacle/status/701828085444784128","701828085444784128")</f>
        <v>701828085444784128</v>
      </c>
      <c r="F666" s="12" t="s">
        <v>20</v>
      </c>
      <c r="G666" s="13">
        <v>1676.0</v>
      </c>
      <c r="H666" s="13">
        <v>965.0</v>
      </c>
      <c r="I666" s="13">
        <v>0.0</v>
      </c>
      <c r="J666" s="13">
        <v>2.0</v>
      </c>
      <c r="K666" s="12" t="s">
        <v>21</v>
      </c>
      <c r="L666" s="7">
        <v>41278.61440972222</v>
      </c>
      <c r="M666" s="14" t="s">
        <v>7490</v>
      </c>
      <c r="N666" s="14" t="s">
        <v>7491</v>
      </c>
      <c r="O666" s="11" t="str">
        <f>HYPERLINK("https://pbs.twimg.com/profile_images/661300124870545408/hRw_N9Wk_normal.jpg","View")</f>
        <v>View</v>
      </c>
      <c r="P666" s="15"/>
    </row>
    <row r="667">
      <c r="A667" s="7">
        <v>42422.41868055555</v>
      </c>
      <c r="B667" s="8" t="str">
        <f>HYPERLINK("https://twitter.com/homeAIinfo","@homeAIinfo")</f>
        <v>@homeAIinfo</v>
      </c>
      <c r="C667" s="10" t="s">
        <v>36</v>
      </c>
      <c r="D667" s="10" t="s">
        <v>7481</v>
      </c>
      <c r="E667" s="11" t="str">
        <f>HYPERLINK("https://twitter.com/homeAIinfo/status/701829531796172802","701829531796172802")</f>
        <v>701829531796172802</v>
      </c>
      <c r="F667" s="12" t="s">
        <v>38</v>
      </c>
      <c r="G667" s="13">
        <v>52868.0</v>
      </c>
      <c r="H667" s="13">
        <v>1328.0</v>
      </c>
      <c r="I667" s="13">
        <v>4.0</v>
      </c>
      <c r="J667" s="13">
        <v>0.0</v>
      </c>
      <c r="K667" s="12" t="s">
        <v>21</v>
      </c>
      <c r="L667" s="7">
        <v>42133.34662037037</v>
      </c>
      <c r="M667" s="14" t="s">
        <v>39</v>
      </c>
      <c r="N667" s="14" t="s">
        <v>40</v>
      </c>
      <c r="O667" s="11" t="str">
        <f>HYPERLINK("https://pbs.twimg.com/profile_images/645650110374936580/-oQakt8x_normal.png","View")</f>
        <v>View</v>
      </c>
      <c r="P667" s="15"/>
    </row>
    <row r="668">
      <c r="A668" s="7">
        <v>42422.42134259259</v>
      </c>
      <c r="B668" s="8" t="str">
        <f>HYPERLINK("https://twitter.com/bigboardsio","@bigboardsio")</f>
        <v>@bigboardsio</v>
      </c>
      <c r="C668" s="10" t="s">
        <v>5651</v>
      </c>
      <c r="D668" s="10" t="s">
        <v>7481</v>
      </c>
      <c r="E668" s="11" t="str">
        <f>HYPERLINK("https://twitter.com/bigboardsio/status/701830495991111680","701830495991111680")</f>
        <v>701830495991111680</v>
      </c>
      <c r="F668" s="12" t="s">
        <v>38</v>
      </c>
      <c r="G668" s="13">
        <v>3089.0</v>
      </c>
      <c r="H668" s="13">
        <v>2635.0</v>
      </c>
      <c r="I668" s="13">
        <v>4.0</v>
      </c>
      <c r="J668" s="13">
        <v>0.0</v>
      </c>
      <c r="K668" s="12" t="s">
        <v>21</v>
      </c>
      <c r="L668" s="7">
        <v>41449.67438657407</v>
      </c>
      <c r="M668" s="14" t="s">
        <v>5652</v>
      </c>
      <c r="N668" s="14" t="s">
        <v>5653</v>
      </c>
      <c r="O668" s="11" t="str">
        <f>HYPERLINK("https://pbs.twimg.com/profile_images/489375332743409664/P4sYDY1__normal.png","View")</f>
        <v>View</v>
      </c>
      <c r="P668" s="15"/>
    </row>
    <row r="669">
      <c r="A669" s="7">
        <v>42422.423692129625</v>
      </c>
      <c r="B669" s="8" t="str">
        <f>HYPERLINK("https://twitter.com/hrbrmstr","@hrbrmstr")</f>
        <v>@hrbrmstr</v>
      </c>
      <c r="C669" s="10" t="s">
        <v>7276</v>
      </c>
      <c r="D669" s="10" t="s">
        <v>7519</v>
      </c>
      <c r="E669" s="11" t="str">
        <f>HYPERLINK("https://twitter.com/hrbrmstr/status/701831348353368064","701831348353368064")</f>
        <v>701831348353368064</v>
      </c>
      <c r="F669" s="12" t="s">
        <v>20</v>
      </c>
      <c r="G669" s="13">
        <v>6135.0</v>
      </c>
      <c r="H669" s="13">
        <v>2926.0</v>
      </c>
      <c r="I669" s="13">
        <v>0.0</v>
      </c>
      <c r="J669" s="13">
        <v>1.0</v>
      </c>
      <c r="K669" s="12" t="s">
        <v>21</v>
      </c>
      <c r="L669" s="7">
        <v>39203.29472222222</v>
      </c>
      <c r="M669" s="14" t="s">
        <v>7278</v>
      </c>
      <c r="N669" s="14" t="s">
        <v>7279</v>
      </c>
      <c r="O669" s="11" t="str">
        <f>HYPERLINK("https://pbs.twimg.com/profile_images/557592259298729985/kpCUQWH1_normal.png","View")</f>
        <v>View</v>
      </c>
      <c r="P669" s="15"/>
    </row>
    <row r="670">
      <c r="A670" s="7">
        <v>42422.42445601852</v>
      </c>
      <c r="B670" s="8" t="str">
        <f>HYPERLINK("https://twitter.com/plotlygraphs","@plotlygraphs")</f>
        <v>@plotlygraphs</v>
      </c>
      <c r="C670" s="10" t="s">
        <v>7520</v>
      </c>
      <c r="D670" s="10" t="s">
        <v>7521</v>
      </c>
      <c r="E670" s="11" t="str">
        <f>HYPERLINK("https://twitter.com/plotlygraphs/status/701831624040828928","701831624040828928")</f>
        <v>701831624040828928</v>
      </c>
      <c r="F670" s="12" t="s">
        <v>20</v>
      </c>
      <c r="G670" s="13">
        <v>17197.0</v>
      </c>
      <c r="H670" s="13">
        <v>1456.0</v>
      </c>
      <c r="I670" s="13">
        <v>5.0</v>
      </c>
      <c r="J670" s="13">
        <v>14.0</v>
      </c>
      <c r="K670" s="12" t="s">
        <v>21</v>
      </c>
      <c r="L670" s="7">
        <v>41394.50200231482</v>
      </c>
      <c r="M670" s="14" t="s">
        <v>5113</v>
      </c>
      <c r="N670" s="14" t="s">
        <v>7522</v>
      </c>
      <c r="O670" s="11" t="str">
        <f>HYPERLINK("https://pbs.twimg.com/profile_images/444997350340063232/NSL6tPG3_normal.png","View")</f>
        <v>View</v>
      </c>
      <c r="P670" s="15"/>
    </row>
    <row r="671">
      <c r="A671" s="7">
        <v>42422.42973379629</v>
      </c>
      <c r="B671" s="8" t="str">
        <f>HYPERLINK("https://twitter.com/VillageCric","@VillageCric")</f>
        <v>@VillageCric</v>
      </c>
      <c r="C671" s="10" t="s">
        <v>7523</v>
      </c>
      <c r="D671" s="10" t="s">
        <v>7396</v>
      </c>
      <c r="E671" s="11" t="str">
        <f>HYPERLINK("https://twitter.com/VillageCric/status/701833536593072129","701833536593072129")</f>
        <v>701833536593072129</v>
      </c>
      <c r="F671" s="12" t="s">
        <v>152</v>
      </c>
      <c r="G671" s="13">
        <v>142.0</v>
      </c>
      <c r="H671" s="13">
        <v>491.0</v>
      </c>
      <c r="I671" s="13">
        <v>3.0</v>
      </c>
      <c r="J671" s="13">
        <v>0.0</v>
      </c>
      <c r="K671" s="12" t="s">
        <v>21</v>
      </c>
      <c r="L671" s="7">
        <v>41641.588229166664</v>
      </c>
      <c r="M671" s="14" t="s">
        <v>7524</v>
      </c>
      <c r="N671" s="14" t="s">
        <v>7525</v>
      </c>
      <c r="O671" s="11" t="str">
        <f>HYPERLINK("https://pbs.twimg.com/profile_images/418879352583909376/HpB42v2i_normal.jpeg","View")</f>
        <v>View</v>
      </c>
      <c r="P671" s="15"/>
    </row>
    <row r="672">
      <c r="A672" s="7">
        <v>42422.43027777778</v>
      </c>
      <c r="B672" s="8" t="str">
        <f>HYPERLINK("https://twitter.com/hlapp","@hlapp")</f>
        <v>@hlapp</v>
      </c>
      <c r="C672" s="10" t="s">
        <v>7526</v>
      </c>
      <c r="D672" s="10" t="s">
        <v>7472</v>
      </c>
      <c r="E672" s="11" t="str">
        <f>HYPERLINK("https://twitter.com/hlapp/status/701833734631383040","701833734631383040")</f>
        <v>701833734631383040</v>
      </c>
      <c r="F672" s="12" t="s">
        <v>52</v>
      </c>
      <c r="G672" s="13">
        <v>823.0</v>
      </c>
      <c r="H672" s="13">
        <v>511.0</v>
      </c>
      <c r="I672" s="13">
        <v>6.0</v>
      </c>
      <c r="J672" s="13">
        <v>0.0</v>
      </c>
      <c r="K672" s="12" t="s">
        <v>21</v>
      </c>
      <c r="L672" s="7">
        <v>39828.60114583334</v>
      </c>
      <c r="M672" s="14" t="s">
        <v>2861</v>
      </c>
      <c r="N672" s="14" t="s">
        <v>7527</v>
      </c>
      <c r="O672" s="11" t="str">
        <f>HYPERLINK("https://pbs.twimg.com/profile_images/614959939870703620/n2C_E0YN_normal.jpg","View")</f>
        <v>View</v>
      </c>
      <c r="P672" s="15"/>
    </row>
    <row r="673">
      <c r="A673" s="7">
        <v>42422.43045138889</v>
      </c>
      <c r="B673" s="8" t="str">
        <f>HYPERLINK("https://twitter.com/arun_sriniv","@arun_sriniv")</f>
        <v>@arun_sriniv</v>
      </c>
      <c r="C673" s="10" t="s">
        <v>7528</v>
      </c>
      <c r="D673" s="10" t="s">
        <v>7529</v>
      </c>
      <c r="E673" s="11" t="str">
        <f>HYPERLINK("https://twitter.com/arun_sriniv/status/701833798347071488","701833798347071488")</f>
        <v>701833798347071488</v>
      </c>
      <c r="F673" s="12" t="s">
        <v>52</v>
      </c>
      <c r="G673" s="13">
        <v>600.0</v>
      </c>
      <c r="H673" s="13">
        <v>92.0</v>
      </c>
      <c r="I673" s="13">
        <v>5.0</v>
      </c>
      <c r="J673" s="13">
        <v>0.0</v>
      </c>
      <c r="K673" s="12" t="s">
        <v>21</v>
      </c>
      <c r="L673" s="7">
        <v>41119.671689814815</v>
      </c>
      <c r="M673" s="16"/>
      <c r="N673" s="14" t="s">
        <v>7530</v>
      </c>
      <c r="O673" s="11" t="str">
        <f>HYPERLINK("https://pbs.twimg.com/profile_images/590247580040212481/-empRtvH_normal.png","View")</f>
        <v>View</v>
      </c>
      <c r="P673" s="15"/>
    </row>
    <row r="674">
      <c r="A674" s="7">
        <v>42422.431342592594</v>
      </c>
      <c r="B674" s="8" t="str">
        <f>HYPERLINK("https://twitter.com/zu_gabe","@zu_gabe")</f>
        <v>@zu_gabe</v>
      </c>
      <c r="C674" s="10" t="s">
        <v>7531</v>
      </c>
      <c r="D674" s="10" t="s">
        <v>7532</v>
      </c>
      <c r="E674" s="11" t="str">
        <f>HYPERLINK("https://twitter.com/zu_gabe/status/701834119735549953","701834119735549953")</f>
        <v>701834119735549953</v>
      </c>
      <c r="F674" s="12" t="s">
        <v>20</v>
      </c>
      <c r="G674" s="13">
        <v>114.0</v>
      </c>
      <c r="H674" s="13">
        <v>211.0</v>
      </c>
      <c r="I674" s="13">
        <v>0.0</v>
      </c>
      <c r="J674" s="13">
        <v>2.0</v>
      </c>
      <c r="K674" s="12" t="s">
        <v>21</v>
      </c>
      <c r="L674" s="7">
        <v>41661.37637731482</v>
      </c>
      <c r="M674" s="14" t="s">
        <v>7533</v>
      </c>
      <c r="N674" s="14" t="s">
        <v>7534</v>
      </c>
      <c r="O674" s="11" t="str">
        <f>HYPERLINK("https://pbs.twimg.com/profile_images/668920039937064962/T9R8vGGI_normal.jpg","View")</f>
        <v>View</v>
      </c>
      <c r="P674" s="15"/>
    </row>
    <row r="675">
      <c r="A675" s="7">
        <v>42422.43350694445</v>
      </c>
      <c r="B675" s="8" t="str">
        <f>HYPERLINK("https://twitter.com/WestCoastPole","@WestCoastPole")</f>
        <v>@WestCoastPole</v>
      </c>
      <c r="C675" s="10" t="s">
        <v>7535</v>
      </c>
      <c r="D675" s="10" t="s">
        <v>6243</v>
      </c>
      <c r="E675" s="11" t="str">
        <f>HYPERLINK("https://twitter.com/WestCoastPole/status/701834904993198080","701834904993198080")</f>
        <v>701834904993198080</v>
      </c>
      <c r="F675" s="12" t="s">
        <v>20</v>
      </c>
      <c r="G675" s="13">
        <v>8.0</v>
      </c>
      <c r="H675" s="13">
        <v>47.0</v>
      </c>
      <c r="I675" s="13">
        <v>6.0</v>
      </c>
      <c r="J675" s="13">
        <v>0.0</v>
      </c>
      <c r="K675" s="12" t="s">
        <v>21</v>
      </c>
      <c r="L675" s="7">
        <v>42409.795625</v>
      </c>
      <c r="M675" s="16"/>
      <c r="N675" s="14" t="s">
        <v>7536</v>
      </c>
      <c r="O675" s="11" t="str">
        <f>HYPERLINK("https://pbs.twimg.com/profile_images/697258194142236672/s37qIvfo_normal.png","View")</f>
        <v>View</v>
      </c>
      <c r="P675" s="15"/>
    </row>
    <row r="676">
      <c r="A676" s="7">
        <v>42422.43356481481</v>
      </c>
      <c r="B676" s="8" t="str">
        <f>HYPERLINK("https://twitter.com/zu_gabe","@zu_gabe")</f>
        <v>@zu_gabe</v>
      </c>
      <c r="C676" s="10" t="s">
        <v>7531</v>
      </c>
      <c r="D676" s="10" t="s">
        <v>7537</v>
      </c>
      <c r="E676" s="11" t="str">
        <f>HYPERLINK("https://twitter.com/zu_gabe/status/701834926077956101","701834926077956101")</f>
        <v>701834926077956101</v>
      </c>
      <c r="F676" s="12" t="s">
        <v>20</v>
      </c>
      <c r="G676" s="13">
        <v>114.0</v>
      </c>
      <c r="H676" s="13">
        <v>211.0</v>
      </c>
      <c r="I676" s="13">
        <v>0.0</v>
      </c>
      <c r="J676" s="13">
        <v>2.0</v>
      </c>
      <c r="K676" s="12" t="s">
        <v>21</v>
      </c>
      <c r="L676" s="7">
        <v>41661.37637731482</v>
      </c>
      <c r="M676" s="14" t="s">
        <v>7533</v>
      </c>
      <c r="N676" s="14" t="s">
        <v>7534</v>
      </c>
      <c r="O676" s="11" t="str">
        <f>HYPERLINK("https://pbs.twimg.com/profile_images/668920039937064962/T9R8vGGI_normal.jpg","View")</f>
        <v>View</v>
      </c>
      <c r="P676" s="15"/>
    </row>
    <row r="677">
      <c r="A677" s="7">
        <v>42422.43603009259</v>
      </c>
      <c r="B677" s="8" t="str">
        <f>HYPERLINK("https://twitter.com/SHaymondSays","@SHaymondSays")</f>
        <v>@SHaymondSays</v>
      </c>
      <c r="C677" s="10" t="s">
        <v>6482</v>
      </c>
      <c r="D677" s="10" t="s">
        <v>7538</v>
      </c>
      <c r="E677" s="11" t="str">
        <f>HYPERLINK("https://twitter.com/SHaymondSays/status/701835817996582912","701835817996582912")</f>
        <v>701835817996582912</v>
      </c>
      <c r="F677" s="12" t="s">
        <v>52</v>
      </c>
      <c r="G677" s="13">
        <v>516.0</v>
      </c>
      <c r="H677" s="13">
        <v>568.0</v>
      </c>
      <c r="I677" s="13">
        <v>0.0</v>
      </c>
      <c r="J677" s="13">
        <v>1.0</v>
      </c>
      <c r="K677" s="12" t="s">
        <v>21</v>
      </c>
      <c r="L677" s="7">
        <v>40756.491365740745</v>
      </c>
      <c r="M677" s="16"/>
      <c r="N677" s="14" t="s">
        <v>6484</v>
      </c>
      <c r="O677" s="11" t="str">
        <f>HYPERLINK("https://pbs.twimg.com/profile_images/599430288423260160/6jvdvVQg_normal.jpg","View")</f>
        <v>View</v>
      </c>
      <c r="P677" s="15"/>
    </row>
    <row r="678">
      <c r="A678" s="7">
        <v>42422.43709490741</v>
      </c>
      <c r="B678" s="8" t="str">
        <f>HYPERLINK("https://twitter.com/DrDanHolmes","@DrDanHolmes")</f>
        <v>@DrDanHolmes</v>
      </c>
      <c r="C678" s="10" t="s">
        <v>7539</v>
      </c>
      <c r="D678" s="10" t="s">
        <v>7540</v>
      </c>
      <c r="E678" s="11" t="str">
        <f>HYPERLINK("https://twitter.com/DrDanHolmes/status/701836205701238784","701836205701238784")</f>
        <v>701836205701238784</v>
      </c>
      <c r="F678" s="12" t="s">
        <v>52</v>
      </c>
      <c r="G678" s="13">
        <v>102.0</v>
      </c>
      <c r="H678" s="13">
        <v>107.0</v>
      </c>
      <c r="I678" s="13">
        <v>2.0</v>
      </c>
      <c r="J678" s="13">
        <v>4.0</v>
      </c>
      <c r="K678" s="12" t="s">
        <v>21</v>
      </c>
      <c r="L678" s="7">
        <v>41346.72319444444</v>
      </c>
      <c r="M678" s="14" t="s">
        <v>4138</v>
      </c>
      <c r="N678" s="14" t="s">
        <v>7541</v>
      </c>
      <c r="O678" s="11" t="str">
        <f>HYPERLINK("https://pbs.twimg.com/profile_images/625661554357354498/mgCeOAD7_normal.jpg","View")</f>
        <v>View</v>
      </c>
      <c r="P678" s="15"/>
    </row>
    <row r="679">
      <c r="A679" s="7">
        <v>42422.43811342593</v>
      </c>
      <c r="B679" s="8" t="str">
        <f>HYPERLINK("https://twitter.com/mikewulder","@mikewulder")</f>
        <v>@mikewulder</v>
      </c>
      <c r="C679" s="10" t="s">
        <v>7542</v>
      </c>
      <c r="D679" s="10" t="s">
        <v>7543</v>
      </c>
      <c r="E679" s="11" t="str">
        <f>HYPERLINK("https://twitter.com/mikewulder/status/701836573508239361","701836573508239361")</f>
        <v>701836573508239361</v>
      </c>
      <c r="F679" s="12" t="s">
        <v>446</v>
      </c>
      <c r="G679" s="13">
        <v>581.0</v>
      </c>
      <c r="H679" s="13">
        <v>197.0</v>
      </c>
      <c r="I679" s="13">
        <v>1.0</v>
      </c>
      <c r="J679" s="13">
        <v>0.0</v>
      </c>
      <c r="K679" s="12" t="s">
        <v>21</v>
      </c>
      <c r="L679" s="7">
        <v>40844.725</v>
      </c>
      <c r="M679" s="14" t="s">
        <v>7544</v>
      </c>
      <c r="N679" s="14" t="s">
        <v>7545</v>
      </c>
      <c r="O679" s="11" t="str">
        <f>HYPERLINK("https://pbs.twimg.com/profile_images/694264215817838597/HIPlyWhy_normal.jpg","View")</f>
        <v>View</v>
      </c>
      <c r="P679" s="15"/>
    </row>
    <row r="680">
      <c r="A680" s="7">
        <v>42422.43907407408</v>
      </c>
      <c r="B680" s="8" t="str">
        <f>HYPERLINK("https://twitter.com/pssGuy","@pssGuy")</f>
        <v>@pssGuy</v>
      </c>
      <c r="C680" s="10" t="s">
        <v>7477</v>
      </c>
      <c r="D680" s="10" t="s">
        <v>7546</v>
      </c>
      <c r="E680" s="11" t="str">
        <f>HYPERLINK("https://twitter.com/pssGuy/status/701836924206493697","701836924206493697")</f>
        <v>701836924206493697</v>
      </c>
      <c r="F680" s="12" t="s">
        <v>20</v>
      </c>
      <c r="G680" s="13">
        <v>318.0</v>
      </c>
      <c r="H680" s="13">
        <v>118.0</v>
      </c>
      <c r="I680" s="13">
        <v>9.0</v>
      </c>
      <c r="J680" s="13">
        <v>13.0</v>
      </c>
      <c r="K680" s="12" t="s">
        <v>21</v>
      </c>
      <c r="L680" s="7">
        <v>40451.41810185185</v>
      </c>
      <c r="M680" s="14" t="s">
        <v>7479</v>
      </c>
      <c r="N680" s="14" t="s">
        <v>7480</v>
      </c>
      <c r="O680" s="11" t="str">
        <f>HYPERLINK("https://pbs.twimg.com/profile_images/1138368380/P1010066small_normal.jpg","View")</f>
        <v>View</v>
      </c>
      <c r="P680" s="15"/>
    </row>
    <row r="681">
      <c r="A681" s="7">
        <v>42422.43954861111</v>
      </c>
      <c r="B681" s="8" t="str">
        <f>HYPERLINK("https://twitter.com/plotlygraphs","@plotlygraphs")</f>
        <v>@plotlygraphs</v>
      </c>
      <c r="C681" s="10" t="s">
        <v>7520</v>
      </c>
      <c r="D681" s="10" t="s">
        <v>7547</v>
      </c>
      <c r="E681" s="11" t="str">
        <f>HYPERLINK("https://twitter.com/plotlygraphs/status/701837096500260864","701837096500260864")</f>
        <v>701837096500260864</v>
      </c>
      <c r="F681" s="12" t="s">
        <v>20</v>
      </c>
      <c r="G681" s="13">
        <v>17197.0</v>
      </c>
      <c r="H681" s="13">
        <v>1456.0</v>
      </c>
      <c r="I681" s="13">
        <v>9.0</v>
      </c>
      <c r="J681" s="13">
        <v>0.0</v>
      </c>
      <c r="K681" s="12" t="s">
        <v>21</v>
      </c>
      <c r="L681" s="7">
        <v>41394.50200231482</v>
      </c>
      <c r="M681" s="14" t="s">
        <v>5113</v>
      </c>
      <c r="N681" s="14" t="s">
        <v>7522</v>
      </c>
      <c r="O681" s="11" t="str">
        <f>HYPERLINK("https://pbs.twimg.com/profile_images/444997350340063232/NSL6tPG3_normal.png","View")</f>
        <v>View</v>
      </c>
      <c r="P681" s="15"/>
    </row>
    <row r="682">
      <c r="A682" s="7">
        <v>42422.441203703704</v>
      </c>
      <c r="B682" s="8" t="str">
        <f>HYPERLINK("https://twitter.com/MAGISTR_OM","@MAGISTR_OM")</f>
        <v>@MAGISTR_OM</v>
      </c>
      <c r="C682" s="10" t="s">
        <v>6835</v>
      </c>
      <c r="D682" s="10" t="s">
        <v>7547</v>
      </c>
      <c r="E682" s="11" t="str">
        <f>HYPERLINK("https://twitter.com/MAGISTR_OM/status/701837693119045636","701837693119045636")</f>
        <v>701837693119045636</v>
      </c>
      <c r="F682" s="12" t="s">
        <v>20</v>
      </c>
      <c r="G682" s="13">
        <v>685.0</v>
      </c>
      <c r="H682" s="13">
        <v>2334.0</v>
      </c>
      <c r="I682" s="13">
        <v>9.0</v>
      </c>
      <c r="J682" s="13">
        <v>0.0</v>
      </c>
      <c r="K682" s="12" t="s">
        <v>21</v>
      </c>
      <c r="L682" s="7">
        <v>40411.312743055554</v>
      </c>
      <c r="M682" s="16"/>
      <c r="N682" s="16"/>
      <c r="O682" s="11" t="str">
        <f>HYPERLINK("https://pbs.twimg.com/profile_images/1143255121/ds_1__normal.jpg","View")</f>
        <v>View</v>
      </c>
      <c r="P682" s="15"/>
    </row>
    <row r="683">
      <c r="A683" s="7">
        <v>42422.444131944445</v>
      </c>
      <c r="B683" s="8" t="str">
        <f>HYPERLINK("https://twitter.com/LauraParnas","@LauraParnas")</f>
        <v>@LauraParnas</v>
      </c>
      <c r="C683" s="10" t="s">
        <v>7548</v>
      </c>
      <c r="D683" s="10" t="s">
        <v>7549</v>
      </c>
      <c r="E683" s="11" t="str">
        <f>HYPERLINK("https://twitter.com/LauraParnas/status/701838753665449985","701838753665449985")</f>
        <v>701838753665449985</v>
      </c>
      <c r="F683" s="12" t="s">
        <v>52</v>
      </c>
      <c r="G683" s="13">
        <v>163.0</v>
      </c>
      <c r="H683" s="13">
        <v>380.0</v>
      </c>
      <c r="I683" s="13">
        <v>2.0</v>
      </c>
      <c r="J683" s="13">
        <v>0.0</v>
      </c>
      <c r="K683" s="12" t="s">
        <v>21</v>
      </c>
      <c r="L683" s="7">
        <v>40680.43420138889</v>
      </c>
      <c r="M683" s="14" t="s">
        <v>7550</v>
      </c>
      <c r="N683" s="14" t="s">
        <v>7551</v>
      </c>
      <c r="O683" s="11" t="str">
        <f>HYPERLINK("https://pbs.twimg.com/profile_images/378800000101209325/104b0862260e885614912cbe8630cb21_normal.jpeg","View")</f>
        <v>View</v>
      </c>
      <c r="P683" s="15"/>
    </row>
    <row r="684">
      <c r="A684" s="7">
        <v>42422.447847222225</v>
      </c>
      <c r="B684" s="8" t="str">
        <f>HYPERLINK("https://twitter.com/DrDanHolmes","@DrDanHolmes")</f>
        <v>@DrDanHolmes</v>
      </c>
      <c r="C684" s="10" t="s">
        <v>7539</v>
      </c>
      <c r="D684" s="10" t="s">
        <v>7552</v>
      </c>
      <c r="E684" s="11" t="str">
        <f>HYPERLINK("https://twitter.com/DrDanHolmes/status/701840103635746816","701840103635746816")</f>
        <v>701840103635746816</v>
      </c>
      <c r="F684" s="12" t="s">
        <v>52</v>
      </c>
      <c r="G684" s="13">
        <v>102.0</v>
      </c>
      <c r="H684" s="13">
        <v>107.0</v>
      </c>
      <c r="I684" s="13">
        <v>1.0</v>
      </c>
      <c r="J684" s="13">
        <v>5.0</v>
      </c>
      <c r="K684" s="12" t="s">
        <v>21</v>
      </c>
      <c r="L684" s="7">
        <v>41346.72319444444</v>
      </c>
      <c r="M684" s="14" t="s">
        <v>4138</v>
      </c>
      <c r="N684" s="14" t="s">
        <v>7541</v>
      </c>
      <c r="O684" s="11" t="str">
        <f>HYPERLINK("https://pbs.twimg.com/profile_images/625661554357354498/mgCeOAD7_normal.jpg","View")</f>
        <v>View</v>
      </c>
      <c r="P684" s="15"/>
    </row>
    <row r="685">
      <c r="A685" s="7">
        <v>42422.44892361111</v>
      </c>
      <c r="B685" s="8" t="str">
        <f>HYPERLINK("https://twitter.com/drtinamaster","@drtinamaster")</f>
        <v>@drtinamaster</v>
      </c>
      <c r="C685" s="10" t="s">
        <v>7553</v>
      </c>
      <c r="D685" s="10" t="s">
        <v>7554</v>
      </c>
      <c r="E685" s="11" t="str">
        <f>HYPERLINK("https://twitter.com/drtinamaster/status/701840493986971648","701840493986971648")</f>
        <v>701840493986971648</v>
      </c>
      <c r="F685" s="12" t="s">
        <v>52</v>
      </c>
      <c r="G685" s="13">
        <v>58.0</v>
      </c>
      <c r="H685" s="13">
        <v>77.0</v>
      </c>
      <c r="I685" s="13">
        <v>1.0</v>
      </c>
      <c r="J685" s="13">
        <v>0.0</v>
      </c>
      <c r="K685" s="12" t="s">
        <v>21</v>
      </c>
      <c r="L685" s="7">
        <v>42025.50090277778</v>
      </c>
      <c r="M685" s="14" t="s">
        <v>1099</v>
      </c>
      <c r="N685" s="16"/>
      <c r="O685" s="11" t="str">
        <f>HYPERLINK("https://pbs.twimg.com/profile_images/557998613054238720/NKrdyn4o_normal.jpeg","View")</f>
        <v>View</v>
      </c>
      <c r="P685" s="15"/>
    </row>
    <row r="686">
      <c r="A686" s="7">
        <v>42422.45045138889</v>
      </c>
      <c r="B686" s="8" t="str">
        <f>HYPERLINK("https://twitter.com/rc_serban","@rc_serban")</f>
        <v>@rc_serban</v>
      </c>
      <c r="C686" s="10" t="s">
        <v>6962</v>
      </c>
      <c r="D686" s="10" t="s">
        <v>6942</v>
      </c>
      <c r="E686" s="11" t="str">
        <f>HYPERLINK("https://twitter.com/rc_serban/status/701841046272155648","701841046272155648")</f>
        <v>701841046272155648</v>
      </c>
      <c r="F686" s="12" t="s">
        <v>152</v>
      </c>
      <c r="G686" s="13">
        <v>161.0</v>
      </c>
      <c r="H686" s="13">
        <v>538.0</v>
      </c>
      <c r="I686" s="13">
        <v>17.0</v>
      </c>
      <c r="J686" s="13">
        <v>0.0</v>
      </c>
      <c r="K686" s="12" t="s">
        <v>21</v>
      </c>
      <c r="L686" s="7">
        <v>40609.252291666664</v>
      </c>
      <c r="M686" s="14" t="s">
        <v>6964</v>
      </c>
      <c r="N686" s="14" t="s">
        <v>6965</v>
      </c>
      <c r="O686" s="11" t="str">
        <f>HYPERLINK("https://pbs.twimg.com/profile_images/378800000761311535/4a74c8294e22c5c826ac6fc2c19f25ad_normal.jpeg","View")</f>
        <v>View</v>
      </c>
      <c r="P686" s="15"/>
    </row>
    <row r="687">
      <c r="A687" s="7">
        <v>42422.451631944445</v>
      </c>
      <c r="B687" s="8" t="str">
        <f>HYPERLINK("https://twitter.com/DeniseBh2o","@DeniseBh2o")</f>
        <v>@DeniseBh2o</v>
      </c>
      <c r="C687" s="10" t="s">
        <v>7555</v>
      </c>
      <c r="D687" s="10" t="s">
        <v>7556</v>
      </c>
      <c r="E687" s="11" t="str">
        <f>HYPERLINK("https://twitter.com/DeniseBh2o/status/701841473881378817","701841473881378817")</f>
        <v>701841473881378817</v>
      </c>
      <c r="F687" s="12" t="s">
        <v>20</v>
      </c>
      <c r="G687" s="13">
        <v>104.0</v>
      </c>
      <c r="H687" s="13">
        <v>107.0</v>
      </c>
      <c r="I687" s="13">
        <v>0.0</v>
      </c>
      <c r="J687" s="13">
        <v>1.0</v>
      </c>
      <c r="K687" s="12" t="s">
        <v>21</v>
      </c>
      <c r="L687" s="7">
        <v>42173.47064814815</v>
      </c>
      <c r="M687" s="14" t="s">
        <v>7557</v>
      </c>
      <c r="N687" s="14" t="s">
        <v>7558</v>
      </c>
      <c r="O687" s="11" t="str">
        <f>HYPERLINK("https://pbs.twimg.com/profile_images/656859193228566528/6QaKiwbm_normal.jpg","View")</f>
        <v>View</v>
      </c>
      <c r="P687" s="15"/>
    </row>
    <row r="688">
      <c r="A688" s="7">
        <v>42422.452465277776</v>
      </c>
      <c r="B688" s="8" t="str">
        <f>HYPERLINK("https://twitter.com/nierhoff","@nierhoff")</f>
        <v>@nierhoff</v>
      </c>
      <c r="C688" s="10" t="s">
        <v>7397</v>
      </c>
      <c r="D688" s="10" t="s">
        <v>7559</v>
      </c>
      <c r="E688" s="11" t="str">
        <f>HYPERLINK("https://twitter.com/nierhoff/status/701841775833571330","701841775833571330")</f>
        <v>701841775833571330</v>
      </c>
      <c r="F688" s="12" t="s">
        <v>294</v>
      </c>
      <c r="G688" s="13">
        <v>296.0</v>
      </c>
      <c r="H688" s="13">
        <v>244.0</v>
      </c>
      <c r="I688" s="13">
        <v>1.0</v>
      </c>
      <c r="J688" s="13">
        <v>0.0</v>
      </c>
      <c r="K688" s="12" t="s">
        <v>21</v>
      </c>
      <c r="L688" s="7">
        <v>40304.130995370375</v>
      </c>
      <c r="M688" s="14" t="s">
        <v>7399</v>
      </c>
      <c r="N688" s="14" t="s">
        <v>7400</v>
      </c>
      <c r="O688" s="11" t="str">
        <f>HYPERLINK("https://pbs.twimg.com/profile_images/466323009796456448/toIsECgZ_normal.jpeg","View")</f>
        <v>View</v>
      </c>
      <c r="P688" s="15"/>
    </row>
    <row r="689">
      <c r="A689" s="7">
        <v>42422.45412037037</v>
      </c>
      <c r="B689" s="8" t="str">
        <f>HYPERLINK("https://twitter.com/ngamita","@ngamita")</f>
        <v>@ngamita</v>
      </c>
      <c r="C689" s="10" t="s">
        <v>7560</v>
      </c>
      <c r="D689" s="10" t="s">
        <v>7561</v>
      </c>
      <c r="E689" s="11" t="str">
        <f>HYPERLINK("https://twitter.com/ngamita/status/701842373228240896","701842373228240896")</f>
        <v>701842373228240896</v>
      </c>
      <c r="F689" s="12" t="s">
        <v>20</v>
      </c>
      <c r="G689" s="13">
        <v>1298.0</v>
      </c>
      <c r="H689" s="13">
        <v>1239.0</v>
      </c>
      <c r="I689" s="13">
        <v>1.0</v>
      </c>
      <c r="J689" s="13">
        <v>0.0</v>
      </c>
      <c r="K689" s="12" t="s">
        <v>21</v>
      </c>
      <c r="L689" s="7">
        <v>40066.2893287037</v>
      </c>
      <c r="M689" s="14" t="s">
        <v>7562</v>
      </c>
      <c r="N689" s="14" t="s">
        <v>7563</v>
      </c>
      <c r="O689" s="11" t="str">
        <f>HYPERLINK("https://pbs.twimg.com/profile_images/538251729419001857/kIvht2bF_normal.jpeg","View")</f>
        <v>View</v>
      </c>
      <c r="P689" s="15"/>
    </row>
    <row r="690">
      <c r="A690" s="7">
        <v>42422.45488425926</v>
      </c>
      <c r="B690" s="8" t="str">
        <f>HYPERLINK("https://twitter.com/SHaymondSays","@SHaymondSays")</f>
        <v>@SHaymondSays</v>
      </c>
      <c r="C690" s="10" t="s">
        <v>6482</v>
      </c>
      <c r="D690" s="10" t="s">
        <v>7564</v>
      </c>
      <c r="E690" s="11" t="str">
        <f>HYPERLINK("https://twitter.com/SHaymondSays/status/701842651457269760","701842651457269760")</f>
        <v>701842651457269760</v>
      </c>
      <c r="F690" s="12" t="s">
        <v>20</v>
      </c>
      <c r="G690" s="13">
        <v>516.0</v>
      </c>
      <c r="H690" s="13">
        <v>568.0</v>
      </c>
      <c r="I690" s="13">
        <v>1.0</v>
      </c>
      <c r="J690" s="13">
        <v>2.0</v>
      </c>
      <c r="K690" s="12" t="s">
        <v>21</v>
      </c>
      <c r="L690" s="7">
        <v>40756.491365740745</v>
      </c>
      <c r="M690" s="16"/>
      <c r="N690" s="14" t="s">
        <v>6484</v>
      </c>
      <c r="O690" s="11" t="str">
        <f>HYPERLINK("https://pbs.twimg.com/profile_images/599430288423260160/6jvdvVQg_normal.jpg","View")</f>
        <v>View</v>
      </c>
      <c r="P690" s="15"/>
    </row>
    <row r="691">
      <c r="A691" s="7">
        <v>42422.455</v>
      </c>
      <c r="B691" s="8" t="str">
        <f>HYPERLINK("https://twitter.com/Rbloggers","@Rbloggers")</f>
        <v>@Rbloggers</v>
      </c>
      <c r="C691" s="10" t="s">
        <v>6221</v>
      </c>
      <c r="D691" s="10" t="s">
        <v>7565</v>
      </c>
      <c r="E691" s="11" t="str">
        <f>HYPERLINK("https://twitter.com/Rbloggers/status/701842694893473793","701842694893473793")</f>
        <v>701842694893473793</v>
      </c>
      <c r="F691" s="17" t="s">
        <v>6223</v>
      </c>
      <c r="G691" s="13">
        <v>28572.0</v>
      </c>
      <c r="H691" s="13">
        <v>36.0</v>
      </c>
      <c r="I691" s="13">
        <v>7.0</v>
      </c>
      <c r="J691" s="13">
        <v>15.0</v>
      </c>
      <c r="K691" s="12" t="s">
        <v>21</v>
      </c>
      <c r="L691" s="7">
        <v>40314.510601851856</v>
      </c>
      <c r="M691" s="16"/>
      <c r="N691" s="14" t="s">
        <v>6224</v>
      </c>
      <c r="O691" s="11" t="str">
        <f>HYPERLINK("https://pbs.twimg.com/profile_images/502185985786916864/gkdFh-q7_normal.png","View")</f>
        <v>View</v>
      </c>
      <c r="P691" s="15"/>
    </row>
    <row r="692">
      <c r="A692" s="7">
        <v>42422.455046296294</v>
      </c>
      <c r="B692" s="8" t="str">
        <f>HYPERLINK("https://twitter.com/SHaymondSays","@SHaymondSays")</f>
        <v>@SHaymondSays</v>
      </c>
      <c r="C692" s="10" t="s">
        <v>6482</v>
      </c>
      <c r="D692" s="10" t="s">
        <v>7566</v>
      </c>
      <c r="E692" s="11" t="str">
        <f>HYPERLINK("https://twitter.com/SHaymondSays/status/701842709439340545","701842709439340545")</f>
        <v>701842709439340545</v>
      </c>
      <c r="F692" s="12" t="s">
        <v>20</v>
      </c>
      <c r="G692" s="13">
        <v>516.0</v>
      </c>
      <c r="H692" s="13">
        <v>568.0</v>
      </c>
      <c r="I692" s="13">
        <v>1.0</v>
      </c>
      <c r="J692" s="13">
        <v>0.0</v>
      </c>
      <c r="K692" s="12" t="s">
        <v>21</v>
      </c>
      <c r="L692" s="7">
        <v>40756.491365740745</v>
      </c>
      <c r="M692" s="16"/>
      <c r="N692" s="14" t="s">
        <v>6484</v>
      </c>
      <c r="O692" s="11" t="str">
        <f>HYPERLINK("https://pbs.twimg.com/profile_images/599430288423260160/6jvdvVQg_normal.jpg","View")</f>
        <v>View</v>
      </c>
      <c r="P692" s="15"/>
    </row>
    <row r="693">
      <c r="A693" s="7">
        <v>42422.45521990741</v>
      </c>
      <c r="B693" s="8" t="str">
        <f>HYPERLINK("https://twitter.com/salvag63","@salvag63")</f>
        <v>@salvag63</v>
      </c>
      <c r="C693" s="10" t="s">
        <v>6551</v>
      </c>
      <c r="D693" s="10" t="s">
        <v>7567</v>
      </c>
      <c r="E693" s="11" t="str">
        <f>HYPERLINK("https://twitter.com/salvag63/status/701842775461994496","701842775461994496")</f>
        <v>701842775461994496</v>
      </c>
      <c r="F693" s="12" t="s">
        <v>20</v>
      </c>
      <c r="G693" s="13">
        <v>244.0</v>
      </c>
      <c r="H693" s="13">
        <v>166.0</v>
      </c>
      <c r="I693" s="13">
        <v>2.0</v>
      </c>
      <c r="J693" s="13">
        <v>0.0</v>
      </c>
      <c r="K693" s="12" t="s">
        <v>21</v>
      </c>
      <c r="L693" s="7">
        <v>39872.207500000004</v>
      </c>
      <c r="M693" s="16"/>
      <c r="N693" s="14" t="s">
        <v>6553</v>
      </c>
      <c r="O693" s="11" t="str">
        <f>HYPERLINK("https://pbs.twimg.com/profile_images/234609034/Press4_normal.jpg","View")</f>
        <v>View</v>
      </c>
      <c r="P693" s="15"/>
    </row>
    <row r="694">
      <c r="A694" s="7">
        <v>42422.455416666664</v>
      </c>
      <c r="B694" s="8" t="str">
        <f>HYPERLINK("https://twitter.com/hadleywickham","@hadleywickham")</f>
        <v>@hadleywickham</v>
      </c>
      <c r="C694" s="10" t="s">
        <v>6659</v>
      </c>
      <c r="D694" s="10" t="s">
        <v>7352</v>
      </c>
      <c r="E694" s="11" t="str">
        <f>HYPERLINK("https://twitter.com/hadleywickham/status/701842844353335296","701842844353335296")</f>
        <v>701842844353335296</v>
      </c>
      <c r="F694" s="12" t="s">
        <v>1082</v>
      </c>
      <c r="G694" s="13">
        <v>24816.0</v>
      </c>
      <c r="H694" s="13">
        <v>244.0</v>
      </c>
      <c r="I694" s="13">
        <v>48.0</v>
      </c>
      <c r="J694" s="13">
        <v>0.0</v>
      </c>
      <c r="K694" s="12" t="s">
        <v>21</v>
      </c>
      <c r="L694" s="7">
        <v>40051.69081018519</v>
      </c>
      <c r="M694" s="14" t="s">
        <v>719</v>
      </c>
      <c r="N694" s="14" t="s">
        <v>6661</v>
      </c>
      <c r="O694" s="11" t="str">
        <f>HYPERLINK("https://pbs.twimg.com/profile_images/677589103710306304/m56O6Wgf_normal.jpg","View")</f>
        <v>View</v>
      </c>
      <c r="P694" s="15"/>
    </row>
    <row r="695">
      <c r="A695" s="7">
        <v>42422.456134259264</v>
      </c>
      <c r="B695" s="8" t="str">
        <f>HYPERLINK("https://twitter.com/Oreotrephes","@Oreotrephes")</f>
        <v>@Oreotrephes</v>
      </c>
      <c r="C695" s="10" t="s">
        <v>7568</v>
      </c>
      <c r="D695" s="10" t="s">
        <v>7352</v>
      </c>
      <c r="E695" s="11" t="str">
        <f>HYPERLINK("https://twitter.com/Oreotrephes/status/701843106220498945","701843106220498945")</f>
        <v>701843106220498945</v>
      </c>
      <c r="F695" s="12" t="s">
        <v>20</v>
      </c>
      <c r="G695" s="13">
        <v>381.0</v>
      </c>
      <c r="H695" s="13">
        <v>590.0</v>
      </c>
      <c r="I695" s="13">
        <v>48.0</v>
      </c>
      <c r="J695" s="13">
        <v>0.0</v>
      </c>
      <c r="K695" s="12" t="s">
        <v>21</v>
      </c>
      <c r="L695" s="7">
        <v>40449.19956018518</v>
      </c>
      <c r="M695" s="14" t="s">
        <v>7569</v>
      </c>
      <c r="N695" s="14" t="s">
        <v>7570</v>
      </c>
      <c r="O695" s="11" t="str">
        <f>HYPERLINK("https://pbs.twimg.com/profile_images/514509365051547648/lBJQWyjT_normal.jpeg","View")</f>
        <v>View</v>
      </c>
      <c r="P695" s="15"/>
    </row>
    <row r="696">
      <c r="A696" s="7">
        <v>42422.45635416667</v>
      </c>
      <c r="B696" s="8" t="str">
        <f>HYPERLINK("https://twitter.com/spsaaibi","@spsaaibi")</f>
        <v>@spsaaibi</v>
      </c>
      <c r="C696" s="10" t="s">
        <v>7571</v>
      </c>
      <c r="D696" s="10" t="s">
        <v>7352</v>
      </c>
      <c r="E696" s="11" t="str">
        <f>HYPERLINK("https://twitter.com/spsaaibi/status/701843183181938688","701843183181938688")</f>
        <v>701843183181938688</v>
      </c>
      <c r="F696" s="12" t="s">
        <v>98</v>
      </c>
      <c r="G696" s="13">
        <v>794.0</v>
      </c>
      <c r="H696" s="13">
        <v>142.0</v>
      </c>
      <c r="I696" s="13">
        <v>48.0</v>
      </c>
      <c r="J696" s="13">
        <v>0.0</v>
      </c>
      <c r="K696" s="12" t="s">
        <v>21</v>
      </c>
      <c r="L696" s="7">
        <v>40807.363078703704</v>
      </c>
      <c r="M696" s="16"/>
      <c r="N696" s="14" t="s">
        <v>7572</v>
      </c>
      <c r="O696" s="11" t="str">
        <f>HYPERLINK("https://pbs.twimg.com/profile_images/701728435480166401/FlotAAOY_normal.jpg","View")</f>
        <v>View</v>
      </c>
      <c r="P696" s="15"/>
    </row>
    <row r="697">
      <c r="A697" s="7">
        <v>42422.45721064815</v>
      </c>
      <c r="B697" s="8" t="str">
        <f>HYPERLINK("https://twitter.com/gtumuluri","@gtumuluri")</f>
        <v>@gtumuluri</v>
      </c>
      <c r="C697" s="10" t="s">
        <v>7573</v>
      </c>
      <c r="D697" s="10" t="s">
        <v>7352</v>
      </c>
      <c r="E697" s="11" t="str">
        <f>HYPERLINK("https://twitter.com/gtumuluri/status/701843496899104768","701843496899104768")</f>
        <v>701843496899104768</v>
      </c>
      <c r="F697" s="12" t="s">
        <v>52</v>
      </c>
      <c r="G697" s="13">
        <v>103.0</v>
      </c>
      <c r="H697" s="13">
        <v>142.0</v>
      </c>
      <c r="I697" s="13">
        <v>48.0</v>
      </c>
      <c r="J697" s="13">
        <v>0.0</v>
      </c>
      <c r="K697" s="12" t="s">
        <v>21</v>
      </c>
      <c r="L697" s="7">
        <v>40270.85388888889</v>
      </c>
      <c r="M697" s="14" t="s">
        <v>7574</v>
      </c>
      <c r="N697" s="14" t="s">
        <v>7575</v>
      </c>
      <c r="O697" s="11" t="str">
        <f>HYPERLINK("https://pbs.twimg.com/profile_images/2890776672/386378582228e97637c8e36e18ae72fa_normal.png","View")</f>
        <v>View</v>
      </c>
      <c r="P697" s="15"/>
    </row>
    <row r="698">
      <c r="A698" s="7">
        <v>42422.45819444444</v>
      </c>
      <c r="B698" s="8" t="str">
        <f>HYPERLINK("https://twitter.com/STAT545","@STAT545")</f>
        <v>@STAT545</v>
      </c>
      <c r="C698" s="10" t="s">
        <v>7576</v>
      </c>
      <c r="D698" s="10" t="s">
        <v>7547</v>
      </c>
      <c r="E698" s="11" t="str">
        <f>HYPERLINK("https://twitter.com/STAT545/status/701843850705252352","701843850705252352")</f>
        <v>701843850705252352</v>
      </c>
      <c r="F698" s="12" t="s">
        <v>240</v>
      </c>
      <c r="G698" s="13">
        <v>741.0</v>
      </c>
      <c r="H698" s="13">
        <v>37.0</v>
      </c>
      <c r="I698" s="13">
        <v>9.0</v>
      </c>
      <c r="J698" s="13">
        <v>0.0</v>
      </c>
      <c r="K698" s="12" t="s">
        <v>21</v>
      </c>
      <c r="L698" s="7">
        <v>41884.53592592593</v>
      </c>
      <c r="M698" s="14" t="s">
        <v>1855</v>
      </c>
      <c r="N698" s="14" t="s">
        <v>7577</v>
      </c>
      <c r="O698" s="11" t="str">
        <f>HYPERLINK("https://pbs.twimg.com/profile_images/506894311955243008/0D63lczz_normal.png","View")</f>
        <v>View</v>
      </c>
      <c r="P698" s="15"/>
    </row>
    <row r="699">
      <c r="A699" s="7">
        <v>42422.459189814814</v>
      </c>
      <c r="B699" s="8" t="str">
        <f>HYPERLINK("https://twitter.com/BigDataTweetBot","@BigDataTweetBot")</f>
        <v>@BigDataTweetBot</v>
      </c>
      <c r="C699" s="10" t="s">
        <v>1440</v>
      </c>
      <c r="D699" s="10" t="s">
        <v>7578</v>
      </c>
      <c r="E699" s="11" t="str">
        <f>HYPERLINK("https://twitter.com/BigDataTweetBot/status/701844212858363905","701844212858363905")</f>
        <v>701844212858363905</v>
      </c>
      <c r="F699" s="12" t="s">
        <v>1442</v>
      </c>
      <c r="G699" s="13">
        <v>8622.0</v>
      </c>
      <c r="H699" s="13">
        <v>243.0</v>
      </c>
      <c r="I699" s="13">
        <v>2.0</v>
      </c>
      <c r="J699" s="13">
        <v>0.0</v>
      </c>
      <c r="K699" s="12" t="s">
        <v>21</v>
      </c>
      <c r="L699" s="7">
        <v>42187.77106481481</v>
      </c>
      <c r="M699" s="16"/>
      <c r="N699" s="14" t="s">
        <v>1443</v>
      </c>
      <c r="O699" s="11" t="str">
        <f>HYPERLINK("https://pbs.twimg.com/profile_images/616793252524650496/bQbxJqmz_normal.jpg","View")</f>
        <v>View</v>
      </c>
      <c r="P699" s="15"/>
    </row>
    <row r="700">
      <c r="A700" s="7">
        <v>42422.45936342592</v>
      </c>
      <c r="B700" s="8" t="str">
        <f>HYPERLINK("https://twitter.com/v_vashishta","@v_vashishta")</f>
        <v>@v_vashishta</v>
      </c>
      <c r="C700" s="10" t="s">
        <v>6609</v>
      </c>
      <c r="D700" s="10" t="s">
        <v>7579</v>
      </c>
      <c r="E700" s="11" t="str">
        <f>HYPERLINK("https://twitter.com/v_vashishta/status/701844276439752704","701844276439752704")</f>
        <v>701844276439752704</v>
      </c>
      <c r="F700" s="12" t="s">
        <v>446</v>
      </c>
      <c r="G700" s="13">
        <v>19394.0</v>
      </c>
      <c r="H700" s="13">
        <v>14053.0</v>
      </c>
      <c r="I700" s="13">
        <v>0.0</v>
      </c>
      <c r="J700" s="13">
        <v>2.0</v>
      </c>
      <c r="K700" s="12" t="s">
        <v>21</v>
      </c>
      <c r="L700" s="7">
        <v>40436.24811342593</v>
      </c>
      <c r="M700" s="14" t="s">
        <v>6611</v>
      </c>
      <c r="N700" s="14" t="s">
        <v>6612</v>
      </c>
      <c r="O700" s="11" t="str">
        <f>HYPERLINK("https://pbs.twimg.com/profile_images/2311675967/yzhiz5niu8t497rap344_normal.jpeg","View")</f>
        <v>View</v>
      </c>
      <c r="P700" s="15"/>
    </row>
    <row r="701">
      <c r="A701" s="7">
        <v>42422.45943287037</v>
      </c>
      <c r="B701" s="8" t="str">
        <f>HYPERLINK("https://twitter.com/timelyportfolio","@timelyportfolio")</f>
        <v>@timelyportfolio</v>
      </c>
      <c r="C701" s="10" t="s">
        <v>3698</v>
      </c>
      <c r="D701" s="10" t="s">
        <v>7547</v>
      </c>
      <c r="E701" s="11" t="str">
        <f>HYPERLINK("https://twitter.com/timelyportfolio/status/701844298355109888","701844298355109888")</f>
        <v>701844298355109888</v>
      </c>
      <c r="F701" s="12" t="s">
        <v>20</v>
      </c>
      <c r="G701" s="13">
        <v>1875.0</v>
      </c>
      <c r="H701" s="13">
        <v>2248.0</v>
      </c>
      <c r="I701" s="13">
        <v>9.0</v>
      </c>
      <c r="J701" s="13">
        <v>0.0</v>
      </c>
      <c r="K701" s="12" t="s">
        <v>21</v>
      </c>
      <c r="L701" s="7">
        <v>40573.86280092593</v>
      </c>
      <c r="M701" s="14" t="s">
        <v>3700</v>
      </c>
      <c r="N701" s="14" t="s">
        <v>3701</v>
      </c>
      <c r="O701" s="11" t="str">
        <f>HYPERLINK("https://pbs.twimg.com/profile_images/2198946077/image_normal.jpg","View")</f>
        <v>View</v>
      </c>
      <c r="P701" s="15"/>
    </row>
    <row r="702">
      <c r="A702" s="7">
        <v>42422.459872685184</v>
      </c>
      <c r="B702" s="8" t="str">
        <f>HYPERLINK("https://twitter.com/timknut","@timknut")</f>
        <v>@timknut</v>
      </c>
      <c r="C702" s="10" t="s">
        <v>7580</v>
      </c>
      <c r="D702" s="10" t="s">
        <v>7352</v>
      </c>
      <c r="E702" s="11" t="str">
        <f>HYPERLINK("https://twitter.com/timknut/status/701844461794545664","701844461794545664")</f>
        <v>701844461794545664</v>
      </c>
      <c r="F702" s="12" t="s">
        <v>152</v>
      </c>
      <c r="G702" s="13">
        <v>272.0</v>
      </c>
      <c r="H702" s="13">
        <v>529.0</v>
      </c>
      <c r="I702" s="13">
        <v>48.0</v>
      </c>
      <c r="J702" s="13">
        <v>0.0</v>
      </c>
      <c r="K702" s="12" t="s">
        <v>21</v>
      </c>
      <c r="L702" s="7">
        <v>39831.18740740741</v>
      </c>
      <c r="M702" s="14" t="s">
        <v>7581</v>
      </c>
      <c r="N702" s="14" t="s">
        <v>7582</v>
      </c>
      <c r="O702" s="11" t="str">
        <f>HYPERLINK("https://pbs.twimg.com/profile_images/555266712694566912/nVv5Pc3W_normal.jpeg","View")</f>
        <v>View</v>
      </c>
      <c r="P702" s="15"/>
    </row>
    <row r="703">
      <c r="A703" s="7">
        <v>42422.46003472222</v>
      </c>
      <c r="B703" s="8" t="str">
        <f>HYPERLINK("https://twitter.com/DataAndDataViz","@DataAndDataViz")</f>
        <v>@DataAndDataViz</v>
      </c>
      <c r="C703" s="10" t="s">
        <v>5145</v>
      </c>
      <c r="D703" s="10" t="s">
        <v>7547</v>
      </c>
      <c r="E703" s="11" t="str">
        <f>HYPERLINK("https://twitter.com/DataAndDataViz/status/701844516626628613","701844516626628613")</f>
        <v>701844516626628613</v>
      </c>
      <c r="F703" s="12" t="s">
        <v>5146</v>
      </c>
      <c r="G703" s="13">
        <v>473.0</v>
      </c>
      <c r="H703" s="13">
        <v>140.0</v>
      </c>
      <c r="I703" s="13">
        <v>9.0</v>
      </c>
      <c r="J703" s="13">
        <v>0.0</v>
      </c>
      <c r="K703" s="12" t="s">
        <v>21</v>
      </c>
      <c r="L703" s="7">
        <v>41603.30427083334</v>
      </c>
      <c r="M703" s="16"/>
      <c r="N703" s="14" t="s">
        <v>5147</v>
      </c>
      <c r="O703" s="11" t="str">
        <f>HYPERLINK("https://pbs.twimg.com/profile_images/412249095110008832/J_K4--iQ_normal.png","View")</f>
        <v>View</v>
      </c>
      <c r="P703" s="15"/>
    </row>
    <row r="704">
      <c r="A704" s="7">
        <v>42422.46099537037</v>
      </c>
      <c r="B704" s="8" t="str">
        <f>HYPERLINK("https://twitter.com/scripterAnon","@scripterAnon")</f>
        <v>@scripterAnon</v>
      </c>
      <c r="C704" s="10" t="s">
        <v>7583</v>
      </c>
      <c r="D704" s="10" t="s">
        <v>7584</v>
      </c>
      <c r="E704" s="11" t="str">
        <f>HYPERLINK("https://twitter.com/scripterAnon/status/701844865017991168","701844865017991168")</f>
        <v>701844865017991168</v>
      </c>
      <c r="F704" s="12" t="s">
        <v>1573</v>
      </c>
      <c r="G704" s="13">
        <v>130.0</v>
      </c>
      <c r="H704" s="13">
        <v>256.0</v>
      </c>
      <c r="I704" s="13">
        <v>7.0</v>
      </c>
      <c r="J704" s="13">
        <v>0.0</v>
      </c>
      <c r="K704" s="12" t="s">
        <v>21</v>
      </c>
      <c r="L704" s="7">
        <v>40161.40619212963</v>
      </c>
      <c r="M704" s="14" t="s">
        <v>7585</v>
      </c>
      <c r="N704" s="16"/>
      <c r="O704" s="11" t="str">
        <f>HYPERLINK("https://pbs.twimg.com/profile_images/594801770414518272/4LKsLLI2_normal.jpg","View")</f>
        <v>View</v>
      </c>
      <c r="P704" s="15"/>
    </row>
    <row r="705">
      <c r="A705" s="7">
        <v>42422.46204861111</v>
      </c>
      <c r="B705" s="8" t="str">
        <f>HYPERLINK("https://twitter.com/josefslerka","@josefslerka")</f>
        <v>@josefslerka</v>
      </c>
      <c r="C705" s="10" t="s">
        <v>7586</v>
      </c>
      <c r="D705" s="10" t="s">
        <v>7584</v>
      </c>
      <c r="E705" s="11" t="str">
        <f>HYPERLINK("https://twitter.com/josefslerka/status/701845248872476672","701845248872476672")</f>
        <v>701845248872476672</v>
      </c>
      <c r="F705" s="12" t="s">
        <v>52</v>
      </c>
      <c r="G705" s="13">
        <v>26718.0</v>
      </c>
      <c r="H705" s="13">
        <v>1661.0</v>
      </c>
      <c r="I705" s="13">
        <v>7.0</v>
      </c>
      <c r="J705" s="13">
        <v>0.0</v>
      </c>
      <c r="K705" s="12" t="s">
        <v>21</v>
      </c>
      <c r="L705" s="7">
        <v>39551.493726851855</v>
      </c>
      <c r="M705" s="14" t="s">
        <v>7587</v>
      </c>
      <c r="N705" s="14" t="s">
        <v>7588</v>
      </c>
      <c r="O705" s="11" t="str">
        <f>HYPERLINK("https://pbs.twimg.com/profile_images/517385985311531009/wvYbiySo_normal.jpeg","View")</f>
        <v>View</v>
      </c>
      <c r="P705" s="15"/>
    </row>
    <row r="706">
      <c r="A706" s="7">
        <v>42422.463425925926</v>
      </c>
      <c r="B706" s="8" t="str">
        <f>HYPERLINK("https://twitter.com/andremrsantos","@andremrsantos")</f>
        <v>@andremrsantos</v>
      </c>
      <c r="C706" s="10" t="s">
        <v>7589</v>
      </c>
      <c r="D706" s="10" t="s">
        <v>7352</v>
      </c>
      <c r="E706" s="11" t="str">
        <f>HYPERLINK("https://twitter.com/andremrsantos/status/701845747499556864","701845747499556864")</f>
        <v>701845747499556864</v>
      </c>
      <c r="F706" s="12" t="s">
        <v>20</v>
      </c>
      <c r="G706" s="13">
        <v>248.0</v>
      </c>
      <c r="H706" s="13">
        <v>274.0</v>
      </c>
      <c r="I706" s="13">
        <v>48.0</v>
      </c>
      <c r="J706" s="13">
        <v>0.0</v>
      </c>
      <c r="K706" s="12" t="s">
        <v>21</v>
      </c>
      <c r="L706" s="7">
        <v>40025.28858796296</v>
      </c>
      <c r="M706" s="14" t="s">
        <v>7590</v>
      </c>
      <c r="N706" s="14" t="s">
        <v>7591</v>
      </c>
      <c r="O706" s="11" t="str">
        <f>HYPERLINK("https://pbs.twimg.com/profile_images/533621680086999041/Ge5q8jZ5_normal.jpeg","View")</f>
        <v>View</v>
      </c>
      <c r="P706" s="15"/>
    </row>
    <row r="707">
      <c r="A707" s="7">
        <v>42422.46363425926</v>
      </c>
      <c r="B707" s="8" t="str">
        <f>HYPERLINK("https://twitter.com/ThugMetrics","@ThugMetrics")</f>
        <v>@ThugMetrics</v>
      </c>
      <c r="C707" s="10" t="s">
        <v>7417</v>
      </c>
      <c r="D707" s="10" t="s">
        <v>7578</v>
      </c>
      <c r="E707" s="11" t="str">
        <f>HYPERLINK("https://twitter.com/ThugMetrics/status/701845824075120640","701845824075120640")</f>
        <v>701845824075120640</v>
      </c>
      <c r="F707" s="12" t="s">
        <v>38</v>
      </c>
      <c r="G707" s="13">
        <v>1049.0</v>
      </c>
      <c r="H707" s="13">
        <v>497.0</v>
      </c>
      <c r="I707" s="13">
        <v>2.0</v>
      </c>
      <c r="J707" s="13">
        <v>0.0</v>
      </c>
      <c r="K707" s="12" t="s">
        <v>21</v>
      </c>
      <c r="L707" s="7">
        <v>41974.772627314815</v>
      </c>
      <c r="M707" s="14" t="s">
        <v>379</v>
      </c>
      <c r="N707" s="14" t="s">
        <v>7419</v>
      </c>
      <c r="O707" s="11" t="str">
        <f>HYPERLINK("https://pbs.twimg.com/profile_images/545309149953667072/f3IMwCEc_normal.jpeg","View")</f>
        <v>View</v>
      </c>
      <c r="P707" s="15"/>
    </row>
    <row r="708">
      <c r="A708" s="7">
        <v>42422.465312500004</v>
      </c>
      <c r="B708" s="8" t="str">
        <f>HYPERLINK("https://twitter.com/LauraParnas","@LauraParnas")</f>
        <v>@LauraParnas</v>
      </c>
      <c r="C708" s="10" t="s">
        <v>7548</v>
      </c>
      <c r="D708" s="10" t="s">
        <v>7592</v>
      </c>
      <c r="E708" s="11" t="str">
        <f>HYPERLINK("https://twitter.com/LauraParnas/status/701846431464689664","701846431464689664")</f>
        <v>701846431464689664</v>
      </c>
      <c r="F708" s="12" t="s">
        <v>52</v>
      </c>
      <c r="G708" s="13">
        <v>163.0</v>
      </c>
      <c r="H708" s="13">
        <v>380.0</v>
      </c>
      <c r="I708" s="13">
        <v>1.0</v>
      </c>
      <c r="J708" s="13">
        <v>0.0</v>
      </c>
      <c r="K708" s="12" t="s">
        <v>21</v>
      </c>
      <c r="L708" s="7">
        <v>40680.43420138889</v>
      </c>
      <c r="M708" s="14" t="s">
        <v>7550</v>
      </c>
      <c r="N708" s="14" t="s">
        <v>7551</v>
      </c>
      <c r="O708" s="11" t="str">
        <f>HYPERLINK("https://pbs.twimg.com/profile_images/378800000101209325/104b0862260e885614912cbe8630cb21_normal.jpeg","View")</f>
        <v>View</v>
      </c>
      <c r="P708" s="15"/>
    </row>
    <row r="709">
      <c r="A709" s="7">
        <v>42422.465590277774</v>
      </c>
      <c r="B709" s="8" t="str">
        <f>HYPERLINK("https://twitter.com/rineybrand","@rineybrand")</f>
        <v>@rineybrand</v>
      </c>
      <c r="C709" s="10" t="s">
        <v>7593</v>
      </c>
      <c r="D709" s="10" t="s">
        <v>7529</v>
      </c>
      <c r="E709" s="11" t="str">
        <f>HYPERLINK("https://twitter.com/rineybrand/status/701846532870512641","701846532870512641")</f>
        <v>701846532870512641</v>
      </c>
      <c r="F709" s="12" t="s">
        <v>20</v>
      </c>
      <c r="G709" s="13">
        <v>226.0</v>
      </c>
      <c r="H709" s="13">
        <v>531.0</v>
      </c>
      <c r="I709" s="13">
        <v>5.0</v>
      </c>
      <c r="J709" s="13">
        <v>0.0</v>
      </c>
      <c r="K709" s="12" t="s">
        <v>21</v>
      </c>
      <c r="L709" s="7">
        <v>39841.56313657407</v>
      </c>
      <c r="M709" s="14" t="s">
        <v>1018</v>
      </c>
      <c r="N709" s="14" t="s">
        <v>7594</v>
      </c>
      <c r="O709" s="11" t="str">
        <f>HYPERLINK("https://pbs.twimg.com/profile_images/488632924711825409/3juQVfxe_normal.jpeg","View")</f>
        <v>View</v>
      </c>
      <c r="P709" s="15"/>
    </row>
    <row r="710">
      <c r="A710" s="7">
        <v>42422.46576388889</v>
      </c>
      <c r="B710" s="8" t="str">
        <f>HYPERLINK("https://twitter.com/tomhouslay","@tomhouslay")</f>
        <v>@tomhouslay</v>
      </c>
      <c r="C710" s="10" t="s">
        <v>6801</v>
      </c>
      <c r="D710" s="10" t="s">
        <v>7352</v>
      </c>
      <c r="E710" s="11" t="str">
        <f>HYPERLINK("https://twitter.com/tomhouslay/status/701846594711379968","701846594711379968")</f>
        <v>701846594711379968</v>
      </c>
      <c r="F710" s="12" t="s">
        <v>20</v>
      </c>
      <c r="G710" s="13">
        <v>2957.0</v>
      </c>
      <c r="H710" s="13">
        <v>2676.0</v>
      </c>
      <c r="I710" s="13">
        <v>48.0</v>
      </c>
      <c r="J710" s="13">
        <v>0.0</v>
      </c>
      <c r="K710" s="12" t="s">
        <v>21</v>
      </c>
      <c r="L710" s="7">
        <v>40136.59471064815</v>
      </c>
      <c r="M710" s="14" t="s">
        <v>6803</v>
      </c>
      <c r="N710" s="14" t="s">
        <v>6804</v>
      </c>
      <c r="O710" s="11" t="str">
        <f>HYPERLINK("https://pbs.twimg.com/profile_images/701901513392717824/lUzJ39G2_normal.png","View")</f>
        <v>View</v>
      </c>
      <c r="P710" s="15"/>
    </row>
    <row r="711">
      <c r="A711" s="7">
        <v>42422.46597222222</v>
      </c>
      <c r="B711" s="8" t="str">
        <f>HYPERLINK("https://twitter.com/JaviStem","@JaviStem")</f>
        <v>@JaviStem</v>
      </c>
      <c r="C711" s="10" t="s">
        <v>7595</v>
      </c>
      <c r="D711" s="10" t="s">
        <v>7596</v>
      </c>
      <c r="E711" s="11" t="str">
        <f>HYPERLINK("https://twitter.com/JaviStem/status/701846668266840064","701846668266840064")</f>
        <v>701846668266840064</v>
      </c>
      <c r="F711" s="12" t="s">
        <v>20</v>
      </c>
      <c r="G711" s="13">
        <v>186.0</v>
      </c>
      <c r="H711" s="13">
        <v>216.0</v>
      </c>
      <c r="I711" s="13">
        <v>0.0</v>
      </c>
      <c r="J711" s="13">
        <v>0.0</v>
      </c>
      <c r="K711" s="12" t="s">
        <v>21</v>
      </c>
      <c r="L711" s="7">
        <v>41877.13680555556</v>
      </c>
      <c r="M711" s="18" t="s">
        <v>7597</v>
      </c>
      <c r="N711" s="14" t="s">
        <v>7598</v>
      </c>
      <c r="O711" s="11" t="str">
        <f>HYPERLINK("https://pbs.twimg.com/profile_images/506157871524892672/wXzYotsK_normal.jpeg","View")</f>
        <v>View</v>
      </c>
      <c r="P711" s="15"/>
    </row>
    <row r="712">
      <c r="A712" s="7">
        <v>42422.46622685185</v>
      </c>
      <c r="B712" s="8" t="str">
        <f>HYPERLINK("https://twitter.com/flicsplatt","@flicsplatt")</f>
        <v>@flicsplatt</v>
      </c>
      <c r="C712" s="10" t="s">
        <v>7599</v>
      </c>
      <c r="D712" s="10" t="s">
        <v>7482</v>
      </c>
      <c r="E712" s="11" t="str">
        <f>HYPERLINK("https://twitter.com/flicsplatt/status/701846761057325056","701846761057325056")</f>
        <v>701846761057325056</v>
      </c>
      <c r="F712" s="12" t="s">
        <v>52</v>
      </c>
      <c r="G712" s="13">
        <v>54.0</v>
      </c>
      <c r="H712" s="13">
        <v>106.0</v>
      </c>
      <c r="I712" s="13">
        <v>8.0</v>
      </c>
      <c r="J712" s="13">
        <v>0.0</v>
      </c>
      <c r="K712" s="12" t="s">
        <v>21</v>
      </c>
      <c r="L712" s="7">
        <v>41178.017905092594</v>
      </c>
      <c r="M712" s="14" t="s">
        <v>7600</v>
      </c>
      <c r="N712" s="16"/>
      <c r="O712" s="11" t="str">
        <f>HYPERLINK("https://pbs.twimg.com/profile_images/538491975612116992/LWjDiND2_normal.jpeg","View")</f>
        <v>View</v>
      </c>
      <c r="P712" s="15"/>
    </row>
    <row r="713">
      <c r="A713" s="7">
        <v>42422.46974537037</v>
      </c>
      <c r="B713" s="8" t="str">
        <f>HYPERLINK("https://twitter.com/eFe_Gil","@eFe_Gil")</f>
        <v>@eFe_Gil</v>
      </c>
      <c r="C713" s="10" t="s">
        <v>7601</v>
      </c>
      <c r="D713" s="10" t="s">
        <v>7584</v>
      </c>
      <c r="E713" s="11" t="str">
        <f>HYPERLINK("https://twitter.com/eFe_Gil/status/701848039170961410","701848039170961410")</f>
        <v>701848039170961410</v>
      </c>
      <c r="F713" s="12" t="s">
        <v>152</v>
      </c>
      <c r="G713" s="13">
        <v>43.0</v>
      </c>
      <c r="H713" s="13">
        <v>64.0</v>
      </c>
      <c r="I713" s="13">
        <v>7.0</v>
      </c>
      <c r="J713" s="13">
        <v>0.0</v>
      </c>
      <c r="K713" s="12" t="s">
        <v>21</v>
      </c>
      <c r="L713" s="7">
        <v>41283.50839120371</v>
      </c>
      <c r="M713" s="16"/>
      <c r="N713" s="14" t="s">
        <v>7602</v>
      </c>
      <c r="O713" s="11" t="str">
        <f>HYPERLINK("https://pbs.twimg.com/profile_images/674700358166388736/pWBofWfu_normal.jpg","View")</f>
        <v>View</v>
      </c>
      <c r="P713" s="15"/>
    </row>
    <row r="714">
      <c r="A714" s="7">
        <v>42422.47113425926</v>
      </c>
      <c r="B714" s="8" t="str">
        <f>HYPERLINK("https://twitter.com/Apex_Herbivore","@Apex_Herbivore")</f>
        <v>@Apex_Herbivore</v>
      </c>
      <c r="C714" s="10" t="s">
        <v>7603</v>
      </c>
      <c r="D714" s="10" t="s">
        <v>7352</v>
      </c>
      <c r="E714" s="11" t="str">
        <f>HYPERLINK("https://twitter.com/Apex_Herbivore/status/701848540302196738","701848540302196738")</f>
        <v>701848540302196738</v>
      </c>
      <c r="F714" s="12" t="s">
        <v>20</v>
      </c>
      <c r="G714" s="13">
        <v>27.0</v>
      </c>
      <c r="H714" s="13">
        <v>69.0</v>
      </c>
      <c r="I714" s="13">
        <v>48.0</v>
      </c>
      <c r="J714" s="13">
        <v>0.0</v>
      </c>
      <c r="K714" s="12" t="s">
        <v>21</v>
      </c>
      <c r="L714" s="7">
        <v>41732.47578703704</v>
      </c>
      <c r="M714" s="14" t="s">
        <v>3278</v>
      </c>
      <c r="N714" s="14" t="s">
        <v>7604</v>
      </c>
      <c r="O714" s="11" t="str">
        <f>HYPERLINK("https://pbs.twimg.com/profile_images/693920729134292992/J4YLPA-y_normal.jpg","View")</f>
        <v>View</v>
      </c>
      <c r="P714" s="15"/>
    </row>
    <row r="715">
      <c r="A715" s="7">
        <v>42422.47233796296</v>
      </c>
      <c r="B715" s="8" t="str">
        <f>HYPERLINK("https://twitter.com/STAT545","@STAT545")</f>
        <v>@STAT545</v>
      </c>
      <c r="C715" s="10" t="s">
        <v>7576</v>
      </c>
      <c r="D715" s="10" t="s">
        <v>7500</v>
      </c>
      <c r="E715" s="11" t="str">
        <f>HYPERLINK("https://twitter.com/STAT545/status/701848975016497152","701848975016497152")</f>
        <v>701848975016497152</v>
      </c>
      <c r="F715" s="12" t="s">
        <v>240</v>
      </c>
      <c r="G715" s="13">
        <v>741.0</v>
      </c>
      <c r="H715" s="13">
        <v>37.0</v>
      </c>
      <c r="I715" s="13">
        <v>3.0</v>
      </c>
      <c r="J715" s="13">
        <v>0.0</v>
      </c>
      <c r="K715" s="12" t="s">
        <v>21</v>
      </c>
      <c r="L715" s="7">
        <v>41884.53592592593</v>
      </c>
      <c r="M715" s="14" t="s">
        <v>1855</v>
      </c>
      <c r="N715" s="14" t="s">
        <v>7577</v>
      </c>
      <c r="O715" s="11" t="str">
        <f>HYPERLINK("https://pbs.twimg.com/profile_images/506894311955243008/0D63lczz_normal.png","View")</f>
        <v>View</v>
      </c>
      <c r="P715" s="15"/>
    </row>
    <row r="716">
      <c r="A716" s="7">
        <v>42422.47238425926</v>
      </c>
      <c r="B716" s="8" t="str">
        <f>HYPERLINK("https://twitter.com/Rbloggers","@Rbloggers")</f>
        <v>@Rbloggers</v>
      </c>
      <c r="C716" s="10" t="s">
        <v>6221</v>
      </c>
      <c r="D716" s="10" t="s">
        <v>7605</v>
      </c>
      <c r="E716" s="11" t="str">
        <f>HYPERLINK("https://twitter.com/Rbloggers/status/701848995472101376","701848995472101376")</f>
        <v>701848995472101376</v>
      </c>
      <c r="F716" s="17" t="s">
        <v>6223</v>
      </c>
      <c r="G716" s="13">
        <v>28572.0</v>
      </c>
      <c r="H716" s="13">
        <v>36.0</v>
      </c>
      <c r="I716" s="13">
        <v>3.0</v>
      </c>
      <c r="J716" s="13">
        <v>5.0</v>
      </c>
      <c r="K716" s="12" t="s">
        <v>21</v>
      </c>
      <c r="L716" s="7">
        <v>40314.510601851856</v>
      </c>
      <c r="M716" s="16"/>
      <c r="N716" s="14" t="s">
        <v>6224</v>
      </c>
      <c r="O716" s="11" t="str">
        <f>HYPERLINK("https://pbs.twimg.com/profile_images/502185985786916864/gkdFh-q7_normal.png","View")</f>
        <v>View</v>
      </c>
      <c r="P716" s="15"/>
    </row>
    <row r="717">
      <c r="A717" s="7">
        <v>42422.472604166665</v>
      </c>
      <c r="B717" s="8" t="str">
        <f>HYPERLINK("https://twitter.com/adamgreatkind","@adamgreatkind")</f>
        <v>@adamgreatkind</v>
      </c>
      <c r="C717" s="10" t="s">
        <v>7606</v>
      </c>
      <c r="D717" s="10" t="s">
        <v>7352</v>
      </c>
      <c r="E717" s="11" t="str">
        <f>HYPERLINK("https://twitter.com/adamgreatkind/status/701849075415654400","701849075415654400")</f>
        <v>701849075415654400</v>
      </c>
      <c r="F717" s="12" t="s">
        <v>7607</v>
      </c>
      <c r="G717" s="13">
        <v>328.0</v>
      </c>
      <c r="H717" s="13">
        <v>323.0</v>
      </c>
      <c r="I717" s="13">
        <v>48.0</v>
      </c>
      <c r="J717" s="13">
        <v>0.0</v>
      </c>
      <c r="K717" s="12" t="s">
        <v>21</v>
      </c>
      <c r="L717" s="7">
        <v>39884.71748842593</v>
      </c>
      <c r="M717" s="14" t="s">
        <v>7608</v>
      </c>
      <c r="N717" s="14" t="s">
        <v>7609</v>
      </c>
      <c r="O717" s="11" t="str">
        <f>HYPERLINK("https://pbs.twimg.com/profile_images/474603883986042880/RQ69FsUd_normal.jpeg","View")</f>
        <v>View</v>
      </c>
      <c r="P717" s="15"/>
    </row>
    <row r="718">
      <c r="A718" s="7">
        <v>42422.47268518519</v>
      </c>
      <c r="B718" s="8" t="str">
        <f>HYPERLINK("https://twitter.com/pa_marais","@pa_marais")</f>
        <v>@pa_marais</v>
      </c>
      <c r="C718" s="10" t="s">
        <v>6236</v>
      </c>
      <c r="D718" s="10" t="s">
        <v>7584</v>
      </c>
      <c r="E718" s="11" t="str">
        <f>HYPERLINK("https://twitter.com/pa_marais/status/701849104012414976","701849104012414976")</f>
        <v>701849104012414976</v>
      </c>
      <c r="F718" s="12" t="s">
        <v>152</v>
      </c>
      <c r="G718" s="13">
        <v>80.0</v>
      </c>
      <c r="H718" s="13">
        <v>200.0</v>
      </c>
      <c r="I718" s="13">
        <v>7.0</v>
      </c>
      <c r="J718" s="13">
        <v>0.0</v>
      </c>
      <c r="K718" s="12" t="s">
        <v>21</v>
      </c>
      <c r="L718" s="7">
        <v>42053.30278935185</v>
      </c>
      <c r="M718" s="16"/>
      <c r="N718" s="14" t="s">
        <v>6238</v>
      </c>
      <c r="O718" s="11" t="str">
        <f>HYPERLINK("https://pbs.twimg.com/profile_images/568067400809984000/MXrq4e8A_normal.jpeg","View")</f>
        <v>View</v>
      </c>
      <c r="P718" s="15"/>
    </row>
    <row r="719">
      <c r="A719" s="7">
        <v>42422.47314814814</v>
      </c>
      <c r="B719" s="8" t="str">
        <f>HYPERLINK("https://twitter.com/webAnalyste","@webAnalyste")</f>
        <v>@webAnalyste</v>
      </c>
      <c r="C719" s="10" t="s">
        <v>7610</v>
      </c>
      <c r="D719" s="10" t="s">
        <v>7611</v>
      </c>
      <c r="E719" s="11" t="str">
        <f>HYPERLINK("https://twitter.com/webAnalyste/status/701849270882848768","701849270882848768")</f>
        <v>701849270882848768</v>
      </c>
      <c r="F719" s="12" t="s">
        <v>1573</v>
      </c>
      <c r="G719" s="13">
        <v>615.0</v>
      </c>
      <c r="H719" s="13">
        <v>399.0</v>
      </c>
      <c r="I719" s="13">
        <v>3.0</v>
      </c>
      <c r="J719" s="13">
        <v>0.0</v>
      </c>
      <c r="K719" s="12" t="s">
        <v>21</v>
      </c>
      <c r="L719" s="7">
        <v>41002.9633912037</v>
      </c>
      <c r="M719" s="14" t="s">
        <v>416</v>
      </c>
      <c r="N719" s="14" t="s">
        <v>7612</v>
      </c>
      <c r="O719" s="11" t="str">
        <f>HYPERLINK("https://pbs.twimg.com/profile_images/667208670560784384/TZNC6QFj_normal.png","View")</f>
        <v>View</v>
      </c>
      <c r="P719" s="15"/>
    </row>
    <row r="720">
      <c r="A720" s="7">
        <v>42422.474074074074</v>
      </c>
      <c r="B720" s="8" t="str">
        <f>HYPERLINK("https://twitter.com/AndreaCirilloAC","@AndreaCirilloAC")</f>
        <v>@AndreaCirilloAC</v>
      </c>
      <c r="C720" s="10" t="s">
        <v>7613</v>
      </c>
      <c r="D720" s="10" t="s">
        <v>7614</v>
      </c>
      <c r="E720" s="11" t="str">
        <f>HYPERLINK("https://twitter.com/AndreaCirilloAC/status/701849605022097408","701849605022097408")</f>
        <v>701849605022097408</v>
      </c>
      <c r="F720" s="12" t="s">
        <v>7615</v>
      </c>
      <c r="G720" s="13">
        <v>141.0</v>
      </c>
      <c r="H720" s="13">
        <v>91.0</v>
      </c>
      <c r="I720" s="13">
        <v>0.0</v>
      </c>
      <c r="J720" s="13">
        <v>2.0</v>
      </c>
      <c r="K720" s="12" t="s">
        <v>21</v>
      </c>
      <c r="L720" s="7">
        <v>40541.52856481481</v>
      </c>
      <c r="M720" s="14" t="s">
        <v>420</v>
      </c>
      <c r="N720" s="14" t="s">
        <v>7616</v>
      </c>
      <c r="O720" s="11" t="str">
        <f>HYPERLINK("https://pbs.twimg.com/profile_images/640813034697588737/zLd0ZG5c_normal.jpg","View")</f>
        <v>View</v>
      </c>
      <c r="P720" s="15"/>
    </row>
    <row r="721">
      <c r="A721" s="7">
        <v>42422.47420138889</v>
      </c>
      <c r="B721" s="8" t="str">
        <f>HYPERLINK("https://twitter.com/anuj8187","@anuj8187")</f>
        <v>@anuj8187</v>
      </c>
      <c r="C721" s="10" t="s">
        <v>7617</v>
      </c>
      <c r="D721" s="10" t="s">
        <v>7352</v>
      </c>
      <c r="E721" s="11" t="str">
        <f>HYPERLINK("https://twitter.com/anuj8187/status/701849653923348480","701849653923348480")</f>
        <v>701849653923348480</v>
      </c>
      <c r="F721" s="12" t="s">
        <v>152</v>
      </c>
      <c r="G721" s="13">
        <v>63.0</v>
      </c>
      <c r="H721" s="13">
        <v>139.0</v>
      </c>
      <c r="I721" s="13">
        <v>48.0</v>
      </c>
      <c r="J721" s="13">
        <v>0.0</v>
      </c>
      <c r="K721" s="12" t="s">
        <v>21</v>
      </c>
      <c r="L721" s="7">
        <v>40259.372199074074</v>
      </c>
      <c r="M721" s="16"/>
      <c r="N721" s="14" t="s">
        <v>7618</v>
      </c>
      <c r="O721" s="11" t="str">
        <f>HYPERLINK("https://pbs.twimg.com/profile_images/699683368871407621/adaxvDuC_normal.jpg","View")</f>
        <v>View</v>
      </c>
      <c r="P721" s="15"/>
    </row>
    <row r="722">
      <c r="A722" s="7">
        <v>42422.47791666667</v>
      </c>
      <c r="B722" s="8" t="str">
        <f>HYPERLINK("https://twitter.com/chipoglesby","@chipoglesby")</f>
        <v>@chipoglesby</v>
      </c>
      <c r="C722" s="10" t="s">
        <v>7619</v>
      </c>
      <c r="D722" s="10" t="s">
        <v>7620</v>
      </c>
      <c r="E722" s="11" t="str">
        <f>HYPERLINK("https://twitter.com/chipoglesby/status/701850997094617088","701850997094617088")</f>
        <v>701850997094617088</v>
      </c>
      <c r="F722" s="12" t="s">
        <v>20</v>
      </c>
      <c r="G722" s="13">
        <v>2032.0</v>
      </c>
      <c r="H722" s="13">
        <v>149.0</v>
      </c>
      <c r="I722" s="13">
        <v>0.0</v>
      </c>
      <c r="J722" s="13">
        <v>0.0</v>
      </c>
      <c r="K722" s="12" t="s">
        <v>21</v>
      </c>
      <c r="L722" s="7">
        <v>39464.01006944444</v>
      </c>
      <c r="M722" s="14" t="s">
        <v>7621</v>
      </c>
      <c r="N722" s="14" t="s">
        <v>7622</v>
      </c>
      <c r="O722" s="11" t="str">
        <f>HYPERLINK("https://pbs.twimg.com/profile_images/378800000426064884/59f670b596d2d01d161e1ab52292f391_normal.jpeg","View")</f>
        <v>View</v>
      </c>
      <c r="P722" s="15"/>
    </row>
    <row r="723">
      <c r="A723" s="7">
        <v>42422.47928240741</v>
      </c>
      <c r="B723" s="8" t="str">
        <f>HYPERLINK("https://twitter.com/Rbloggers","@Rbloggers")</f>
        <v>@Rbloggers</v>
      </c>
      <c r="C723" s="10" t="s">
        <v>6221</v>
      </c>
      <c r="D723" s="10" t="s">
        <v>7623</v>
      </c>
      <c r="E723" s="11" t="str">
        <f>HYPERLINK("https://twitter.com/Rbloggers/status/701851493767352320","701851493767352320")</f>
        <v>701851493767352320</v>
      </c>
      <c r="F723" s="17" t="s">
        <v>6223</v>
      </c>
      <c r="G723" s="13">
        <v>28572.0</v>
      </c>
      <c r="H723" s="13">
        <v>36.0</v>
      </c>
      <c r="I723" s="13">
        <v>4.0</v>
      </c>
      <c r="J723" s="13">
        <v>7.0</v>
      </c>
      <c r="K723" s="12" t="s">
        <v>21</v>
      </c>
      <c r="L723" s="7">
        <v>40314.510601851856</v>
      </c>
      <c r="M723" s="16"/>
      <c r="N723" s="14" t="s">
        <v>6224</v>
      </c>
      <c r="O723" s="11" t="str">
        <f>HYPERLINK("https://pbs.twimg.com/profile_images/502185985786916864/gkdFh-q7_normal.png","View")</f>
        <v>View</v>
      </c>
      <c r="P723" s="15"/>
    </row>
    <row r="724">
      <c r="A724" s="7">
        <v>42422.48563657407</v>
      </c>
      <c r="B724" s="8" t="str">
        <f>HYPERLINK("https://twitter.com/JeanGobin","@JeanGobin")</f>
        <v>@JeanGobin</v>
      </c>
      <c r="C724" s="10" t="s">
        <v>7624</v>
      </c>
      <c r="D724" s="10" t="s">
        <v>7547</v>
      </c>
      <c r="E724" s="11" t="str">
        <f>HYPERLINK("https://twitter.com/JeanGobin/status/701853795903533065","701853795903533065")</f>
        <v>701853795903533065</v>
      </c>
      <c r="F724" s="12" t="s">
        <v>152</v>
      </c>
      <c r="G724" s="13">
        <v>58.0</v>
      </c>
      <c r="H724" s="13">
        <v>213.0</v>
      </c>
      <c r="I724" s="13">
        <v>9.0</v>
      </c>
      <c r="J724" s="13">
        <v>0.0</v>
      </c>
      <c r="K724" s="12" t="s">
        <v>21</v>
      </c>
      <c r="L724" s="7">
        <v>40830.42508101852</v>
      </c>
      <c r="M724" s="14" t="s">
        <v>1018</v>
      </c>
      <c r="N724" s="14" t="s">
        <v>7625</v>
      </c>
      <c r="O724" s="11" t="str">
        <f>HYPERLINK("https://pbs.twimg.com/profile_images/1617142158/119238737_normal.jpg","View")</f>
        <v>View</v>
      </c>
      <c r="P724" s="15"/>
    </row>
    <row r="725">
      <c r="A725" s="7">
        <v>42422.48626157407</v>
      </c>
      <c r="B725" s="8" t="str">
        <f>HYPERLINK("https://twitter.com/nishantsbi","@nishantsbi")</f>
        <v>@nishantsbi</v>
      </c>
      <c r="C725" s="10" t="s">
        <v>7485</v>
      </c>
      <c r="D725" s="10" t="s">
        <v>7626</v>
      </c>
      <c r="E725" s="11" t="str">
        <f>HYPERLINK("https://twitter.com/nishantsbi/status/701854024354541569","701854024354541569")</f>
        <v>701854024354541569</v>
      </c>
      <c r="F725" s="12" t="s">
        <v>20</v>
      </c>
      <c r="G725" s="13">
        <v>159.0</v>
      </c>
      <c r="H725" s="13">
        <v>345.0</v>
      </c>
      <c r="I725" s="13">
        <v>4.0</v>
      </c>
      <c r="J725" s="13">
        <v>0.0</v>
      </c>
      <c r="K725" s="12" t="s">
        <v>21</v>
      </c>
      <c r="L725" s="7">
        <v>41936.94688657408</v>
      </c>
      <c r="M725" s="14" t="s">
        <v>7486</v>
      </c>
      <c r="N725" s="14" t="s">
        <v>7487</v>
      </c>
      <c r="O725" s="11" t="str">
        <f>HYPERLINK("https://pbs.twimg.com/profile_images/525885796109139968/FiOo7RSZ_normal.jpeg","View")</f>
        <v>View</v>
      </c>
      <c r="P725" s="15"/>
    </row>
    <row r="726">
      <c r="A726" s="7">
        <v>42422.48909722222</v>
      </c>
      <c r="B726" s="8" t="str">
        <f>HYPERLINK("https://twitter.com/TenspeedTom","@TenspeedTom")</f>
        <v>@TenspeedTom</v>
      </c>
      <c r="C726" s="10" t="s">
        <v>6462</v>
      </c>
      <c r="D726" s="10" t="s">
        <v>7627</v>
      </c>
      <c r="E726" s="11" t="str">
        <f>HYPERLINK("https://twitter.com/TenspeedTom/status/701855050545688576","701855050545688576")</f>
        <v>701855050545688576</v>
      </c>
      <c r="F726" s="12" t="s">
        <v>20</v>
      </c>
      <c r="G726" s="13">
        <v>23.0</v>
      </c>
      <c r="H726" s="13">
        <v>124.0</v>
      </c>
      <c r="I726" s="13">
        <v>0.0</v>
      </c>
      <c r="J726" s="13">
        <v>0.0</v>
      </c>
      <c r="K726" s="12" t="s">
        <v>21</v>
      </c>
      <c r="L726" s="7">
        <v>40764.64408564815</v>
      </c>
      <c r="M726" s="14" t="s">
        <v>7628</v>
      </c>
      <c r="N726" s="14" t="s">
        <v>7629</v>
      </c>
      <c r="O726" s="11" t="str">
        <f>HYPERLINK("https://pbs.twimg.com/profile_images/3517128608/a1f65059c2d06b02e5f0f61ecf303d51_normal.jpeg","View")</f>
        <v>View</v>
      </c>
      <c r="P726" s="15"/>
    </row>
    <row r="727">
      <c r="A727" s="7">
        <v>42422.48998842592</v>
      </c>
      <c r="B727" s="8" t="str">
        <f>HYPERLINK("https://twitter.com/juldata","@juldata")</f>
        <v>@juldata</v>
      </c>
      <c r="C727" s="10" t="s">
        <v>7630</v>
      </c>
      <c r="D727" s="10" t="s">
        <v>7352</v>
      </c>
      <c r="E727" s="11" t="str">
        <f>HYPERLINK("https://twitter.com/juldata/status/701855373070835715","701855373070835715")</f>
        <v>701855373070835715</v>
      </c>
      <c r="F727" s="12" t="s">
        <v>52</v>
      </c>
      <c r="G727" s="13">
        <v>40.0</v>
      </c>
      <c r="H727" s="13">
        <v>123.0</v>
      </c>
      <c r="I727" s="13">
        <v>48.0</v>
      </c>
      <c r="J727" s="13">
        <v>0.0</v>
      </c>
      <c r="K727" s="12" t="s">
        <v>21</v>
      </c>
      <c r="L727" s="7">
        <v>41957.01960648148</v>
      </c>
      <c r="M727" s="14" t="s">
        <v>416</v>
      </c>
      <c r="N727" s="14" t="s">
        <v>7631</v>
      </c>
      <c r="O727" s="11" t="str">
        <f>HYPERLINK("https://pbs.twimg.com/profile_images/533180128117784576/UPyZEaE-_normal.png","View")</f>
        <v>View</v>
      </c>
      <c r="P727" s="15"/>
    </row>
    <row r="728">
      <c r="A728" s="7">
        <v>42422.49016203704</v>
      </c>
      <c r="B728" s="8" t="str">
        <f>HYPERLINK("https://twitter.com/teektweets","@teektweets")</f>
        <v>@teektweets</v>
      </c>
      <c r="C728" s="10" t="s">
        <v>7632</v>
      </c>
      <c r="D728" s="10" t="s">
        <v>7352</v>
      </c>
      <c r="E728" s="11" t="str">
        <f>HYPERLINK("https://twitter.com/teektweets/status/701855437302456320","701855437302456320")</f>
        <v>701855437302456320</v>
      </c>
      <c r="F728" s="12" t="s">
        <v>1573</v>
      </c>
      <c r="G728" s="13">
        <v>23.0</v>
      </c>
      <c r="H728" s="13">
        <v>82.0</v>
      </c>
      <c r="I728" s="13">
        <v>48.0</v>
      </c>
      <c r="J728" s="13">
        <v>0.0</v>
      </c>
      <c r="K728" s="12" t="s">
        <v>21</v>
      </c>
      <c r="L728" s="7">
        <v>41956.68460648148</v>
      </c>
      <c r="M728" s="16"/>
      <c r="N728" s="14" t="s">
        <v>7633</v>
      </c>
      <c r="O728" s="11" t="str">
        <f>HYPERLINK("https://pbs.twimg.com/profile_images/647854263670980608/whCFnEPV_normal.jpg","View")</f>
        <v>View</v>
      </c>
      <c r="P728" s="15"/>
    </row>
    <row r="729">
      <c r="A729" s="7">
        <v>42422.4919212963</v>
      </c>
      <c r="B729" s="8" t="str">
        <f>HYPERLINK("https://twitter.com/bhaskar_vk","@bhaskar_vk")</f>
        <v>@bhaskar_vk</v>
      </c>
      <c r="C729" s="10" t="s">
        <v>7634</v>
      </c>
      <c r="D729" s="10" t="s">
        <v>7635</v>
      </c>
      <c r="E729" s="11" t="str">
        <f>HYPERLINK("https://twitter.com/bhaskar_vk/status/701856075302182912","701856075302182912")</f>
        <v>701856075302182912</v>
      </c>
      <c r="F729" s="12" t="s">
        <v>20</v>
      </c>
      <c r="G729" s="13">
        <v>768.0</v>
      </c>
      <c r="H729" s="13">
        <v>2215.0</v>
      </c>
      <c r="I729" s="13">
        <v>5.0</v>
      </c>
      <c r="J729" s="13">
        <v>5.0</v>
      </c>
      <c r="K729" s="12" t="s">
        <v>21</v>
      </c>
      <c r="L729" s="7">
        <v>41040.30097222222</v>
      </c>
      <c r="M729" s="14" t="s">
        <v>5287</v>
      </c>
      <c r="N729" s="14" t="s">
        <v>7636</v>
      </c>
      <c r="O729" s="11" t="str">
        <f>HYPERLINK("https://pbs.twimg.com/profile_images/3654916643/41e86ccffc771868940fb53a41c3b712_normal.jpeg","View")</f>
        <v>View</v>
      </c>
      <c r="P729" s="15"/>
    </row>
    <row r="730">
      <c r="A730" s="7">
        <v>42422.49667824074</v>
      </c>
      <c r="B730" s="8" t="str">
        <f>HYPERLINK("https://twitter.com/BawnMatt","@BawnMatt")</f>
        <v>@BawnMatt</v>
      </c>
      <c r="C730" s="10" t="s">
        <v>7637</v>
      </c>
      <c r="D730" s="10" t="s">
        <v>7638</v>
      </c>
      <c r="E730" s="11" t="str">
        <f>HYPERLINK("https://twitter.com/BawnMatt/status/701857799630888961","701857799630888961")</f>
        <v>701857799630888961</v>
      </c>
      <c r="F730" s="12" t="s">
        <v>152</v>
      </c>
      <c r="G730" s="13">
        <v>75.0</v>
      </c>
      <c r="H730" s="13">
        <v>158.0</v>
      </c>
      <c r="I730" s="13">
        <v>0.0</v>
      </c>
      <c r="J730" s="13">
        <v>0.0</v>
      </c>
      <c r="K730" s="12" t="s">
        <v>21</v>
      </c>
      <c r="L730" s="7">
        <v>41396.35667824074</v>
      </c>
      <c r="M730" s="14" t="s">
        <v>7639</v>
      </c>
      <c r="N730" s="14" t="s">
        <v>7640</v>
      </c>
      <c r="O730" s="11" t="str">
        <f>HYPERLINK("https://pbs.twimg.com/profile_images/462772097593245696/Cr6fAyMs_normal.jpeg","View")</f>
        <v>View</v>
      </c>
      <c r="P730" s="15"/>
    </row>
    <row r="731">
      <c r="A731" s="7">
        <v>42422.49674768519</v>
      </c>
      <c r="B731" s="8" t="str">
        <f>HYPERLINK("https://twitter.com/josvandongen","@josvandongen")</f>
        <v>@josvandongen</v>
      </c>
      <c r="C731" s="10" t="s">
        <v>7641</v>
      </c>
      <c r="D731" s="10" t="s">
        <v>7642</v>
      </c>
      <c r="E731" s="11" t="str">
        <f>HYPERLINK("https://twitter.com/josvandongen/status/701857822674386946","701857822674386946")</f>
        <v>701857822674386946</v>
      </c>
      <c r="F731" s="12" t="s">
        <v>659</v>
      </c>
      <c r="G731" s="13">
        <v>2728.0</v>
      </c>
      <c r="H731" s="13">
        <v>624.0</v>
      </c>
      <c r="I731" s="13">
        <v>1.0</v>
      </c>
      <c r="J731" s="13">
        <v>0.0</v>
      </c>
      <c r="K731" s="12" t="s">
        <v>21</v>
      </c>
      <c r="L731" s="7">
        <v>39806.30954861111</v>
      </c>
      <c r="M731" s="14" t="s">
        <v>7643</v>
      </c>
      <c r="N731" s="14" t="s">
        <v>7644</v>
      </c>
      <c r="O731" s="11" t="str">
        <f>HYPERLINK("https://pbs.twimg.com/profile_images/673601007851585538/2ZyJjgkY_normal.jpg","View")</f>
        <v>View</v>
      </c>
      <c r="P731" s="15"/>
    </row>
    <row r="732">
      <c r="A732" s="7">
        <v>42422.49976851852</v>
      </c>
      <c r="B732" s="8" t="str">
        <f>HYPERLINK("https://twitter.com/hrbrmstr","@hrbrmstr")</f>
        <v>@hrbrmstr</v>
      </c>
      <c r="C732" s="10" t="s">
        <v>7276</v>
      </c>
      <c r="D732" s="10" t="s">
        <v>7645</v>
      </c>
      <c r="E732" s="11" t="str">
        <f>HYPERLINK("https://twitter.com/hrbrmstr/status/701858918465720320","701858918465720320")</f>
        <v>701858918465720320</v>
      </c>
      <c r="F732" s="12" t="s">
        <v>659</v>
      </c>
      <c r="G732" s="13">
        <v>6135.0</v>
      </c>
      <c r="H732" s="13">
        <v>2926.0</v>
      </c>
      <c r="I732" s="13">
        <v>0.0</v>
      </c>
      <c r="J732" s="13">
        <v>4.0</v>
      </c>
      <c r="K732" s="12" t="s">
        <v>21</v>
      </c>
      <c r="L732" s="7">
        <v>39203.29472222222</v>
      </c>
      <c r="M732" s="14" t="s">
        <v>7278</v>
      </c>
      <c r="N732" s="14" t="s">
        <v>7279</v>
      </c>
      <c r="O732" s="11" t="str">
        <f>HYPERLINK("https://pbs.twimg.com/profile_images/557592259298729985/kpCUQWH1_normal.png","View")</f>
        <v>View</v>
      </c>
      <c r="P732" s="15"/>
    </row>
    <row r="733">
      <c r="A733" s="7">
        <v>42422.503009259264</v>
      </c>
      <c r="B733" s="8" t="str">
        <f>HYPERLINK("https://twitter.com/mgwhitfield","@mgwhitfield")</f>
        <v>@mgwhitfield</v>
      </c>
      <c r="C733" s="10" t="s">
        <v>7213</v>
      </c>
      <c r="D733" s="10" t="s">
        <v>7352</v>
      </c>
      <c r="E733" s="11" t="str">
        <f>HYPERLINK("https://twitter.com/mgwhitfield/status/701860092812075014","701860092812075014")</f>
        <v>701860092812075014</v>
      </c>
      <c r="F733" s="12" t="s">
        <v>152</v>
      </c>
      <c r="G733" s="13">
        <v>639.0</v>
      </c>
      <c r="H733" s="13">
        <v>585.0</v>
      </c>
      <c r="I733" s="13">
        <v>48.0</v>
      </c>
      <c r="J733" s="13">
        <v>0.0</v>
      </c>
      <c r="K733" s="12" t="s">
        <v>21</v>
      </c>
      <c r="L733" s="7">
        <v>40150.08924768519</v>
      </c>
      <c r="M733" s="14" t="s">
        <v>7214</v>
      </c>
      <c r="N733" s="14" t="s">
        <v>7215</v>
      </c>
      <c r="O733" s="11" t="str">
        <f>HYPERLINK("https://pbs.twimg.com/profile_images/583286350151098368/5H4-zEen_normal.jpg","View")</f>
        <v>View</v>
      </c>
      <c r="P733" s="15"/>
    </row>
    <row r="734">
      <c r="A734" s="7">
        <v>42422.50393518519</v>
      </c>
      <c r="B734" s="8" t="str">
        <f>HYPERLINK("https://twitter.com/PD_value","@PD_value")</f>
        <v>@PD_value</v>
      </c>
      <c r="C734" s="10" t="s">
        <v>7646</v>
      </c>
      <c r="D734" s="10" t="s">
        <v>6319</v>
      </c>
      <c r="E734" s="11" t="str">
        <f>HYPERLINK("https://twitter.com/PD_value/status/701860425659510784","701860425659510784")</f>
        <v>701860425659510784</v>
      </c>
      <c r="F734" s="12" t="s">
        <v>52</v>
      </c>
      <c r="G734" s="13">
        <v>54.0</v>
      </c>
      <c r="H734" s="13">
        <v>103.0</v>
      </c>
      <c r="I734" s="13">
        <v>106.0</v>
      </c>
      <c r="J734" s="13">
        <v>0.0</v>
      </c>
      <c r="K734" s="12" t="s">
        <v>21</v>
      </c>
      <c r="L734" s="7">
        <v>41823.70475694444</v>
      </c>
      <c r="M734" s="16"/>
      <c r="N734" s="14" t="s">
        <v>7647</v>
      </c>
      <c r="O734" s="11" t="str">
        <f>HYPERLINK("https://pbs.twimg.com/profile_images/494978993955696640/pdaFKe7-_normal.png","View")</f>
        <v>View</v>
      </c>
      <c r="P734" s="15"/>
    </row>
    <row r="735">
      <c r="A735" s="7">
        <v>42422.50539351851</v>
      </c>
      <c r="B735" s="8" t="str">
        <f>HYPERLINK("https://twitter.com/revodavid","@revodavid")</f>
        <v>@revodavid</v>
      </c>
      <c r="C735" s="10" t="s">
        <v>7648</v>
      </c>
      <c r="D735" s="10" t="s">
        <v>7649</v>
      </c>
      <c r="E735" s="11" t="str">
        <f>HYPERLINK("https://twitter.com/revodavid/status/701860957920702464","701860957920702464")</f>
        <v>701860957920702464</v>
      </c>
      <c r="F735" s="12" t="s">
        <v>446</v>
      </c>
      <c r="G735" s="13">
        <v>18983.0</v>
      </c>
      <c r="H735" s="13">
        <v>1103.0</v>
      </c>
      <c r="I735" s="13">
        <v>2.0</v>
      </c>
      <c r="J735" s="13">
        <v>7.0</v>
      </c>
      <c r="K735" s="12" t="s">
        <v>21</v>
      </c>
      <c r="L735" s="7">
        <v>39926.45226851852</v>
      </c>
      <c r="M735" s="14" t="s">
        <v>1158</v>
      </c>
      <c r="N735" s="14" t="s">
        <v>7650</v>
      </c>
      <c r="O735" s="11" t="str">
        <f>HYPERLINK("https://pbs.twimg.com/profile_images/580043996723974144/_Oyvwa9c_normal.jpg","View")</f>
        <v>View</v>
      </c>
      <c r="P735" s="15"/>
    </row>
    <row r="736">
      <c r="A736" s="7">
        <v>42422.50733796296</v>
      </c>
      <c r="B736" s="8" t="str">
        <f>HYPERLINK("https://twitter.com/TheRedZoneCIO","@TheRedZoneCIO")</f>
        <v>@TheRedZoneCIO</v>
      </c>
      <c r="C736" s="10" t="s">
        <v>7651</v>
      </c>
      <c r="D736" s="10" t="s">
        <v>7652</v>
      </c>
      <c r="E736" s="11" t="str">
        <f>HYPERLINK("https://twitter.com/TheRedZoneCIO/status/701861658885541888","701861658885541888")</f>
        <v>701861658885541888</v>
      </c>
      <c r="F736" s="12" t="s">
        <v>659</v>
      </c>
      <c r="G736" s="13">
        <v>1062.0</v>
      </c>
      <c r="H736" s="13">
        <v>1546.0</v>
      </c>
      <c r="I736" s="13">
        <v>0.0</v>
      </c>
      <c r="J736" s="13">
        <v>1.0</v>
      </c>
      <c r="K736" s="12" t="s">
        <v>21</v>
      </c>
      <c r="L736" s="7">
        <v>40430.45984953704</v>
      </c>
      <c r="M736" s="14" t="s">
        <v>7653</v>
      </c>
      <c r="N736" s="14" t="s">
        <v>7654</v>
      </c>
      <c r="O736" s="11" t="str">
        <f>HYPERLINK("https://pbs.twimg.com/profile_images/581432198454222848/IARQZ5DD_normal.jpg","View")</f>
        <v>View</v>
      </c>
      <c r="P736" s="15"/>
    </row>
    <row r="737">
      <c r="A737" s="7">
        <v>42422.50790509259</v>
      </c>
      <c r="B737" s="8" t="str">
        <f>HYPERLINK("https://twitter.com/ismael_vc","@ismael_vc")</f>
        <v>@ismael_vc</v>
      </c>
      <c r="C737" s="10" t="s">
        <v>1788</v>
      </c>
      <c r="D737" s="10" t="s">
        <v>7655</v>
      </c>
      <c r="E737" s="11" t="str">
        <f>HYPERLINK("https://twitter.com/ismael_vc/status/701861865098313728","701861865098313728")</f>
        <v>701861865098313728</v>
      </c>
      <c r="F737" s="12" t="s">
        <v>446</v>
      </c>
      <c r="G737" s="13">
        <v>519.0</v>
      </c>
      <c r="H737" s="13">
        <v>4278.0</v>
      </c>
      <c r="I737" s="13">
        <v>5.0</v>
      </c>
      <c r="J737" s="13">
        <v>0.0</v>
      </c>
      <c r="K737" s="12" t="s">
        <v>21</v>
      </c>
      <c r="L737" s="7">
        <v>41181.33966435185</v>
      </c>
      <c r="M737" s="14" t="s">
        <v>1789</v>
      </c>
      <c r="N737" s="14" t="s">
        <v>1790</v>
      </c>
      <c r="O737" s="11" t="str">
        <f>HYPERLINK("https://pbs.twimg.com/profile_images/643074023430057984/Oh7q-TYL_normal.jpg","View")</f>
        <v>View</v>
      </c>
      <c r="P737" s="15"/>
    </row>
    <row r="738">
      <c r="A738" s="7">
        <v>42422.50790509259</v>
      </c>
      <c r="B738" s="8" t="str">
        <f>HYPERLINK("https://twitter.com/JuliaLanguage","@JuliaLanguage")</f>
        <v>@JuliaLanguage</v>
      </c>
      <c r="C738" s="10" t="s">
        <v>1785</v>
      </c>
      <c r="D738" s="10" t="s">
        <v>7655</v>
      </c>
      <c r="E738" s="11" t="str">
        <f>HYPERLINK("https://twitter.com/JuliaLanguage/status/701861865115090944","701861865115090944")</f>
        <v>701861865115090944</v>
      </c>
      <c r="F738" s="12" t="s">
        <v>446</v>
      </c>
      <c r="G738" s="13">
        <v>3051.0</v>
      </c>
      <c r="H738" s="13">
        <v>336.0</v>
      </c>
      <c r="I738" s="13">
        <v>5.0</v>
      </c>
      <c r="J738" s="13">
        <v>0.0</v>
      </c>
      <c r="K738" s="12" t="s">
        <v>21</v>
      </c>
      <c r="L738" s="7">
        <v>41335.85346064815</v>
      </c>
      <c r="M738" s="14" t="s">
        <v>1786</v>
      </c>
      <c r="N738" s="14" t="s">
        <v>1787</v>
      </c>
      <c r="O738" s="11" t="str">
        <f>HYPERLINK("https://pbs.twimg.com/profile_images/3331406046/647b7cf75cb5662b96901bc521968e94_normal.png","View")</f>
        <v>View</v>
      </c>
      <c r="P738" s="15"/>
    </row>
    <row r="739">
      <c r="A739" s="7">
        <v>42422.50790509259</v>
      </c>
      <c r="B739" s="8" t="str">
        <f>HYPERLINK("https://twitter.com/JuliaLangsEs","@JuliaLangsEs")</f>
        <v>@JuliaLangsEs</v>
      </c>
      <c r="C739" s="10" t="s">
        <v>1781</v>
      </c>
      <c r="D739" s="10" t="s">
        <v>7655</v>
      </c>
      <c r="E739" s="11" t="str">
        <f>HYPERLINK("https://twitter.com/JuliaLangsEs/status/701861865136066560","701861865136066560")</f>
        <v>701861865136066560</v>
      </c>
      <c r="F739" s="12" t="s">
        <v>446</v>
      </c>
      <c r="G739" s="13">
        <v>204.0</v>
      </c>
      <c r="H739" s="13">
        <v>582.0</v>
      </c>
      <c r="I739" s="13">
        <v>5.0</v>
      </c>
      <c r="J739" s="13">
        <v>0.0</v>
      </c>
      <c r="K739" s="12" t="s">
        <v>21</v>
      </c>
      <c r="L739" s="7">
        <v>42178.59483796296</v>
      </c>
      <c r="M739" s="14" t="s">
        <v>1783</v>
      </c>
      <c r="N739" s="14" t="s">
        <v>1784</v>
      </c>
      <c r="O739" s="11" t="str">
        <f>HYPERLINK("https://pbs.twimg.com/profile_images/613456073979092992/1Bd3LSz1_normal.png","View")</f>
        <v>View</v>
      </c>
      <c r="P739" s="15"/>
    </row>
    <row r="740">
      <c r="A740" s="7">
        <v>42422.50837962963</v>
      </c>
      <c r="B740" s="8" t="str">
        <f>HYPERLINK("https://twitter.com/ayirpelle","@ayirpelle")</f>
        <v>@ayirpelle</v>
      </c>
      <c r="C740" s="10" t="s">
        <v>5607</v>
      </c>
      <c r="D740" s="10" t="s">
        <v>7656</v>
      </c>
      <c r="E740" s="11" t="str">
        <f>HYPERLINK("https://twitter.com/ayirpelle/status/701862037601669120","701862037601669120")</f>
        <v>701862037601669120</v>
      </c>
      <c r="F740" s="12" t="s">
        <v>52</v>
      </c>
      <c r="G740" s="13">
        <v>1327.0</v>
      </c>
      <c r="H740" s="13">
        <v>2069.0</v>
      </c>
      <c r="I740" s="13">
        <v>2.0</v>
      </c>
      <c r="J740" s="13">
        <v>0.0</v>
      </c>
      <c r="K740" s="12" t="s">
        <v>21</v>
      </c>
      <c r="L740" s="7">
        <v>40959.997881944444</v>
      </c>
      <c r="M740" s="14" t="s">
        <v>3391</v>
      </c>
      <c r="N740" s="14" t="s">
        <v>5608</v>
      </c>
      <c r="O740" s="11" t="str">
        <f>HYPERLINK("https://pbs.twimg.com/profile_images/412126192150401024/BGjaQNXk_normal.jpeg","View")</f>
        <v>View</v>
      </c>
      <c r="P740" s="15"/>
    </row>
    <row r="741">
      <c r="A741" s="7">
        <v>42422.509363425925</v>
      </c>
      <c r="B741" s="8" t="str">
        <f t="shared" ref="B741:B742" si="99">HYPERLINK("https://twitter.com/MeganAHJones","@MeganAHJones")</f>
        <v>@MeganAHJones</v>
      </c>
      <c r="C741" s="10" t="s">
        <v>7657</v>
      </c>
      <c r="D741" s="10" t="s">
        <v>7658</v>
      </c>
      <c r="E741" s="11" t="str">
        <f>HYPERLINK("https://twitter.com/MeganAHJones/status/701862393048006657","701862393048006657")</f>
        <v>701862393048006657</v>
      </c>
      <c r="F741" s="12" t="s">
        <v>20</v>
      </c>
      <c r="G741" s="13">
        <v>45.0</v>
      </c>
      <c r="H741" s="13">
        <v>80.0</v>
      </c>
      <c r="I741" s="13">
        <v>1.0</v>
      </c>
      <c r="J741" s="13">
        <v>0.0</v>
      </c>
      <c r="K741" s="12" t="s">
        <v>21</v>
      </c>
      <c r="L741" s="7">
        <v>42294.82708333334</v>
      </c>
      <c r="M741" s="14" t="s">
        <v>7659</v>
      </c>
      <c r="N741" s="14" t="s">
        <v>7660</v>
      </c>
      <c r="O741" s="11" t="str">
        <f t="shared" ref="O741:O742" si="100">HYPERLINK("https://pbs.twimg.com/profile_images/655582469412945921/40vMBN12_normal.jpg","View")</f>
        <v>View</v>
      </c>
      <c r="P741" s="15"/>
    </row>
    <row r="742">
      <c r="A742" s="7">
        <v>42422.50944444444</v>
      </c>
      <c r="B742" s="8" t="str">
        <f t="shared" si="99"/>
        <v>@MeganAHJones</v>
      </c>
      <c r="C742" s="10" t="s">
        <v>7657</v>
      </c>
      <c r="D742" s="10" t="s">
        <v>7661</v>
      </c>
      <c r="E742" s="11" t="str">
        <f>HYPERLINK("https://twitter.com/MeganAHJones/status/701862422919778304","701862422919778304")</f>
        <v>701862422919778304</v>
      </c>
      <c r="F742" s="12" t="s">
        <v>20</v>
      </c>
      <c r="G742" s="13">
        <v>45.0</v>
      </c>
      <c r="H742" s="13">
        <v>80.0</v>
      </c>
      <c r="I742" s="13">
        <v>10.0</v>
      </c>
      <c r="J742" s="13">
        <v>0.0</v>
      </c>
      <c r="K742" s="12" t="s">
        <v>21</v>
      </c>
      <c r="L742" s="7">
        <v>42294.82708333334</v>
      </c>
      <c r="M742" s="14" t="s">
        <v>7659</v>
      </c>
      <c r="N742" s="14" t="s">
        <v>7660</v>
      </c>
      <c r="O742" s="11" t="str">
        <f t="shared" si="100"/>
        <v>View</v>
      </c>
      <c r="P742" s="15"/>
    </row>
    <row r="743">
      <c r="A743" s="7">
        <v>42422.50965277778</v>
      </c>
      <c r="B743" s="8" t="str">
        <f>HYPERLINK("https://twitter.com/CRANberriesFeed","@CRANberriesFeed")</f>
        <v>@CRANberriesFeed</v>
      </c>
      <c r="C743" s="10" t="s">
        <v>6282</v>
      </c>
      <c r="D743" s="10" t="s">
        <v>7662</v>
      </c>
      <c r="E743" s="11" t="str">
        <f>HYPERLINK("https://twitter.com/CRANberriesFeed/status/701862500774649857","701862500774649857")</f>
        <v>701862500774649857</v>
      </c>
      <c r="F743" s="12" t="s">
        <v>6284</v>
      </c>
      <c r="G743" s="13">
        <v>657.0</v>
      </c>
      <c r="H743" s="13">
        <v>0.0</v>
      </c>
      <c r="I743" s="13">
        <v>0.0</v>
      </c>
      <c r="J743" s="13">
        <v>0.0</v>
      </c>
      <c r="K743" s="12" t="s">
        <v>21</v>
      </c>
      <c r="L743" s="7">
        <v>40546.353425925925</v>
      </c>
      <c r="M743" s="14" t="s">
        <v>1158</v>
      </c>
      <c r="N743" s="16"/>
      <c r="O743" s="11" t="str">
        <f>HYPERLINK("https://pbs.twimg.com/profile_images/1222779560/cran1_normal.jpg","View")</f>
        <v>View</v>
      </c>
      <c r="P743" s="15"/>
    </row>
    <row r="744">
      <c r="A744" s="7">
        <v>42422.509675925925</v>
      </c>
      <c r="B744" s="8" t="str">
        <f>HYPERLINK("https://twitter.com/Pvalsfr","@Pvalsfr")</f>
        <v>@Pvalsfr</v>
      </c>
      <c r="C744" s="10" t="s">
        <v>771</v>
      </c>
      <c r="D744" s="10" t="s">
        <v>7626</v>
      </c>
      <c r="E744" s="11" t="str">
        <f>HYPERLINK("https://twitter.com/Pvalsfr/status/701862507519066113","701862507519066113")</f>
        <v>701862507519066113</v>
      </c>
      <c r="F744" s="12" t="s">
        <v>152</v>
      </c>
      <c r="G744" s="13">
        <v>1044.0</v>
      </c>
      <c r="H744" s="13">
        <v>1081.0</v>
      </c>
      <c r="I744" s="13">
        <v>4.0</v>
      </c>
      <c r="J744" s="13">
        <v>0.0</v>
      </c>
      <c r="K744" s="12" t="s">
        <v>21</v>
      </c>
      <c r="L744" s="7">
        <v>40867.68900462963</v>
      </c>
      <c r="M744" s="16"/>
      <c r="N744" s="16"/>
      <c r="O744" s="11" t="str">
        <f>HYPERLINK("https://abs.twimg.com/sticky/default_profile_images/default_profile_4_normal.png","View")</f>
        <v>View</v>
      </c>
      <c r="P744" s="15"/>
    </row>
    <row r="745">
      <c r="A745" s="7">
        <v>42422.5096875</v>
      </c>
      <c r="B745" s="8" t="str">
        <f>HYPERLINK("https://twitter.com/CRANberriesFeed","@CRANberriesFeed")</f>
        <v>@CRANberriesFeed</v>
      </c>
      <c r="C745" s="10" t="s">
        <v>6282</v>
      </c>
      <c r="D745" s="10" t="s">
        <v>7663</v>
      </c>
      <c r="E745" s="11" t="str">
        <f>HYPERLINK("https://twitter.com/CRANberriesFeed/status/701862510845108224","701862510845108224")</f>
        <v>701862510845108224</v>
      </c>
      <c r="F745" s="12" t="s">
        <v>6284</v>
      </c>
      <c r="G745" s="13">
        <v>657.0</v>
      </c>
      <c r="H745" s="13">
        <v>0.0</v>
      </c>
      <c r="I745" s="13">
        <v>0.0</v>
      </c>
      <c r="J745" s="13">
        <v>0.0</v>
      </c>
      <c r="K745" s="12" t="s">
        <v>21</v>
      </c>
      <c r="L745" s="7">
        <v>40546.353425925925</v>
      </c>
      <c r="M745" s="14" t="s">
        <v>1158</v>
      </c>
      <c r="N745" s="16"/>
      <c r="O745" s="11" t="str">
        <f>HYPERLINK("https://pbs.twimg.com/profile_images/1222779560/cran1_normal.jpg","View")</f>
        <v>View</v>
      </c>
      <c r="P745" s="15"/>
    </row>
    <row r="746">
      <c r="A746" s="7">
        <v>42422.511817129634</v>
      </c>
      <c r="B746" s="8" t="str">
        <f>HYPERLINK("https://twitter.com/homeAIinfo","@homeAIinfo")</f>
        <v>@homeAIinfo</v>
      </c>
      <c r="C746" s="10" t="s">
        <v>36</v>
      </c>
      <c r="D746" s="10" t="s">
        <v>7626</v>
      </c>
      <c r="E746" s="11" t="str">
        <f>HYPERLINK("https://twitter.com/homeAIinfo/status/701863285512085506","701863285512085506")</f>
        <v>701863285512085506</v>
      </c>
      <c r="F746" s="12" t="s">
        <v>38</v>
      </c>
      <c r="G746" s="13">
        <v>52868.0</v>
      </c>
      <c r="H746" s="13">
        <v>1328.0</v>
      </c>
      <c r="I746" s="13">
        <v>4.0</v>
      </c>
      <c r="J746" s="13">
        <v>0.0</v>
      </c>
      <c r="K746" s="12" t="s">
        <v>21</v>
      </c>
      <c r="L746" s="7">
        <v>42133.34662037037</v>
      </c>
      <c r="M746" s="14" t="s">
        <v>39</v>
      </c>
      <c r="N746" s="14" t="s">
        <v>40</v>
      </c>
      <c r="O746" s="11" t="str">
        <f>HYPERLINK("https://pbs.twimg.com/profile_images/645650110374936580/-oQakt8x_normal.png","View")</f>
        <v>View</v>
      </c>
      <c r="P746" s="15"/>
    </row>
    <row r="747">
      <c r="A747" s="7">
        <v>42422.512337962966</v>
      </c>
      <c r="B747" s="8" t="str">
        <f>HYPERLINK("https://twitter.com/HomesAtMetacoda","@HomesAtMetacoda")</f>
        <v>@HomesAtMetacoda</v>
      </c>
      <c r="C747" s="10" t="s">
        <v>7664</v>
      </c>
      <c r="D747" s="10" t="s">
        <v>7665</v>
      </c>
      <c r="E747" s="11" t="str">
        <f>HYPERLINK("https://twitter.com/HomesAtMetacoda/status/701863474071101440","701863474071101440")</f>
        <v>701863474071101440</v>
      </c>
      <c r="F747" s="12" t="s">
        <v>1573</v>
      </c>
      <c r="G747" s="13">
        <v>2007.0</v>
      </c>
      <c r="H747" s="13">
        <v>1855.0</v>
      </c>
      <c r="I747" s="13">
        <v>1.0</v>
      </c>
      <c r="J747" s="13">
        <v>0.0</v>
      </c>
      <c r="K747" s="12" t="s">
        <v>21</v>
      </c>
      <c r="L747" s="7">
        <v>40609.69113425926</v>
      </c>
      <c r="M747" s="14" t="s">
        <v>7666</v>
      </c>
      <c r="N747" s="14" t="s">
        <v>7667</v>
      </c>
      <c r="O747" s="11" t="str">
        <f>HYPERLINK("https://pbs.twimg.com/profile_images/3469574231/b9d3349104dedfa4f45e25881f56e4fa_normal.jpeg","View")</f>
        <v>View</v>
      </c>
      <c r="P747" s="15"/>
    </row>
    <row r="748">
      <c r="A748" s="7">
        <v>42422.51252314815</v>
      </c>
      <c r="B748" s="8" t="str">
        <f>HYPERLINK("https://twitter.com/Pvalsfr","@Pvalsfr")</f>
        <v>@Pvalsfr</v>
      </c>
      <c r="C748" s="10" t="s">
        <v>771</v>
      </c>
      <c r="D748" s="10" t="s">
        <v>7611</v>
      </c>
      <c r="E748" s="11" t="str">
        <f>HYPERLINK("https://twitter.com/Pvalsfr/status/701863539783368704","701863539783368704")</f>
        <v>701863539783368704</v>
      </c>
      <c r="F748" s="12" t="s">
        <v>152</v>
      </c>
      <c r="G748" s="13">
        <v>1044.0</v>
      </c>
      <c r="H748" s="13">
        <v>1081.0</v>
      </c>
      <c r="I748" s="13">
        <v>3.0</v>
      </c>
      <c r="J748" s="13">
        <v>0.0</v>
      </c>
      <c r="K748" s="12" t="s">
        <v>21</v>
      </c>
      <c r="L748" s="7">
        <v>40867.68900462963</v>
      </c>
      <c r="M748" s="16"/>
      <c r="N748" s="16"/>
      <c r="O748" s="11" t="str">
        <f>HYPERLINK("https://abs.twimg.com/sticky/default_profile_images/default_profile_4_normal.png","View")</f>
        <v>View</v>
      </c>
      <c r="P748" s="15"/>
    </row>
    <row r="749">
      <c r="A749" s="7">
        <v>42422.51305555555</v>
      </c>
      <c r="B749" s="8" t="str">
        <f t="shared" ref="B749:B750" si="101">HYPERLINK("https://twitter.com/bigboardsio","@bigboardsio")</f>
        <v>@bigboardsio</v>
      </c>
      <c r="C749" s="10" t="s">
        <v>5651</v>
      </c>
      <c r="D749" s="10" t="s">
        <v>7611</v>
      </c>
      <c r="E749" s="11" t="str">
        <f>HYPERLINK("https://twitter.com/bigboardsio/status/701863732541005826","701863732541005826")</f>
        <v>701863732541005826</v>
      </c>
      <c r="F749" s="12" t="s">
        <v>38</v>
      </c>
      <c r="G749" s="13">
        <v>3089.0</v>
      </c>
      <c r="H749" s="13">
        <v>2635.0</v>
      </c>
      <c r="I749" s="13">
        <v>3.0</v>
      </c>
      <c r="J749" s="13">
        <v>0.0</v>
      </c>
      <c r="K749" s="12" t="s">
        <v>21</v>
      </c>
      <c r="L749" s="7">
        <v>41449.67438657407</v>
      </c>
      <c r="M749" s="14" t="s">
        <v>5652</v>
      </c>
      <c r="N749" s="14" t="s">
        <v>5653</v>
      </c>
      <c r="O749" s="11" t="str">
        <f t="shared" ref="O749:O750" si="102">HYPERLINK("https://pbs.twimg.com/profile_images/489375332743409664/P4sYDY1__normal.png","View")</f>
        <v>View</v>
      </c>
      <c r="P749" s="15"/>
    </row>
    <row r="750">
      <c r="A750" s="7">
        <v>42422.51305555555</v>
      </c>
      <c r="B750" s="8" t="str">
        <f t="shared" si="101"/>
        <v>@bigboardsio</v>
      </c>
      <c r="C750" s="10" t="s">
        <v>5651</v>
      </c>
      <c r="D750" s="10" t="s">
        <v>7626</v>
      </c>
      <c r="E750" s="11" t="str">
        <f>HYPERLINK("https://twitter.com/bigboardsio/status/701863734139035652","701863734139035652")</f>
        <v>701863734139035652</v>
      </c>
      <c r="F750" s="12" t="s">
        <v>38</v>
      </c>
      <c r="G750" s="13">
        <v>3089.0</v>
      </c>
      <c r="H750" s="13">
        <v>2635.0</v>
      </c>
      <c r="I750" s="13">
        <v>4.0</v>
      </c>
      <c r="J750" s="13">
        <v>0.0</v>
      </c>
      <c r="K750" s="12" t="s">
        <v>21</v>
      </c>
      <c r="L750" s="7">
        <v>41449.67438657407</v>
      </c>
      <c r="M750" s="14" t="s">
        <v>5652</v>
      </c>
      <c r="N750" s="14" t="s">
        <v>5653</v>
      </c>
      <c r="O750" s="11" t="str">
        <f t="shared" si="102"/>
        <v>View</v>
      </c>
      <c r="P750" s="15"/>
    </row>
    <row r="751">
      <c r="A751" s="7">
        <v>42422.51603009259</v>
      </c>
      <c r="B751" s="8" t="str">
        <f>HYPERLINK("https://twitter.com/AndreaCirilloAC","@AndreaCirilloAC")</f>
        <v>@AndreaCirilloAC</v>
      </c>
      <c r="C751" s="10" t="s">
        <v>7613</v>
      </c>
      <c r="D751" s="10" t="s">
        <v>7668</v>
      </c>
      <c r="E751" s="11" t="str">
        <f>HYPERLINK("https://twitter.com/AndreaCirilloAC/status/701864812259766273","701864812259766273")</f>
        <v>701864812259766273</v>
      </c>
      <c r="F751" s="12" t="s">
        <v>20</v>
      </c>
      <c r="G751" s="13">
        <v>141.0</v>
      </c>
      <c r="H751" s="13">
        <v>91.0</v>
      </c>
      <c r="I751" s="13">
        <v>0.0</v>
      </c>
      <c r="J751" s="13">
        <v>0.0</v>
      </c>
      <c r="K751" s="12" t="s">
        <v>21</v>
      </c>
      <c r="L751" s="7">
        <v>40541.52856481481</v>
      </c>
      <c r="M751" s="14" t="s">
        <v>420</v>
      </c>
      <c r="N751" s="14" t="s">
        <v>7616</v>
      </c>
      <c r="O751" s="11" t="str">
        <f>HYPERLINK("https://pbs.twimg.com/profile_images/640813034697588737/zLd0ZG5c_normal.jpg","View")</f>
        <v>View</v>
      </c>
      <c r="P751" s="15"/>
    </row>
    <row r="752">
      <c r="A752" s="7">
        <v>42422.51615740741</v>
      </c>
      <c r="B752" s="8" t="str">
        <f>HYPERLINK("https://twitter.com/fugufisch","@fugufisch")</f>
        <v>@fugufisch</v>
      </c>
      <c r="C752" s="10" t="s">
        <v>7669</v>
      </c>
      <c r="D752" s="10" t="s">
        <v>7352</v>
      </c>
      <c r="E752" s="11" t="str">
        <f>HYPERLINK("https://twitter.com/fugufisch/status/701864855737921538","701864855737921538")</f>
        <v>701864855737921538</v>
      </c>
      <c r="F752" s="12" t="s">
        <v>52</v>
      </c>
      <c r="G752" s="13">
        <v>61.0</v>
      </c>
      <c r="H752" s="13">
        <v>207.0</v>
      </c>
      <c r="I752" s="13">
        <v>48.0</v>
      </c>
      <c r="J752" s="13">
        <v>0.0</v>
      </c>
      <c r="K752" s="12" t="s">
        <v>21</v>
      </c>
      <c r="L752" s="7">
        <v>39912.63040509259</v>
      </c>
      <c r="M752" s="14" t="s">
        <v>7670</v>
      </c>
      <c r="N752" s="14" t="s">
        <v>7671</v>
      </c>
      <c r="O752" s="11" t="str">
        <f>HYPERLINK("https://pbs.twimg.com/profile_images/1154296670/Firefox_wallpaper_normal.png","View")</f>
        <v>View</v>
      </c>
      <c r="P752" s="15"/>
    </row>
    <row r="753">
      <c r="A753" s="7">
        <v>42422.517858796295</v>
      </c>
      <c r="B753" s="8" t="str">
        <f>HYPERLINK("https://twitter.com/sakalli","@sakalli")</f>
        <v>@sakalli</v>
      </c>
      <c r="C753" s="10" t="s">
        <v>7672</v>
      </c>
      <c r="D753" s="10" t="s">
        <v>7352</v>
      </c>
      <c r="E753" s="11" t="str">
        <f>HYPERLINK("https://twitter.com/sakalli/status/701865471856005121","701865471856005121")</f>
        <v>701865471856005121</v>
      </c>
      <c r="F753" s="12" t="s">
        <v>152</v>
      </c>
      <c r="G753" s="13">
        <v>1366.0</v>
      </c>
      <c r="H753" s="13">
        <v>1131.0</v>
      </c>
      <c r="I753" s="13">
        <v>48.0</v>
      </c>
      <c r="J753" s="13">
        <v>0.0</v>
      </c>
      <c r="K753" s="12" t="s">
        <v>21</v>
      </c>
      <c r="L753" s="7">
        <v>39883.53331018519</v>
      </c>
      <c r="M753" s="14" t="s">
        <v>7673</v>
      </c>
      <c r="N753" s="14" t="s">
        <v>7674</v>
      </c>
      <c r="O753" s="11" t="str">
        <f>HYPERLINK("https://pbs.twimg.com/profile_images/556910410012827648/JYUkUnTd_normal.jpeg","View")</f>
        <v>View</v>
      </c>
      <c r="P753" s="15"/>
    </row>
    <row r="754">
      <c r="A754" s="7">
        <v>42422.521643518514</v>
      </c>
      <c r="B754" s="8" t="str">
        <f>HYPERLINK("https://twitter.com/stephenelane","@stephenelane")</f>
        <v>@stephenelane</v>
      </c>
      <c r="C754" s="10" t="s">
        <v>7675</v>
      </c>
      <c r="D754" s="10" t="s">
        <v>7352</v>
      </c>
      <c r="E754" s="11" t="str">
        <f>HYPERLINK("https://twitter.com/stephenelane/status/701866844320243713","701866844320243713")</f>
        <v>701866844320243713</v>
      </c>
      <c r="F754" s="12" t="s">
        <v>152</v>
      </c>
      <c r="G754" s="13">
        <v>11.0</v>
      </c>
      <c r="H754" s="13">
        <v>38.0</v>
      </c>
      <c r="I754" s="13">
        <v>48.0</v>
      </c>
      <c r="J754" s="13">
        <v>0.0</v>
      </c>
      <c r="K754" s="12" t="s">
        <v>21</v>
      </c>
      <c r="L754" s="7">
        <v>39857.59300925926</v>
      </c>
      <c r="M754" s="16"/>
      <c r="N754" s="16"/>
      <c r="O754" s="11" t="str">
        <f>HYPERLINK("https://pbs.twimg.com/profile_images/78075273/Face_normal.jpg","View")</f>
        <v>View</v>
      </c>
      <c r="P754" s="15"/>
    </row>
    <row r="755">
      <c r="A755" s="7">
        <v>42422.526712962965</v>
      </c>
      <c r="B755" s="8" t="str">
        <f>HYPERLINK("https://twitter.com/DataFinest","@DataFinest")</f>
        <v>@DataFinest</v>
      </c>
      <c r="C755" s="10" t="s">
        <v>6990</v>
      </c>
      <c r="D755" s="10" t="s">
        <v>6319</v>
      </c>
      <c r="E755" s="11" t="str">
        <f>HYPERLINK("https://twitter.com/DataFinest/status/701868680783728641","701868680783728641")</f>
        <v>701868680783728641</v>
      </c>
      <c r="F755" s="12" t="s">
        <v>52</v>
      </c>
      <c r="G755" s="13">
        <v>74.0</v>
      </c>
      <c r="H755" s="13">
        <v>172.0</v>
      </c>
      <c r="I755" s="13">
        <v>106.0</v>
      </c>
      <c r="J755" s="13">
        <v>0.0</v>
      </c>
      <c r="K755" s="12" t="s">
        <v>21</v>
      </c>
      <c r="L755" s="7">
        <v>42347.028761574074</v>
      </c>
      <c r="M755" s="14" t="s">
        <v>121</v>
      </c>
      <c r="N755" s="14" t="s">
        <v>6991</v>
      </c>
      <c r="O755" s="11" t="str">
        <f>HYPERLINK("https://pbs.twimg.com/profile_images/675225906173124609/xPlpeuKw_normal.png","View")</f>
        <v>View</v>
      </c>
      <c r="P755" s="15"/>
    </row>
    <row r="756">
      <c r="A756" s="7">
        <v>42422.527245370366</v>
      </c>
      <c r="B756" s="8" t="str">
        <f>HYPERLINK("https://twitter.com/wajdi_bs","@wajdi_bs")</f>
        <v>@wajdi_bs</v>
      </c>
      <c r="C756" s="10" t="s">
        <v>7676</v>
      </c>
      <c r="D756" s="10" t="s">
        <v>7677</v>
      </c>
      <c r="E756" s="11" t="str">
        <f>HYPERLINK("https://twitter.com/wajdi_bs/status/701868875470741504","701868875470741504")</f>
        <v>701868875470741504</v>
      </c>
      <c r="F756" s="12" t="s">
        <v>20</v>
      </c>
      <c r="G756" s="13">
        <v>265.0</v>
      </c>
      <c r="H756" s="13">
        <v>228.0</v>
      </c>
      <c r="I756" s="13">
        <v>0.0</v>
      </c>
      <c r="J756" s="13">
        <v>0.0</v>
      </c>
      <c r="K756" s="12" t="s">
        <v>21</v>
      </c>
      <c r="L756" s="7">
        <v>40642.73626157407</v>
      </c>
      <c r="M756" s="14" t="s">
        <v>7678</v>
      </c>
      <c r="N756" s="14" t="s">
        <v>7679</v>
      </c>
      <c r="O756" s="11" t="str">
        <f>HYPERLINK("https://pbs.twimg.com/profile_images/3742200604/de0109d29b1870d3e5d443811957193b_normal.jpeg","View")</f>
        <v>View</v>
      </c>
      <c r="P756" s="15"/>
    </row>
    <row r="757">
      <c r="A757" s="7">
        <v>42422.527962962966</v>
      </c>
      <c r="B757" s="8" t="str">
        <f>HYPERLINK("https://twitter.com/JFBonnefon","@JFBonnefon")</f>
        <v>@JFBonnefon</v>
      </c>
      <c r="C757" s="10" t="s">
        <v>7680</v>
      </c>
      <c r="D757" s="10" t="s">
        <v>7352</v>
      </c>
      <c r="E757" s="11" t="str">
        <f>HYPERLINK("https://twitter.com/JFBonnefon/status/701869135177850880","701869135177850880")</f>
        <v>701869135177850880</v>
      </c>
      <c r="F757" s="12" t="s">
        <v>52</v>
      </c>
      <c r="G757" s="13">
        <v>587.0</v>
      </c>
      <c r="H757" s="13">
        <v>390.0</v>
      </c>
      <c r="I757" s="13">
        <v>48.0</v>
      </c>
      <c r="J757" s="13">
        <v>0.0</v>
      </c>
      <c r="K757" s="12" t="s">
        <v>21</v>
      </c>
      <c r="L757" s="7">
        <v>40175.4875</v>
      </c>
      <c r="M757" s="14" t="s">
        <v>4437</v>
      </c>
      <c r="N757" s="14" t="s">
        <v>7681</v>
      </c>
      <c r="O757" s="11" t="str">
        <f>HYPERLINK("https://pbs.twimg.com/profile_images/424906789725818880/I4q471Rq_normal.jpeg","View")</f>
        <v>View</v>
      </c>
      <c r="P757" s="15"/>
    </row>
    <row r="758">
      <c r="A758" s="7">
        <v>42422.5291087963</v>
      </c>
      <c r="B758" s="8" t="str">
        <f>HYPERLINK("https://twitter.com/JaimePinillaDo","@JaimePinillaDo")</f>
        <v>@JaimePinillaDo</v>
      </c>
      <c r="C758" s="10" t="s">
        <v>7682</v>
      </c>
      <c r="D758" s="10" t="s">
        <v>7529</v>
      </c>
      <c r="E758" s="11" t="str">
        <f>HYPERLINK("https://twitter.com/JaimePinillaDo/status/701869549554106369","701869549554106369")</f>
        <v>701869549554106369</v>
      </c>
      <c r="F758" s="12" t="s">
        <v>152</v>
      </c>
      <c r="G758" s="13">
        <v>10.0</v>
      </c>
      <c r="H758" s="13">
        <v>40.0</v>
      </c>
      <c r="I758" s="13">
        <v>5.0</v>
      </c>
      <c r="J758" s="13">
        <v>0.0</v>
      </c>
      <c r="K758" s="12" t="s">
        <v>21</v>
      </c>
      <c r="L758" s="7">
        <v>42182.33390046297</v>
      </c>
      <c r="M758" s="14" t="s">
        <v>7683</v>
      </c>
      <c r="N758" s="14" t="s">
        <v>7684</v>
      </c>
      <c r="O758" s="11" t="str">
        <f>HYPERLINK("https://pbs.twimg.com/profile_images/614813130326196224/oljRbqcH_normal.jpg","View")</f>
        <v>View</v>
      </c>
      <c r="P758" s="15"/>
    </row>
    <row r="759">
      <c r="A759" s="7">
        <v>42422.52931712963</v>
      </c>
      <c r="B759" s="8" t="str">
        <f>HYPERLINK("https://twitter.com/alex_filazzola","@alex_filazzola")</f>
        <v>@alex_filazzola</v>
      </c>
      <c r="C759" s="10" t="s">
        <v>7685</v>
      </c>
      <c r="D759" s="10" t="s">
        <v>6319</v>
      </c>
      <c r="E759" s="11" t="str">
        <f>HYPERLINK("https://twitter.com/alex_filazzola/status/701869626599337984","701869626599337984")</f>
        <v>701869626599337984</v>
      </c>
      <c r="F759" s="12" t="s">
        <v>20</v>
      </c>
      <c r="G759" s="13">
        <v>78.0</v>
      </c>
      <c r="H759" s="13">
        <v>216.0</v>
      </c>
      <c r="I759" s="13">
        <v>106.0</v>
      </c>
      <c r="J759" s="13">
        <v>0.0</v>
      </c>
      <c r="K759" s="12" t="s">
        <v>21</v>
      </c>
      <c r="L759" s="7">
        <v>42096.60217592593</v>
      </c>
      <c r="M759" s="14" t="s">
        <v>917</v>
      </c>
      <c r="N759" s="14" t="s">
        <v>7686</v>
      </c>
      <c r="O759" s="11" t="str">
        <f>HYPERLINK("https://pbs.twimg.com/profile_images/583743302886785024/--qJwzOK_normal.jpg","View")</f>
        <v>View</v>
      </c>
      <c r="P759" s="15"/>
    </row>
    <row r="760">
      <c r="A760" s="7">
        <v>42422.533125</v>
      </c>
      <c r="B760" s="8" t="str">
        <f>HYPERLINK("https://twitter.com/darinself","@darinself")</f>
        <v>@darinself</v>
      </c>
      <c r="C760" s="10" t="s">
        <v>7687</v>
      </c>
      <c r="D760" s="10" t="s">
        <v>7688</v>
      </c>
      <c r="E760" s="11" t="str">
        <f>HYPERLINK("https://twitter.com/darinself/status/701871006424629249","701871006424629249")</f>
        <v>701871006424629249</v>
      </c>
      <c r="F760" s="12" t="s">
        <v>446</v>
      </c>
      <c r="G760" s="13">
        <v>505.0</v>
      </c>
      <c r="H760" s="13">
        <v>649.0</v>
      </c>
      <c r="I760" s="13">
        <v>0.0</v>
      </c>
      <c r="J760" s="13">
        <v>1.0</v>
      </c>
      <c r="K760" s="12" t="s">
        <v>21</v>
      </c>
      <c r="L760" s="7">
        <v>40025.954050925924</v>
      </c>
      <c r="M760" s="16"/>
      <c r="N760" s="14" t="s">
        <v>7689</v>
      </c>
      <c r="O760" s="11" t="str">
        <f>HYPERLINK("https://pbs.twimg.com/profile_images/701932214477578240/n5qec4i3_normal.jpg","View")</f>
        <v>View</v>
      </c>
      <c r="P760" s="15"/>
    </row>
    <row r="761">
      <c r="A761" s="7">
        <v>42422.53890046296</v>
      </c>
      <c r="B761" s="8" t="str">
        <f>HYPERLINK("https://twitter.com/emmaspiro","@emmaspiro")</f>
        <v>@emmaspiro</v>
      </c>
      <c r="C761" s="10" t="s">
        <v>7690</v>
      </c>
      <c r="D761" s="10" t="s">
        <v>7691</v>
      </c>
      <c r="E761" s="11" t="str">
        <f>HYPERLINK("https://twitter.com/emmaspiro/status/701873099533201408","701873099533201408")</f>
        <v>701873099533201408</v>
      </c>
      <c r="F761" s="12" t="s">
        <v>20</v>
      </c>
      <c r="G761" s="13">
        <v>336.0</v>
      </c>
      <c r="H761" s="13">
        <v>379.0</v>
      </c>
      <c r="I761" s="13">
        <v>2.0</v>
      </c>
      <c r="J761" s="13">
        <v>0.0</v>
      </c>
      <c r="K761" s="12" t="s">
        <v>21</v>
      </c>
      <c r="L761" s="7">
        <v>41391.37358796296</v>
      </c>
      <c r="M761" s="14" t="s">
        <v>1259</v>
      </c>
      <c r="N761" s="14" t="s">
        <v>7692</v>
      </c>
      <c r="O761" s="11" t="str">
        <f>HYPERLINK("https://pbs.twimg.com/profile_images/525366265309720576/8kYn2EfB_normal.jpeg","View")</f>
        <v>View</v>
      </c>
      <c r="P761" s="15"/>
    </row>
    <row r="762">
      <c r="A762" s="7">
        <v>42422.54190972222</v>
      </c>
      <c r="B762" s="8" t="str">
        <f>HYPERLINK("https://twitter.com/tangming2005","@tangming2005")</f>
        <v>@tangming2005</v>
      </c>
      <c r="C762" s="10" t="s">
        <v>7468</v>
      </c>
      <c r="D762" s="10" t="s">
        <v>7352</v>
      </c>
      <c r="E762" s="11" t="str">
        <f>HYPERLINK("https://twitter.com/tangming2005/status/701874189519589377","701874189519589377")</f>
        <v>701874189519589377</v>
      </c>
      <c r="F762" s="12" t="s">
        <v>52</v>
      </c>
      <c r="G762" s="13">
        <v>305.0</v>
      </c>
      <c r="H762" s="13">
        <v>383.0</v>
      </c>
      <c r="I762" s="13">
        <v>48.0</v>
      </c>
      <c r="J762" s="13">
        <v>0.0</v>
      </c>
      <c r="K762" s="12" t="s">
        <v>21</v>
      </c>
      <c r="L762" s="7">
        <v>40887.43666666667</v>
      </c>
      <c r="M762" s="14" t="s">
        <v>719</v>
      </c>
      <c r="N762" s="14" t="s">
        <v>7469</v>
      </c>
      <c r="O762" s="11" t="str">
        <f>HYPERLINK("https://pbs.twimg.com/profile_images/442060405225967617/jOtd1ueH_normal.jpeg","View")</f>
        <v>View</v>
      </c>
      <c r="P762" s="15"/>
    </row>
    <row r="763">
      <c r="A763" s="7">
        <v>42422.54232638889</v>
      </c>
      <c r="B763" s="8" t="str">
        <f>HYPERLINK("https://twitter.com/Corinne_Mgr","@Corinne_Mgr")</f>
        <v>@Corinne_Mgr</v>
      </c>
      <c r="C763" s="10" t="s">
        <v>7693</v>
      </c>
      <c r="D763" s="10" t="s">
        <v>6319</v>
      </c>
      <c r="E763" s="11" t="str">
        <f>HYPERLINK("https://twitter.com/Corinne_Mgr/status/701874338748829698","701874338748829698")</f>
        <v>701874338748829698</v>
      </c>
      <c r="F763" s="12" t="s">
        <v>152</v>
      </c>
      <c r="G763" s="13">
        <v>215.0</v>
      </c>
      <c r="H763" s="13">
        <v>499.0</v>
      </c>
      <c r="I763" s="13">
        <v>106.0</v>
      </c>
      <c r="J763" s="13">
        <v>0.0</v>
      </c>
      <c r="K763" s="12" t="s">
        <v>21</v>
      </c>
      <c r="L763" s="7">
        <v>40868.27489583333</v>
      </c>
      <c r="M763" s="14" t="s">
        <v>7694</v>
      </c>
      <c r="N763" s="16"/>
      <c r="O763" s="11" t="str">
        <f>HYPERLINK("https://pbs.twimg.com/profile_images/1650324725/photo_normal.jpg","View")</f>
        <v>View</v>
      </c>
      <c r="P763" s="15"/>
    </row>
    <row r="764">
      <c r="A764" s="7">
        <v>42422.54638888889</v>
      </c>
      <c r="B764" s="8" t="str">
        <f>HYPERLINK("https://twitter.com/dt_science","@dt_science")</f>
        <v>@dt_science</v>
      </c>
      <c r="C764" s="10" t="s">
        <v>7695</v>
      </c>
      <c r="D764" s="10" t="s">
        <v>7352</v>
      </c>
      <c r="E764" s="11" t="str">
        <f>HYPERLINK("https://twitter.com/dt_science/status/701875810081308673","701875810081308673")</f>
        <v>701875810081308673</v>
      </c>
      <c r="F764" s="12" t="s">
        <v>1082</v>
      </c>
      <c r="G764" s="13">
        <v>266.0</v>
      </c>
      <c r="H764" s="13">
        <v>393.0</v>
      </c>
      <c r="I764" s="13">
        <v>48.0</v>
      </c>
      <c r="J764" s="13">
        <v>0.0</v>
      </c>
      <c r="K764" s="12" t="s">
        <v>21</v>
      </c>
      <c r="L764" s="7">
        <v>41526.31747685185</v>
      </c>
      <c r="M764" s="14" t="s">
        <v>519</v>
      </c>
      <c r="N764" s="14" t="s">
        <v>7696</v>
      </c>
      <c r="O764" s="11" t="str">
        <f>HYPERLINK("https://pbs.twimg.com/profile_images/378800000520913369/fe22b02ae069d9b82bcc99b97cb1315b_normal.jpeg","View")</f>
        <v>View</v>
      </c>
      <c r="P764" s="15"/>
    </row>
    <row r="765">
      <c r="A765" s="7">
        <v>42422.54686342593</v>
      </c>
      <c r="B765" s="8" t="str">
        <f>HYPERLINK("https://twitter.com/GeistGegenwart","@GeistGegenwart")</f>
        <v>@GeistGegenwart</v>
      </c>
      <c r="C765" s="10" t="s">
        <v>7697</v>
      </c>
      <c r="D765" s="10" t="s">
        <v>7698</v>
      </c>
      <c r="E765" s="11" t="str">
        <f>HYPERLINK("https://twitter.com/GeistGegenwart/status/701875983067045888","701875983067045888")</f>
        <v>701875983067045888</v>
      </c>
      <c r="F765" s="12" t="s">
        <v>20</v>
      </c>
      <c r="G765" s="13">
        <v>868.0</v>
      </c>
      <c r="H765" s="13">
        <v>463.0</v>
      </c>
      <c r="I765" s="13">
        <v>6.0</v>
      </c>
      <c r="J765" s="13">
        <v>0.0</v>
      </c>
      <c r="K765" s="12" t="s">
        <v>21</v>
      </c>
      <c r="L765" s="7">
        <v>40152.526817129634</v>
      </c>
      <c r="M765" s="14" t="s">
        <v>7699</v>
      </c>
      <c r="N765" s="14" t="s">
        <v>7700</v>
      </c>
      <c r="O765" s="11" t="str">
        <f>HYPERLINK("https://pbs.twimg.com/profile_images/674699205034790912/E6QAAkks_normal.png","View")</f>
        <v>View</v>
      </c>
      <c r="P765" s="15"/>
    </row>
    <row r="766">
      <c r="A766" s="7">
        <v>42422.54722222222</v>
      </c>
      <c r="B766" s="8" t="str">
        <f>HYPERLINK("https://twitter.com/CjMrcamiel","@CjMrcamiel")</f>
        <v>@CjMrcamiel</v>
      </c>
      <c r="C766" s="10" t="s">
        <v>7701</v>
      </c>
      <c r="D766" s="10" t="s">
        <v>7352</v>
      </c>
      <c r="E766" s="11" t="str">
        <f>HYPERLINK("https://twitter.com/CjMrcamiel/status/701876112125620224","701876112125620224")</f>
        <v>701876112125620224</v>
      </c>
      <c r="F766" s="12" t="s">
        <v>52</v>
      </c>
      <c r="G766" s="13">
        <v>11.0</v>
      </c>
      <c r="H766" s="13">
        <v>24.0</v>
      </c>
      <c r="I766" s="13">
        <v>48.0</v>
      </c>
      <c r="J766" s="13">
        <v>0.0</v>
      </c>
      <c r="K766" s="12" t="s">
        <v>21</v>
      </c>
      <c r="L766" s="7">
        <v>41455.6708912037</v>
      </c>
      <c r="M766" s="16"/>
      <c r="N766" s="16"/>
      <c r="O766" s="11" t="str">
        <f>HYPERLINK("https://pbs.twimg.com/profile_images/378800000254021542/887553be439db2d83c346af322b2e8ec_normal.jpeg","View")</f>
        <v>View</v>
      </c>
      <c r="P766" s="15"/>
    </row>
    <row r="767">
      <c r="A767" s="7">
        <v>42422.54783564815</v>
      </c>
      <c r="B767" s="8" t="str">
        <f>HYPERLINK("https://twitter.com/DataWookie","@DataWookie")</f>
        <v>@DataWookie</v>
      </c>
      <c r="C767" s="10" t="s">
        <v>6231</v>
      </c>
      <c r="D767" s="10" t="s">
        <v>7702</v>
      </c>
      <c r="E767" s="11" t="str">
        <f>HYPERLINK("https://twitter.com/DataWookie/status/701876338215399424","701876338215399424")</f>
        <v>701876338215399424</v>
      </c>
      <c r="F767" s="12" t="s">
        <v>6233</v>
      </c>
      <c r="G767" s="13">
        <v>426.0</v>
      </c>
      <c r="H767" s="13">
        <v>296.0</v>
      </c>
      <c r="I767" s="13">
        <v>0.0</v>
      </c>
      <c r="J767" s="13">
        <v>2.0</v>
      </c>
      <c r="K767" s="12" t="s">
        <v>21</v>
      </c>
      <c r="L767" s="7">
        <v>42166.966678240744</v>
      </c>
      <c r="M767" s="14" t="s">
        <v>6234</v>
      </c>
      <c r="N767" s="14" t="s">
        <v>6235</v>
      </c>
      <c r="O767" s="11" t="str">
        <f>HYPERLINK("https://pbs.twimg.com/profile_images/612471608725213184/eXKo2Kmo_normal.jpg","View")</f>
        <v>View</v>
      </c>
      <c r="P767" s="15"/>
    </row>
    <row r="768">
      <c r="A768" s="7">
        <v>42422.55050925926</v>
      </c>
      <c r="B768" s="8" t="str">
        <f>HYPERLINK("https://twitter.com/tomkXY","@tomkXY")</f>
        <v>@tomkXY</v>
      </c>
      <c r="C768" s="10" t="s">
        <v>6904</v>
      </c>
      <c r="D768" s="10" t="s">
        <v>7703</v>
      </c>
      <c r="E768" s="11" t="str">
        <f>HYPERLINK("https://twitter.com/tomkXY/status/701877303819653120","701877303819653120")</f>
        <v>701877303819653120</v>
      </c>
      <c r="F768" s="12" t="s">
        <v>20</v>
      </c>
      <c r="G768" s="13">
        <v>170.0</v>
      </c>
      <c r="H768" s="13">
        <v>333.0</v>
      </c>
      <c r="I768" s="13">
        <v>0.0</v>
      </c>
      <c r="J768" s="13">
        <v>1.0</v>
      </c>
      <c r="K768" s="12" t="s">
        <v>21</v>
      </c>
      <c r="L768" s="7">
        <v>41917.95391203704</v>
      </c>
      <c r="M768" s="14" t="s">
        <v>6906</v>
      </c>
      <c r="N768" s="14" t="s">
        <v>6907</v>
      </c>
      <c r="O768" s="11" t="str">
        <f>HYPERLINK("https://pbs.twimg.com/profile_images/567672223029141505/zYpSqhay_normal.jpeg","View")</f>
        <v>View</v>
      </c>
      <c r="P768" s="15"/>
    </row>
    <row r="769">
      <c r="A769" s="7">
        <v>42422.550578703704</v>
      </c>
      <c r="B769" s="8" t="str">
        <f>HYPERLINK("https://twitter.com/nekrum","@nekrum")</f>
        <v>@nekrum</v>
      </c>
      <c r="C769" s="10" t="s">
        <v>6885</v>
      </c>
      <c r="D769" s="10" t="s">
        <v>7704</v>
      </c>
      <c r="E769" s="11" t="str">
        <f>HYPERLINK("https://twitter.com/nekrum/status/701877331636330496","701877331636330496")</f>
        <v>701877331636330496</v>
      </c>
      <c r="F769" s="12" t="s">
        <v>152</v>
      </c>
      <c r="G769" s="13">
        <v>116.0</v>
      </c>
      <c r="H769" s="13">
        <v>307.0</v>
      </c>
      <c r="I769" s="13">
        <v>1.0</v>
      </c>
      <c r="J769" s="13">
        <v>0.0</v>
      </c>
      <c r="K769" s="12" t="s">
        <v>21</v>
      </c>
      <c r="L769" s="7">
        <v>39800.53101851852</v>
      </c>
      <c r="M769" s="14" t="s">
        <v>6886</v>
      </c>
      <c r="N769" s="14" t="s">
        <v>6887</v>
      </c>
      <c r="O769" s="11" t="str">
        <f>HYPERLINK("https://pbs.twimg.com/profile_images/119769350/logo-azul-blanco_normal.png","View")</f>
        <v>View</v>
      </c>
      <c r="P769" s="15"/>
    </row>
    <row r="770">
      <c r="A770" s="7">
        <v>42422.55247685185</v>
      </c>
      <c r="B770" s="8" t="str">
        <f>HYPERLINK("https://twitter.com/Joseph_Santoro","@Joseph_Santoro")</f>
        <v>@Joseph_Santoro</v>
      </c>
      <c r="C770" s="10" t="s">
        <v>7705</v>
      </c>
      <c r="D770" s="10" t="s">
        <v>7706</v>
      </c>
      <c r="E770" s="11" t="str">
        <f>HYPERLINK("https://twitter.com/Joseph_Santoro/status/701878016545312768","701878016545312768")</f>
        <v>701878016545312768</v>
      </c>
      <c r="F770" s="12" t="s">
        <v>659</v>
      </c>
      <c r="G770" s="13">
        <v>13357.0</v>
      </c>
      <c r="H770" s="13">
        <v>13662.0</v>
      </c>
      <c r="I770" s="13">
        <v>2.0</v>
      </c>
      <c r="J770" s="13">
        <v>1.0</v>
      </c>
      <c r="K770" s="12" t="s">
        <v>21</v>
      </c>
      <c r="L770" s="7">
        <v>39830.54876157407</v>
      </c>
      <c r="M770" s="14" t="s">
        <v>7707</v>
      </c>
      <c r="N770" s="14" t="s">
        <v>7708</v>
      </c>
      <c r="O770" s="11" t="str">
        <f>HYPERLINK("https://pbs.twimg.com/profile_images/683044513665912832/AfyOCz4e_normal.jpg","View")</f>
        <v>View</v>
      </c>
      <c r="P770" s="15"/>
    </row>
    <row r="771">
      <c r="A771" s="7">
        <v>42422.55491898148</v>
      </c>
      <c r="B771" s="8" t="str">
        <f>HYPERLINK("https://twitter.com/nekrum","@nekrum")</f>
        <v>@nekrum</v>
      </c>
      <c r="C771" s="10" t="s">
        <v>6885</v>
      </c>
      <c r="D771" s="10" t="s">
        <v>7709</v>
      </c>
      <c r="E771" s="11" t="str">
        <f>HYPERLINK("https://twitter.com/nekrum/status/701878902281515008","701878902281515008")</f>
        <v>701878902281515008</v>
      </c>
      <c r="F771" s="12" t="s">
        <v>152</v>
      </c>
      <c r="G771" s="13">
        <v>116.0</v>
      </c>
      <c r="H771" s="13">
        <v>307.0</v>
      </c>
      <c r="I771" s="13">
        <v>1.0</v>
      </c>
      <c r="J771" s="13">
        <v>0.0</v>
      </c>
      <c r="K771" s="12" t="s">
        <v>21</v>
      </c>
      <c r="L771" s="7">
        <v>39800.53101851852</v>
      </c>
      <c r="M771" s="14" t="s">
        <v>6886</v>
      </c>
      <c r="N771" s="14" t="s">
        <v>6887</v>
      </c>
      <c r="O771" s="11" t="str">
        <f>HYPERLINK("https://pbs.twimg.com/profile_images/119769350/logo-azul-blanco_normal.png","View")</f>
        <v>View</v>
      </c>
      <c r="P771" s="15"/>
    </row>
    <row r="772">
      <c r="A772" s="7">
        <v>42422.55547453703</v>
      </c>
      <c r="B772" s="8" t="str">
        <f>HYPERLINK("https://twitter.com/cheriesheriff","@cheriesheriff")</f>
        <v>@cheriesheriff</v>
      </c>
      <c r="C772" s="10" t="s">
        <v>7710</v>
      </c>
      <c r="D772" s="10" t="s">
        <v>6319</v>
      </c>
      <c r="E772" s="11" t="str">
        <f>HYPERLINK("https://twitter.com/cheriesheriff/status/701879103754874881","701879103754874881")</f>
        <v>701879103754874881</v>
      </c>
      <c r="F772" s="12" t="s">
        <v>20</v>
      </c>
      <c r="G772" s="13">
        <v>267.0</v>
      </c>
      <c r="H772" s="13">
        <v>234.0</v>
      </c>
      <c r="I772" s="13">
        <v>106.0</v>
      </c>
      <c r="J772" s="13">
        <v>0.0</v>
      </c>
      <c r="K772" s="12" t="s">
        <v>21</v>
      </c>
      <c r="L772" s="7">
        <v>40027.37818287037</v>
      </c>
      <c r="M772" s="14" t="s">
        <v>7711</v>
      </c>
      <c r="N772" s="14" t="s">
        <v>7712</v>
      </c>
      <c r="O772" s="11" t="str">
        <f>HYPERLINK("https://pbs.twimg.com/profile_images/1584998732/mini_cherie_normal.jpg","View")</f>
        <v>View</v>
      </c>
      <c r="P772" s="15"/>
    </row>
    <row r="773">
      <c r="A773" s="7">
        <v>42422.562997685185</v>
      </c>
      <c r="B773" s="8" t="str">
        <f>HYPERLINK("https://twitter.com/BigDataTweetBot","@BigDataTweetBot")</f>
        <v>@BigDataTweetBot</v>
      </c>
      <c r="C773" s="10" t="s">
        <v>1440</v>
      </c>
      <c r="D773" s="10" t="s">
        <v>7713</v>
      </c>
      <c r="E773" s="11" t="str">
        <f>HYPERLINK("https://twitter.com/BigDataTweetBot/status/701881832627830785","701881832627830785")</f>
        <v>701881832627830785</v>
      </c>
      <c r="F773" s="12" t="s">
        <v>1442</v>
      </c>
      <c r="G773" s="13">
        <v>8622.0</v>
      </c>
      <c r="H773" s="13">
        <v>243.0</v>
      </c>
      <c r="I773" s="13">
        <v>2.0</v>
      </c>
      <c r="J773" s="13">
        <v>0.0</v>
      </c>
      <c r="K773" s="12" t="s">
        <v>21</v>
      </c>
      <c r="L773" s="7">
        <v>42187.77106481481</v>
      </c>
      <c r="M773" s="16"/>
      <c r="N773" s="14" t="s">
        <v>1443</v>
      </c>
      <c r="O773" s="11" t="str">
        <f>HYPERLINK("https://pbs.twimg.com/profile_images/616793252524650496/bQbxJqmz_normal.jpg","View")</f>
        <v>View</v>
      </c>
      <c r="P773" s="15"/>
    </row>
    <row r="774">
      <c r="A774" s="7">
        <v>42422.56335648148</v>
      </c>
      <c r="B774" s="8" t="str">
        <f>HYPERLINK("https://twitter.com/nekrum","@nekrum")</f>
        <v>@nekrum</v>
      </c>
      <c r="C774" s="10" t="s">
        <v>6885</v>
      </c>
      <c r="D774" s="10" t="s">
        <v>6546</v>
      </c>
      <c r="E774" s="11" t="str">
        <f>HYPERLINK("https://twitter.com/nekrum/status/701881959778127872","701881959778127872")</f>
        <v>701881959778127872</v>
      </c>
      <c r="F774" s="12" t="s">
        <v>152</v>
      </c>
      <c r="G774" s="13">
        <v>116.0</v>
      </c>
      <c r="H774" s="13">
        <v>307.0</v>
      </c>
      <c r="I774" s="13">
        <v>9.0</v>
      </c>
      <c r="J774" s="13">
        <v>0.0</v>
      </c>
      <c r="K774" s="12" t="s">
        <v>21</v>
      </c>
      <c r="L774" s="7">
        <v>39800.53101851852</v>
      </c>
      <c r="M774" s="14" t="s">
        <v>6886</v>
      </c>
      <c r="N774" s="14" t="s">
        <v>6887</v>
      </c>
      <c r="O774" s="11" t="str">
        <f>HYPERLINK("https://pbs.twimg.com/profile_images/119769350/logo-azul-blanco_normal.png","View")</f>
        <v>View</v>
      </c>
      <c r="P774" s="15"/>
    </row>
    <row r="775">
      <c r="A775" s="7">
        <v>42422.56591435186</v>
      </c>
      <c r="B775" s="8" t="str">
        <f>HYPERLINK("https://twitter.com/hayashiyus","@hayashiyus")</f>
        <v>@hayashiyus</v>
      </c>
      <c r="C775" s="10" t="s">
        <v>7714</v>
      </c>
      <c r="D775" s="10" t="s">
        <v>7715</v>
      </c>
      <c r="E775" s="11" t="str">
        <f>HYPERLINK("https://twitter.com/hayashiyus/status/701882886752833536","701882886752833536")</f>
        <v>701882886752833536</v>
      </c>
      <c r="F775" s="12" t="s">
        <v>20</v>
      </c>
      <c r="G775" s="13">
        <v>520.0</v>
      </c>
      <c r="H775" s="13">
        <v>404.0</v>
      </c>
      <c r="I775" s="13">
        <v>18.0</v>
      </c>
      <c r="J775" s="13">
        <v>0.0</v>
      </c>
      <c r="K775" s="12" t="s">
        <v>21</v>
      </c>
      <c r="L775" s="7">
        <v>39776.08756944444</v>
      </c>
      <c r="M775" s="14" t="s">
        <v>7716</v>
      </c>
      <c r="N775" s="14" t="s">
        <v>7717</v>
      </c>
      <c r="O775" s="11" t="str">
        <f>HYPERLINK("https://pbs.twimg.com/profile_images/676416536123281410/yyFgZusl_normal.jpg","View")</f>
        <v>View</v>
      </c>
      <c r="P775" s="15"/>
    </row>
    <row r="776">
      <c r="A776" s="7">
        <v>42422.56642361111</v>
      </c>
      <c r="B776" s="8" t="str">
        <f>HYPERLINK("https://twitter.com/smithjd","@smithjd")</f>
        <v>@smithjd</v>
      </c>
      <c r="C776" s="10" t="s">
        <v>7718</v>
      </c>
      <c r="D776" s="10" t="s">
        <v>7719</v>
      </c>
      <c r="E776" s="11" t="str">
        <f>HYPERLINK("https://twitter.com/smithjd/status/701883073994969088","701883073994969088")</f>
        <v>701883073994969088</v>
      </c>
      <c r="F776" s="12" t="s">
        <v>20</v>
      </c>
      <c r="G776" s="13">
        <v>920.0</v>
      </c>
      <c r="H776" s="13">
        <v>450.0</v>
      </c>
      <c r="I776" s="13">
        <v>0.0</v>
      </c>
      <c r="J776" s="13">
        <v>3.0</v>
      </c>
      <c r="K776" s="12" t="s">
        <v>21</v>
      </c>
      <c r="L776" s="7">
        <v>39209.44299768518</v>
      </c>
      <c r="M776" s="14" t="s">
        <v>7720</v>
      </c>
      <c r="N776" s="14" t="s">
        <v>7721</v>
      </c>
      <c r="O776" s="11" t="str">
        <f>HYPERLINK("https://pbs.twimg.com/profile_images/2264127901/bxv1u4gi6zr9u2q5ls8s_normal.jpeg","View")</f>
        <v>View</v>
      </c>
      <c r="P776" s="15"/>
    </row>
    <row r="777">
      <c r="A777" s="7">
        <v>42422.567777777775</v>
      </c>
      <c r="B777" s="8" t="str">
        <f>HYPERLINK("https://twitter.com/timelyportfolio","@timelyportfolio")</f>
        <v>@timelyportfolio</v>
      </c>
      <c r="C777" s="10" t="s">
        <v>3698</v>
      </c>
      <c r="D777" s="10" t="s">
        <v>7722</v>
      </c>
      <c r="E777" s="11" t="str">
        <f>HYPERLINK("https://twitter.com/timelyportfolio/status/701883563449438210","701883563449438210")</f>
        <v>701883563449438210</v>
      </c>
      <c r="F777" s="12" t="s">
        <v>20</v>
      </c>
      <c r="G777" s="13">
        <v>1875.0</v>
      </c>
      <c r="H777" s="13">
        <v>2248.0</v>
      </c>
      <c r="I777" s="13">
        <v>2.0</v>
      </c>
      <c r="J777" s="13">
        <v>0.0</v>
      </c>
      <c r="K777" s="12" t="s">
        <v>21</v>
      </c>
      <c r="L777" s="7">
        <v>40573.86280092593</v>
      </c>
      <c r="M777" s="14" t="s">
        <v>3700</v>
      </c>
      <c r="N777" s="14" t="s">
        <v>3701</v>
      </c>
      <c r="O777" s="11" t="str">
        <f>HYPERLINK("https://pbs.twimg.com/profile_images/2198946077/image_normal.jpg","View")</f>
        <v>View</v>
      </c>
      <c r="P777" s="15"/>
    </row>
    <row r="778">
      <c r="A778" s="7">
        <v>42422.57481481481</v>
      </c>
      <c r="B778" s="8" t="str">
        <f>HYPERLINK("https://twitter.com/ayeimanol","@ayeimanol")</f>
        <v>@ayeimanol</v>
      </c>
      <c r="C778" s="10" t="s">
        <v>7723</v>
      </c>
      <c r="D778" s="10" t="s">
        <v>7724</v>
      </c>
      <c r="E778" s="11" t="str">
        <f>HYPERLINK("https://twitter.com/ayeimanol/status/701886114873929728","701886114873929728")</f>
        <v>701886114873929728</v>
      </c>
      <c r="F778" s="12" t="s">
        <v>52</v>
      </c>
      <c r="G778" s="13">
        <v>83.0</v>
      </c>
      <c r="H778" s="13">
        <v>212.0</v>
      </c>
      <c r="I778" s="13">
        <v>0.0</v>
      </c>
      <c r="J778" s="13">
        <v>0.0</v>
      </c>
      <c r="K778" s="12" t="s">
        <v>21</v>
      </c>
      <c r="L778" s="7">
        <v>40386.07766203704</v>
      </c>
      <c r="M778" s="16"/>
      <c r="N778" s="14" t="s">
        <v>7725</v>
      </c>
      <c r="O778" s="11" t="str">
        <f>HYPERLINK("https://pbs.twimg.com/profile_images/1201879368/2009-10-10_13.08.46__1__normal.jpg","View")</f>
        <v>View</v>
      </c>
      <c r="P778" s="15"/>
    </row>
    <row r="779">
      <c r="A779" s="7">
        <v>42422.57864583333</v>
      </c>
      <c r="B779" s="8" t="str">
        <f>HYPERLINK("https://twitter.com/jbryer","@jbryer")</f>
        <v>@jbryer</v>
      </c>
      <c r="C779" s="10" t="s">
        <v>6401</v>
      </c>
      <c r="D779" s="10" t="s">
        <v>7584</v>
      </c>
      <c r="E779" s="11" t="str">
        <f>HYPERLINK("https://twitter.com/jbryer/status/701887503213711360","701887503213711360")</f>
        <v>701887503213711360</v>
      </c>
      <c r="F779" s="12" t="s">
        <v>1082</v>
      </c>
      <c r="G779" s="13">
        <v>53.0</v>
      </c>
      <c r="H779" s="13">
        <v>206.0</v>
      </c>
      <c r="I779" s="13">
        <v>7.0</v>
      </c>
      <c r="J779" s="13">
        <v>0.0</v>
      </c>
      <c r="K779" s="12" t="s">
        <v>21</v>
      </c>
      <c r="L779" s="7">
        <v>39644.32935185185</v>
      </c>
      <c r="M779" s="14" t="s">
        <v>6403</v>
      </c>
      <c r="N779" s="16"/>
      <c r="O779" s="11" t="str">
        <f>HYPERLINK("https://pbs.twimg.com/profile_images/413098705378488321/pc7DXom7_normal.jpeg","View")</f>
        <v>View</v>
      </c>
      <c r="P779" s="15"/>
    </row>
    <row r="780">
      <c r="A780" s="7">
        <v>42422.57870370371</v>
      </c>
      <c r="B780" s="8" t="str">
        <f>HYPERLINK("https://twitter.com/joshjfink","@joshjfink")</f>
        <v>@joshjfink</v>
      </c>
      <c r="C780" s="10" t="s">
        <v>6638</v>
      </c>
      <c r="D780" s="10" t="s">
        <v>7726</v>
      </c>
      <c r="E780" s="11" t="str">
        <f>HYPERLINK("https://twitter.com/joshjfink/status/701887521928642565","701887521928642565")</f>
        <v>701887521928642565</v>
      </c>
      <c r="F780" s="12" t="s">
        <v>20</v>
      </c>
      <c r="G780" s="13">
        <v>114.0</v>
      </c>
      <c r="H780" s="13">
        <v>106.0</v>
      </c>
      <c r="I780" s="13">
        <v>0.0</v>
      </c>
      <c r="J780" s="13">
        <v>1.0</v>
      </c>
      <c r="K780" s="12" t="s">
        <v>21</v>
      </c>
      <c r="L780" s="7">
        <v>41625.58105324074</v>
      </c>
      <c r="M780" s="14" t="s">
        <v>6640</v>
      </c>
      <c r="N780" s="14" t="s">
        <v>6641</v>
      </c>
      <c r="O780" s="11" t="str">
        <f>HYPERLINK("https://pbs.twimg.com/profile_images/692071858448011264/IWaYjbkb_normal.png","View")</f>
        <v>View</v>
      </c>
      <c r="P780" s="15"/>
    </row>
    <row r="781">
      <c r="A781" s="7">
        <v>42422.58075231481</v>
      </c>
      <c r="B781" s="8" t="str">
        <f>HYPERLINK("https://twitter.com/research_innova","@research_innova")</f>
        <v>@research_innova</v>
      </c>
      <c r="C781" s="10" t="s">
        <v>6031</v>
      </c>
      <c r="D781" s="10" t="s">
        <v>7713</v>
      </c>
      <c r="E781" s="11" t="str">
        <f>HYPERLINK("https://twitter.com/research_innova/status/701888265226428419","701888265226428419")</f>
        <v>701888265226428419</v>
      </c>
      <c r="F781" s="12" t="s">
        <v>52</v>
      </c>
      <c r="G781" s="13">
        <v>2043.0</v>
      </c>
      <c r="H781" s="13">
        <v>1800.0</v>
      </c>
      <c r="I781" s="13">
        <v>2.0</v>
      </c>
      <c r="J781" s="13">
        <v>0.0</v>
      </c>
      <c r="K781" s="12" t="s">
        <v>21</v>
      </c>
      <c r="L781" s="7">
        <v>42176.42917824074</v>
      </c>
      <c r="M781" s="16"/>
      <c r="N781" s="14" t="s">
        <v>6032</v>
      </c>
      <c r="O781" s="11" t="str">
        <f>HYPERLINK("https://pbs.twimg.com/profile_images/612671526849146880/oaSXeNPe_normal.jpg","View")</f>
        <v>View</v>
      </c>
      <c r="P781" s="15"/>
    </row>
    <row r="782">
      <c r="A782" s="7">
        <v>42422.580937499995</v>
      </c>
      <c r="B782" s="8" t="str">
        <f>HYPERLINK("https://twitter.com/AndriyGazin","@AndriyGazin")</f>
        <v>@AndriyGazin</v>
      </c>
      <c r="C782" s="10" t="s">
        <v>7727</v>
      </c>
      <c r="D782" s="10" t="s">
        <v>7728</v>
      </c>
      <c r="E782" s="11" t="str">
        <f>HYPERLINK("https://twitter.com/AndriyGazin/status/701888333337731072","701888333337731072")</f>
        <v>701888333337731072</v>
      </c>
      <c r="F782" s="12" t="s">
        <v>20</v>
      </c>
      <c r="G782" s="13">
        <v>180.0</v>
      </c>
      <c r="H782" s="13">
        <v>335.0</v>
      </c>
      <c r="I782" s="13">
        <v>0.0</v>
      </c>
      <c r="J782" s="13">
        <v>0.0</v>
      </c>
      <c r="K782" s="12" t="s">
        <v>21</v>
      </c>
      <c r="L782" s="7">
        <v>40773.421122685184</v>
      </c>
      <c r="M782" s="14" t="s">
        <v>7729</v>
      </c>
      <c r="N782" s="14" t="s">
        <v>7730</v>
      </c>
      <c r="O782" s="11" t="str">
        <f>HYPERLINK("https://pbs.twimg.com/profile_images/441319326830714881/SATzSmLV_normal.jpeg","View")</f>
        <v>View</v>
      </c>
      <c r="P782" s="15"/>
    </row>
    <row r="783">
      <c r="A783" s="7">
        <v>42422.582129629634</v>
      </c>
      <c r="B783" s="8" t="str">
        <f>HYPERLINK("https://twitter.com/adamson","@adamson")</f>
        <v>@adamson</v>
      </c>
      <c r="C783" s="10" t="s">
        <v>6788</v>
      </c>
      <c r="D783" s="10" t="s">
        <v>7731</v>
      </c>
      <c r="E783" s="11" t="str">
        <f>HYPERLINK("https://twitter.com/adamson/status/701888762809344000","701888762809344000")</f>
        <v>701888762809344000</v>
      </c>
      <c r="F783" s="12" t="s">
        <v>294</v>
      </c>
      <c r="G783" s="13">
        <v>10554.0</v>
      </c>
      <c r="H783" s="13">
        <v>11289.0</v>
      </c>
      <c r="I783" s="13">
        <v>0.0</v>
      </c>
      <c r="J783" s="13">
        <v>1.0</v>
      </c>
      <c r="K783" s="12" t="s">
        <v>21</v>
      </c>
      <c r="L783" s="7">
        <v>39377.993796296294</v>
      </c>
      <c r="M783" s="14" t="s">
        <v>6790</v>
      </c>
      <c r="N783" s="14" t="s">
        <v>6791</v>
      </c>
      <c r="O783" s="11" t="str">
        <f>HYPERLINK("https://pbs.twimg.com/profile_images/544790599589568512/26tIRo8H_normal.jpeg","View")</f>
        <v>View</v>
      </c>
      <c r="P783" s="15"/>
    </row>
    <row r="784">
      <c r="A784" s="7">
        <v>42422.583032407405</v>
      </c>
      <c r="B784" s="8" t="str">
        <f>HYPERLINK("https://twitter.com/NumFOCUS","@NumFOCUS")</f>
        <v>@NumFOCUS</v>
      </c>
      <c r="C784" s="10" t="s">
        <v>3159</v>
      </c>
      <c r="D784" s="10" t="s">
        <v>7732</v>
      </c>
      <c r="E784" s="11" t="str">
        <f>HYPERLINK("https://twitter.com/NumFOCUS/status/701889091500011524","701889091500011524")</f>
        <v>701889091500011524</v>
      </c>
      <c r="F784" s="12" t="s">
        <v>20</v>
      </c>
      <c r="G784" s="13">
        <v>1376.0</v>
      </c>
      <c r="H784" s="13">
        <v>203.0</v>
      </c>
      <c r="I784" s="13">
        <v>6.0</v>
      </c>
      <c r="J784" s="13">
        <v>8.0</v>
      </c>
      <c r="K784" s="12" t="s">
        <v>21</v>
      </c>
      <c r="L784" s="7">
        <v>41281.439409722225</v>
      </c>
      <c r="M784" s="14" t="s">
        <v>2022</v>
      </c>
      <c r="N784" s="14" t="s">
        <v>3160</v>
      </c>
      <c r="O784" s="11" t="str">
        <f>HYPERLINK("https://pbs.twimg.com/profile_images/702558144958869504/AIKaOGn__normal.png","View")</f>
        <v>View</v>
      </c>
      <c r="P784" s="15"/>
    </row>
    <row r="785">
      <c r="A785" s="7">
        <v>42422.58560185185</v>
      </c>
      <c r="B785" s="8" t="str">
        <f>HYPERLINK("https://twitter.com/betanalpha","@betanalpha")</f>
        <v>@betanalpha</v>
      </c>
      <c r="C785" s="10" t="s">
        <v>7733</v>
      </c>
      <c r="D785" s="10" t="s">
        <v>7734</v>
      </c>
      <c r="E785" s="11" t="str">
        <f>HYPERLINK("https://twitter.com/betanalpha/status/701890022442713089","701890022442713089")</f>
        <v>701890022442713089</v>
      </c>
      <c r="F785" s="12" t="s">
        <v>20</v>
      </c>
      <c r="G785" s="13">
        <v>398.0</v>
      </c>
      <c r="H785" s="13">
        <v>127.0</v>
      </c>
      <c r="I785" s="13">
        <v>6.0</v>
      </c>
      <c r="J785" s="13">
        <v>0.0</v>
      </c>
      <c r="K785" s="12" t="s">
        <v>21</v>
      </c>
      <c r="L785" s="7">
        <v>40084.825694444444</v>
      </c>
      <c r="M785" s="14" t="s">
        <v>1093</v>
      </c>
      <c r="N785" s="14" t="s">
        <v>7735</v>
      </c>
      <c r="O785" s="11" t="str">
        <f>HYPERLINK("https://pbs.twimg.com/profile_images/670388855204392960/WKuSTIq1_normal.jpg","View")</f>
        <v>View</v>
      </c>
      <c r="P785" s="15"/>
    </row>
    <row r="786">
      <c r="A786" s="7">
        <v>42422.58590277778</v>
      </c>
      <c r="B786" s="8" t="str">
        <f>HYPERLINK("https://twitter.com/mcmc_stan","@mcmc_stan")</f>
        <v>@mcmc_stan</v>
      </c>
      <c r="C786" s="10" t="s">
        <v>7736</v>
      </c>
      <c r="D786" s="10" t="s">
        <v>7734</v>
      </c>
      <c r="E786" s="11" t="str">
        <f>HYPERLINK("https://twitter.com/mcmc_stan/status/701890132123787269","701890132123787269")</f>
        <v>701890132123787269</v>
      </c>
      <c r="F786" s="12" t="s">
        <v>52</v>
      </c>
      <c r="G786" s="13">
        <v>618.0</v>
      </c>
      <c r="H786" s="13">
        <v>8.0</v>
      </c>
      <c r="I786" s="13">
        <v>6.0</v>
      </c>
      <c r="J786" s="13">
        <v>0.0</v>
      </c>
      <c r="K786" s="12" t="s">
        <v>21</v>
      </c>
      <c r="L786" s="7">
        <v>41318.22550925926</v>
      </c>
      <c r="M786" s="16"/>
      <c r="N786" s="14" t="s">
        <v>7737</v>
      </c>
      <c r="O786" s="11" t="str">
        <f>HYPERLINK("https://pbs.twimg.com/profile_images/624211847126781952/xhy-Awix_normal.png","View")</f>
        <v>View</v>
      </c>
      <c r="P786" s="15"/>
    </row>
    <row r="787">
      <c r="A787" s="7">
        <v>42422.5928125</v>
      </c>
      <c r="B787" s="8" t="str">
        <f t="shared" ref="B787:B789" si="103">HYPERLINK("https://twitter.com/CRANberriesFeed","@CRANberriesFeed")</f>
        <v>@CRANberriesFeed</v>
      </c>
      <c r="C787" s="10" t="s">
        <v>6282</v>
      </c>
      <c r="D787" s="10" t="s">
        <v>7738</v>
      </c>
      <c r="E787" s="11" t="str">
        <f>HYPERLINK("https://twitter.com/CRANberriesFeed/status/701892634298740737","701892634298740737")</f>
        <v>701892634298740737</v>
      </c>
      <c r="F787" s="12" t="s">
        <v>6284</v>
      </c>
      <c r="G787" s="13">
        <v>657.0</v>
      </c>
      <c r="H787" s="13">
        <v>0.0</v>
      </c>
      <c r="I787" s="13">
        <v>0.0</v>
      </c>
      <c r="J787" s="13">
        <v>0.0</v>
      </c>
      <c r="K787" s="12" t="s">
        <v>21</v>
      </c>
      <c r="L787" s="7">
        <v>40546.353425925925</v>
      </c>
      <c r="M787" s="14" t="s">
        <v>1158</v>
      </c>
      <c r="N787" s="16"/>
      <c r="O787" s="11" t="str">
        <f t="shared" ref="O787:O789" si="104">HYPERLINK("https://pbs.twimg.com/profile_images/1222779560/cran1_normal.jpg","View")</f>
        <v>View</v>
      </c>
      <c r="P787" s="15"/>
    </row>
    <row r="788">
      <c r="A788" s="7">
        <v>42422.59296296297</v>
      </c>
      <c r="B788" s="8" t="str">
        <f t="shared" si="103"/>
        <v>@CRANberriesFeed</v>
      </c>
      <c r="C788" s="10" t="s">
        <v>6282</v>
      </c>
      <c r="D788" s="10" t="s">
        <v>7739</v>
      </c>
      <c r="E788" s="11" t="str">
        <f>HYPERLINK("https://twitter.com/CRANberriesFeed/status/701892691706179589","701892691706179589")</f>
        <v>701892691706179589</v>
      </c>
      <c r="F788" s="12" t="s">
        <v>6284</v>
      </c>
      <c r="G788" s="13">
        <v>657.0</v>
      </c>
      <c r="H788" s="13">
        <v>0.0</v>
      </c>
      <c r="I788" s="13">
        <v>0.0</v>
      </c>
      <c r="J788" s="13">
        <v>0.0</v>
      </c>
      <c r="K788" s="12" t="s">
        <v>21</v>
      </c>
      <c r="L788" s="7">
        <v>40546.353425925925</v>
      </c>
      <c r="M788" s="14" t="s">
        <v>1158</v>
      </c>
      <c r="N788" s="16"/>
      <c r="O788" s="11" t="str">
        <f t="shared" si="104"/>
        <v>View</v>
      </c>
      <c r="P788" s="15"/>
    </row>
    <row r="789">
      <c r="A789" s="7">
        <v>42422.59302083333</v>
      </c>
      <c r="B789" s="8" t="str">
        <f t="shared" si="103"/>
        <v>@CRANberriesFeed</v>
      </c>
      <c r="C789" s="10" t="s">
        <v>6282</v>
      </c>
      <c r="D789" s="10" t="s">
        <v>7740</v>
      </c>
      <c r="E789" s="11" t="str">
        <f>HYPERLINK("https://twitter.com/CRANberriesFeed/status/701892709850738688","701892709850738688")</f>
        <v>701892709850738688</v>
      </c>
      <c r="F789" s="12" t="s">
        <v>6284</v>
      </c>
      <c r="G789" s="13">
        <v>657.0</v>
      </c>
      <c r="H789" s="13">
        <v>0.0</v>
      </c>
      <c r="I789" s="13">
        <v>0.0</v>
      </c>
      <c r="J789" s="13">
        <v>0.0</v>
      </c>
      <c r="K789" s="12" t="s">
        <v>21</v>
      </c>
      <c r="L789" s="7">
        <v>40546.353425925925</v>
      </c>
      <c r="M789" s="14" t="s">
        <v>1158</v>
      </c>
      <c r="N789" s="16"/>
      <c r="O789" s="11" t="str">
        <f t="shared" si="104"/>
        <v>View</v>
      </c>
      <c r="P789" s="15"/>
    </row>
    <row r="790">
      <c r="A790" s="7">
        <v>42422.59520833333</v>
      </c>
      <c r="B790" s="8" t="str">
        <f>HYPERLINK("https://twitter.com/USGS_R","@USGS_R")</f>
        <v>@USGS_R</v>
      </c>
      <c r="C790" s="10" t="s">
        <v>7429</v>
      </c>
      <c r="D790" s="10" t="s">
        <v>7741</v>
      </c>
      <c r="E790" s="11" t="str">
        <f>HYPERLINK("https://twitter.com/USGS_R/status/701893502326566912","701893502326566912")</f>
        <v>701893502326566912</v>
      </c>
      <c r="F790" s="12" t="s">
        <v>446</v>
      </c>
      <c r="G790" s="13">
        <v>407.0</v>
      </c>
      <c r="H790" s="13">
        <v>43.0</v>
      </c>
      <c r="I790" s="13">
        <v>1.0</v>
      </c>
      <c r="J790" s="13">
        <v>3.0</v>
      </c>
      <c r="K790" s="12" t="s">
        <v>21</v>
      </c>
      <c r="L790" s="7">
        <v>42228.35309027778</v>
      </c>
      <c r="M790" s="16"/>
      <c r="N790" s="14" t="s">
        <v>7430</v>
      </c>
      <c r="O790" s="11" t="str">
        <f>HYPERLINK("https://pbs.twimg.com/profile_images/631488083863584769/gDqhLdAL_normal.png","View")</f>
        <v>View</v>
      </c>
      <c r="P790" s="15"/>
    </row>
    <row r="791">
      <c r="A791" s="7">
        <v>42422.595300925925</v>
      </c>
      <c r="B791" s="8" t="str">
        <f>HYPERLINK("https://twitter.com/billdoesphysics","@billdoesphysics")</f>
        <v>@billdoesphysics</v>
      </c>
      <c r="C791" s="10" t="s">
        <v>7499</v>
      </c>
      <c r="D791" s="10" t="s">
        <v>7742</v>
      </c>
      <c r="E791" s="11" t="str">
        <f>HYPERLINK("https://twitter.com/billdoesphysics/status/701893538368196608","701893538368196608")</f>
        <v>701893538368196608</v>
      </c>
      <c r="F791" s="12" t="s">
        <v>446</v>
      </c>
      <c r="G791" s="13">
        <v>908.0</v>
      </c>
      <c r="H791" s="13">
        <v>328.0</v>
      </c>
      <c r="I791" s="13">
        <v>5.0</v>
      </c>
      <c r="J791" s="13">
        <v>5.0</v>
      </c>
      <c r="K791" s="12" t="s">
        <v>21</v>
      </c>
      <c r="L791" s="7">
        <v>40950.67833333333</v>
      </c>
      <c r="M791" s="16"/>
      <c r="N791" s="14" t="s">
        <v>7501</v>
      </c>
      <c r="O791" s="11" t="str">
        <f>HYPERLINK("https://pbs.twimg.com/profile_images/1820871682/image_normal.jpg","View")</f>
        <v>View</v>
      </c>
      <c r="P791" s="15"/>
    </row>
    <row r="792">
      <c r="A792" s="7">
        <v>42422.59600694444</v>
      </c>
      <c r="B792" s="8" t="str">
        <f>HYPERLINK("https://twitter.com/tomkXY","@tomkXY")</f>
        <v>@tomkXY</v>
      </c>
      <c r="C792" s="10" t="s">
        <v>6904</v>
      </c>
      <c r="D792" s="10" t="s">
        <v>7743</v>
      </c>
      <c r="E792" s="11" t="str">
        <f>HYPERLINK("https://twitter.com/tomkXY/status/701893791377035264","701893791377035264")</f>
        <v>701893791377035264</v>
      </c>
      <c r="F792" s="12" t="s">
        <v>20</v>
      </c>
      <c r="G792" s="13">
        <v>170.0</v>
      </c>
      <c r="H792" s="13">
        <v>333.0</v>
      </c>
      <c r="I792" s="13">
        <v>5.0</v>
      </c>
      <c r="J792" s="13">
        <v>0.0</v>
      </c>
      <c r="K792" s="12" t="s">
        <v>21</v>
      </c>
      <c r="L792" s="7">
        <v>41917.95391203704</v>
      </c>
      <c r="M792" s="14" t="s">
        <v>6906</v>
      </c>
      <c r="N792" s="14" t="s">
        <v>6907</v>
      </c>
      <c r="O792" s="11" t="str">
        <f>HYPERLINK("https://pbs.twimg.com/profile_images/567672223029141505/zYpSqhay_normal.jpeg","View")</f>
        <v>View</v>
      </c>
      <c r="P792" s="15"/>
    </row>
    <row r="793">
      <c r="A793" s="7">
        <v>42422.59688657407</v>
      </c>
      <c r="B793" s="8" t="str">
        <f>HYPERLINK("https://twitter.com/bartonpoulson","@bartonpoulson")</f>
        <v>@bartonpoulson</v>
      </c>
      <c r="C793" s="10" t="s">
        <v>7744</v>
      </c>
      <c r="D793" s="10" t="s">
        <v>7745</v>
      </c>
      <c r="E793" s="11" t="str">
        <f>HYPERLINK("https://twitter.com/bartonpoulson/status/701894111851388929","701894111851388929")</f>
        <v>701894111851388929</v>
      </c>
      <c r="F793" s="12" t="s">
        <v>294</v>
      </c>
      <c r="G793" s="13">
        <v>53.0</v>
      </c>
      <c r="H793" s="13">
        <v>39.0</v>
      </c>
      <c r="I793" s="13">
        <v>1.0</v>
      </c>
      <c r="J793" s="13">
        <v>0.0</v>
      </c>
      <c r="K793" s="12" t="s">
        <v>21</v>
      </c>
      <c r="L793" s="7">
        <v>41841.396099537036</v>
      </c>
      <c r="M793" s="14" t="s">
        <v>7746</v>
      </c>
      <c r="N793" s="14" t="s">
        <v>7747</v>
      </c>
      <c r="O793" s="11" t="str">
        <f>HYPERLINK("https://pbs.twimg.com/profile_images/695090864083701760/T-xRoICU_normal.jpg","View")</f>
        <v>View</v>
      </c>
      <c r="P793" s="15"/>
    </row>
    <row r="794">
      <c r="A794" s="7">
        <v>42422.599375000005</v>
      </c>
      <c r="B794" s="8" t="str">
        <f>HYPERLINK("https://twitter.com/BhatiaAankur","@BhatiaAankur")</f>
        <v>@BhatiaAankur</v>
      </c>
      <c r="C794" s="10" t="s">
        <v>7748</v>
      </c>
      <c r="D794" s="10" t="s">
        <v>7584</v>
      </c>
      <c r="E794" s="11" t="str">
        <f>HYPERLINK("https://twitter.com/BhatiaAankur/status/701895015610634241","701895015610634241")</f>
        <v>701895015610634241</v>
      </c>
      <c r="F794" s="12" t="s">
        <v>52</v>
      </c>
      <c r="G794" s="13">
        <v>47.0</v>
      </c>
      <c r="H794" s="13">
        <v>62.0</v>
      </c>
      <c r="I794" s="13">
        <v>7.0</v>
      </c>
      <c r="J794" s="13">
        <v>0.0</v>
      </c>
      <c r="K794" s="12" t="s">
        <v>21</v>
      </c>
      <c r="L794" s="7">
        <v>41701.81668981482</v>
      </c>
      <c r="M794" s="14" t="s">
        <v>1693</v>
      </c>
      <c r="N794" s="14" t="s">
        <v>7749</v>
      </c>
      <c r="O794" s="11" t="str">
        <f>HYPERLINK("https://pbs.twimg.com/profile_images/529495564753596416/UdP2PtbT_normal.jpeg","View")</f>
        <v>View</v>
      </c>
      <c r="P794" s="15"/>
    </row>
    <row r="795">
      <c r="A795" s="7">
        <v>42422.59950231481</v>
      </c>
      <c r="B795" s="8" t="str">
        <f>HYPERLINK("https://twitter.com/hrbrmstr","@hrbrmstr")</f>
        <v>@hrbrmstr</v>
      </c>
      <c r="C795" s="10" t="s">
        <v>7276</v>
      </c>
      <c r="D795" s="10" t="s">
        <v>7750</v>
      </c>
      <c r="E795" s="11" t="str">
        <f>HYPERLINK("https://twitter.com/hrbrmstr/status/701895058342211588","701895058342211588")</f>
        <v>701895058342211588</v>
      </c>
      <c r="F795" s="12" t="s">
        <v>20</v>
      </c>
      <c r="G795" s="13">
        <v>6135.0</v>
      </c>
      <c r="H795" s="13">
        <v>2926.0</v>
      </c>
      <c r="I795" s="13">
        <v>1.0</v>
      </c>
      <c r="J795" s="13">
        <v>3.0</v>
      </c>
      <c r="K795" s="12" t="s">
        <v>21</v>
      </c>
      <c r="L795" s="7">
        <v>39203.29472222222</v>
      </c>
      <c r="M795" s="14" t="s">
        <v>7278</v>
      </c>
      <c r="N795" s="14" t="s">
        <v>7279</v>
      </c>
      <c r="O795" s="11" t="str">
        <f>HYPERLINK("https://pbs.twimg.com/profile_images/557592259298729985/kpCUQWH1_normal.png","View")</f>
        <v>View</v>
      </c>
      <c r="P795" s="15"/>
    </row>
    <row r="796">
      <c r="A796" s="7">
        <v>42422.60056712963</v>
      </c>
      <c r="B796" s="8" t="str">
        <f>HYPERLINK("https://twitter.com/AdamsAndreaJ","@AdamsAndreaJ")</f>
        <v>@AdamsAndreaJ</v>
      </c>
      <c r="C796" s="10" t="s">
        <v>7751</v>
      </c>
      <c r="D796" s="10" t="s">
        <v>7752</v>
      </c>
      <c r="E796" s="11" t="str">
        <f>HYPERLINK("https://twitter.com/AdamsAndreaJ/status/701895447279902722","701895447279902722")</f>
        <v>701895447279902722</v>
      </c>
      <c r="F796" s="12" t="s">
        <v>1801</v>
      </c>
      <c r="G796" s="13">
        <v>133.0</v>
      </c>
      <c r="H796" s="13">
        <v>317.0</v>
      </c>
      <c r="I796" s="13">
        <v>0.0</v>
      </c>
      <c r="J796" s="13">
        <v>0.0</v>
      </c>
      <c r="K796" s="12" t="s">
        <v>21</v>
      </c>
      <c r="L796" s="7">
        <v>41185.54969907407</v>
      </c>
      <c r="M796" s="16"/>
      <c r="N796" s="14" t="s">
        <v>7753</v>
      </c>
      <c r="O796" s="11" t="str">
        <f>HYPERLINK("https://pbs.twimg.com/profile_images/536016928226041856/mUa2OcpT_normal.jpeg","View")</f>
        <v>View</v>
      </c>
      <c r="P796" s="15"/>
    </row>
    <row r="797">
      <c r="A797" s="7">
        <v>42422.600856481484</v>
      </c>
      <c r="B797" s="8" t="str">
        <f>HYPERLINK("https://twitter.com/rmflight","@rmflight")</f>
        <v>@rmflight</v>
      </c>
      <c r="C797" s="10" t="s">
        <v>7754</v>
      </c>
      <c r="D797" s="10" t="s">
        <v>7743</v>
      </c>
      <c r="E797" s="11" t="str">
        <f>HYPERLINK("https://twitter.com/rmflight/status/701895552502525953","701895552502525953")</f>
        <v>701895552502525953</v>
      </c>
      <c r="F797" s="12" t="s">
        <v>446</v>
      </c>
      <c r="G797" s="13">
        <v>559.0</v>
      </c>
      <c r="H797" s="13">
        <v>430.0</v>
      </c>
      <c r="I797" s="13">
        <v>5.0</v>
      </c>
      <c r="J797" s="13">
        <v>0.0</v>
      </c>
      <c r="K797" s="12" t="s">
        <v>21</v>
      </c>
      <c r="L797" s="7">
        <v>40949.25619212963</v>
      </c>
      <c r="M797" s="14" t="s">
        <v>7755</v>
      </c>
      <c r="N797" s="14" t="s">
        <v>7756</v>
      </c>
      <c r="O797" s="11" t="str">
        <f>HYPERLINK("https://pbs.twimg.com/profile_images/2150342436/Picture_1_normal.jpg","View")</f>
        <v>View</v>
      </c>
      <c r="P797" s="15"/>
    </row>
    <row r="798">
      <c r="A798" s="7">
        <v>42422.60092592593</v>
      </c>
      <c r="B798" s="8" t="str">
        <f t="shared" ref="B798:B799" si="105">HYPERLINK("https://twitter.com/Sheffield_R_","@Sheffield_R_")</f>
        <v>@Sheffield_R_</v>
      </c>
      <c r="C798" s="10" t="s">
        <v>6686</v>
      </c>
      <c r="D798" s="10" t="s">
        <v>6997</v>
      </c>
      <c r="E798" s="11" t="str">
        <f>HYPERLINK("https://twitter.com/Sheffield_R_/status/701895576921759744","701895576921759744")</f>
        <v>701895576921759744</v>
      </c>
      <c r="F798" s="12" t="s">
        <v>52</v>
      </c>
      <c r="G798" s="13">
        <v>256.0</v>
      </c>
      <c r="H798" s="13">
        <v>274.0</v>
      </c>
      <c r="I798" s="13">
        <v>18.0</v>
      </c>
      <c r="J798" s="13">
        <v>0.0</v>
      </c>
      <c r="K798" s="12" t="s">
        <v>21</v>
      </c>
      <c r="L798" s="7">
        <v>41773.27024305556</v>
      </c>
      <c r="M798" s="14" t="s">
        <v>6688</v>
      </c>
      <c r="N798" s="14" t="s">
        <v>6689</v>
      </c>
      <c r="O798" s="11" t="str">
        <f t="shared" ref="O798:O799" si="106">HYPERLINK("https://pbs.twimg.com/profile_images/526695509356838912/eSvsHAD7_normal.jpeg","View")</f>
        <v>View</v>
      </c>
      <c r="P798" s="15"/>
    </row>
    <row r="799">
      <c r="A799" s="7">
        <v>42422.601122685184</v>
      </c>
      <c r="B799" s="8" t="str">
        <f t="shared" si="105"/>
        <v>@Sheffield_R_</v>
      </c>
      <c r="C799" s="10" t="s">
        <v>6686</v>
      </c>
      <c r="D799" s="10" t="s">
        <v>7757</v>
      </c>
      <c r="E799" s="11" t="str">
        <f>HYPERLINK("https://twitter.com/Sheffield_R_/status/701895646123573248","701895646123573248")</f>
        <v>701895646123573248</v>
      </c>
      <c r="F799" s="12" t="s">
        <v>52</v>
      </c>
      <c r="G799" s="13">
        <v>256.0</v>
      </c>
      <c r="H799" s="13">
        <v>274.0</v>
      </c>
      <c r="I799" s="13">
        <v>2.0</v>
      </c>
      <c r="J799" s="13">
        <v>0.0</v>
      </c>
      <c r="K799" s="12" t="s">
        <v>21</v>
      </c>
      <c r="L799" s="7">
        <v>41773.27024305556</v>
      </c>
      <c r="M799" s="14" t="s">
        <v>6688</v>
      </c>
      <c r="N799" s="14" t="s">
        <v>6689</v>
      </c>
      <c r="O799" s="11" t="str">
        <f t="shared" si="106"/>
        <v>View</v>
      </c>
      <c r="P799" s="15"/>
    </row>
    <row r="800">
      <c r="A800" s="7">
        <v>42422.601805555554</v>
      </c>
      <c r="B800" s="8" t="str">
        <f>HYPERLINK("https://twitter.com/andyteucher","@andyteucher")</f>
        <v>@andyteucher</v>
      </c>
      <c r="C800" s="10" t="s">
        <v>7758</v>
      </c>
      <c r="D800" s="10" t="s">
        <v>7743</v>
      </c>
      <c r="E800" s="11" t="str">
        <f>HYPERLINK("https://twitter.com/andyteucher/status/701895892824031232","701895892824031232")</f>
        <v>701895892824031232</v>
      </c>
      <c r="F800" s="12" t="s">
        <v>446</v>
      </c>
      <c r="G800" s="13">
        <v>236.0</v>
      </c>
      <c r="H800" s="13">
        <v>530.0</v>
      </c>
      <c r="I800" s="13">
        <v>5.0</v>
      </c>
      <c r="J800" s="13">
        <v>0.0</v>
      </c>
      <c r="K800" s="12" t="s">
        <v>21</v>
      </c>
      <c r="L800" s="7">
        <v>40340.96523148148</v>
      </c>
      <c r="M800" s="14" t="s">
        <v>7759</v>
      </c>
      <c r="N800" s="14" t="s">
        <v>7760</v>
      </c>
      <c r="O800" s="11" t="str">
        <f>HYPERLINK("https://pbs.twimg.com/profile_images/509021766979579904/lAjlpu7x_normal.jpeg","View")</f>
        <v>View</v>
      </c>
      <c r="P800" s="15"/>
    </row>
    <row r="801">
      <c r="A801" s="7">
        <v>42422.60327546296</v>
      </c>
      <c r="B801" s="8" t="str">
        <f>HYPERLINK("https://twitter.com/tomhouslay","@tomhouslay")</f>
        <v>@tomhouslay</v>
      </c>
      <c r="C801" s="10" t="s">
        <v>6801</v>
      </c>
      <c r="D801" s="10" t="s">
        <v>7761</v>
      </c>
      <c r="E801" s="11" t="str">
        <f>HYPERLINK("https://twitter.com/tomhouslay/status/701896426016677888","701896426016677888")</f>
        <v>701896426016677888</v>
      </c>
      <c r="F801" s="12" t="s">
        <v>152</v>
      </c>
      <c r="G801" s="13">
        <v>2957.0</v>
      </c>
      <c r="H801" s="13">
        <v>2676.0</v>
      </c>
      <c r="I801" s="13">
        <v>73.0</v>
      </c>
      <c r="J801" s="13">
        <v>0.0</v>
      </c>
      <c r="K801" s="12" t="s">
        <v>21</v>
      </c>
      <c r="L801" s="7">
        <v>40136.59471064815</v>
      </c>
      <c r="M801" s="14" t="s">
        <v>6803</v>
      </c>
      <c r="N801" s="14" t="s">
        <v>6804</v>
      </c>
      <c r="O801" s="11" t="str">
        <f>HYPERLINK("https://pbs.twimg.com/profile_images/701901513392717824/lUzJ39G2_normal.png","View")</f>
        <v>View</v>
      </c>
      <c r="P801" s="15"/>
    </row>
    <row r="802">
      <c r="A802" s="7">
        <v>42422.604479166665</v>
      </c>
      <c r="B802" s="8" t="str">
        <f>HYPERLINK("https://twitter.com/AnalyticsVidhya","@AnalyticsVidhya")</f>
        <v>@AnalyticsVidhya</v>
      </c>
      <c r="C802" s="10" t="s">
        <v>2998</v>
      </c>
      <c r="D802" s="10" t="s">
        <v>7762</v>
      </c>
      <c r="E802" s="11" t="str">
        <f>HYPERLINK("https://twitter.com/AnalyticsVidhya/status/701896861767094272","701896861767094272")</f>
        <v>701896861767094272</v>
      </c>
      <c r="F802" s="12" t="s">
        <v>294</v>
      </c>
      <c r="G802" s="13">
        <v>4133.0</v>
      </c>
      <c r="H802" s="13">
        <v>250.0</v>
      </c>
      <c r="I802" s="13">
        <v>1.0</v>
      </c>
      <c r="J802" s="13">
        <v>3.0</v>
      </c>
      <c r="K802" s="12" t="s">
        <v>21</v>
      </c>
      <c r="L802" s="7">
        <v>41665.11702546296</v>
      </c>
      <c r="M802" s="16"/>
      <c r="N802" s="14" t="s">
        <v>3000</v>
      </c>
      <c r="O802" s="11" t="str">
        <f>HYPERLINK("https://pbs.twimg.com/profile_images/457775762108448768/XmO2C1-E_normal.png","View")</f>
        <v>View</v>
      </c>
      <c r="P802" s="15"/>
    </row>
    <row r="803">
      <c r="A803" s="7">
        <v>42422.60804398148</v>
      </c>
      <c r="B803" s="8" t="str">
        <f>HYPERLINK("https://twitter.com/Mairos_B","@Mairos_B")</f>
        <v>@Mairos_B</v>
      </c>
      <c r="C803" s="10" t="s">
        <v>7763</v>
      </c>
      <c r="D803" s="10" t="s">
        <v>6942</v>
      </c>
      <c r="E803" s="11" t="str">
        <f>HYPERLINK("https://twitter.com/Mairos_B/status/701898157026885632","701898157026885632")</f>
        <v>701898157026885632</v>
      </c>
      <c r="F803" s="12" t="s">
        <v>20</v>
      </c>
      <c r="G803" s="13">
        <v>54.0</v>
      </c>
      <c r="H803" s="13">
        <v>48.0</v>
      </c>
      <c r="I803" s="13">
        <v>17.0</v>
      </c>
      <c r="J803" s="13">
        <v>0.0</v>
      </c>
      <c r="K803" s="12" t="s">
        <v>21</v>
      </c>
      <c r="L803" s="7">
        <v>42255.493206018524</v>
      </c>
      <c r="M803" s="14" t="s">
        <v>7764</v>
      </c>
      <c r="N803" s="14" t="s">
        <v>7765</v>
      </c>
      <c r="O803" s="11" t="str">
        <f>HYPERLINK("https://pbs.twimg.com/profile_images/674745269339189252/a3K1eGSs_normal.jpg","View")</f>
        <v>View</v>
      </c>
      <c r="P803" s="15"/>
    </row>
    <row r="804">
      <c r="A804" s="7">
        <v>42422.60984953704</v>
      </c>
      <c r="B804" s="8" t="str">
        <f>HYPERLINK("https://twitter.com/akudus","@akudus")</f>
        <v>@akudus</v>
      </c>
      <c r="C804" s="10" t="s">
        <v>6897</v>
      </c>
      <c r="D804" s="10" t="s">
        <v>6918</v>
      </c>
      <c r="E804" s="11" t="str">
        <f>HYPERLINK("https://twitter.com/akudus/status/701898811061379072","701898811061379072")</f>
        <v>701898811061379072</v>
      </c>
      <c r="F804" s="12" t="s">
        <v>152</v>
      </c>
      <c r="G804" s="13">
        <v>167.0</v>
      </c>
      <c r="H804" s="13">
        <v>312.0</v>
      </c>
      <c r="I804" s="13">
        <v>32.0</v>
      </c>
      <c r="J804" s="13">
        <v>0.0</v>
      </c>
      <c r="K804" s="12" t="s">
        <v>21</v>
      </c>
      <c r="L804" s="7">
        <v>40044.04011574074</v>
      </c>
      <c r="M804" s="16"/>
      <c r="N804" s="16"/>
      <c r="O804" s="11" t="str">
        <f>HYPERLINK("https://pbs.twimg.com/profile_images/689130957475950592/DxFg5Xl4_normal.jpg","View")</f>
        <v>View</v>
      </c>
      <c r="P804" s="15"/>
    </row>
    <row r="805">
      <c r="A805" s="7">
        <v>42422.612534722226</v>
      </c>
      <c r="B805" s="8" t="str">
        <f>HYPERLINK("https://twitter.com/Hana_Anber","@Hana_Anber")</f>
        <v>@Hana_Anber</v>
      </c>
      <c r="C805" s="10" t="s">
        <v>3433</v>
      </c>
      <c r="D805" s="10" t="s">
        <v>7766</v>
      </c>
      <c r="E805" s="11" t="str">
        <f>HYPERLINK("https://twitter.com/Hana_Anber/status/701899780977459200","701899780977459200")</f>
        <v>701899780977459200</v>
      </c>
      <c r="F805" s="12" t="s">
        <v>52</v>
      </c>
      <c r="G805" s="13">
        <v>40.0</v>
      </c>
      <c r="H805" s="13">
        <v>77.0</v>
      </c>
      <c r="I805" s="13">
        <v>1.0</v>
      </c>
      <c r="J805" s="13">
        <v>0.0</v>
      </c>
      <c r="K805" s="12" t="s">
        <v>21</v>
      </c>
      <c r="L805" s="7">
        <v>41381.81621527778</v>
      </c>
      <c r="M805" s="16"/>
      <c r="N805" s="14" t="s">
        <v>3435</v>
      </c>
      <c r="O805" s="11" t="str">
        <f>HYPERLINK("https://pbs.twimg.com/profile_images/675159429629759490/U_ciM4bZ_normal.jpg","View")</f>
        <v>View</v>
      </c>
      <c r="P805" s="15"/>
    </row>
    <row r="806">
      <c r="A806" s="7">
        <v>42422.62329861111</v>
      </c>
      <c r="B806" s="8" t="str">
        <f>HYPERLINK("https://twitter.com/DataScienceHbt","@DataScienceHbt")</f>
        <v>@DataScienceHbt</v>
      </c>
      <c r="C806" s="10" t="s">
        <v>7767</v>
      </c>
      <c r="D806" s="10" t="s">
        <v>7743</v>
      </c>
      <c r="E806" s="11" t="str">
        <f>HYPERLINK("https://twitter.com/DataScienceHbt/status/701903682678312960","701903682678312960")</f>
        <v>701903682678312960</v>
      </c>
      <c r="F806" s="12" t="s">
        <v>20</v>
      </c>
      <c r="G806" s="13">
        <v>137.0</v>
      </c>
      <c r="H806" s="13">
        <v>117.0</v>
      </c>
      <c r="I806" s="13">
        <v>5.0</v>
      </c>
      <c r="J806" s="13">
        <v>0.0</v>
      </c>
      <c r="K806" s="12" t="s">
        <v>21</v>
      </c>
      <c r="L806" s="7">
        <v>41700.92693287037</v>
      </c>
      <c r="M806" s="14" t="s">
        <v>7768</v>
      </c>
      <c r="N806" s="14" t="s">
        <v>7769</v>
      </c>
      <c r="O806" s="11" t="str">
        <f>HYPERLINK("https://pbs.twimg.com/profile_images/572994620646268929/TLufZSI1_normal.jpeg","View")</f>
        <v>View</v>
      </c>
      <c r="P806" s="15"/>
    </row>
    <row r="807">
      <c r="A807" s="7">
        <v>42422.625451388885</v>
      </c>
      <c r="B807" s="8" t="str">
        <f>HYPERLINK("https://twitter.com/AnalyticsVidhya","@AnalyticsVidhya")</f>
        <v>@AnalyticsVidhya</v>
      </c>
      <c r="C807" s="10" t="s">
        <v>2998</v>
      </c>
      <c r="D807" s="10" t="s">
        <v>7770</v>
      </c>
      <c r="E807" s="11" t="str">
        <f>HYPERLINK("https://twitter.com/AnalyticsVidhya/status/701904464987480065","701904464987480065")</f>
        <v>701904464987480065</v>
      </c>
      <c r="F807" s="12" t="s">
        <v>294</v>
      </c>
      <c r="G807" s="13">
        <v>4133.0</v>
      </c>
      <c r="H807" s="13">
        <v>250.0</v>
      </c>
      <c r="I807" s="13">
        <v>0.0</v>
      </c>
      <c r="J807" s="13">
        <v>0.0</v>
      </c>
      <c r="K807" s="12" t="s">
        <v>21</v>
      </c>
      <c r="L807" s="7">
        <v>41665.11702546296</v>
      </c>
      <c r="M807" s="16"/>
      <c r="N807" s="14" t="s">
        <v>3000</v>
      </c>
      <c r="O807" s="11" t="str">
        <f>HYPERLINK("https://pbs.twimg.com/profile_images/457775762108448768/XmO2C1-E_normal.png","View")</f>
        <v>View</v>
      </c>
      <c r="P807" s="15"/>
    </row>
    <row r="808">
      <c r="A808" s="7">
        <v>42422.627916666665</v>
      </c>
      <c r="B808" s="8" t="str">
        <f>HYPERLINK("https://twitter.com/dataiku","@dataiku")</f>
        <v>@dataiku</v>
      </c>
      <c r="C808" s="10" t="s">
        <v>1632</v>
      </c>
      <c r="D808" s="10" t="s">
        <v>7771</v>
      </c>
      <c r="E808" s="11" t="str">
        <f>HYPERLINK("https://twitter.com/dataiku/status/701905354901348352","701905354901348352")</f>
        <v>701905354901348352</v>
      </c>
      <c r="F808" s="12" t="s">
        <v>294</v>
      </c>
      <c r="G808" s="13">
        <v>3443.0</v>
      </c>
      <c r="H808" s="13">
        <v>137.0</v>
      </c>
      <c r="I808" s="13">
        <v>2.0</v>
      </c>
      <c r="J808" s="13">
        <v>6.0</v>
      </c>
      <c r="K808" s="12" t="s">
        <v>21</v>
      </c>
      <c r="L808" s="7">
        <v>41162.9775</v>
      </c>
      <c r="M808" s="14" t="s">
        <v>241</v>
      </c>
      <c r="N808" s="14" t="s">
        <v>1634</v>
      </c>
      <c r="O808" s="11" t="str">
        <f>HYPERLINK("https://pbs.twimg.com/profile_images/703266586933764097/Xy8eks2C_normal.jpg","View")</f>
        <v>View</v>
      </c>
      <c r="P808" s="15"/>
    </row>
    <row r="809">
      <c r="A809" s="7">
        <v>42422.631261574075</v>
      </c>
      <c r="B809" s="8" t="str">
        <f>HYPERLINK("https://twitter.com/sfrechette","@sfrechette")</f>
        <v>@sfrechette</v>
      </c>
      <c r="C809" s="10" t="s">
        <v>6564</v>
      </c>
      <c r="D809" s="10" t="s">
        <v>7772</v>
      </c>
      <c r="E809" s="11" t="str">
        <f>HYPERLINK("https://twitter.com/sfrechette/status/701906569613676545","701906569613676545")</f>
        <v>701906569613676545</v>
      </c>
      <c r="F809" s="12" t="s">
        <v>6566</v>
      </c>
      <c r="G809" s="13">
        <v>1352.0</v>
      </c>
      <c r="H809" s="13">
        <v>1178.0</v>
      </c>
      <c r="I809" s="13">
        <v>0.0</v>
      </c>
      <c r="J809" s="13">
        <v>0.0</v>
      </c>
      <c r="K809" s="12" t="s">
        <v>21</v>
      </c>
      <c r="L809" s="7">
        <v>39873.53702546297</v>
      </c>
      <c r="M809" s="14" t="s">
        <v>6567</v>
      </c>
      <c r="N809" s="14" t="s">
        <v>6568</v>
      </c>
      <c r="O809" s="11" t="str">
        <f>HYPERLINK("https://pbs.twimg.com/profile_images/662342111799304192/Xtv8MZ-P_normal.jpg","View")</f>
        <v>View</v>
      </c>
      <c r="P809" s="15"/>
    </row>
    <row r="810">
      <c r="A810" s="7">
        <v>42422.631261574075</v>
      </c>
      <c r="B810" s="8" t="str">
        <f>HYPERLINK("https://twitter.com/gjhansen","@gjhansen")</f>
        <v>@gjhansen</v>
      </c>
      <c r="C810" s="10" t="s">
        <v>7773</v>
      </c>
      <c r="D810" s="10" t="s">
        <v>7774</v>
      </c>
      <c r="E810" s="11" t="str">
        <f>HYPERLINK("https://twitter.com/gjhansen/status/701906570700050432","701906570700050432")</f>
        <v>701906570700050432</v>
      </c>
      <c r="F810" s="12" t="s">
        <v>6566</v>
      </c>
      <c r="G810" s="13">
        <v>500.0</v>
      </c>
      <c r="H810" s="13">
        <v>2005.0</v>
      </c>
      <c r="I810" s="13">
        <v>0.0</v>
      </c>
      <c r="J810" s="13">
        <v>0.0</v>
      </c>
      <c r="K810" s="12" t="s">
        <v>21</v>
      </c>
      <c r="L810" s="7">
        <v>40041.70224537037</v>
      </c>
      <c r="M810" s="16"/>
      <c r="N810" s="14" t="s">
        <v>7775</v>
      </c>
      <c r="O810" s="11" t="str">
        <f>HYPERLINK("https://pbs.twimg.com/profile_images/651726629773774848/NgCokL7a_normal.jpg","View")</f>
        <v>View</v>
      </c>
      <c r="P810" s="15"/>
    </row>
    <row r="811">
      <c r="A811" s="7">
        <v>42422.631273148145</v>
      </c>
      <c r="B811" s="8" t="str">
        <f>HYPERLINK("https://twitter.com/bartonpoulson","@bartonpoulson")</f>
        <v>@bartonpoulson</v>
      </c>
      <c r="C811" s="10" t="s">
        <v>7744</v>
      </c>
      <c r="D811" s="10" t="s">
        <v>7776</v>
      </c>
      <c r="E811" s="11" t="str">
        <f>HYPERLINK("https://twitter.com/bartonpoulson/status/701906571316559873","701906571316559873")</f>
        <v>701906571316559873</v>
      </c>
      <c r="F811" s="12" t="s">
        <v>294</v>
      </c>
      <c r="G811" s="13">
        <v>53.0</v>
      </c>
      <c r="H811" s="13">
        <v>39.0</v>
      </c>
      <c r="I811" s="13">
        <v>2.0</v>
      </c>
      <c r="J811" s="13">
        <v>1.0</v>
      </c>
      <c r="K811" s="12" t="s">
        <v>21</v>
      </c>
      <c r="L811" s="7">
        <v>41841.396099537036</v>
      </c>
      <c r="M811" s="14" t="s">
        <v>7746</v>
      </c>
      <c r="N811" s="14" t="s">
        <v>7747</v>
      </c>
      <c r="O811" s="11" t="str">
        <f>HYPERLINK("https://pbs.twimg.com/profile_images/695090864083701760/T-xRoICU_normal.jpg","View")</f>
        <v>View</v>
      </c>
      <c r="P811" s="15"/>
    </row>
    <row r="812">
      <c r="A812" s="7">
        <v>42422.631273148145</v>
      </c>
      <c r="B812" s="8" t="str">
        <f>HYPERLINK("https://twitter.com/sentiwire","@sentiwire")</f>
        <v>@sentiwire</v>
      </c>
      <c r="C812" s="10" t="s">
        <v>381</v>
      </c>
      <c r="D812" s="10" t="s">
        <v>7777</v>
      </c>
      <c r="E812" s="11" t="str">
        <f>HYPERLINK("https://twitter.com/sentiwire/status/701906574554505217","701906574554505217")</f>
        <v>701906574554505217</v>
      </c>
      <c r="F812" s="12" t="s">
        <v>383</v>
      </c>
      <c r="G812" s="13">
        <v>515.0</v>
      </c>
      <c r="H812" s="13">
        <v>1716.0</v>
      </c>
      <c r="I812" s="13">
        <v>2.0</v>
      </c>
      <c r="J812" s="13">
        <v>0.0</v>
      </c>
      <c r="K812" s="12" t="s">
        <v>21</v>
      </c>
      <c r="L812" s="7">
        <v>41422.629641203705</v>
      </c>
      <c r="M812" s="16"/>
      <c r="N812" s="14" t="s">
        <v>384</v>
      </c>
      <c r="O812" s="11" t="str">
        <f>HYPERLINK("https://pbs.twimg.com/profile_images/686965105473396736/B9V5UtGS_normal.jpg","View")</f>
        <v>View</v>
      </c>
      <c r="P812" s="15"/>
    </row>
    <row r="813">
      <c r="A813" s="7">
        <v>42422.634606481486</v>
      </c>
      <c r="B813" s="8" t="str">
        <f>HYPERLINK("https://twitter.com/tjmahr","@tjmahr")</f>
        <v>@tjmahr</v>
      </c>
      <c r="C813" s="10" t="s">
        <v>7778</v>
      </c>
      <c r="D813" s="10" t="s">
        <v>7779</v>
      </c>
      <c r="E813" s="11" t="str">
        <f>HYPERLINK("https://twitter.com/tjmahr/status/701907779863187456","701907779863187456")</f>
        <v>701907779863187456</v>
      </c>
      <c r="F813" s="12" t="s">
        <v>20</v>
      </c>
      <c r="G813" s="13">
        <v>446.0</v>
      </c>
      <c r="H813" s="13">
        <v>638.0</v>
      </c>
      <c r="I813" s="13">
        <v>0.0</v>
      </c>
      <c r="J813" s="13">
        <v>0.0</v>
      </c>
      <c r="K813" s="12" t="s">
        <v>21</v>
      </c>
      <c r="L813" s="7">
        <v>40393.656747685185</v>
      </c>
      <c r="M813" s="14" t="s">
        <v>7780</v>
      </c>
      <c r="N813" s="14" t="s">
        <v>7781</v>
      </c>
      <c r="O813" s="11" t="str">
        <f>HYPERLINK("https://pbs.twimg.com/profile_images/703243921011417091/jicOr_09_normal.jpg","View")</f>
        <v>View</v>
      </c>
      <c r="P813" s="15"/>
    </row>
    <row r="814">
      <c r="A814" s="7">
        <v>42422.63670138889</v>
      </c>
      <c r="B814" s="8" t="str">
        <f>HYPERLINK("https://twitter.com/richardburcher","@richardburcher")</f>
        <v>@richardburcher</v>
      </c>
      <c r="C814" s="10" t="s">
        <v>7782</v>
      </c>
      <c r="D814" s="10" t="s">
        <v>7783</v>
      </c>
      <c r="E814" s="11" t="str">
        <f>HYPERLINK("https://twitter.com/richardburcher/status/701908540466663424","701908540466663424")</f>
        <v>701908540466663424</v>
      </c>
      <c r="F814" s="12" t="s">
        <v>20</v>
      </c>
      <c r="G814" s="13">
        <v>1046.0</v>
      </c>
      <c r="H814" s="13">
        <v>2018.0</v>
      </c>
      <c r="I814" s="13">
        <v>0.0</v>
      </c>
      <c r="J814" s="13">
        <v>1.0</v>
      </c>
      <c r="K814" s="12" t="s">
        <v>21</v>
      </c>
      <c r="L814" s="7">
        <v>40373.66730324074</v>
      </c>
      <c r="M814" s="14" t="s">
        <v>7784</v>
      </c>
      <c r="N814" s="14" t="s">
        <v>7785</v>
      </c>
      <c r="O814" s="11" t="str">
        <f>HYPERLINK("https://pbs.twimg.com/profile_images/378800000271628439/82d043c20adb7d8da91f704d2ecd63e9_normal.jpeg","View")</f>
        <v>View</v>
      </c>
      <c r="P814" s="15"/>
    </row>
    <row r="815">
      <c r="A815" s="7">
        <v>42422.63959490741</v>
      </c>
      <c r="B815" s="8" t="str">
        <f>HYPERLINK("https://twitter.com/sjackman","@sjackman")</f>
        <v>@sjackman</v>
      </c>
      <c r="C815" s="10" t="s">
        <v>7786</v>
      </c>
      <c r="D815" s="10" t="s">
        <v>6663</v>
      </c>
      <c r="E815" s="11" t="str">
        <f>HYPERLINK("https://twitter.com/sjackman/status/701909588375793665","701909588375793665")</f>
        <v>701909588375793665</v>
      </c>
      <c r="F815" s="12" t="s">
        <v>240</v>
      </c>
      <c r="G815" s="13">
        <v>1252.0</v>
      </c>
      <c r="H815" s="13">
        <v>177.0</v>
      </c>
      <c r="I815" s="13">
        <v>20.0</v>
      </c>
      <c r="J815" s="13">
        <v>0.0</v>
      </c>
      <c r="K815" s="12" t="s">
        <v>21</v>
      </c>
      <c r="L815" s="7">
        <v>39334.926469907405</v>
      </c>
      <c r="M815" s="14" t="s">
        <v>4608</v>
      </c>
      <c r="N815" s="14" t="s">
        <v>7787</v>
      </c>
      <c r="O815" s="11" t="str">
        <f>HYPERLINK("https://pbs.twimg.com/profile_images/1477813716/sdj-headshot-square_normal.jpg","View")</f>
        <v>View</v>
      </c>
      <c r="P815" s="15"/>
    </row>
    <row r="816">
      <c r="A816" s="7">
        <v>42422.64046296296</v>
      </c>
      <c r="B816" s="8" t="str">
        <f>HYPERLINK("https://twitter.com/mathvsoldage","@mathvsoldage")</f>
        <v>@mathvsoldage</v>
      </c>
      <c r="C816" s="10" t="s">
        <v>7788</v>
      </c>
      <c r="D816" s="10" t="s">
        <v>7789</v>
      </c>
      <c r="E816" s="11" t="str">
        <f>HYPERLINK("https://twitter.com/mathvsoldage/status/701909902906695680","701909902906695680")</f>
        <v>701909902906695680</v>
      </c>
      <c r="F816" s="12" t="s">
        <v>52</v>
      </c>
      <c r="G816" s="13">
        <v>765.0</v>
      </c>
      <c r="H816" s="13">
        <v>3677.0</v>
      </c>
      <c r="I816" s="13">
        <v>1.0</v>
      </c>
      <c r="J816" s="13">
        <v>2.0</v>
      </c>
      <c r="K816" s="12" t="s">
        <v>21</v>
      </c>
      <c r="L816" s="7">
        <v>42187.48844907407</v>
      </c>
      <c r="M816" s="14" t="s">
        <v>7790</v>
      </c>
      <c r="N816" s="14" t="s">
        <v>7791</v>
      </c>
      <c r="O816" s="11" t="str">
        <f>HYPERLINK("https://pbs.twimg.com/profile_images/631677773652688897/QS0sfAM4_normal.jpg","View")</f>
        <v>View</v>
      </c>
      <c r="P816" s="15"/>
    </row>
    <row r="817">
      <c r="A817" s="7">
        <v>42422.64233796296</v>
      </c>
      <c r="B817" s="8" t="str">
        <f>HYPERLINK("https://twitter.com/PyData","@PyData")</f>
        <v>@PyData</v>
      </c>
      <c r="C817" s="10" t="s">
        <v>3260</v>
      </c>
      <c r="D817" s="10" t="s">
        <v>7734</v>
      </c>
      <c r="E817" s="11" t="str">
        <f>HYPERLINK("https://twitter.com/PyData/status/701910582237134848","701910582237134848")</f>
        <v>701910582237134848</v>
      </c>
      <c r="F817" s="12" t="s">
        <v>20</v>
      </c>
      <c r="G817" s="13">
        <v>8469.0</v>
      </c>
      <c r="H817" s="13">
        <v>283.0</v>
      </c>
      <c r="I817" s="13">
        <v>6.0</v>
      </c>
      <c r="J817" s="13">
        <v>0.0</v>
      </c>
      <c r="K817" s="12" t="s">
        <v>21</v>
      </c>
      <c r="L817" s="7">
        <v>41131.8497337963</v>
      </c>
      <c r="M817" s="14" t="s">
        <v>2022</v>
      </c>
      <c r="N817" s="14" t="s">
        <v>3261</v>
      </c>
      <c r="O817" s="11" t="str">
        <f>HYPERLINK("https://pbs.twimg.com/profile_images/2928517227/19a21be5aacc105fda1a34cfc7696888_normal.png","View")</f>
        <v>View</v>
      </c>
      <c r="P817" s="15"/>
    </row>
    <row r="818">
      <c r="A818" s="7">
        <v>42422.64381944445</v>
      </c>
      <c r="B818" s="8" t="str">
        <f t="shared" ref="B818:B820" si="107">HYPERLINK("https://twitter.com/eoinbrazil","@eoinbrazil")</f>
        <v>@eoinbrazil</v>
      </c>
      <c r="C818" s="10" t="s">
        <v>5722</v>
      </c>
      <c r="D818" s="10" t="s">
        <v>6262</v>
      </c>
      <c r="E818" s="11" t="str">
        <f>HYPERLINK("https://twitter.com/eoinbrazil/status/701911118676172800","701911118676172800")</f>
        <v>701911118676172800</v>
      </c>
      <c r="F818" s="12" t="s">
        <v>52</v>
      </c>
      <c r="G818" s="13">
        <v>1397.0</v>
      </c>
      <c r="H818" s="13">
        <v>2087.0</v>
      </c>
      <c r="I818" s="13">
        <v>32.0</v>
      </c>
      <c r="J818" s="13">
        <v>0.0</v>
      </c>
      <c r="K818" s="12" t="s">
        <v>21</v>
      </c>
      <c r="L818" s="7">
        <v>40137.20575231481</v>
      </c>
      <c r="M818" s="14" t="s">
        <v>5723</v>
      </c>
      <c r="N818" s="14" t="s">
        <v>5724</v>
      </c>
      <c r="O818" s="11" t="str">
        <f t="shared" ref="O818:O820" si="108">HYPERLINK("https://pbs.twimg.com/profile_images/3056044654/58c333df91e8ff04a4d4ca5f773eeb43_normal.jpeg","View")</f>
        <v>View</v>
      </c>
      <c r="P818" s="15"/>
    </row>
    <row r="819">
      <c r="A819" s="7">
        <v>42422.64549768518</v>
      </c>
      <c r="B819" s="8" t="str">
        <f t="shared" si="107"/>
        <v>@eoinbrazil</v>
      </c>
      <c r="C819" s="10" t="s">
        <v>5722</v>
      </c>
      <c r="D819" s="10" t="s">
        <v>7715</v>
      </c>
      <c r="E819" s="11" t="str">
        <f>HYPERLINK("https://twitter.com/eoinbrazil/status/701911727290642433","701911727290642433")</f>
        <v>701911727290642433</v>
      </c>
      <c r="F819" s="12" t="s">
        <v>52</v>
      </c>
      <c r="G819" s="13">
        <v>1397.0</v>
      </c>
      <c r="H819" s="13">
        <v>2087.0</v>
      </c>
      <c r="I819" s="13">
        <v>18.0</v>
      </c>
      <c r="J819" s="13">
        <v>0.0</v>
      </c>
      <c r="K819" s="12" t="s">
        <v>21</v>
      </c>
      <c r="L819" s="7">
        <v>40137.20575231481</v>
      </c>
      <c r="M819" s="14" t="s">
        <v>5723</v>
      </c>
      <c r="N819" s="14" t="s">
        <v>5724</v>
      </c>
      <c r="O819" s="11" t="str">
        <f t="shared" si="108"/>
        <v>View</v>
      </c>
      <c r="P819" s="15"/>
    </row>
    <row r="820">
      <c r="A820" s="7">
        <v>42422.64579861111</v>
      </c>
      <c r="B820" s="8" t="str">
        <f t="shared" si="107"/>
        <v>@eoinbrazil</v>
      </c>
      <c r="C820" s="10" t="s">
        <v>5722</v>
      </c>
      <c r="D820" s="10" t="s">
        <v>7792</v>
      </c>
      <c r="E820" s="11" t="str">
        <f>HYPERLINK("https://twitter.com/eoinbrazil/status/701911837089071105","701911837089071105")</f>
        <v>701911837089071105</v>
      </c>
      <c r="F820" s="12" t="s">
        <v>52</v>
      </c>
      <c r="G820" s="13">
        <v>1397.0</v>
      </c>
      <c r="H820" s="13">
        <v>2087.0</v>
      </c>
      <c r="I820" s="13">
        <v>1.0</v>
      </c>
      <c r="J820" s="13">
        <v>0.0</v>
      </c>
      <c r="K820" s="12" t="s">
        <v>21</v>
      </c>
      <c r="L820" s="7">
        <v>40137.20575231481</v>
      </c>
      <c r="M820" s="14" t="s">
        <v>5723</v>
      </c>
      <c r="N820" s="14" t="s">
        <v>5724</v>
      </c>
      <c r="O820" s="11" t="str">
        <f t="shared" si="108"/>
        <v>View</v>
      </c>
      <c r="P820" s="15"/>
    </row>
    <row r="821">
      <c r="A821" s="7">
        <v>42422.64608796296</v>
      </c>
      <c r="B821" s="8" t="str">
        <f t="shared" ref="B821:B822" si="109">HYPERLINK("https://twitter.com/Rbloggers","@Rbloggers")</f>
        <v>@Rbloggers</v>
      </c>
      <c r="C821" s="10" t="s">
        <v>6221</v>
      </c>
      <c r="D821" s="10" t="s">
        <v>7793</v>
      </c>
      <c r="E821" s="11" t="str">
        <f>HYPERLINK("https://twitter.com/Rbloggers/status/701911942424719360","701911942424719360")</f>
        <v>701911942424719360</v>
      </c>
      <c r="F821" s="17" t="s">
        <v>6223</v>
      </c>
      <c r="G821" s="13">
        <v>28572.0</v>
      </c>
      <c r="H821" s="13">
        <v>36.0</v>
      </c>
      <c r="I821" s="13">
        <v>1.0</v>
      </c>
      <c r="J821" s="13">
        <v>2.0</v>
      </c>
      <c r="K821" s="12" t="s">
        <v>21</v>
      </c>
      <c r="L821" s="7">
        <v>40314.510601851856</v>
      </c>
      <c r="M821" s="16"/>
      <c r="N821" s="14" t="s">
        <v>6224</v>
      </c>
      <c r="O821" s="11" t="str">
        <f t="shared" ref="O821:O822" si="110">HYPERLINK("https://pbs.twimg.com/profile_images/502185985786916864/gkdFh-q7_normal.png","View")</f>
        <v>View</v>
      </c>
      <c r="P821" s="15"/>
    </row>
    <row r="822">
      <c r="A822" s="7">
        <v>42422.64611111111</v>
      </c>
      <c r="B822" s="8" t="str">
        <f t="shared" si="109"/>
        <v>@Rbloggers</v>
      </c>
      <c r="C822" s="10" t="s">
        <v>6221</v>
      </c>
      <c r="D822" s="10" t="s">
        <v>7794</v>
      </c>
      <c r="E822" s="11" t="str">
        <f>HYPERLINK("https://twitter.com/Rbloggers/status/701911950171570176","701911950171570176")</f>
        <v>701911950171570176</v>
      </c>
      <c r="F822" s="17" t="s">
        <v>6223</v>
      </c>
      <c r="G822" s="13">
        <v>28572.0</v>
      </c>
      <c r="H822" s="13">
        <v>36.0</v>
      </c>
      <c r="I822" s="13">
        <v>3.0</v>
      </c>
      <c r="J822" s="13">
        <v>3.0</v>
      </c>
      <c r="K822" s="12" t="s">
        <v>21</v>
      </c>
      <c r="L822" s="7">
        <v>40314.510601851856</v>
      </c>
      <c r="M822" s="16"/>
      <c r="N822" s="14" t="s">
        <v>6224</v>
      </c>
      <c r="O822" s="11" t="str">
        <f t="shared" si="110"/>
        <v>View</v>
      </c>
      <c r="P822" s="15"/>
    </row>
    <row r="823">
      <c r="A823" s="7">
        <v>42422.64994212963</v>
      </c>
      <c r="B823" s="8" t="str">
        <f>HYPERLINK("https://twitter.com/ThomasSpeidel","@ThomasSpeidel")</f>
        <v>@ThomasSpeidel</v>
      </c>
      <c r="C823" s="10" t="s">
        <v>7795</v>
      </c>
      <c r="D823" s="10" t="s">
        <v>7656</v>
      </c>
      <c r="E823" s="11" t="str">
        <f>HYPERLINK("https://twitter.com/ThomasSpeidel/status/701913336758161409","701913336758161409")</f>
        <v>701913336758161409</v>
      </c>
      <c r="F823" s="12" t="s">
        <v>152</v>
      </c>
      <c r="G823" s="13">
        <v>250.0</v>
      </c>
      <c r="H823" s="13">
        <v>186.0</v>
      </c>
      <c r="I823" s="13">
        <v>2.0</v>
      </c>
      <c r="J823" s="13">
        <v>0.0</v>
      </c>
      <c r="K823" s="12" t="s">
        <v>21</v>
      </c>
      <c r="L823" s="7">
        <v>41803.517592592594</v>
      </c>
      <c r="M823" s="16"/>
      <c r="N823" s="14" t="s">
        <v>7796</v>
      </c>
      <c r="O823" s="11" t="str">
        <f>HYPERLINK("https://pbs.twimg.com/profile_images/477536523017928705/hra32-U5_normal.png","View")</f>
        <v>View</v>
      </c>
      <c r="P823" s="15"/>
    </row>
    <row r="824">
      <c r="A824" s="7">
        <v>42422.65199074074</v>
      </c>
      <c r="B824" s="8" t="str">
        <f>HYPERLINK("https://twitter.com/jon_framp","@jon_framp")</f>
        <v>@jon_framp</v>
      </c>
      <c r="C824" s="10" t="s">
        <v>6382</v>
      </c>
      <c r="D824" s="10" t="s">
        <v>7797</v>
      </c>
      <c r="E824" s="11" t="str">
        <f>HYPERLINK("https://twitter.com/jon_framp/status/701914081389735936","701914081389735936")</f>
        <v>701914081389735936</v>
      </c>
      <c r="F824" s="12" t="s">
        <v>1563</v>
      </c>
      <c r="G824" s="13">
        <v>231.0</v>
      </c>
      <c r="H824" s="13">
        <v>522.0</v>
      </c>
      <c r="I824" s="13">
        <v>0.0</v>
      </c>
      <c r="J824" s="13">
        <v>0.0</v>
      </c>
      <c r="K824" s="12" t="s">
        <v>21</v>
      </c>
      <c r="L824" s="7">
        <v>40820.50349537037</v>
      </c>
      <c r="M824" s="14" t="s">
        <v>719</v>
      </c>
      <c r="N824" s="14" t="s">
        <v>6383</v>
      </c>
      <c r="O824" s="11" t="str">
        <f>HYPERLINK("https://pbs.twimg.com/profile_images/640659801395953664/eHaEu0aT_normal.jpg","View")</f>
        <v>View</v>
      </c>
      <c r="P824" s="15"/>
    </row>
    <row r="825">
      <c r="A825" s="7">
        <v>42422.65280092593</v>
      </c>
      <c r="B825" s="8" t="str">
        <f>HYPERLINK("https://twitter.com/imsanaw","@imsanaw")</f>
        <v>@imsanaw</v>
      </c>
      <c r="C825" s="10" t="s">
        <v>7798</v>
      </c>
      <c r="D825" s="10" t="s">
        <v>7799</v>
      </c>
      <c r="E825" s="11" t="str">
        <f>HYPERLINK("https://twitter.com/imsanaw/status/701914374626103296","701914374626103296")</f>
        <v>701914374626103296</v>
      </c>
      <c r="F825" s="12" t="s">
        <v>20</v>
      </c>
      <c r="G825" s="13">
        <v>67.0</v>
      </c>
      <c r="H825" s="13">
        <v>382.0</v>
      </c>
      <c r="I825" s="13">
        <v>0.0</v>
      </c>
      <c r="J825" s="13">
        <v>0.0</v>
      </c>
      <c r="K825" s="12" t="s">
        <v>21</v>
      </c>
      <c r="L825" s="7">
        <v>42228.87326388889</v>
      </c>
      <c r="M825" s="14" t="s">
        <v>1099</v>
      </c>
      <c r="N825" s="14" t="s">
        <v>7800</v>
      </c>
      <c r="O825" s="11" t="str">
        <f>HYPERLINK("https://pbs.twimg.com/profile_images/698582684931649537/xpFm__y9_normal.jpg","View")</f>
        <v>View</v>
      </c>
      <c r="P825" s="15"/>
    </row>
    <row r="826">
      <c r="A826" s="7">
        <v>42422.65648148148</v>
      </c>
      <c r="B826" s="8" t="str">
        <f>HYPERLINK("https://twitter.com/frod_san","@frod_san")</f>
        <v>@frod_san</v>
      </c>
      <c r="C826" s="10" t="s">
        <v>7801</v>
      </c>
      <c r="D826" s="10" t="s">
        <v>7802</v>
      </c>
      <c r="E826" s="11" t="str">
        <f>HYPERLINK("https://twitter.com/frod_san/status/701915708859531267","701915708859531267")</f>
        <v>701915708859531267</v>
      </c>
      <c r="F826" s="12" t="s">
        <v>1573</v>
      </c>
      <c r="G826" s="13">
        <v>684.0</v>
      </c>
      <c r="H826" s="13">
        <v>282.0</v>
      </c>
      <c r="I826" s="13">
        <v>5.0</v>
      </c>
      <c r="J826" s="13">
        <v>0.0</v>
      </c>
      <c r="K826" s="12" t="s">
        <v>21</v>
      </c>
      <c r="L826" s="7">
        <v>40723.45854166667</v>
      </c>
      <c r="M826" s="14" t="s">
        <v>7803</v>
      </c>
      <c r="N826" s="14" t="s">
        <v>7804</v>
      </c>
      <c r="O826" s="11" t="str">
        <f>HYPERLINK("https://pbs.twimg.com/profile_images/2726771918/8eff91c8cabe7eb6736f0ca05c2d3ee4_normal.jpeg","View")</f>
        <v>View</v>
      </c>
      <c r="P826" s="15"/>
    </row>
    <row r="827">
      <c r="A827" s="7">
        <v>42422.656701388885</v>
      </c>
      <c r="B827" s="8" t="str">
        <f>HYPERLINK("https://twitter.com/AntoViral","@AntoViral")</f>
        <v>@AntoViral</v>
      </c>
      <c r="C827" s="10" t="s">
        <v>7805</v>
      </c>
      <c r="D827" s="10" t="s">
        <v>7802</v>
      </c>
      <c r="E827" s="11" t="str">
        <f>HYPERLINK("https://twitter.com/AntoViral/status/701915786814869504","701915786814869504")</f>
        <v>701915786814869504</v>
      </c>
      <c r="F827" s="12" t="s">
        <v>152</v>
      </c>
      <c r="G827" s="13">
        <v>220.0</v>
      </c>
      <c r="H827" s="13">
        <v>295.0</v>
      </c>
      <c r="I827" s="13">
        <v>5.0</v>
      </c>
      <c r="J827" s="13">
        <v>0.0</v>
      </c>
      <c r="K827" s="12" t="s">
        <v>21</v>
      </c>
      <c r="L827" s="7">
        <v>41604.57907407408</v>
      </c>
      <c r="M827" s="16"/>
      <c r="N827" s="14" t="s">
        <v>7806</v>
      </c>
      <c r="O827" s="11" t="str">
        <f>HYPERLINK("https://pbs.twimg.com/profile_images/378800000794889152/545ea4ed01fbb17969822e1ee9b0f3fa_normal.jpeg","View")</f>
        <v>View</v>
      </c>
      <c r="P827" s="15"/>
    </row>
    <row r="828">
      <c r="A828" s="7">
        <v>42422.66055555556</v>
      </c>
      <c r="B828" s="8" t="str">
        <f>HYPERLINK("https://twitter.com/LovedeepSG","@LovedeepSG")</f>
        <v>@LovedeepSG</v>
      </c>
      <c r="C828" s="10" t="s">
        <v>6501</v>
      </c>
      <c r="D828" s="10" t="s">
        <v>7584</v>
      </c>
      <c r="E828" s="11" t="str">
        <f>HYPERLINK("https://twitter.com/LovedeepSG/status/701917182934913025","701917182934913025")</f>
        <v>701917182934913025</v>
      </c>
      <c r="F828" s="12" t="s">
        <v>152</v>
      </c>
      <c r="G828" s="13">
        <v>46.0</v>
      </c>
      <c r="H828" s="13">
        <v>85.0</v>
      </c>
      <c r="I828" s="13">
        <v>7.0</v>
      </c>
      <c r="J828" s="13">
        <v>0.0</v>
      </c>
      <c r="K828" s="12" t="s">
        <v>21</v>
      </c>
      <c r="L828" s="7">
        <v>41453.381203703706</v>
      </c>
      <c r="M828" s="14" t="s">
        <v>4138</v>
      </c>
      <c r="N828" s="14" t="s">
        <v>6502</v>
      </c>
      <c r="O828" s="11" t="str">
        <f>HYPERLINK("https://pbs.twimg.com/profile_images/378800000059126288/17d4fa184bbd13c1e64465a3cc234efc_normal.jpeg","View")</f>
        <v>View</v>
      </c>
      <c r="P828" s="15"/>
    </row>
    <row r="829">
      <c r="A829" s="7">
        <v>42422.66136574074</v>
      </c>
      <c r="B829" s="8" t="str">
        <f>HYPERLINK("https://twitter.com/UTVilla","@UTVilla")</f>
        <v>@UTVilla</v>
      </c>
      <c r="C829" s="10" t="s">
        <v>6462</v>
      </c>
      <c r="D829" s="10" t="s">
        <v>7807</v>
      </c>
      <c r="E829" s="11" t="str">
        <f>HYPERLINK("https://twitter.com/UTVilla/status/701917477920493573","701917477920493573")</f>
        <v>701917477920493573</v>
      </c>
      <c r="F829" s="12" t="s">
        <v>20</v>
      </c>
      <c r="G829" s="13">
        <v>645.0</v>
      </c>
      <c r="H829" s="13">
        <v>555.0</v>
      </c>
      <c r="I829" s="13">
        <v>0.0</v>
      </c>
      <c r="J829" s="13">
        <v>1.0</v>
      </c>
      <c r="K829" s="12" t="s">
        <v>21</v>
      </c>
      <c r="L829" s="7">
        <v>40668.55582175926</v>
      </c>
      <c r="M829" s="16"/>
      <c r="N829" s="14" t="s">
        <v>7808</v>
      </c>
      <c r="O829" s="11" t="str">
        <f>HYPERLINK("https://pbs.twimg.com/profile_images/668955815521484804/AhqlNCRm_normal.jpg","View")</f>
        <v>View</v>
      </c>
      <c r="P829" s="15"/>
    </row>
    <row r="830">
      <c r="A830" s="7">
        <v>42422.661770833336</v>
      </c>
      <c r="B830" s="8" t="str">
        <f>HYPERLINK("https://twitter.com/cpsievert","@cpsievert")</f>
        <v>@cpsievert</v>
      </c>
      <c r="C830" s="10" t="s">
        <v>7809</v>
      </c>
      <c r="D830" s="10" t="s">
        <v>7547</v>
      </c>
      <c r="E830" s="11" t="str">
        <f>HYPERLINK("https://twitter.com/cpsievert/status/701917625853476864","701917625853476864")</f>
        <v>701917625853476864</v>
      </c>
      <c r="F830" s="12" t="s">
        <v>446</v>
      </c>
      <c r="G830" s="13">
        <v>826.0</v>
      </c>
      <c r="H830" s="13">
        <v>582.0</v>
      </c>
      <c r="I830" s="13">
        <v>9.0</v>
      </c>
      <c r="J830" s="13">
        <v>0.0</v>
      </c>
      <c r="K830" s="12" t="s">
        <v>21</v>
      </c>
      <c r="L830" s="7">
        <v>40707.78097222222</v>
      </c>
      <c r="M830" s="14" t="s">
        <v>7810</v>
      </c>
      <c r="N830" s="14" t="s">
        <v>7811</v>
      </c>
      <c r="O830" s="11" t="str">
        <f>HYPERLINK("https://pbs.twimg.com/profile_images/697646968969912320/CD5cPNPT_normal.jpg","View")</f>
        <v>View</v>
      </c>
      <c r="P830" s="15"/>
    </row>
    <row r="831">
      <c r="A831" s="7">
        <v>42422.663263888884</v>
      </c>
      <c r="B831" s="8" t="str">
        <f>HYPERLINK("https://twitter.com/kevin_ushey","@kevin_ushey")</f>
        <v>@kevin_ushey</v>
      </c>
      <c r="C831" s="10" t="s">
        <v>7440</v>
      </c>
      <c r="D831" s="10" t="s">
        <v>7812</v>
      </c>
      <c r="E831" s="11" t="str">
        <f>HYPERLINK("https://twitter.com/kevin_ushey/status/701918165119307776","701918165119307776")</f>
        <v>701918165119307776</v>
      </c>
      <c r="F831" s="12" t="s">
        <v>20</v>
      </c>
      <c r="G831" s="13">
        <v>801.0</v>
      </c>
      <c r="H831" s="13">
        <v>466.0</v>
      </c>
      <c r="I831" s="13">
        <v>0.0</v>
      </c>
      <c r="J831" s="13">
        <v>1.0</v>
      </c>
      <c r="K831" s="12" t="s">
        <v>21</v>
      </c>
      <c r="L831" s="7">
        <v>40188.63664351852</v>
      </c>
      <c r="M831" s="14" t="s">
        <v>7442</v>
      </c>
      <c r="N831" s="14" t="s">
        <v>7443</v>
      </c>
      <c r="O831" s="11" t="str">
        <f>HYPERLINK("https://pbs.twimg.com/profile_images/480453401298223104/Ce3-EVYP_normal.jpeg","View")</f>
        <v>View</v>
      </c>
      <c r="P831" s="15"/>
    </row>
    <row r="832">
      <c r="A832" s="7">
        <v>42422.66490740741</v>
      </c>
      <c r="B832" s="8" t="str">
        <f>HYPERLINK("https://twitter.com/kevlbass1024","@kevlbass1024")</f>
        <v>@kevlbass1024</v>
      </c>
      <c r="C832" s="10" t="s">
        <v>3851</v>
      </c>
      <c r="D832" s="10" t="s">
        <v>7813</v>
      </c>
      <c r="E832" s="11" t="str">
        <f>HYPERLINK("https://twitter.com/kevlbass1024/status/701918762228961281","701918762228961281")</f>
        <v>701918762228961281</v>
      </c>
      <c r="F832" s="12" t="s">
        <v>20</v>
      </c>
      <c r="G832" s="13">
        <v>530.0</v>
      </c>
      <c r="H832" s="13">
        <v>830.0</v>
      </c>
      <c r="I832" s="13">
        <v>0.0</v>
      </c>
      <c r="J832" s="13">
        <v>1.0</v>
      </c>
      <c r="K832" s="12" t="s">
        <v>21</v>
      </c>
      <c r="L832" s="7">
        <v>42369.77342592593</v>
      </c>
      <c r="M832" s="16"/>
      <c r="N832" s="14" t="s">
        <v>3853</v>
      </c>
      <c r="O832" s="11" t="str">
        <f>HYPERLINK("https://pbs.twimg.com/profile_images/682757887261818880/Q5--Prn6_normal.jpg","View")</f>
        <v>View</v>
      </c>
      <c r="P832" s="15"/>
    </row>
    <row r="833">
      <c r="A833" s="7">
        <v>42422.665625</v>
      </c>
      <c r="B833" s="8" t="str">
        <f>HYPERLINK("https://twitter.com/tthus","@tthus")</f>
        <v>@tthus</v>
      </c>
      <c r="C833" s="10" t="s">
        <v>1672</v>
      </c>
      <c r="D833" s="10" t="s">
        <v>7814</v>
      </c>
      <c r="E833" s="11" t="str">
        <f>HYPERLINK("https://twitter.com/tthus/status/701919020715536385","701919020715536385")</f>
        <v>701919020715536385</v>
      </c>
      <c r="F833" s="12" t="s">
        <v>52</v>
      </c>
      <c r="G833" s="13">
        <v>2082.0</v>
      </c>
      <c r="H833" s="13">
        <v>4999.0</v>
      </c>
      <c r="I833" s="13">
        <v>2.0</v>
      </c>
      <c r="J833" s="13">
        <v>0.0</v>
      </c>
      <c r="K833" s="12" t="s">
        <v>21</v>
      </c>
      <c r="L833" s="7">
        <v>39960.30322916667</v>
      </c>
      <c r="M833" s="14" t="s">
        <v>462</v>
      </c>
      <c r="N833" s="14" t="s">
        <v>1673</v>
      </c>
      <c r="O833" s="11" t="str">
        <f>HYPERLINK("https://pbs.twimg.com/profile_images/1798900601/Twit_profil_normal.jpg","View")</f>
        <v>View</v>
      </c>
      <c r="P833" s="15"/>
    </row>
    <row r="834">
      <c r="A834" s="7">
        <v>42422.666296296295</v>
      </c>
      <c r="B834" s="8" t="str">
        <f>HYPERLINK("https://twitter.com/_SevillaR","@_SevillaR")</f>
        <v>@_SevillaR</v>
      </c>
      <c r="C834" s="10" t="s">
        <v>7815</v>
      </c>
      <c r="D834" s="10" t="s">
        <v>7802</v>
      </c>
      <c r="E834" s="11" t="str">
        <f>HYPERLINK("https://twitter.com/_SevillaR/status/701919266929516544","701919266929516544")</f>
        <v>701919266929516544</v>
      </c>
      <c r="F834" s="12" t="s">
        <v>1573</v>
      </c>
      <c r="G834" s="13">
        <v>89.0</v>
      </c>
      <c r="H834" s="13">
        <v>12.0</v>
      </c>
      <c r="I834" s="13">
        <v>5.0</v>
      </c>
      <c r="J834" s="13">
        <v>0.0</v>
      </c>
      <c r="K834" s="12" t="s">
        <v>21</v>
      </c>
      <c r="L834" s="7">
        <v>42030.332604166666</v>
      </c>
      <c r="M834" s="14" t="s">
        <v>7803</v>
      </c>
      <c r="N834" s="14" t="s">
        <v>7816</v>
      </c>
      <c r="O834" s="11" t="str">
        <f>HYPERLINK("https://pbs.twimg.com/profile_images/559743059789762561/0E4ssdxo_normal.jpeg","View")</f>
        <v>View</v>
      </c>
      <c r="P834" s="15"/>
    </row>
    <row r="835">
      <c r="A835" s="7">
        <v>42422.66674768519</v>
      </c>
      <c r="B835" s="8" t="str">
        <f>HYPERLINK("https://twitter.com/InfographicsIts","@InfographicsIts")</f>
        <v>@InfographicsIts</v>
      </c>
      <c r="C835" s="9" t="s">
        <v>7817</v>
      </c>
      <c r="D835" s="10" t="s">
        <v>7802</v>
      </c>
      <c r="E835" s="11" t="str">
        <f>HYPERLINK("https://twitter.com/InfographicsIts/status/701919429622423554","701919429622423554")</f>
        <v>701919429622423554</v>
      </c>
      <c r="F835" s="12" t="s">
        <v>7818</v>
      </c>
      <c r="G835" s="13">
        <v>3696.0</v>
      </c>
      <c r="H835" s="13">
        <v>1973.0</v>
      </c>
      <c r="I835" s="13">
        <v>5.0</v>
      </c>
      <c r="J835" s="13">
        <v>0.0</v>
      </c>
      <c r="K835" s="12" t="s">
        <v>21</v>
      </c>
      <c r="L835" s="7">
        <v>42096.116122685184</v>
      </c>
      <c r="M835" s="16"/>
      <c r="N835" s="14" t="s">
        <v>7819</v>
      </c>
      <c r="O835" s="11" t="str">
        <f>HYPERLINK("https://pbs.twimg.com/profile_images/588517027007967232/ZUdGXUex_normal.jpg","View")</f>
        <v>View</v>
      </c>
      <c r="P835" s="15"/>
    </row>
    <row r="836">
      <c r="A836" s="7">
        <v>42422.66778935185</v>
      </c>
      <c r="B836" s="8" t="str">
        <f>HYPERLINK("https://twitter.com/zaticwu","@zaticwu")</f>
        <v>@zaticwu</v>
      </c>
      <c r="C836" s="10" t="s">
        <v>7021</v>
      </c>
      <c r="D836" s="10" t="s">
        <v>7820</v>
      </c>
      <c r="E836" s="11" t="str">
        <f>HYPERLINK("https://twitter.com/zaticwu/status/701919804400148481","701919804400148481")</f>
        <v>701919804400148481</v>
      </c>
      <c r="F836" s="12" t="s">
        <v>152</v>
      </c>
      <c r="G836" s="13">
        <v>126.0</v>
      </c>
      <c r="H836" s="13">
        <v>353.0</v>
      </c>
      <c r="I836" s="13">
        <v>3.0</v>
      </c>
      <c r="J836" s="13">
        <v>0.0</v>
      </c>
      <c r="K836" s="12" t="s">
        <v>21</v>
      </c>
      <c r="L836" s="7">
        <v>40668.12063657407</v>
      </c>
      <c r="M836" s="14" t="s">
        <v>7022</v>
      </c>
      <c r="N836" s="14" t="s">
        <v>7023</v>
      </c>
      <c r="O836" s="11" t="str">
        <f>HYPERLINK("https://pbs.twimg.com/profile_images/509100899063439361/1xdR38oG_normal.jpeg","View")</f>
        <v>View</v>
      </c>
      <c r="P836" s="15"/>
    </row>
    <row r="837">
      <c r="A837" s="7">
        <v>42422.67199074074</v>
      </c>
      <c r="B837" s="8" t="str">
        <f>HYPERLINK("https://twitter.com/klunkySQL","@klunkySQL")</f>
        <v>@klunkySQL</v>
      </c>
      <c r="C837" s="10" t="s">
        <v>7329</v>
      </c>
      <c r="D837" s="10" t="s">
        <v>6942</v>
      </c>
      <c r="E837" s="11" t="str">
        <f>HYPERLINK("https://twitter.com/klunkySQL/status/701921327737925636","701921327737925636")</f>
        <v>701921327737925636</v>
      </c>
      <c r="F837" s="12" t="s">
        <v>52</v>
      </c>
      <c r="G837" s="13">
        <v>18434.0</v>
      </c>
      <c r="H837" s="13">
        <v>17057.0</v>
      </c>
      <c r="I837" s="13">
        <v>17.0</v>
      </c>
      <c r="J837" s="13">
        <v>0.0</v>
      </c>
      <c r="K837" s="12" t="s">
        <v>21</v>
      </c>
      <c r="L837" s="7">
        <v>39772.462384259255</v>
      </c>
      <c r="M837" s="14" t="s">
        <v>3505</v>
      </c>
      <c r="N837" s="14" t="s">
        <v>7330</v>
      </c>
      <c r="O837" s="11" t="str">
        <f>HYPERLINK("https://pbs.twimg.com/profile_images/378800000400158691/edbe12abee25147a4fa5f37eced8f9cb_normal.png","View")</f>
        <v>View</v>
      </c>
      <c r="P837" s="15"/>
    </row>
    <row r="838">
      <c r="A838" s="7">
        <v>42422.67359953704</v>
      </c>
      <c r="B838" s="8" t="str">
        <f>HYPERLINK("https://twitter.com/MattDowle","@MattDowle")</f>
        <v>@MattDowle</v>
      </c>
      <c r="C838" s="10" t="s">
        <v>7821</v>
      </c>
      <c r="D838" s="10" t="s">
        <v>7392</v>
      </c>
      <c r="E838" s="11" t="str">
        <f>HYPERLINK("https://twitter.com/MattDowle/status/701921910750248964","701921910750248964")</f>
        <v>701921910750248964</v>
      </c>
      <c r="F838" s="12" t="s">
        <v>20</v>
      </c>
      <c r="G838" s="13">
        <v>1266.0</v>
      </c>
      <c r="H838" s="13">
        <v>104.0</v>
      </c>
      <c r="I838" s="13">
        <v>4.0</v>
      </c>
      <c r="J838" s="13">
        <v>0.0</v>
      </c>
      <c r="K838" s="12" t="s">
        <v>21</v>
      </c>
      <c r="L838" s="7">
        <v>40948.28002314815</v>
      </c>
      <c r="M838" s="14" t="s">
        <v>7822</v>
      </c>
      <c r="N838" s="14" t="s">
        <v>7823</v>
      </c>
      <c r="O838" s="11" t="str">
        <f>HYPERLINK("https://pbs.twimg.com/profile_images/466298987297767424/1ueQr4I5_normal.jpeg","View")</f>
        <v>View</v>
      </c>
      <c r="P838" s="15"/>
    </row>
    <row r="839">
      <c r="A839" s="7">
        <v>42422.67372685185</v>
      </c>
      <c r="B839" s="8" t="str">
        <f>HYPERLINK("https://twitter.com/NumFOCUS","@NumFOCUS")</f>
        <v>@NumFOCUS</v>
      </c>
      <c r="C839" s="10" t="s">
        <v>3159</v>
      </c>
      <c r="D839" s="10" t="s">
        <v>7824</v>
      </c>
      <c r="E839" s="11" t="str">
        <f>HYPERLINK("https://twitter.com/NumFOCUS/status/701921958548656129","701921958548656129")</f>
        <v>701921958548656129</v>
      </c>
      <c r="F839" s="12" t="s">
        <v>659</v>
      </c>
      <c r="G839" s="13">
        <v>1376.0</v>
      </c>
      <c r="H839" s="13">
        <v>203.0</v>
      </c>
      <c r="I839" s="13">
        <v>0.0</v>
      </c>
      <c r="J839" s="13">
        <v>2.0</v>
      </c>
      <c r="K839" s="12" t="s">
        <v>21</v>
      </c>
      <c r="L839" s="7">
        <v>41281.439409722225</v>
      </c>
      <c r="M839" s="14" t="s">
        <v>2022</v>
      </c>
      <c r="N839" s="14" t="s">
        <v>3160</v>
      </c>
      <c r="O839" s="11" t="str">
        <f>HYPERLINK("https://pbs.twimg.com/profile_images/702558144958869504/AIKaOGn__normal.png","View")</f>
        <v>View</v>
      </c>
      <c r="P839" s="15"/>
    </row>
    <row r="840">
      <c r="A840" s="7">
        <v>42422.67684027778</v>
      </c>
      <c r="B840" s="8" t="str">
        <f>HYPERLINK("https://twitter.com/tangming2005","@tangming2005")</f>
        <v>@tangming2005</v>
      </c>
      <c r="C840" s="10" t="s">
        <v>7468</v>
      </c>
      <c r="D840" s="10" t="s">
        <v>6663</v>
      </c>
      <c r="E840" s="11" t="str">
        <f>HYPERLINK("https://twitter.com/tangming2005/status/701923085885186048","701923085885186048")</f>
        <v>701923085885186048</v>
      </c>
      <c r="F840" s="12" t="s">
        <v>52</v>
      </c>
      <c r="G840" s="13">
        <v>305.0</v>
      </c>
      <c r="H840" s="13">
        <v>383.0</v>
      </c>
      <c r="I840" s="13">
        <v>20.0</v>
      </c>
      <c r="J840" s="13">
        <v>0.0</v>
      </c>
      <c r="K840" s="12" t="s">
        <v>21</v>
      </c>
      <c r="L840" s="7">
        <v>40887.43666666667</v>
      </c>
      <c r="M840" s="14" t="s">
        <v>719</v>
      </c>
      <c r="N840" s="14" t="s">
        <v>7469</v>
      </c>
      <c r="O840" s="11" t="str">
        <f>HYPERLINK("https://pbs.twimg.com/profile_images/442060405225967617/jOtd1ueH_normal.jpeg","View")</f>
        <v>View</v>
      </c>
      <c r="P840" s="15"/>
    </row>
    <row r="841">
      <c r="A841" s="7">
        <v>42422.68537037037</v>
      </c>
      <c r="B841" s="8" t="str">
        <f>HYPERLINK("https://twitter.com/DDEdwards_","@DDEdwards_")</f>
        <v>@DDEdwards_</v>
      </c>
      <c r="C841" s="10" t="s">
        <v>7825</v>
      </c>
      <c r="D841" s="10" t="s">
        <v>6319</v>
      </c>
      <c r="E841" s="11" t="str">
        <f>HYPERLINK("https://twitter.com/DDEdwards_/status/701926179243167748","701926179243167748")</f>
        <v>701926179243167748</v>
      </c>
      <c r="F841" s="12" t="s">
        <v>152</v>
      </c>
      <c r="G841" s="13">
        <v>23.0</v>
      </c>
      <c r="H841" s="13">
        <v>51.0</v>
      </c>
      <c r="I841" s="13">
        <v>106.0</v>
      </c>
      <c r="J841" s="13">
        <v>0.0</v>
      </c>
      <c r="K841" s="12" t="s">
        <v>21</v>
      </c>
      <c r="L841" s="7">
        <v>42073.446018518516</v>
      </c>
      <c r="M841" s="14" t="s">
        <v>7826</v>
      </c>
      <c r="N841" s="14" t="s">
        <v>7827</v>
      </c>
      <c r="O841" s="11" t="str">
        <f>HYPERLINK("https://pbs.twimg.com/profile_images/657779791215505408/Ajpi7ENQ_normal.jpg","View")</f>
        <v>View</v>
      </c>
      <c r="P841" s="15"/>
    </row>
    <row r="842">
      <c r="A842" s="7">
        <v>42422.68693287037</v>
      </c>
      <c r="B842" s="8" t="str">
        <f>HYPERLINK("https://twitter.com/homeAIinfo","@homeAIinfo")</f>
        <v>@homeAIinfo</v>
      </c>
      <c r="C842" s="10" t="s">
        <v>36</v>
      </c>
      <c r="D842" s="10" t="s">
        <v>7820</v>
      </c>
      <c r="E842" s="11" t="str">
        <f>HYPERLINK("https://twitter.com/homeAIinfo/status/701926741728690176","701926741728690176")</f>
        <v>701926741728690176</v>
      </c>
      <c r="F842" s="12" t="s">
        <v>38</v>
      </c>
      <c r="G842" s="13">
        <v>52868.0</v>
      </c>
      <c r="H842" s="13">
        <v>1328.0</v>
      </c>
      <c r="I842" s="13">
        <v>3.0</v>
      </c>
      <c r="J842" s="13">
        <v>0.0</v>
      </c>
      <c r="K842" s="12" t="s">
        <v>21</v>
      </c>
      <c r="L842" s="7">
        <v>42133.34662037037</v>
      </c>
      <c r="M842" s="14" t="s">
        <v>39</v>
      </c>
      <c r="N842" s="14" t="s">
        <v>40</v>
      </c>
      <c r="O842" s="11" t="str">
        <f>HYPERLINK("https://pbs.twimg.com/profile_images/645650110374936580/-oQakt8x_normal.png","View")</f>
        <v>View</v>
      </c>
      <c r="P842" s="15"/>
    </row>
    <row r="843">
      <c r="A843" s="7">
        <v>42422.68752314815</v>
      </c>
      <c r="B843" s="8" t="str">
        <f>HYPERLINK("https://twitter.com/robbibt","@robbibt")</f>
        <v>@robbibt</v>
      </c>
      <c r="C843" s="10" t="s">
        <v>7828</v>
      </c>
      <c r="D843" s="10" t="s">
        <v>7829</v>
      </c>
      <c r="E843" s="11" t="str">
        <f>HYPERLINK("https://twitter.com/robbibt/status/701926955810054144","701926955810054144")</f>
        <v>701926955810054144</v>
      </c>
      <c r="F843" s="12" t="s">
        <v>20</v>
      </c>
      <c r="G843" s="13">
        <v>1272.0</v>
      </c>
      <c r="H843" s="13">
        <v>2099.0</v>
      </c>
      <c r="I843" s="13">
        <v>1.0</v>
      </c>
      <c r="J843" s="13">
        <v>3.0</v>
      </c>
      <c r="K843" s="12" t="s">
        <v>21</v>
      </c>
      <c r="L843" s="7">
        <v>39581.2309837963</v>
      </c>
      <c r="M843" s="14" t="s">
        <v>7830</v>
      </c>
      <c r="N843" s="14" t="s">
        <v>7831</v>
      </c>
      <c r="O843" s="11" t="str">
        <f>HYPERLINK("https://pbs.twimg.com/profile_images/699768371772919808/n6HhER0Y_normal.jpg","View")</f>
        <v>View</v>
      </c>
      <c r="P843" s="15"/>
    </row>
    <row r="844">
      <c r="A844" s="7">
        <v>42422.6877662037</v>
      </c>
      <c r="B844" s="8" t="str">
        <f>HYPERLINK("https://twitter.com/NumFOCUS","@NumFOCUS")</f>
        <v>@NumFOCUS</v>
      </c>
      <c r="C844" s="10" t="s">
        <v>3159</v>
      </c>
      <c r="D844" s="10" t="s">
        <v>7832</v>
      </c>
      <c r="E844" s="11" t="str">
        <f>HYPERLINK("https://twitter.com/NumFOCUS/status/701927045769650178","701927045769650178")</f>
        <v>701927045769650178</v>
      </c>
      <c r="F844" s="12" t="s">
        <v>659</v>
      </c>
      <c r="G844" s="13">
        <v>1376.0</v>
      </c>
      <c r="H844" s="13">
        <v>203.0</v>
      </c>
      <c r="I844" s="13">
        <v>9.0</v>
      </c>
      <c r="J844" s="13">
        <v>11.0</v>
      </c>
      <c r="K844" s="12" t="s">
        <v>21</v>
      </c>
      <c r="L844" s="7">
        <v>41281.439409722225</v>
      </c>
      <c r="M844" s="14" t="s">
        <v>2022</v>
      </c>
      <c r="N844" s="14" t="s">
        <v>3160</v>
      </c>
      <c r="O844" s="11" t="str">
        <f>HYPERLINK("https://pbs.twimg.com/profile_images/702558144958869504/AIKaOGn__normal.png","View")</f>
        <v>View</v>
      </c>
      <c r="P844" s="15"/>
    </row>
    <row r="845">
      <c r="A845" s="7">
        <v>42422.68787037037</v>
      </c>
      <c r="B845" s="8" t="str">
        <f>HYPERLINK("https://twitter.com/mhiggins2000","@mhiggins2000")</f>
        <v>@mhiggins2000</v>
      </c>
      <c r="C845" s="10" t="s">
        <v>7833</v>
      </c>
      <c r="D845" s="10" t="s">
        <v>7482</v>
      </c>
      <c r="E845" s="11" t="str">
        <f>HYPERLINK("https://twitter.com/mhiggins2000/status/701927083216343040","701927083216343040")</f>
        <v>701927083216343040</v>
      </c>
      <c r="F845" s="12" t="s">
        <v>152</v>
      </c>
      <c r="G845" s="13">
        <v>64.0</v>
      </c>
      <c r="H845" s="13">
        <v>97.0</v>
      </c>
      <c r="I845" s="13">
        <v>8.0</v>
      </c>
      <c r="J845" s="13">
        <v>0.0</v>
      </c>
      <c r="K845" s="12" t="s">
        <v>21</v>
      </c>
      <c r="L845" s="7">
        <v>40927.871840277774</v>
      </c>
      <c r="M845" s="14" t="s">
        <v>7834</v>
      </c>
      <c r="N845" s="14" t="s">
        <v>7835</v>
      </c>
      <c r="O845" s="11" t="str">
        <f>HYPERLINK("https://pbs.twimg.com/profile_images/536482954516520960/4dqsb-SO_normal.jpeg","View")</f>
        <v>View</v>
      </c>
      <c r="P845" s="15"/>
    </row>
    <row r="846">
      <c r="A846" s="7">
        <v>42422.68890046296</v>
      </c>
      <c r="B846" s="8" t="str">
        <f>HYPERLINK("https://twitter.com/sckottie","@sckottie")</f>
        <v>@sckottie</v>
      </c>
      <c r="C846" s="10" t="s">
        <v>7836</v>
      </c>
      <c r="D846" s="10" t="s">
        <v>7837</v>
      </c>
      <c r="E846" s="11" t="str">
        <f>HYPERLINK("https://twitter.com/sckottie/status/701927456119238656","701927456119238656")</f>
        <v>701927456119238656</v>
      </c>
      <c r="F846" s="12" t="s">
        <v>446</v>
      </c>
      <c r="G846" s="13">
        <v>3140.0</v>
      </c>
      <c r="H846" s="13">
        <v>990.0</v>
      </c>
      <c r="I846" s="13">
        <v>9.0</v>
      </c>
      <c r="J846" s="13">
        <v>0.0</v>
      </c>
      <c r="K846" s="12" t="s">
        <v>21</v>
      </c>
      <c r="L846" s="7">
        <v>40186.2953587963</v>
      </c>
      <c r="M846" s="14" t="s">
        <v>7838</v>
      </c>
      <c r="N846" s="14" t="s">
        <v>7839</v>
      </c>
      <c r="O846" s="11" t="str">
        <f>HYPERLINK("https://pbs.twimg.com/profile_images/628062474491670529/KOOABG9v_normal.jpg","View")</f>
        <v>View</v>
      </c>
      <c r="P846" s="15"/>
    </row>
    <row r="847">
      <c r="A847" s="7">
        <v>42422.6908912037</v>
      </c>
      <c r="B847" s="8" t="str">
        <f>HYPERLINK("https://twitter.com/ucfagls","@ucfagls")</f>
        <v>@ucfagls</v>
      </c>
      <c r="C847" s="10" t="s">
        <v>7840</v>
      </c>
      <c r="D847" s="10" t="s">
        <v>7837</v>
      </c>
      <c r="E847" s="11" t="str">
        <f>HYPERLINK("https://twitter.com/ucfagls/status/701928176625123329","701928176625123329")</f>
        <v>701928176625123329</v>
      </c>
      <c r="F847" s="12" t="s">
        <v>152</v>
      </c>
      <c r="G847" s="13">
        <v>1631.0</v>
      </c>
      <c r="H847" s="13">
        <v>1018.0</v>
      </c>
      <c r="I847" s="13">
        <v>9.0</v>
      </c>
      <c r="J847" s="13">
        <v>0.0</v>
      </c>
      <c r="K847" s="12" t="s">
        <v>21</v>
      </c>
      <c r="L847" s="7">
        <v>40648.72398148148</v>
      </c>
      <c r="M847" s="14" t="s">
        <v>7841</v>
      </c>
      <c r="N847" s="14" t="s">
        <v>7842</v>
      </c>
      <c r="O847" s="11" t="str">
        <f>HYPERLINK("https://pbs.twimg.com/profile_images/564871970454401024/omH5A6W0_normal.png","View")</f>
        <v>View</v>
      </c>
      <c r="P847" s="15"/>
    </row>
    <row r="848">
      <c r="A848" s="7">
        <v>42422.691296296296</v>
      </c>
      <c r="B848" s="8" t="str">
        <f>HYPERLINK("https://twitter.com/aindap","@aindap")</f>
        <v>@aindap</v>
      </c>
      <c r="C848" s="10" t="s">
        <v>7843</v>
      </c>
      <c r="D848" s="10" t="s">
        <v>6663</v>
      </c>
      <c r="E848" s="11" t="str">
        <f>HYPERLINK("https://twitter.com/aindap/status/701928323442585600","701928323442585600")</f>
        <v>701928323442585600</v>
      </c>
      <c r="F848" s="12" t="s">
        <v>98</v>
      </c>
      <c r="G848" s="13">
        <v>419.0</v>
      </c>
      <c r="H848" s="13">
        <v>517.0</v>
      </c>
      <c r="I848" s="13">
        <v>20.0</v>
      </c>
      <c r="J848" s="13">
        <v>0.0</v>
      </c>
      <c r="K848" s="12" t="s">
        <v>21</v>
      </c>
      <c r="L848" s="7">
        <v>39766.85241898148</v>
      </c>
      <c r="M848" s="16"/>
      <c r="N848" s="14" t="s">
        <v>7844</v>
      </c>
      <c r="O848" s="11" t="str">
        <f>HYPERLINK("https://pbs.twimg.com/profile_images/64626261/tiger_normal.jpeg","View")</f>
        <v>View</v>
      </c>
      <c r="P848" s="15"/>
    </row>
    <row r="849">
      <c r="A849" s="7">
        <v>42422.69258101852</v>
      </c>
      <c r="B849" s="8" t="str">
        <f>HYPERLINK("https://twitter.com/bluelight_mike","@bluelight_mike")</f>
        <v>@bluelight_mike</v>
      </c>
      <c r="C849" s="10" t="s">
        <v>7845</v>
      </c>
      <c r="D849" s="10" t="s">
        <v>7352</v>
      </c>
      <c r="E849" s="11" t="str">
        <f>HYPERLINK("https://twitter.com/bluelight_mike/status/701928790562222080","701928790562222080")</f>
        <v>701928790562222080</v>
      </c>
      <c r="F849" s="12" t="s">
        <v>152</v>
      </c>
      <c r="G849" s="13">
        <v>605.0</v>
      </c>
      <c r="H849" s="13">
        <v>257.0</v>
      </c>
      <c r="I849" s="13">
        <v>48.0</v>
      </c>
      <c r="J849" s="13">
        <v>0.0</v>
      </c>
      <c r="K849" s="12" t="s">
        <v>21</v>
      </c>
      <c r="L849" s="7">
        <v>39834.45891203704</v>
      </c>
      <c r="M849" s="14" t="s">
        <v>2022</v>
      </c>
      <c r="N849" s="14" t="s">
        <v>7846</v>
      </c>
      <c r="O849" s="11" t="str">
        <f>HYPERLINK("https://pbs.twimg.com/profile_images/3011474931/1f93819592dc7b55ce796583fb4510db_normal.jpeg","View")</f>
        <v>View</v>
      </c>
      <c r="P849" s="15"/>
    </row>
    <row r="850">
      <c r="A850" s="7">
        <v>42422.70259259259</v>
      </c>
      <c r="B850" s="8" t="str">
        <f>HYPERLINK("https://twitter.com/rafmarcondes","@rafmarcondes")</f>
        <v>@rafmarcondes</v>
      </c>
      <c r="C850" s="10" t="s">
        <v>7847</v>
      </c>
      <c r="D850" s="10" t="s">
        <v>7848</v>
      </c>
      <c r="E850" s="11" t="str">
        <f>HYPERLINK("https://twitter.com/rafmarcondes/status/701932417943101440","701932417943101440")</f>
        <v>701932417943101440</v>
      </c>
      <c r="F850" s="12" t="s">
        <v>52</v>
      </c>
      <c r="G850" s="13">
        <v>107.0</v>
      </c>
      <c r="H850" s="13">
        <v>200.0</v>
      </c>
      <c r="I850" s="13">
        <v>0.0</v>
      </c>
      <c r="J850" s="13">
        <v>0.0</v>
      </c>
      <c r="K850" s="12" t="s">
        <v>21</v>
      </c>
      <c r="L850" s="7">
        <v>41551.74453703704</v>
      </c>
      <c r="M850" s="14" t="s">
        <v>5546</v>
      </c>
      <c r="N850" s="14" t="s">
        <v>7849</v>
      </c>
      <c r="O850" s="11" t="str">
        <f>HYPERLINK("https://pbs.twimg.com/profile_images/609791515410477056/agcTkECv_normal.jpg","View")</f>
        <v>View</v>
      </c>
      <c r="P850" s="15"/>
    </row>
    <row r="851">
      <c r="A851" s="7">
        <v>42422.708750000005</v>
      </c>
      <c r="B851" s="8" t="str">
        <f>HYPERLINK("https://twitter.com/mariacdangelo","@mariacdangelo")</f>
        <v>@mariacdangelo</v>
      </c>
      <c r="C851" s="10" t="s">
        <v>7850</v>
      </c>
      <c r="D851" s="10" t="s">
        <v>7352</v>
      </c>
      <c r="E851" s="11" t="str">
        <f>HYPERLINK("https://twitter.com/mariacdangelo/status/701934650462248964","701934650462248964")</f>
        <v>701934650462248964</v>
      </c>
      <c r="F851" s="12" t="s">
        <v>52</v>
      </c>
      <c r="G851" s="13">
        <v>3.0</v>
      </c>
      <c r="H851" s="13">
        <v>24.0</v>
      </c>
      <c r="I851" s="13">
        <v>48.0</v>
      </c>
      <c r="J851" s="13">
        <v>0.0</v>
      </c>
      <c r="K851" s="12" t="s">
        <v>21</v>
      </c>
      <c r="L851" s="7">
        <v>42403.75297453704</v>
      </c>
      <c r="M851" s="14" t="s">
        <v>3278</v>
      </c>
      <c r="N851" s="14" t="s">
        <v>7851</v>
      </c>
      <c r="O851" s="11" t="str">
        <f>HYPERLINK("https://pbs.twimg.com/profile_images/697575915430268928/XyVBRxw4_normal.jpg","View")</f>
        <v>View</v>
      </c>
      <c r="P851" s="15"/>
    </row>
    <row r="852">
      <c r="A852" s="7">
        <v>42422.70899305555</v>
      </c>
      <c r="B852" s="8" t="str">
        <f>HYPERLINK("https://twitter.com/kyle_e_walker","@kyle_e_walker")</f>
        <v>@kyle_e_walker</v>
      </c>
      <c r="C852" s="10" t="s">
        <v>7852</v>
      </c>
      <c r="D852" s="10" t="s">
        <v>7547</v>
      </c>
      <c r="E852" s="11" t="str">
        <f>HYPERLINK("https://twitter.com/kyle_e_walker/status/701934737036746753","701934737036746753")</f>
        <v>701934737036746753</v>
      </c>
      <c r="F852" s="12" t="s">
        <v>52</v>
      </c>
      <c r="G852" s="13">
        <v>704.0</v>
      </c>
      <c r="H852" s="13">
        <v>455.0</v>
      </c>
      <c r="I852" s="13">
        <v>9.0</v>
      </c>
      <c r="J852" s="13">
        <v>0.0</v>
      </c>
      <c r="K852" s="12" t="s">
        <v>21</v>
      </c>
      <c r="L852" s="7">
        <v>40314.349594907406</v>
      </c>
      <c r="M852" s="14" t="s">
        <v>7853</v>
      </c>
      <c r="N852" s="14" t="s">
        <v>7854</v>
      </c>
      <c r="O852" s="11" t="str">
        <f>HYPERLINK("https://pbs.twimg.com/profile_images/535539844479332354/CA9doTjY_normal.jpeg","View")</f>
        <v>View</v>
      </c>
      <c r="P852" s="15"/>
    </row>
    <row r="853">
      <c r="A853" s="7">
        <v>42422.71121527778</v>
      </c>
      <c r="B853" s="8" t="str">
        <f>HYPERLINK("https://twitter.com/ismael_vc","@ismael_vc")</f>
        <v>@ismael_vc</v>
      </c>
      <c r="C853" s="10" t="s">
        <v>1788</v>
      </c>
      <c r="D853" s="10" t="s">
        <v>7837</v>
      </c>
      <c r="E853" s="11" t="str">
        <f>HYPERLINK("https://twitter.com/ismael_vc/status/701935542301134848","701935542301134848")</f>
        <v>701935542301134848</v>
      </c>
      <c r="F853" s="12" t="s">
        <v>446</v>
      </c>
      <c r="G853" s="13">
        <v>519.0</v>
      </c>
      <c r="H853" s="13">
        <v>4278.0</v>
      </c>
      <c r="I853" s="13">
        <v>9.0</v>
      </c>
      <c r="J853" s="13">
        <v>0.0</v>
      </c>
      <c r="K853" s="12" t="s">
        <v>21</v>
      </c>
      <c r="L853" s="7">
        <v>41181.33966435185</v>
      </c>
      <c r="M853" s="14" t="s">
        <v>1789</v>
      </c>
      <c r="N853" s="14" t="s">
        <v>1790</v>
      </c>
      <c r="O853" s="11" t="str">
        <f>HYPERLINK("https://pbs.twimg.com/profile_images/643074023430057984/Oh7q-TYL_normal.jpg","View")</f>
        <v>View</v>
      </c>
      <c r="P853" s="15"/>
    </row>
    <row r="854">
      <c r="A854" s="7">
        <v>42422.71121527778</v>
      </c>
      <c r="B854" s="8" t="str">
        <f>HYPERLINK("https://twitter.com/JuliaLangsEs","@JuliaLangsEs")</f>
        <v>@JuliaLangsEs</v>
      </c>
      <c r="C854" s="10" t="s">
        <v>1781</v>
      </c>
      <c r="D854" s="10" t="s">
        <v>7837</v>
      </c>
      <c r="E854" s="11" t="str">
        <f>HYPERLINK("https://twitter.com/JuliaLangsEs/status/701935542330523649","701935542330523649")</f>
        <v>701935542330523649</v>
      </c>
      <c r="F854" s="12" t="s">
        <v>446</v>
      </c>
      <c r="G854" s="13">
        <v>204.0</v>
      </c>
      <c r="H854" s="13">
        <v>582.0</v>
      </c>
      <c r="I854" s="13">
        <v>9.0</v>
      </c>
      <c r="J854" s="13">
        <v>0.0</v>
      </c>
      <c r="K854" s="12" t="s">
        <v>21</v>
      </c>
      <c r="L854" s="7">
        <v>42178.59483796296</v>
      </c>
      <c r="M854" s="14" t="s">
        <v>1783</v>
      </c>
      <c r="N854" s="14" t="s">
        <v>1784</v>
      </c>
      <c r="O854" s="11" t="str">
        <f>HYPERLINK("https://pbs.twimg.com/profile_images/613456073979092992/1Bd3LSz1_normal.png","View")</f>
        <v>View</v>
      </c>
      <c r="P854" s="15"/>
    </row>
    <row r="855">
      <c r="A855" s="7">
        <v>42422.71121527778</v>
      </c>
      <c r="B855" s="8" t="str">
        <f>HYPERLINK("https://twitter.com/JuliaLanguage","@JuliaLanguage")</f>
        <v>@JuliaLanguage</v>
      </c>
      <c r="C855" s="10" t="s">
        <v>1785</v>
      </c>
      <c r="D855" s="10" t="s">
        <v>7837</v>
      </c>
      <c r="E855" s="11" t="str">
        <f>HYPERLINK("https://twitter.com/JuliaLanguage/status/701935542364086272","701935542364086272")</f>
        <v>701935542364086272</v>
      </c>
      <c r="F855" s="12" t="s">
        <v>446</v>
      </c>
      <c r="G855" s="13">
        <v>3051.0</v>
      </c>
      <c r="H855" s="13">
        <v>336.0</v>
      </c>
      <c r="I855" s="13">
        <v>9.0</v>
      </c>
      <c r="J855" s="13">
        <v>0.0</v>
      </c>
      <c r="K855" s="12" t="s">
        <v>21</v>
      </c>
      <c r="L855" s="7">
        <v>41335.85346064815</v>
      </c>
      <c r="M855" s="14" t="s">
        <v>1786</v>
      </c>
      <c r="N855" s="14" t="s">
        <v>1787</v>
      </c>
      <c r="O855" s="11" t="str">
        <f>HYPERLINK("https://pbs.twimg.com/profile_images/3331406046/647b7cf75cb5662b96901bc521968e94_normal.png","View")</f>
        <v>View</v>
      </c>
      <c r="P855" s="15"/>
    </row>
    <row r="856">
      <c r="A856" s="7">
        <v>42422.71398148148</v>
      </c>
      <c r="B856" s="8" t="str">
        <f>HYPERLINK("https://twitter.com/DataWookie","@DataWookie")</f>
        <v>@DataWookie</v>
      </c>
      <c r="C856" s="10" t="s">
        <v>6231</v>
      </c>
      <c r="D856" s="10" t="s">
        <v>7855</v>
      </c>
      <c r="E856" s="11" t="str">
        <f>HYPERLINK("https://twitter.com/DataWookie/status/701936546232946688","701936546232946688")</f>
        <v>701936546232946688</v>
      </c>
      <c r="F856" s="12" t="s">
        <v>6233</v>
      </c>
      <c r="G856" s="13">
        <v>426.0</v>
      </c>
      <c r="H856" s="13">
        <v>296.0</v>
      </c>
      <c r="I856" s="13">
        <v>0.0</v>
      </c>
      <c r="J856" s="13">
        <v>0.0</v>
      </c>
      <c r="K856" s="12" t="s">
        <v>21</v>
      </c>
      <c r="L856" s="7">
        <v>42166.966678240744</v>
      </c>
      <c r="M856" s="14" t="s">
        <v>6234</v>
      </c>
      <c r="N856" s="14" t="s">
        <v>6235</v>
      </c>
      <c r="O856" s="11" t="str">
        <f>HYPERLINK("https://pbs.twimg.com/profile_images/612471608725213184/eXKo2Kmo_normal.jpg","View")</f>
        <v>View</v>
      </c>
      <c r="P856" s="15"/>
    </row>
    <row r="857">
      <c r="A857" s="7">
        <v>42422.72013888889</v>
      </c>
      <c r="B857" s="8" t="str">
        <f>HYPERLINK("https://twitter.com/askdrstats","@askdrstats")</f>
        <v>@askdrstats</v>
      </c>
      <c r="C857" s="10" t="s">
        <v>6485</v>
      </c>
      <c r="D857" s="10" t="s">
        <v>7856</v>
      </c>
      <c r="E857" s="11" t="str">
        <f>HYPERLINK("https://twitter.com/askdrstats/status/701938775035813888","701938775035813888")</f>
        <v>701938775035813888</v>
      </c>
      <c r="F857" s="12" t="s">
        <v>20</v>
      </c>
      <c r="G857" s="13">
        <v>1024.0</v>
      </c>
      <c r="H857" s="13">
        <v>592.0</v>
      </c>
      <c r="I857" s="13">
        <v>1.0</v>
      </c>
      <c r="J857" s="13">
        <v>3.0</v>
      </c>
      <c r="K857" s="12" t="s">
        <v>21</v>
      </c>
      <c r="L857" s="7">
        <v>40681.195069444446</v>
      </c>
      <c r="M857" s="14" t="s">
        <v>6486</v>
      </c>
      <c r="N857" s="14" t="s">
        <v>6487</v>
      </c>
      <c r="O857" s="11" t="str">
        <f>HYPERLINK("https://pbs.twimg.com/profile_images/421032203703701504/tKrivgxy_normal.jpeg","View")</f>
        <v>View</v>
      </c>
      <c r="P857" s="15"/>
    </row>
    <row r="858">
      <c r="A858" s="7">
        <v>42422.72472222222</v>
      </c>
      <c r="B858" s="8" t="str">
        <f>HYPERLINK("https://twitter.com/Kingwulf","@Kingwulf")</f>
        <v>@Kingwulf</v>
      </c>
      <c r="C858" s="10" t="s">
        <v>7857</v>
      </c>
      <c r="D858" s="10" t="s">
        <v>7837</v>
      </c>
      <c r="E858" s="11" t="str">
        <f>HYPERLINK("https://twitter.com/Kingwulf/status/701940436626092032","701940436626092032")</f>
        <v>701940436626092032</v>
      </c>
      <c r="F858" s="12" t="s">
        <v>52</v>
      </c>
      <c r="G858" s="13">
        <v>611.0</v>
      </c>
      <c r="H858" s="13">
        <v>257.0</v>
      </c>
      <c r="I858" s="13">
        <v>9.0</v>
      </c>
      <c r="J858" s="13">
        <v>0.0</v>
      </c>
      <c r="K858" s="12" t="s">
        <v>21</v>
      </c>
      <c r="L858" s="7">
        <v>39745.50775462963</v>
      </c>
      <c r="M858" s="18" t="s">
        <v>7858</v>
      </c>
      <c r="N858" s="14" t="s">
        <v>7859</v>
      </c>
      <c r="O858" s="11" t="str">
        <f>HYPERLINK("https://pbs.twimg.com/profile_images/378800000479149814/292be66e1ca913684c94f304be60d7f2_normal.jpeg","View")</f>
        <v>View</v>
      </c>
      <c r="P858" s="15"/>
    </row>
    <row r="859">
      <c r="A859" s="7">
        <v>42422.7309837963</v>
      </c>
      <c r="B859" s="8" t="str">
        <f>HYPERLINK("https://twitter.com/tomkXY","@tomkXY")</f>
        <v>@tomkXY</v>
      </c>
      <c r="C859" s="10" t="s">
        <v>6904</v>
      </c>
      <c r="D859" s="10" t="s">
        <v>7860</v>
      </c>
      <c r="E859" s="11" t="str">
        <f>HYPERLINK("https://twitter.com/tomkXY/status/701942708412092416","701942708412092416")</f>
        <v>701942708412092416</v>
      </c>
      <c r="F859" s="12" t="s">
        <v>20</v>
      </c>
      <c r="G859" s="13">
        <v>170.0</v>
      </c>
      <c r="H859" s="13">
        <v>333.0</v>
      </c>
      <c r="I859" s="13">
        <v>0.0</v>
      </c>
      <c r="J859" s="13">
        <v>0.0</v>
      </c>
      <c r="K859" s="12" t="s">
        <v>21</v>
      </c>
      <c r="L859" s="7">
        <v>41917.95391203704</v>
      </c>
      <c r="M859" s="14" t="s">
        <v>6906</v>
      </c>
      <c r="N859" s="14" t="s">
        <v>6907</v>
      </c>
      <c r="O859" s="11" t="str">
        <f>HYPERLINK("https://pbs.twimg.com/profile_images/567672223029141505/zYpSqhay_normal.jpeg","View")</f>
        <v>View</v>
      </c>
      <c r="P859" s="15"/>
    </row>
    <row r="860">
      <c r="A860" s="7">
        <v>42422.731574074074</v>
      </c>
      <c r="B860" s="8" t="str">
        <f>HYPERLINK("https://twitter.com/journocode","@journocode")</f>
        <v>@journocode</v>
      </c>
      <c r="C860" s="10" t="s">
        <v>1456</v>
      </c>
      <c r="D860" s="10" t="s">
        <v>7861</v>
      </c>
      <c r="E860" s="11" t="str">
        <f>HYPERLINK("https://twitter.com/journocode/status/701942921344458753","701942921344458753")</f>
        <v>701942921344458753</v>
      </c>
      <c r="F860" s="12" t="s">
        <v>52</v>
      </c>
      <c r="G860" s="13">
        <v>272.0</v>
      </c>
      <c r="H860" s="13">
        <v>129.0</v>
      </c>
      <c r="I860" s="13">
        <v>78.0</v>
      </c>
      <c r="J860" s="13">
        <v>0.0</v>
      </c>
      <c r="K860" s="12" t="s">
        <v>21</v>
      </c>
      <c r="L860" s="7">
        <v>42307.49438657408</v>
      </c>
      <c r="M860" s="14" t="s">
        <v>1458</v>
      </c>
      <c r="N860" s="14" t="s">
        <v>1459</v>
      </c>
      <c r="O860" s="11" t="str">
        <f>HYPERLINK("https://pbs.twimg.com/profile_images/663285524162048000/leUzJIIa_normal.png","View")</f>
        <v>View</v>
      </c>
      <c r="P860" s="15"/>
    </row>
    <row r="861">
      <c r="A861" s="7">
        <v>42422.73673611111</v>
      </c>
      <c r="B861" s="8" t="str">
        <f>HYPERLINK("https://twitter.com/tomkXY","@tomkXY")</f>
        <v>@tomkXY</v>
      </c>
      <c r="C861" s="10" t="s">
        <v>6904</v>
      </c>
      <c r="D861" s="10" t="s">
        <v>7862</v>
      </c>
      <c r="E861" s="11" t="str">
        <f>HYPERLINK("https://twitter.com/tomkXY/status/701944791316082688","701944791316082688")</f>
        <v>701944791316082688</v>
      </c>
      <c r="F861" s="12" t="s">
        <v>20</v>
      </c>
      <c r="G861" s="13">
        <v>170.0</v>
      </c>
      <c r="H861" s="13">
        <v>333.0</v>
      </c>
      <c r="I861" s="13">
        <v>0.0</v>
      </c>
      <c r="J861" s="13">
        <v>0.0</v>
      </c>
      <c r="K861" s="12" t="s">
        <v>21</v>
      </c>
      <c r="L861" s="7">
        <v>41917.95391203704</v>
      </c>
      <c r="M861" s="14" t="s">
        <v>6906</v>
      </c>
      <c r="N861" s="14" t="s">
        <v>6907</v>
      </c>
      <c r="O861" s="11" t="str">
        <f>HYPERLINK("https://pbs.twimg.com/profile_images/567672223029141505/zYpSqhay_normal.jpeg","View")</f>
        <v>View</v>
      </c>
      <c r="P861" s="15"/>
    </row>
    <row r="862">
      <c r="A862" s="7">
        <v>42422.740324074075</v>
      </c>
      <c r="B862" s="8" t="str">
        <f>HYPERLINK("https://twitter.com/TierneyNicholas","@TierneyNicholas")</f>
        <v>@TierneyNicholas</v>
      </c>
      <c r="C862" s="10" t="s">
        <v>6831</v>
      </c>
      <c r="D862" s="10" t="s">
        <v>7863</v>
      </c>
      <c r="E862" s="11" t="str">
        <f>HYPERLINK("https://twitter.com/TierneyNicholas/status/701946090677907456","701946090677907456")</f>
        <v>701946090677907456</v>
      </c>
      <c r="F862" s="12" t="s">
        <v>20</v>
      </c>
      <c r="G862" s="13">
        <v>47.0</v>
      </c>
      <c r="H862" s="13">
        <v>75.0</v>
      </c>
      <c r="I862" s="13">
        <v>0.0</v>
      </c>
      <c r="J862" s="13">
        <v>0.0</v>
      </c>
      <c r="K862" s="12" t="s">
        <v>21</v>
      </c>
      <c r="L862" s="7">
        <v>41525.12138888889</v>
      </c>
      <c r="M862" s="14" t="s">
        <v>6833</v>
      </c>
      <c r="N862" s="14" t="s">
        <v>6834</v>
      </c>
      <c r="O862" s="11" t="str">
        <f>HYPERLINK("https://pbs.twimg.com/profile_images/699501890866794497/SOjcv46W_normal.png","View")</f>
        <v>View</v>
      </c>
      <c r="P862" s="15"/>
    </row>
    <row r="863">
      <c r="A863" s="7">
        <v>42422.74170138889</v>
      </c>
      <c r="B863" s="8" t="str">
        <f>HYPERLINK("https://twitter.com/ArieSpirgel","@ArieSpirgel")</f>
        <v>@ArieSpirgel</v>
      </c>
      <c r="C863" s="10" t="s">
        <v>7864</v>
      </c>
      <c r="D863" s="10" t="s">
        <v>7865</v>
      </c>
      <c r="E863" s="11" t="str">
        <f>HYPERLINK("https://twitter.com/ArieSpirgel/status/701946592950165506","701946592950165506")</f>
        <v>701946592950165506</v>
      </c>
      <c r="F863" s="12" t="s">
        <v>20</v>
      </c>
      <c r="G863" s="13">
        <v>30.0</v>
      </c>
      <c r="H863" s="13">
        <v>48.0</v>
      </c>
      <c r="I863" s="13">
        <v>0.0</v>
      </c>
      <c r="J863" s="13">
        <v>2.0</v>
      </c>
      <c r="K863" s="12" t="s">
        <v>21</v>
      </c>
      <c r="L863" s="7">
        <v>41151.321863425925</v>
      </c>
      <c r="M863" s="14" t="s">
        <v>1398</v>
      </c>
      <c r="N863" s="16"/>
      <c r="O863" s="11" t="str">
        <f>HYPERLINK("https://pbs.twimg.com/profile_images/610143686274363392/j1oWKW2b_normal.jpg","View")</f>
        <v>View</v>
      </c>
      <c r="P863" s="15"/>
    </row>
    <row r="864">
      <c r="A864" s="7">
        <v>42422.75282407408</v>
      </c>
      <c r="B864" s="8" t="str">
        <f>HYPERLINK("https://twitter.com/adamson","@adamson")</f>
        <v>@adamson</v>
      </c>
      <c r="C864" s="10" t="s">
        <v>6788</v>
      </c>
      <c r="D864" s="10" t="s">
        <v>7866</v>
      </c>
      <c r="E864" s="11" t="str">
        <f>HYPERLINK("https://twitter.com/adamson/status/701950623839813632","701950623839813632")</f>
        <v>701950623839813632</v>
      </c>
      <c r="F864" s="12" t="s">
        <v>294</v>
      </c>
      <c r="G864" s="13">
        <v>10554.0</v>
      </c>
      <c r="H864" s="13">
        <v>11289.0</v>
      </c>
      <c r="I864" s="13">
        <v>0.0</v>
      </c>
      <c r="J864" s="13">
        <v>0.0</v>
      </c>
      <c r="K864" s="12" t="s">
        <v>21</v>
      </c>
      <c r="L864" s="7">
        <v>39377.993796296294</v>
      </c>
      <c r="M864" s="14" t="s">
        <v>6790</v>
      </c>
      <c r="N864" s="14" t="s">
        <v>6791</v>
      </c>
      <c r="O864" s="11" t="str">
        <f>HYPERLINK("https://pbs.twimg.com/profile_images/544790599589568512/26tIRo8H_normal.jpeg","View")</f>
        <v>View</v>
      </c>
      <c r="P864" s="15"/>
    </row>
    <row r="865">
      <c r="A865" s="7">
        <v>42422.76423611111</v>
      </c>
      <c r="B865" s="8" t="str">
        <f t="shared" ref="B865:B866" si="111">HYPERLINK("https://twitter.com/SHaymondSays","@SHaymondSays")</f>
        <v>@SHaymondSays</v>
      </c>
      <c r="C865" s="10" t="s">
        <v>6482</v>
      </c>
      <c r="D865" s="10" t="s">
        <v>7867</v>
      </c>
      <c r="E865" s="11" t="str">
        <f>HYPERLINK("https://twitter.com/SHaymondSays/status/701954757842247680","701954757842247680")</f>
        <v>701954757842247680</v>
      </c>
      <c r="F865" s="12" t="s">
        <v>52</v>
      </c>
      <c r="G865" s="13">
        <v>516.0</v>
      </c>
      <c r="H865" s="13">
        <v>568.0</v>
      </c>
      <c r="I865" s="13">
        <v>1.0</v>
      </c>
      <c r="J865" s="13">
        <v>0.0</v>
      </c>
      <c r="K865" s="12" t="s">
        <v>21</v>
      </c>
      <c r="L865" s="7">
        <v>40756.491365740745</v>
      </c>
      <c r="M865" s="16"/>
      <c r="N865" s="14" t="s">
        <v>6484</v>
      </c>
      <c r="O865" s="11" t="str">
        <f t="shared" ref="O865:O866" si="112">HYPERLINK("https://pbs.twimg.com/profile_images/599430288423260160/6jvdvVQg_normal.jpg","View")</f>
        <v>View</v>
      </c>
      <c r="P865" s="15"/>
    </row>
    <row r="866">
      <c r="A866" s="7">
        <v>42422.764328703706</v>
      </c>
      <c r="B866" s="8" t="str">
        <f t="shared" si="111"/>
        <v>@SHaymondSays</v>
      </c>
      <c r="C866" s="10" t="s">
        <v>6482</v>
      </c>
      <c r="D866" s="10" t="s">
        <v>7549</v>
      </c>
      <c r="E866" s="11" t="str">
        <f>HYPERLINK("https://twitter.com/SHaymondSays/status/701954791841267712","701954791841267712")</f>
        <v>701954791841267712</v>
      </c>
      <c r="F866" s="12" t="s">
        <v>52</v>
      </c>
      <c r="G866" s="13">
        <v>516.0</v>
      </c>
      <c r="H866" s="13">
        <v>568.0</v>
      </c>
      <c r="I866" s="13">
        <v>2.0</v>
      </c>
      <c r="J866" s="13">
        <v>0.0</v>
      </c>
      <c r="K866" s="12" t="s">
        <v>21</v>
      </c>
      <c r="L866" s="7">
        <v>40756.491365740745</v>
      </c>
      <c r="M866" s="16"/>
      <c r="N866" s="14" t="s">
        <v>6484</v>
      </c>
      <c r="O866" s="11" t="str">
        <f t="shared" si="112"/>
        <v>View</v>
      </c>
      <c r="P866" s="15"/>
    </row>
    <row r="867">
      <c r="A867" s="7">
        <v>42422.765752314815</v>
      </c>
      <c r="B867" s="8" t="str">
        <f>HYPERLINK("https://twitter.com/tvganesh_85","@tvganesh_85")</f>
        <v>@tvganesh_85</v>
      </c>
      <c r="C867" s="10" t="s">
        <v>7868</v>
      </c>
      <c r="D867" s="10" t="s">
        <v>7869</v>
      </c>
      <c r="E867" s="11" t="str">
        <f>HYPERLINK("https://twitter.com/tvganesh_85/status/701955307333939200","701955307333939200")</f>
        <v>701955307333939200</v>
      </c>
      <c r="F867" s="17" t="s">
        <v>518</v>
      </c>
      <c r="G867" s="13">
        <v>291.0</v>
      </c>
      <c r="H867" s="13">
        <v>331.0</v>
      </c>
      <c r="I867" s="13">
        <v>0.0</v>
      </c>
      <c r="J867" s="13">
        <v>0.0</v>
      </c>
      <c r="K867" s="12" t="s">
        <v>21</v>
      </c>
      <c r="L867" s="7">
        <v>40123.817152777774</v>
      </c>
      <c r="M867" s="14" t="s">
        <v>34</v>
      </c>
      <c r="N867" s="14" t="s">
        <v>7870</v>
      </c>
      <c r="O867" s="11" t="str">
        <f>HYPERLINK("https://pbs.twimg.com/profile_images/583269776786477056/kAdkTcwS_normal.jpg","View")</f>
        <v>View</v>
      </c>
      <c r="P867" s="15"/>
    </row>
    <row r="868">
      <c r="A868" s="7">
        <v>42422.774629629625</v>
      </c>
      <c r="B868" s="8" t="str">
        <f>HYPERLINK("https://twitter.com/quominus","@quominus")</f>
        <v>@quominus</v>
      </c>
      <c r="C868" s="10" t="s">
        <v>6784</v>
      </c>
      <c r="D868" s="10" t="s">
        <v>7871</v>
      </c>
      <c r="E868" s="11" t="str">
        <f>HYPERLINK("https://twitter.com/quominus/status/701958522385334272","701958522385334272")</f>
        <v>701958522385334272</v>
      </c>
      <c r="F868" s="12" t="s">
        <v>52</v>
      </c>
      <c r="G868" s="13">
        <v>1507.0</v>
      </c>
      <c r="H868" s="13">
        <v>698.0</v>
      </c>
      <c r="I868" s="13">
        <v>1.0</v>
      </c>
      <c r="J868" s="13">
        <v>0.0</v>
      </c>
      <c r="K868" s="12" t="s">
        <v>21</v>
      </c>
      <c r="L868" s="7">
        <v>40513.016180555554</v>
      </c>
      <c r="M868" s="14" t="s">
        <v>6786</v>
      </c>
      <c r="N868" s="14" t="s">
        <v>6787</v>
      </c>
      <c r="O868" s="11" t="str">
        <f>HYPERLINK("https://pbs.twimg.com/profile_images/689997706752847874/lCoiGcL3_normal.jpg","View")</f>
        <v>View</v>
      </c>
      <c r="P868" s="15"/>
    </row>
    <row r="869">
      <c r="A869" s="7">
        <v>42422.77508101852</v>
      </c>
      <c r="B869" s="8" t="str">
        <f>HYPERLINK("https://twitter.com/UKStartupEvents","@UKStartupEvents")</f>
        <v>@UKStartupEvents</v>
      </c>
      <c r="C869" s="10" t="s">
        <v>6292</v>
      </c>
      <c r="D869" s="10" t="s">
        <v>7757</v>
      </c>
      <c r="E869" s="11" t="str">
        <f>HYPERLINK("https://twitter.com/UKStartupEvents/status/701958688878280705","701958688878280705")</f>
        <v>701958688878280705</v>
      </c>
      <c r="F869" s="12" t="s">
        <v>6293</v>
      </c>
      <c r="G869" s="13">
        <v>3680.0</v>
      </c>
      <c r="H869" s="13">
        <v>3593.0</v>
      </c>
      <c r="I869" s="13">
        <v>2.0</v>
      </c>
      <c r="J869" s="13">
        <v>0.0</v>
      </c>
      <c r="K869" s="12" t="s">
        <v>21</v>
      </c>
      <c r="L869" s="7">
        <v>42257.454317129625</v>
      </c>
      <c r="M869" s="14" t="s">
        <v>519</v>
      </c>
      <c r="N869" s="14" t="s">
        <v>6294</v>
      </c>
      <c r="O869" s="11" t="str">
        <f>HYPERLINK("https://pbs.twimg.com/profile_images/670156125199835136/RYMhziWy_normal.jpg","View")</f>
        <v>View</v>
      </c>
      <c r="P869" s="15"/>
    </row>
    <row r="870">
      <c r="A870" s="7">
        <v>42422.77961805556</v>
      </c>
      <c r="B870" s="8" t="str">
        <f>HYPERLINK("https://twitter.com/theboocock","@theboocock")</f>
        <v>@theboocock</v>
      </c>
      <c r="C870" s="10" t="s">
        <v>7872</v>
      </c>
      <c r="D870" s="10" t="s">
        <v>7873</v>
      </c>
      <c r="E870" s="11" t="str">
        <f>HYPERLINK("https://twitter.com/theboocock/status/701960330818117632","701960330818117632")</f>
        <v>701960330818117632</v>
      </c>
      <c r="F870" s="12" t="s">
        <v>20</v>
      </c>
      <c r="G870" s="13">
        <v>165.0</v>
      </c>
      <c r="H870" s="13">
        <v>471.0</v>
      </c>
      <c r="I870" s="13">
        <v>0.0</v>
      </c>
      <c r="J870" s="13">
        <v>0.0</v>
      </c>
      <c r="K870" s="12" t="s">
        <v>21</v>
      </c>
      <c r="L870" s="7">
        <v>40970.02077546297</v>
      </c>
      <c r="M870" s="14" t="s">
        <v>7874</v>
      </c>
      <c r="N870" s="14" t="s">
        <v>7875</v>
      </c>
      <c r="O870" s="11" t="str">
        <f>HYPERLINK("https://pbs.twimg.com/profile_images/567464230673072130/Mi-70bTY_normal.jpeg","View")</f>
        <v>View</v>
      </c>
      <c r="P870" s="15"/>
    </row>
    <row r="871">
      <c r="A871" s="7">
        <v>42422.781064814815</v>
      </c>
      <c r="B871" s="8" t="str">
        <f>HYPERLINK("https://twitter.com/tomkXY","@tomkXY")</f>
        <v>@tomkXY</v>
      </c>
      <c r="C871" s="10" t="s">
        <v>6904</v>
      </c>
      <c r="D871" s="10" t="s">
        <v>7876</v>
      </c>
      <c r="E871" s="11" t="str">
        <f>HYPERLINK("https://twitter.com/tomkXY/status/701960855353569280","701960855353569280")</f>
        <v>701960855353569280</v>
      </c>
      <c r="F871" s="12" t="s">
        <v>20</v>
      </c>
      <c r="G871" s="13">
        <v>170.0</v>
      </c>
      <c r="H871" s="13">
        <v>333.0</v>
      </c>
      <c r="I871" s="13">
        <v>0.0</v>
      </c>
      <c r="J871" s="13">
        <v>0.0</v>
      </c>
      <c r="K871" s="12" t="s">
        <v>21</v>
      </c>
      <c r="L871" s="7">
        <v>41917.95391203704</v>
      </c>
      <c r="M871" s="14" t="s">
        <v>6906</v>
      </c>
      <c r="N871" s="14" t="s">
        <v>6907</v>
      </c>
      <c r="O871" s="11" t="str">
        <f>HYPERLINK("https://pbs.twimg.com/profile_images/567672223029141505/zYpSqhay_normal.jpeg","View")</f>
        <v>View</v>
      </c>
      <c r="P871" s="15"/>
    </row>
    <row r="872">
      <c r="A872" s="7">
        <v>42422.783680555556</v>
      </c>
      <c r="B872" s="8" t="str">
        <f>HYPERLINK("https://twitter.com/Physical_Prep","@Physical_Prep")</f>
        <v>@Physical_Prep</v>
      </c>
      <c r="C872" s="10" t="s">
        <v>7877</v>
      </c>
      <c r="D872" s="10" t="s">
        <v>7878</v>
      </c>
      <c r="E872" s="11" t="str">
        <f>HYPERLINK("https://twitter.com/Physical_Prep/status/701961802259673088","701961802259673088")</f>
        <v>701961802259673088</v>
      </c>
      <c r="F872" s="12" t="s">
        <v>20</v>
      </c>
      <c r="G872" s="13">
        <v>8568.0</v>
      </c>
      <c r="H872" s="13">
        <v>1596.0</v>
      </c>
      <c r="I872" s="13">
        <v>4.0</v>
      </c>
      <c r="J872" s="13">
        <v>24.0</v>
      </c>
      <c r="K872" s="12" t="s">
        <v>21</v>
      </c>
      <c r="L872" s="7">
        <v>40900.59190972222</v>
      </c>
      <c r="M872" s="14" t="s">
        <v>7879</v>
      </c>
      <c r="N872" s="14" t="s">
        <v>7880</v>
      </c>
      <c r="O872" s="11" t="str">
        <f>HYPERLINK("https://pbs.twimg.com/profile_images/530386276256456704/uFqjnAEM_normal.jpeg","View")</f>
        <v>View</v>
      </c>
      <c r="P872" s="15"/>
    </row>
    <row r="873">
      <c r="A873" s="7">
        <v>42422.78484953704</v>
      </c>
      <c r="B873" s="8" t="str">
        <f>HYPERLINK("https://twitter.com/ZonoYu","@ZonoYu")</f>
        <v>@ZonoYu</v>
      </c>
      <c r="C873" s="10" t="s">
        <v>7881</v>
      </c>
      <c r="D873" s="10" t="s">
        <v>7882</v>
      </c>
      <c r="E873" s="11" t="str">
        <f>HYPERLINK("https://twitter.com/ZonoYu/status/701962226060529664","701962226060529664")</f>
        <v>701962226060529664</v>
      </c>
      <c r="F873" s="12" t="s">
        <v>20</v>
      </c>
      <c r="G873" s="13">
        <v>26.0</v>
      </c>
      <c r="H873" s="13">
        <v>79.0</v>
      </c>
      <c r="I873" s="13">
        <v>3.0</v>
      </c>
      <c r="J873" s="13">
        <v>0.0</v>
      </c>
      <c r="K873" s="12" t="s">
        <v>21</v>
      </c>
      <c r="L873" s="7">
        <v>40004.71923611111</v>
      </c>
      <c r="M873" s="14" t="s">
        <v>7883</v>
      </c>
      <c r="N873" s="16"/>
      <c r="O873" s="11" t="str">
        <f>HYPERLINK("https://pbs.twimg.com/profile_images/2207905579/WS000000_normal.JPG","View")</f>
        <v>View</v>
      </c>
      <c r="P873" s="15"/>
    </row>
    <row r="874">
      <c r="A874" s="7">
        <v>42422.78533564815</v>
      </c>
      <c r="B874" s="8" t="str">
        <f t="shared" ref="B874:B875" si="113">HYPERLINK("https://twitter.com/wtibrentdubai","@wtibrentdubai")</f>
        <v>@wtibrentdubai</v>
      </c>
      <c r="C874" s="10" t="s">
        <v>6247</v>
      </c>
      <c r="D874" s="10" t="s">
        <v>6880</v>
      </c>
      <c r="E874" s="11" t="str">
        <f>HYPERLINK("https://twitter.com/wtibrentdubai/status/701962404528140288","701962404528140288")</f>
        <v>701962404528140288</v>
      </c>
      <c r="F874" s="12" t="s">
        <v>152</v>
      </c>
      <c r="G874" s="13">
        <v>85.0</v>
      </c>
      <c r="H874" s="13">
        <v>201.0</v>
      </c>
      <c r="I874" s="13">
        <v>3.0</v>
      </c>
      <c r="J874" s="13">
        <v>0.0</v>
      </c>
      <c r="K874" s="12" t="s">
        <v>21</v>
      </c>
      <c r="L874" s="7">
        <v>42292.593680555554</v>
      </c>
      <c r="M874" s="14" t="s">
        <v>6249</v>
      </c>
      <c r="N874" s="14" t="s">
        <v>6250</v>
      </c>
      <c r="O874" s="11" t="str">
        <f t="shared" ref="O874:O875" si="114">HYPERLINK("https://pbs.twimg.com/profile_images/670700991906381824/-0POuKFV_normal.jpg","View")</f>
        <v>View</v>
      </c>
      <c r="P874" s="15"/>
    </row>
    <row r="875">
      <c r="A875" s="7">
        <v>42422.78550925926</v>
      </c>
      <c r="B875" s="8" t="str">
        <f t="shared" si="113"/>
        <v>@wtibrentdubai</v>
      </c>
      <c r="C875" s="10" t="s">
        <v>6247</v>
      </c>
      <c r="D875" s="10" t="s">
        <v>6879</v>
      </c>
      <c r="E875" s="11" t="str">
        <f>HYPERLINK("https://twitter.com/wtibrentdubai/status/701962465869848576","701962465869848576")</f>
        <v>701962465869848576</v>
      </c>
      <c r="F875" s="12" t="s">
        <v>152</v>
      </c>
      <c r="G875" s="13">
        <v>85.0</v>
      </c>
      <c r="H875" s="13">
        <v>201.0</v>
      </c>
      <c r="I875" s="13">
        <v>6.0</v>
      </c>
      <c r="J875" s="13">
        <v>0.0</v>
      </c>
      <c r="K875" s="12" t="s">
        <v>21</v>
      </c>
      <c r="L875" s="7">
        <v>42292.593680555554</v>
      </c>
      <c r="M875" s="14" t="s">
        <v>6249</v>
      </c>
      <c r="N875" s="14" t="s">
        <v>6250</v>
      </c>
      <c r="O875" s="11" t="str">
        <f t="shared" si="114"/>
        <v>View</v>
      </c>
      <c r="P875" s="15"/>
    </row>
    <row r="876">
      <c r="A876" s="7">
        <v>42422.78646990741</v>
      </c>
      <c r="B876" s="8" t="str">
        <f>HYPERLINK("https://twitter.com/sckottie","@sckottie")</f>
        <v>@sckottie</v>
      </c>
      <c r="C876" s="10" t="s">
        <v>7836</v>
      </c>
      <c r="D876" s="10" t="s">
        <v>7884</v>
      </c>
      <c r="E876" s="11" t="str">
        <f>HYPERLINK("https://twitter.com/sckottie/status/701962815297327106","701962815297327106")</f>
        <v>701962815297327106</v>
      </c>
      <c r="F876" s="12" t="s">
        <v>446</v>
      </c>
      <c r="G876" s="13">
        <v>3140.0</v>
      </c>
      <c r="H876" s="13">
        <v>990.0</v>
      </c>
      <c r="I876" s="13">
        <v>0.0</v>
      </c>
      <c r="J876" s="13">
        <v>0.0</v>
      </c>
      <c r="K876" s="12" t="s">
        <v>21</v>
      </c>
      <c r="L876" s="7">
        <v>40186.2953587963</v>
      </c>
      <c r="M876" s="14" t="s">
        <v>7838</v>
      </c>
      <c r="N876" s="14" t="s">
        <v>7839</v>
      </c>
      <c r="O876" s="11" t="str">
        <f>HYPERLINK("https://pbs.twimg.com/profile_images/628062474491670529/KOOABG9v_normal.jpg","View")</f>
        <v>View</v>
      </c>
      <c r="P876" s="15"/>
    </row>
    <row r="877">
      <c r="A877" s="7">
        <v>42422.786527777775</v>
      </c>
      <c r="B877" s="8" t="str">
        <f>HYPERLINK("https://twitter.com/Hoog10HK","@Hoog10HK")</f>
        <v>@Hoog10HK</v>
      </c>
      <c r="C877" s="10" t="s">
        <v>7300</v>
      </c>
      <c r="D877" s="10" t="s">
        <v>7885</v>
      </c>
      <c r="E877" s="11" t="str">
        <f>HYPERLINK("https://twitter.com/Hoog10HK/status/701962836142981123","701962836142981123")</f>
        <v>701962836142981123</v>
      </c>
      <c r="F877" s="12" t="s">
        <v>20</v>
      </c>
      <c r="G877" s="13">
        <v>244.0</v>
      </c>
      <c r="H877" s="13">
        <v>449.0</v>
      </c>
      <c r="I877" s="13">
        <v>6.0</v>
      </c>
      <c r="J877" s="13">
        <v>1.0</v>
      </c>
      <c r="K877" s="12" t="s">
        <v>21</v>
      </c>
      <c r="L877" s="7">
        <v>41924.79883101852</v>
      </c>
      <c r="M877" s="14" t="s">
        <v>7301</v>
      </c>
      <c r="N877" s="14" t="s">
        <v>7302</v>
      </c>
      <c r="O877" s="11" t="str">
        <f>HYPERLINK("https://pbs.twimg.com/profile_images/554924936985206786/FBkNWZp8_normal.png","View")</f>
        <v>View</v>
      </c>
      <c r="P877" s="15"/>
    </row>
    <row r="878">
      <c r="A878" s="7">
        <v>42422.788518518515</v>
      </c>
      <c r="B878" s="8" t="str">
        <f>HYPERLINK("https://twitter.com/joshjfink","@joshjfink")</f>
        <v>@joshjfink</v>
      </c>
      <c r="C878" s="10" t="s">
        <v>6638</v>
      </c>
      <c r="D878" s="10" t="s">
        <v>7886</v>
      </c>
      <c r="E878" s="11" t="str">
        <f>HYPERLINK("https://twitter.com/joshjfink/status/701963557701820417","701963557701820417")</f>
        <v>701963557701820417</v>
      </c>
      <c r="F878" s="12" t="s">
        <v>20</v>
      </c>
      <c r="G878" s="13">
        <v>114.0</v>
      </c>
      <c r="H878" s="13">
        <v>106.0</v>
      </c>
      <c r="I878" s="13">
        <v>0.0</v>
      </c>
      <c r="J878" s="13">
        <v>1.0</v>
      </c>
      <c r="K878" s="12" t="s">
        <v>21</v>
      </c>
      <c r="L878" s="7">
        <v>41625.58105324074</v>
      </c>
      <c r="M878" s="14" t="s">
        <v>6640</v>
      </c>
      <c r="N878" s="14" t="s">
        <v>6641</v>
      </c>
      <c r="O878" s="11" t="str">
        <f>HYPERLINK("https://pbs.twimg.com/profile_images/692071858448011264/IWaYjbkb_normal.png","View")</f>
        <v>View</v>
      </c>
      <c r="P878" s="15"/>
    </row>
    <row r="879">
      <c r="A879" s="7">
        <v>42422.78971064815</v>
      </c>
      <c r="B879" s="8" t="str">
        <f>HYPERLINK("https://twitter.com/timelyportfolio","@timelyportfolio")</f>
        <v>@timelyportfolio</v>
      </c>
      <c r="C879" s="10" t="s">
        <v>3698</v>
      </c>
      <c r="D879" s="10" t="s">
        <v>7887</v>
      </c>
      <c r="E879" s="11" t="str">
        <f>HYPERLINK("https://twitter.com/timelyportfolio/status/701963988100390912","701963988100390912")</f>
        <v>701963988100390912</v>
      </c>
      <c r="F879" s="12" t="s">
        <v>20</v>
      </c>
      <c r="G879" s="13">
        <v>1875.0</v>
      </c>
      <c r="H879" s="13">
        <v>2248.0</v>
      </c>
      <c r="I879" s="13">
        <v>6.0</v>
      </c>
      <c r="J879" s="13">
        <v>0.0</v>
      </c>
      <c r="K879" s="12" t="s">
        <v>21</v>
      </c>
      <c r="L879" s="7">
        <v>40573.86280092593</v>
      </c>
      <c r="M879" s="14" t="s">
        <v>3700</v>
      </c>
      <c r="N879" s="14" t="s">
        <v>3701</v>
      </c>
      <c r="O879" s="11" t="str">
        <f>HYPERLINK("https://pbs.twimg.com/profile_images/2198946077/image_normal.jpg","View")</f>
        <v>View</v>
      </c>
      <c r="P879" s="15"/>
    </row>
    <row r="880">
      <c r="A880" s="7">
        <v>42422.790497685186</v>
      </c>
      <c r="B880" s="8" t="str">
        <f>HYPERLINK("https://twitter.com/hrbrmstr","@hrbrmstr")</f>
        <v>@hrbrmstr</v>
      </c>
      <c r="C880" s="10" t="s">
        <v>7276</v>
      </c>
      <c r="D880" s="10" t="s">
        <v>7887</v>
      </c>
      <c r="E880" s="11" t="str">
        <f>HYPERLINK("https://twitter.com/hrbrmstr/status/701964273807921156","701964273807921156")</f>
        <v>701964273807921156</v>
      </c>
      <c r="F880" s="12" t="s">
        <v>20</v>
      </c>
      <c r="G880" s="13">
        <v>6135.0</v>
      </c>
      <c r="H880" s="13">
        <v>2926.0</v>
      </c>
      <c r="I880" s="13">
        <v>6.0</v>
      </c>
      <c r="J880" s="13">
        <v>0.0</v>
      </c>
      <c r="K880" s="12" t="s">
        <v>21</v>
      </c>
      <c r="L880" s="7">
        <v>39203.29472222222</v>
      </c>
      <c r="M880" s="14" t="s">
        <v>7278</v>
      </c>
      <c r="N880" s="14" t="s">
        <v>7279</v>
      </c>
      <c r="O880" s="11" t="str">
        <f>HYPERLINK("https://pbs.twimg.com/profile_images/557592259298729985/kpCUQWH1_normal.png","View")</f>
        <v>View</v>
      </c>
      <c r="P880" s="15"/>
    </row>
    <row r="881">
      <c r="A881" s="7">
        <v>42422.79283564815</v>
      </c>
      <c r="B881" s="8" t="str">
        <f>HYPERLINK("https://twitter.com/awhstin","@awhstin")</f>
        <v>@awhstin</v>
      </c>
      <c r="C881" s="10" t="s">
        <v>7888</v>
      </c>
      <c r="D881" s="10" t="s">
        <v>7887</v>
      </c>
      <c r="E881" s="11" t="str">
        <f>HYPERLINK("https://twitter.com/awhstin/status/701965123498315777","701965123498315777")</f>
        <v>701965123498315777</v>
      </c>
      <c r="F881" s="12" t="s">
        <v>52</v>
      </c>
      <c r="G881" s="13">
        <v>315.0</v>
      </c>
      <c r="H881" s="13">
        <v>147.0</v>
      </c>
      <c r="I881" s="13">
        <v>6.0</v>
      </c>
      <c r="J881" s="13">
        <v>0.0</v>
      </c>
      <c r="K881" s="12" t="s">
        <v>21</v>
      </c>
      <c r="L881" s="7">
        <v>40024.33385416667</v>
      </c>
      <c r="M881" s="14" t="s">
        <v>1158</v>
      </c>
      <c r="N881" s="14" t="s">
        <v>7889</v>
      </c>
      <c r="O881" s="11" t="str">
        <f>HYPERLINK("https://pbs.twimg.com/profile_images/378800000488404131/ae37bb586ccba5916378953890cfa516_normal.jpeg","View")</f>
        <v>View</v>
      </c>
      <c r="P881" s="15"/>
    </row>
    <row r="882">
      <c r="A882" s="7">
        <v>42422.794583333336</v>
      </c>
      <c r="B882" s="8" t="str">
        <f>HYPERLINK("https://twitter.com/DavidGJoyce","@DavidGJoyce")</f>
        <v>@DavidGJoyce</v>
      </c>
      <c r="C882" s="10" t="s">
        <v>7890</v>
      </c>
      <c r="D882" s="10" t="s">
        <v>7891</v>
      </c>
      <c r="E882" s="11" t="str">
        <f>HYPERLINK("https://twitter.com/DavidGJoyce/status/701965755001081856","701965755001081856")</f>
        <v>701965755001081856</v>
      </c>
      <c r="F882" s="12" t="s">
        <v>52</v>
      </c>
      <c r="G882" s="13">
        <v>6871.0</v>
      </c>
      <c r="H882" s="13">
        <v>1346.0</v>
      </c>
      <c r="I882" s="13">
        <v>4.0</v>
      </c>
      <c r="J882" s="13">
        <v>0.0</v>
      </c>
      <c r="K882" s="12" t="s">
        <v>21</v>
      </c>
      <c r="L882" s="7">
        <v>41413.27247685185</v>
      </c>
      <c r="M882" s="14" t="s">
        <v>7892</v>
      </c>
      <c r="N882" s="14" t="s">
        <v>7893</v>
      </c>
      <c r="O882" s="11" t="str">
        <f>HYPERLINK("https://pbs.twimg.com/profile_images/577960852621393920/ZdSkF_o-_normal.jpeg","View")</f>
        <v>View</v>
      </c>
      <c r="P882" s="15"/>
    </row>
    <row r="883">
      <c r="A883" s="7">
        <v>42422.79488425926</v>
      </c>
      <c r="B883" s="8" t="str">
        <f>HYPERLINK("https://twitter.com/DataAndDataViz","@DataAndDataViz")</f>
        <v>@DataAndDataViz</v>
      </c>
      <c r="C883" s="10" t="s">
        <v>5145</v>
      </c>
      <c r="D883" s="10" t="s">
        <v>7887</v>
      </c>
      <c r="E883" s="11" t="str">
        <f>HYPERLINK("https://twitter.com/DataAndDataViz/status/701965863440797696","701965863440797696")</f>
        <v>701965863440797696</v>
      </c>
      <c r="F883" s="12" t="s">
        <v>5146</v>
      </c>
      <c r="G883" s="13">
        <v>473.0</v>
      </c>
      <c r="H883" s="13">
        <v>140.0</v>
      </c>
      <c r="I883" s="13">
        <v>6.0</v>
      </c>
      <c r="J883" s="13">
        <v>0.0</v>
      </c>
      <c r="K883" s="12" t="s">
        <v>21</v>
      </c>
      <c r="L883" s="7">
        <v>41603.30427083334</v>
      </c>
      <c r="M883" s="16"/>
      <c r="N883" s="14" t="s">
        <v>5147</v>
      </c>
      <c r="O883" s="11" t="str">
        <f>HYPERLINK("https://pbs.twimg.com/profile_images/412249095110008832/J_K4--iQ_normal.png","View")</f>
        <v>View</v>
      </c>
      <c r="P883" s="15"/>
    </row>
    <row r="884">
      <c r="A884" s="7">
        <v>42422.80202546297</v>
      </c>
      <c r="B884" s="8" t="str">
        <f>HYPERLINK("https://twitter.com/dawnbazely","@dawnbazely")</f>
        <v>@dawnbazely</v>
      </c>
      <c r="C884" s="10" t="s">
        <v>7894</v>
      </c>
      <c r="D884" s="10" t="s">
        <v>6319</v>
      </c>
      <c r="E884" s="11" t="str">
        <f>HYPERLINK("https://twitter.com/dawnbazely/status/701968451087110144","701968451087110144")</f>
        <v>701968451087110144</v>
      </c>
      <c r="F884" s="12" t="s">
        <v>20</v>
      </c>
      <c r="G884" s="13">
        <v>6232.0</v>
      </c>
      <c r="H884" s="13">
        <v>6164.0</v>
      </c>
      <c r="I884" s="13">
        <v>106.0</v>
      </c>
      <c r="J884" s="13">
        <v>0.0</v>
      </c>
      <c r="K884" s="12" t="s">
        <v>21</v>
      </c>
      <c r="L884" s="7">
        <v>41535.50077546296</v>
      </c>
      <c r="M884" s="14" t="s">
        <v>6753</v>
      </c>
      <c r="N884" s="14" t="s">
        <v>7895</v>
      </c>
      <c r="O884" s="11" t="str">
        <f>HYPERLINK("https://pbs.twimg.com/profile_images/667706075160809472/TwWSe4qf_normal.png","View")</f>
        <v>View</v>
      </c>
      <c r="P884" s="15"/>
    </row>
    <row r="885">
      <c r="A885" s="7">
        <v>42422.802870370375</v>
      </c>
      <c r="B885" s="8" t="str">
        <f>HYPERLINK("https://twitter.com/Akihiro1982","@Akihiro1982")</f>
        <v>@Akihiro1982</v>
      </c>
      <c r="C885" s="10" t="s">
        <v>7896</v>
      </c>
      <c r="D885" s="10" t="s">
        <v>7882</v>
      </c>
      <c r="E885" s="11" t="str">
        <f>HYPERLINK("https://twitter.com/Akihiro1982/status/701968759439826944","701968759439826944")</f>
        <v>701968759439826944</v>
      </c>
      <c r="F885" s="12" t="s">
        <v>52</v>
      </c>
      <c r="G885" s="13">
        <v>163.0</v>
      </c>
      <c r="H885" s="13">
        <v>159.0</v>
      </c>
      <c r="I885" s="13">
        <v>3.0</v>
      </c>
      <c r="J885" s="13">
        <v>0.0</v>
      </c>
      <c r="K885" s="12" t="s">
        <v>21</v>
      </c>
      <c r="L885" s="7">
        <v>40616.936435185184</v>
      </c>
      <c r="M885" s="14" t="s">
        <v>4744</v>
      </c>
      <c r="N885" s="14" t="s">
        <v>7897</v>
      </c>
      <c r="O885" s="11" t="str">
        <f>HYPERLINK("https://pbs.twimg.com/profile_images/416232231972007937/AJ3pesrp_normal.jpeg","View")</f>
        <v>View</v>
      </c>
      <c r="P885" s="15"/>
    </row>
    <row r="886">
      <c r="A886" s="7">
        <v>42422.80887731482</v>
      </c>
      <c r="B886" s="8" t="str">
        <f>HYPERLINK("https://twitter.com/plotlygraphs","@plotlygraphs")</f>
        <v>@plotlygraphs</v>
      </c>
      <c r="C886" s="10" t="s">
        <v>7520</v>
      </c>
      <c r="D886" s="10" t="s">
        <v>7898</v>
      </c>
      <c r="E886" s="11" t="str">
        <f>HYPERLINK("https://twitter.com/plotlygraphs/status/701970936505847808","701970936505847808")</f>
        <v>701970936505847808</v>
      </c>
      <c r="F886" s="12" t="s">
        <v>20</v>
      </c>
      <c r="G886" s="13">
        <v>17197.0</v>
      </c>
      <c r="H886" s="13">
        <v>1456.0</v>
      </c>
      <c r="I886" s="13">
        <v>18.0</v>
      </c>
      <c r="J886" s="13">
        <v>41.0</v>
      </c>
      <c r="K886" s="12" t="s">
        <v>21</v>
      </c>
      <c r="L886" s="7">
        <v>41394.50200231482</v>
      </c>
      <c r="M886" s="14" t="s">
        <v>5113</v>
      </c>
      <c r="N886" s="14" t="s">
        <v>7522</v>
      </c>
      <c r="O886" s="11" t="str">
        <f>HYPERLINK("https://pbs.twimg.com/profile_images/444997350340063232/NSL6tPG3_normal.png","View")</f>
        <v>View</v>
      </c>
      <c r="P886" s="15"/>
    </row>
    <row r="887">
      <c r="A887" s="7">
        <v>42422.814837962964</v>
      </c>
      <c r="B887" s="8" t="str">
        <f>HYPERLINK("https://twitter.com/JennyBryan","@JennyBryan")</f>
        <v>@JennyBryan</v>
      </c>
      <c r="C887" s="10" t="s">
        <v>7457</v>
      </c>
      <c r="D887" s="10" t="s">
        <v>7899</v>
      </c>
      <c r="E887" s="11" t="str">
        <f>HYPERLINK("https://twitter.com/JennyBryan/status/701973095733547009","701973095733547009")</f>
        <v>701973095733547009</v>
      </c>
      <c r="F887" s="12" t="s">
        <v>240</v>
      </c>
      <c r="G887" s="13">
        <v>3780.0</v>
      </c>
      <c r="H887" s="13">
        <v>466.0</v>
      </c>
      <c r="I887" s="13">
        <v>8.0</v>
      </c>
      <c r="J887" s="13">
        <v>24.0</v>
      </c>
      <c r="K887" s="12" t="s">
        <v>21</v>
      </c>
      <c r="L887" s="7">
        <v>41578.4809837963</v>
      </c>
      <c r="M887" s="14" t="s">
        <v>1855</v>
      </c>
      <c r="N887" s="14" t="s">
        <v>7459</v>
      </c>
      <c r="O887" s="11" t="str">
        <f>HYPERLINK("https://pbs.twimg.com/profile_images/660978605606875137/s3YrJetD_normal.jpg","View")</f>
        <v>View</v>
      </c>
      <c r="P887" s="15"/>
    </row>
    <row r="888">
      <c r="A888" s="7">
        <v>42422.815358796295</v>
      </c>
      <c r="B888" s="8" t="str">
        <f>HYPERLINK("https://twitter.com/souravc83","@souravc83")</f>
        <v>@souravc83</v>
      </c>
      <c r="C888" s="10" t="s">
        <v>6278</v>
      </c>
      <c r="D888" s="10" t="s">
        <v>7900</v>
      </c>
      <c r="E888" s="11" t="str">
        <f>HYPERLINK("https://twitter.com/souravc83/status/701973282522664962","701973282522664962")</f>
        <v>701973282522664962</v>
      </c>
      <c r="F888" s="12" t="s">
        <v>20</v>
      </c>
      <c r="G888" s="13">
        <v>39.0</v>
      </c>
      <c r="H888" s="13">
        <v>148.0</v>
      </c>
      <c r="I888" s="13">
        <v>0.0</v>
      </c>
      <c r="J888" s="13">
        <v>0.0</v>
      </c>
      <c r="K888" s="12" t="s">
        <v>21</v>
      </c>
      <c r="L888" s="7">
        <v>39942.4037962963</v>
      </c>
      <c r="M888" s="14" t="s">
        <v>6280</v>
      </c>
      <c r="N888" s="14" t="s">
        <v>6281</v>
      </c>
      <c r="O888" s="11" t="str">
        <f>HYPERLINK("https://pbs.twimg.com/profile_images/658511161034326016/RaFwgtT6_normal.jpg","View")</f>
        <v>View</v>
      </c>
      <c r="P888" s="15"/>
    </row>
    <row r="889">
      <c r="A889" s="7">
        <v>42422.81606481482</v>
      </c>
      <c r="B889" s="8" t="str">
        <f>HYPERLINK("https://twitter.com/echolgate","@echolgate")</f>
        <v>@echolgate</v>
      </c>
      <c r="C889" s="10" t="s">
        <v>7901</v>
      </c>
      <c r="D889" s="10" t="s">
        <v>7902</v>
      </c>
      <c r="E889" s="11" t="str">
        <f>HYPERLINK("https://twitter.com/echolgate/status/701973540451422208","701973540451422208")</f>
        <v>701973540451422208</v>
      </c>
      <c r="F889" s="12" t="s">
        <v>152</v>
      </c>
      <c r="G889" s="13">
        <v>161.0</v>
      </c>
      <c r="H889" s="13">
        <v>369.0</v>
      </c>
      <c r="I889" s="13">
        <v>1.0</v>
      </c>
      <c r="J889" s="13">
        <v>0.0</v>
      </c>
      <c r="K889" s="12" t="s">
        <v>21</v>
      </c>
      <c r="L889" s="7">
        <v>41370.854467592595</v>
      </c>
      <c r="M889" s="14" t="s">
        <v>7903</v>
      </c>
      <c r="N889" s="14" t="s">
        <v>7904</v>
      </c>
      <c r="O889" s="11" t="str">
        <f>HYPERLINK("https://pbs.twimg.com/profile_images/517240920282894336/NFeAtcFy_normal.jpeg","View")</f>
        <v>View</v>
      </c>
      <c r="P889" s="15"/>
    </row>
    <row r="890">
      <c r="A890" s="7">
        <v>42422.81964120371</v>
      </c>
      <c r="B890" s="8" t="str">
        <f>HYPERLINK("https://twitter.com/Jemus42","@Jemus42")</f>
        <v>@Jemus42</v>
      </c>
      <c r="C890" s="10" t="s">
        <v>7905</v>
      </c>
      <c r="D890" s="10" t="s">
        <v>7906</v>
      </c>
      <c r="E890" s="11" t="str">
        <f>HYPERLINK("https://twitter.com/Jemus42/status/701974836189536256","701974836189536256")</f>
        <v>701974836189536256</v>
      </c>
      <c r="F890" s="12" t="s">
        <v>240</v>
      </c>
      <c r="G890" s="13">
        <v>589.0</v>
      </c>
      <c r="H890" s="13">
        <v>549.0</v>
      </c>
      <c r="I890" s="13">
        <v>8.0</v>
      </c>
      <c r="J890" s="13">
        <v>0.0</v>
      </c>
      <c r="K890" s="12" t="s">
        <v>21</v>
      </c>
      <c r="L890" s="7">
        <v>39988.36329861111</v>
      </c>
      <c r="M890" s="16"/>
      <c r="N890" s="14" t="s">
        <v>7907</v>
      </c>
      <c r="O890" s="11" t="str">
        <f>HYPERLINK("https://pbs.twimg.com/profile_images/2442155420/13fr1e3on4dzb9fn7i48_normal.jpeg","View")</f>
        <v>View</v>
      </c>
      <c r="P890" s="15"/>
    </row>
    <row r="891">
      <c r="A891" s="7">
        <v>42422.81990740741</v>
      </c>
      <c r="B891" s="8" t="str">
        <f>HYPERLINK("https://twitter.com/JAlexBranham","@JAlexBranham")</f>
        <v>@JAlexBranham</v>
      </c>
      <c r="C891" s="10" t="s">
        <v>7908</v>
      </c>
      <c r="D891" s="10" t="s">
        <v>7909</v>
      </c>
      <c r="E891" s="11" t="str">
        <f>HYPERLINK("https://twitter.com/JAlexBranham/status/701974930254999553","701974930254999553")</f>
        <v>701974930254999553</v>
      </c>
      <c r="F891" s="12" t="s">
        <v>20</v>
      </c>
      <c r="G891" s="13">
        <v>150.0</v>
      </c>
      <c r="H891" s="13">
        <v>178.0</v>
      </c>
      <c r="I891" s="13">
        <v>0.0</v>
      </c>
      <c r="J891" s="13">
        <v>3.0</v>
      </c>
      <c r="K891" s="12" t="s">
        <v>21</v>
      </c>
      <c r="L891" s="7">
        <v>40702.36282407407</v>
      </c>
      <c r="M891" s="14" t="s">
        <v>2022</v>
      </c>
      <c r="N891" s="14" t="s">
        <v>7910</v>
      </c>
      <c r="O891" s="11" t="str">
        <f>HYPERLINK("https://pbs.twimg.com/profile_images/628537702166564864/DrkqoQcc_normal.jpg","View")</f>
        <v>View</v>
      </c>
      <c r="P891" s="15"/>
    </row>
    <row r="892">
      <c r="A892" s="7">
        <v>42422.820625</v>
      </c>
      <c r="B892" s="8" t="str">
        <f>HYPERLINK("https://twitter.com/jymyrna","@jymyrna")</f>
        <v>@jymyrna</v>
      </c>
      <c r="C892" s="10" t="s">
        <v>7911</v>
      </c>
      <c r="D892" s="10" t="s">
        <v>7891</v>
      </c>
      <c r="E892" s="11" t="str">
        <f>HYPERLINK("https://twitter.com/jymyrna/status/701975193057529856","701975193057529856")</f>
        <v>701975193057529856</v>
      </c>
      <c r="F892" s="12" t="s">
        <v>52</v>
      </c>
      <c r="G892" s="13">
        <v>86.0</v>
      </c>
      <c r="H892" s="13">
        <v>193.0</v>
      </c>
      <c r="I892" s="13">
        <v>4.0</v>
      </c>
      <c r="J892" s="13">
        <v>0.0</v>
      </c>
      <c r="K892" s="12" t="s">
        <v>21</v>
      </c>
      <c r="L892" s="7">
        <v>41529.900347222225</v>
      </c>
      <c r="M892" s="16"/>
      <c r="N892" s="16"/>
      <c r="O892" s="11" t="str">
        <f>HYPERLINK("https://pbs.twimg.com/profile_images/432692802112081921/8bNII6Ly_normal.jpeg","View")</f>
        <v>View</v>
      </c>
      <c r="P892" s="15"/>
    </row>
    <row r="893">
      <c r="A893" s="7">
        <v>42422.82306712963</v>
      </c>
      <c r="B893" s="8" t="str">
        <f>HYPERLINK("https://twitter.com/biobenkj","@biobenkj")</f>
        <v>@biobenkj</v>
      </c>
      <c r="C893" s="10" t="s">
        <v>7912</v>
      </c>
      <c r="D893" s="10" t="s">
        <v>7913</v>
      </c>
      <c r="E893" s="11" t="str">
        <f>HYPERLINK("https://twitter.com/biobenkj/status/701976075094458369","701976075094458369")</f>
        <v>701976075094458369</v>
      </c>
      <c r="F893" s="12" t="s">
        <v>52</v>
      </c>
      <c r="G893" s="13">
        <v>132.0</v>
      </c>
      <c r="H893" s="13">
        <v>269.0</v>
      </c>
      <c r="I893" s="13">
        <v>18.0</v>
      </c>
      <c r="J893" s="13">
        <v>0.0</v>
      </c>
      <c r="K893" s="12" t="s">
        <v>21</v>
      </c>
      <c r="L893" s="7">
        <v>41478.533796296295</v>
      </c>
      <c r="M893" s="14" t="s">
        <v>7914</v>
      </c>
      <c r="N893" s="14" t="s">
        <v>7915</v>
      </c>
      <c r="O893" s="11" t="str">
        <f>HYPERLINK("https://pbs.twimg.com/profile_images/585498183352061956/lXjebLcT_normal.jpg","View")</f>
        <v>View</v>
      </c>
      <c r="P893" s="15"/>
    </row>
    <row r="894">
      <c r="A894" s="7">
        <v>42422.831238425926</v>
      </c>
      <c r="B894" s="8" t="str">
        <f>HYPERLINK("https://twitter.com/reiver","@reiver")</f>
        <v>@reiver</v>
      </c>
      <c r="C894" s="10" t="s">
        <v>7916</v>
      </c>
      <c r="D894" s="10" t="s">
        <v>7917</v>
      </c>
      <c r="E894" s="11" t="str">
        <f>HYPERLINK("https://twitter.com/reiver/status/701979037619466240","701979037619466240")</f>
        <v>701979037619466240</v>
      </c>
      <c r="F894" s="12" t="s">
        <v>20</v>
      </c>
      <c r="G894" s="13">
        <v>2773.0</v>
      </c>
      <c r="H894" s="13">
        <v>1908.0</v>
      </c>
      <c r="I894" s="13">
        <v>2.0</v>
      </c>
      <c r="J894" s="13">
        <v>0.0</v>
      </c>
      <c r="K894" s="12" t="s">
        <v>21</v>
      </c>
      <c r="L894" s="7">
        <v>39522.98174768519</v>
      </c>
      <c r="M894" s="14" t="s">
        <v>7918</v>
      </c>
      <c r="N894" s="14" t="s">
        <v>7919</v>
      </c>
      <c r="O894" s="11" t="str">
        <f>HYPERLINK("https://pbs.twimg.com/profile_images/1542967349/reiver-star_normal.png","View")</f>
        <v>View</v>
      </c>
      <c r="P894" s="15"/>
    </row>
    <row r="895">
      <c r="A895" s="7">
        <v>42422.83334490741</v>
      </c>
      <c r="B895" s="8" t="str">
        <f>HYPERLINK("https://twitter.com/sfrechette","@sfrechette")</f>
        <v>@sfrechette</v>
      </c>
      <c r="C895" s="10" t="s">
        <v>6564</v>
      </c>
      <c r="D895" s="10" t="s">
        <v>7920</v>
      </c>
      <c r="E895" s="11" t="str">
        <f>HYPERLINK("https://twitter.com/sfrechette/status/701979800592900096","701979800592900096")</f>
        <v>701979800592900096</v>
      </c>
      <c r="F895" s="12" t="s">
        <v>6566</v>
      </c>
      <c r="G895" s="13">
        <v>1352.0</v>
      </c>
      <c r="H895" s="13">
        <v>1178.0</v>
      </c>
      <c r="I895" s="13">
        <v>0.0</v>
      </c>
      <c r="J895" s="13">
        <v>1.0</v>
      </c>
      <c r="K895" s="12" t="s">
        <v>21</v>
      </c>
      <c r="L895" s="7">
        <v>39873.53702546297</v>
      </c>
      <c r="M895" s="14" t="s">
        <v>6567</v>
      </c>
      <c r="N895" s="14" t="s">
        <v>6568</v>
      </c>
      <c r="O895" s="11" t="str">
        <f>HYPERLINK("https://pbs.twimg.com/profile_images/662342111799304192/Xtv8MZ-P_normal.jpg","View")</f>
        <v>View</v>
      </c>
      <c r="P895" s="15"/>
    </row>
    <row r="896">
      <c r="A896" s="7">
        <v>42422.83797453703</v>
      </c>
      <c r="B896" s="8" t="str">
        <f>HYPERLINK("https://twitter.com/wrathematics","@wrathematics")</f>
        <v>@wrathematics</v>
      </c>
      <c r="C896" s="10" t="s">
        <v>7921</v>
      </c>
      <c r="D896" s="10" t="s">
        <v>7906</v>
      </c>
      <c r="E896" s="11" t="str">
        <f>HYPERLINK("https://twitter.com/wrathematics/status/701981480529088512","701981480529088512")</f>
        <v>701981480529088512</v>
      </c>
      <c r="F896" s="12" t="s">
        <v>20</v>
      </c>
      <c r="G896" s="13">
        <v>268.0</v>
      </c>
      <c r="H896" s="13">
        <v>153.0</v>
      </c>
      <c r="I896" s="13">
        <v>8.0</v>
      </c>
      <c r="J896" s="13">
        <v>0.0</v>
      </c>
      <c r="K896" s="12" t="s">
        <v>21</v>
      </c>
      <c r="L896" s="7">
        <v>41331.447060185186</v>
      </c>
      <c r="M896" s="16"/>
      <c r="N896" s="14" t="s">
        <v>7922</v>
      </c>
      <c r="O896" s="11" t="str">
        <f>HYPERLINK("https://pbs.twimg.com/profile_images/3311838112/cd20c9b2a8069d726a60ba97bfd75a61_normal.png","View")</f>
        <v>View</v>
      </c>
      <c r="P896" s="15"/>
    </row>
    <row r="897">
      <c r="A897" s="7">
        <v>42422.83818287037</v>
      </c>
      <c r="B897" s="8" t="str">
        <f>HYPERLINK("https://twitter.com/nekrum","@nekrum")</f>
        <v>@nekrum</v>
      </c>
      <c r="C897" s="10" t="s">
        <v>6885</v>
      </c>
      <c r="D897" s="10" t="s">
        <v>7923</v>
      </c>
      <c r="E897" s="11" t="str">
        <f>HYPERLINK("https://twitter.com/nekrum/status/701981553497276416","701981553497276416")</f>
        <v>701981553497276416</v>
      </c>
      <c r="F897" s="12" t="s">
        <v>152</v>
      </c>
      <c r="G897" s="13">
        <v>116.0</v>
      </c>
      <c r="H897" s="13">
        <v>307.0</v>
      </c>
      <c r="I897" s="13">
        <v>1.0</v>
      </c>
      <c r="J897" s="13">
        <v>0.0</v>
      </c>
      <c r="K897" s="12" t="s">
        <v>21</v>
      </c>
      <c r="L897" s="7">
        <v>39800.53101851852</v>
      </c>
      <c r="M897" s="14" t="s">
        <v>6886</v>
      </c>
      <c r="N897" s="14" t="s">
        <v>6887</v>
      </c>
      <c r="O897" s="11" t="str">
        <f>HYPERLINK("https://pbs.twimg.com/profile_images/119769350/logo-azul-blanco_normal.png","View")</f>
        <v>View</v>
      </c>
      <c r="P897" s="15"/>
    </row>
    <row r="898">
      <c r="A898" s="7">
        <v>42422.84038194444</v>
      </c>
      <c r="B898" s="8" t="str">
        <f>HYPERLINK("https://twitter.com/Rbloggers","@Rbloggers")</f>
        <v>@Rbloggers</v>
      </c>
      <c r="C898" s="10" t="s">
        <v>6221</v>
      </c>
      <c r="D898" s="10" t="s">
        <v>7924</v>
      </c>
      <c r="E898" s="11" t="str">
        <f>HYPERLINK("https://twitter.com/Rbloggers/status/701982349936893953","701982349936893953")</f>
        <v>701982349936893953</v>
      </c>
      <c r="F898" s="17" t="s">
        <v>6223</v>
      </c>
      <c r="G898" s="13">
        <v>28572.0</v>
      </c>
      <c r="H898" s="13">
        <v>36.0</v>
      </c>
      <c r="I898" s="13">
        <v>5.0</v>
      </c>
      <c r="J898" s="13">
        <v>1.0</v>
      </c>
      <c r="K898" s="12" t="s">
        <v>21</v>
      </c>
      <c r="L898" s="7">
        <v>40314.510601851856</v>
      </c>
      <c r="M898" s="16"/>
      <c r="N898" s="14" t="s">
        <v>6224</v>
      </c>
      <c r="O898" s="11" t="str">
        <f>HYPERLINK("https://pbs.twimg.com/profile_images/502185985786916864/gkdFh-q7_normal.png","View")</f>
        <v>View</v>
      </c>
      <c r="P898" s="15"/>
    </row>
    <row r="899">
      <c r="A899" s="7">
        <v>42422.8407175926</v>
      </c>
      <c r="B899" s="8" t="str">
        <f>HYPERLINK("https://twitter.com/nekrum","@nekrum")</f>
        <v>@nekrum</v>
      </c>
      <c r="C899" s="10" t="s">
        <v>6885</v>
      </c>
      <c r="D899" s="10" t="s">
        <v>7925</v>
      </c>
      <c r="E899" s="11" t="str">
        <f>HYPERLINK("https://twitter.com/nekrum/status/701982474897723392","701982474897723392")</f>
        <v>701982474897723392</v>
      </c>
      <c r="F899" s="12" t="s">
        <v>152</v>
      </c>
      <c r="G899" s="13">
        <v>116.0</v>
      </c>
      <c r="H899" s="13">
        <v>307.0</v>
      </c>
      <c r="I899" s="13">
        <v>2.0</v>
      </c>
      <c r="J899" s="13">
        <v>0.0</v>
      </c>
      <c r="K899" s="12" t="s">
        <v>21</v>
      </c>
      <c r="L899" s="7">
        <v>39800.53101851852</v>
      </c>
      <c r="M899" s="14" t="s">
        <v>6886</v>
      </c>
      <c r="N899" s="14" t="s">
        <v>6887</v>
      </c>
      <c r="O899" s="11" t="str">
        <f>HYPERLINK("https://pbs.twimg.com/profile_images/119769350/logo-azul-blanco_normal.png","View")</f>
        <v>View</v>
      </c>
      <c r="P899" s="15"/>
    </row>
    <row r="900">
      <c r="A900" s="7">
        <v>42422.842928240745</v>
      </c>
      <c r="B900" s="8" t="str">
        <f>HYPERLINK("https://twitter.com/wtibrentdubai","@wtibrentdubai")</f>
        <v>@wtibrentdubai</v>
      </c>
      <c r="C900" s="10" t="s">
        <v>6247</v>
      </c>
      <c r="D900" s="10" t="s">
        <v>7926</v>
      </c>
      <c r="E900" s="11" t="str">
        <f>HYPERLINK("https://twitter.com/wtibrentdubai/status/701983275640758272","701983275640758272")</f>
        <v>701983275640758272</v>
      </c>
      <c r="F900" s="12" t="s">
        <v>152</v>
      </c>
      <c r="G900" s="13">
        <v>85.0</v>
      </c>
      <c r="H900" s="13">
        <v>201.0</v>
      </c>
      <c r="I900" s="13">
        <v>5.0</v>
      </c>
      <c r="J900" s="13">
        <v>0.0</v>
      </c>
      <c r="K900" s="12" t="s">
        <v>21</v>
      </c>
      <c r="L900" s="7">
        <v>42292.593680555554</v>
      </c>
      <c r="M900" s="14" t="s">
        <v>6249</v>
      </c>
      <c r="N900" s="14" t="s">
        <v>6250</v>
      </c>
      <c r="O900" s="11" t="str">
        <f>HYPERLINK("https://pbs.twimg.com/profile_images/670700991906381824/-0POuKFV_normal.jpg","View")</f>
        <v>View</v>
      </c>
      <c r="P900" s="15"/>
    </row>
    <row r="901">
      <c r="A901" s="7">
        <v>42422.84307870371</v>
      </c>
      <c r="B901" s="8" t="str">
        <f>HYPERLINK("https://twitter.com/jletteboer","@jletteboer")</f>
        <v>@jletteboer</v>
      </c>
      <c r="C901" s="10" t="s">
        <v>3886</v>
      </c>
      <c r="D901" s="10" t="s">
        <v>7927</v>
      </c>
      <c r="E901" s="11" t="str">
        <f>HYPERLINK("https://twitter.com/jletteboer/status/701983327536988160","701983327536988160")</f>
        <v>701983327536988160</v>
      </c>
      <c r="F901" s="17" t="s">
        <v>718</v>
      </c>
      <c r="G901" s="13">
        <v>818.0</v>
      </c>
      <c r="H901" s="13">
        <v>786.0</v>
      </c>
      <c r="I901" s="13">
        <v>3.0</v>
      </c>
      <c r="J901" s="13">
        <v>2.0</v>
      </c>
      <c r="K901" s="12" t="s">
        <v>21</v>
      </c>
      <c r="L901" s="7">
        <v>40142.24915509259</v>
      </c>
      <c r="M901" s="14" t="s">
        <v>1007</v>
      </c>
      <c r="N901" s="14" t="s">
        <v>3888</v>
      </c>
      <c r="O901" s="11" t="str">
        <f>HYPERLINK("https://pbs.twimg.com/profile_images/524199331365015552/O94t9yIe_normal.jpeg","View")</f>
        <v>View</v>
      </c>
      <c r="P901" s="15"/>
    </row>
    <row r="902">
      <c r="A902" s="7">
        <v>42422.84584490741</v>
      </c>
      <c r="B902" s="8" t="str">
        <f>HYPERLINK("https://twitter.com/coolbutuseless","@coolbutuseless")</f>
        <v>@coolbutuseless</v>
      </c>
      <c r="C902" s="10" t="s">
        <v>3711</v>
      </c>
      <c r="D902" s="10" t="s">
        <v>7928</v>
      </c>
      <c r="E902" s="11" t="str">
        <f>HYPERLINK("https://twitter.com/coolbutuseless/status/701984330315206662","701984330315206662")</f>
        <v>701984330315206662</v>
      </c>
      <c r="F902" s="12" t="s">
        <v>3344</v>
      </c>
      <c r="G902" s="13">
        <v>218.0</v>
      </c>
      <c r="H902" s="13">
        <v>222.0</v>
      </c>
      <c r="I902" s="13">
        <v>1.0</v>
      </c>
      <c r="J902" s="13">
        <v>0.0</v>
      </c>
      <c r="K902" s="12" t="s">
        <v>21</v>
      </c>
      <c r="L902" s="7">
        <v>39944.733090277776</v>
      </c>
      <c r="M902" s="16"/>
      <c r="N902" s="14" t="s">
        <v>3712</v>
      </c>
      <c r="O902" s="11" t="str">
        <f>HYPERLINK("https://pbs.twimg.com/profile_images/1858980277/icon2_normal.png","View")</f>
        <v>View</v>
      </c>
      <c r="P902" s="15"/>
    </row>
    <row r="903">
      <c r="A903" s="7">
        <v>42422.84594907408</v>
      </c>
      <c r="B903" s="8" t="str">
        <f>HYPERLINK("https://twitter.com/souravc83","@souravc83")</f>
        <v>@souravc83</v>
      </c>
      <c r="C903" s="10" t="s">
        <v>6278</v>
      </c>
      <c r="D903" s="10" t="s">
        <v>7929</v>
      </c>
      <c r="E903" s="11" t="str">
        <f>HYPERLINK("https://twitter.com/souravc83/status/701984367279603712","701984367279603712")</f>
        <v>701984367279603712</v>
      </c>
      <c r="F903" s="12" t="s">
        <v>20</v>
      </c>
      <c r="G903" s="13">
        <v>39.0</v>
      </c>
      <c r="H903" s="13">
        <v>148.0</v>
      </c>
      <c r="I903" s="13">
        <v>0.0</v>
      </c>
      <c r="J903" s="13">
        <v>1.0</v>
      </c>
      <c r="K903" s="12" t="s">
        <v>21</v>
      </c>
      <c r="L903" s="7">
        <v>39942.4037962963</v>
      </c>
      <c r="M903" s="14" t="s">
        <v>6280</v>
      </c>
      <c r="N903" s="14" t="s">
        <v>6281</v>
      </c>
      <c r="O903" s="11" t="str">
        <f>HYPERLINK("https://pbs.twimg.com/profile_images/658511161034326016/RaFwgtT6_normal.jpg","View")</f>
        <v>View</v>
      </c>
      <c r="P903" s="15"/>
    </row>
    <row r="904">
      <c r="A904" s="7">
        <v>42422.8478125</v>
      </c>
      <c r="B904" s="8" t="str">
        <f>HYPERLINK("https://twitter.com/BigDataTweetBot","@BigDataTweetBot")</f>
        <v>@BigDataTweetBot</v>
      </c>
      <c r="C904" s="10" t="s">
        <v>1440</v>
      </c>
      <c r="D904" s="10" t="s">
        <v>7930</v>
      </c>
      <c r="E904" s="11" t="str">
        <f>HYPERLINK("https://twitter.com/BigDataTweetBot/status/701985043795861504","701985043795861504")</f>
        <v>701985043795861504</v>
      </c>
      <c r="F904" s="12" t="s">
        <v>1442</v>
      </c>
      <c r="G904" s="13">
        <v>8622.0</v>
      </c>
      <c r="H904" s="13">
        <v>243.0</v>
      </c>
      <c r="I904" s="13">
        <v>3.0</v>
      </c>
      <c r="J904" s="13">
        <v>0.0</v>
      </c>
      <c r="K904" s="12" t="s">
        <v>21</v>
      </c>
      <c r="L904" s="7">
        <v>42187.77106481481</v>
      </c>
      <c r="M904" s="16"/>
      <c r="N904" s="14" t="s">
        <v>1443</v>
      </c>
      <c r="O904" s="11" t="str">
        <f>HYPERLINK("https://pbs.twimg.com/profile_images/616793252524650496/bQbxJqmz_normal.jpg","View")</f>
        <v>View</v>
      </c>
      <c r="P904" s="15"/>
    </row>
    <row r="905">
      <c r="A905" s="7">
        <v>42422.84887731481</v>
      </c>
      <c r="B905" s="8" t="str">
        <f>HYPERLINK("https://twitter.com/Pvalsfr","@Pvalsfr")</f>
        <v>@Pvalsfr</v>
      </c>
      <c r="C905" s="10" t="s">
        <v>771</v>
      </c>
      <c r="D905" s="10" t="s">
        <v>7926</v>
      </c>
      <c r="E905" s="11" t="str">
        <f>HYPERLINK("https://twitter.com/Pvalsfr/status/701985430112223232","701985430112223232")</f>
        <v>701985430112223232</v>
      </c>
      <c r="F905" s="12" t="s">
        <v>152</v>
      </c>
      <c r="G905" s="13">
        <v>1044.0</v>
      </c>
      <c r="H905" s="13">
        <v>1081.0</v>
      </c>
      <c r="I905" s="13">
        <v>5.0</v>
      </c>
      <c r="J905" s="13">
        <v>0.0</v>
      </c>
      <c r="K905" s="12" t="s">
        <v>21</v>
      </c>
      <c r="L905" s="7">
        <v>40867.68900462963</v>
      </c>
      <c r="M905" s="16"/>
      <c r="N905" s="16"/>
      <c r="O905" s="11" t="str">
        <f>HYPERLINK("https://abs.twimg.com/sticky/default_profile_images/default_profile_4_normal.png","View")</f>
        <v>View</v>
      </c>
      <c r="P905" s="15"/>
    </row>
    <row r="906">
      <c r="A906" s="7">
        <v>42422.85050925926</v>
      </c>
      <c r="B906" s="8" t="str">
        <f>HYPERLINK("https://twitter.com/NitinMdsu","@NitinMdsu")</f>
        <v>@NitinMdsu</v>
      </c>
      <c r="C906" s="10" t="s">
        <v>7931</v>
      </c>
      <c r="D906" s="10" t="s">
        <v>7352</v>
      </c>
      <c r="E906" s="11" t="str">
        <f>HYPERLINK("https://twitter.com/NitinMdsu/status/701986020208676865","701986020208676865")</f>
        <v>701986020208676865</v>
      </c>
      <c r="F906" s="12" t="s">
        <v>20</v>
      </c>
      <c r="G906" s="13">
        <v>198.0</v>
      </c>
      <c r="H906" s="13">
        <v>168.0</v>
      </c>
      <c r="I906" s="13">
        <v>48.0</v>
      </c>
      <c r="J906" s="13">
        <v>0.0</v>
      </c>
      <c r="K906" s="12" t="s">
        <v>21</v>
      </c>
      <c r="L906" s="7">
        <v>41248.91210648148</v>
      </c>
      <c r="M906" s="14" t="s">
        <v>7932</v>
      </c>
      <c r="N906" s="14" t="s">
        <v>7933</v>
      </c>
      <c r="O906" s="11" t="str">
        <f>HYPERLINK("https://pbs.twimg.com/profile_images/658682551184158720/nIwPQKQ3_normal.png","View")</f>
        <v>View</v>
      </c>
      <c r="P906" s="15"/>
    </row>
    <row r="907">
      <c r="A907" s="7">
        <v>42422.85189814815</v>
      </c>
      <c r="B907" s="8" t="str">
        <f>HYPERLINK("https://twitter.com/ErmiaBivatan","@ErmiaBivatan")</f>
        <v>@ErmiaBivatan</v>
      </c>
      <c r="C907" s="10" t="s">
        <v>6261</v>
      </c>
      <c r="D907" s="10" t="s">
        <v>7887</v>
      </c>
      <c r="E907" s="11" t="str">
        <f>HYPERLINK("https://twitter.com/ErmiaBivatan/status/701986526838833152","701986526838833152")</f>
        <v>701986526838833152</v>
      </c>
      <c r="F907" s="12" t="s">
        <v>20</v>
      </c>
      <c r="G907" s="13">
        <v>45.0</v>
      </c>
      <c r="H907" s="13">
        <v>142.0</v>
      </c>
      <c r="I907" s="13">
        <v>6.0</v>
      </c>
      <c r="J907" s="13">
        <v>0.0</v>
      </c>
      <c r="K907" s="12" t="s">
        <v>21</v>
      </c>
      <c r="L907" s="7">
        <v>41409.883356481485</v>
      </c>
      <c r="M907" s="16"/>
      <c r="N907" s="14" t="s">
        <v>6263</v>
      </c>
      <c r="O907" s="11" t="str">
        <f>HYPERLINK("https://pbs.twimg.com/profile_images/700219041131204608/DZKmHE4-_normal.jpg","View")</f>
        <v>View</v>
      </c>
      <c r="P907" s="15"/>
    </row>
    <row r="908">
      <c r="A908" s="7">
        <v>42422.8531712963</v>
      </c>
      <c r="B908" s="8" t="str">
        <f>HYPERLINK("https://twitter.com/spsarkar","@spsarkar")</f>
        <v>@spsarkar</v>
      </c>
      <c r="C908" s="10" t="s">
        <v>7934</v>
      </c>
      <c r="D908" s="10" t="s">
        <v>7935</v>
      </c>
      <c r="E908" s="11" t="str">
        <f>HYPERLINK("https://twitter.com/spsarkar/status/701986987708964864","701986987708964864")</f>
        <v>701986987708964864</v>
      </c>
      <c r="F908" s="12" t="s">
        <v>20</v>
      </c>
      <c r="G908" s="13">
        <v>105.0</v>
      </c>
      <c r="H908" s="13">
        <v>287.0</v>
      </c>
      <c r="I908" s="13">
        <v>0.0</v>
      </c>
      <c r="J908" s="13">
        <v>0.0</v>
      </c>
      <c r="K908" s="12" t="s">
        <v>21</v>
      </c>
      <c r="L908" s="7">
        <v>40056.579050925924</v>
      </c>
      <c r="M908" s="16"/>
      <c r="N908" s="14" t="s">
        <v>7936</v>
      </c>
      <c r="O908" s="11" t="str">
        <f>HYPERLINK("https://pbs.twimg.com/profile_images/1289256833/49871_610945537_1407_n_normal.jpg","View")</f>
        <v>View</v>
      </c>
      <c r="P908" s="15"/>
    </row>
    <row r="909">
      <c r="A909" s="7">
        <v>42422.854421296295</v>
      </c>
      <c r="B909" s="8" t="str">
        <f>HYPERLINK("https://twitter.com/joshjfink","@joshjfink")</f>
        <v>@joshjfink</v>
      </c>
      <c r="C909" s="10" t="s">
        <v>6638</v>
      </c>
      <c r="D909" s="10" t="s">
        <v>7937</v>
      </c>
      <c r="E909" s="11" t="str">
        <f>HYPERLINK("https://twitter.com/joshjfink/status/701987437464186880","701987437464186880")</f>
        <v>701987437464186880</v>
      </c>
      <c r="F909" s="12" t="s">
        <v>20</v>
      </c>
      <c r="G909" s="13">
        <v>114.0</v>
      </c>
      <c r="H909" s="13">
        <v>106.0</v>
      </c>
      <c r="I909" s="13">
        <v>1.0</v>
      </c>
      <c r="J909" s="13">
        <v>0.0</v>
      </c>
      <c r="K909" s="12" t="s">
        <v>21</v>
      </c>
      <c r="L909" s="7">
        <v>41625.58105324074</v>
      </c>
      <c r="M909" s="14" t="s">
        <v>6640</v>
      </c>
      <c r="N909" s="14" t="s">
        <v>6641</v>
      </c>
      <c r="O909" s="11" t="str">
        <f>HYPERLINK("https://pbs.twimg.com/profile_images/692071858448011264/IWaYjbkb_normal.png","View")</f>
        <v>View</v>
      </c>
      <c r="P909" s="15"/>
    </row>
    <row r="910">
      <c r="A910" s="7">
        <v>42422.858622685184</v>
      </c>
      <c r="B910" s="8" t="str">
        <f>HYPERLINK("https://twitter.com/aneomatrix","@aneomatrix")</f>
        <v>@aneomatrix</v>
      </c>
      <c r="C910" s="10" t="s">
        <v>6867</v>
      </c>
      <c r="D910" s="10" t="s">
        <v>7655</v>
      </c>
      <c r="E910" s="11" t="str">
        <f>HYPERLINK("https://twitter.com/aneomatrix/status/701988960017346560","701988960017346560")</f>
        <v>701988960017346560</v>
      </c>
      <c r="F910" s="12" t="s">
        <v>20</v>
      </c>
      <c r="G910" s="13">
        <v>52.0</v>
      </c>
      <c r="H910" s="13">
        <v>13.0</v>
      </c>
      <c r="I910" s="13">
        <v>5.0</v>
      </c>
      <c r="J910" s="13">
        <v>0.0</v>
      </c>
      <c r="K910" s="12" t="s">
        <v>21</v>
      </c>
      <c r="L910" s="7">
        <v>41689.8415625</v>
      </c>
      <c r="M910" s="16"/>
      <c r="N910" s="14" t="s">
        <v>6868</v>
      </c>
      <c r="O910" s="11" t="str">
        <f>HYPERLINK("https://pbs.twimg.com/profile_images/436371993756045312/GLPHgaoV_normal.png","View")</f>
        <v>View</v>
      </c>
      <c r="P910" s="15"/>
    </row>
    <row r="911">
      <c r="A911" s="7">
        <v>42422.859247685185</v>
      </c>
      <c r="B911" s="8" t="str">
        <f>HYPERLINK("https://twitter.com/albinocoffee","@albinocoffee")</f>
        <v>@albinocoffee</v>
      </c>
      <c r="C911" s="10" t="s">
        <v>7938</v>
      </c>
      <c r="D911" s="10" t="s">
        <v>7913</v>
      </c>
      <c r="E911" s="11" t="str">
        <f>HYPERLINK("https://twitter.com/albinocoffee/status/701989188359487488","701989188359487488")</f>
        <v>701989188359487488</v>
      </c>
      <c r="F911" s="12" t="s">
        <v>152</v>
      </c>
      <c r="G911" s="13">
        <v>98.0</v>
      </c>
      <c r="H911" s="13">
        <v>459.0</v>
      </c>
      <c r="I911" s="13">
        <v>18.0</v>
      </c>
      <c r="J911" s="13">
        <v>0.0</v>
      </c>
      <c r="K911" s="12" t="s">
        <v>21</v>
      </c>
      <c r="L911" s="7">
        <v>40829.73613425926</v>
      </c>
      <c r="M911" s="14" t="s">
        <v>7939</v>
      </c>
      <c r="N911" s="14" t="s">
        <v>7940</v>
      </c>
      <c r="O911" s="11" t="str">
        <f>HYPERLINK("https://pbs.twimg.com/profile_images/496705251294986240/4-grQY-j_normal.jpeg","View")</f>
        <v>View</v>
      </c>
      <c r="P911" s="15"/>
    </row>
    <row r="912">
      <c r="A912" s="7">
        <v>42422.85938657407</v>
      </c>
      <c r="B912" s="8" t="str">
        <f>HYPERLINK("https://twitter.com/DataWookie","@DataWookie")</f>
        <v>@DataWookie</v>
      </c>
      <c r="C912" s="10" t="s">
        <v>6231</v>
      </c>
      <c r="D912" s="10" t="s">
        <v>7941</v>
      </c>
      <c r="E912" s="11" t="str">
        <f>HYPERLINK("https://twitter.com/DataWookie/status/701989237718016000","701989237718016000")</f>
        <v>701989237718016000</v>
      </c>
      <c r="F912" s="12" t="s">
        <v>6233</v>
      </c>
      <c r="G912" s="13">
        <v>426.0</v>
      </c>
      <c r="H912" s="13">
        <v>296.0</v>
      </c>
      <c r="I912" s="13">
        <v>0.0</v>
      </c>
      <c r="J912" s="13">
        <v>0.0</v>
      </c>
      <c r="K912" s="12" t="s">
        <v>21</v>
      </c>
      <c r="L912" s="7">
        <v>42166.966678240744</v>
      </c>
      <c r="M912" s="14" t="s">
        <v>6234</v>
      </c>
      <c r="N912" s="14" t="s">
        <v>6235</v>
      </c>
      <c r="O912" s="11" t="str">
        <f>HYPERLINK("https://pbs.twimg.com/profile_images/612471608725213184/eXKo2Kmo_normal.jpg","View")</f>
        <v>View</v>
      </c>
      <c r="P912" s="15"/>
    </row>
    <row r="913">
      <c r="A913" s="7">
        <v>42422.85947916667</v>
      </c>
      <c r="B913" s="8" t="str">
        <f>HYPERLINK("https://twitter.com/aneomatrix","@aneomatrix")</f>
        <v>@aneomatrix</v>
      </c>
      <c r="C913" s="10" t="s">
        <v>6867</v>
      </c>
      <c r="D913" s="10" t="s">
        <v>7837</v>
      </c>
      <c r="E913" s="11" t="str">
        <f>HYPERLINK("https://twitter.com/aneomatrix/status/701989272191021056","701989272191021056")</f>
        <v>701989272191021056</v>
      </c>
      <c r="F913" s="12" t="s">
        <v>20</v>
      </c>
      <c r="G913" s="13">
        <v>52.0</v>
      </c>
      <c r="H913" s="13">
        <v>13.0</v>
      </c>
      <c r="I913" s="13">
        <v>9.0</v>
      </c>
      <c r="J913" s="13">
        <v>0.0</v>
      </c>
      <c r="K913" s="12" t="s">
        <v>21</v>
      </c>
      <c r="L913" s="7">
        <v>41689.8415625</v>
      </c>
      <c r="M913" s="16"/>
      <c r="N913" s="14" t="s">
        <v>6868</v>
      </c>
      <c r="O913" s="11" t="str">
        <f>HYPERLINK("https://pbs.twimg.com/profile_images/436371993756045312/GLPHgaoV_normal.png","View")</f>
        <v>View</v>
      </c>
      <c r="P913" s="15"/>
    </row>
    <row r="914">
      <c r="A914" s="7">
        <v>42422.86162037037</v>
      </c>
      <c r="B914" s="8" t="str">
        <f>HYPERLINK("https://twitter.com/SmithMattC","@SmithMattC")</f>
        <v>@SmithMattC</v>
      </c>
      <c r="C914" s="10" t="s">
        <v>7942</v>
      </c>
      <c r="D914" s="10" t="s">
        <v>6319</v>
      </c>
      <c r="E914" s="11" t="str">
        <f>HYPERLINK("https://twitter.com/SmithMattC/status/701990049584295936","701990049584295936")</f>
        <v>701990049584295936</v>
      </c>
      <c r="F914" s="12" t="s">
        <v>52</v>
      </c>
      <c r="G914" s="13">
        <v>339.0</v>
      </c>
      <c r="H914" s="13">
        <v>496.0</v>
      </c>
      <c r="I914" s="13">
        <v>106.0</v>
      </c>
      <c r="J914" s="13">
        <v>0.0</v>
      </c>
      <c r="K914" s="12" t="s">
        <v>21</v>
      </c>
      <c r="L914" s="7">
        <v>40850.71805555555</v>
      </c>
      <c r="M914" s="14" t="s">
        <v>7943</v>
      </c>
      <c r="N914" s="14" t="s">
        <v>7944</v>
      </c>
      <c r="O914" s="11" t="str">
        <f>HYPERLINK("https://pbs.twimg.com/profile_images/683812007171080192/WwK6GuMH_normal.jpg","View")</f>
        <v>View</v>
      </c>
      <c r="P914" s="15"/>
    </row>
    <row r="915">
      <c r="A915" s="7">
        <v>42422.86296296296</v>
      </c>
      <c r="B915" s="8" t="str">
        <f>HYPERLINK("https://twitter.com/JoergSteinkamp","@JoergSteinkamp")</f>
        <v>@JoergSteinkamp</v>
      </c>
      <c r="C915" s="10" t="s">
        <v>7945</v>
      </c>
      <c r="D915" s="10" t="s">
        <v>7802</v>
      </c>
      <c r="E915" s="11" t="str">
        <f>HYPERLINK("https://twitter.com/JoergSteinkamp/status/701990533158281217","701990533158281217")</f>
        <v>701990533158281217</v>
      </c>
      <c r="F915" s="12" t="s">
        <v>52</v>
      </c>
      <c r="G915" s="13">
        <v>99.0</v>
      </c>
      <c r="H915" s="13">
        <v>224.0</v>
      </c>
      <c r="I915" s="13">
        <v>5.0</v>
      </c>
      <c r="J915" s="13">
        <v>0.0</v>
      </c>
      <c r="K915" s="12" t="s">
        <v>21</v>
      </c>
      <c r="L915" s="7">
        <v>41421.228472222225</v>
      </c>
      <c r="M915" s="14" t="s">
        <v>7946</v>
      </c>
      <c r="N915" s="14" t="s">
        <v>7947</v>
      </c>
      <c r="O915" s="11" t="str">
        <f>HYPERLINK("https://pbs.twimg.com/profile_images/646915048934404096/f2KeJ3eX_normal.jpg","View")</f>
        <v>View</v>
      </c>
      <c r="P915" s="15"/>
    </row>
    <row r="916">
      <c r="A916" s="7">
        <v>42422.86462962963</v>
      </c>
      <c r="B916" s="8" t="str">
        <f>HYPERLINK("https://twitter.com/tanmoy77","@tanmoy77")</f>
        <v>@tanmoy77</v>
      </c>
      <c r="C916" s="10" t="s">
        <v>7948</v>
      </c>
      <c r="D916" s="10" t="s">
        <v>7926</v>
      </c>
      <c r="E916" s="11" t="str">
        <f>HYPERLINK("https://twitter.com/tanmoy77/status/701991139126042625","701991139126042625")</f>
        <v>701991139126042625</v>
      </c>
      <c r="F916" s="12" t="s">
        <v>152</v>
      </c>
      <c r="G916" s="13">
        <v>69.0</v>
      </c>
      <c r="H916" s="13">
        <v>294.0</v>
      </c>
      <c r="I916" s="13">
        <v>5.0</v>
      </c>
      <c r="J916" s="13">
        <v>0.0</v>
      </c>
      <c r="K916" s="12" t="s">
        <v>21</v>
      </c>
      <c r="L916" s="7">
        <v>40266.479004629626</v>
      </c>
      <c r="M916" s="16"/>
      <c r="N916" s="14" t="s">
        <v>7949</v>
      </c>
      <c r="O916" s="11" t="str">
        <f>HYPERLINK("https://pbs.twimg.com/profile_images/1657129202/bum_normal.png","View")</f>
        <v>View</v>
      </c>
      <c r="P916" s="15"/>
    </row>
    <row r="917">
      <c r="A917" s="7">
        <v>42422.87637731481</v>
      </c>
      <c r="B917" s="8" t="str">
        <f>HYPERLINK("https://twitter.com/kwbroman","@kwbroman")</f>
        <v>@kwbroman</v>
      </c>
      <c r="C917" s="10" t="s">
        <v>6662</v>
      </c>
      <c r="D917" s="10" t="s">
        <v>7906</v>
      </c>
      <c r="E917" s="11" t="str">
        <f>HYPERLINK("https://twitter.com/kwbroman/status/701995394297757698","701995394297757698")</f>
        <v>701995394297757698</v>
      </c>
      <c r="F917" s="12" t="s">
        <v>240</v>
      </c>
      <c r="G917" s="13">
        <v>3617.0</v>
      </c>
      <c r="H917" s="13">
        <v>392.0</v>
      </c>
      <c r="I917" s="13">
        <v>8.0</v>
      </c>
      <c r="J917" s="13">
        <v>0.0</v>
      </c>
      <c r="K917" s="12" t="s">
        <v>21</v>
      </c>
      <c r="L917" s="7">
        <v>41335.79141203704</v>
      </c>
      <c r="M917" s="14" t="s">
        <v>6664</v>
      </c>
      <c r="N917" s="14" t="s">
        <v>6665</v>
      </c>
      <c r="O917" s="11" t="str">
        <f>HYPERLINK("https://pbs.twimg.com/profile_images/680796333460959232/CzoFZb76_normal.jpg","View")</f>
        <v>View</v>
      </c>
      <c r="P917" s="15"/>
    </row>
    <row r="918">
      <c r="A918" s="7">
        <v>42422.881840277776</v>
      </c>
      <c r="B918" s="8" t="str">
        <f>HYPERLINK("https://twitter.com/AnalyticsVidhya","@AnalyticsVidhya")</f>
        <v>@AnalyticsVidhya</v>
      </c>
      <c r="C918" s="10" t="s">
        <v>2998</v>
      </c>
      <c r="D918" s="10" t="s">
        <v>7950</v>
      </c>
      <c r="E918" s="11" t="str">
        <f>HYPERLINK("https://twitter.com/AnalyticsVidhya/status/701997377725591552","701997377725591552")</f>
        <v>701997377725591552</v>
      </c>
      <c r="F918" s="12" t="s">
        <v>294</v>
      </c>
      <c r="G918" s="13">
        <v>4133.0</v>
      </c>
      <c r="H918" s="13">
        <v>250.0</v>
      </c>
      <c r="I918" s="13">
        <v>2.0</v>
      </c>
      <c r="J918" s="13">
        <v>8.0</v>
      </c>
      <c r="K918" s="12" t="s">
        <v>21</v>
      </c>
      <c r="L918" s="7">
        <v>41665.11702546296</v>
      </c>
      <c r="M918" s="16"/>
      <c r="N918" s="14" t="s">
        <v>3000</v>
      </c>
      <c r="O918" s="11" t="str">
        <f>HYPERLINK("https://pbs.twimg.com/profile_images/457775762108448768/XmO2C1-E_normal.png","View")</f>
        <v>View</v>
      </c>
      <c r="P918" s="15"/>
    </row>
    <row r="919">
      <c r="A919" s="7">
        <v>42422.884351851855</v>
      </c>
      <c r="B919" s="8" t="str">
        <f>HYPERLINK("https://twitter.com/monkmanmh","@monkmanmh")</f>
        <v>@monkmanmh</v>
      </c>
      <c r="C919" s="10" t="s">
        <v>7951</v>
      </c>
      <c r="D919" s="10" t="s">
        <v>7906</v>
      </c>
      <c r="E919" s="11" t="str">
        <f>HYPERLINK("https://twitter.com/monkmanmh/status/701998286601715712","701998286601715712")</f>
        <v>701998286601715712</v>
      </c>
      <c r="F919" s="12" t="s">
        <v>52</v>
      </c>
      <c r="G919" s="13">
        <v>257.0</v>
      </c>
      <c r="H919" s="13">
        <v>821.0</v>
      </c>
      <c r="I919" s="13">
        <v>8.0</v>
      </c>
      <c r="J919" s="13">
        <v>0.0</v>
      </c>
      <c r="K919" s="12" t="s">
        <v>21</v>
      </c>
      <c r="L919" s="7">
        <v>40456.45587962963</v>
      </c>
      <c r="M919" s="14" t="s">
        <v>7544</v>
      </c>
      <c r="N919" s="14" t="s">
        <v>7952</v>
      </c>
      <c r="O919" s="11" t="str">
        <f>HYPERLINK("https://pbs.twimg.com/profile_images/378800000326851690/31a53679fad3e2366222d213ad196573_normal.jpeg","View")</f>
        <v>View</v>
      </c>
      <c r="P919" s="15"/>
    </row>
    <row r="920">
      <c r="A920" s="7">
        <v>42422.89519675926</v>
      </c>
      <c r="B920" s="8" t="str">
        <f>HYPERLINK("https://twitter.com/thomas_sandmann","@thomas_sandmann")</f>
        <v>@thomas_sandmann</v>
      </c>
      <c r="C920" s="10" t="s">
        <v>7953</v>
      </c>
      <c r="D920" s="10" t="s">
        <v>7913</v>
      </c>
      <c r="E920" s="11" t="str">
        <f>HYPERLINK("https://twitter.com/thomas_sandmann/status/702002214600970240","702002214600970240")</f>
        <v>702002214600970240</v>
      </c>
      <c r="F920" s="12" t="s">
        <v>152</v>
      </c>
      <c r="G920" s="13">
        <v>49.0</v>
      </c>
      <c r="H920" s="13">
        <v>133.0</v>
      </c>
      <c r="I920" s="13">
        <v>18.0</v>
      </c>
      <c r="J920" s="13">
        <v>0.0</v>
      </c>
      <c r="K920" s="12" t="s">
        <v>21</v>
      </c>
      <c r="L920" s="7">
        <v>41998.24381944444</v>
      </c>
      <c r="M920" s="14" t="s">
        <v>6406</v>
      </c>
      <c r="N920" s="14" t="s">
        <v>7954</v>
      </c>
      <c r="O920" s="11" t="str">
        <f>HYPERLINK("https://pbs.twimg.com/profile_images/558072264554319872/u0cDkGE3_normal.jpeg","View")</f>
        <v>View</v>
      </c>
      <c r="P920" s="15"/>
    </row>
    <row r="921">
      <c r="A921" s="7">
        <v>42422.8959837963</v>
      </c>
      <c r="B921" s="8" t="str">
        <f>HYPERLINK("https://twitter.com/ucfagls","@ucfagls")</f>
        <v>@ucfagls</v>
      </c>
      <c r="C921" s="10" t="s">
        <v>7840</v>
      </c>
      <c r="D921" s="10" t="s">
        <v>7955</v>
      </c>
      <c r="E921" s="11" t="str">
        <f>HYPERLINK("https://twitter.com/ucfagls/status/702002501067808768","702002501067808768")</f>
        <v>702002501067808768</v>
      </c>
      <c r="F921" s="12" t="s">
        <v>446</v>
      </c>
      <c r="G921" s="13">
        <v>1631.0</v>
      </c>
      <c r="H921" s="13">
        <v>1018.0</v>
      </c>
      <c r="I921" s="13">
        <v>1.0</v>
      </c>
      <c r="J921" s="13">
        <v>3.0</v>
      </c>
      <c r="K921" s="12" t="s">
        <v>21</v>
      </c>
      <c r="L921" s="7">
        <v>40648.72398148148</v>
      </c>
      <c r="M921" s="14" t="s">
        <v>7841</v>
      </c>
      <c r="N921" s="14" t="s">
        <v>7842</v>
      </c>
      <c r="O921" s="11" t="str">
        <f>HYPERLINK("https://pbs.twimg.com/profile_images/564871970454401024/omH5A6W0_normal.png","View")</f>
        <v>View</v>
      </c>
      <c r="P921" s="15"/>
    </row>
    <row r="922">
      <c r="A922" s="7">
        <v>42422.90003472222</v>
      </c>
      <c r="B922" s="8" t="str">
        <f>HYPERLINK("https://twitter.com/hspter","@hspter")</f>
        <v>@hspter</v>
      </c>
      <c r="C922" s="10" t="s">
        <v>7407</v>
      </c>
      <c r="D922" s="10" t="s">
        <v>7956</v>
      </c>
      <c r="E922" s="11" t="str">
        <f>HYPERLINK("https://twitter.com/hspter/status/702003968193462273","702003968193462273")</f>
        <v>702003968193462273</v>
      </c>
      <c r="F922" s="12" t="s">
        <v>20</v>
      </c>
      <c r="G922" s="13">
        <v>7575.0</v>
      </c>
      <c r="H922" s="13">
        <v>1760.0</v>
      </c>
      <c r="I922" s="13">
        <v>4.0</v>
      </c>
      <c r="J922" s="13">
        <v>13.0</v>
      </c>
      <c r="K922" s="12" t="s">
        <v>21</v>
      </c>
      <c r="L922" s="7">
        <v>39885.49967592592</v>
      </c>
      <c r="M922" s="14" t="s">
        <v>7408</v>
      </c>
      <c r="N922" s="14" t="s">
        <v>7409</v>
      </c>
      <c r="O922" s="11" t="str">
        <f>HYPERLINK("https://pbs.twimg.com/profile_images/611535712710729728/ZrqMrN21_normal.jpg","View")</f>
        <v>View</v>
      </c>
      <c r="P922" s="15"/>
    </row>
    <row r="923">
      <c r="A923" s="7">
        <v>42422.90041666667</v>
      </c>
      <c r="B923" s="8" t="str">
        <f>HYPERLINK("https://twitter.com/oMarceloVentura","@oMarceloVentura")</f>
        <v>@oMarceloVentura</v>
      </c>
      <c r="C923" s="10" t="s">
        <v>7957</v>
      </c>
      <c r="D923" s="10" t="s">
        <v>7482</v>
      </c>
      <c r="E923" s="11" t="str">
        <f>HYPERLINK("https://twitter.com/oMarceloVentura/status/702004109122150401","702004109122150401")</f>
        <v>702004109122150401</v>
      </c>
      <c r="F923" s="12" t="s">
        <v>152</v>
      </c>
      <c r="G923" s="13">
        <v>15.0</v>
      </c>
      <c r="H923" s="13">
        <v>105.0</v>
      </c>
      <c r="I923" s="13">
        <v>8.0</v>
      </c>
      <c r="J923" s="13">
        <v>0.0</v>
      </c>
      <c r="K923" s="12" t="s">
        <v>21</v>
      </c>
      <c r="L923" s="7">
        <v>42237.7605787037</v>
      </c>
      <c r="M923" s="16"/>
      <c r="N923" s="14" t="s">
        <v>7958</v>
      </c>
      <c r="O923" s="11" t="str">
        <f>HYPERLINK("https://pbs.twimg.com/profile_images/634928495592914944/FegA0vrf_normal.jpg","View")</f>
        <v>View</v>
      </c>
      <c r="P923" s="15"/>
    </row>
    <row r="924">
      <c r="A924" s="7">
        <v>42422.90143518518</v>
      </c>
      <c r="B924" s="8" t="str">
        <f>HYPERLINK("https://twitter.com/manudellavalle","@manudellavalle")</f>
        <v>@manudellavalle</v>
      </c>
      <c r="C924" s="10" t="s">
        <v>4041</v>
      </c>
      <c r="D924" s="10" t="s">
        <v>7959</v>
      </c>
      <c r="E924" s="11" t="str">
        <f>HYPERLINK("https://twitter.com/manudellavalle/status/702004478308982784","702004478308982784")</f>
        <v>702004478308982784</v>
      </c>
      <c r="F924" s="12" t="s">
        <v>52</v>
      </c>
      <c r="G924" s="13">
        <v>343.0</v>
      </c>
      <c r="H924" s="13">
        <v>394.0</v>
      </c>
      <c r="I924" s="13">
        <v>2.0</v>
      </c>
      <c r="J924" s="13">
        <v>0.0</v>
      </c>
      <c r="K924" s="12" t="s">
        <v>21</v>
      </c>
      <c r="L924" s="7">
        <v>40205.06585648148</v>
      </c>
      <c r="M924" s="14" t="s">
        <v>4042</v>
      </c>
      <c r="N924" s="14" t="s">
        <v>4043</v>
      </c>
      <c r="O924" s="11" t="str">
        <f>HYPERLINK("https://pbs.twimg.com/profile_images/651465155868495872/0FnSog7t_normal.jpg","View")</f>
        <v>View</v>
      </c>
      <c r="P924" s="15"/>
    </row>
    <row r="925">
      <c r="A925" s="7">
        <v>42422.9021875</v>
      </c>
      <c r="B925" s="8" t="str">
        <f>HYPERLINK("https://twitter.com/quominus","@quominus")</f>
        <v>@quominus</v>
      </c>
      <c r="C925" s="10" t="s">
        <v>6784</v>
      </c>
      <c r="D925" s="10" t="s">
        <v>7960</v>
      </c>
      <c r="E925" s="11" t="str">
        <f>HYPERLINK("https://twitter.com/quominus/status/702004748287868928","702004748287868928")</f>
        <v>702004748287868928</v>
      </c>
      <c r="F925" s="12" t="s">
        <v>20</v>
      </c>
      <c r="G925" s="13">
        <v>1507.0</v>
      </c>
      <c r="H925" s="13">
        <v>698.0</v>
      </c>
      <c r="I925" s="13">
        <v>4.0</v>
      </c>
      <c r="J925" s="13">
        <v>0.0</v>
      </c>
      <c r="K925" s="12" t="s">
        <v>21</v>
      </c>
      <c r="L925" s="7">
        <v>40513.016180555554</v>
      </c>
      <c r="M925" s="14" t="s">
        <v>6786</v>
      </c>
      <c r="N925" s="14" t="s">
        <v>6787</v>
      </c>
      <c r="O925" s="11" t="str">
        <f>HYPERLINK("https://pbs.twimg.com/profile_images/689997706752847874/lCoiGcL3_normal.jpg","View")</f>
        <v>View</v>
      </c>
      <c r="P925" s="15"/>
    </row>
    <row r="926">
      <c r="A926" s="7">
        <v>42422.902233796296</v>
      </c>
      <c r="B926" s="8" t="str">
        <f>HYPERLINK("https://twitter.com/AvrahamAdler","@AvrahamAdler")</f>
        <v>@AvrahamAdler</v>
      </c>
      <c r="C926" s="10" t="s">
        <v>7961</v>
      </c>
      <c r="D926" s="10" t="s">
        <v>7960</v>
      </c>
      <c r="E926" s="11" t="str">
        <f>HYPERLINK("https://twitter.com/AvrahamAdler/status/702004765753012224","702004765753012224")</f>
        <v>702004765753012224</v>
      </c>
      <c r="F926" s="12" t="s">
        <v>52</v>
      </c>
      <c r="G926" s="13">
        <v>185.0</v>
      </c>
      <c r="H926" s="13">
        <v>176.0</v>
      </c>
      <c r="I926" s="13">
        <v>4.0</v>
      </c>
      <c r="J926" s="13">
        <v>0.0</v>
      </c>
      <c r="K926" s="12" t="s">
        <v>21</v>
      </c>
      <c r="L926" s="7">
        <v>39899.30428240741</v>
      </c>
      <c r="M926" s="14" t="s">
        <v>7962</v>
      </c>
      <c r="N926" s="14" t="s">
        <v>7963</v>
      </c>
      <c r="O926" s="11" t="str">
        <f>HYPERLINK("https://pbs.twimg.com/profile_images/378800000300019997/e0cc3d333edd7644c8b566146d92c853_normal.png","View")</f>
        <v>View</v>
      </c>
      <c r="P926" s="15"/>
    </row>
    <row r="927">
      <c r="A927" s="7">
        <v>42422.90435185185</v>
      </c>
      <c r="B927" s="8" t="str">
        <f>HYPERLINK("https://twitter.com/EmmanuelAnique","@EmmanuelAnique")</f>
        <v>@EmmanuelAnique</v>
      </c>
      <c r="C927" s="10" t="s">
        <v>7964</v>
      </c>
      <c r="D927" s="10" t="s">
        <v>6319</v>
      </c>
      <c r="E927" s="11" t="str">
        <f>HYPERLINK("https://twitter.com/EmmanuelAnique/status/702005534610878464","702005534610878464")</f>
        <v>702005534610878464</v>
      </c>
      <c r="F927" s="12" t="s">
        <v>52</v>
      </c>
      <c r="G927" s="13">
        <v>642.0</v>
      </c>
      <c r="H927" s="13">
        <v>764.0</v>
      </c>
      <c r="I927" s="13">
        <v>106.0</v>
      </c>
      <c r="J927" s="13">
        <v>0.0</v>
      </c>
      <c r="K927" s="12" t="s">
        <v>21</v>
      </c>
      <c r="L927" s="7">
        <v>42149.029803240745</v>
      </c>
      <c r="M927" s="14" t="s">
        <v>462</v>
      </c>
      <c r="N927" s="14" t="s">
        <v>7965</v>
      </c>
      <c r="O927" s="11" t="str">
        <f>HYPERLINK("https://pbs.twimg.com/profile_images/662419359093153792/h4uin6bF_normal.jpg","View")</f>
        <v>View</v>
      </c>
      <c r="P927" s="15"/>
    </row>
    <row r="928">
      <c r="A928" s="7">
        <v>42422.90509259259</v>
      </c>
      <c r="B928" s="8" t="str">
        <f>HYPERLINK("https://twitter.com/JeanGobin","@JeanGobin")</f>
        <v>@JeanGobin</v>
      </c>
      <c r="C928" s="10" t="s">
        <v>7624</v>
      </c>
      <c r="D928" s="10" t="s">
        <v>7913</v>
      </c>
      <c r="E928" s="11" t="str">
        <f>HYPERLINK("https://twitter.com/JeanGobin/status/702005803184693249","702005803184693249")</f>
        <v>702005803184693249</v>
      </c>
      <c r="F928" s="12" t="s">
        <v>152</v>
      </c>
      <c r="G928" s="13">
        <v>58.0</v>
      </c>
      <c r="H928" s="13">
        <v>213.0</v>
      </c>
      <c r="I928" s="13">
        <v>18.0</v>
      </c>
      <c r="J928" s="13">
        <v>0.0</v>
      </c>
      <c r="K928" s="12" t="s">
        <v>21</v>
      </c>
      <c r="L928" s="7">
        <v>40830.42508101852</v>
      </c>
      <c r="M928" s="14" t="s">
        <v>1018</v>
      </c>
      <c r="N928" s="14" t="s">
        <v>7625</v>
      </c>
      <c r="O928" s="11" t="str">
        <f>HYPERLINK("https://pbs.twimg.com/profile_images/1617142158/119238737_normal.jpg","View")</f>
        <v>View</v>
      </c>
      <c r="P928" s="15"/>
    </row>
    <row r="929">
      <c r="A929" s="7">
        <v>42422.909363425926</v>
      </c>
      <c r="B929" s="8" t="str">
        <f>HYPERLINK("https://twitter.com/sainathadapa","@sainathadapa")</f>
        <v>@sainathadapa</v>
      </c>
      <c r="C929" s="10" t="s">
        <v>7966</v>
      </c>
      <c r="D929" s="10" t="s">
        <v>7438</v>
      </c>
      <c r="E929" s="11" t="str">
        <f>HYPERLINK("https://twitter.com/sainathadapa/status/702007348915630081","702007348915630081")</f>
        <v>702007348915630081</v>
      </c>
      <c r="F929" s="12" t="s">
        <v>152</v>
      </c>
      <c r="G929" s="13">
        <v>183.0</v>
      </c>
      <c r="H929" s="13">
        <v>214.0</v>
      </c>
      <c r="I929" s="13">
        <v>4.0</v>
      </c>
      <c r="J929" s="13">
        <v>0.0</v>
      </c>
      <c r="K929" s="12" t="s">
        <v>21</v>
      </c>
      <c r="L929" s="7">
        <v>40063.801157407404</v>
      </c>
      <c r="M929" s="14" t="s">
        <v>3836</v>
      </c>
      <c r="N929" s="14" t="s">
        <v>7967</v>
      </c>
      <c r="O929" s="11" t="str">
        <f>HYPERLINK("https://pbs.twimg.com/profile_images/682881425331236864/zFd7F2uA_normal.jpg","View")</f>
        <v>View</v>
      </c>
      <c r="P929" s="15"/>
    </row>
    <row r="930">
      <c r="A930" s="7">
        <v>42422.9121875</v>
      </c>
      <c r="B930" s="8" t="str">
        <f>HYPERLINK("https://twitter.com/msonnabaum","@msonnabaum")</f>
        <v>@msonnabaum</v>
      </c>
      <c r="C930" s="10" t="s">
        <v>7968</v>
      </c>
      <c r="D930" s="10" t="s">
        <v>7960</v>
      </c>
      <c r="E930" s="11" t="str">
        <f>HYPERLINK("https://twitter.com/msonnabaum/status/702008373433085952","702008373433085952")</f>
        <v>702008373433085952</v>
      </c>
      <c r="F930" s="12" t="s">
        <v>1082</v>
      </c>
      <c r="G930" s="13">
        <v>1206.0</v>
      </c>
      <c r="H930" s="13">
        <v>202.0</v>
      </c>
      <c r="I930" s="13">
        <v>4.0</v>
      </c>
      <c r="J930" s="13">
        <v>0.0</v>
      </c>
      <c r="K930" s="12" t="s">
        <v>21</v>
      </c>
      <c r="L930" s="7">
        <v>39536.91913194444</v>
      </c>
      <c r="M930" s="16"/>
      <c r="N930" s="16"/>
      <c r="O930" s="11" t="str">
        <f>HYPERLINK("https://pbs.twimg.com/profile_images/2442533464/zudlcvs6ss0cb7zkkb29_normal.jpeg","View")</f>
        <v>View</v>
      </c>
      <c r="P930" s="15"/>
    </row>
    <row r="931">
      <c r="A931" s="7">
        <v>42422.913888888885</v>
      </c>
      <c r="B931" s="8" t="str">
        <f>HYPERLINK("https://twitter.com/souravc83","@souravc83")</f>
        <v>@souravc83</v>
      </c>
      <c r="C931" s="10" t="s">
        <v>6278</v>
      </c>
      <c r="D931" s="10" t="s">
        <v>7969</v>
      </c>
      <c r="E931" s="11" t="str">
        <f>HYPERLINK("https://twitter.com/souravc83/status/702008990113202176","702008990113202176")</f>
        <v>702008990113202176</v>
      </c>
      <c r="F931" s="12" t="s">
        <v>20</v>
      </c>
      <c r="G931" s="13">
        <v>39.0</v>
      </c>
      <c r="H931" s="13">
        <v>148.0</v>
      </c>
      <c r="I931" s="13">
        <v>0.0</v>
      </c>
      <c r="J931" s="13">
        <v>2.0</v>
      </c>
      <c r="K931" s="12" t="s">
        <v>21</v>
      </c>
      <c r="L931" s="7">
        <v>39942.4037962963</v>
      </c>
      <c r="M931" s="14" t="s">
        <v>6280</v>
      </c>
      <c r="N931" s="14" t="s">
        <v>6281</v>
      </c>
      <c r="O931" s="11" t="str">
        <f>HYPERLINK("https://pbs.twimg.com/profile_images/658511161034326016/RaFwgtT6_normal.jpg","View")</f>
        <v>View</v>
      </c>
      <c r="P931" s="15"/>
    </row>
    <row r="932">
      <c r="A932" s="7">
        <v>42422.91900462963</v>
      </c>
      <c r="B932" s="8" t="str">
        <f>HYPERLINK("https://twitter.com/Persontyle","@Persontyle")</f>
        <v>@Persontyle</v>
      </c>
      <c r="C932" s="10" t="s">
        <v>7970</v>
      </c>
      <c r="D932" s="10" t="s">
        <v>7971</v>
      </c>
      <c r="E932" s="11" t="str">
        <f>HYPERLINK("https://twitter.com/Persontyle/status/702010842523504640","702010842523504640")</f>
        <v>702010842523504640</v>
      </c>
      <c r="F932" s="12" t="s">
        <v>20</v>
      </c>
      <c r="G932" s="13">
        <v>605.0</v>
      </c>
      <c r="H932" s="13">
        <v>324.0</v>
      </c>
      <c r="I932" s="13">
        <v>6.0</v>
      </c>
      <c r="J932" s="13">
        <v>1.0</v>
      </c>
      <c r="K932" s="12" t="s">
        <v>21</v>
      </c>
      <c r="L932" s="7">
        <v>41472.893171296295</v>
      </c>
      <c r="M932" s="16"/>
      <c r="N932" s="14" t="s">
        <v>7972</v>
      </c>
      <c r="O932" s="11" t="str">
        <f>HYPERLINK("https://pbs.twimg.com/profile_images/458771685257121792/n-_-QXc6_normal.png","View")</f>
        <v>View</v>
      </c>
      <c r="P932" s="15"/>
    </row>
    <row r="933">
      <c r="A933" s="7">
        <v>42422.919016203705</v>
      </c>
      <c r="B933" s="8" t="str">
        <f>HYPERLINK("https://twitter.com/sentiwire","@sentiwire")</f>
        <v>@sentiwire</v>
      </c>
      <c r="C933" s="10" t="s">
        <v>381</v>
      </c>
      <c r="D933" s="10" t="s">
        <v>7973</v>
      </c>
      <c r="E933" s="11" t="str">
        <f>HYPERLINK("https://twitter.com/sentiwire/status/702010846717693952","702010846717693952")</f>
        <v>702010846717693952</v>
      </c>
      <c r="F933" s="12" t="s">
        <v>383</v>
      </c>
      <c r="G933" s="13">
        <v>515.0</v>
      </c>
      <c r="H933" s="13">
        <v>1716.0</v>
      </c>
      <c r="I933" s="13">
        <v>6.0</v>
      </c>
      <c r="J933" s="13">
        <v>0.0</v>
      </c>
      <c r="K933" s="12" t="s">
        <v>21</v>
      </c>
      <c r="L933" s="7">
        <v>41422.629641203705</v>
      </c>
      <c r="M933" s="16"/>
      <c r="N933" s="14" t="s">
        <v>384</v>
      </c>
      <c r="O933" s="11" t="str">
        <f>HYPERLINK("https://pbs.twimg.com/profile_images/686965105473396736/B9V5UtGS_normal.jpg","View")</f>
        <v>View</v>
      </c>
      <c r="P933" s="15"/>
    </row>
    <row r="934">
      <c r="A934" s="7">
        <v>42422.91997685185</v>
      </c>
      <c r="B934" s="8" t="str">
        <f>HYPERLINK("https://twitter.com/AaaLee","@AaaLee")</f>
        <v>@AaaLee</v>
      </c>
      <c r="C934" s="10" t="s">
        <v>7974</v>
      </c>
      <c r="D934" s="10" t="s">
        <v>7973</v>
      </c>
      <c r="E934" s="11" t="str">
        <f>HYPERLINK("https://twitter.com/AaaLee/status/702011197860798464","702011197860798464")</f>
        <v>702011197860798464</v>
      </c>
      <c r="F934" s="12" t="s">
        <v>20</v>
      </c>
      <c r="G934" s="13">
        <v>996.0</v>
      </c>
      <c r="H934" s="13">
        <v>1771.0</v>
      </c>
      <c r="I934" s="13">
        <v>6.0</v>
      </c>
      <c r="J934" s="13">
        <v>0.0</v>
      </c>
      <c r="K934" s="12" t="s">
        <v>21</v>
      </c>
      <c r="L934" s="7">
        <v>39936.70153935185</v>
      </c>
      <c r="M934" s="14" t="s">
        <v>7975</v>
      </c>
      <c r="N934" s="14" t="s">
        <v>7976</v>
      </c>
      <c r="O934" s="11" t="str">
        <f>HYPERLINK("https://pbs.twimg.com/profile_images/550976876554883072/JicFw8pu_normal.png","View")</f>
        <v>View</v>
      </c>
      <c r="P934" s="15"/>
    </row>
    <row r="935">
      <c r="A935" s="7">
        <v>42422.920428240745</v>
      </c>
      <c r="B935" s="8" t="str">
        <f>HYPERLINK("https://twitter.com/SayoojDas","@SayoojDas")</f>
        <v>@SayoojDas</v>
      </c>
      <c r="C935" s="10" t="s">
        <v>7977</v>
      </c>
      <c r="D935" s="10" t="s">
        <v>6580</v>
      </c>
      <c r="E935" s="11" t="str">
        <f>HYPERLINK("https://twitter.com/SayoojDas/status/702011359957901312","702011359957901312")</f>
        <v>702011359957901312</v>
      </c>
      <c r="F935" s="12" t="s">
        <v>152</v>
      </c>
      <c r="G935" s="13">
        <v>113.0</v>
      </c>
      <c r="H935" s="13">
        <v>543.0</v>
      </c>
      <c r="I935" s="13">
        <v>7.0</v>
      </c>
      <c r="J935" s="13">
        <v>0.0</v>
      </c>
      <c r="K935" s="12" t="s">
        <v>21</v>
      </c>
      <c r="L935" s="7">
        <v>40280.866215277776</v>
      </c>
      <c r="M935" s="14" t="s">
        <v>7978</v>
      </c>
      <c r="N935" s="14" t="s">
        <v>7979</v>
      </c>
      <c r="O935" s="11" t="str">
        <f>HYPERLINK("https://pbs.twimg.com/profile_images/614557059372023808/kXeL9U1F_normal.jpg","View")</f>
        <v>View</v>
      </c>
      <c r="P935" s="15"/>
    </row>
    <row r="936">
      <c r="A936" s="7">
        <v>42422.927199074074</v>
      </c>
      <c r="B936" s="8" t="str">
        <f>HYPERLINK("https://twitter.com/XavCompany","@XavCompany")</f>
        <v>@XavCompany</v>
      </c>
      <c r="C936" s="10" t="s">
        <v>7980</v>
      </c>
      <c r="D936" s="10" t="s">
        <v>7981</v>
      </c>
      <c r="E936" s="11" t="str">
        <f>HYPERLINK("https://twitter.com/XavCompany/status/702013814875799552","702013814875799552")</f>
        <v>702013814875799552</v>
      </c>
      <c r="F936" s="12" t="s">
        <v>52</v>
      </c>
      <c r="G936" s="13">
        <v>1182.0</v>
      </c>
      <c r="H936" s="13">
        <v>508.0</v>
      </c>
      <c r="I936" s="13">
        <v>3.0</v>
      </c>
      <c r="J936" s="13">
        <v>0.0</v>
      </c>
      <c r="K936" s="12" t="s">
        <v>21</v>
      </c>
      <c r="L936" s="7">
        <v>40737.275254629625</v>
      </c>
      <c r="M936" s="14" t="s">
        <v>7982</v>
      </c>
      <c r="N936" s="14" t="s">
        <v>7983</v>
      </c>
      <c r="O936" s="11" t="str">
        <f>HYPERLINK("https://pbs.twimg.com/profile_images/645027913193136128/UAbkWa6N_normal.jpg","View")</f>
        <v>View</v>
      </c>
      <c r="P936" s="15"/>
    </row>
    <row r="937">
      <c r="A937" s="7">
        <v>42422.93751157407</v>
      </c>
      <c r="B937" s="8" t="str">
        <f>HYPERLINK("https://twitter.com/DailyRpackage","@DailyRpackage")</f>
        <v>@DailyRpackage</v>
      </c>
      <c r="C937" s="10" t="s">
        <v>6240</v>
      </c>
      <c r="D937" s="10" t="s">
        <v>7984</v>
      </c>
      <c r="E937" s="11" t="str">
        <f>HYPERLINK("https://twitter.com/DailyRpackage/status/702017551874834432","702017551874834432")</f>
        <v>702017551874834432</v>
      </c>
      <c r="F937" s="12" t="s">
        <v>6240</v>
      </c>
      <c r="G937" s="13">
        <v>495.0</v>
      </c>
      <c r="H937" s="13">
        <v>3.0</v>
      </c>
      <c r="I937" s="13">
        <v>0.0</v>
      </c>
      <c r="J937" s="13">
        <v>0.0</v>
      </c>
      <c r="K937" s="12" t="s">
        <v>21</v>
      </c>
      <c r="L937" s="7">
        <v>41360.287141203706</v>
      </c>
      <c r="M937" s="16"/>
      <c r="N937" s="14" t="s">
        <v>6242</v>
      </c>
      <c r="O937" s="11" t="str">
        <f>HYPERLINK("https://pbs.twimg.com/profile_images/3438004205/66da7270714af4309d185b958c4bb8be_normal.jpeg","View")</f>
        <v>View</v>
      </c>
      <c r="P937" s="15"/>
    </row>
    <row r="938">
      <c r="A938" s="7">
        <v>42422.939837962964</v>
      </c>
      <c r="B938" s="8" t="str">
        <f>HYPERLINK("https://twitter.com/Flowfields_","@Flowfields_")</f>
        <v>@Flowfields_</v>
      </c>
      <c r="C938" s="10" t="s">
        <v>7985</v>
      </c>
      <c r="D938" s="10" t="s">
        <v>7973</v>
      </c>
      <c r="E938" s="11" t="str">
        <f>HYPERLINK("https://twitter.com/Flowfields_/status/702018393566814209","702018393566814209")</f>
        <v>702018393566814209</v>
      </c>
      <c r="F938" s="12" t="s">
        <v>38</v>
      </c>
      <c r="G938" s="13">
        <v>450.0</v>
      </c>
      <c r="H938" s="13">
        <v>352.0</v>
      </c>
      <c r="I938" s="13">
        <v>6.0</v>
      </c>
      <c r="J938" s="13">
        <v>0.0</v>
      </c>
      <c r="K938" s="12" t="s">
        <v>21</v>
      </c>
      <c r="L938" s="7">
        <v>41606.35060185185</v>
      </c>
      <c r="M938" s="14" t="s">
        <v>5954</v>
      </c>
      <c r="N938" s="14" t="s">
        <v>7986</v>
      </c>
      <c r="O938" s="11" t="str">
        <f>HYPERLINK("https://pbs.twimg.com/profile_images/378800000809810536/f245ca2d284ae20da862971ef93ecc6b_normal.png","View")</f>
        <v>View</v>
      </c>
      <c r="P938" s="15"/>
    </row>
    <row r="939">
      <c r="A939" s="7">
        <v>42422.946435185186</v>
      </c>
      <c r="B939" s="8" t="str">
        <f>HYPERLINK("https://twitter.com/fperez_org","@fperez_org")</f>
        <v>@fperez_org</v>
      </c>
      <c r="C939" s="10" t="s">
        <v>7987</v>
      </c>
      <c r="D939" s="10" t="s">
        <v>7913</v>
      </c>
      <c r="E939" s="11" t="str">
        <f>HYPERLINK("https://twitter.com/fperez_org/status/702020783468490752","702020783468490752")</f>
        <v>702020783468490752</v>
      </c>
      <c r="F939" s="12" t="s">
        <v>152</v>
      </c>
      <c r="G939" s="13">
        <v>9017.0</v>
      </c>
      <c r="H939" s="13">
        <v>377.0</v>
      </c>
      <c r="I939" s="13">
        <v>18.0</v>
      </c>
      <c r="J939" s="13">
        <v>0.0</v>
      </c>
      <c r="K939" s="12" t="s">
        <v>21</v>
      </c>
      <c r="L939" s="7">
        <v>40573.35288194445</v>
      </c>
      <c r="M939" s="14" t="s">
        <v>6406</v>
      </c>
      <c r="N939" s="14" t="s">
        <v>7988</v>
      </c>
      <c r="O939" s="11" t="str">
        <f>HYPERLINK("https://pbs.twimg.com/profile_images/1864199033/fperez_photo2_sm_normal.jpg","View")</f>
        <v>View</v>
      </c>
      <c r="P939" s="15"/>
    </row>
    <row r="940">
      <c r="A940" s="7">
        <v>42422.94769675926</v>
      </c>
      <c r="B940" s="8" t="str">
        <f>HYPERLINK("https://twitter.com/Atabey_Kaygun","@Atabey_Kaygun")</f>
        <v>@Atabey_Kaygun</v>
      </c>
      <c r="C940" s="10" t="s">
        <v>7989</v>
      </c>
      <c r="D940" s="10" t="s">
        <v>7913</v>
      </c>
      <c r="E940" s="11" t="str">
        <f>HYPERLINK("https://twitter.com/Atabey_Kaygun/status/702021239326556160","702021239326556160")</f>
        <v>702021239326556160</v>
      </c>
      <c r="F940" s="12" t="s">
        <v>152</v>
      </c>
      <c r="G940" s="13">
        <v>882.0</v>
      </c>
      <c r="H940" s="13">
        <v>1535.0</v>
      </c>
      <c r="I940" s="13">
        <v>18.0</v>
      </c>
      <c r="J940" s="13">
        <v>0.0</v>
      </c>
      <c r="K940" s="12" t="s">
        <v>21</v>
      </c>
      <c r="L940" s="7">
        <v>39759.55150462963</v>
      </c>
      <c r="M940" s="14" t="s">
        <v>7990</v>
      </c>
      <c r="N940" s="14" t="s">
        <v>7991</v>
      </c>
      <c r="O940" s="11" t="str">
        <f>HYPERLINK("https://pbs.twimg.com/profile_images/432232353323167745/3ywtK_NO_normal.jpeg","View")</f>
        <v>View</v>
      </c>
      <c r="P940" s="15"/>
    </row>
    <row r="941">
      <c r="A941" s="7">
        <v>42422.95909722222</v>
      </c>
      <c r="B941" s="8" t="str">
        <f>HYPERLINK("https://twitter.com/shakamunyi","@shakamunyi")</f>
        <v>@shakamunyi</v>
      </c>
      <c r="C941" s="10" t="s">
        <v>2773</v>
      </c>
      <c r="D941" s="10" t="s">
        <v>7973</v>
      </c>
      <c r="E941" s="11" t="str">
        <f>HYPERLINK("https://twitter.com/shakamunyi/status/702025373383581696","702025373383581696")</f>
        <v>702025373383581696</v>
      </c>
      <c r="F941" s="12" t="s">
        <v>38</v>
      </c>
      <c r="G941" s="13">
        <v>1863.0</v>
      </c>
      <c r="H941" s="13">
        <v>1075.0</v>
      </c>
      <c r="I941" s="13">
        <v>6.0</v>
      </c>
      <c r="J941" s="13">
        <v>0.0</v>
      </c>
      <c r="K941" s="12" t="s">
        <v>21</v>
      </c>
      <c r="L941" s="7">
        <v>41726.41787037037</v>
      </c>
      <c r="M941" s="14" t="s">
        <v>2775</v>
      </c>
      <c r="N941" s="14" t="s">
        <v>2776</v>
      </c>
      <c r="O941" s="11" t="str">
        <f>HYPERLINK("https://pbs.twimg.com/profile_images/598640478657978368/PgSHeCsJ_normal.jpg","View")</f>
        <v>View</v>
      </c>
      <c r="P941" s="15"/>
    </row>
    <row r="942">
      <c r="A942" s="7">
        <v>42422.9594212963</v>
      </c>
      <c r="B942" s="8" t="str">
        <f>HYPERLINK("https://twitter.com/znmeb","@znmeb")</f>
        <v>@znmeb</v>
      </c>
      <c r="C942" s="10" t="s">
        <v>7992</v>
      </c>
      <c r="D942" s="10" t="s">
        <v>7913</v>
      </c>
      <c r="E942" s="11" t="str">
        <f>HYPERLINK("https://twitter.com/znmeb/status/702025491784404992","702025491784404992")</f>
        <v>702025491784404992</v>
      </c>
      <c r="F942" s="12" t="s">
        <v>446</v>
      </c>
      <c r="G942" s="13">
        <v>12006.0</v>
      </c>
      <c r="H942" s="13">
        <v>12394.0</v>
      </c>
      <c r="I942" s="13">
        <v>18.0</v>
      </c>
      <c r="J942" s="13">
        <v>0.0</v>
      </c>
      <c r="K942" s="12" t="s">
        <v>21</v>
      </c>
      <c r="L942" s="7">
        <v>39113.87726851852</v>
      </c>
      <c r="M942" s="14" t="s">
        <v>2181</v>
      </c>
      <c r="N942" s="14" t="s">
        <v>7993</v>
      </c>
      <c r="O942" s="11" t="str">
        <f>HYPERLINK("https://pbs.twimg.com/profile_images/583511400900759552/LYHMK6op_normal.jpg","View")</f>
        <v>View</v>
      </c>
      <c r="P942" s="15"/>
    </row>
    <row r="943">
      <c r="A943" s="7">
        <v>42422.96581018518</v>
      </c>
      <c r="B943" s="8" t="str">
        <f>HYPERLINK("https://twitter.com/artemklevtsov","@artemklevtsov")</f>
        <v>@artemklevtsov</v>
      </c>
      <c r="C943" s="10" t="s">
        <v>7292</v>
      </c>
      <c r="D943" s="10" t="s">
        <v>7722</v>
      </c>
      <c r="E943" s="11" t="str">
        <f>HYPERLINK("https://twitter.com/artemklevtsov/status/702027807442993152","702027807442993152")</f>
        <v>702027807442993152</v>
      </c>
      <c r="F943" s="12" t="s">
        <v>20</v>
      </c>
      <c r="G943" s="13">
        <v>56.0</v>
      </c>
      <c r="H943" s="13">
        <v>65.0</v>
      </c>
      <c r="I943" s="13">
        <v>2.0</v>
      </c>
      <c r="J943" s="13">
        <v>0.0</v>
      </c>
      <c r="K943" s="12" t="s">
        <v>21</v>
      </c>
      <c r="L943" s="7">
        <v>41777.31737268518</v>
      </c>
      <c r="M943" s="14" t="s">
        <v>4647</v>
      </c>
      <c r="N943" s="14" t="s">
        <v>7293</v>
      </c>
      <c r="O943" s="11" t="str">
        <f>HYPERLINK("https://pbs.twimg.com/profile_images/582945739141058560/m1lDOgFc_normal.png","View")</f>
        <v>View</v>
      </c>
      <c r="P943" s="15"/>
    </row>
    <row r="944">
      <c r="A944" s="7">
        <v>42422.97515046297</v>
      </c>
      <c r="B944" s="8" t="str">
        <f>HYPERLINK("https://twitter.com/schooltds","@schooltds")</f>
        <v>@schooltds</v>
      </c>
      <c r="C944" s="10" t="s">
        <v>7994</v>
      </c>
      <c r="D944" s="10" t="s">
        <v>7973</v>
      </c>
      <c r="E944" s="11" t="str">
        <f>HYPERLINK("https://twitter.com/schooltds/status/702031191818559488","702031191818559488")</f>
        <v>702031191818559488</v>
      </c>
      <c r="F944" s="12" t="s">
        <v>20</v>
      </c>
      <c r="G944" s="13">
        <v>786.0</v>
      </c>
      <c r="H944" s="13">
        <v>88.0</v>
      </c>
      <c r="I944" s="13">
        <v>6.0</v>
      </c>
      <c r="J944" s="13">
        <v>0.0</v>
      </c>
      <c r="K944" s="12" t="s">
        <v>21</v>
      </c>
      <c r="L944" s="7">
        <v>41750.30538194445</v>
      </c>
      <c r="M944" s="14" t="s">
        <v>489</v>
      </c>
      <c r="N944" s="14" t="s">
        <v>7995</v>
      </c>
      <c r="O944" s="11" t="str">
        <f>HYPERLINK("https://pbs.twimg.com/profile_images/458250716608356352/LFAFfT-Y_normal.png","View")</f>
        <v>View</v>
      </c>
      <c r="P944" s="15"/>
    </row>
    <row r="945">
      <c r="A945" s="7">
        <v>42422.97570601852</v>
      </c>
      <c r="B945" s="8" t="str">
        <f>HYPERLINK("https://twitter.com/ShinyappsRecent","@ShinyappsRecent")</f>
        <v>@ShinyappsRecent</v>
      </c>
      <c r="C945" s="10" t="s">
        <v>6422</v>
      </c>
      <c r="D945" s="10" t="s">
        <v>7996</v>
      </c>
      <c r="E945" s="11" t="str">
        <f>HYPERLINK("https://twitter.com/ShinyappsRecent/status/702031390842335236","702031390842335236")</f>
        <v>702031390842335236</v>
      </c>
      <c r="F945" s="12" t="s">
        <v>6424</v>
      </c>
      <c r="G945" s="13">
        <v>212.0</v>
      </c>
      <c r="H945" s="13">
        <v>6.0</v>
      </c>
      <c r="I945" s="13">
        <v>0.0</v>
      </c>
      <c r="J945" s="13">
        <v>0.0</v>
      </c>
      <c r="K945" s="12" t="s">
        <v>21</v>
      </c>
      <c r="L945" s="7">
        <v>42004.08681712963</v>
      </c>
      <c r="M945" s="14" t="s">
        <v>6425</v>
      </c>
      <c r="N945" s="14" t="s">
        <v>6426</v>
      </c>
      <c r="O945" s="11" t="str">
        <f>HYPERLINK("https://pbs.twimg.com/profile_images/550280885480603648/jye_0y8s_normal.png","View")</f>
        <v>View</v>
      </c>
      <c r="P945" s="15"/>
    </row>
    <row r="946">
      <c r="A946" s="7">
        <v>42422.97709490741</v>
      </c>
      <c r="B946" s="8" t="str">
        <f>HYPERLINK("https://twitter.com/allthenothing","@allthenothing")</f>
        <v>@allthenothing</v>
      </c>
      <c r="C946" s="10" t="s">
        <v>7997</v>
      </c>
      <c r="D946" s="10" t="s">
        <v>7998</v>
      </c>
      <c r="E946" s="11" t="str">
        <f>HYPERLINK("https://twitter.com/allthenothing/status/702031894410616836","702031894410616836")</f>
        <v>702031894410616836</v>
      </c>
      <c r="F946" s="12" t="s">
        <v>20</v>
      </c>
      <c r="G946" s="13">
        <v>51.0</v>
      </c>
      <c r="H946" s="13">
        <v>99.0</v>
      </c>
      <c r="I946" s="13">
        <v>0.0</v>
      </c>
      <c r="J946" s="13">
        <v>0.0</v>
      </c>
      <c r="K946" s="12" t="s">
        <v>21</v>
      </c>
      <c r="L946" s="7">
        <v>40254.72150462963</v>
      </c>
      <c r="M946" s="14" t="s">
        <v>7999</v>
      </c>
      <c r="N946" s="14" t="s">
        <v>8000</v>
      </c>
      <c r="O946" s="11" t="str">
        <f>HYPERLINK("https://pbs.twimg.com/profile_images/759276585/2204_normal.jpg","View")</f>
        <v>View</v>
      </c>
      <c r="P946" s="15"/>
    </row>
    <row r="947">
      <c r="A947" s="7">
        <v>42422.97782407407</v>
      </c>
      <c r="B947" s="8" t="str">
        <f>HYPERLINK("https://twitter.com/P_O_Bourge","@P_O_Bourge")</f>
        <v>@P_O_Bourge</v>
      </c>
      <c r="C947" s="10" t="s">
        <v>8001</v>
      </c>
      <c r="D947" s="10" t="s">
        <v>7959</v>
      </c>
      <c r="E947" s="11" t="str">
        <f>HYPERLINK("https://twitter.com/P_O_Bourge/status/702032157938737152","702032157938737152")</f>
        <v>702032157938737152</v>
      </c>
      <c r="F947" s="12" t="s">
        <v>52</v>
      </c>
      <c r="G947" s="13">
        <v>321.0</v>
      </c>
      <c r="H947" s="13">
        <v>399.0</v>
      </c>
      <c r="I947" s="13">
        <v>2.0</v>
      </c>
      <c r="J947" s="13">
        <v>0.0</v>
      </c>
      <c r="K947" s="12" t="s">
        <v>21</v>
      </c>
      <c r="L947" s="7">
        <v>42123.04516203704</v>
      </c>
      <c r="M947" s="14" t="s">
        <v>3939</v>
      </c>
      <c r="N947" s="14" t="s">
        <v>8002</v>
      </c>
      <c r="O947" s="11" t="str">
        <f>HYPERLINK("https://pbs.twimg.com/profile_images/628432518551834624/cBpNOX7v_normal.jpg","View")</f>
        <v>View</v>
      </c>
      <c r="P947" s="15"/>
    </row>
    <row r="948">
      <c r="A948" s="7">
        <v>42422.9789699074</v>
      </c>
      <c r="B948" s="8" t="str">
        <f>HYPERLINK("https://twitter.com/UrbanDemog","@UrbanDemog")</f>
        <v>@UrbanDemog</v>
      </c>
      <c r="C948" s="10" t="s">
        <v>8003</v>
      </c>
      <c r="D948" s="10" t="s">
        <v>7547</v>
      </c>
      <c r="E948" s="11" t="str">
        <f>HYPERLINK("https://twitter.com/UrbanDemog/status/702032574965796864","702032574965796864")</f>
        <v>702032574965796864</v>
      </c>
      <c r="F948" s="12" t="s">
        <v>52</v>
      </c>
      <c r="G948" s="13">
        <v>3499.0</v>
      </c>
      <c r="H948" s="13">
        <v>1225.0</v>
      </c>
      <c r="I948" s="13">
        <v>9.0</v>
      </c>
      <c r="J948" s="13">
        <v>0.0</v>
      </c>
      <c r="K948" s="12" t="s">
        <v>21</v>
      </c>
      <c r="L948" s="7">
        <v>40875.70255787037</v>
      </c>
      <c r="M948" s="14" t="s">
        <v>8004</v>
      </c>
      <c r="N948" s="14" t="s">
        <v>8005</v>
      </c>
      <c r="O948" s="11" t="str">
        <f>HYPERLINK("https://pbs.twimg.com/profile_images/378800000856110283/ca1b515aeb1dca4c69dff0fb385dae78_normal.jpeg","View")</f>
        <v>View</v>
      </c>
      <c r="P948" s="15"/>
    </row>
    <row r="949">
      <c r="A949" s="7">
        <v>42422.97918981481</v>
      </c>
      <c r="B949" s="8" t="str">
        <f>HYPERLINK("https://twitter.com/schiesslr","@schiesslr")</f>
        <v>@schiesslr</v>
      </c>
      <c r="C949" s="10" t="s">
        <v>8006</v>
      </c>
      <c r="D949" s="10" t="s">
        <v>6319</v>
      </c>
      <c r="E949" s="11" t="str">
        <f>HYPERLINK("https://twitter.com/schiesslr/status/702032653009211392","702032653009211392")</f>
        <v>702032653009211392</v>
      </c>
      <c r="F949" s="12" t="s">
        <v>52</v>
      </c>
      <c r="G949" s="13">
        <v>285.0</v>
      </c>
      <c r="H949" s="13">
        <v>913.0</v>
      </c>
      <c r="I949" s="13">
        <v>106.0</v>
      </c>
      <c r="J949" s="13">
        <v>0.0</v>
      </c>
      <c r="K949" s="12" t="s">
        <v>21</v>
      </c>
      <c r="L949" s="7">
        <v>39316.2130787037</v>
      </c>
      <c r="M949" s="14" t="s">
        <v>241</v>
      </c>
      <c r="N949" s="14" t="s">
        <v>8007</v>
      </c>
      <c r="O949" s="11" t="str">
        <f>HYPERLINK("https://pbs.twimg.com/profile_images/20802812/rup_normal.jpg","View")</f>
        <v>View</v>
      </c>
      <c r="P949" s="15"/>
    </row>
    <row r="950">
      <c r="A950" s="7">
        <v>42422.98170138889</v>
      </c>
      <c r="B950" s="8" t="str">
        <f>HYPERLINK("https://twitter.com/ErmiaBivatan","@ErmiaBivatan")</f>
        <v>@ErmiaBivatan</v>
      </c>
      <c r="C950" s="10" t="s">
        <v>6261</v>
      </c>
      <c r="D950" s="10" t="s">
        <v>8008</v>
      </c>
      <c r="E950" s="11" t="str">
        <f>HYPERLINK("https://twitter.com/ErmiaBivatan/status/702033564381138944","702033564381138944")</f>
        <v>702033564381138944</v>
      </c>
      <c r="F950" s="12" t="s">
        <v>20</v>
      </c>
      <c r="G950" s="13">
        <v>45.0</v>
      </c>
      <c r="H950" s="13">
        <v>142.0</v>
      </c>
      <c r="I950" s="13">
        <v>0.0</v>
      </c>
      <c r="J950" s="13">
        <v>0.0</v>
      </c>
      <c r="K950" s="12" t="s">
        <v>21</v>
      </c>
      <c r="L950" s="7">
        <v>41409.883356481485</v>
      </c>
      <c r="M950" s="16"/>
      <c r="N950" s="14" t="s">
        <v>6263</v>
      </c>
      <c r="O950" s="11" t="str">
        <f>HYPERLINK("https://pbs.twimg.com/profile_images/700219041131204608/DZKmHE4-_normal.jpg","View")</f>
        <v>View</v>
      </c>
      <c r="P950" s="15"/>
    </row>
    <row r="951">
      <c r="A951" s="7">
        <v>42422.98174768519</v>
      </c>
      <c r="B951" s="8" t="str">
        <f>HYPERLINK("https://twitter.com/tomhouslay","@tomhouslay")</f>
        <v>@tomhouslay</v>
      </c>
      <c r="C951" s="10" t="s">
        <v>6801</v>
      </c>
      <c r="D951" s="10" t="s">
        <v>8009</v>
      </c>
      <c r="E951" s="11" t="str">
        <f>HYPERLINK("https://twitter.com/tomhouslay/status/702033582357934080","702033582357934080")</f>
        <v>702033582357934080</v>
      </c>
      <c r="F951" s="12" t="s">
        <v>152</v>
      </c>
      <c r="G951" s="13">
        <v>2957.0</v>
      </c>
      <c r="H951" s="13">
        <v>2676.0</v>
      </c>
      <c r="I951" s="13">
        <v>1.0</v>
      </c>
      <c r="J951" s="13">
        <v>3.0</v>
      </c>
      <c r="K951" s="12" t="s">
        <v>21</v>
      </c>
      <c r="L951" s="7">
        <v>40136.59471064815</v>
      </c>
      <c r="M951" s="14" t="s">
        <v>6803</v>
      </c>
      <c r="N951" s="14" t="s">
        <v>6804</v>
      </c>
      <c r="O951" s="11" t="str">
        <f>HYPERLINK("https://pbs.twimg.com/profile_images/701901513392717824/lUzJ39G2_normal.png","View")</f>
        <v>View</v>
      </c>
      <c r="P951" s="15"/>
    </row>
    <row r="952">
      <c r="A952" s="7">
        <v>42422.987488425926</v>
      </c>
      <c r="B952" s="8" t="str">
        <f>HYPERLINK("https://twitter.com/Sheffield_R_","@Sheffield_R_")</f>
        <v>@Sheffield_R_</v>
      </c>
      <c r="C952" s="10" t="s">
        <v>6686</v>
      </c>
      <c r="D952" s="10" t="s">
        <v>8010</v>
      </c>
      <c r="E952" s="11" t="str">
        <f>HYPERLINK("https://twitter.com/Sheffield_R_/status/702035663168868352","702035663168868352")</f>
        <v>702035663168868352</v>
      </c>
      <c r="F952" s="12" t="s">
        <v>52</v>
      </c>
      <c r="G952" s="13">
        <v>256.0</v>
      </c>
      <c r="H952" s="13">
        <v>274.0</v>
      </c>
      <c r="I952" s="13">
        <v>7.0</v>
      </c>
      <c r="J952" s="13">
        <v>2.0</v>
      </c>
      <c r="K952" s="12" t="s">
        <v>21</v>
      </c>
      <c r="L952" s="7">
        <v>41773.27024305556</v>
      </c>
      <c r="M952" s="14" t="s">
        <v>6688</v>
      </c>
      <c r="N952" s="14" t="s">
        <v>6689</v>
      </c>
      <c r="O952" s="11" t="str">
        <f>HYPERLINK("https://pbs.twimg.com/profile_images/526695509356838912/eSvsHAD7_normal.jpeg","View")</f>
        <v>View</v>
      </c>
      <c r="P952" s="15"/>
    </row>
    <row r="953">
      <c r="A953" s="7">
        <v>42422.98967592593</v>
      </c>
      <c r="B953" s="8" t="str">
        <f>HYPERLINK("https://twitter.com/TweetingRichy","@TweetingRichy")</f>
        <v>@TweetingRichy</v>
      </c>
      <c r="C953" s="10" t="s">
        <v>8011</v>
      </c>
      <c r="D953" s="10" t="s">
        <v>8012</v>
      </c>
      <c r="E953" s="11" t="str">
        <f>HYPERLINK("https://twitter.com/TweetingRichy/status/702036454495678464","702036454495678464")</f>
        <v>702036454495678464</v>
      </c>
      <c r="F953" s="12" t="s">
        <v>52</v>
      </c>
      <c r="G953" s="13">
        <v>312.0</v>
      </c>
      <c r="H953" s="13">
        <v>647.0</v>
      </c>
      <c r="I953" s="13">
        <v>1.0</v>
      </c>
      <c r="J953" s="13">
        <v>0.0</v>
      </c>
      <c r="K953" s="12" t="s">
        <v>21</v>
      </c>
      <c r="L953" s="7">
        <v>40231.311377314814</v>
      </c>
      <c r="M953" s="14" t="s">
        <v>8013</v>
      </c>
      <c r="N953" s="14" t="s">
        <v>8014</v>
      </c>
      <c r="O953" s="11" t="str">
        <f>HYPERLINK("https://pbs.twimg.com/profile_images/378800000641016153/b7ba6c8170447715156c083b655e7a7d_normal.jpeg","View")</f>
        <v>View</v>
      </c>
      <c r="P953" s="15"/>
    </row>
    <row r="954">
      <c r="A954" s="7">
        <v>42422.99403935185</v>
      </c>
      <c r="B954" s="8" t="str">
        <f>HYPERLINK("https://twitter.com/dlavbic","@dlavbic")</f>
        <v>@dlavbic</v>
      </c>
      <c r="C954" s="10" t="s">
        <v>8015</v>
      </c>
      <c r="D954" s="10" t="s">
        <v>8016</v>
      </c>
      <c r="E954" s="11" t="str">
        <f>HYPERLINK("https://twitter.com/dlavbic/status/702038033701457920","702038033701457920")</f>
        <v>702038033701457920</v>
      </c>
      <c r="F954" s="12" t="s">
        <v>1573</v>
      </c>
      <c r="G954" s="13">
        <v>74.0</v>
      </c>
      <c r="H954" s="13">
        <v>45.0</v>
      </c>
      <c r="I954" s="13">
        <v>0.0</v>
      </c>
      <c r="J954" s="13">
        <v>0.0</v>
      </c>
      <c r="K954" s="12" t="s">
        <v>21</v>
      </c>
      <c r="L954" s="7">
        <v>40947.18865740741</v>
      </c>
      <c r="M954" s="14" t="s">
        <v>8017</v>
      </c>
      <c r="N954" s="14" t="s">
        <v>8018</v>
      </c>
      <c r="O954" s="11" t="str">
        <f>HYPERLINK("https://pbs.twimg.com/profile_images/655846376614531073/LYU7p-Ut_normal.png","View")</f>
        <v>View</v>
      </c>
      <c r="P954" s="15"/>
    </row>
    <row r="955">
      <c r="A955" s="7">
        <v>42422.99579861111</v>
      </c>
      <c r="B955" s="8" t="str">
        <f>HYPERLINK("https://twitter.com/Abcd_R","@Abcd_R")</f>
        <v>@Abcd_R</v>
      </c>
      <c r="C955" s="10" t="s">
        <v>6513</v>
      </c>
      <c r="D955" s="10" t="s">
        <v>8019</v>
      </c>
      <c r="E955" s="11" t="str">
        <f>HYPERLINK("https://twitter.com/Abcd_R/status/702038672112283648","702038672112283648")</f>
        <v>702038672112283648</v>
      </c>
      <c r="F955" s="12" t="s">
        <v>20</v>
      </c>
      <c r="G955" s="13">
        <v>15.0</v>
      </c>
      <c r="H955" s="13">
        <v>56.0</v>
      </c>
      <c r="I955" s="13">
        <v>0.0</v>
      </c>
      <c r="J955" s="13">
        <v>0.0</v>
      </c>
      <c r="K955" s="12" t="s">
        <v>21</v>
      </c>
      <c r="L955" s="7">
        <v>40843.3155324074</v>
      </c>
      <c r="M955" s="16"/>
      <c r="N955" s="16"/>
      <c r="O955" s="11" t="str">
        <f>HYPERLINK("https://pbs.twimg.com/profile_images/603153255217156096/KoGYjyQT_normal.jpg","View")</f>
        <v>View</v>
      </c>
      <c r="P955" s="15"/>
    </row>
    <row r="956">
      <c r="A956" s="7">
        <v>42422.99822916667</v>
      </c>
      <c r="B956" s="8" t="str">
        <f>HYPERLINK("https://twitter.com/avehtari","@avehtari")</f>
        <v>@avehtari</v>
      </c>
      <c r="C956" s="10" t="s">
        <v>8020</v>
      </c>
      <c r="D956" s="10" t="s">
        <v>7734</v>
      </c>
      <c r="E956" s="11" t="str">
        <f>HYPERLINK("https://twitter.com/avehtari/status/702039551657820160","702039551657820160")</f>
        <v>702039551657820160</v>
      </c>
      <c r="F956" s="12" t="s">
        <v>20</v>
      </c>
      <c r="G956" s="13">
        <v>423.0</v>
      </c>
      <c r="H956" s="13">
        <v>75.0</v>
      </c>
      <c r="I956" s="13">
        <v>6.0</v>
      </c>
      <c r="J956" s="13">
        <v>0.0</v>
      </c>
      <c r="K956" s="12" t="s">
        <v>21</v>
      </c>
      <c r="L956" s="7">
        <v>41023.13328703704</v>
      </c>
      <c r="M956" s="16"/>
      <c r="N956" s="14" t="s">
        <v>8021</v>
      </c>
      <c r="O956" s="11" t="str">
        <f>HYPERLINK("https://pbs.twimg.com/profile_images/2198377422/Aki2011_normal.jpg","View")</f>
        <v>View</v>
      </c>
      <c r="P956" s="15"/>
    </row>
    <row r="957">
      <c r="A957" s="7">
        <v>42423.000185185185</v>
      </c>
      <c r="B957" s="8" t="str">
        <f>HYPERLINK("https://twitter.com/Rbloggers","@Rbloggers")</f>
        <v>@Rbloggers</v>
      </c>
      <c r="C957" s="10" t="s">
        <v>6221</v>
      </c>
      <c r="D957" s="10" t="s">
        <v>8022</v>
      </c>
      <c r="E957" s="11" t="str">
        <f>HYPERLINK("https://twitter.com/Rbloggers/status/702040262181163008","702040262181163008")</f>
        <v>702040262181163008</v>
      </c>
      <c r="F957" s="17" t="s">
        <v>6223</v>
      </c>
      <c r="G957" s="13">
        <v>28572.0</v>
      </c>
      <c r="H957" s="13">
        <v>36.0</v>
      </c>
      <c r="I957" s="13">
        <v>4.0</v>
      </c>
      <c r="J957" s="13">
        <v>8.0</v>
      </c>
      <c r="K957" s="12" t="s">
        <v>21</v>
      </c>
      <c r="L957" s="7">
        <v>40314.510601851856</v>
      </c>
      <c r="M957" s="16"/>
      <c r="N957" s="14" t="s">
        <v>6224</v>
      </c>
      <c r="O957" s="11" t="str">
        <f>HYPERLINK("https://pbs.twimg.com/profile_images/502185985786916864/gkdFh-q7_normal.png","View")</f>
        <v>View</v>
      </c>
      <c r="P957" s="15"/>
    </row>
    <row r="958">
      <c r="A958" s="7">
        <v>42423.001435185186</v>
      </c>
      <c r="B958" s="8" t="str">
        <f>HYPERLINK("https://twitter.com/mathew_hall","@mathew_hall")</f>
        <v>@mathew_hall</v>
      </c>
      <c r="C958" s="10" t="s">
        <v>8023</v>
      </c>
      <c r="D958" s="10" t="s">
        <v>8024</v>
      </c>
      <c r="E958" s="11" t="str">
        <f>HYPERLINK("https://twitter.com/mathew_hall/status/702040716155994112","702040716155994112")</f>
        <v>702040716155994112</v>
      </c>
      <c r="F958" s="12" t="s">
        <v>98</v>
      </c>
      <c r="G958" s="13">
        <v>203.0</v>
      </c>
      <c r="H958" s="13">
        <v>193.0</v>
      </c>
      <c r="I958" s="13">
        <v>7.0</v>
      </c>
      <c r="J958" s="13">
        <v>0.0</v>
      </c>
      <c r="K958" s="12" t="s">
        <v>21</v>
      </c>
      <c r="L958" s="7">
        <v>39887.248402777775</v>
      </c>
      <c r="M958" s="14" t="s">
        <v>6688</v>
      </c>
      <c r="N958" s="14" t="s">
        <v>8025</v>
      </c>
      <c r="O958" s="11" t="str">
        <f>HYPERLINK("https://pbs.twimg.com/profile_images/1241336978/prf_normal.jpg","View")</f>
        <v>View</v>
      </c>
      <c r="P958" s="15"/>
    </row>
    <row r="959">
      <c r="A959" s="7">
        <v>42423.003657407404</v>
      </c>
      <c r="B959" s="8" t="str">
        <f>HYPERLINK("https://twitter.com/fabio_zottele","@fabio_zottele")</f>
        <v>@fabio_zottele</v>
      </c>
      <c r="C959" s="10" t="s">
        <v>6289</v>
      </c>
      <c r="D959" s="10" t="s">
        <v>8026</v>
      </c>
      <c r="E959" s="11" t="str">
        <f>HYPERLINK("https://twitter.com/fabio_zottele/status/702041519365165056","702041519365165056")</f>
        <v>702041519365165056</v>
      </c>
      <c r="F959" s="12" t="s">
        <v>152</v>
      </c>
      <c r="G959" s="13">
        <v>54.0</v>
      </c>
      <c r="H959" s="13">
        <v>80.0</v>
      </c>
      <c r="I959" s="13">
        <v>1.0</v>
      </c>
      <c r="J959" s="13">
        <v>0.0</v>
      </c>
      <c r="K959" s="12" t="s">
        <v>21</v>
      </c>
      <c r="L959" s="7">
        <v>39772.20789351852</v>
      </c>
      <c r="M959" s="14" t="s">
        <v>6290</v>
      </c>
      <c r="N959" s="14" t="s">
        <v>6291</v>
      </c>
      <c r="O959" s="11" t="str">
        <f>HYPERLINK("https://pbs.twimg.com/profile_images/1580520395/Nyan_cat_250px_frame_normal.png","View")</f>
        <v>View</v>
      </c>
      <c r="P959" s="15"/>
    </row>
    <row r="960">
      <c r="A960" s="7">
        <v>42423.00947916666</v>
      </c>
      <c r="B960" s="8" t="str">
        <f t="shared" ref="B960:B964" si="115">HYPERLINK("https://twitter.com/CRANberriesFeed","@CRANberriesFeed")</f>
        <v>@CRANberriesFeed</v>
      </c>
      <c r="C960" s="10" t="s">
        <v>6282</v>
      </c>
      <c r="D960" s="10" t="s">
        <v>8027</v>
      </c>
      <c r="E960" s="11" t="str">
        <f>HYPERLINK("https://twitter.com/CRANberriesFeed/status/702043629066518528","702043629066518528")</f>
        <v>702043629066518528</v>
      </c>
      <c r="F960" s="12" t="s">
        <v>6284</v>
      </c>
      <c r="G960" s="13">
        <v>657.0</v>
      </c>
      <c r="H960" s="13">
        <v>0.0</v>
      </c>
      <c r="I960" s="13">
        <v>0.0</v>
      </c>
      <c r="J960" s="13">
        <v>0.0</v>
      </c>
      <c r="K960" s="12" t="s">
        <v>21</v>
      </c>
      <c r="L960" s="7">
        <v>40546.353425925925</v>
      </c>
      <c r="M960" s="14" t="s">
        <v>1158</v>
      </c>
      <c r="N960" s="16"/>
      <c r="O960" s="11" t="str">
        <f t="shared" ref="O960:O964" si="116">HYPERLINK("https://pbs.twimg.com/profile_images/1222779560/cran1_normal.jpg","View")</f>
        <v>View</v>
      </c>
      <c r="P960" s="15"/>
    </row>
    <row r="961">
      <c r="A961" s="7">
        <v>42423.00950231482</v>
      </c>
      <c r="B961" s="8" t="str">
        <f t="shared" si="115"/>
        <v>@CRANberriesFeed</v>
      </c>
      <c r="C961" s="10" t="s">
        <v>6282</v>
      </c>
      <c r="D961" s="10" t="s">
        <v>8028</v>
      </c>
      <c r="E961" s="11" t="str">
        <f>HYPERLINK("https://twitter.com/CRANberriesFeed/status/702043637539086336","702043637539086336")</f>
        <v>702043637539086336</v>
      </c>
      <c r="F961" s="12" t="s">
        <v>6284</v>
      </c>
      <c r="G961" s="13">
        <v>657.0</v>
      </c>
      <c r="H961" s="13">
        <v>0.0</v>
      </c>
      <c r="I961" s="13">
        <v>0.0</v>
      </c>
      <c r="J961" s="13">
        <v>0.0</v>
      </c>
      <c r="K961" s="12" t="s">
        <v>21</v>
      </c>
      <c r="L961" s="7">
        <v>40546.353425925925</v>
      </c>
      <c r="M961" s="14" t="s">
        <v>1158</v>
      </c>
      <c r="N961" s="16"/>
      <c r="O961" s="11" t="str">
        <f t="shared" si="116"/>
        <v>View</v>
      </c>
      <c r="P961" s="15"/>
    </row>
    <row r="962">
      <c r="A962" s="7">
        <v>42423.00951388889</v>
      </c>
      <c r="B962" s="8" t="str">
        <f t="shared" si="115"/>
        <v>@CRANberriesFeed</v>
      </c>
      <c r="C962" s="10" t="s">
        <v>6282</v>
      </c>
      <c r="D962" s="10" t="s">
        <v>8029</v>
      </c>
      <c r="E962" s="11" t="str">
        <f>HYPERLINK("https://twitter.com/CRANberriesFeed/status/702043644962983936","702043644962983936")</f>
        <v>702043644962983936</v>
      </c>
      <c r="F962" s="12" t="s">
        <v>6284</v>
      </c>
      <c r="G962" s="13">
        <v>657.0</v>
      </c>
      <c r="H962" s="13">
        <v>0.0</v>
      </c>
      <c r="I962" s="13">
        <v>0.0</v>
      </c>
      <c r="J962" s="13">
        <v>0.0</v>
      </c>
      <c r="K962" s="12" t="s">
        <v>21</v>
      </c>
      <c r="L962" s="7">
        <v>40546.353425925925</v>
      </c>
      <c r="M962" s="14" t="s">
        <v>1158</v>
      </c>
      <c r="N962" s="16"/>
      <c r="O962" s="11" t="str">
        <f t="shared" si="116"/>
        <v>View</v>
      </c>
      <c r="P962" s="15"/>
    </row>
    <row r="963">
      <c r="A963" s="7">
        <v>42423.00965277778</v>
      </c>
      <c r="B963" s="8" t="str">
        <f t="shared" si="115"/>
        <v>@CRANberriesFeed</v>
      </c>
      <c r="C963" s="10" t="s">
        <v>6282</v>
      </c>
      <c r="D963" s="10" t="s">
        <v>8030</v>
      </c>
      <c r="E963" s="11" t="str">
        <f>HYPERLINK("https://twitter.com/CRANberriesFeed/status/702043693491027972","702043693491027972")</f>
        <v>702043693491027972</v>
      </c>
      <c r="F963" s="12" t="s">
        <v>6284</v>
      </c>
      <c r="G963" s="13">
        <v>657.0</v>
      </c>
      <c r="H963" s="13">
        <v>0.0</v>
      </c>
      <c r="I963" s="13">
        <v>0.0</v>
      </c>
      <c r="J963" s="13">
        <v>0.0</v>
      </c>
      <c r="K963" s="12" t="s">
        <v>21</v>
      </c>
      <c r="L963" s="7">
        <v>40546.353425925925</v>
      </c>
      <c r="M963" s="14" t="s">
        <v>1158</v>
      </c>
      <c r="N963" s="16"/>
      <c r="O963" s="11" t="str">
        <f t="shared" si="116"/>
        <v>View</v>
      </c>
      <c r="P963" s="15"/>
    </row>
    <row r="964">
      <c r="A964" s="7">
        <v>42423.00980324074</v>
      </c>
      <c r="B964" s="8" t="str">
        <f t="shared" si="115"/>
        <v>@CRANberriesFeed</v>
      </c>
      <c r="C964" s="10" t="s">
        <v>6282</v>
      </c>
      <c r="D964" s="10" t="s">
        <v>8031</v>
      </c>
      <c r="E964" s="11" t="str">
        <f>HYPERLINK("https://twitter.com/CRANberriesFeed/status/702043747215929344","702043747215929344")</f>
        <v>702043747215929344</v>
      </c>
      <c r="F964" s="12" t="s">
        <v>6284</v>
      </c>
      <c r="G964" s="13">
        <v>657.0</v>
      </c>
      <c r="H964" s="13">
        <v>0.0</v>
      </c>
      <c r="I964" s="13">
        <v>0.0</v>
      </c>
      <c r="J964" s="13">
        <v>0.0</v>
      </c>
      <c r="K964" s="12" t="s">
        <v>21</v>
      </c>
      <c r="L964" s="7">
        <v>40546.353425925925</v>
      </c>
      <c r="M964" s="14" t="s">
        <v>1158</v>
      </c>
      <c r="N964" s="16"/>
      <c r="O964" s="11" t="str">
        <f t="shared" si="116"/>
        <v>View</v>
      </c>
      <c r="P964" s="15"/>
    </row>
    <row r="965">
      <c r="A965" s="7">
        <v>42423.010254629626</v>
      </c>
      <c r="B965" s="8" t="str">
        <f>HYPERLINK("https://twitter.com/Altons","@Altons")</f>
        <v>@Altons</v>
      </c>
      <c r="C965" s="10" t="s">
        <v>8032</v>
      </c>
      <c r="D965" s="10" t="s">
        <v>7913</v>
      </c>
      <c r="E965" s="11" t="str">
        <f>HYPERLINK("https://twitter.com/Altons/status/702043909476761600","702043909476761600")</f>
        <v>702043909476761600</v>
      </c>
      <c r="F965" s="12" t="s">
        <v>52</v>
      </c>
      <c r="G965" s="13">
        <v>819.0</v>
      </c>
      <c r="H965" s="13">
        <v>1085.0</v>
      </c>
      <c r="I965" s="13">
        <v>18.0</v>
      </c>
      <c r="J965" s="13">
        <v>0.0</v>
      </c>
      <c r="K965" s="12" t="s">
        <v>21</v>
      </c>
      <c r="L965" s="7">
        <v>39884.441099537034</v>
      </c>
      <c r="M965" s="14" t="s">
        <v>5004</v>
      </c>
      <c r="N965" s="14" t="s">
        <v>8033</v>
      </c>
      <c r="O965" s="11" t="str">
        <f>HYPERLINK("https://pbs.twimg.com/profile_images/472026224416407553/ekVld1IG_normal.jpeg","View")</f>
        <v>View</v>
      </c>
      <c r="P965" s="15"/>
    </row>
    <row r="966">
      <c r="A966" s="7">
        <v>42423.01267361111</v>
      </c>
      <c r="B966" s="8" t="str">
        <f>HYPERLINK("https://twitter.com/rakeshpala","@rakeshpala")</f>
        <v>@rakeshpala</v>
      </c>
      <c r="C966" s="10" t="s">
        <v>8034</v>
      </c>
      <c r="D966" s="10" t="s">
        <v>7913</v>
      </c>
      <c r="E966" s="11" t="str">
        <f>HYPERLINK("https://twitter.com/rakeshpala/status/702044787877220352","702044787877220352")</f>
        <v>702044787877220352</v>
      </c>
      <c r="F966" s="12" t="s">
        <v>152</v>
      </c>
      <c r="G966" s="13">
        <v>30.0</v>
      </c>
      <c r="H966" s="13">
        <v>76.0</v>
      </c>
      <c r="I966" s="13">
        <v>18.0</v>
      </c>
      <c r="J966" s="13">
        <v>0.0</v>
      </c>
      <c r="K966" s="12" t="s">
        <v>21</v>
      </c>
      <c r="L966" s="7">
        <v>40081.991111111114</v>
      </c>
      <c r="M966" s="14" t="s">
        <v>8035</v>
      </c>
      <c r="N966" s="16"/>
      <c r="O966" s="11" t="str">
        <f>HYPERLINK("https://pbs.twimg.com/profile_images/620922004/IMG_3875_edtd_normal.jpg","View")</f>
        <v>View</v>
      </c>
      <c r="P966" s="15"/>
    </row>
    <row r="967">
      <c r="A967" s="7">
        <v>42423.02668981481</v>
      </c>
      <c r="B967" s="8" t="str">
        <f>HYPERLINK("https://twitter.com/DataWookie","@DataWookie")</f>
        <v>@DataWookie</v>
      </c>
      <c r="C967" s="10" t="s">
        <v>6231</v>
      </c>
      <c r="D967" s="10" t="s">
        <v>8036</v>
      </c>
      <c r="E967" s="11" t="str">
        <f>HYPERLINK("https://twitter.com/DataWookie/status/702049866545889280","702049866545889280")</f>
        <v>702049866545889280</v>
      </c>
      <c r="F967" s="12" t="s">
        <v>6233</v>
      </c>
      <c r="G967" s="13">
        <v>426.0</v>
      </c>
      <c r="H967" s="13">
        <v>296.0</v>
      </c>
      <c r="I967" s="13">
        <v>0.0</v>
      </c>
      <c r="J967" s="13">
        <v>0.0</v>
      </c>
      <c r="K967" s="12" t="s">
        <v>21</v>
      </c>
      <c r="L967" s="7">
        <v>42166.966678240744</v>
      </c>
      <c r="M967" s="14" t="s">
        <v>6234</v>
      </c>
      <c r="N967" s="14" t="s">
        <v>6235</v>
      </c>
      <c r="O967" s="11" t="str">
        <f>HYPERLINK("https://pbs.twimg.com/profile_images/612471608725213184/eXKo2Kmo_normal.jpg","View")</f>
        <v>View</v>
      </c>
      <c r="P967" s="15"/>
    </row>
    <row r="968">
      <c r="A968" s="7">
        <v>42423.0297337963</v>
      </c>
      <c r="B968" s="8" t="str">
        <f>HYPERLINK("https://twitter.com/symbolic_goods","@symbolic_goods")</f>
        <v>@symbolic_goods</v>
      </c>
      <c r="C968" s="10" t="s">
        <v>8037</v>
      </c>
      <c r="D968" s="10" t="s">
        <v>8038</v>
      </c>
      <c r="E968" s="11" t="str">
        <f>HYPERLINK("https://twitter.com/symbolic_goods/status/702050970331643904","702050970331643904")</f>
        <v>702050970331643904</v>
      </c>
      <c r="F968" s="12" t="s">
        <v>20</v>
      </c>
      <c r="G968" s="13">
        <v>10.0</v>
      </c>
      <c r="H968" s="13">
        <v>21.0</v>
      </c>
      <c r="I968" s="13">
        <v>12.0</v>
      </c>
      <c r="J968" s="13">
        <v>0.0</v>
      </c>
      <c r="K968" s="12" t="s">
        <v>21</v>
      </c>
      <c r="L968" s="7">
        <v>42212.23412037037</v>
      </c>
      <c r="M968" s="16"/>
      <c r="N968" s="14" t="s">
        <v>8039</v>
      </c>
      <c r="O968" s="11" t="str">
        <f>HYPERLINK("https://pbs.twimg.com/profile_images/625648094496071681/jy7e4qOE_normal.png","View")</f>
        <v>View</v>
      </c>
      <c r="P968" s="15"/>
    </row>
    <row r="969">
      <c r="A969" s="7">
        <v>42423.032048611116</v>
      </c>
      <c r="B969" s="8" t="str">
        <f>HYPERLINK("https://twitter.com/MatthBogaert","@MatthBogaert")</f>
        <v>@MatthBogaert</v>
      </c>
      <c r="C969" s="10" t="s">
        <v>8040</v>
      </c>
      <c r="D969" s="10" t="s">
        <v>8041</v>
      </c>
      <c r="E969" s="11" t="str">
        <f>HYPERLINK("https://twitter.com/MatthBogaert/status/702051808978587648","702051808978587648")</f>
        <v>702051808978587648</v>
      </c>
      <c r="F969" s="12" t="s">
        <v>152</v>
      </c>
      <c r="G969" s="13">
        <v>56.0</v>
      </c>
      <c r="H969" s="13">
        <v>188.0</v>
      </c>
      <c r="I969" s="13">
        <v>5.0</v>
      </c>
      <c r="J969" s="13">
        <v>10.0</v>
      </c>
      <c r="K969" s="12" t="s">
        <v>21</v>
      </c>
      <c r="L969" s="7">
        <v>40952.201215277775</v>
      </c>
      <c r="M969" s="14" t="s">
        <v>8042</v>
      </c>
      <c r="N969" s="14" t="s">
        <v>8043</v>
      </c>
      <c r="O969" s="11" t="str">
        <f>HYPERLINK("https://pbs.twimg.com/profile_images/536102770873348096/ni0a39Ga_normal.jpeg","View")</f>
        <v>View</v>
      </c>
      <c r="P969" s="15"/>
    </row>
    <row r="970">
      <c r="A970" s="7">
        <v>42423.038981481484</v>
      </c>
      <c r="B970" s="8" t="str">
        <f>HYPERLINK("https://twitter.com/SHFDigital","@SHFDigital")</f>
        <v>@SHFDigital</v>
      </c>
      <c r="C970" s="10" t="s">
        <v>8044</v>
      </c>
      <c r="D970" s="10" t="s">
        <v>8024</v>
      </c>
      <c r="E970" s="11" t="str">
        <f>HYPERLINK("https://twitter.com/SHFDigital/status/702054319844171776","702054319844171776")</f>
        <v>702054319844171776</v>
      </c>
      <c r="F970" s="12" t="s">
        <v>659</v>
      </c>
      <c r="G970" s="13">
        <v>845.0</v>
      </c>
      <c r="H970" s="13">
        <v>243.0</v>
      </c>
      <c r="I970" s="13">
        <v>7.0</v>
      </c>
      <c r="J970" s="13">
        <v>0.0</v>
      </c>
      <c r="K970" s="12" t="s">
        <v>21</v>
      </c>
      <c r="L970" s="7">
        <v>41978.31056712963</v>
      </c>
      <c r="M970" s="14" t="s">
        <v>8045</v>
      </c>
      <c r="N970" s="14" t="s">
        <v>8046</v>
      </c>
      <c r="O970" s="11" t="str">
        <f>HYPERLINK("https://pbs.twimg.com/profile_images/688857103990173697/8YrXONVY_normal.png","View")</f>
        <v>View</v>
      </c>
      <c r="P970" s="15"/>
    </row>
    <row r="971">
      <c r="A971" s="7">
        <v>42423.03962962963</v>
      </c>
      <c r="B971" s="8" t="str">
        <f>HYPERLINK("https://twitter.com/sjewor","@sjewor")</f>
        <v>@sjewor</v>
      </c>
      <c r="C971" s="10" t="s">
        <v>8047</v>
      </c>
      <c r="D971" s="10" t="s">
        <v>8048</v>
      </c>
      <c r="E971" s="11" t="str">
        <f>HYPERLINK("https://twitter.com/sjewor/status/702054557153673216","702054557153673216")</f>
        <v>702054557153673216</v>
      </c>
      <c r="F971" s="12" t="s">
        <v>20</v>
      </c>
      <c r="G971" s="13">
        <v>48.0</v>
      </c>
      <c r="H971" s="13">
        <v>153.0</v>
      </c>
      <c r="I971" s="13">
        <v>1.0</v>
      </c>
      <c r="J971" s="13">
        <v>1.0</v>
      </c>
      <c r="K971" s="12" t="s">
        <v>21</v>
      </c>
      <c r="L971" s="7">
        <v>41328.104780092595</v>
      </c>
      <c r="M971" s="14" t="s">
        <v>8049</v>
      </c>
      <c r="N971" s="14" t="s">
        <v>8050</v>
      </c>
      <c r="O971" s="11" t="str">
        <f>HYPERLINK("https://pbs.twimg.com/profile_images/497363631021899776/_2dCkhYJ_normal.png","View")</f>
        <v>View</v>
      </c>
      <c r="P971" s="15"/>
    </row>
    <row r="972">
      <c r="A972" s="7">
        <v>42423.04178240741</v>
      </c>
      <c r="B972" s="8" t="str">
        <f>HYPERLINK("https://twitter.com/guangchuangyu","@guangchuangyu")</f>
        <v>@guangchuangyu</v>
      </c>
      <c r="C972" s="10" t="s">
        <v>8051</v>
      </c>
      <c r="D972" s="10" t="s">
        <v>8052</v>
      </c>
      <c r="E972" s="11" t="str">
        <f>HYPERLINK("https://twitter.com/guangchuangyu/status/702055338426544129","702055338426544129")</f>
        <v>702055338426544129</v>
      </c>
      <c r="F972" s="12" t="s">
        <v>20</v>
      </c>
      <c r="G972" s="13">
        <v>228.0</v>
      </c>
      <c r="H972" s="13">
        <v>278.0</v>
      </c>
      <c r="I972" s="13">
        <v>4.0</v>
      </c>
      <c r="J972" s="13">
        <v>0.0</v>
      </c>
      <c r="K972" s="12" t="s">
        <v>21</v>
      </c>
      <c r="L972" s="7">
        <v>39857.79864583333</v>
      </c>
      <c r="M972" s="14" t="s">
        <v>7301</v>
      </c>
      <c r="N972" s="14" t="s">
        <v>8053</v>
      </c>
      <c r="O972" s="11" t="str">
        <f>HYPERLINK("https://pbs.twimg.com/profile_images/611374759310266368/pNbzuTeb_normal.png","View")</f>
        <v>View</v>
      </c>
      <c r="P972" s="15"/>
    </row>
    <row r="973">
      <c r="A973" s="7">
        <v>42423.04634259259</v>
      </c>
      <c r="B973" s="8" t="str">
        <f t="shared" ref="B973:B974" si="117">HYPERLINK("https://twitter.com/ErmiaBivatan","@ErmiaBivatan")</f>
        <v>@ErmiaBivatan</v>
      </c>
      <c r="C973" s="10" t="s">
        <v>6261</v>
      </c>
      <c r="D973" s="10" t="s">
        <v>8054</v>
      </c>
      <c r="E973" s="11" t="str">
        <f>HYPERLINK("https://twitter.com/ErmiaBivatan/status/702056990978211840","702056990978211840")</f>
        <v>702056990978211840</v>
      </c>
      <c r="F973" s="12" t="s">
        <v>20</v>
      </c>
      <c r="G973" s="13">
        <v>45.0</v>
      </c>
      <c r="H973" s="13">
        <v>142.0</v>
      </c>
      <c r="I973" s="13">
        <v>1.0</v>
      </c>
      <c r="J973" s="13">
        <v>0.0</v>
      </c>
      <c r="K973" s="12" t="s">
        <v>21</v>
      </c>
      <c r="L973" s="7">
        <v>41409.883356481485</v>
      </c>
      <c r="M973" s="16"/>
      <c r="N973" s="14" t="s">
        <v>6263</v>
      </c>
      <c r="O973" s="11" t="str">
        <f t="shared" ref="O973:O974" si="118">HYPERLINK("https://pbs.twimg.com/profile_images/700219041131204608/DZKmHE4-_normal.jpg","View")</f>
        <v>View</v>
      </c>
      <c r="P973" s="15"/>
    </row>
    <row r="974">
      <c r="A974" s="7">
        <v>42423.04677083333</v>
      </c>
      <c r="B974" s="8" t="str">
        <f t="shared" si="117"/>
        <v>@ErmiaBivatan</v>
      </c>
      <c r="C974" s="10" t="s">
        <v>6261</v>
      </c>
      <c r="D974" s="10" t="s">
        <v>8055</v>
      </c>
      <c r="E974" s="11" t="str">
        <f>HYPERLINK("https://twitter.com/ErmiaBivatan/status/702057145970380802","702057145970380802")</f>
        <v>702057145970380802</v>
      </c>
      <c r="F974" s="12" t="s">
        <v>20</v>
      </c>
      <c r="G974" s="13">
        <v>45.0</v>
      </c>
      <c r="H974" s="13">
        <v>142.0</v>
      </c>
      <c r="I974" s="13">
        <v>2.0</v>
      </c>
      <c r="J974" s="13">
        <v>2.0</v>
      </c>
      <c r="K974" s="12" t="s">
        <v>21</v>
      </c>
      <c r="L974" s="7">
        <v>41409.883356481485</v>
      </c>
      <c r="M974" s="16"/>
      <c r="N974" s="14" t="s">
        <v>6263</v>
      </c>
      <c r="O974" s="11" t="str">
        <f t="shared" si="118"/>
        <v>View</v>
      </c>
      <c r="P974" s="15"/>
    </row>
    <row r="975">
      <c r="A975" s="7">
        <v>42423.054768518516</v>
      </c>
      <c r="B975" s="8" t="str">
        <f>HYPERLINK("https://twitter.com/MangoTheCat","@MangoTheCat")</f>
        <v>@MangoTheCat</v>
      </c>
      <c r="C975" s="10" t="s">
        <v>6321</v>
      </c>
      <c r="D975" s="10" t="s">
        <v>8056</v>
      </c>
      <c r="E975" s="11" t="str">
        <f>HYPERLINK("https://twitter.com/MangoTheCat/status/702060043055796224","702060043055796224")</f>
        <v>702060043055796224</v>
      </c>
      <c r="F975" s="12" t="s">
        <v>20</v>
      </c>
      <c r="G975" s="13">
        <v>2041.0</v>
      </c>
      <c r="H975" s="13">
        <v>2855.0</v>
      </c>
      <c r="I975" s="13">
        <v>1.0</v>
      </c>
      <c r="J975" s="13">
        <v>1.0</v>
      </c>
      <c r="K975" s="12" t="s">
        <v>21</v>
      </c>
      <c r="L975" s="7">
        <v>39854.3178587963</v>
      </c>
      <c r="M975" s="14" t="s">
        <v>6323</v>
      </c>
      <c r="N975" s="14" t="s">
        <v>6324</v>
      </c>
      <c r="O975" s="11" t="str">
        <f>HYPERLINK("https://pbs.twimg.com/profile_images/641183991077445633/V7VcBpJI_normal.png","View")</f>
        <v>View</v>
      </c>
      <c r="P975" s="15"/>
    </row>
    <row r="976">
      <c r="A976" s="7">
        <v>42423.056504629625</v>
      </c>
      <c r="B976" s="8" t="str">
        <f>HYPERLINK("https://twitter.com/soayipm","@soayipm")</f>
        <v>@soayipm</v>
      </c>
      <c r="C976" s="10" t="s">
        <v>8057</v>
      </c>
      <c r="D976" s="10" t="s">
        <v>8024</v>
      </c>
      <c r="E976" s="11" t="str">
        <f>HYPERLINK("https://twitter.com/soayipm/status/702060670804692992","702060670804692992")</f>
        <v>702060670804692992</v>
      </c>
      <c r="F976" s="12" t="s">
        <v>20</v>
      </c>
      <c r="G976" s="13">
        <v>117.0</v>
      </c>
      <c r="H976" s="13">
        <v>240.0</v>
      </c>
      <c r="I976" s="13">
        <v>7.0</v>
      </c>
      <c r="J976" s="13">
        <v>0.0</v>
      </c>
      <c r="K976" s="12" t="s">
        <v>21</v>
      </c>
      <c r="L976" s="7">
        <v>42144.1919212963</v>
      </c>
      <c r="M976" s="14" t="s">
        <v>8058</v>
      </c>
      <c r="N976" s="14" t="s">
        <v>8059</v>
      </c>
      <c r="O976" s="11" t="str">
        <f>HYPERLINK("https://pbs.twimg.com/profile_images/625769383747551232/eILXUdTm_normal.jpg","View")</f>
        <v>View</v>
      </c>
      <c r="P976" s="15"/>
    </row>
    <row r="977">
      <c r="A977" s="7">
        <v>42423.05695601852</v>
      </c>
      <c r="B977" s="8" t="str">
        <f>HYPERLINK("https://twitter.com/MangoTheCat","@MangoTheCat")</f>
        <v>@MangoTheCat</v>
      </c>
      <c r="C977" s="10" t="s">
        <v>6321</v>
      </c>
      <c r="D977" s="10" t="s">
        <v>8060</v>
      </c>
      <c r="E977" s="11" t="str">
        <f>HYPERLINK("https://twitter.com/MangoTheCat/status/702060833925279744","702060833925279744")</f>
        <v>702060833925279744</v>
      </c>
      <c r="F977" s="12" t="s">
        <v>47</v>
      </c>
      <c r="G977" s="13">
        <v>2041.0</v>
      </c>
      <c r="H977" s="13">
        <v>2855.0</v>
      </c>
      <c r="I977" s="13">
        <v>0.0</v>
      </c>
      <c r="J977" s="13">
        <v>0.0</v>
      </c>
      <c r="K977" s="12" t="s">
        <v>21</v>
      </c>
      <c r="L977" s="7">
        <v>39854.3178587963</v>
      </c>
      <c r="M977" s="14" t="s">
        <v>6323</v>
      </c>
      <c r="N977" s="14" t="s">
        <v>6324</v>
      </c>
      <c r="O977" s="11" t="str">
        <f>HYPERLINK("https://pbs.twimg.com/profile_images/641183991077445633/V7VcBpJI_normal.png","View")</f>
        <v>View</v>
      </c>
      <c r="P977" s="15"/>
    </row>
    <row r="978">
      <c r="A978" s="7">
        <v>42423.057499999995</v>
      </c>
      <c r="B978" s="8" t="str">
        <f>HYPERLINK("https://twitter.com/rjacorreia","@rjacorreia")</f>
        <v>@rjacorreia</v>
      </c>
      <c r="C978" s="10" t="s">
        <v>8061</v>
      </c>
      <c r="D978" s="10" t="s">
        <v>6319</v>
      </c>
      <c r="E978" s="11" t="str">
        <f>HYPERLINK("https://twitter.com/rjacorreia/status/702061034442465280","702061034442465280")</f>
        <v>702061034442465280</v>
      </c>
      <c r="F978" s="12" t="s">
        <v>152</v>
      </c>
      <c r="G978" s="13">
        <v>42.0</v>
      </c>
      <c r="H978" s="13">
        <v>164.0</v>
      </c>
      <c r="I978" s="13">
        <v>106.0</v>
      </c>
      <c r="J978" s="13">
        <v>0.0</v>
      </c>
      <c r="K978" s="12" t="s">
        <v>21</v>
      </c>
      <c r="L978" s="7">
        <v>41794.37459490741</v>
      </c>
      <c r="M978" s="16"/>
      <c r="N978" s="14" t="s">
        <v>8062</v>
      </c>
      <c r="O978" s="11" t="str">
        <f>HYPERLINK("https://pbs.twimg.com/profile_images/506821568723296256/PL-k_a99_normal.jpeg","View")</f>
        <v>View</v>
      </c>
      <c r="P978" s="15"/>
    </row>
    <row r="979">
      <c r="A979" s="7">
        <v>42423.057847222226</v>
      </c>
      <c r="B979" s="8" t="str">
        <f>HYPERLINK("https://twitter.com/earlconf","@earlconf")</f>
        <v>@earlconf</v>
      </c>
      <c r="C979" s="10" t="s">
        <v>7100</v>
      </c>
      <c r="D979" s="10" t="s">
        <v>8063</v>
      </c>
      <c r="E979" s="11" t="str">
        <f>HYPERLINK("https://twitter.com/earlconf/status/702061158015041536","702061158015041536")</f>
        <v>702061158015041536</v>
      </c>
      <c r="F979" s="12" t="s">
        <v>20</v>
      </c>
      <c r="G979" s="13">
        <v>1081.0</v>
      </c>
      <c r="H979" s="13">
        <v>2351.0</v>
      </c>
      <c r="I979" s="13">
        <v>1.0</v>
      </c>
      <c r="J979" s="13">
        <v>0.0</v>
      </c>
      <c r="K979" s="12" t="s">
        <v>21</v>
      </c>
      <c r="L979" s="7">
        <v>41677.49930555555</v>
      </c>
      <c r="M979" s="14" t="s">
        <v>7102</v>
      </c>
      <c r="N979" s="14" t="s">
        <v>7103</v>
      </c>
      <c r="O979" s="11" t="str">
        <f>HYPERLINK("https://pbs.twimg.com/profile_images/432298122203512833/YDXfWlI__normal.png","View")</f>
        <v>View</v>
      </c>
      <c r="P979" s="15"/>
    </row>
    <row r="980">
      <c r="A980" s="7">
        <v>42423.059375</v>
      </c>
      <c r="B980" s="8" t="str">
        <f>HYPERLINK("https://twitter.com/andnewmanGEO","@andnewmanGEO")</f>
        <v>@andnewmanGEO</v>
      </c>
      <c r="C980" s="10" t="s">
        <v>8064</v>
      </c>
      <c r="D980" s="10" t="s">
        <v>8024</v>
      </c>
      <c r="E980" s="11" t="str">
        <f>HYPERLINK("https://twitter.com/andnewmanGEO/status/702061712510472192","702061712510472192")</f>
        <v>702061712510472192</v>
      </c>
      <c r="F980" s="12" t="s">
        <v>1082</v>
      </c>
      <c r="G980" s="13">
        <v>682.0</v>
      </c>
      <c r="H980" s="13">
        <v>238.0</v>
      </c>
      <c r="I980" s="13">
        <v>7.0</v>
      </c>
      <c r="J980" s="13">
        <v>0.0</v>
      </c>
      <c r="K980" s="12" t="s">
        <v>21</v>
      </c>
      <c r="L980" s="7">
        <v>39750.01699074074</v>
      </c>
      <c r="M980" s="14" t="s">
        <v>8065</v>
      </c>
      <c r="N980" s="14" t="s">
        <v>8066</v>
      </c>
      <c r="O980" s="11" t="str">
        <f>HYPERLINK("https://pbs.twimg.com/profile_images/631934716711710720/OHIQvOhz_normal.jpg","View")</f>
        <v>View</v>
      </c>
      <c r="P980" s="15"/>
    </row>
    <row r="981">
      <c r="A981" s="7">
        <v>42423.06390046296</v>
      </c>
      <c r="B981" s="8" t="str">
        <f>HYPERLINK("https://twitter.com/MangoTheCat","@MangoTheCat")</f>
        <v>@MangoTheCat</v>
      </c>
      <c r="C981" s="10" t="s">
        <v>6321</v>
      </c>
      <c r="D981" s="10" t="s">
        <v>8067</v>
      </c>
      <c r="E981" s="11" t="str">
        <f>HYPERLINK("https://twitter.com/MangoTheCat/status/702063351090663424","702063351090663424")</f>
        <v>702063351090663424</v>
      </c>
      <c r="F981" s="12" t="s">
        <v>47</v>
      </c>
      <c r="G981" s="13">
        <v>2041.0</v>
      </c>
      <c r="H981" s="13">
        <v>2855.0</v>
      </c>
      <c r="I981" s="13">
        <v>0.0</v>
      </c>
      <c r="J981" s="13">
        <v>0.0</v>
      </c>
      <c r="K981" s="12" t="s">
        <v>21</v>
      </c>
      <c r="L981" s="7">
        <v>39854.3178587963</v>
      </c>
      <c r="M981" s="14" t="s">
        <v>6323</v>
      </c>
      <c r="N981" s="14" t="s">
        <v>6324</v>
      </c>
      <c r="O981" s="11" t="str">
        <f>HYPERLINK("https://pbs.twimg.com/profile_images/641183991077445633/V7VcBpJI_normal.png","View")</f>
        <v>View</v>
      </c>
      <c r="P981" s="15"/>
    </row>
    <row r="982">
      <c r="A982" s="7">
        <v>42423.066400462965</v>
      </c>
      <c r="B982" s="8" t="str">
        <f>HYPERLINK("https://twitter.com/TeppoTammisto","@TeppoTammisto")</f>
        <v>@TeppoTammisto</v>
      </c>
      <c r="C982" s="10" t="s">
        <v>8068</v>
      </c>
      <c r="D982" s="10" t="s">
        <v>8069</v>
      </c>
      <c r="E982" s="11" t="str">
        <f>HYPERLINK("https://twitter.com/TeppoTammisto/status/702064258494963712","702064258494963712")</f>
        <v>702064258494963712</v>
      </c>
      <c r="F982" s="12" t="s">
        <v>20</v>
      </c>
      <c r="G982" s="13">
        <v>382.0</v>
      </c>
      <c r="H982" s="13">
        <v>1830.0</v>
      </c>
      <c r="I982" s="13">
        <v>1.0</v>
      </c>
      <c r="J982" s="13">
        <v>3.0</v>
      </c>
      <c r="K982" s="12" t="s">
        <v>21</v>
      </c>
      <c r="L982" s="7">
        <v>41351.315046296295</v>
      </c>
      <c r="M982" s="14" t="s">
        <v>180</v>
      </c>
      <c r="N982" s="14" t="s">
        <v>8070</v>
      </c>
      <c r="O982" s="11" t="str">
        <f>HYPERLINK("https://pbs.twimg.com/profile_images/601032786233991169/9qzqHUlS_normal.png","View")</f>
        <v>View</v>
      </c>
      <c r="P982" s="15"/>
    </row>
    <row r="983">
      <c r="A983" s="7">
        <v>42423.06642361111</v>
      </c>
      <c r="B983" s="8" t="str">
        <f>HYPERLINK("https://twitter.com/sentiwire","@sentiwire")</f>
        <v>@sentiwire</v>
      </c>
      <c r="C983" s="10" t="s">
        <v>381</v>
      </c>
      <c r="D983" s="10" t="s">
        <v>8071</v>
      </c>
      <c r="E983" s="11" t="str">
        <f>HYPERLINK("https://twitter.com/sentiwire/status/702064264811409408","702064264811409408")</f>
        <v>702064264811409408</v>
      </c>
      <c r="F983" s="12" t="s">
        <v>383</v>
      </c>
      <c r="G983" s="13">
        <v>515.0</v>
      </c>
      <c r="H983" s="13">
        <v>1716.0</v>
      </c>
      <c r="I983" s="13">
        <v>1.0</v>
      </c>
      <c r="J983" s="13">
        <v>0.0</v>
      </c>
      <c r="K983" s="12" t="s">
        <v>21</v>
      </c>
      <c r="L983" s="7">
        <v>41422.629641203705</v>
      </c>
      <c r="M983" s="16"/>
      <c r="N983" s="14" t="s">
        <v>384</v>
      </c>
      <c r="O983" s="11" t="str">
        <f>HYPERLINK("https://pbs.twimg.com/profile_images/686965105473396736/B9V5UtGS_normal.jpg","View")</f>
        <v>View</v>
      </c>
      <c r="P983" s="15"/>
    </row>
    <row r="984">
      <c r="A984" s="7">
        <v>42423.068657407406</v>
      </c>
      <c r="B984" s="8" t="str">
        <f>HYPERLINK("https://twitter.com/NBNTrust","@NBNTrust")</f>
        <v>@NBNTrust</v>
      </c>
      <c r="C984" s="10" t="s">
        <v>8072</v>
      </c>
      <c r="D984" s="10" t="s">
        <v>8024</v>
      </c>
      <c r="E984" s="11" t="str">
        <f>HYPERLINK("https://twitter.com/NBNTrust/status/702065076744933376","702065076744933376")</f>
        <v>702065076744933376</v>
      </c>
      <c r="F984" s="12" t="s">
        <v>152</v>
      </c>
      <c r="G984" s="13">
        <v>3417.0</v>
      </c>
      <c r="H984" s="13">
        <v>651.0</v>
      </c>
      <c r="I984" s="13">
        <v>7.0</v>
      </c>
      <c r="J984" s="13">
        <v>0.0</v>
      </c>
      <c r="K984" s="12" t="s">
        <v>21</v>
      </c>
      <c r="L984" s="7">
        <v>39925.10091435185</v>
      </c>
      <c r="M984" s="14" t="s">
        <v>8073</v>
      </c>
      <c r="N984" s="14" t="s">
        <v>8074</v>
      </c>
      <c r="O984" s="11" t="str">
        <f>HYPERLINK("https://pbs.twimg.com/profile_images/200311699/leaf_normal.jpg","View")</f>
        <v>View</v>
      </c>
      <c r="P984" s="15"/>
    </row>
    <row r="985">
      <c r="A985" s="7">
        <v>42423.06962962963</v>
      </c>
      <c r="B985" s="8" t="str">
        <f>HYPERLINK("https://twitter.com/AymericBds","@AymericBds")</f>
        <v>@AymericBds</v>
      </c>
      <c r="C985" s="10" t="s">
        <v>8075</v>
      </c>
      <c r="D985" s="10" t="s">
        <v>8076</v>
      </c>
      <c r="E985" s="11" t="str">
        <f>HYPERLINK("https://twitter.com/AymericBds/status/702065427623649280","702065427623649280")</f>
        <v>702065427623649280</v>
      </c>
      <c r="F985" s="17" t="s">
        <v>4208</v>
      </c>
      <c r="G985" s="13">
        <v>415.0</v>
      </c>
      <c r="H985" s="13">
        <v>963.0</v>
      </c>
      <c r="I985" s="13">
        <v>0.0</v>
      </c>
      <c r="J985" s="13">
        <v>0.0</v>
      </c>
      <c r="K985" s="12" t="s">
        <v>21</v>
      </c>
      <c r="L985" s="7">
        <v>41284.329733796294</v>
      </c>
      <c r="M985" s="14" t="s">
        <v>8077</v>
      </c>
      <c r="N985" s="14" t="s">
        <v>8078</v>
      </c>
      <c r="O985" s="11" t="str">
        <f>HYPERLINK("https://pbs.twimg.com/profile_images/461477619817402368/fVzYSRh0_normal.png","View")</f>
        <v>View</v>
      </c>
      <c r="P985" s="15"/>
    </row>
    <row r="986">
      <c r="A986" s="7">
        <v>42423.070069444446</v>
      </c>
      <c r="B986" s="8" t="str">
        <f>HYPERLINK("https://twitter.com/Jemus42","@Jemus42")</f>
        <v>@Jemus42</v>
      </c>
      <c r="C986" s="10" t="s">
        <v>7905</v>
      </c>
      <c r="D986" s="10" t="s">
        <v>8079</v>
      </c>
      <c r="E986" s="11" t="str">
        <f>HYPERLINK("https://twitter.com/Jemus42/status/702065587074240512","702065587074240512")</f>
        <v>702065587074240512</v>
      </c>
      <c r="F986" s="12" t="s">
        <v>240</v>
      </c>
      <c r="G986" s="13">
        <v>589.0</v>
      </c>
      <c r="H986" s="13">
        <v>549.0</v>
      </c>
      <c r="I986" s="13">
        <v>0.0</v>
      </c>
      <c r="J986" s="13">
        <v>0.0</v>
      </c>
      <c r="K986" s="12" t="s">
        <v>21</v>
      </c>
      <c r="L986" s="7">
        <v>39988.36329861111</v>
      </c>
      <c r="M986" s="16"/>
      <c r="N986" s="14" t="s">
        <v>7907</v>
      </c>
      <c r="O986" s="11" t="str">
        <f>HYPERLINK("https://pbs.twimg.com/profile_images/2442155420/13fr1e3on4dzb9fn7i48_normal.jpeg","View")</f>
        <v>View</v>
      </c>
      <c r="P986" s="15"/>
    </row>
    <row r="987">
      <c r="A987" s="7">
        <v>42423.07092592593</v>
      </c>
      <c r="B987" s="8" t="str">
        <f>HYPERLINK("https://twitter.com/dirkvandenpoel","@dirkvandenpoel")</f>
        <v>@dirkvandenpoel</v>
      </c>
      <c r="C987" s="10" t="s">
        <v>8080</v>
      </c>
      <c r="D987" s="10" t="s">
        <v>8081</v>
      </c>
      <c r="E987" s="11" t="str">
        <f>HYPERLINK("https://twitter.com/dirkvandenpoel/status/702065897666699264","702065897666699264")</f>
        <v>702065897666699264</v>
      </c>
      <c r="F987" s="12" t="s">
        <v>52</v>
      </c>
      <c r="G987" s="13">
        <v>4582.0</v>
      </c>
      <c r="H987" s="13">
        <v>4311.0</v>
      </c>
      <c r="I987" s="13">
        <v>5.0</v>
      </c>
      <c r="J987" s="13">
        <v>0.0</v>
      </c>
      <c r="K987" s="12" t="s">
        <v>21</v>
      </c>
      <c r="L987" s="7">
        <v>40019.05355324074</v>
      </c>
      <c r="M987" s="14" t="s">
        <v>8082</v>
      </c>
      <c r="N987" s="14" t="s">
        <v>8083</v>
      </c>
      <c r="O987" s="11" t="str">
        <f>HYPERLINK("https://pbs.twimg.com/profile_images/607095878499856384/Q79FVTv8_normal.png","View")</f>
        <v>View</v>
      </c>
      <c r="P987" s="15"/>
    </row>
    <row r="988">
      <c r="A988" s="7">
        <v>42423.07157407407</v>
      </c>
      <c r="B988" s="8" t="str">
        <f>HYPERLINK("https://twitter.com/UGentDA","@UGentDA")</f>
        <v>@UGentDA</v>
      </c>
      <c r="C988" s="10" t="s">
        <v>8084</v>
      </c>
      <c r="D988" s="10" t="s">
        <v>8081</v>
      </c>
      <c r="E988" s="11" t="str">
        <f>HYPERLINK("https://twitter.com/UGentDA/status/702066133189455872","702066133189455872")</f>
        <v>702066133189455872</v>
      </c>
      <c r="F988" s="12" t="s">
        <v>52</v>
      </c>
      <c r="G988" s="13">
        <v>611.0</v>
      </c>
      <c r="H988" s="13">
        <v>587.0</v>
      </c>
      <c r="I988" s="13">
        <v>5.0</v>
      </c>
      <c r="J988" s="13">
        <v>0.0</v>
      </c>
      <c r="K988" s="12" t="s">
        <v>21</v>
      </c>
      <c r="L988" s="7">
        <v>41949.93763888889</v>
      </c>
      <c r="M988" s="14" t="s">
        <v>8082</v>
      </c>
      <c r="N988" s="14" t="s">
        <v>8085</v>
      </c>
      <c r="O988" s="11" t="str">
        <f>HYPERLINK("https://pbs.twimg.com/profile_images/597678504398958592/7Au4C_Vm_normal.jpg","View")</f>
        <v>View</v>
      </c>
      <c r="P988" s="15"/>
    </row>
    <row r="989">
      <c r="A989" s="7">
        <v>42423.07640046296</v>
      </c>
      <c r="B989" s="8" t="str">
        <f>HYPERLINK("https://twitter.com/MangoTheCat","@MangoTheCat")</f>
        <v>@MangoTheCat</v>
      </c>
      <c r="C989" s="10" t="s">
        <v>6321</v>
      </c>
      <c r="D989" s="10" t="s">
        <v>8086</v>
      </c>
      <c r="E989" s="11" t="str">
        <f>HYPERLINK("https://twitter.com/MangoTheCat/status/702067883468156929","702067883468156929")</f>
        <v>702067883468156929</v>
      </c>
      <c r="F989" s="12" t="s">
        <v>47</v>
      </c>
      <c r="G989" s="13">
        <v>2041.0</v>
      </c>
      <c r="H989" s="13">
        <v>2855.0</v>
      </c>
      <c r="I989" s="13">
        <v>0.0</v>
      </c>
      <c r="J989" s="13">
        <v>0.0</v>
      </c>
      <c r="K989" s="12" t="s">
        <v>21</v>
      </c>
      <c r="L989" s="7">
        <v>39854.3178587963</v>
      </c>
      <c r="M989" s="14" t="s">
        <v>6323</v>
      </c>
      <c r="N989" s="14" t="s">
        <v>6324</v>
      </c>
      <c r="O989" s="11" t="str">
        <f>HYPERLINK("https://pbs.twimg.com/profile_images/641183991077445633/V7VcBpJI_normal.png","View")</f>
        <v>View</v>
      </c>
      <c r="P989" s="15"/>
    </row>
    <row r="990">
      <c r="A990" s="7">
        <v>42423.07835648148</v>
      </c>
      <c r="B990" s="8" t="str">
        <f>HYPERLINK("https://twitter.com/thanhtungmilan","@thanhtungmilan")</f>
        <v>@thanhtungmilan</v>
      </c>
      <c r="C990" s="10" t="s">
        <v>8087</v>
      </c>
      <c r="D990" s="10" t="s">
        <v>7887</v>
      </c>
      <c r="E990" s="11" t="str">
        <f>HYPERLINK("https://twitter.com/thanhtungmilan/status/702068589369536512","702068589369536512")</f>
        <v>702068589369536512</v>
      </c>
      <c r="F990" s="12" t="s">
        <v>20</v>
      </c>
      <c r="G990" s="13">
        <v>60.0</v>
      </c>
      <c r="H990" s="13">
        <v>152.0</v>
      </c>
      <c r="I990" s="13">
        <v>6.0</v>
      </c>
      <c r="J990" s="13">
        <v>0.0</v>
      </c>
      <c r="K990" s="12" t="s">
        <v>21</v>
      </c>
      <c r="L990" s="7">
        <v>40006.24966435185</v>
      </c>
      <c r="M990" s="14" t="s">
        <v>8088</v>
      </c>
      <c r="N990" s="14" t="s">
        <v>8089</v>
      </c>
      <c r="O990" s="11" t="str">
        <f>HYPERLINK("https://pbs.twimg.com/profile_images/561301462399979521/20njf5kj_normal.jpeg","View")</f>
        <v>View</v>
      </c>
      <c r="P990" s="15"/>
    </row>
    <row r="991">
      <c r="A991" s="7">
        <v>42423.081041666665</v>
      </c>
      <c r="B991" s="8" t="str">
        <f>HYPERLINK("https://twitter.com/padpadpadpad","@padpadpadpad")</f>
        <v>@padpadpadpad</v>
      </c>
      <c r="C991" s="10" t="s">
        <v>8090</v>
      </c>
      <c r="D991" s="10" t="s">
        <v>8091</v>
      </c>
      <c r="E991" s="11" t="str">
        <f>HYPERLINK("https://twitter.com/padpadpadpad/status/702069563027038208","702069563027038208")</f>
        <v>702069563027038208</v>
      </c>
      <c r="F991" s="12" t="s">
        <v>20</v>
      </c>
      <c r="G991" s="13">
        <v>453.0</v>
      </c>
      <c r="H991" s="13">
        <v>818.0</v>
      </c>
      <c r="I991" s="13">
        <v>0.0</v>
      </c>
      <c r="J991" s="13">
        <v>1.0</v>
      </c>
      <c r="K991" s="12" t="s">
        <v>21</v>
      </c>
      <c r="L991" s="7">
        <v>40041.646875</v>
      </c>
      <c r="M991" s="14" t="s">
        <v>8092</v>
      </c>
      <c r="N991" s="14" t="s">
        <v>8093</v>
      </c>
      <c r="O991" s="11" t="str">
        <f>HYPERLINK("https://pbs.twimg.com/profile_images/378800000363119050/b74dc68da06b9bc7d1a4fef17408a297_normal.jpeg","View")</f>
        <v>View</v>
      </c>
      <c r="P991" s="15"/>
    </row>
    <row r="992">
      <c r="A992" s="7">
        <v>42423.08966435185</v>
      </c>
      <c r="B992" s="8" t="str">
        <f t="shared" ref="B992:B993" si="119">HYPERLINK("https://twitter.com/c_iantosca","@c_iantosca")</f>
        <v>@c_iantosca</v>
      </c>
      <c r="C992" s="10" t="s">
        <v>8094</v>
      </c>
      <c r="D992" s="10" t="s">
        <v>8095</v>
      </c>
      <c r="E992" s="11" t="str">
        <f>HYPERLINK("https://twitter.com/c_iantosca/status/702072690136502272","702072690136502272")</f>
        <v>702072690136502272</v>
      </c>
      <c r="F992" s="12" t="s">
        <v>20</v>
      </c>
      <c r="G992" s="13">
        <v>1136.0</v>
      </c>
      <c r="H992" s="13">
        <v>4096.0</v>
      </c>
      <c r="I992" s="13">
        <v>1.0</v>
      </c>
      <c r="J992" s="13">
        <v>4.0</v>
      </c>
      <c r="K992" s="12" t="s">
        <v>21</v>
      </c>
      <c r="L992" s="7">
        <v>42330.14025462963</v>
      </c>
      <c r="M992" s="14" t="s">
        <v>8096</v>
      </c>
      <c r="N992" s="14" t="s">
        <v>8097</v>
      </c>
      <c r="O992" s="11" t="str">
        <f t="shared" ref="O992:O993" si="120">HYPERLINK("https://pbs.twimg.com/profile_images/668389812722900992/9wzAOLHg_normal.jpg","View")</f>
        <v>View</v>
      </c>
      <c r="P992" s="15"/>
    </row>
    <row r="993">
      <c r="A993" s="7">
        <v>42423.09008101852</v>
      </c>
      <c r="B993" s="8" t="str">
        <f t="shared" si="119"/>
        <v>@c_iantosca</v>
      </c>
      <c r="C993" s="10" t="s">
        <v>8094</v>
      </c>
      <c r="D993" s="10" t="s">
        <v>8098</v>
      </c>
      <c r="E993" s="11" t="str">
        <f>HYPERLINK("https://twitter.com/c_iantosca/status/702072840766492672","702072840766492672")</f>
        <v>702072840766492672</v>
      </c>
      <c r="F993" s="12" t="s">
        <v>20</v>
      </c>
      <c r="G993" s="13">
        <v>1136.0</v>
      </c>
      <c r="H993" s="13">
        <v>4096.0</v>
      </c>
      <c r="I993" s="13">
        <v>6.0</v>
      </c>
      <c r="J993" s="13">
        <v>9.0</v>
      </c>
      <c r="K993" s="12" t="s">
        <v>21</v>
      </c>
      <c r="L993" s="7">
        <v>42330.14025462963</v>
      </c>
      <c r="M993" s="14" t="s">
        <v>8096</v>
      </c>
      <c r="N993" s="14" t="s">
        <v>8097</v>
      </c>
      <c r="O993" s="11" t="str">
        <f t="shared" si="120"/>
        <v>View</v>
      </c>
      <c r="P993" s="15"/>
    </row>
    <row r="994">
      <c r="A994" s="7">
        <v>42423.0909837963</v>
      </c>
      <c r="B994" s="8" t="str">
        <f>HYPERLINK("https://twitter.com/earlconf","@earlconf")</f>
        <v>@earlconf</v>
      </c>
      <c r="C994" s="10" t="s">
        <v>7100</v>
      </c>
      <c r="D994" s="10" t="s">
        <v>8099</v>
      </c>
      <c r="E994" s="11" t="str">
        <f>HYPERLINK("https://twitter.com/earlconf/status/702073167729156096","702073167729156096")</f>
        <v>702073167729156096</v>
      </c>
      <c r="F994" s="12" t="s">
        <v>47</v>
      </c>
      <c r="G994" s="13">
        <v>1081.0</v>
      </c>
      <c r="H994" s="13">
        <v>2351.0</v>
      </c>
      <c r="I994" s="13">
        <v>0.0</v>
      </c>
      <c r="J994" s="13">
        <v>0.0</v>
      </c>
      <c r="K994" s="12" t="s">
        <v>21</v>
      </c>
      <c r="L994" s="7">
        <v>41677.49930555555</v>
      </c>
      <c r="M994" s="14" t="s">
        <v>7102</v>
      </c>
      <c r="N994" s="14" t="s">
        <v>7103</v>
      </c>
      <c r="O994" s="11" t="str">
        <f>HYPERLINK("https://pbs.twimg.com/profile_images/432298122203512833/YDXfWlI__normal.png","View")</f>
        <v>View</v>
      </c>
      <c r="P994" s="15"/>
    </row>
    <row r="995">
      <c r="A995" s="7">
        <v>42423.09103009259</v>
      </c>
      <c r="B995" s="8" t="str">
        <f>HYPERLINK("https://twitter.com/homeAIinfo","@homeAIinfo")</f>
        <v>@homeAIinfo</v>
      </c>
      <c r="C995" s="10" t="s">
        <v>36</v>
      </c>
      <c r="D995" s="10" t="s">
        <v>8100</v>
      </c>
      <c r="E995" s="11" t="str">
        <f>HYPERLINK("https://twitter.com/homeAIinfo/status/702073185487998976","702073185487998976")</f>
        <v>702073185487998976</v>
      </c>
      <c r="F995" s="12" t="s">
        <v>38</v>
      </c>
      <c r="G995" s="13">
        <v>52868.0</v>
      </c>
      <c r="H995" s="13">
        <v>1328.0</v>
      </c>
      <c r="I995" s="13">
        <v>6.0</v>
      </c>
      <c r="J995" s="13">
        <v>0.0</v>
      </c>
      <c r="K995" s="12" t="s">
        <v>21</v>
      </c>
      <c r="L995" s="7">
        <v>42133.34662037037</v>
      </c>
      <c r="M995" s="14" t="s">
        <v>39</v>
      </c>
      <c r="N995" s="14" t="s">
        <v>40</v>
      </c>
      <c r="O995" s="11" t="str">
        <f>HYPERLINK("https://pbs.twimg.com/profile_images/645650110374936580/-oQakt8x_normal.png","View")</f>
        <v>View</v>
      </c>
      <c r="P995" s="15"/>
    </row>
    <row r="996">
      <c r="A996" s="7">
        <v>42423.09190972222</v>
      </c>
      <c r="B996" s="8" t="str">
        <f>HYPERLINK("https://twitter.com/DataAnalyticss","@DataAnalyticss")</f>
        <v>@DataAnalyticss</v>
      </c>
      <c r="C996" s="10" t="s">
        <v>2467</v>
      </c>
      <c r="D996" s="10" t="s">
        <v>8100</v>
      </c>
      <c r="E996" s="11" t="str">
        <f>HYPERLINK("https://twitter.com/DataAnalyticss/status/702073501277097984","702073501277097984")</f>
        <v>702073501277097984</v>
      </c>
      <c r="F996" s="12" t="s">
        <v>38</v>
      </c>
      <c r="G996" s="13">
        <v>718.0</v>
      </c>
      <c r="H996" s="13">
        <v>456.0</v>
      </c>
      <c r="I996" s="13">
        <v>6.0</v>
      </c>
      <c r="J996" s="13">
        <v>0.0</v>
      </c>
      <c r="K996" s="12" t="s">
        <v>21</v>
      </c>
      <c r="L996" s="7">
        <v>41953.30762731482</v>
      </c>
      <c r="M996" s="16"/>
      <c r="N996" s="16"/>
      <c r="O996" s="11" t="str">
        <f>HYPERLINK("https://pbs.twimg.com/profile_images/532798437897412608/flHdPUCx_normal.png","View")</f>
        <v>View</v>
      </c>
      <c r="P996" s="15"/>
    </row>
    <row r="997">
      <c r="A997" s="7">
        <v>42423.09232638888</v>
      </c>
      <c r="B997" s="8" t="str">
        <f>HYPERLINK("https://twitter.com/c_iantosca","@c_iantosca")</f>
        <v>@c_iantosca</v>
      </c>
      <c r="C997" s="10" t="s">
        <v>8094</v>
      </c>
      <c r="D997" s="10" t="s">
        <v>8101</v>
      </c>
      <c r="E997" s="11" t="str">
        <f>HYPERLINK("https://twitter.com/c_iantosca/status/702073653991776256","702073653991776256")</f>
        <v>702073653991776256</v>
      </c>
      <c r="F997" s="12" t="s">
        <v>20</v>
      </c>
      <c r="G997" s="13">
        <v>1136.0</v>
      </c>
      <c r="H997" s="13">
        <v>4096.0</v>
      </c>
      <c r="I997" s="13">
        <v>2.0</v>
      </c>
      <c r="J997" s="13">
        <v>1.0</v>
      </c>
      <c r="K997" s="12" t="s">
        <v>21</v>
      </c>
      <c r="L997" s="7">
        <v>42330.14025462963</v>
      </c>
      <c r="M997" s="14" t="s">
        <v>8096</v>
      </c>
      <c r="N997" s="14" t="s">
        <v>8097</v>
      </c>
      <c r="O997" s="11" t="str">
        <f>HYPERLINK("https://pbs.twimg.com/profile_images/668389812722900992/9wzAOLHg_normal.jpg","View")</f>
        <v>View</v>
      </c>
      <c r="P997" s="15"/>
    </row>
    <row r="998">
      <c r="A998" s="7">
        <v>42423.092951388884</v>
      </c>
      <c r="B998" s="8" t="str">
        <f>HYPERLINK("https://twitter.com/CRANberriesFeed","@CRANberriesFeed")</f>
        <v>@CRANberriesFeed</v>
      </c>
      <c r="C998" s="10" t="s">
        <v>6282</v>
      </c>
      <c r="D998" s="10" t="s">
        <v>8102</v>
      </c>
      <c r="E998" s="11" t="str">
        <f>HYPERLINK("https://twitter.com/CRANberriesFeed/status/702073880953929729","702073880953929729")</f>
        <v>702073880953929729</v>
      </c>
      <c r="F998" s="12" t="s">
        <v>6284</v>
      </c>
      <c r="G998" s="13">
        <v>657.0</v>
      </c>
      <c r="H998" s="13">
        <v>0.0</v>
      </c>
      <c r="I998" s="13">
        <v>0.0</v>
      </c>
      <c r="J998" s="13">
        <v>0.0</v>
      </c>
      <c r="K998" s="12" t="s">
        <v>21</v>
      </c>
      <c r="L998" s="7">
        <v>40546.353425925925</v>
      </c>
      <c r="M998" s="14" t="s">
        <v>1158</v>
      </c>
      <c r="N998" s="16"/>
      <c r="O998" s="11" t="str">
        <f>HYPERLINK("https://pbs.twimg.com/profile_images/1222779560/cran1_normal.jpg","View")</f>
        <v>View</v>
      </c>
      <c r="P998" s="15"/>
    </row>
    <row r="999">
      <c r="A999" s="7">
        <v>42423.094930555555</v>
      </c>
      <c r="B999" s="8" t="str">
        <f>HYPERLINK("https://twitter.com/valuencedata","@valuencedata")</f>
        <v>@valuencedata</v>
      </c>
      <c r="C999" s="10" t="s">
        <v>8103</v>
      </c>
      <c r="D999" s="10" t="s">
        <v>8104</v>
      </c>
      <c r="E999" s="11" t="str">
        <f>HYPERLINK("https://twitter.com/valuencedata/status/702074598595162112","702074598595162112")</f>
        <v>702074598595162112</v>
      </c>
      <c r="F999" s="12" t="s">
        <v>20</v>
      </c>
      <c r="G999" s="13">
        <v>169.0</v>
      </c>
      <c r="H999" s="13">
        <v>257.0</v>
      </c>
      <c r="I999" s="13">
        <v>2.0</v>
      </c>
      <c r="J999" s="13">
        <v>0.0</v>
      </c>
      <c r="K999" s="12" t="s">
        <v>21</v>
      </c>
      <c r="L999" s="7">
        <v>42391.05329861111</v>
      </c>
      <c r="M999" s="16"/>
      <c r="N999" s="14" t="s">
        <v>8105</v>
      </c>
      <c r="O999" s="11" t="str">
        <f>HYPERLINK("https://pbs.twimg.com/profile_images/702083248428462082/0Mq5se3W_normal.png","View")</f>
        <v>View</v>
      </c>
      <c r="P999" s="15"/>
    </row>
    <row r="1000">
      <c r="A1000" s="7">
        <v>42423.096284722225</v>
      </c>
      <c r="B1000" s="8" t="str">
        <f>HYPERLINK("https://twitter.com/sinhrks","@sinhrks")</f>
        <v>@sinhrks</v>
      </c>
      <c r="C1000" s="10" t="s">
        <v>3108</v>
      </c>
      <c r="D1000" s="10" t="s">
        <v>7529</v>
      </c>
      <c r="E1000" s="11" t="str">
        <f>HYPERLINK("https://twitter.com/sinhrks/status/702075085780168705","702075085780168705")</f>
        <v>702075085780168705</v>
      </c>
      <c r="F1000" s="12" t="s">
        <v>52</v>
      </c>
      <c r="G1000" s="13">
        <v>755.0</v>
      </c>
      <c r="H1000" s="13">
        <v>388.0</v>
      </c>
      <c r="I1000" s="13">
        <v>5.0</v>
      </c>
      <c r="J1000" s="13">
        <v>0.0</v>
      </c>
      <c r="K1000" s="12" t="s">
        <v>21</v>
      </c>
      <c r="L1000" s="7">
        <v>39713.94915509259</v>
      </c>
      <c r="M1000" s="14" t="s">
        <v>3109</v>
      </c>
      <c r="N1000" s="14" t="s">
        <v>3110</v>
      </c>
      <c r="O1000" s="11" t="str">
        <f>HYPERLINK("https://pbs.twimg.com/profile_images/523300286975057920/Vy-Z9DPz_normal.jpeg","View")</f>
        <v>View</v>
      </c>
      <c r="P1000" s="15"/>
    </row>
    <row r="1001">
      <c r="A1001" s="7">
        <v>42423.096296296295</v>
      </c>
      <c r="B1001" s="8" t="str">
        <f>HYPERLINK("https://twitter.com/reshamas","@reshamas")</f>
        <v>@reshamas</v>
      </c>
      <c r="C1001" s="10" t="s">
        <v>8106</v>
      </c>
      <c r="D1001" s="10" t="s">
        <v>7913</v>
      </c>
      <c r="E1001" s="11" t="str">
        <f>HYPERLINK("https://twitter.com/reshamas/status/702075090972844032","702075090972844032")</f>
        <v>702075090972844032</v>
      </c>
      <c r="F1001" s="12" t="s">
        <v>52</v>
      </c>
      <c r="G1001" s="13">
        <v>1037.0</v>
      </c>
      <c r="H1001" s="13">
        <v>1345.0</v>
      </c>
      <c r="I1001" s="13">
        <v>18.0</v>
      </c>
      <c r="J1001" s="13">
        <v>0.0</v>
      </c>
      <c r="K1001" s="12" t="s">
        <v>21</v>
      </c>
      <c r="L1001" s="7">
        <v>39984.29628472222</v>
      </c>
      <c r="M1001" s="14" t="s">
        <v>1018</v>
      </c>
      <c r="N1001" s="14" t="s">
        <v>8107</v>
      </c>
      <c r="O1001" s="11" t="str">
        <f>HYPERLINK("https://pbs.twimg.com/profile_images/456589118030356480/rErfk6-5_normal.jpeg","View")</f>
        <v>View</v>
      </c>
      <c r="P1001" s="15"/>
    </row>
    <row r="1002">
      <c r="A1002" s="7">
        <v>42423.10046296296</v>
      </c>
      <c r="B1002" s="8" t="str">
        <f>HYPERLINK("https://twitter.com/PhilChiberre","@PhilChiberre")</f>
        <v>@PhilChiberre</v>
      </c>
      <c r="C1002" s="10" t="s">
        <v>8108</v>
      </c>
      <c r="D1002" s="10" t="s">
        <v>7814</v>
      </c>
      <c r="E1002" s="11" t="str">
        <f>HYPERLINK("https://twitter.com/PhilChiberre/status/702076601710858240","702076601710858240")</f>
        <v>702076601710858240</v>
      </c>
      <c r="F1002" s="12" t="s">
        <v>152</v>
      </c>
      <c r="G1002" s="13">
        <v>9.0</v>
      </c>
      <c r="H1002" s="13">
        <v>3.0</v>
      </c>
      <c r="I1002" s="13">
        <v>2.0</v>
      </c>
      <c r="J1002" s="13">
        <v>0.0</v>
      </c>
      <c r="K1002" s="12" t="s">
        <v>21</v>
      </c>
      <c r="L1002" s="7">
        <v>42387.39778935185</v>
      </c>
      <c r="M1002" s="16"/>
      <c r="N1002" s="14" t="s">
        <v>8109</v>
      </c>
      <c r="O1002" s="11" t="str">
        <f>HYPERLINK("https://pbs.twimg.com/profile_images/689139212646486020/acLdrZsP_normal.jpg","View")</f>
        <v>View</v>
      </c>
      <c r="P1002" s="15"/>
    </row>
    <row r="1003">
      <c r="A1003" s="7">
        <v>42423.10277777778</v>
      </c>
      <c r="B1003" s="8" t="str">
        <f>HYPERLINK("https://twitter.com/MangoTheCat","@MangoTheCat")</f>
        <v>@MangoTheCat</v>
      </c>
      <c r="C1003" s="10" t="s">
        <v>6321</v>
      </c>
      <c r="D1003" s="10" t="s">
        <v>8110</v>
      </c>
      <c r="E1003" s="11" t="str">
        <f>HYPERLINK("https://twitter.com/MangoTheCat/status/702077441095827456","702077441095827456")</f>
        <v>702077441095827456</v>
      </c>
      <c r="F1003" s="12" t="s">
        <v>47</v>
      </c>
      <c r="G1003" s="13">
        <v>2041.0</v>
      </c>
      <c r="H1003" s="13">
        <v>2855.0</v>
      </c>
      <c r="I1003" s="13">
        <v>0.0</v>
      </c>
      <c r="J1003" s="13">
        <v>3.0</v>
      </c>
      <c r="K1003" s="12" t="s">
        <v>21</v>
      </c>
      <c r="L1003" s="7">
        <v>39854.3178587963</v>
      </c>
      <c r="M1003" s="14" t="s">
        <v>6323</v>
      </c>
      <c r="N1003" s="14" t="s">
        <v>6324</v>
      </c>
      <c r="O1003" s="11" t="str">
        <f>HYPERLINK("https://pbs.twimg.com/profile_images/641183991077445633/V7VcBpJI_normal.png","View")</f>
        <v>View</v>
      </c>
      <c r="P1003" s="15"/>
    </row>
    <row r="1004">
      <c r="A1004" s="7">
        <v>42423.1030787037</v>
      </c>
      <c r="B1004" s="8" t="str">
        <f>HYPERLINK("https://twitter.com/thomasp85","@thomasp85")</f>
        <v>@thomasp85</v>
      </c>
      <c r="C1004" s="10" t="s">
        <v>7089</v>
      </c>
      <c r="D1004" s="10" t="s">
        <v>8111</v>
      </c>
      <c r="E1004" s="11" t="str">
        <f>HYPERLINK("https://twitter.com/thomasp85/status/702077548277186560","702077548277186560")</f>
        <v>702077548277186560</v>
      </c>
      <c r="F1004" s="12" t="s">
        <v>20</v>
      </c>
      <c r="G1004" s="13">
        <v>166.0</v>
      </c>
      <c r="H1004" s="13">
        <v>45.0</v>
      </c>
      <c r="I1004" s="13">
        <v>1.0</v>
      </c>
      <c r="J1004" s="13">
        <v>4.0</v>
      </c>
      <c r="K1004" s="12" t="s">
        <v>21</v>
      </c>
      <c r="L1004" s="7">
        <v>41078.1696875</v>
      </c>
      <c r="M1004" s="14" t="s">
        <v>7091</v>
      </c>
      <c r="N1004" s="14" t="s">
        <v>7092</v>
      </c>
      <c r="O1004" s="11" t="str">
        <f>HYPERLINK("https://pbs.twimg.com/profile_images/685178010962505728/m0D-Pvwg_normal.jpg","View")</f>
        <v>View</v>
      </c>
      <c r="P1004" s="15"/>
    </row>
    <row r="1005">
      <c r="A1005" s="7">
        <v>42423.10902777778</v>
      </c>
      <c r="B1005" s="8" t="str">
        <f t="shared" ref="B1005:B1006" si="121">HYPERLINK("https://twitter.com/MangoTheCat","@MangoTheCat")</f>
        <v>@MangoTheCat</v>
      </c>
      <c r="C1005" s="10" t="s">
        <v>6321</v>
      </c>
      <c r="D1005" s="10" t="s">
        <v>8112</v>
      </c>
      <c r="E1005" s="11" t="str">
        <f>HYPERLINK("https://twitter.com/MangoTheCat/status/702079707295064064","702079707295064064")</f>
        <v>702079707295064064</v>
      </c>
      <c r="F1005" s="12" t="s">
        <v>47</v>
      </c>
      <c r="G1005" s="13">
        <v>2041.0</v>
      </c>
      <c r="H1005" s="13">
        <v>2855.0</v>
      </c>
      <c r="I1005" s="13">
        <v>0.0</v>
      </c>
      <c r="J1005" s="13">
        <v>1.0</v>
      </c>
      <c r="K1005" s="12" t="s">
        <v>21</v>
      </c>
      <c r="L1005" s="7">
        <v>39854.3178587963</v>
      </c>
      <c r="M1005" s="14" t="s">
        <v>6323</v>
      </c>
      <c r="N1005" s="14" t="s">
        <v>6324</v>
      </c>
      <c r="O1005" s="11" t="str">
        <f t="shared" ref="O1005:O1006" si="122">HYPERLINK("https://pbs.twimg.com/profile_images/641183991077445633/V7VcBpJI_normal.png","View")</f>
        <v>View</v>
      </c>
      <c r="P1005" s="15"/>
    </row>
    <row r="1006">
      <c r="A1006" s="7">
        <v>42423.10903935185</v>
      </c>
      <c r="B1006" s="8" t="str">
        <f t="shared" si="121"/>
        <v>@MangoTheCat</v>
      </c>
      <c r="C1006" s="10" t="s">
        <v>6321</v>
      </c>
      <c r="D1006" s="10" t="s">
        <v>8113</v>
      </c>
      <c r="E1006" s="11" t="str">
        <f>HYPERLINK("https://twitter.com/MangoTheCat/status/702079711254450176","702079711254450176")</f>
        <v>702079711254450176</v>
      </c>
      <c r="F1006" s="12" t="s">
        <v>47</v>
      </c>
      <c r="G1006" s="13">
        <v>2041.0</v>
      </c>
      <c r="H1006" s="13">
        <v>2855.0</v>
      </c>
      <c r="I1006" s="13">
        <v>1.0</v>
      </c>
      <c r="J1006" s="13">
        <v>0.0</v>
      </c>
      <c r="K1006" s="12" t="s">
        <v>21</v>
      </c>
      <c r="L1006" s="7">
        <v>39854.3178587963</v>
      </c>
      <c r="M1006" s="14" t="s">
        <v>6323</v>
      </c>
      <c r="N1006" s="14" t="s">
        <v>6324</v>
      </c>
      <c r="O1006" s="11" t="str">
        <f t="shared" si="122"/>
        <v>View</v>
      </c>
      <c r="P1006" s="15"/>
    </row>
    <row r="1007">
      <c r="A1007" s="7">
        <v>42423.111342592594</v>
      </c>
      <c r="B1007" s="8" t="str">
        <f>HYPERLINK("https://twitter.com/csgillespie","@csgillespie")</f>
        <v>@csgillespie</v>
      </c>
      <c r="C1007" s="10" t="s">
        <v>8114</v>
      </c>
      <c r="D1007" s="10" t="s">
        <v>8115</v>
      </c>
      <c r="E1007" s="11" t="str">
        <f>HYPERLINK("https://twitter.com/csgillespie/status/702080542636949504","702080542636949504")</f>
        <v>702080542636949504</v>
      </c>
      <c r="F1007" s="12" t="s">
        <v>20</v>
      </c>
      <c r="G1007" s="13">
        <v>184.0</v>
      </c>
      <c r="H1007" s="13">
        <v>205.0</v>
      </c>
      <c r="I1007" s="13">
        <v>0.0</v>
      </c>
      <c r="J1007" s="13">
        <v>1.0</v>
      </c>
      <c r="K1007" s="12" t="s">
        <v>21</v>
      </c>
      <c r="L1007" s="7">
        <v>40006.61159722222</v>
      </c>
      <c r="M1007" s="14" t="s">
        <v>8116</v>
      </c>
      <c r="N1007" s="16"/>
      <c r="O1007" s="11" t="str">
        <f>HYPERLINK("https://pbs.twimg.com/profile_images/642263873/P8070026a_normal.JPG","View")</f>
        <v>View</v>
      </c>
      <c r="P1007" s="15"/>
    </row>
    <row r="1008">
      <c r="A1008" s="7">
        <v>42423.111817129626</v>
      </c>
      <c r="B1008" s="8" t="str">
        <f>HYPERLINK("https://twitter.com/earlconf","@earlconf")</f>
        <v>@earlconf</v>
      </c>
      <c r="C1008" s="10" t="s">
        <v>7100</v>
      </c>
      <c r="D1008" s="10" t="s">
        <v>8117</v>
      </c>
      <c r="E1008" s="11" t="str">
        <f>HYPERLINK("https://twitter.com/earlconf/status/702080715974844416","702080715974844416")</f>
        <v>702080715974844416</v>
      </c>
      <c r="F1008" s="12" t="s">
        <v>47</v>
      </c>
      <c r="G1008" s="13">
        <v>1081.0</v>
      </c>
      <c r="H1008" s="13">
        <v>2351.0</v>
      </c>
      <c r="I1008" s="13">
        <v>0.0</v>
      </c>
      <c r="J1008" s="13">
        <v>0.0</v>
      </c>
      <c r="K1008" s="12" t="s">
        <v>21</v>
      </c>
      <c r="L1008" s="7">
        <v>41677.49930555555</v>
      </c>
      <c r="M1008" s="14" t="s">
        <v>7102</v>
      </c>
      <c r="N1008" s="14" t="s">
        <v>7103</v>
      </c>
      <c r="O1008" s="11" t="str">
        <f>HYPERLINK("https://pbs.twimg.com/profile_images/432298122203512833/YDXfWlI__normal.png","View")</f>
        <v>View</v>
      </c>
      <c r="P1008" s="15"/>
    </row>
    <row r="1009">
      <c r="A1009" s="7">
        <v>42423.11224537037</v>
      </c>
      <c r="B1009" s="8" t="str">
        <f>HYPERLINK("https://twitter.com/kamromero","@kamromero")</f>
        <v>@kamromero</v>
      </c>
      <c r="C1009" s="10" t="s">
        <v>8118</v>
      </c>
      <c r="D1009" s="10" t="s">
        <v>8119</v>
      </c>
      <c r="E1009" s="11" t="str">
        <f>HYPERLINK("https://twitter.com/kamromero/status/702080872049147904","702080872049147904")</f>
        <v>702080872049147904</v>
      </c>
      <c r="F1009" s="12" t="s">
        <v>20</v>
      </c>
      <c r="G1009" s="13">
        <v>2174.0</v>
      </c>
      <c r="H1009" s="13">
        <v>1216.0</v>
      </c>
      <c r="I1009" s="13">
        <v>0.0</v>
      </c>
      <c r="J1009" s="13">
        <v>4.0</v>
      </c>
      <c r="K1009" s="12" t="s">
        <v>21</v>
      </c>
      <c r="L1009" s="7">
        <v>40177.70890046297</v>
      </c>
      <c r="M1009" s="14" t="s">
        <v>194</v>
      </c>
      <c r="N1009" s="14" t="s">
        <v>8120</v>
      </c>
      <c r="O1009" s="11" t="str">
        <f>HYPERLINK("https://pbs.twimg.com/profile_images/460840518440599552/Vdfjg8tJ_normal.png","View")</f>
        <v>View</v>
      </c>
      <c r="P1009" s="15"/>
    </row>
    <row r="1010">
      <c r="A1010" s="7">
        <v>42423.11809027778</v>
      </c>
      <c r="B1010" s="8" t="str">
        <f>HYPERLINK("https://twitter.com/ccwang002","@ccwang002")</f>
        <v>@ccwang002</v>
      </c>
      <c r="C1010" s="10" t="s">
        <v>8121</v>
      </c>
      <c r="D1010" s="10" t="s">
        <v>7352</v>
      </c>
      <c r="E1010" s="11" t="str">
        <f>HYPERLINK("https://twitter.com/ccwang002/status/702082990294175744","702082990294175744")</f>
        <v>702082990294175744</v>
      </c>
      <c r="F1010" s="12" t="s">
        <v>52</v>
      </c>
      <c r="G1010" s="13">
        <v>176.0</v>
      </c>
      <c r="H1010" s="13">
        <v>315.0</v>
      </c>
      <c r="I1010" s="13">
        <v>48.0</v>
      </c>
      <c r="J1010" s="13">
        <v>0.0</v>
      </c>
      <c r="K1010" s="12" t="s">
        <v>21</v>
      </c>
      <c r="L1010" s="7">
        <v>41180.14592592593</v>
      </c>
      <c r="M1010" s="14" t="s">
        <v>8122</v>
      </c>
      <c r="N1010" s="14" t="s">
        <v>8123</v>
      </c>
      <c r="O1010" s="11" t="str">
        <f>HYPERLINK("https://pbs.twimg.com/profile_images/679184573712896000/kZOMDlxp_normal.jpg","View")</f>
        <v>View</v>
      </c>
      <c r="P1010" s="15"/>
    </row>
    <row r="1011">
      <c r="A1011" s="7">
        <v>42423.121192129634</v>
      </c>
      <c r="B1011" s="8" t="str">
        <f>HYPERLINK("https://twitter.com/AdiePrestone","@AdiePrestone")</f>
        <v>@AdiePrestone</v>
      </c>
      <c r="C1011" s="10" t="s">
        <v>6542</v>
      </c>
      <c r="D1011" s="10" t="s">
        <v>7352</v>
      </c>
      <c r="E1011" s="11" t="str">
        <f>HYPERLINK("https://twitter.com/AdiePrestone/status/702084115932258304","702084115932258304")</f>
        <v>702084115932258304</v>
      </c>
      <c r="F1011" s="12" t="s">
        <v>446</v>
      </c>
      <c r="G1011" s="13">
        <v>473.0</v>
      </c>
      <c r="H1011" s="13">
        <v>376.0</v>
      </c>
      <c r="I1011" s="13">
        <v>48.0</v>
      </c>
      <c r="J1011" s="13">
        <v>0.0</v>
      </c>
      <c r="K1011" s="12" t="s">
        <v>21</v>
      </c>
      <c r="L1011" s="7">
        <v>40559.146527777775</v>
      </c>
      <c r="M1011" s="14" t="s">
        <v>6544</v>
      </c>
      <c r="N1011" s="14" t="s">
        <v>6545</v>
      </c>
      <c r="O1011" s="11" t="str">
        <f>HYPERLINK("https://pbs.twimg.com/profile_images/685318018793127936/9LH8YuIT_normal.jpg","View")</f>
        <v>View</v>
      </c>
      <c r="P1011" s="15"/>
    </row>
    <row r="1012">
      <c r="A1012" s="7">
        <v>42423.12217592592</v>
      </c>
      <c r="B1012" s="8" t="str">
        <f>HYPERLINK("https://twitter.com/BraisLY","@BraisLY")</f>
        <v>@BraisLY</v>
      </c>
      <c r="C1012" s="10" t="s">
        <v>8124</v>
      </c>
      <c r="D1012" s="10" t="s">
        <v>8052</v>
      </c>
      <c r="E1012" s="11" t="str">
        <f>HYPERLINK("https://twitter.com/BraisLY/status/702084469235306496","702084469235306496")</f>
        <v>702084469235306496</v>
      </c>
      <c r="F1012" s="12" t="s">
        <v>2063</v>
      </c>
      <c r="G1012" s="13">
        <v>211.0</v>
      </c>
      <c r="H1012" s="13">
        <v>351.0</v>
      </c>
      <c r="I1012" s="13">
        <v>4.0</v>
      </c>
      <c r="J1012" s="13">
        <v>0.0</v>
      </c>
      <c r="K1012" s="12" t="s">
        <v>21</v>
      </c>
      <c r="L1012" s="7">
        <v>40911.682592592595</v>
      </c>
      <c r="M1012" s="14" t="s">
        <v>8125</v>
      </c>
      <c r="N1012" s="14" t="s">
        <v>8126</v>
      </c>
      <c r="O1012" s="11" t="str">
        <f>HYPERLINK("https://pbs.twimg.com/profile_images/652426862669529089/RTQDvAkw_normal.jpg","View")</f>
        <v>View</v>
      </c>
      <c r="P1012" s="15"/>
    </row>
    <row r="1013">
      <c r="A1013" s="7">
        <v>42423.122662037036</v>
      </c>
      <c r="B1013" s="8" t="str">
        <f>HYPERLINK("https://twitter.com/teouchanalytics","@teouchanalytics")</f>
        <v>@teouchanalytics</v>
      </c>
      <c r="C1013" s="10" t="s">
        <v>8127</v>
      </c>
      <c r="D1013" s="10" t="s">
        <v>8128</v>
      </c>
      <c r="E1013" s="11" t="str">
        <f>HYPERLINK("https://twitter.com/teouchanalytics/status/702084646293483522","702084646293483522")</f>
        <v>702084646293483522</v>
      </c>
      <c r="F1013" s="17" t="s">
        <v>349</v>
      </c>
      <c r="G1013" s="13">
        <v>242.0</v>
      </c>
      <c r="H1013" s="13">
        <v>339.0</v>
      </c>
      <c r="I1013" s="13">
        <v>2.0</v>
      </c>
      <c r="J1013" s="13">
        <v>14.0</v>
      </c>
      <c r="K1013" s="12" t="s">
        <v>21</v>
      </c>
      <c r="L1013" s="7">
        <v>42380.696851851855</v>
      </c>
      <c r="M1013" s="14" t="s">
        <v>2913</v>
      </c>
      <c r="N1013" s="14" t="s">
        <v>8129</v>
      </c>
      <c r="O1013" s="11" t="str">
        <f>HYPERLINK("https://pbs.twimg.com/profile_images/686710663998091264/YxkX3uYh_normal.png","View")</f>
        <v>View</v>
      </c>
      <c r="P1013" s="15"/>
    </row>
    <row r="1014">
      <c r="A1014" s="7">
        <v>42423.12349537037</v>
      </c>
      <c r="B1014" s="8" t="str">
        <f>HYPERLINK("https://twitter.com/MatterOfStats","@MatterOfStats")</f>
        <v>@MatterOfStats</v>
      </c>
      <c r="C1014" s="10" t="s">
        <v>8130</v>
      </c>
      <c r="D1014" s="10" t="s">
        <v>8131</v>
      </c>
      <c r="E1014" s="11" t="str">
        <f>HYPERLINK("https://twitter.com/MatterOfStats/status/702084950137315328","702084950137315328")</f>
        <v>702084950137315328</v>
      </c>
      <c r="F1014" s="12" t="s">
        <v>20</v>
      </c>
      <c r="G1014" s="13">
        <v>373.0</v>
      </c>
      <c r="H1014" s="13">
        <v>176.0</v>
      </c>
      <c r="I1014" s="13">
        <v>2.0</v>
      </c>
      <c r="J1014" s="13">
        <v>0.0</v>
      </c>
      <c r="K1014" s="12" t="s">
        <v>21</v>
      </c>
      <c r="L1014" s="7">
        <v>40211.192708333336</v>
      </c>
      <c r="M1014" s="14" t="s">
        <v>451</v>
      </c>
      <c r="N1014" s="14" t="s">
        <v>8132</v>
      </c>
      <c r="O1014" s="11" t="str">
        <f>HYPERLINK("https://pbs.twimg.com/profile_images/696166373001527296/99seDXAu_normal.png","View")</f>
        <v>View</v>
      </c>
      <c r="P1014" s="15"/>
    </row>
    <row r="1015">
      <c r="A1015" s="7">
        <v>42423.126875</v>
      </c>
      <c r="B1015" s="8" t="str">
        <f>HYPERLINK("https://twitter.com/derm_mcm","@derm_mcm")</f>
        <v>@derm_mcm</v>
      </c>
      <c r="C1015" s="10" t="s">
        <v>8133</v>
      </c>
      <c r="D1015" s="10" t="s">
        <v>8134</v>
      </c>
      <c r="E1015" s="11" t="str">
        <f>HYPERLINK("https://twitter.com/derm_mcm/status/702086173783695360","702086173783695360")</f>
        <v>702086173783695360</v>
      </c>
      <c r="F1015" s="12" t="s">
        <v>20</v>
      </c>
      <c r="G1015" s="13">
        <v>433.0</v>
      </c>
      <c r="H1015" s="13">
        <v>517.0</v>
      </c>
      <c r="I1015" s="13">
        <v>0.0</v>
      </c>
      <c r="J1015" s="13">
        <v>0.0</v>
      </c>
      <c r="K1015" s="12" t="s">
        <v>21</v>
      </c>
      <c r="L1015" s="7">
        <v>40638.03759259259</v>
      </c>
      <c r="M1015" s="14" t="s">
        <v>8135</v>
      </c>
      <c r="N1015" s="14" t="s">
        <v>8136</v>
      </c>
      <c r="O1015" s="11" t="str">
        <f>HYPERLINK("https://pbs.twimg.com/profile_images/631024137344040960/UIDjg8zB_normal.jpg","View")</f>
        <v>View</v>
      </c>
      <c r="P1015" s="15"/>
    </row>
    <row r="1016">
      <c r="A1016" s="7">
        <v>42423.12722222222</v>
      </c>
      <c r="B1016" s="8" t="str">
        <f>HYPERLINK("https://twitter.com/v_agan","@v_agan")</f>
        <v>@v_agan</v>
      </c>
      <c r="C1016" s="10" t="s">
        <v>8137</v>
      </c>
      <c r="D1016" s="10" t="s">
        <v>7352</v>
      </c>
      <c r="E1016" s="11" t="str">
        <f>HYPERLINK("https://twitter.com/v_agan/status/702086300648738817","702086300648738817")</f>
        <v>702086300648738817</v>
      </c>
      <c r="F1016" s="12" t="s">
        <v>446</v>
      </c>
      <c r="G1016" s="13">
        <v>303.0</v>
      </c>
      <c r="H1016" s="13">
        <v>152.0</v>
      </c>
      <c r="I1016" s="13">
        <v>48.0</v>
      </c>
      <c r="J1016" s="13">
        <v>0.0</v>
      </c>
      <c r="K1016" s="12" t="s">
        <v>21</v>
      </c>
      <c r="L1016" s="7">
        <v>40694.10179398148</v>
      </c>
      <c r="M1016" s="14" t="s">
        <v>8138</v>
      </c>
      <c r="N1016" s="14" t="s">
        <v>8139</v>
      </c>
      <c r="O1016" s="11" t="str">
        <f>HYPERLINK("https://pbs.twimg.com/profile_images/696336893907177472/xD5DSobD_normal.jpg","View")</f>
        <v>View</v>
      </c>
      <c r="P1016" s="15"/>
    </row>
    <row r="1017">
      <c r="A1017" s="7">
        <v>42423.131018518514</v>
      </c>
      <c r="B1017" s="8" t="str">
        <f>HYPERLINK("https://twitter.com/adTominem","@adTominem")</f>
        <v>@adTominem</v>
      </c>
      <c r="C1017" s="10" t="s">
        <v>8140</v>
      </c>
      <c r="D1017" s="10" t="s">
        <v>8141</v>
      </c>
      <c r="E1017" s="11" t="str">
        <f>HYPERLINK("https://twitter.com/adTominem/status/702087675092852736","702087675092852736")</f>
        <v>702087675092852736</v>
      </c>
      <c r="F1017" s="12" t="s">
        <v>20</v>
      </c>
      <c r="G1017" s="13">
        <v>481.0</v>
      </c>
      <c r="H1017" s="13">
        <v>1977.0</v>
      </c>
      <c r="I1017" s="13">
        <v>0.0</v>
      </c>
      <c r="J1017" s="13">
        <v>1.0</v>
      </c>
      <c r="K1017" s="12" t="s">
        <v>21</v>
      </c>
      <c r="L1017" s="7">
        <v>40014.39230324074</v>
      </c>
      <c r="M1017" s="14" t="s">
        <v>489</v>
      </c>
      <c r="N1017" s="14" t="s">
        <v>8142</v>
      </c>
      <c r="O1017" s="11" t="str">
        <f>HYPERLINK("https://pbs.twimg.com/profile_images/674225403163209728/cWJpgB_r_normal.jpg","View")</f>
        <v>View</v>
      </c>
      <c r="P1017" s="15"/>
    </row>
    <row r="1018">
      <c r="A1018" s="7">
        <v>42423.13159722222</v>
      </c>
      <c r="B1018" s="8" t="str">
        <f>HYPERLINK("https://twitter.com/dselvan0v","@dselvan0v")</f>
        <v>@dselvan0v</v>
      </c>
      <c r="C1018" s="10" t="s">
        <v>8143</v>
      </c>
      <c r="D1018" s="10" t="s">
        <v>6419</v>
      </c>
      <c r="E1018" s="11" t="str">
        <f>HYPERLINK("https://twitter.com/dselvan0v/status/702087885424615424","702087885424615424")</f>
        <v>702087885424615424</v>
      </c>
      <c r="F1018" s="12" t="s">
        <v>20</v>
      </c>
      <c r="G1018" s="13">
        <v>35.0</v>
      </c>
      <c r="H1018" s="13">
        <v>93.0</v>
      </c>
      <c r="I1018" s="13">
        <v>33.0</v>
      </c>
      <c r="J1018" s="13">
        <v>0.0</v>
      </c>
      <c r="K1018" s="12" t="s">
        <v>21</v>
      </c>
      <c r="L1018" s="7">
        <v>42253.16945601851</v>
      </c>
      <c r="M1018" s="14" t="s">
        <v>4656</v>
      </c>
      <c r="N1018" s="14" t="s">
        <v>8144</v>
      </c>
      <c r="O1018" s="11" t="str">
        <f>HYPERLINK("https://pbs.twimg.com/profile_images/688966800286023681/8IHrkVU3_normal.jpg","View")</f>
        <v>View</v>
      </c>
      <c r="P1018" s="15"/>
    </row>
    <row r="1019">
      <c r="A1019" s="7">
        <v>42423.134606481486</v>
      </c>
      <c r="B1019" s="8" t="str">
        <f>HYPERLINK("https://twitter.com/eugeneteo","@eugeneteo")</f>
        <v>@eugeneteo</v>
      </c>
      <c r="C1019" s="10" t="s">
        <v>8145</v>
      </c>
      <c r="D1019" s="10" t="s">
        <v>8146</v>
      </c>
      <c r="E1019" s="11" t="str">
        <f>HYPERLINK("https://twitter.com/eugeneteo/status/702088977168224261","702088977168224261")</f>
        <v>702088977168224261</v>
      </c>
      <c r="F1019" s="12" t="s">
        <v>98</v>
      </c>
      <c r="G1019" s="13">
        <v>1712.0</v>
      </c>
      <c r="H1019" s="13">
        <v>274.0</v>
      </c>
      <c r="I1019" s="13">
        <v>0.0</v>
      </c>
      <c r="J1019" s="13">
        <v>0.0</v>
      </c>
      <c r="K1019" s="12" t="s">
        <v>21</v>
      </c>
      <c r="L1019" s="7">
        <v>39256.934375</v>
      </c>
      <c r="M1019" s="14" t="s">
        <v>3482</v>
      </c>
      <c r="N1019" s="14" t="s">
        <v>8147</v>
      </c>
      <c r="O1019" s="11" t="str">
        <f>HYPERLINK("https://pbs.twimg.com/profile_images/647405477337296898/jFBnGT7w_normal.png","View")</f>
        <v>View</v>
      </c>
      <c r="P1019" s="15"/>
    </row>
    <row r="1020">
      <c r="A1020" s="7">
        <v>42423.13520833333</v>
      </c>
      <c r="B1020" s="8" t="str">
        <f>HYPERLINK("https://twitter.com/DataAndDataViz","@DataAndDataViz")</f>
        <v>@DataAndDataViz</v>
      </c>
      <c r="C1020" s="10" t="s">
        <v>5145</v>
      </c>
      <c r="D1020" s="10" t="s">
        <v>7743</v>
      </c>
      <c r="E1020" s="11" t="str">
        <f>HYPERLINK("https://twitter.com/DataAndDataViz/status/702089195024740352","702089195024740352")</f>
        <v>702089195024740352</v>
      </c>
      <c r="F1020" s="12" t="s">
        <v>5146</v>
      </c>
      <c r="G1020" s="13">
        <v>473.0</v>
      </c>
      <c r="H1020" s="13">
        <v>140.0</v>
      </c>
      <c r="I1020" s="13">
        <v>5.0</v>
      </c>
      <c r="J1020" s="13">
        <v>0.0</v>
      </c>
      <c r="K1020" s="12" t="s">
        <v>21</v>
      </c>
      <c r="L1020" s="7">
        <v>41603.30427083334</v>
      </c>
      <c r="M1020" s="16"/>
      <c r="N1020" s="14" t="s">
        <v>5147</v>
      </c>
      <c r="O1020" s="11" t="str">
        <f>HYPERLINK("https://pbs.twimg.com/profile_images/412249095110008832/J_K4--iQ_normal.png","View")</f>
        <v>View</v>
      </c>
      <c r="P1020" s="15"/>
    </row>
    <row r="1021">
      <c r="A1021" s="7">
        <v>42423.136921296296</v>
      </c>
      <c r="B1021" s="8" t="str">
        <f>HYPERLINK("https://twitter.com/aworsleynz","@aworsleynz")</f>
        <v>@aworsleynz</v>
      </c>
      <c r="C1021" s="10" t="s">
        <v>8148</v>
      </c>
      <c r="D1021" s="10" t="s">
        <v>8149</v>
      </c>
      <c r="E1021" s="11" t="str">
        <f>HYPERLINK("https://twitter.com/aworsleynz/status/702089813420171264","702089813420171264")</f>
        <v>702089813420171264</v>
      </c>
      <c r="F1021" s="12" t="s">
        <v>152</v>
      </c>
      <c r="G1021" s="13">
        <v>76.0</v>
      </c>
      <c r="H1021" s="13">
        <v>126.0</v>
      </c>
      <c r="I1021" s="13">
        <v>3.0</v>
      </c>
      <c r="J1021" s="13">
        <v>6.0</v>
      </c>
      <c r="K1021" s="12" t="s">
        <v>21</v>
      </c>
      <c r="L1021" s="7">
        <v>42251.03300925926</v>
      </c>
      <c r="M1021" s="14" t="s">
        <v>312</v>
      </c>
      <c r="N1021" s="14" t="s">
        <v>8150</v>
      </c>
      <c r="O1021" s="11" t="str">
        <f>HYPERLINK("https://pbs.twimg.com/profile_images/639707867553992704/IjwZt_UB_normal.jpg","View")</f>
        <v>View</v>
      </c>
      <c r="P1021" s="15"/>
    </row>
    <row r="1022">
      <c r="A1022" s="7">
        <v>42423.13983796297</v>
      </c>
      <c r="B1022" s="8" t="str">
        <f>HYPERLINK("https://twitter.com/oscarperpinan","@oscarperpinan")</f>
        <v>@oscarperpinan</v>
      </c>
      <c r="C1022" s="10" t="s">
        <v>8151</v>
      </c>
      <c r="D1022" s="10" t="s">
        <v>8152</v>
      </c>
      <c r="E1022" s="11" t="str">
        <f>HYPERLINK("https://twitter.com/oscarperpinan/status/702090869877436416","702090869877436416")</f>
        <v>702090869877436416</v>
      </c>
      <c r="F1022" s="12" t="s">
        <v>20</v>
      </c>
      <c r="G1022" s="13">
        <v>309.0</v>
      </c>
      <c r="H1022" s="13">
        <v>442.0</v>
      </c>
      <c r="I1022" s="13">
        <v>1.0</v>
      </c>
      <c r="J1022" s="13">
        <v>0.0</v>
      </c>
      <c r="K1022" s="12" t="s">
        <v>21</v>
      </c>
      <c r="L1022" s="7">
        <v>40876.64357638889</v>
      </c>
      <c r="M1022" s="16"/>
      <c r="N1022" s="14" t="s">
        <v>8153</v>
      </c>
      <c r="O1022" s="11" t="str">
        <f>HYPERLINK("https://pbs.twimg.com/profile_images/378800000792919742/a39467a01cacc46d709040ac37419692_normal.jpeg","View")</f>
        <v>View</v>
      </c>
      <c r="P1022" s="15"/>
    </row>
    <row r="1023">
      <c r="A1023" s="7">
        <v>42423.141701388886</v>
      </c>
      <c r="B1023" s="8" t="str">
        <f>HYPERLINK("https://twitter.com/robjhyndman","@robjhyndman")</f>
        <v>@robjhyndman</v>
      </c>
      <c r="C1023" s="10" t="s">
        <v>8154</v>
      </c>
      <c r="D1023" s="10" t="s">
        <v>8155</v>
      </c>
      <c r="E1023" s="11" t="str">
        <f>HYPERLINK("https://twitter.com/robjhyndman/status/702091545537740800","702091545537740800")</f>
        <v>702091545537740800</v>
      </c>
      <c r="F1023" s="12" t="s">
        <v>20</v>
      </c>
      <c r="G1023" s="13">
        <v>4071.0</v>
      </c>
      <c r="H1023" s="13">
        <v>666.0</v>
      </c>
      <c r="I1023" s="13">
        <v>3.0</v>
      </c>
      <c r="J1023" s="13">
        <v>0.0</v>
      </c>
      <c r="K1023" s="12" t="s">
        <v>21</v>
      </c>
      <c r="L1023" s="7">
        <v>40534.62415509259</v>
      </c>
      <c r="M1023" s="14" t="s">
        <v>6790</v>
      </c>
      <c r="N1023" s="14" t="s">
        <v>8156</v>
      </c>
      <c r="O1023" s="11" t="str">
        <f>HYPERLINK("https://pbs.twimg.com/profile_images/378800000005926099/75ae8b24f9a0ee243434b23df2ce5ef4_normal.png","View")</f>
        <v>View</v>
      </c>
      <c r="P1023" s="15"/>
    </row>
    <row r="1024">
      <c r="A1024" s="7">
        <v>42423.1437037037</v>
      </c>
      <c r="B1024" s="8" t="str">
        <f>HYPERLINK("https://twitter.com/dnltsk","@dnltsk")</f>
        <v>@dnltsk</v>
      </c>
      <c r="C1024" s="10" t="s">
        <v>8157</v>
      </c>
      <c r="D1024" s="10" t="s">
        <v>8158</v>
      </c>
      <c r="E1024" s="11" t="str">
        <f>HYPERLINK("https://twitter.com/dnltsk/status/702092269826998272","702092269826998272")</f>
        <v>702092269826998272</v>
      </c>
      <c r="F1024" s="12" t="s">
        <v>20</v>
      </c>
      <c r="G1024" s="13">
        <v>28.0</v>
      </c>
      <c r="H1024" s="13">
        <v>84.0</v>
      </c>
      <c r="I1024" s="13">
        <v>1.0</v>
      </c>
      <c r="J1024" s="13">
        <v>3.0</v>
      </c>
      <c r="K1024" s="12" t="s">
        <v>21</v>
      </c>
      <c r="L1024" s="7">
        <v>42347.58278935185</v>
      </c>
      <c r="M1024" s="14" t="s">
        <v>4613</v>
      </c>
      <c r="N1024" s="14" t="s">
        <v>8159</v>
      </c>
      <c r="O1024" s="11" t="str">
        <f>HYPERLINK("https://pbs.twimg.com/profile_images/700777694133411843/8lkjV4ts_normal.jpg","View")</f>
        <v>View</v>
      </c>
      <c r="P1024" s="15"/>
    </row>
    <row r="1025">
      <c r="A1025" s="7">
        <v>42423.14734953704</v>
      </c>
      <c r="B1025" s="8" t="str">
        <f>HYPERLINK("https://twitter.com/thosjleeper","@thosjleeper")</f>
        <v>@thosjleeper</v>
      </c>
      <c r="C1025" s="10" t="s">
        <v>6598</v>
      </c>
      <c r="D1025" s="10" t="s">
        <v>8160</v>
      </c>
      <c r="E1025" s="11" t="str">
        <f>HYPERLINK("https://twitter.com/thosjleeper/status/702093594707025920","702093594707025920")</f>
        <v>702093594707025920</v>
      </c>
      <c r="F1025" s="12" t="s">
        <v>446</v>
      </c>
      <c r="G1025" s="13">
        <v>1594.0</v>
      </c>
      <c r="H1025" s="13">
        <v>1304.0</v>
      </c>
      <c r="I1025" s="13">
        <v>2.0</v>
      </c>
      <c r="J1025" s="13">
        <v>2.0</v>
      </c>
      <c r="K1025" s="12" t="s">
        <v>21</v>
      </c>
      <c r="L1025" s="7">
        <v>39689.60460648148</v>
      </c>
      <c r="M1025" s="14" t="s">
        <v>2034</v>
      </c>
      <c r="N1025" s="14" t="s">
        <v>6600</v>
      </c>
      <c r="O1025" s="11" t="str">
        <f>HYPERLINK("https://pbs.twimg.com/profile_images/702599433402322947/Rda4kptZ_normal.jpg","View")</f>
        <v>View</v>
      </c>
      <c r="P1025" s="15"/>
    </row>
    <row r="1026">
      <c r="A1026" s="7">
        <v>42423.14782407407</v>
      </c>
      <c r="B1026" s="8" t="str">
        <f>HYPERLINK("https://twitter.com/SiliconSkyGuy","@SiliconSkyGuy")</f>
        <v>@SiliconSkyGuy</v>
      </c>
      <c r="C1026" s="10" t="s">
        <v>8161</v>
      </c>
      <c r="D1026" s="10" t="s">
        <v>6470</v>
      </c>
      <c r="E1026" s="11" t="str">
        <f>HYPERLINK("https://twitter.com/SiliconSkyGuy/status/702093766476189696","702093766476189696")</f>
        <v>702093766476189696</v>
      </c>
      <c r="F1026" s="12" t="s">
        <v>1573</v>
      </c>
      <c r="G1026" s="13">
        <v>28.0</v>
      </c>
      <c r="H1026" s="13">
        <v>33.0</v>
      </c>
      <c r="I1026" s="13">
        <v>9.0</v>
      </c>
      <c r="J1026" s="13">
        <v>0.0</v>
      </c>
      <c r="K1026" s="12" t="s">
        <v>21</v>
      </c>
      <c r="L1026" s="7">
        <v>41857.903229166666</v>
      </c>
      <c r="M1026" s="14" t="s">
        <v>8162</v>
      </c>
      <c r="N1026" s="14" t="s">
        <v>8163</v>
      </c>
      <c r="O1026" s="11" t="str">
        <f>HYPERLINK("https://pbs.twimg.com/profile_images/497242309197836288/pGbQLqiE_normal.jpeg","View")</f>
        <v>View</v>
      </c>
      <c r="P1026" s="15"/>
    </row>
    <row r="1027">
      <c r="A1027" s="7">
        <v>42423.1500462963</v>
      </c>
      <c r="B1027" s="8" t="str">
        <f>HYPERLINK("https://twitter.com/Cataranea","@Cataranea")</f>
        <v>@Cataranea</v>
      </c>
      <c r="C1027" s="10" t="s">
        <v>7258</v>
      </c>
      <c r="D1027" s="10" t="s">
        <v>8164</v>
      </c>
      <c r="E1027" s="11" t="str">
        <f>HYPERLINK("https://twitter.com/Cataranea/status/702094568867688448","702094568867688448")</f>
        <v>702094568867688448</v>
      </c>
      <c r="F1027" s="12" t="s">
        <v>20</v>
      </c>
      <c r="G1027" s="13">
        <v>2561.0</v>
      </c>
      <c r="H1027" s="13">
        <v>752.0</v>
      </c>
      <c r="I1027" s="13">
        <v>1.0</v>
      </c>
      <c r="J1027" s="13">
        <v>0.0</v>
      </c>
      <c r="K1027" s="12" t="s">
        <v>21</v>
      </c>
      <c r="L1027" s="7">
        <v>41367.82241898148</v>
      </c>
      <c r="M1027" s="14" t="s">
        <v>5139</v>
      </c>
      <c r="N1027" s="14" t="s">
        <v>7260</v>
      </c>
      <c r="O1027" s="11" t="str">
        <f>HYPERLINK("https://pbs.twimg.com/profile_images/701396411796033536/gge6-6QG_normal.jpg","View")</f>
        <v>View</v>
      </c>
      <c r="P1027" s="15"/>
    </row>
    <row r="1028">
      <c r="A1028" s="7">
        <v>42423.15265046296</v>
      </c>
      <c r="B1028" s="8" t="str">
        <f>HYPERLINK("https://twitter.com/VMuraliKRaju","@VMuraliKRaju")</f>
        <v>@VMuraliKRaju</v>
      </c>
      <c r="C1028" s="10" t="s">
        <v>6481</v>
      </c>
      <c r="D1028" s="10" t="s">
        <v>8100</v>
      </c>
      <c r="E1028" s="11" t="str">
        <f>HYPERLINK("https://twitter.com/VMuraliKRaju/status/702095514209157121","702095514209157121")</f>
        <v>702095514209157121</v>
      </c>
      <c r="F1028" s="12" t="s">
        <v>152</v>
      </c>
      <c r="G1028" s="13">
        <v>81.0</v>
      </c>
      <c r="H1028" s="13">
        <v>305.0</v>
      </c>
      <c r="I1028" s="13">
        <v>6.0</v>
      </c>
      <c r="J1028" s="13">
        <v>0.0</v>
      </c>
      <c r="K1028" s="12" t="s">
        <v>21</v>
      </c>
      <c r="L1028" s="7">
        <v>41483.425462962965</v>
      </c>
      <c r="M1028" s="16"/>
      <c r="N1028" s="16"/>
      <c r="O1028" s="11" t="str">
        <f>HYPERLINK("https://abs.twimg.com/sticky/default_profile_images/default_profile_2_normal.png","View")</f>
        <v>View</v>
      </c>
      <c r="P1028" s="15"/>
    </row>
    <row r="1029">
      <c r="A1029" s="7">
        <v>42423.15293981481</v>
      </c>
      <c r="B1029" s="8" t="str">
        <f>HYPERLINK("https://twitter.com/yutannihilation","@yutannihilation")</f>
        <v>@yutannihilation</v>
      </c>
      <c r="C1029" s="10" t="s">
        <v>8165</v>
      </c>
      <c r="D1029" s="10" t="s">
        <v>7529</v>
      </c>
      <c r="E1029" s="11" t="str">
        <f>HYPERLINK("https://twitter.com/yutannihilation/status/702095620593422336","702095620593422336")</f>
        <v>702095620593422336</v>
      </c>
      <c r="F1029" s="12" t="s">
        <v>152</v>
      </c>
      <c r="G1029" s="13">
        <v>678.0</v>
      </c>
      <c r="H1029" s="13">
        <v>757.0</v>
      </c>
      <c r="I1029" s="13">
        <v>5.0</v>
      </c>
      <c r="J1029" s="13">
        <v>0.0</v>
      </c>
      <c r="K1029" s="12" t="s">
        <v>21</v>
      </c>
      <c r="L1029" s="7">
        <v>39865.23060185185</v>
      </c>
      <c r="M1029" s="14" t="s">
        <v>328</v>
      </c>
      <c r="N1029" s="14" t="s">
        <v>8166</v>
      </c>
      <c r="O1029" s="11" t="str">
        <f>HYPERLINK("https://pbs.twimg.com/profile_images/692351230991929344/HMNNQlNZ_normal.png","View")</f>
        <v>View</v>
      </c>
      <c r="P1029" s="15"/>
    </row>
    <row r="1030">
      <c r="A1030" s="7">
        <v>42423.15394675926</v>
      </c>
      <c r="B1030" s="8" t="str">
        <f>HYPERLINK("https://twitter.com/zhouzihao97","@zhouzihao97")</f>
        <v>@zhouzihao97</v>
      </c>
      <c r="C1030" s="10" t="s">
        <v>8167</v>
      </c>
      <c r="D1030" s="10" t="s">
        <v>8168</v>
      </c>
      <c r="E1030" s="11" t="str">
        <f>HYPERLINK("https://twitter.com/zhouzihao97/status/702095985502089218","702095985502089218")</f>
        <v>702095985502089218</v>
      </c>
      <c r="F1030" s="12" t="s">
        <v>1573</v>
      </c>
      <c r="G1030" s="13">
        <v>84.0</v>
      </c>
      <c r="H1030" s="13">
        <v>247.0</v>
      </c>
      <c r="I1030" s="13">
        <v>15.0</v>
      </c>
      <c r="J1030" s="13">
        <v>0.0</v>
      </c>
      <c r="K1030" s="12" t="s">
        <v>21</v>
      </c>
      <c r="L1030" s="7">
        <v>42399.35974537037</v>
      </c>
      <c r="M1030" s="14" t="s">
        <v>8169</v>
      </c>
      <c r="N1030" s="14" t="s">
        <v>8170</v>
      </c>
      <c r="O1030" s="11" t="str">
        <f>HYPERLINK("https://pbs.twimg.com/profile_images/701357305971879936/MECRjBDY_normal.jpg","View")</f>
        <v>View</v>
      </c>
      <c r="P1030" s="15"/>
    </row>
    <row r="1031">
      <c r="A1031" s="7">
        <v>42423.154178240744</v>
      </c>
      <c r="B1031" s="8" t="str">
        <f>HYPERLINK("https://twitter.com/Soccermetric","@Soccermetric")</f>
        <v>@Soccermetric</v>
      </c>
      <c r="C1031" s="10" t="s">
        <v>8171</v>
      </c>
      <c r="D1031" s="10" t="s">
        <v>8131</v>
      </c>
      <c r="E1031" s="11" t="str">
        <f>HYPERLINK("https://twitter.com/Soccermetric/status/702096066368430080","702096066368430080")</f>
        <v>702096066368430080</v>
      </c>
      <c r="F1031" s="12" t="s">
        <v>446</v>
      </c>
      <c r="G1031" s="13">
        <v>2245.0</v>
      </c>
      <c r="H1031" s="13">
        <v>397.0</v>
      </c>
      <c r="I1031" s="13">
        <v>2.0</v>
      </c>
      <c r="J1031" s="13">
        <v>0.0</v>
      </c>
      <c r="K1031" s="12" t="s">
        <v>21</v>
      </c>
      <c r="L1031" s="7">
        <v>40789.3022337963</v>
      </c>
      <c r="M1031" s="16"/>
      <c r="N1031" s="14" t="s">
        <v>8172</v>
      </c>
      <c r="O1031" s="11" t="str">
        <f>HYPERLINK("https://pbs.twimg.com/profile_images/510235992091918337/SYHHeJnz_normal.jpeg","View")</f>
        <v>View</v>
      </c>
      <c r="P1031" s="15"/>
    </row>
    <row r="1032">
      <c r="A1032" s="7">
        <v>42423.15418981481</v>
      </c>
      <c r="B1032" s="8" t="str">
        <f>HYPERLINK("https://twitter.com/MariaTerolCla","@MariaTerolCla")</f>
        <v>@MariaTerolCla</v>
      </c>
      <c r="C1032" s="10" t="s">
        <v>8173</v>
      </c>
      <c r="D1032" s="10" t="s">
        <v>8174</v>
      </c>
      <c r="E1032" s="11" t="str">
        <f>HYPERLINK("https://twitter.com/MariaTerolCla/status/702096070894080001","702096070894080001")</f>
        <v>702096070894080001</v>
      </c>
      <c r="F1032" s="12" t="s">
        <v>152</v>
      </c>
      <c r="G1032" s="13">
        <v>289.0</v>
      </c>
      <c r="H1032" s="13">
        <v>400.0</v>
      </c>
      <c r="I1032" s="13">
        <v>1.0</v>
      </c>
      <c r="J1032" s="13">
        <v>0.0</v>
      </c>
      <c r="K1032" s="12" t="s">
        <v>21</v>
      </c>
      <c r="L1032" s="7">
        <v>41602.33122685185</v>
      </c>
      <c r="M1032" s="16"/>
      <c r="N1032" s="14" t="s">
        <v>8175</v>
      </c>
      <c r="O1032" s="11" t="str">
        <f>HYPERLINK("https://pbs.twimg.com/profile_images/675703633074397184/KgWRHRVD_normal.jpg","View")</f>
        <v>View</v>
      </c>
      <c r="P1032" s="15"/>
    </row>
    <row r="1033">
      <c r="A1033" s="7">
        <v>42423.15746527778</v>
      </c>
      <c r="B1033" s="8" t="str">
        <f>HYPERLINK("https://twitter.com/thw_ch","@thw_ch")</f>
        <v>@thw_ch</v>
      </c>
      <c r="C1033" s="10" t="s">
        <v>8176</v>
      </c>
      <c r="D1033" s="10" t="s">
        <v>8177</v>
      </c>
      <c r="E1033" s="11" t="str">
        <f>HYPERLINK("https://twitter.com/thw_ch/status/702097257022275584","702097257022275584")</f>
        <v>702097257022275584</v>
      </c>
      <c r="F1033" s="12" t="s">
        <v>20</v>
      </c>
      <c r="G1033" s="13">
        <v>276.0</v>
      </c>
      <c r="H1033" s="13">
        <v>425.0</v>
      </c>
      <c r="I1033" s="13">
        <v>2.0</v>
      </c>
      <c r="J1033" s="13">
        <v>0.0</v>
      </c>
      <c r="K1033" s="12" t="s">
        <v>21</v>
      </c>
      <c r="L1033" s="7">
        <v>41662.004699074074</v>
      </c>
      <c r="M1033" s="16"/>
      <c r="N1033" s="14" t="s">
        <v>8178</v>
      </c>
      <c r="O1033" s="11" t="str">
        <f>HYPERLINK("https://pbs.twimg.com/profile_images/426277834261155840/zr95Y_v2_normal.jpeg","View")</f>
        <v>View</v>
      </c>
      <c r="P1033" s="15"/>
    </row>
    <row r="1034">
      <c r="A1034" s="7">
        <v>42423.15899305556</v>
      </c>
      <c r="B1034" s="8" t="str">
        <f>HYPERLINK("https://twitter.com/noticiasSobreR","@noticiasSobreR")</f>
        <v>@noticiasSobreR</v>
      </c>
      <c r="C1034" s="10" t="s">
        <v>8179</v>
      </c>
      <c r="D1034" s="10" t="s">
        <v>8180</v>
      </c>
      <c r="E1034" s="11" t="str">
        <f>HYPERLINK("https://twitter.com/noticiasSobreR/status/702097812192944128","702097812192944128")</f>
        <v>702097812192944128</v>
      </c>
      <c r="F1034" s="12" t="s">
        <v>1961</v>
      </c>
      <c r="G1034" s="13">
        <v>148.0</v>
      </c>
      <c r="H1034" s="13">
        <v>1.0</v>
      </c>
      <c r="I1034" s="13">
        <v>0.0</v>
      </c>
      <c r="J1034" s="13">
        <v>0.0</v>
      </c>
      <c r="K1034" s="12" t="s">
        <v>21</v>
      </c>
      <c r="L1034" s="7">
        <v>40590.68494212963</v>
      </c>
      <c r="M1034" s="16"/>
      <c r="N1034" s="16"/>
      <c r="O1034" s="11" t="str">
        <f>HYPERLINK("https://abs.twimg.com/sticky/default_profile_images/default_profile_3_normal.png","View")</f>
        <v>View</v>
      </c>
      <c r="P1034" s="15"/>
    </row>
    <row r="1035">
      <c r="A1035" s="7">
        <v>42423.16384259259</v>
      </c>
      <c r="B1035" s="8" t="str">
        <f>HYPERLINK("https://twitter.com/ChengSoonOng","@ChengSoonOng")</f>
        <v>@ChengSoonOng</v>
      </c>
      <c r="C1035" s="10" t="s">
        <v>8181</v>
      </c>
      <c r="D1035" s="10" t="s">
        <v>7734</v>
      </c>
      <c r="E1035" s="11" t="str">
        <f>HYPERLINK("https://twitter.com/ChengSoonOng/status/702099568050180096","702099568050180096")</f>
        <v>702099568050180096</v>
      </c>
      <c r="F1035" s="12" t="s">
        <v>8182</v>
      </c>
      <c r="G1035" s="13">
        <v>244.0</v>
      </c>
      <c r="H1035" s="13">
        <v>309.0</v>
      </c>
      <c r="I1035" s="13">
        <v>6.0</v>
      </c>
      <c r="J1035" s="13">
        <v>0.0</v>
      </c>
      <c r="K1035" s="12" t="s">
        <v>21</v>
      </c>
      <c r="L1035" s="7">
        <v>41577.20685185185</v>
      </c>
      <c r="M1035" s="14" t="s">
        <v>5596</v>
      </c>
      <c r="N1035" s="14" t="s">
        <v>8183</v>
      </c>
      <c r="O1035" s="11" t="str">
        <f>HYPERLINK("https://pbs.twimg.com/profile_images/378800000668979300/5be06c7465b26cbbf883cff34ecc78bd_normal.png","View")</f>
        <v>View</v>
      </c>
      <c r="P1035" s="15"/>
    </row>
    <row r="1036">
      <c r="A1036" s="7">
        <v>42423.16469907407</v>
      </c>
      <c r="B1036" s="8" t="str">
        <f>HYPERLINK("https://twitter.com/techilatech","@techilatech")</f>
        <v>@techilatech</v>
      </c>
      <c r="C1036" s="10" t="s">
        <v>8184</v>
      </c>
      <c r="D1036" s="10" t="s">
        <v>8185</v>
      </c>
      <c r="E1036" s="11" t="str">
        <f>HYPERLINK("https://twitter.com/techilatech/status/702099880295186433","702099880295186433")</f>
        <v>702099880295186433</v>
      </c>
      <c r="F1036" s="12" t="s">
        <v>20</v>
      </c>
      <c r="G1036" s="13">
        <v>92.0</v>
      </c>
      <c r="H1036" s="13">
        <v>98.0</v>
      </c>
      <c r="I1036" s="13">
        <v>1.0</v>
      </c>
      <c r="J1036" s="13">
        <v>3.0</v>
      </c>
      <c r="K1036" s="12" t="s">
        <v>21</v>
      </c>
      <c r="L1036" s="7">
        <v>40571.08074074074</v>
      </c>
      <c r="M1036" s="16"/>
      <c r="N1036" s="14" t="s">
        <v>8186</v>
      </c>
      <c r="O1036" s="11" t="str">
        <f>HYPERLINK("https://pbs.twimg.com/profile_images/1228007814/techila_symbol_normal.jpg","View")</f>
        <v>View</v>
      </c>
      <c r="P1036" s="15"/>
    </row>
    <row r="1037">
      <c r="A1037" s="7">
        <v>42423.168969907405</v>
      </c>
      <c r="B1037" s="8" t="str">
        <f>HYPERLINK("https://twitter.com/datiobdEng","@datiobdEng")</f>
        <v>@datiobdEng</v>
      </c>
      <c r="C1037" s="10" t="s">
        <v>8187</v>
      </c>
      <c r="D1037" s="10" t="s">
        <v>8188</v>
      </c>
      <c r="E1037" s="11" t="str">
        <f>HYPERLINK("https://twitter.com/datiobdEng/status/702101426709917697","702101426709917697")</f>
        <v>702101426709917697</v>
      </c>
      <c r="F1037" s="12" t="s">
        <v>659</v>
      </c>
      <c r="G1037" s="13">
        <v>2053.0</v>
      </c>
      <c r="H1037" s="13">
        <v>938.0</v>
      </c>
      <c r="I1037" s="13">
        <v>0.0</v>
      </c>
      <c r="J1037" s="13">
        <v>1.0</v>
      </c>
      <c r="K1037" s="12" t="s">
        <v>21</v>
      </c>
      <c r="L1037" s="7">
        <v>41932.168599537035</v>
      </c>
      <c r="M1037" s="14" t="s">
        <v>5886</v>
      </c>
      <c r="N1037" s="14" t="s">
        <v>8189</v>
      </c>
      <c r="O1037" s="11" t="str">
        <f>HYPERLINK("https://pbs.twimg.com/profile_images/652130886721372160/mFFnmhJl_normal.png","View")</f>
        <v>View</v>
      </c>
      <c r="P1037" s="15"/>
    </row>
    <row r="1038">
      <c r="A1038" s="7">
        <v>42423.170625</v>
      </c>
      <c r="B1038" s="8" t="str">
        <f>HYPERLINK("https://twitter.com/cartesianfaith","@cartesianfaith")</f>
        <v>@cartesianfaith</v>
      </c>
      <c r="C1038" s="10" t="s">
        <v>8190</v>
      </c>
      <c r="D1038" s="10" t="s">
        <v>8191</v>
      </c>
      <c r="E1038" s="11" t="str">
        <f>HYPERLINK("https://twitter.com/cartesianfaith/status/702102028445732864","702102028445732864")</f>
        <v>702102028445732864</v>
      </c>
      <c r="F1038" s="12" t="s">
        <v>152</v>
      </c>
      <c r="G1038" s="13">
        <v>355.0</v>
      </c>
      <c r="H1038" s="13">
        <v>568.0</v>
      </c>
      <c r="I1038" s="13">
        <v>2.0</v>
      </c>
      <c r="J1038" s="13">
        <v>0.0</v>
      </c>
      <c r="K1038" s="12" t="s">
        <v>21</v>
      </c>
      <c r="L1038" s="7">
        <v>39696.37836805556</v>
      </c>
      <c r="M1038" s="14" t="s">
        <v>1018</v>
      </c>
      <c r="N1038" s="14" t="s">
        <v>8192</v>
      </c>
      <c r="O1038" s="11" t="str">
        <f>HYPERLINK("https://pbs.twimg.com/profile_images/439165679602647040/f6VDw3GJ_normal.jpeg","View")</f>
        <v>View</v>
      </c>
      <c r="P1038" s="15"/>
    </row>
    <row r="1039">
      <c r="A1039" s="7">
        <v>42423.17104166667</v>
      </c>
      <c r="B1039" s="8" t="str">
        <f>HYPERLINK("https://twitter.com/atiretoo","@atiretoo")</f>
        <v>@atiretoo</v>
      </c>
      <c r="C1039" s="10" t="s">
        <v>8193</v>
      </c>
      <c r="D1039" s="10" t="s">
        <v>7906</v>
      </c>
      <c r="E1039" s="11" t="str">
        <f>HYPERLINK("https://twitter.com/atiretoo/status/702102180325490689","702102180325490689")</f>
        <v>702102180325490689</v>
      </c>
      <c r="F1039" s="12" t="s">
        <v>52</v>
      </c>
      <c r="G1039" s="13">
        <v>77.0</v>
      </c>
      <c r="H1039" s="13">
        <v>172.0</v>
      </c>
      <c r="I1039" s="13">
        <v>8.0</v>
      </c>
      <c r="J1039" s="13">
        <v>0.0</v>
      </c>
      <c r="K1039" s="12" t="s">
        <v>21</v>
      </c>
      <c r="L1039" s="7">
        <v>39794.534363425926</v>
      </c>
      <c r="M1039" s="14" t="s">
        <v>8194</v>
      </c>
      <c r="N1039" s="14" t="s">
        <v>8195</v>
      </c>
      <c r="O1039" s="11" t="str">
        <f>HYPERLINK("https://pbs.twimg.com/profile_images/591269568506531840/Xk6GaBN0_normal.jpg","View")</f>
        <v>View</v>
      </c>
      <c r="P1039" s="15"/>
    </row>
    <row r="1040">
      <c r="A1040" s="7">
        <v>42423.171747685185</v>
      </c>
      <c r="B1040" s="8" t="str">
        <f>HYPERLINK("https://twitter.com/cartocalypse","@cartocalypse")</f>
        <v>@cartocalypse</v>
      </c>
      <c r="C1040" s="10" t="s">
        <v>8196</v>
      </c>
      <c r="D1040" s="10" t="s">
        <v>8197</v>
      </c>
      <c r="E1040" s="11" t="str">
        <f>HYPERLINK("https://twitter.com/cartocalypse/status/702102436606046208","702102436606046208")</f>
        <v>702102436606046208</v>
      </c>
      <c r="F1040" s="12" t="s">
        <v>20</v>
      </c>
      <c r="G1040" s="13">
        <v>402.0</v>
      </c>
      <c r="H1040" s="13">
        <v>262.0</v>
      </c>
      <c r="I1040" s="13">
        <v>1.0</v>
      </c>
      <c r="J1040" s="13">
        <v>0.0</v>
      </c>
      <c r="K1040" s="12" t="s">
        <v>21</v>
      </c>
      <c r="L1040" s="7">
        <v>41515.47431712963</v>
      </c>
      <c r="M1040" s="14" t="s">
        <v>8198</v>
      </c>
      <c r="N1040" s="14" t="s">
        <v>8199</v>
      </c>
      <c r="O1040" s="11" t="str">
        <f>HYPERLINK("https://pbs.twimg.com/profile_images/664916161461624833/98OgXjT2_normal.jpg","View")</f>
        <v>View</v>
      </c>
      <c r="P1040" s="15"/>
    </row>
    <row r="1041">
      <c r="A1041" s="7">
        <v>42423.17209490741</v>
      </c>
      <c r="B1041" s="8" t="str">
        <f>HYPERLINK("https://twitter.com/HanleyOpik","@HanleyOpik")</f>
        <v>@HanleyOpik</v>
      </c>
      <c r="C1041" s="10" t="s">
        <v>8200</v>
      </c>
      <c r="D1041" s="10" t="s">
        <v>8024</v>
      </c>
      <c r="E1041" s="11" t="str">
        <f>HYPERLINK("https://twitter.com/HanleyOpik/status/702102558450577410","702102558450577410")</f>
        <v>702102558450577410</v>
      </c>
      <c r="F1041" s="12" t="s">
        <v>446</v>
      </c>
      <c r="G1041" s="13">
        <v>19.0</v>
      </c>
      <c r="H1041" s="13">
        <v>44.0</v>
      </c>
      <c r="I1041" s="13">
        <v>7.0</v>
      </c>
      <c r="J1041" s="13">
        <v>0.0</v>
      </c>
      <c r="K1041" s="12" t="s">
        <v>21</v>
      </c>
      <c r="L1041" s="7">
        <v>42346.244374999995</v>
      </c>
      <c r="M1041" s="14" t="s">
        <v>8201</v>
      </c>
      <c r="N1041" s="14" t="s">
        <v>8202</v>
      </c>
      <c r="O1041" s="11" t="str">
        <f>HYPERLINK("https://pbs.twimg.com/profile_images/703216020220149760/fch6l3NM_normal.jpg","View")</f>
        <v>View</v>
      </c>
      <c r="P1041" s="15"/>
    </row>
    <row r="1042">
      <c r="A1042" s="7">
        <v>42423.17209490741</v>
      </c>
      <c r="B1042" s="8" t="str">
        <f>HYPERLINK("https://twitter.com/WildSheffield","@WildSheffield")</f>
        <v>@WildSheffield</v>
      </c>
      <c r="C1042" s="10" t="s">
        <v>8203</v>
      </c>
      <c r="D1042" s="10" t="s">
        <v>8024</v>
      </c>
      <c r="E1042" s="11" t="str">
        <f>HYPERLINK("https://twitter.com/WildSheffield/status/702102558530281472","702102558530281472")</f>
        <v>702102558530281472</v>
      </c>
      <c r="F1042" s="12" t="s">
        <v>446</v>
      </c>
      <c r="G1042" s="13">
        <v>4963.0</v>
      </c>
      <c r="H1042" s="13">
        <v>965.0</v>
      </c>
      <c r="I1042" s="13">
        <v>7.0</v>
      </c>
      <c r="J1042" s="13">
        <v>0.0</v>
      </c>
      <c r="K1042" s="12" t="s">
        <v>21</v>
      </c>
      <c r="L1042" s="7">
        <v>40450.05690972222</v>
      </c>
      <c r="M1042" s="14" t="s">
        <v>8204</v>
      </c>
      <c r="N1042" s="14" t="s">
        <v>8205</v>
      </c>
      <c r="O1042" s="11" t="str">
        <f>HYPERLINK("https://pbs.twimg.com/profile_images/1252225731/SWT_RotherhamTwitter_normal.jpg","View")</f>
        <v>View</v>
      </c>
      <c r="P1042" s="15"/>
    </row>
    <row r="1043">
      <c r="A1043" s="7">
        <v>42423.17613425926</v>
      </c>
      <c r="B1043" s="8" t="str">
        <f>HYPERLINK("https://twitter.com/CRANberriesFeed","@CRANberriesFeed")</f>
        <v>@CRANberriesFeed</v>
      </c>
      <c r="C1043" s="10" t="s">
        <v>6282</v>
      </c>
      <c r="D1043" s="10" t="s">
        <v>8206</v>
      </c>
      <c r="E1043" s="11" t="str">
        <f>HYPERLINK("https://twitter.com/CRANberriesFeed/status/702104023692926976","702104023692926976")</f>
        <v>702104023692926976</v>
      </c>
      <c r="F1043" s="12" t="s">
        <v>6284</v>
      </c>
      <c r="G1043" s="13">
        <v>657.0</v>
      </c>
      <c r="H1043" s="13">
        <v>0.0</v>
      </c>
      <c r="I1043" s="13">
        <v>0.0</v>
      </c>
      <c r="J1043" s="13">
        <v>0.0</v>
      </c>
      <c r="K1043" s="12" t="s">
        <v>21</v>
      </c>
      <c r="L1043" s="7">
        <v>40546.353425925925</v>
      </c>
      <c r="M1043" s="14" t="s">
        <v>1158</v>
      </c>
      <c r="N1043" s="16"/>
      <c r="O1043" s="11" t="str">
        <f>HYPERLINK("https://pbs.twimg.com/profile_images/1222779560/cran1_normal.jpg","View")</f>
        <v>View</v>
      </c>
      <c r="P1043" s="15"/>
    </row>
    <row r="1044">
      <c r="A1044" s="7">
        <v>42423.17622685185</v>
      </c>
      <c r="B1044" s="8" t="str">
        <f>HYPERLINK("https://twitter.com/TeppoTammisto","@TeppoTammisto")</f>
        <v>@TeppoTammisto</v>
      </c>
      <c r="C1044" s="10" t="s">
        <v>8068</v>
      </c>
      <c r="D1044" s="10" t="s">
        <v>8207</v>
      </c>
      <c r="E1044" s="11" t="str">
        <f>HYPERLINK("https://twitter.com/TeppoTammisto/status/702104056316219392","702104056316219392")</f>
        <v>702104056316219392</v>
      </c>
      <c r="F1044" s="12" t="s">
        <v>20</v>
      </c>
      <c r="G1044" s="13">
        <v>382.0</v>
      </c>
      <c r="H1044" s="13">
        <v>1830.0</v>
      </c>
      <c r="I1044" s="13">
        <v>1.0</v>
      </c>
      <c r="J1044" s="13">
        <v>0.0</v>
      </c>
      <c r="K1044" s="12" t="s">
        <v>21</v>
      </c>
      <c r="L1044" s="7">
        <v>41351.315046296295</v>
      </c>
      <c r="M1044" s="14" t="s">
        <v>180</v>
      </c>
      <c r="N1044" s="14" t="s">
        <v>8070</v>
      </c>
      <c r="O1044" s="11" t="str">
        <f>HYPERLINK("https://pbs.twimg.com/profile_images/601032786233991169/9qzqHUlS_normal.png","View")</f>
        <v>View</v>
      </c>
      <c r="P1044" s="15"/>
    </row>
    <row r="1045">
      <c r="A1045" s="7">
        <v>42423.1779050926</v>
      </c>
      <c r="B1045" s="8" t="str">
        <f>HYPERLINK("https://twitter.com/hrbrmstr","@hrbrmstr")</f>
        <v>@hrbrmstr</v>
      </c>
      <c r="C1045" s="10" t="s">
        <v>7276</v>
      </c>
      <c r="D1045" s="10" t="s">
        <v>8177</v>
      </c>
      <c r="E1045" s="11" t="str">
        <f>HYPERLINK("https://twitter.com/hrbrmstr/status/702104665949925377","702104665949925377")</f>
        <v>702104665949925377</v>
      </c>
      <c r="F1045" s="12" t="s">
        <v>20</v>
      </c>
      <c r="G1045" s="13">
        <v>6135.0</v>
      </c>
      <c r="H1045" s="13">
        <v>2926.0</v>
      </c>
      <c r="I1045" s="13">
        <v>2.0</v>
      </c>
      <c r="J1045" s="13">
        <v>0.0</v>
      </c>
      <c r="K1045" s="12" t="s">
        <v>21</v>
      </c>
      <c r="L1045" s="7">
        <v>39203.29472222222</v>
      </c>
      <c r="M1045" s="14" t="s">
        <v>7278</v>
      </c>
      <c r="N1045" s="14" t="s">
        <v>7279</v>
      </c>
      <c r="O1045" s="11" t="str">
        <f>HYPERLINK("https://pbs.twimg.com/profile_images/557592259298729985/kpCUQWH1_normal.png","View")</f>
        <v>View</v>
      </c>
      <c r="P1045" s="15"/>
    </row>
    <row r="1046">
      <c r="A1046" s="7">
        <v>42423.182337962964</v>
      </c>
      <c r="B1046" s="8" t="str">
        <f>HYPERLINK("https://twitter.com/leach_jim","@leach_jim")</f>
        <v>@leach_jim</v>
      </c>
      <c r="C1046" s="10" t="s">
        <v>7199</v>
      </c>
      <c r="D1046" s="10" t="s">
        <v>8208</v>
      </c>
      <c r="E1046" s="11" t="str">
        <f>HYPERLINK("https://twitter.com/leach_jim/status/702106273047834624","702106273047834624")</f>
        <v>702106273047834624</v>
      </c>
      <c r="F1046" s="12" t="s">
        <v>4867</v>
      </c>
      <c r="G1046" s="13">
        <v>51.0</v>
      </c>
      <c r="H1046" s="13">
        <v>130.0</v>
      </c>
      <c r="I1046" s="13">
        <v>0.0</v>
      </c>
      <c r="J1046" s="13">
        <v>1.0</v>
      </c>
      <c r="K1046" s="12" t="s">
        <v>21</v>
      </c>
      <c r="L1046" s="7">
        <v>41365.17628472222</v>
      </c>
      <c r="M1046" s="16"/>
      <c r="N1046" s="14" t="s">
        <v>7201</v>
      </c>
      <c r="O1046" s="11" t="str">
        <f>HYPERLINK("https://pbs.twimg.com/profile_images/606390830874697729/NeUj44E2_normal.jpg","View")</f>
        <v>View</v>
      </c>
      <c r="P1046" s="15"/>
    </row>
    <row r="1047">
      <c r="A1047" s="7">
        <v>42423.18403935185</v>
      </c>
      <c r="B1047" s="8" t="str">
        <f>HYPERLINK("https://twitter.com/ShinyappsRecent","@ShinyappsRecent")</f>
        <v>@ShinyappsRecent</v>
      </c>
      <c r="C1047" s="10" t="s">
        <v>6422</v>
      </c>
      <c r="D1047" s="10" t="s">
        <v>8209</v>
      </c>
      <c r="E1047" s="11" t="str">
        <f>HYPERLINK("https://twitter.com/ShinyappsRecent/status/702106887559360512","702106887559360512")</f>
        <v>702106887559360512</v>
      </c>
      <c r="F1047" s="12" t="s">
        <v>6424</v>
      </c>
      <c r="G1047" s="13">
        <v>212.0</v>
      </c>
      <c r="H1047" s="13">
        <v>6.0</v>
      </c>
      <c r="I1047" s="13">
        <v>0.0</v>
      </c>
      <c r="J1047" s="13">
        <v>0.0</v>
      </c>
      <c r="K1047" s="12" t="s">
        <v>21</v>
      </c>
      <c r="L1047" s="7">
        <v>42004.08681712963</v>
      </c>
      <c r="M1047" s="14" t="s">
        <v>6425</v>
      </c>
      <c r="N1047" s="14" t="s">
        <v>6426</v>
      </c>
      <c r="O1047" s="11" t="str">
        <f>HYPERLINK("https://pbs.twimg.com/profile_images/550280885480603648/jye_0y8s_normal.png","View")</f>
        <v>View</v>
      </c>
      <c r="P1047" s="15"/>
    </row>
    <row r="1048">
      <c r="A1048" s="7">
        <v>42423.18554398148</v>
      </c>
      <c r="B1048" s="8" t="str">
        <f>HYPERLINK("https://twitter.com/hrbrmstr","@hrbrmstr")</f>
        <v>@hrbrmstr</v>
      </c>
      <c r="C1048" s="10" t="s">
        <v>7276</v>
      </c>
      <c r="D1048" s="10" t="s">
        <v>8210</v>
      </c>
      <c r="E1048" s="11" t="str">
        <f>HYPERLINK("https://twitter.com/hrbrmstr/status/702107432663851009","702107432663851009")</f>
        <v>702107432663851009</v>
      </c>
      <c r="F1048" s="12" t="s">
        <v>659</v>
      </c>
      <c r="G1048" s="13">
        <v>6135.0</v>
      </c>
      <c r="H1048" s="13">
        <v>2926.0</v>
      </c>
      <c r="I1048" s="13">
        <v>2.0</v>
      </c>
      <c r="J1048" s="13">
        <v>3.0</v>
      </c>
      <c r="K1048" s="12" t="s">
        <v>21</v>
      </c>
      <c r="L1048" s="7">
        <v>39203.29472222222</v>
      </c>
      <c r="M1048" s="14" t="s">
        <v>7278</v>
      </c>
      <c r="N1048" s="14" t="s">
        <v>7279</v>
      </c>
      <c r="O1048" s="11" t="str">
        <f>HYPERLINK("https://pbs.twimg.com/profile_images/557592259298729985/kpCUQWH1_normal.png","View")</f>
        <v>View</v>
      </c>
      <c r="P1048" s="15"/>
    </row>
    <row r="1049">
      <c r="A1049" s="7">
        <v>42423.18555555555</v>
      </c>
      <c r="B1049" s="8" t="str">
        <f>HYPERLINK("https://twitter.com/ameanmbot","@ameanmbot")</f>
        <v>@ameanmbot</v>
      </c>
      <c r="C1049" s="10" t="s">
        <v>174</v>
      </c>
      <c r="D1049" s="10" t="s">
        <v>8211</v>
      </c>
      <c r="E1049" s="11" t="str">
        <f>HYPERLINK("https://twitter.com/ameanmbot/status/702107438653317121","702107438653317121")</f>
        <v>702107438653317121</v>
      </c>
      <c r="F1049" s="12" t="s">
        <v>176</v>
      </c>
      <c r="G1049" s="13">
        <v>3291.0</v>
      </c>
      <c r="H1049" s="13">
        <v>1.0</v>
      </c>
      <c r="I1049" s="13">
        <v>2.0</v>
      </c>
      <c r="J1049" s="13">
        <v>0.0</v>
      </c>
      <c r="K1049" s="12" t="s">
        <v>21</v>
      </c>
      <c r="L1049" s="7">
        <v>41814.009733796294</v>
      </c>
      <c r="M1049" s="16"/>
      <c r="N1049" s="14" t="s">
        <v>177</v>
      </c>
      <c r="O1049" s="11" t="str">
        <f>HYPERLINK("https://pbs.twimg.com/profile_images/481334978161029120/iu3zZFEk_normal.png","View")</f>
        <v>View</v>
      </c>
      <c r="P1049" s="15"/>
    </row>
    <row r="1050">
      <c r="A1050" s="7">
        <v>42423.186840277776</v>
      </c>
      <c r="B1050" s="8" t="str">
        <f>HYPERLINK("https://twitter.com/mrcroissant","@mrcroissant")</f>
        <v>@mrcroissant</v>
      </c>
      <c r="C1050" s="10" t="s">
        <v>8212</v>
      </c>
      <c r="D1050" s="10" t="s">
        <v>8213</v>
      </c>
      <c r="E1050" s="11" t="str">
        <f>HYPERLINK("https://twitter.com/mrcroissant/status/702107905517101058","702107905517101058")</f>
        <v>702107905517101058</v>
      </c>
      <c r="F1050" s="12" t="s">
        <v>20</v>
      </c>
      <c r="G1050" s="13">
        <v>52.0</v>
      </c>
      <c r="H1050" s="13">
        <v>113.0</v>
      </c>
      <c r="I1050" s="13">
        <v>0.0</v>
      </c>
      <c r="J1050" s="13">
        <v>1.0</v>
      </c>
      <c r="K1050" s="12" t="s">
        <v>21</v>
      </c>
      <c r="L1050" s="7">
        <v>39936.56597222222</v>
      </c>
      <c r="M1050" s="16"/>
      <c r="N1050" s="14" t="s">
        <v>8214</v>
      </c>
      <c r="O1050" s="11" t="str">
        <f>HYPERLINK("https://pbs.twimg.com/profile_images/702172330286518272/ibH7PYcm_normal.jpg","View")</f>
        <v>View</v>
      </c>
      <c r="P1050" s="15"/>
    </row>
    <row r="1051">
      <c r="A1051" s="7">
        <v>42423.19013888889</v>
      </c>
      <c r="B1051" s="8" t="str">
        <f>HYPERLINK("https://twitter.com/agroinformatik","@agroinformatik")</f>
        <v>@agroinformatik</v>
      </c>
      <c r="C1051" s="10" t="s">
        <v>8215</v>
      </c>
      <c r="D1051" s="10" t="s">
        <v>7913</v>
      </c>
      <c r="E1051" s="11" t="str">
        <f>HYPERLINK("https://twitter.com/agroinformatik/status/702109098771406849","702109098771406849")</f>
        <v>702109098771406849</v>
      </c>
      <c r="F1051" s="12" t="s">
        <v>152</v>
      </c>
      <c r="G1051" s="13">
        <v>330.0</v>
      </c>
      <c r="H1051" s="13">
        <v>1352.0</v>
      </c>
      <c r="I1051" s="13">
        <v>18.0</v>
      </c>
      <c r="J1051" s="13">
        <v>0.0</v>
      </c>
      <c r="K1051" s="12" t="s">
        <v>21</v>
      </c>
      <c r="L1051" s="7">
        <v>42353.380891203706</v>
      </c>
      <c r="M1051" s="14" t="s">
        <v>8216</v>
      </c>
      <c r="N1051" s="14" t="s">
        <v>8217</v>
      </c>
      <c r="O1051" s="11" t="str">
        <f>HYPERLINK("https://pbs.twimg.com/profile_images/692912850948505601/Yg24W0zv_normal.jpg","View")</f>
        <v>View</v>
      </c>
      <c r="P1051" s="15"/>
    </row>
    <row r="1052">
      <c r="A1052" s="7">
        <v>42423.190787037034</v>
      </c>
      <c r="B1052" s="8" t="str">
        <f>HYPERLINK("https://twitter.com/RKSpinks","@RKSpinks")</f>
        <v>@RKSpinks</v>
      </c>
      <c r="C1052" s="10" t="s">
        <v>8218</v>
      </c>
      <c r="D1052" s="10" t="s">
        <v>8219</v>
      </c>
      <c r="E1052" s="11" t="str">
        <f>HYPERLINK("https://twitter.com/RKSpinks/status/702109333803282433","702109333803282433")</f>
        <v>702109333803282433</v>
      </c>
      <c r="F1052" s="12" t="s">
        <v>20</v>
      </c>
      <c r="G1052" s="13">
        <v>16.0</v>
      </c>
      <c r="H1052" s="13">
        <v>52.0</v>
      </c>
      <c r="I1052" s="13">
        <v>1.0</v>
      </c>
      <c r="J1052" s="13">
        <v>1.0</v>
      </c>
      <c r="K1052" s="12" t="s">
        <v>21</v>
      </c>
      <c r="L1052" s="7">
        <v>42415.20788194444</v>
      </c>
      <c r="M1052" s="14" t="s">
        <v>8220</v>
      </c>
      <c r="N1052" s="14" t="s">
        <v>8221</v>
      </c>
      <c r="O1052" s="11" t="str">
        <f>HYPERLINK("https://pbs.twimg.com/profile_images/699228285016748032/XaFZ1evy_normal.jpg","View")</f>
        <v>View</v>
      </c>
      <c r="P1052" s="15"/>
    </row>
    <row r="1053">
      <c r="A1053" s="7">
        <v>42423.19296296296</v>
      </c>
      <c r="B1053" s="8" t="str">
        <f>HYPERLINK("https://twitter.com/disgamechanger","@disgamechanger")</f>
        <v>@disgamechanger</v>
      </c>
      <c r="C1053" s="10" t="s">
        <v>8222</v>
      </c>
      <c r="D1053" s="10" t="s">
        <v>8223</v>
      </c>
      <c r="E1053" s="11" t="str">
        <f>HYPERLINK("https://twitter.com/disgamechanger/status/702110120906518528","702110120906518528")</f>
        <v>702110120906518528</v>
      </c>
      <c r="F1053" s="12" t="s">
        <v>8224</v>
      </c>
      <c r="G1053" s="13">
        <v>538.0</v>
      </c>
      <c r="H1053" s="13">
        <v>46.0</v>
      </c>
      <c r="I1053" s="13">
        <v>1.0</v>
      </c>
      <c r="J1053" s="13">
        <v>0.0</v>
      </c>
      <c r="K1053" s="12" t="s">
        <v>21</v>
      </c>
      <c r="L1053" s="7">
        <v>42030.66828703704</v>
      </c>
      <c r="M1053" s="14" t="s">
        <v>8225</v>
      </c>
      <c r="N1053" s="14" t="s">
        <v>8226</v>
      </c>
      <c r="O1053" s="11" t="str">
        <f>HYPERLINK("https://pbs.twimg.com/profile_images/689565227529166848/jBTlxGIG_normal.jpg","View")</f>
        <v>View</v>
      </c>
      <c r="P1053" s="15"/>
    </row>
    <row r="1054">
      <c r="A1054" s="7">
        <v>42423.195810185185</v>
      </c>
      <c r="B1054" s="8" t="str">
        <f>HYPERLINK("https://twitter.com/lisachwinter","@lisachwinter")</f>
        <v>@lisachwinter</v>
      </c>
      <c r="C1054" s="10" t="s">
        <v>8227</v>
      </c>
      <c r="D1054" s="10" t="s">
        <v>8228</v>
      </c>
      <c r="E1054" s="11" t="str">
        <f>HYPERLINK("https://twitter.com/lisachwinter/status/702111155926470656","702111155926470656")</f>
        <v>702111155926470656</v>
      </c>
      <c r="F1054" s="12" t="s">
        <v>20</v>
      </c>
      <c r="G1054" s="13">
        <v>10191.0</v>
      </c>
      <c r="H1054" s="13">
        <v>4265.0</v>
      </c>
      <c r="I1054" s="13">
        <v>10.0</v>
      </c>
      <c r="J1054" s="13">
        <v>11.0</v>
      </c>
      <c r="K1054" s="12" t="s">
        <v>21</v>
      </c>
      <c r="L1054" s="7">
        <v>41644.236192129625</v>
      </c>
      <c r="M1054" s="14" t="s">
        <v>6341</v>
      </c>
      <c r="N1054" s="14" t="s">
        <v>8229</v>
      </c>
      <c r="O1054" s="11" t="str">
        <f>HYPERLINK("https://pbs.twimg.com/profile_images/696465249910833152/MYxc_jkD_normal.jpg","View")</f>
        <v>View</v>
      </c>
      <c r="P1054" s="15"/>
    </row>
    <row r="1055">
      <c r="A1055" s="7">
        <v>42423.19582175926</v>
      </c>
      <c r="B1055" s="8" t="str">
        <f>HYPERLINK("https://twitter.com/itknowingness","@itknowingness")</f>
        <v>@itknowingness</v>
      </c>
      <c r="C1055" s="10" t="s">
        <v>3465</v>
      </c>
      <c r="D1055" s="10" t="s">
        <v>8230</v>
      </c>
      <c r="E1055" s="11" t="str">
        <f>HYPERLINK("https://twitter.com/itknowingness/status/702111158950563840","702111158950563840")</f>
        <v>702111158950563840</v>
      </c>
      <c r="F1055" s="12" t="s">
        <v>3467</v>
      </c>
      <c r="G1055" s="13">
        <v>6904.0</v>
      </c>
      <c r="H1055" s="13">
        <v>3191.0</v>
      </c>
      <c r="I1055" s="13">
        <v>10.0</v>
      </c>
      <c r="J1055" s="13">
        <v>0.0</v>
      </c>
      <c r="K1055" s="12" t="s">
        <v>21</v>
      </c>
      <c r="L1055" s="7">
        <v>40490.39297453704</v>
      </c>
      <c r="M1055" s="14" t="s">
        <v>269</v>
      </c>
      <c r="N1055" s="14" t="s">
        <v>3468</v>
      </c>
      <c r="O1055" s="11" t="str">
        <f>HYPERLINK("https://pbs.twimg.com/profile_images/1164716874/favicon-triada-azul_normal.png","View")</f>
        <v>View</v>
      </c>
      <c r="P1055" s="15"/>
    </row>
    <row r="1056">
      <c r="A1056" s="7">
        <v>42423.1962037037</v>
      </c>
      <c r="B1056" s="8" t="str">
        <f>HYPERLINK("https://twitter.com/MerelACE","@MerelACE")</f>
        <v>@MerelACE</v>
      </c>
      <c r="C1056" s="10" t="s">
        <v>8231</v>
      </c>
      <c r="D1056" s="10" t="s">
        <v>8230</v>
      </c>
      <c r="E1056" s="11" t="str">
        <f>HYPERLINK("https://twitter.com/MerelACE/status/702111296007835648","702111296007835648")</f>
        <v>702111296007835648</v>
      </c>
      <c r="F1056" s="12" t="s">
        <v>20</v>
      </c>
      <c r="G1056" s="13">
        <v>675.0</v>
      </c>
      <c r="H1056" s="13">
        <v>1105.0</v>
      </c>
      <c r="I1056" s="13">
        <v>10.0</v>
      </c>
      <c r="J1056" s="13">
        <v>0.0</v>
      </c>
      <c r="K1056" s="12" t="s">
        <v>21</v>
      </c>
      <c r="L1056" s="7">
        <v>39933.23136574074</v>
      </c>
      <c r="M1056" s="14" t="s">
        <v>8232</v>
      </c>
      <c r="N1056" s="14" t="s">
        <v>8233</v>
      </c>
      <c r="O1056" s="11" t="str">
        <f>HYPERLINK("https://pbs.twimg.com/profile_images/488003301674209280/BPfolzRX_normal.jpeg","View")</f>
        <v>View</v>
      </c>
      <c r="P1056" s="15"/>
    </row>
    <row r="1057">
      <c r="A1057" s="7">
        <v>42423.196504629625</v>
      </c>
      <c r="B1057" s="8" t="str">
        <f>HYPERLINK("https://twitter.com/DataAnalyticss","@DataAnalyticss")</f>
        <v>@DataAnalyticss</v>
      </c>
      <c r="C1057" s="10" t="s">
        <v>2467</v>
      </c>
      <c r="D1057" s="10" t="s">
        <v>8230</v>
      </c>
      <c r="E1057" s="11" t="str">
        <f>HYPERLINK("https://twitter.com/DataAnalyticss/status/702111404258684928","702111404258684928")</f>
        <v>702111404258684928</v>
      </c>
      <c r="F1057" s="12" t="s">
        <v>38</v>
      </c>
      <c r="G1057" s="13">
        <v>718.0</v>
      </c>
      <c r="H1057" s="13">
        <v>456.0</v>
      </c>
      <c r="I1057" s="13">
        <v>10.0</v>
      </c>
      <c r="J1057" s="13">
        <v>0.0</v>
      </c>
      <c r="K1057" s="12" t="s">
        <v>21</v>
      </c>
      <c r="L1057" s="7">
        <v>41953.30762731482</v>
      </c>
      <c r="M1057" s="16"/>
      <c r="N1057" s="16"/>
      <c r="O1057" s="11" t="str">
        <f>HYPERLINK("https://pbs.twimg.com/profile_images/532798437897412608/flHdPUCx_normal.png","View")</f>
        <v>View</v>
      </c>
      <c r="P1057" s="15"/>
    </row>
    <row r="1058">
      <c r="A1058" s="7">
        <v>42423.198171296295</v>
      </c>
      <c r="B1058" s="8" t="str">
        <f>HYPERLINK("https://twitter.com/StarOryon","@StarOryon")</f>
        <v>@StarOryon</v>
      </c>
      <c r="C1058" s="10" t="s">
        <v>8234</v>
      </c>
      <c r="D1058" s="10" t="s">
        <v>8230</v>
      </c>
      <c r="E1058" s="11" t="str">
        <f>HYPERLINK("https://twitter.com/StarOryon/status/702112010515906561","702112010515906561")</f>
        <v>702112010515906561</v>
      </c>
      <c r="F1058" s="12" t="s">
        <v>52</v>
      </c>
      <c r="G1058" s="13">
        <v>7016.0</v>
      </c>
      <c r="H1058" s="13">
        <v>6700.0</v>
      </c>
      <c r="I1058" s="13">
        <v>10.0</v>
      </c>
      <c r="J1058" s="13">
        <v>0.0</v>
      </c>
      <c r="K1058" s="12" t="s">
        <v>21</v>
      </c>
      <c r="L1058" s="7">
        <v>41439.6280324074</v>
      </c>
      <c r="M1058" s="14" t="s">
        <v>4787</v>
      </c>
      <c r="N1058" s="14" t="s">
        <v>8235</v>
      </c>
      <c r="O1058" s="11" t="str">
        <f>HYPERLINK("https://pbs.twimg.com/profile_images/344513261579243176/796f16b5f84872e8381b80237daed46c_normal.png","View")</f>
        <v>View</v>
      </c>
      <c r="P1058" s="15"/>
    </row>
    <row r="1059">
      <c r="A1059" s="7">
        <v>42423.19841435185</v>
      </c>
      <c r="B1059" s="8" t="str">
        <f>HYPERLINK("https://twitter.com/premroshan","@premroshan")</f>
        <v>@premroshan</v>
      </c>
      <c r="C1059" s="10" t="s">
        <v>8236</v>
      </c>
      <c r="D1059" s="10" t="s">
        <v>8230</v>
      </c>
      <c r="E1059" s="11" t="str">
        <f>HYPERLINK("https://twitter.com/premroshan/status/702112098898173953","702112098898173953")</f>
        <v>702112098898173953</v>
      </c>
      <c r="F1059" s="12" t="s">
        <v>52</v>
      </c>
      <c r="G1059" s="13">
        <v>309.0</v>
      </c>
      <c r="H1059" s="13">
        <v>811.0</v>
      </c>
      <c r="I1059" s="13">
        <v>10.0</v>
      </c>
      <c r="J1059" s="13">
        <v>0.0</v>
      </c>
      <c r="K1059" s="12" t="s">
        <v>21</v>
      </c>
      <c r="L1059" s="7">
        <v>39936.95471064815</v>
      </c>
      <c r="M1059" s="14" t="s">
        <v>1877</v>
      </c>
      <c r="N1059" s="14" t="s">
        <v>8237</v>
      </c>
      <c r="O1059" s="11" t="str">
        <f>HYPERLINK("https://pbs.twimg.com/profile_images/589597791942410240/jnRsaQq4_normal.jpg","View")</f>
        <v>View</v>
      </c>
      <c r="P1059" s="15"/>
    </row>
    <row r="1060">
      <c r="A1060" s="7">
        <v>42423.19924768519</v>
      </c>
      <c r="B1060" s="8" t="str">
        <f>HYPERLINK("https://twitter.com/jamesfeigenbaum","@jamesfeigenbaum")</f>
        <v>@jamesfeigenbaum</v>
      </c>
      <c r="C1060" s="10" t="s">
        <v>8238</v>
      </c>
      <c r="D1060" s="10" t="s">
        <v>8239</v>
      </c>
      <c r="E1060" s="11" t="str">
        <f>HYPERLINK("https://twitter.com/jamesfeigenbaum/status/702112400271679489","702112400271679489")</f>
        <v>702112400271679489</v>
      </c>
      <c r="F1060" s="12" t="s">
        <v>152</v>
      </c>
      <c r="G1060" s="13">
        <v>334.0</v>
      </c>
      <c r="H1060" s="13">
        <v>365.0</v>
      </c>
      <c r="I1060" s="13">
        <v>1.0</v>
      </c>
      <c r="J1060" s="13">
        <v>0.0</v>
      </c>
      <c r="K1060" s="12" t="s">
        <v>21</v>
      </c>
      <c r="L1060" s="7">
        <v>41179.558958333335</v>
      </c>
      <c r="M1060" s="14" t="s">
        <v>1660</v>
      </c>
      <c r="N1060" s="14" t="s">
        <v>8240</v>
      </c>
      <c r="O1060" s="11" t="str">
        <f>HYPERLINK("https://pbs.twimg.com/profile_images/550406422463127552/B2Vw3E36_normal.jpeg","View")</f>
        <v>View</v>
      </c>
      <c r="P1060" s="15"/>
    </row>
    <row r="1061">
      <c r="A1061" s="7">
        <v>42423.19991898148</v>
      </c>
      <c r="B1061" s="8" t="str">
        <f>HYPERLINK("https://twitter.com/valuencedata","@valuencedata")</f>
        <v>@valuencedata</v>
      </c>
      <c r="C1061" s="10" t="s">
        <v>8103</v>
      </c>
      <c r="D1061" s="10" t="s">
        <v>8230</v>
      </c>
      <c r="E1061" s="11" t="str">
        <f>HYPERLINK("https://twitter.com/valuencedata/status/702112644803780609","702112644803780609")</f>
        <v>702112644803780609</v>
      </c>
      <c r="F1061" s="12" t="s">
        <v>20</v>
      </c>
      <c r="G1061" s="13">
        <v>169.0</v>
      </c>
      <c r="H1061" s="13">
        <v>257.0</v>
      </c>
      <c r="I1061" s="13">
        <v>10.0</v>
      </c>
      <c r="J1061" s="13">
        <v>0.0</v>
      </c>
      <c r="K1061" s="12" t="s">
        <v>21</v>
      </c>
      <c r="L1061" s="7">
        <v>42391.05329861111</v>
      </c>
      <c r="M1061" s="16"/>
      <c r="N1061" s="14" t="s">
        <v>8105</v>
      </c>
      <c r="O1061" s="11" t="str">
        <f>HYPERLINK("https://pbs.twimg.com/profile_images/702083248428462082/0Mq5se3W_normal.png","View")</f>
        <v>View</v>
      </c>
      <c r="P1061" s="15"/>
    </row>
    <row r="1062">
      <c r="A1062" s="7">
        <v>42423.20074074074</v>
      </c>
      <c r="B1062" s="8" t="str">
        <f>HYPERLINK("https://twitter.com/iDATA_co","@iDATA_co")</f>
        <v>@iDATA_co</v>
      </c>
      <c r="C1062" s="10" t="s">
        <v>8241</v>
      </c>
      <c r="D1062" s="10" t="s">
        <v>8242</v>
      </c>
      <c r="E1062" s="11" t="str">
        <f>HYPERLINK("https://twitter.com/iDATA_co/status/702112941991137280","702112941991137280")</f>
        <v>702112941991137280</v>
      </c>
      <c r="F1062" s="12" t="s">
        <v>20</v>
      </c>
      <c r="G1062" s="13">
        <v>1681.0</v>
      </c>
      <c r="H1062" s="13">
        <v>3020.0</v>
      </c>
      <c r="I1062" s="13">
        <v>0.0</v>
      </c>
      <c r="J1062" s="13">
        <v>2.0</v>
      </c>
      <c r="K1062" s="12" t="s">
        <v>21</v>
      </c>
      <c r="L1062" s="7">
        <v>40998.21144675926</v>
      </c>
      <c r="M1062" s="14" t="s">
        <v>8243</v>
      </c>
      <c r="N1062" s="14" t="s">
        <v>8244</v>
      </c>
      <c r="O1062" s="11" t="str">
        <f>HYPERLINK("https://pbs.twimg.com/profile_images/585060919606124545/Vzcp01bf_normal.png","View")</f>
        <v>View</v>
      </c>
      <c r="P1062" s="15"/>
    </row>
    <row r="1063">
      <c r="A1063" s="7">
        <v>42423.20365740741</v>
      </c>
      <c r="B1063" s="8" t="str">
        <f>HYPERLINK("https://twitter.com/dselvan0v","@dselvan0v")</f>
        <v>@dselvan0v</v>
      </c>
      <c r="C1063" s="10" t="s">
        <v>8143</v>
      </c>
      <c r="D1063" s="10" t="s">
        <v>8191</v>
      </c>
      <c r="E1063" s="11" t="str">
        <f>HYPERLINK("https://twitter.com/dselvan0v/status/702113998855081984","702113998855081984")</f>
        <v>702113998855081984</v>
      </c>
      <c r="F1063" s="12" t="s">
        <v>20</v>
      </c>
      <c r="G1063" s="13">
        <v>35.0</v>
      </c>
      <c r="H1063" s="13">
        <v>93.0</v>
      </c>
      <c r="I1063" s="13">
        <v>2.0</v>
      </c>
      <c r="J1063" s="13">
        <v>0.0</v>
      </c>
      <c r="K1063" s="12" t="s">
        <v>21</v>
      </c>
      <c r="L1063" s="7">
        <v>42253.16945601851</v>
      </c>
      <c r="M1063" s="14" t="s">
        <v>4656</v>
      </c>
      <c r="N1063" s="14" t="s">
        <v>8144</v>
      </c>
      <c r="O1063" s="11" t="str">
        <f>HYPERLINK("https://pbs.twimg.com/profile_images/688966800286023681/8IHrkVU3_normal.jpg","View")</f>
        <v>View</v>
      </c>
      <c r="P1063" s="15"/>
    </row>
    <row r="1064">
      <c r="A1064" s="7">
        <v>42423.21116898148</v>
      </c>
      <c r="B1064" s="8" t="str">
        <f>HYPERLINK("https://twitter.com/antropoteuthis","@antropoteuthis")</f>
        <v>@antropoteuthis</v>
      </c>
      <c r="C1064" s="10" t="s">
        <v>8245</v>
      </c>
      <c r="D1064" s="10" t="s">
        <v>8052</v>
      </c>
      <c r="E1064" s="11" t="str">
        <f>HYPERLINK("https://twitter.com/antropoteuthis/status/702116722166382592","702116722166382592")</f>
        <v>702116722166382592</v>
      </c>
      <c r="F1064" s="12" t="s">
        <v>52</v>
      </c>
      <c r="G1064" s="13">
        <v>305.0</v>
      </c>
      <c r="H1064" s="13">
        <v>471.0</v>
      </c>
      <c r="I1064" s="13">
        <v>4.0</v>
      </c>
      <c r="J1064" s="13">
        <v>0.0</v>
      </c>
      <c r="K1064" s="12" t="s">
        <v>21</v>
      </c>
      <c r="L1064" s="7">
        <v>41545.41674768519</v>
      </c>
      <c r="M1064" s="14" t="s">
        <v>8246</v>
      </c>
      <c r="N1064" s="14" t="s">
        <v>8247</v>
      </c>
      <c r="O1064" s="11" t="str">
        <f>HYPERLINK("https://pbs.twimg.com/profile_images/493842875990286336/N08zveXO_normal.jpeg","View")</f>
        <v>View</v>
      </c>
      <c r="P1064" s="15"/>
    </row>
    <row r="1065">
      <c r="A1065" s="7">
        <v>42423.21260416666</v>
      </c>
      <c r="B1065" s="8" t="str">
        <f>HYPERLINK("https://twitter.com/DasHammett","@DasHammett")</f>
        <v>@DasHammett</v>
      </c>
      <c r="C1065" s="10" t="s">
        <v>8248</v>
      </c>
      <c r="D1065" s="10" t="s">
        <v>8249</v>
      </c>
      <c r="E1065" s="11" t="str">
        <f>HYPERLINK("https://twitter.com/DasHammett/status/702117242562027520","702117242562027520")</f>
        <v>702117242562027520</v>
      </c>
      <c r="F1065" s="12" t="s">
        <v>1082</v>
      </c>
      <c r="G1065" s="13">
        <v>26.0</v>
      </c>
      <c r="H1065" s="13">
        <v>46.0</v>
      </c>
      <c r="I1065" s="13">
        <v>1.0</v>
      </c>
      <c r="J1065" s="13">
        <v>0.0</v>
      </c>
      <c r="K1065" s="12" t="s">
        <v>21</v>
      </c>
      <c r="L1065" s="7">
        <v>40351.15194444444</v>
      </c>
      <c r="M1065" s="14" t="s">
        <v>901</v>
      </c>
      <c r="N1065" s="14" t="s">
        <v>8250</v>
      </c>
      <c r="O1065" s="11" t="str">
        <f>HYPERLINK("https://pbs.twimg.com/profile_images/2096852982/Cel_normal.jpg","View")</f>
        <v>View</v>
      </c>
      <c r="P1065" s="15"/>
    </row>
    <row r="1066">
      <c r="A1066" s="7">
        <v>42423.213900462964</v>
      </c>
      <c r="B1066" s="8" t="str">
        <f>HYPERLINK("https://twitter.com/ErmiaBivatan","@ErmiaBivatan")</f>
        <v>@ErmiaBivatan</v>
      </c>
      <c r="C1066" s="10" t="s">
        <v>6261</v>
      </c>
      <c r="D1066" s="10" t="s">
        <v>8251</v>
      </c>
      <c r="E1066" s="11" t="str">
        <f>HYPERLINK("https://twitter.com/ErmiaBivatan/status/702117710281445376","702117710281445376")</f>
        <v>702117710281445376</v>
      </c>
      <c r="F1066" s="12" t="s">
        <v>20</v>
      </c>
      <c r="G1066" s="13">
        <v>45.0</v>
      </c>
      <c r="H1066" s="13">
        <v>142.0</v>
      </c>
      <c r="I1066" s="13">
        <v>28.0</v>
      </c>
      <c r="J1066" s="13">
        <v>0.0</v>
      </c>
      <c r="K1066" s="12" t="s">
        <v>21</v>
      </c>
      <c r="L1066" s="7">
        <v>41409.883356481485</v>
      </c>
      <c r="M1066" s="16"/>
      <c r="N1066" s="14" t="s">
        <v>6263</v>
      </c>
      <c r="O1066" s="11" t="str">
        <f>HYPERLINK("https://pbs.twimg.com/profile_images/700219041131204608/DZKmHE4-_normal.jpg","View")</f>
        <v>View</v>
      </c>
      <c r="P1066" s="15"/>
    </row>
    <row r="1067">
      <c r="A1067" s="7">
        <v>42423.21560185185</v>
      </c>
      <c r="B1067" s="8" t="str">
        <f>HYPERLINK("https://twitter.com/Rick_Scavetta","@Rick_Scavetta")</f>
        <v>@Rick_Scavetta</v>
      </c>
      <c r="C1067" s="10" t="s">
        <v>8252</v>
      </c>
      <c r="D1067" s="10" t="s">
        <v>8253</v>
      </c>
      <c r="E1067" s="11" t="str">
        <f>HYPERLINK("https://twitter.com/Rick_Scavetta/status/702118325032243200","702118325032243200")</f>
        <v>702118325032243200</v>
      </c>
      <c r="F1067" s="12" t="s">
        <v>240</v>
      </c>
      <c r="G1067" s="13">
        <v>305.0</v>
      </c>
      <c r="H1067" s="13">
        <v>508.0</v>
      </c>
      <c r="I1067" s="13">
        <v>0.0</v>
      </c>
      <c r="J1067" s="13">
        <v>2.0</v>
      </c>
      <c r="K1067" s="12" t="s">
        <v>21</v>
      </c>
      <c r="L1067" s="7">
        <v>41609.34144675926</v>
      </c>
      <c r="M1067" s="14" t="s">
        <v>1963</v>
      </c>
      <c r="N1067" s="14" t="s">
        <v>8254</v>
      </c>
      <c r="O1067" s="11" t="str">
        <f>HYPERLINK("https://pbs.twimg.com/profile_images/450618602828615680/5MpH6PqW_normal.jpeg","View")</f>
        <v>View</v>
      </c>
      <c r="P1067" s="15"/>
    </row>
    <row r="1068">
      <c r="A1068" s="7">
        <v>42423.21753472222</v>
      </c>
      <c r="B1068" s="8" t="str">
        <f>HYPERLINK("https://twitter.com/DL_Ally","@DL_Ally")</f>
        <v>@DL_Ally</v>
      </c>
      <c r="C1068" s="10" t="s">
        <v>8255</v>
      </c>
      <c r="D1068" s="10" t="s">
        <v>7973</v>
      </c>
      <c r="E1068" s="11" t="str">
        <f>HYPERLINK("https://twitter.com/DL_Ally/status/702119028307972096","702119028307972096")</f>
        <v>702119028307972096</v>
      </c>
      <c r="F1068" s="12" t="s">
        <v>8256</v>
      </c>
      <c r="G1068" s="13">
        <v>262.0</v>
      </c>
      <c r="H1068" s="13">
        <v>56.0</v>
      </c>
      <c r="I1068" s="13">
        <v>6.0</v>
      </c>
      <c r="J1068" s="13">
        <v>0.0</v>
      </c>
      <c r="K1068" s="12" t="s">
        <v>21</v>
      </c>
      <c r="L1068" s="7">
        <v>42229.99386574074</v>
      </c>
      <c r="M1068" s="16"/>
      <c r="N1068" s="16"/>
      <c r="O1068" s="11" t="str">
        <f>HYPERLINK("https://pbs.twimg.com/profile_images/632086828342874112/5PpXODRR_normal.jpg","View")</f>
        <v>View</v>
      </c>
      <c r="P1068" s="15"/>
    </row>
    <row r="1069">
      <c r="A1069" s="7">
        <v>42423.221562499995</v>
      </c>
      <c r="B1069" s="8" t="str">
        <f>HYPERLINK("https://twitter.com/skilloak","@skilloak")</f>
        <v>@skilloak</v>
      </c>
      <c r="C1069" s="10" t="s">
        <v>5999</v>
      </c>
      <c r="D1069" s="10" t="s">
        <v>8257</v>
      </c>
      <c r="E1069" s="11" t="str">
        <f>HYPERLINK("https://twitter.com/skilloak/status/702120488869302273","702120488869302273")</f>
        <v>702120488869302273</v>
      </c>
      <c r="F1069" s="12" t="s">
        <v>446</v>
      </c>
      <c r="G1069" s="13">
        <v>2427.0</v>
      </c>
      <c r="H1069" s="13">
        <v>338.0</v>
      </c>
      <c r="I1069" s="13">
        <v>0.0</v>
      </c>
      <c r="J1069" s="13">
        <v>0.0</v>
      </c>
      <c r="K1069" s="12" t="s">
        <v>21</v>
      </c>
      <c r="L1069" s="7">
        <v>41308.39502314815</v>
      </c>
      <c r="M1069" s="16"/>
      <c r="N1069" s="14" t="s">
        <v>6001</v>
      </c>
      <c r="O1069" s="11" t="str">
        <f>HYPERLINK("https://pbs.twimg.com/profile_images/670315479517413376/Kkf5JA8s_normal.png","View")</f>
        <v>View</v>
      </c>
      <c r="P1069" s="15"/>
    </row>
    <row r="1070">
      <c r="A1070" s="7">
        <v>42423.222233796296</v>
      </c>
      <c r="B1070" s="8" t="str">
        <f>HYPERLINK("https://twitter.com/AGAuffret","@AGAuffret")</f>
        <v>@AGAuffret</v>
      </c>
      <c r="C1070" s="10" t="s">
        <v>8258</v>
      </c>
      <c r="D1070" s="10" t="s">
        <v>8259</v>
      </c>
      <c r="E1070" s="11" t="str">
        <f>HYPERLINK("https://twitter.com/AGAuffret/status/702120731824537603","702120731824537603")</f>
        <v>702120731824537603</v>
      </c>
      <c r="F1070" s="12" t="s">
        <v>20</v>
      </c>
      <c r="G1070" s="13">
        <v>185.0</v>
      </c>
      <c r="H1070" s="13">
        <v>418.0</v>
      </c>
      <c r="I1070" s="13">
        <v>0.0</v>
      </c>
      <c r="J1070" s="13">
        <v>0.0</v>
      </c>
      <c r="K1070" s="12" t="s">
        <v>21</v>
      </c>
      <c r="L1070" s="7">
        <v>40805.5080787037</v>
      </c>
      <c r="M1070" s="14" t="s">
        <v>5817</v>
      </c>
      <c r="N1070" s="14" t="s">
        <v>8260</v>
      </c>
      <c r="O1070" s="11" t="str">
        <f>HYPERLINK("https://pbs.twimg.com/profile_images/694150163527516161/7wlmd1v0_normal.jpg","View")</f>
        <v>View</v>
      </c>
      <c r="P1070" s="15"/>
    </row>
    <row r="1071">
      <c r="A1071" s="7">
        <v>42423.22660879629</v>
      </c>
      <c r="B1071" s="8" t="str">
        <f>HYPERLINK("https://twitter.com/ccjjclark","@ccjjclark")</f>
        <v>@ccjjclark</v>
      </c>
      <c r="C1071" s="10" t="s">
        <v>8261</v>
      </c>
      <c r="D1071" s="10" t="s">
        <v>8230</v>
      </c>
      <c r="E1071" s="11" t="str">
        <f>HYPERLINK("https://twitter.com/ccjjclark/status/702122313626492928","702122313626492928")</f>
        <v>702122313626492928</v>
      </c>
      <c r="F1071" s="12" t="s">
        <v>52</v>
      </c>
      <c r="G1071" s="13">
        <v>86.0</v>
      </c>
      <c r="H1071" s="13">
        <v>84.0</v>
      </c>
      <c r="I1071" s="13">
        <v>10.0</v>
      </c>
      <c r="J1071" s="13">
        <v>0.0</v>
      </c>
      <c r="K1071" s="12" t="s">
        <v>21</v>
      </c>
      <c r="L1071" s="7">
        <v>41615.497569444444</v>
      </c>
      <c r="M1071" s="16"/>
      <c r="N1071" s="14" t="s">
        <v>8262</v>
      </c>
      <c r="O1071" s="11" t="str">
        <f>HYPERLINK("https://pbs.twimg.com/profile_images/378800000842317652/b625c801db33264309e63bad69d87a2f_normal.jpeg","View")</f>
        <v>View</v>
      </c>
      <c r="P1071" s="15"/>
    </row>
    <row r="1072">
      <c r="A1072" s="7">
        <v>42423.2440625</v>
      </c>
      <c r="B1072" s="8" t="str">
        <f>HYPERLINK("https://twitter.com/ErmiaBivatan","@ErmiaBivatan")</f>
        <v>@ErmiaBivatan</v>
      </c>
      <c r="C1072" s="10" t="s">
        <v>6261</v>
      </c>
      <c r="D1072" s="10" t="s">
        <v>8263</v>
      </c>
      <c r="E1072" s="11" t="str">
        <f>HYPERLINK("https://twitter.com/ErmiaBivatan/status/702128639006089217","702128639006089217")</f>
        <v>702128639006089217</v>
      </c>
      <c r="F1072" s="12" t="s">
        <v>20</v>
      </c>
      <c r="G1072" s="13">
        <v>45.0</v>
      </c>
      <c r="H1072" s="13">
        <v>142.0</v>
      </c>
      <c r="I1072" s="13">
        <v>3.0</v>
      </c>
      <c r="J1072" s="13">
        <v>0.0</v>
      </c>
      <c r="K1072" s="12" t="s">
        <v>21</v>
      </c>
      <c r="L1072" s="7">
        <v>41409.883356481485</v>
      </c>
      <c r="M1072" s="16"/>
      <c r="N1072" s="14" t="s">
        <v>6263</v>
      </c>
      <c r="O1072" s="11" t="str">
        <f>HYPERLINK("https://pbs.twimg.com/profile_images/700219041131204608/DZKmHE4-_normal.jpg","View")</f>
        <v>View</v>
      </c>
      <c r="P1072" s="15"/>
    </row>
    <row r="1073">
      <c r="A1073" s="7">
        <v>42423.24667824074</v>
      </c>
      <c r="B1073" s="8" t="str">
        <f>HYPERLINK("https://twitter.com/Rbloggers","@Rbloggers")</f>
        <v>@Rbloggers</v>
      </c>
      <c r="C1073" s="10" t="s">
        <v>6221</v>
      </c>
      <c r="D1073" s="10" t="s">
        <v>8264</v>
      </c>
      <c r="E1073" s="11" t="str">
        <f>HYPERLINK("https://twitter.com/Rbloggers/status/702129590076993536","702129590076993536")</f>
        <v>702129590076993536</v>
      </c>
      <c r="F1073" s="17" t="s">
        <v>6223</v>
      </c>
      <c r="G1073" s="13">
        <v>28572.0</v>
      </c>
      <c r="H1073" s="13">
        <v>36.0</v>
      </c>
      <c r="I1073" s="13">
        <v>3.0</v>
      </c>
      <c r="J1073" s="13">
        <v>6.0</v>
      </c>
      <c r="K1073" s="12" t="s">
        <v>21</v>
      </c>
      <c r="L1073" s="7">
        <v>40314.510601851856</v>
      </c>
      <c r="M1073" s="16"/>
      <c r="N1073" s="14" t="s">
        <v>6224</v>
      </c>
      <c r="O1073" s="11" t="str">
        <f>HYPERLINK("https://pbs.twimg.com/profile_images/502185985786916864/gkdFh-q7_normal.png","View")</f>
        <v>View</v>
      </c>
      <c r="P1073" s="15"/>
    </row>
    <row r="1074">
      <c r="A1074" s="7">
        <v>42423.24857638888</v>
      </c>
      <c r="B1074" s="8" t="str">
        <f>HYPERLINK("https://twitter.com/Emaasit","@Emaasit")</f>
        <v>@Emaasit</v>
      </c>
      <c r="C1074" s="10" t="s">
        <v>7313</v>
      </c>
      <c r="D1074" s="10" t="s">
        <v>8265</v>
      </c>
      <c r="E1074" s="11" t="str">
        <f>HYPERLINK("https://twitter.com/Emaasit/status/702130278240645120","702130278240645120")</f>
        <v>702130278240645120</v>
      </c>
      <c r="F1074" s="12" t="s">
        <v>152</v>
      </c>
      <c r="G1074" s="13">
        <v>1025.0</v>
      </c>
      <c r="H1074" s="13">
        <v>2909.0</v>
      </c>
      <c r="I1074" s="13">
        <v>3.0</v>
      </c>
      <c r="J1074" s="13">
        <v>0.0</v>
      </c>
      <c r="K1074" s="12" t="s">
        <v>21</v>
      </c>
      <c r="L1074" s="7">
        <v>39981.148981481485</v>
      </c>
      <c r="M1074" s="14" t="s">
        <v>7315</v>
      </c>
      <c r="N1074" s="14" t="s">
        <v>7316</v>
      </c>
      <c r="O1074" s="11" t="str">
        <f>HYPERLINK("https://pbs.twimg.com/profile_images/567588045927354370/NN8xp_M5_normal.jpeg","View")</f>
        <v>View</v>
      </c>
      <c r="P1074" s="15"/>
    </row>
    <row r="1075">
      <c r="A1075" s="7">
        <v>42423.249340277776</v>
      </c>
      <c r="B1075" s="8" t="str">
        <f>HYPERLINK("https://twitter.com/AdiePrestone","@AdiePrestone")</f>
        <v>@AdiePrestone</v>
      </c>
      <c r="C1075" s="10" t="s">
        <v>6542</v>
      </c>
      <c r="D1075" s="10" t="s">
        <v>8266</v>
      </c>
      <c r="E1075" s="11" t="str">
        <f>HYPERLINK("https://twitter.com/AdiePrestone/status/702130551889727489","702130551889727489")</f>
        <v>702130551889727489</v>
      </c>
      <c r="F1075" s="12" t="s">
        <v>446</v>
      </c>
      <c r="G1075" s="13">
        <v>473.0</v>
      </c>
      <c r="H1075" s="13">
        <v>376.0</v>
      </c>
      <c r="I1075" s="13">
        <v>1.0</v>
      </c>
      <c r="J1075" s="13">
        <v>0.0</v>
      </c>
      <c r="K1075" s="12" t="s">
        <v>21</v>
      </c>
      <c r="L1075" s="7">
        <v>40559.146527777775</v>
      </c>
      <c r="M1075" s="14" t="s">
        <v>6544</v>
      </c>
      <c r="N1075" s="14" t="s">
        <v>6545</v>
      </c>
      <c r="O1075" s="11" t="str">
        <f>HYPERLINK("https://pbs.twimg.com/profile_images/685318018793127936/9LH8YuIT_normal.jpg","View")</f>
        <v>View</v>
      </c>
      <c r="P1075" s="15"/>
    </row>
    <row r="1076">
      <c r="A1076" s="7">
        <v>42423.255740740744</v>
      </c>
      <c r="B1076" s="8" t="str">
        <f>HYPERLINK("https://twitter.com/timelyportfolio","@timelyportfolio")</f>
        <v>@timelyportfolio</v>
      </c>
      <c r="C1076" s="10" t="s">
        <v>3698</v>
      </c>
      <c r="D1076" s="10" t="s">
        <v>8211</v>
      </c>
      <c r="E1076" s="11" t="str">
        <f>HYPERLINK("https://twitter.com/timelyportfolio/status/702132872703041537","702132872703041537")</f>
        <v>702132872703041537</v>
      </c>
      <c r="F1076" s="12" t="s">
        <v>20</v>
      </c>
      <c r="G1076" s="13">
        <v>1875.0</v>
      </c>
      <c r="H1076" s="13">
        <v>2248.0</v>
      </c>
      <c r="I1076" s="13">
        <v>2.0</v>
      </c>
      <c r="J1076" s="13">
        <v>0.0</v>
      </c>
      <c r="K1076" s="12" t="s">
        <v>21</v>
      </c>
      <c r="L1076" s="7">
        <v>40573.86280092593</v>
      </c>
      <c r="M1076" s="14" t="s">
        <v>3700</v>
      </c>
      <c r="N1076" s="14" t="s">
        <v>3701</v>
      </c>
      <c r="O1076" s="11" t="str">
        <f>HYPERLINK("https://pbs.twimg.com/profile_images/2198946077/image_normal.jpg","View")</f>
        <v>View</v>
      </c>
      <c r="P1076" s="15"/>
    </row>
    <row r="1077">
      <c r="A1077" s="7">
        <v>42423.25803240741</v>
      </c>
      <c r="B1077" s="8" t="str">
        <f>HYPERLINK("https://twitter.com/jbtibbits","@jbtibbits")</f>
        <v>@jbtibbits</v>
      </c>
      <c r="C1077" s="10" t="s">
        <v>8267</v>
      </c>
      <c r="D1077" s="10" t="s">
        <v>8268</v>
      </c>
      <c r="E1077" s="11" t="str">
        <f>HYPERLINK("https://twitter.com/jbtibbits/status/702133704160718848","702133704160718848")</f>
        <v>702133704160718848</v>
      </c>
      <c r="F1077" s="12" t="s">
        <v>20</v>
      </c>
      <c r="G1077" s="13">
        <v>245.0</v>
      </c>
      <c r="H1077" s="13">
        <v>423.0</v>
      </c>
      <c r="I1077" s="13">
        <v>4.0</v>
      </c>
      <c r="J1077" s="13">
        <v>2.0</v>
      </c>
      <c r="K1077" s="12" t="s">
        <v>21</v>
      </c>
      <c r="L1077" s="7">
        <v>40247.922430555554</v>
      </c>
      <c r="M1077" s="14" t="s">
        <v>8269</v>
      </c>
      <c r="N1077" s="14" t="s">
        <v>8270</v>
      </c>
      <c r="O1077" s="11" t="str">
        <f>HYPERLINK("https://pbs.twimg.com/profile_images/613822541191188480/yRvMLDr-_normal.jpg","View")</f>
        <v>View</v>
      </c>
      <c r="P1077" s="15"/>
    </row>
    <row r="1078">
      <c r="A1078" s="7">
        <v>42423.259375</v>
      </c>
      <c r="B1078" s="8" t="str">
        <f>HYPERLINK("https://twitter.com/air_manitra","@air_manitra")</f>
        <v>@air_manitra</v>
      </c>
      <c r="C1078" s="10" t="s">
        <v>8271</v>
      </c>
      <c r="D1078" s="10" t="s">
        <v>8272</v>
      </c>
      <c r="E1078" s="11" t="str">
        <f>HYPERLINK("https://twitter.com/air_manitra/status/702134190607831042","702134190607831042")</f>
        <v>702134190607831042</v>
      </c>
      <c r="F1078" s="12" t="s">
        <v>152</v>
      </c>
      <c r="G1078" s="13">
        <v>226.0</v>
      </c>
      <c r="H1078" s="13">
        <v>1243.0</v>
      </c>
      <c r="I1078" s="13">
        <v>28.0</v>
      </c>
      <c r="J1078" s="13">
        <v>0.0</v>
      </c>
      <c r="K1078" s="12" t="s">
        <v>21</v>
      </c>
      <c r="L1078" s="7">
        <v>41397.95074074074</v>
      </c>
      <c r="M1078" s="14" t="s">
        <v>8273</v>
      </c>
      <c r="N1078" s="14" t="s">
        <v>8274</v>
      </c>
      <c r="O1078" s="11" t="str">
        <f>HYPERLINK("https://pbs.twimg.com/profile_images/558315087761387520/3j-29Rhf_normal.jpeg","View")</f>
        <v>View</v>
      </c>
      <c r="P1078" s="15"/>
    </row>
    <row r="1079">
      <c r="A1079" s="7">
        <v>42423.25966435185</v>
      </c>
      <c r="B1079" s="8" t="str">
        <f t="shared" ref="B1079:B1080" si="123">HYPERLINK("https://twitter.com/CRANberriesFeed","@CRANberriesFeed")</f>
        <v>@CRANberriesFeed</v>
      </c>
      <c r="C1079" s="10" t="s">
        <v>6282</v>
      </c>
      <c r="D1079" s="10" t="s">
        <v>8275</v>
      </c>
      <c r="E1079" s="11" t="str">
        <f>HYPERLINK("https://twitter.com/CRANberriesFeed/status/702134295641645056","702134295641645056")</f>
        <v>702134295641645056</v>
      </c>
      <c r="F1079" s="12" t="s">
        <v>6284</v>
      </c>
      <c r="G1079" s="13">
        <v>657.0</v>
      </c>
      <c r="H1079" s="13">
        <v>0.0</v>
      </c>
      <c r="I1079" s="13">
        <v>0.0</v>
      </c>
      <c r="J1079" s="13">
        <v>0.0</v>
      </c>
      <c r="K1079" s="12" t="s">
        <v>21</v>
      </c>
      <c r="L1079" s="7">
        <v>40546.353425925925</v>
      </c>
      <c r="M1079" s="14" t="s">
        <v>1158</v>
      </c>
      <c r="N1079" s="16"/>
      <c r="O1079" s="11" t="str">
        <f t="shared" ref="O1079:O1080" si="124">HYPERLINK("https://pbs.twimg.com/profile_images/1222779560/cran1_normal.jpg","View")</f>
        <v>View</v>
      </c>
      <c r="P1079" s="15"/>
    </row>
    <row r="1080">
      <c r="A1080" s="7">
        <v>42423.25971064815</v>
      </c>
      <c r="B1080" s="8" t="str">
        <f t="shared" si="123"/>
        <v>@CRANberriesFeed</v>
      </c>
      <c r="C1080" s="10" t="s">
        <v>6282</v>
      </c>
      <c r="D1080" s="10" t="s">
        <v>8276</v>
      </c>
      <c r="E1080" s="11" t="str">
        <f>HYPERLINK("https://twitter.com/CRANberriesFeed/status/702134311559028736","702134311559028736")</f>
        <v>702134311559028736</v>
      </c>
      <c r="F1080" s="12" t="s">
        <v>6284</v>
      </c>
      <c r="G1080" s="13">
        <v>657.0</v>
      </c>
      <c r="H1080" s="13">
        <v>0.0</v>
      </c>
      <c r="I1080" s="13">
        <v>0.0</v>
      </c>
      <c r="J1080" s="13">
        <v>0.0</v>
      </c>
      <c r="K1080" s="12" t="s">
        <v>21</v>
      </c>
      <c r="L1080" s="7">
        <v>40546.353425925925</v>
      </c>
      <c r="M1080" s="14" t="s">
        <v>1158</v>
      </c>
      <c r="N1080" s="16"/>
      <c r="O1080" s="11" t="str">
        <f t="shared" si="124"/>
        <v>View</v>
      </c>
      <c r="P1080" s="15"/>
    </row>
    <row r="1081">
      <c r="A1081" s="7">
        <v>42423.260729166665</v>
      </c>
      <c r="B1081" s="8" t="str">
        <f>HYPERLINK("https://twitter.com/Aineuig","@Aineuig")</f>
        <v>@Aineuig</v>
      </c>
      <c r="C1081" s="10" t="s">
        <v>8277</v>
      </c>
      <c r="D1081" s="10" t="s">
        <v>8155</v>
      </c>
      <c r="E1081" s="11" t="str">
        <f>HYPERLINK("https://twitter.com/Aineuig/status/702134680015994880","702134680015994880")</f>
        <v>702134680015994880</v>
      </c>
      <c r="F1081" s="12" t="s">
        <v>20</v>
      </c>
      <c r="G1081" s="13">
        <v>76.0</v>
      </c>
      <c r="H1081" s="13">
        <v>207.0</v>
      </c>
      <c r="I1081" s="13">
        <v>3.0</v>
      </c>
      <c r="J1081" s="13">
        <v>0.0</v>
      </c>
      <c r="K1081" s="12" t="s">
        <v>21</v>
      </c>
      <c r="L1081" s="7">
        <v>39935.63158564815</v>
      </c>
      <c r="M1081" s="16"/>
      <c r="N1081" s="16"/>
      <c r="O1081" s="11" t="str">
        <f>HYPERLINK("https://pbs.twimg.com/profile_images/193373289/Aine_normal.jpg","View")</f>
        <v>View</v>
      </c>
      <c r="P1081" s="15"/>
    </row>
    <row r="1082">
      <c r="A1082" s="7">
        <v>42423.26269675926</v>
      </c>
      <c r="B1082" s="8" t="str">
        <f>HYPERLINK("https://twitter.com/alisonappling","@alisonappling")</f>
        <v>@alisonappling</v>
      </c>
      <c r="C1082" s="10" t="s">
        <v>8278</v>
      </c>
      <c r="D1082" s="10" t="s">
        <v>6319</v>
      </c>
      <c r="E1082" s="11" t="str">
        <f>HYPERLINK("https://twitter.com/alisonappling/status/702135395375448065","702135395375448065")</f>
        <v>702135395375448065</v>
      </c>
      <c r="F1082" s="12" t="s">
        <v>20</v>
      </c>
      <c r="G1082" s="13">
        <v>34.0</v>
      </c>
      <c r="H1082" s="13">
        <v>134.0</v>
      </c>
      <c r="I1082" s="13">
        <v>106.0</v>
      </c>
      <c r="J1082" s="13">
        <v>0.0</v>
      </c>
      <c r="K1082" s="12" t="s">
        <v>21</v>
      </c>
      <c r="L1082" s="7">
        <v>41324.46350694445</v>
      </c>
      <c r="M1082" s="16"/>
      <c r="N1082" s="16"/>
      <c r="O1082" s="11" t="str">
        <f>HYPERLINK("https://abs.twimg.com/sticky/default_profile_images/default_profile_1_normal.png","View")</f>
        <v>View</v>
      </c>
      <c r="P1082" s="15"/>
    </row>
    <row r="1083">
      <c r="A1083" s="7">
        <v>42423.262708333335</v>
      </c>
      <c r="B1083" s="8" t="str">
        <f>HYPERLINK("https://twitter.com/techrsr","@techrsr")</f>
        <v>@techrsr</v>
      </c>
      <c r="C1083" s="10" t="s">
        <v>8279</v>
      </c>
      <c r="D1083" s="10" t="s">
        <v>8280</v>
      </c>
      <c r="E1083" s="11" t="str">
        <f>HYPERLINK("https://twitter.com/techrsr/status/702135398240092162","702135398240092162")</f>
        <v>702135398240092162</v>
      </c>
      <c r="F1083" s="12" t="s">
        <v>446</v>
      </c>
      <c r="G1083" s="13">
        <v>4513.0</v>
      </c>
      <c r="H1083" s="13">
        <v>868.0</v>
      </c>
      <c r="I1083" s="13">
        <v>4.0</v>
      </c>
      <c r="J1083" s="13">
        <v>0.0</v>
      </c>
      <c r="K1083" s="12" t="s">
        <v>21</v>
      </c>
      <c r="L1083" s="7">
        <v>39573.53333333333</v>
      </c>
      <c r="M1083" s="16"/>
      <c r="N1083" s="16"/>
      <c r="O1083" s="11" t="str">
        <f>HYPERLINK("https://pbs.twimg.com/profile_images/3338571698/df89e01d4258687f9ca99c62b8840427_normal.jpeg","View")</f>
        <v>View</v>
      </c>
      <c r="P1083" s="15"/>
    </row>
    <row r="1084">
      <c r="A1084" s="7">
        <v>42423.262708333335</v>
      </c>
      <c r="B1084" s="8" t="str">
        <f>HYPERLINK("https://twitter.com/rexplorations","@rexplorations")</f>
        <v>@rexplorations</v>
      </c>
      <c r="C1084" s="10" t="s">
        <v>8281</v>
      </c>
      <c r="D1084" s="10" t="s">
        <v>8280</v>
      </c>
      <c r="E1084" s="11" t="str">
        <f>HYPERLINK("https://twitter.com/rexplorations/status/702135398303043584","702135398303043584")</f>
        <v>702135398303043584</v>
      </c>
      <c r="F1084" s="12" t="s">
        <v>446</v>
      </c>
      <c r="G1084" s="13">
        <v>276.0</v>
      </c>
      <c r="H1084" s="13">
        <v>269.0</v>
      </c>
      <c r="I1084" s="13">
        <v>4.0</v>
      </c>
      <c r="J1084" s="13">
        <v>0.0</v>
      </c>
      <c r="K1084" s="12" t="s">
        <v>21</v>
      </c>
      <c r="L1084" s="7">
        <v>40775.034467592595</v>
      </c>
      <c r="M1084" s="14" t="s">
        <v>34</v>
      </c>
      <c r="N1084" s="14" t="s">
        <v>8282</v>
      </c>
      <c r="O1084" s="11" t="str">
        <f>HYPERLINK("https://pbs.twimg.com/profile_images/631889051113537538/EwYW6Va-_normal.png","View")</f>
        <v>View</v>
      </c>
      <c r="P1084" s="15"/>
    </row>
    <row r="1085">
      <c r="A1085" s="7">
        <v>42423.26329861111</v>
      </c>
      <c r="B1085" s="8" t="str">
        <f>HYPERLINK("https://twitter.com/BobMuenchen","@BobMuenchen")</f>
        <v>@BobMuenchen</v>
      </c>
      <c r="C1085" s="10" t="s">
        <v>8283</v>
      </c>
      <c r="D1085" s="10" t="s">
        <v>8284</v>
      </c>
      <c r="E1085" s="11" t="str">
        <f>HYPERLINK("https://twitter.com/BobMuenchen/status/702135611831009281","702135611831009281")</f>
        <v>702135611831009281</v>
      </c>
      <c r="F1085" s="12" t="s">
        <v>20</v>
      </c>
      <c r="G1085" s="13">
        <v>602.0</v>
      </c>
      <c r="H1085" s="13">
        <v>61.0</v>
      </c>
      <c r="I1085" s="13">
        <v>2.0</v>
      </c>
      <c r="J1085" s="13">
        <v>3.0</v>
      </c>
      <c r="K1085" s="12" t="s">
        <v>21</v>
      </c>
      <c r="L1085" s="7">
        <v>39893.659363425926</v>
      </c>
      <c r="M1085" s="14" t="s">
        <v>8285</v>
      </c>
      <c r="N1085" s="14" t="s">
        <v>8286</v>
      </c>
      <c r="O1085" s="11" t="str">
        <f>HYPERLINK("https://pbs.twimg.com/profile_images/702486909457666048/E_UGbnO7_normal.jpg","View")</f>
        <v>View</v>
      </c>
      <c r="P1085" s="15"/>
    </row>
    <row r="1086">
      <c r="A1086" s="7">
        <v>42423.266793981486</v>
      </c>
      <c r="B1086" s="8" t="str">
        <f>HYPERLINK("https://twitter.com/esargent184","@esargent184")</f>
        <v>@esargent184</v>
      </c>
      <c r="C1086" s="10" t="s">
        <v>8287</v>
      </c>
      <c r="D1086" s="10" t="s">
        <v>7116</v>
      </c>
      <c r="E1086" s="11" t="str">
        <f>HYPERLINK("https://twitter.com/esargent184/status/702136879739699200","702136879739699200")</f>
        <v>702136879739699200</v>
      </c>
      <c r="F1086" s="12" t="s">
        <v>20</v>
      </c>
      <c r="G1086" s="13">
        <v>1446.0</v>
      </c>
      <c r="H1086" s="13">
        <v>806.0</v>
      </c>
      <c r="I1086" s="13">
        <v>16.0</v>
      </c>
      <c r="J1086" s="13">
        <v>0.0</v>
      </c>
      <c r="K1086" s="12" t="s">
        <v>21</v>
      </c>
      <c r="L1086" s="7">
        <v>40626.08190972223</v>
      </c>
      <c r="M1086" s="16"/>
      <c r="N1086" s="14" t="s">
        <v>8288</v>
      </c>
      <c r="O1086" s="11" t="str">
        <f>HYPERLINK("https://pbs.twimg.com/profile_images/468075906582724608/P4SkeQWy_normal.jpeg","View")</f>
        <v>View</v>
      </c>
      <c r="P1086" s="15"/>
    </row>
    <row r="1087">
      <c r="A1087" s="7">
        <v>42423.26899305556</v>
      </c>
      <c r="B1087" s="8" t="str">
        <f>HYPERLINK("https://twitter.com/adamson","@adamson")</f>
        <v>@adamson</v>
      </c>
      <c r="C1087" s="10" t="s">
        <v>6788</v>
      </c>
      <c r="D1087" s="10" t="s">
        <v>8289</v>
      </c>
      <c r="E1087" s="11" t="str">
        <f>HYPERLINK("https://twitter.com/adamson/status/702137674174435328","702137674174435328")</f>
        <v>702137674174435328</v>
      </c>
      <c r="F1087" s="12" t="s">
        <v>8290</v>
      </c>
      <c r="G1087" s="13">
        <v>10554.0</v>
      </c>
      <c r="H1087" s="13">
        <v>11289.0</v>
      </c>
      <c r="I1087" s="13">
        <v>0.0</v>
      </c>
      <c r="J1087" s="13">
        <v>0.0</v>
      </c>
      <c r="K1087" s="12" t="s">
        <v>21</v>
      </c>
      <c r="L1087" s="7">
        <v>39377.993796296294</v>
      </c>
      <c r="M1087" s="14" t="s">
        <v>6790</v>
      </c>
      <c r="N1087" s="14" t="s">
        <v>6791</v>
      </c>
      <c r="O1087" s="11" t="str">
        <f>HYPERLINK("https://pbs.twimg.com/profile_images/544790599589568512/26tIRo8H_normal.jpeg","View")</f>
        <v>View</v>
      </c>
      <c r="P1087" s="15"/>
    </row>
    <row r="1088">
      <c r="A1088" s="7">
        <v>42423.27202546297</v>
      </c>
      <c r="B1088" s="8" t="str">
        <f>HYPERLINK("https://twitter.com/abresler","@abresler")</f>
        <v>@abresler</v>
      </c>
      <c r="C1088" s="10" t="s">
        <v>6436</v>
      </c>
      <c r="D1088" s="10" t="s">
        <v>8291</v>
      </c>
      <c r="E1088" s="11" t="str">
        <f>HYPERLINK("https://twitter.com/abresler/status/702138773396656128","702138773396656128")</f>
        <v>702138773396656128</v>
      </c>
      <c r="F1088" s="12" t="s">
        <v>152</v>
      </c>
      <c r="G1088" s="13">
        <v>1626.0</v>
      </c>
      <c r="H1088" s="13">
        <v>2074.0</v>
      </c>
      <c r="I1088" s="13">
        <v>0.0</v>
      </c>
      <c r="J1088" s="13">
        <v>1.0</v>
      </c>
      <c r="K1088" s="12" t="s">
        <v>21</v>
      </c>
      <c r="L1088" s="7">
        <v>39796.802407407406</v>
      </c>
      <c r="M1088" s="14" t="s">
        <v>6438</v>
      </c>
      <c r="N1088" s="14" t="s">
        <v>6439</v>
      </c>
      <c r="O1088" s="11" t="str">
        <f>HYPERLINK("https://pbs.twimg.com/profile_images/669441951192760324/zJylEnJ7_normal.jpg","View")</f>
        <v>View</v>
      </c>
      <c r="P1088" s="15"/>
    </row>
    <row r="1089">
      <c r="A1089" s="7">
        <v>42423.2731712963</v>
      </c>
      <c r="B1089" s="8" t="str">
        <f>HYPERLINK("https://twitter.com/monkmanmh","@monkmanmh")</f>
        <v>@monkmanmh</v>
      </c>
      <c r="C1089" s="10" t="s">
        <v>7951</v>
      </c>
      <c r="D1089" s="10" t="s">
        <v>8280</v>
      </c>
      <c r="E1089" s="11" t="str">
        <f>HYPERLINK("https://twitter.com/monkmanmh/status/702139190499155969","702139190499155969")</f>
        <v>702139190499155969</v>
      </c>
      <c r="F1089" s="12" t="s">
        <v>20</v>
      </c>
      <c r="G1089" s="13">
        <v>257.0</v>
      </c>
      <c r="H1089" s="13">
        <v>821.0</v>
      </c>
      <c r="I1089" s="13">
        <v>4.0</v>
      </c>
      <c r="J1089" s="13">
        <v>0.0</v>
      </c>
      <c r="K1089" s="12" t="s">
        <v>21</v>
      </c>
      <c r="L1089" s="7">
        <v>40456.45587962963</v>
      </c>
      <c r="M1089" s="14" t="s">
        <v>7544</v>
      </c>
      <c r="N1089" s="14" t="s">
        <v>7952</v>
      </c>
      <c r="O1089" s="11" t="str">
        <f>HYPERLINK("https://pbs.twimg.com/profile_images/378800000326851690/31a53679fad3e2366222d213ad196573_normal.jpeg","View")</f>
        <v>View</v>
      </c>
      <c r="P1089" s="15"/>
    </row>
    <row r="1090">
      <c r="A1090" s="7">
        <v>42423.2744212963</v>
      </c>
      <c r="B1090" s="8" t="str">
        <f>HYPERLINK("https://twitter.com/davdittrich","@davdittrich")</f>
        <v>@davdittrich</v>
      </c>
      <c r="C1090" s="10" t="s">
        <v>8292</v>
      </c>
      <c r="D1090" s="10" t="s">
        <v>8293</v>
      </c>
      <c r="E1090" s="11" t="str">
        <f>HYPERLINK("https://twitter.com/davdittrich/status/702139641865043968","702139641865043968")</f>
        <v>702139641865043968</v>
      </c>
      <c r="F1090" s="12" t="s">
        <v>659</v>
      </c>
      <c r="G1090" s="13">
        <v>5948.0</v>
      </c>
      <c r="H1090" s="13">
        <v>418.0</v>
      </c>
      <c r="I1090" s="13">
        <v>0.0</v>
      </c>
      <c r="J1090" s="13">
        <v>1.0</v>
      </c>
      <c r="K1090" s="12" t="s">
        <v>21</v>
      </c>
      <c r="L1090" s="7">
        <v>39851.56518518519</v>
      </c>
      <c r="M1090" s="14" t="s">
        <v>1963</v>
      </c>
      <c r="N1090" s="14" t="s">
        <v>8294</v>
      </c>
      <c r="O1090" s="11" t="str">
        <f>HYPERLINK("https://pbs.twimg.com/profile_images/692706638759854080/GBVdUM6Z_normal.jpg","View")</f>
        <v>View</v>
      </c>
      <c r="P1090" s="15"/>
    </row>
    <row r="1091">
      <c r="A1091" s="7">
        <v>42423.27443287037</v>
      </c>
      <c r="B1091" s="8" t="str">
        <f>HYPERLINK("https://twitter.com/matthias31000","@matthias31000")</f>
        <v>@matthias31000</v>
      </c>
      <c r="C1091" s="10" t="s">
        <v>7158</v>
      </c>
      <c r="D1091" s="10" t="s">
        <v>8295</v>
      </c>
      <c r="E1091" s="11" t="str">
        <f>HYPERLINK("https://twitter.com/matthias31000/status/702139645128286208","702139645128286208")</f>
        <v>702139645128286208</v>
      </c>
      <c r="F1091" s="12" t="s">
        <v>20</v>
      </c>
      <c r="G1091" s="13">
        <v>494.0</v>
      </c>
      <c r="H1091" s="13">
        <v>451.0</v>
      </c>
      <c r="I1091" s="13">
        <v>0.0</v>
      </c>
      <c r="J1091" s="13">
        <v>0.0</v>
      </c>
      <c r="K1091" s="12" t="s">
        <v>21</v>
      </c>
      <c r="L1091" s="7">
        <v>41777.3262962963</v>
      </c>
      <c r="M1091" s="14" t="s">
        <v>7160</v>
      </c>
      <c r="N1091" s="14" t="s">
        <v>7161</v>
      </c>
      <c r="O1091" s="11" t="str">
        <f>HYPERLINK("https://pbs.twimg.com/profile_images/653156490744885249/Sb3VJNKH_normal.jpg","View")</f>
        <v>View</v>
      </c>
      <c r="P1091" s="15"/>
    </row>
    <row r="1092">
      <c r="A1092" s="7">
        <v>42423.27484953703</v>
      </c>
      <c r="B1092" s="8" t="str">
        <f>HYPERLINK("https://twitter.com/arun_sriniv","@arun_sriniv")</f>
        <v>@arun_sriniv</v>
      </c>
      <c r="C1092" s="10" t="s">
        <v>7528</v>
      </c>
      <c r="D1092" s="10" t="s">
        <v>7392</v>
      </c>
      <c r="E1092" s="11" t="str">
        <f>HYPERLINK("https://twitter.com/arun_sriniv/status/702139796072873984","702139796072873984")</f>
        <v>702139796072873984</v>
      </c>
      <c r="F1092" s="12" t="s">
        <v>20</v>
      </c>
      <c r="G1092" s="13">
        <v>600.0</v>
      </c>
      <c r="H1092" s="13">
        <v>92.0</v>
      </c>
      <c r="I1092" s="13">
        <v>4.0</v>
      </c>
      <c r="J1092" s="13">
        <v>0.0</v>
      </c>
      <c r="K1092" s="12" t="s">
        <v>21</v>
      </c>
      <c r="L1092" s="7">
        <v>41119.671689814815</v>
      </c>
      <c r="M1092" s="16"/>
      <c r="N1092" s="14" t="s">
        <v>7530</v>
      </c>
      <c r="O1092" s="11" t="str">
        <f>HYPERLINK("https://pbs.twimg.com/profile_images/590247580040212481/-empRtvH_normal.png","View")</f>
        <v>View</v>
      </c>
      <c r="P1092" s="15"/>
    </row>
    <row r="1093">
      <c r="A1093" s="7">
        <v>42423.27532407407</v>
      </c>
      <c r="B1093" s="8" t="str">
        <f>HYPERLINK("https://twitter.com/thomasp85","@thomasp85")</f>
        <v>@thomasp85</v>
      </c>
      <c r="C1093" s="10" t="s">
        <v>7089</v>
      </c>
      <c r="D1093" s="10" t="s">
        <v>8296</v>
      </c>
      <c r="E1093" s="11" t="str">
        <f>HYPERLINK("https://twitter.com/thomasp85/status/702139969704501248","702139969704501248")</f>
        <v>702139969704501248</v>
      </c>
      <c r="F1093" s="12" t="s">
        <v>20</v>
      </c>
      <c r="G1093" s="13">
        <v>166.0</v>
      </c>
      <c r="H1093" s="13">
        <v>45.0</v>
      </c>
      <c r="I1093" s="13">
        <v>1.0</v>
      </c>
      <c r="J1093" s="13">
        <v>2.0</v>
      </c>
      <c r="K1093" s="12" t="s">
        <v>21</v>
      </c>
      <c r="L1093" s="7">
        <v>41078.1696875</v>
      </c>
      <c r="M1093" s="14" t="s">
        <v>7091</v>
      </c>
      <c r="N1093" s="14" t="s">
        <v>7092</v>
      </c>
      <c r="O1093" s="11" t="str">
        <f>HYPERLINK("https://pbs.twimg.com/profile_images/685178010962505728/m0D-Pvwg_normal.jpg","View")</f>
        <v>View</v>
      </c>
      <c r="P1093" s="15"/>
    </row>
    <row r="1094">
      <c r="A1094" s="7">
        <v>42423.27618055556</v>
      </c>
      <c r="B1094" s="8" t="str">
        <f>HYPERLINK("https://twitter.com/knime","@knime")</f>
        <v>@knime</v>
      </c>
      <c r="C1094" s="10" t="s">
        <v>8297</v>
      </c>
      <c r="D1094" s="10" t="s">
        <v>8298</v>
      </c>
      <c r="E1094" s="11" t="str">
        <f>HYPERLINK("https://twitter.com/knime/status/702140280305164288","702140280305164288")</f>
        <v>702140280305164288</v>
      </c>
      <c r="F1094" s="12" t="s">
        <v>47</v>
      </c>
      <c r="G1094" s="13">
        <v>2428.0</v>
      </c>
      <c r="H1094" s="13">
        <v>19.0</v>
      </c>
      <c r="I1094" s="13">
        <v>2.0</v>
      </c>
      <c r="J1094" s="13">
        <v>0.0</v>
      </c>
      <c r="K1094" s="12" t="s">
        <v>21</v>
      </c>
      <c r="L1094" s="7">
        <v>40030.35325231482</v>
      </c>
      <c r="M1094" s="14" t="s">
        <v>6341</v>
      </c>
      <c r="N1094" s="14" t="s">
        <v>8299</v>
      </c>
      <c r="O1094" s="11" t="str">
        <f>HYPERLINK("https://pbs.twimg.com/profile_images/474145099241119746/uiMHRESP_normal.png","View")</f>
        <v>View</v>
      </c>
      <c r="P1094" s="15"/>
    </row>
    <row r="1095">
      <c r="A1095" s="7">
        <v>42423.27991898148</v>
      </c>
      <c r="B1095" s="8" t="str">
        <f>HYPERLINK("https://twitter.com/TemodT","@TemodT")</f>
        <v>@TemodT</v>
      </c>
      <c r="C1095" s="10" t="s">
        <v>8300</v>
      </c>
      <c r="D1095" s="10" t="s">
        <v>8301</v>
      </c>
      <c r="E1095" s="11" t="str">
        <f>HYPERLINK("https://twitter.com/TemodT/status/702141633832181762","702141633832181762")</f>
        <v>702141633832181762</v>
      </c>
      <c r="F1095" s="12" t="s">
        <v>52</v>
      </c>
      <c r="G1095" s="13">
        <v>102.0</v>
      </c>
      <c r="H1095" s="13">
        <v>634.0</v>
      </c>
      <c r="I1095" s="13">
        <v>29.0</v>
      </c>
      <c r="J1095" s="13">
        <v>0.0</v>
      </c>
      <c r="K1095" s="12" t="s">
        <v>21</v>
      </c>
      <c r="L1095" s="7">
        <v>41876.37263888889</v>
      </c>
      <c r="M1095" s="16"/>
      <c r="N1095" s="14" t="s">
        <v>8302</v>
      </c>
      <c r="O1095" s="11" t="str">
        <f>HYPERLINK("https://pbs.twimg.com/profile_images/702892614194843649/cmqXIP46_normal.jpg","View")</f>
        <v>View</v>
      </c>
      <c r="P1095" s="15"/>
    </row>
    <row r="1096">
      <c r="A1096" s="7">
        <v>42423.28199074074</v>
      </c>
      <c r="B1096" s="8" t="str">
        <f>HYPERLINK("https://twitter.com/BigDataU","@BigDataU")</f>
        <v>@BigDataU</v>
      </c>
      <c r="C1096" s="10" t="s">
        <v>8303</v>
      </c>
      <c r="D1096" s="10" t="s">
        <v>7882</v>
      </c>
      <c r="E1096" s="11" t="str">
        <f>HYPERLINK("https://twitter.com/BigDataU/status/702142385762000896","702142385762000896")</f>
        <v>702142385762000896</v>
      </c>
      <c r="F1096" s="12" t="s">
        <v>20</v>
      </c>
      <c r="G1096" s="13">
        <v>2969.0</v>
      </c>
      <c r="H1096" s="13">
        <v>883.0</v>
      </c>
      <c r="I1096" s="13">
        <v>3.0</v>
      </c>
      <c r="J1096" s="13">
        <v>0.0</v>
      </c>
      <c r="K1096" s="12" t="s">
        <v>21</v>
      </c>
      <c r="L1096" s="7">
        <v>40753.545625</v>
      </c>
      <c r="M1096" s="16"/>
      <c r="N1096" s="14" t="s">
        <v>8304</v>
      </c>
      <c r="O1096" s="11" t="str">
        <f>HYPERLINK("https://pbs.twimg.com/profile_images/644525012217540609/Ly1oIXVh_normal.png","View")</f>
        <v>View</v>
      </c>
      <c r="P1096" s="15"/>
    </row>
    <row r="1097">
      <c r="A1097" s="7">
        <v>42423.28429398148</v>
      </c>
      <c r="B1097" s="8" t="str">
        <f>HYPERLINK("https://twitter.com/Dalal_EL_Hanna","@Dalal_EL_Hanna")</f>
        <v>@Dalal_EL_Hanna</v>
      </c>
      <c r="C1097" s="10" t="s">
        <v>8305</v>
      </c>
      <c r="D1097" s="10" t="s">
        <v>8306</v>
      </c>
      <c r="E1097" s="11" t="str">
        <f>HYPERLINK("https://twitter.com/Dalal_EL_Hanna/status/702143221657370624","702143221657370624")</f>
        <v>702143221657370624</v>
      </c>
      <c r="F1097" s="12" t="s">
        <v>20</v>
      </c>
      <c r="G1097" s="13">
        <v>73.0</v>
      </c>
      <c r="H1097" s="13">
        <v>86.0</v>
      </c>
      <c r="I1097" s="13">
        <v>1.0</v>
      </c>
      <c r="J1097" s="13">
        <v>2.0</v>
      </c>
      <c r="K1097" s="12" t="s">
        <v>21</v>
      </c>
      <c r="L1097" s="7">
        <v>42279.644479166665</v>
      </c>
      <c r="M1097" s="14" t="s">
        <v>1806</v>
      </c>
      <c r="N1097" s="14" t="s">
        <v>8307</v>
      </c>
      <c r="O1097" s="11" t="str">
        <f>HYPERLINK("https://pbs.twimg.com/profile_images/650500150255841280/I6oTK-Gf_normal.jpg","View")</f>
        <v>View</v>
      </c>
      <c r="P1097" s="15"/>
    </row>
    <row r="1098">
      <c r="A1098" s="7">
        <v>42423.28445601852</v>
      </c>
      <c r="B1098" s="8" t="str">
        <f>HYPERLINK("https://twitter.com/Unsichtbarer","@Unsichtbarer")</f>
        <v>@Unsichtbarer</v>
      </c>
      <c r="C1098" s="10" t="s">
        <v>8308</v>
      </c>
      <c r="D1098" s="10" t="s">
        <v>8301</v>
      </c>
      <c r="E1098" s="11" t="str">
        <f>HYPERLINK("https://twitter.com/Unsichtbarer/status/702143276883845120","702143276883845120")</f>
        <v>702143276883845120</v>
      </c>
      <c r="F1098" s="12" t="s">
        <v>446</v>
      </c>
      <c r="G1098" s="13">
        <v>207.0</v>
      </c>
      <c r="H1098" s="13">
        <v>372.0</v>
      </c>
      <c r="I1098" s="13">
        <v>29.0</v>
      </c>
      <c r="J1098" s="13">
        <v>0.0</v>
      </c>
      <c r="K1098" s="12" t="s">
        <v>21</v>
      </c>
      <c r="L1098" s="7">
        <v>39998.11709490741</v>
      </c>
      <c r="M1098" s="14" t="s">
        <v>8309</v>
      </c>
      <c r="N1098" s="14" t="s">
        <v>8310</v>
      </c>
      <c r="O1098" s="11" t="str">
        <f>HYPERLINK("https://pbs.twimg.com/profile_images/2864653285/a026ddac7b389fe2ce70428c4aba1512_normal.jpeg","View")</f>
        <v>View</v>
      </c>
      <c r="P1098" s="15"/>
    </row>
    <row r="1099">
      <c r="A1099" s="7">
        <v>42423.28668981481</v>
      </c>
      <c r="B1099" s="8" t="str">
        <f>HYPERLINK("https://twitter.com/arnicas","@arnicas")</f>
        <v>@arnicas</v>
      </c>
      <c r="C1099" s="10" t="s">
        <v>8311</v>
      </c>
      <c r="D1099" s="10" t="s">
        <v>7913</v>
      </c>
      <c r="E1099" s="11" t="str">
        <f>HYPERLINK("https://twitter.com/arnicas/status/702144089299542016","702144089299542016")</f>
        <v>702144089299542016</v>
      </c>
      <c r="F1099" s="12" t="s">
        <v>446</v>
      </c>
      <c r="G1099" s="13">
        <v>6764.0</v>
      </c>
      <c r="H1099" s="13">
        <v>2447.0</v>
      </c>
      <c r="I1099" s="13">
        <v>18.0</v>
      </c>
      <c r="J1099" s="13">
        <v>0.0</v>
      </c>
      <c r="K1099" s="12" t="s">
        <v>21</v>
      </c>
      <c r="L1099" s="7">
        <v>39220.56439814815</v>
      </c>
      <c r="M1099" s="14" t="s">
        <v>8312</v>
      </c>
      <c r="N1099" s="14" t="s">
        <v>8313</v>
      </c>
      <c r="O1099" s="11" t="str">
        <f>HYPERLINK("https://pbs.twimg.com/profile_images/53142956/Saw-whet_Owl_10_normal.jpg","View")</f>
        <v>View</v>
      </c>
      <c r="P1099" s="15"/>
    </row>
    <row r="1100">
      <c r="A1100" s="7">
        <v>42423.287511574075</v>
      </c>
      <c r="B1100" s="8" t="str">
        <f>HYPERLINK("https://twitter.com/sfrechette","@sfrechette")</f>
        <v>@sfrechette</v>
      </c>
      <c r="C1100" s="10" t="s">
        <v>6564</v>
      </c>
      <c r="D1100" s="10" t="s">
        <v>8314</v>
      </c>
      <c r="E1100" s="11" t="str">
        <f>HYPERLINK("https://twitter.com/sfrechette/status/702144385421615104","702144385421615104")</f>
        <v>702144385421615104</v>
      </c>
      <c r="F1100" s="12" t="s">
        <v>6566</v>
      </c>
      <c r="G1100" s="13">
        <v>1352.0</v>
      </c>
      <c r="H1100" s="13">
        <v>1178.0</v>
      </c>
      <c r="I1100" s="13">
        <v>0.0</v>
      </c>
      <c r="J1100" s="13">
        <v>0.0</v>
      </c>
      <c r="K1100" s="12" t="s">
        <v>21</v>
      </c>
      <c r="L1100" s="7">
        <v>39873.53702546297</v>
      </c>
      <c r="M1100" s="14" t="s">
        <v>6567</v>
      </c>
      <c r="N1100" s="14" t="s">
        <v>6568</v>
      </c>
      <c r="O1100" s="11" t="str">
        <f>HYPERLINK("https://pbs.twimg.com/profile_images/662342111799304192/Xtv8MZ-P_normal.jpg","View")</f>
        <v>View</v>
      </c>
      <c r="P1100" s="15"/>
    </row>
    <row r="1101">
      <c r="A1101" s="7">
        <v>42423.28912037037</v>
      </c>
      <c r="B1101" s="8" t="str">
        <f>HYPERLINK("https://twitter.com/Nitro_MacFescue","@Nitro_MacFescue")</f>
        <v>@Nitro_MacFescue</v>
      </c>
      <c r="C1101" s="10" t="s">
        <v>8315</v>
      </c>
      <c r="D1101" s="10" t="s">
        <v>8316</v>
      </c>
      <c r="E1101" s="11" t="str">
        <f>HYPERLINK("https://twitter.com/Nitro_MacFescue/status/702144968429686784","702144968429686784")</f>
        <v>702144968429686784</v>
      </c>
      <c r="F1101" s="12" t="s">
        <v>20</v>
      </c>
      <c r="G1101" s="13">
        <v>19.0</v>
      </c>
      <c r="H1101" s="13">
        <v>51.0</v>
      </c>
      <c r="I1101" s="13">
        <v>0.0</v>
      </c>
      <c r="J1101" s="13">
        <v>1.0</v>
      </c>
      <c r="K1101" s="12" t="s">
        <v>21</v>
      </c>
      <c r="L1101" s="7">
        <v>42171.51359953704</v>
      </c>
      <c r="M1101" s="14" t="s">
        <v>7780</v>
      </c>
      <c r="N1101" s="14" t="s">
        <v>8317</v>
      </c>
      <c r="O1101" s="11" t="str">
        <f>HYPERLINK("https://pbs.twimg.com/profile_images/661208241972506624/1CoMP3hc_normal.jpg","View")</f>
        <v>View</v>
      </c>
      <c r="P1101" s="15"/>
    </row>
    <row r="1102">
      <c r="A1102" s="7">
        <v>42423.289988425924</v>
      </c>
      <c r="B1102" s="8" t="str">
        <f>HYPERLINK("https://twitter.com/gizm0_0","@gizm0_0")</f>
        <v>@gizm0_0</v>
      </c>
      <c r="C1102" s="10" t="s">
        <v>8318</v>
      </c>
      <c r="D1102" s="10" t="s">
        <v>7913</v>
      </c>
      <c r="E1102" s="11" t="str">
        <f>HYPERLINK("https://twitter.com/gizm0_0/status/702145284701188101","702145284701188101")</f>
        <v>702145284701188101</v>
      </c>
      <c r="F1102" s="12" t="s">
        <v>52</v>
      </c>
      <c r="G1102" s="13">
        <v>263.0</v>
      </c>
      <c r="H1102" s="13">
        <v>294.0</v>
      </c>
      <c r="I1102" s="13">
        <v>18.0</v>
      </c>
      <c r="J1102" s="13">
        <v>0.0</v>
      </c>
      <c r="K1102" s="12" t="s">
        <v>21</v>
      </c>
      <c r="L1102" s="7">
        <v>40737.856354166666</v>
      </c>
      <c r="M1102" s="14" t="s">
        <v>8319</v>
      </c>
      <c r="N1102" s="14" t="s">
        <v>8320</v>
      </c>
      <c r="O1102" s="11" t="str">
        <f>HYPERLINK("https://pbs.twimg.com/profile_images/656935254872068096/iYxYg738_normal.jpg","View")</f>
        <v>View</v>
      </c>
      <c r="P1102" s="15"/>
    </row>
    <row r="1103">
      <c r="A1103" s="7">
        <v>42423.29083333333</v>
      </c>
      <c r="B1103" s="8" t="str">
        <f>HYPERLINK("https://twitter.com/RealPython","@RealPython")</f>
        <v>@RealPython</v>
      </c>
      <c r="C1103" s="9" t="s">
        <v>1021</v>
      </c>
      <c r="D1103" s="10" t="s">
        <v>7913</v>
      </c>
      <c r="E1103" s="11" t="str">
        <f>HYPERLINK("https://twitter.com/RealPython/status/702145589664821248","702145589664821248")</f>
        <v>702145589664821248</v>
      </c>
      <c r="F1103" s="12" t="s">
        <v>20</v>
      </c>
      <c r="G1103" s="13">
        <v>5088.0</v>
      </c>
      <c r="H1103" s="13">
        <v>39.0</v>
      </c>
      <c r="I1103" s="13">
        <v>18.0</v>
      </c>
      <c r="J1103" s="13">
        <v>0.0</v>
      </c>
      <c r="K1103" s="12" t="s">
        <v>21</v>
      </c>
      <c r="L1103" s="7">
        <v>41129.57270833333</v>
      </c>
      <c r="M1103" s="16"/>
      <c r="N1103" s="14" t="s">
        <v>1022</v>
      </c>
      <c r="O1103" s="11" t="str">
        <f>HYPERLINK("https://pbs.twimg.com/profile_images/3312468366/129323224633d71286101d517a2f9817_normal.png","View")</f>
        <v>View</v>
      </c>
      <c r="P1103" s="15"/>
    </row>
    <row r="1104">
      <c r="A1104" s="7">
        <v>42423.29615740741</v>
      </c>
      <c r="B1104" s="8" t="str">
        <f>HYPERLINK("https://twitter.com/fjalolop000","@fjalolop000")</f>
        <v>@fjalolop000</v>
      </c>
      <c r="C1104" s="10" t="s">
        <v>6576</v>
      </c>
      <c r="D1104" s="10" t="s">
        <v>8052</v>
      </c>
      <c r="E1104" s="11" t="str">
        <f>HYPERLINK("https://twitter.com/fjalolop000/status/702147518134624258","702147518134624258")</f>
        <v>702147518134624258</v>
      </c>
      <c r="F1104" s="12" t="s">
        <v>152</v>
      </c>
      <c r="G1104" s="13">
        <v>16.0</v>
      </c>
      <c r="H1104" s="13">
        <v>54.0</v>
      </c>
      <c r="I1104" s="13">
        <v>4.0</v>
      </c>
      <c r="J1104" s="13">
        <v>0.0</v>
      </c>
      <c r="K1104" s="12" t="s">
        <v>21</v>
      </c>
      <c r="L1104" s="7">
        <v>41617.3140625</v>
      </c>
      <c r="M1104" s="16"/>
      <c r="N1104" s="16"/>
      <c r="O1104" s="11" t="str">
        <f>HYPERLINK("https://pbs.twimg.com/profile_images/576799609873428480/V8akQ-mi_normal.jpeg","View")</f>
        <v>View</v>
      </c>
      <c r="P1104" s="15"/>
    </row>
    <row r="1105">
      <c r="A1105" s="7">
        <v>42423.29665509259</v>
      </c>
      <c r="B1105" s="8" t="str">
        <f>HYPERLINK("https://twitter.com/deronaucoin","@deronaucoin")</f>
        <v>@deronaucoin</v>
      </c>
      <c r="C1105" s="10" t="s">
        <v>5252</v>
      </c>
      <c r="D1105" s="10" t="s">
        <v>7913</v>
      </c>
      <c r="E1105" s="11" t="str">
        <f>HYPERLINK("https://twitter.com/deronaucoin/status/702147700754505728","702147700754505728")</f>
        <v>702147700754505728</v>
      </c>
      <c r="F1105" s="12" t="s">
        <v>52</v>
      </c>
      <c r="G1105" s="13">
        <v>345.0</v>
      </c>
      <c r="H1105" s="13">
        <v>619.0</v>
      </c>
      <c r="I1105" s="13">
        <v>18.0</v>
      </c>
      <c r="J1105" s="13">
        <v>0.0</v>
      </c>
      <c r="K1105" s="12" t="s">
        <v>21</v>
      </c>
      <c r="L1105" s="7">
        <v>39821.8975</v>
      </c>
      <c r="M1105" s="14" t="s">
        <v>5253</v>
      </c>
      <c r="N1105" s="14" t="s">
        <v>5254</v>
      </c>
      <c r="O1105" s="11" t="str">
        <f>HYPERLINK("https://pbs.twimg.com/profile_images/2344675896/image_normal.jpg","View")</f>
        <v>View</v>
      </c>
      <c r="P1105" s="15"/>
    </row>
    <row r="1106">
      <c r="A1106" s="7">
        <v>42423.299050925925</v>
      </c>
      <c r="B1106" s="8" t="str">
        <f>HYPERLINK("https://twitter.com/mianromu","@mianromu")</f>
        <v>@mianromu</v>
      </c>
      <c r="C1106" s="10" t="s">
        <v>8321</v>
      </c>
      <c r="D1106" s="10" t="s">
        <v>8322</v>
      </c>
      <c r="E1106" s="11" t="str">
        <f>HYPERLINK("https://twitter.com/mianromu/status/702148567864102913","702148567864102913")</f>
        <v>702148567864102913</v>
      </c>
      <c r="F1106" s="12" t="s">
        <v>152</v>
      </c>
      <c r="G1106" s="13">
        <v>203.0</v>
      </c>
      <c r="H1106" s="13">
        <v>256.0</v>
      </c>
      <c r="I1106" s="13">
        <v>0.0</v>
      </c>
      <c r="J1106" s="13">
        <v>0.0</v>
      </c>
      <c r="K1106" s="12" t="s">
        <v>21</v>
      </c>
      <c r="L1106" s="7">
        <v>40460.602013888885</v>
      </c>
      <c r="M1106" s="16"/>
      <c r="N1106" s="16"/>
      <c r="O1106" s="11" t="str">
        <f>HYPERLINK("https://pbs.twimg.com/profile_images/378800000207698056/90681b52392bc9c5378ed272853d8659_normal.jpeg","View")</f>
        <v>View</v>
      </c>
      <c r="P1106" s="15"/>
    </row>
    <row r="1107">
      <c r="A1107" s="7">
        <v>42423.30259259259</v>
      </c>
      <c r="B1107" s="8" t="str">
        <f>HYPERLINK("https://twitter.com/westbrobby","@westbrobby")</f>
        <v>@westbrobby</v>
      </c>
      <c r="C1107" s="10" t="s">
        <v>8323</v>
      </c>
      <c r="D1107" s="10" t="s">
        <v>8324</v>
      </c>
      <c r="E1107" s="11" t="str">
        <f>HYPERLINK("https://twitter.com/westbrobby/status/702149850436075522","702149850436075522")</f>
        <v>702149850436075522</v>
      </c>
      <c r="F1107" s="12" t="s">
        <v>20</v>
      </c>
      <c r="G1107" s="13">
        <v>293.0</v>
      </c>
      <c r="H1107" s="13">
        <v>769.0</v>
      </c>
      <c r="I1107" s="13">
        <v>0.0</v>
      </c>
      <c r="J1107" s="13">
        <v>0.0</v>
      </c>
      <c r="K1107" s="12" t="s">
        <v>21</v>
      </c>
      <c r="L1107" s="7">
        <v>41016.263715277775</v>
      </c>
      <c r="M1107" s="14" t="s">
        <v>8325</v>
      </c>
      <c r="N1107" s="14" t="s">
        <v>8326</v>
      </c>
      <c r="O1107" s="11" t="str">
        <f>HYPERLINK("https://pbs.twimg.com/profile_images/494183080949579776/ErmJ49WR_normal.jpeg","View")</f>
        <v>View</v>
      </c>
      <c r="P1107" s="15"/>
    </row>
    <row r="1108">
      <c r="A1108" s="7">
        <v>42423.303495370375</v>
      </c>
      <c r="B1108" s="8" t="str">
        <f>HYPERLINK("https://twitter.com/dragonflystats","@dragonflystats")</f>
        <v>@dragonflystats</v>
      </c>
      <c r="C1108" s="10" t="s">
        <v>7344</v>
      </c>
      <c r="D1108" s="10" t="s">
        <v>8327</v>
      </c>
      <c r="E1108" s="11" t="str">
        <f>HYPERLINK("https://twitter.com/dragonflystats/status/702150177952501766","702150177952501766")</f>
        <v>702150177952501766</v>
      </c>
      <c r="F1108" s="12" t="s">
        <v>20</v>
      </c>
      <c r="G1108" s="13">
        <v>2313.0</v>
      </c>
      <c r="H1108" s="13">
        <v>2016.0</v>
      </c>
      <c r="I1108" s="13">
        <v>2.0</v>
      </c>
      <c r="J1108" s="13">
        <v>2.0</v>
      </c>
      <c r="K1108" s="12" t="s">
        <v>21</v>
      </c>
      <c r="L1108" s="7">
        <v>41356.21569444444</v>
      </c>
      <c r="M1108" s="14" t="s">
        <v>1031</v>
      </c>
      <c r="N1108" s="14" t="s">
        <v>7346</v>
      </c>
      <c r="O1108" s="11" t="str">
        <f>HYPERLINK("https://pbs.twimg.com/profile_images/3427713318/840e4aa0a6dca9263a0507fbfe4c4074_normal.jpeg","View")</f>
        <v>View</v>
      </c>
      <c r="P1108" s="15"/>
    </row>
    <row r="1109">
      <c r="A1109" s="7">
        <v>42423.303761574076</v>
      </c>
      <c r="B1109" s="8" t="str">
        <f>HYPERLINK("https://twitter.com/yodacomplex","@yodacomplex")</f>
        <v>@yodacomplex</v>
      </c>
      <c r="C1109" s="10" t="s">
        <v>7063</v>
      </c>
      <c r="D1109" s="10" t="s">
        <v>8328</v>
      </c>
      <c r="E1109" s="11" t="str">
        <f>HYPERLINK("https://twitter.com/yodacomplex/status/702150276111794177","702150276111794177")</f>
        <v>702150276111794177</v>
      </c>
      <c r="F1109" s="12" t="s">
        <v>20</v>
      </c>
      <c r="G1109" s="13">
        <v>1521.0</v>
      </c>
      <c r="H1109" s="13">
        <v>1195.0</v>
      </c>
      <c r="I1109" s="13">
        <v>2.0</v>
      </c>
      <c r="J1109" s="13">
        <v>0.0</v>
      </c>
      <c r="K1109" s="12" t="s">
        <v>21</v>
      </c>
      <c r="L1109" s="7">
        <v>40632.58425925926</v>
      </c>
      <c r="M1109" s="14" t="s">
        <v>1031</v>
      </c>
      <c r="N1109" s="14" t="s">
        <v>7065</v>
      </c>
      <c r="O1109" s="11" t="str">
        <f>HYPERLINK("https://pbs.twimg.com/profile_images/666986454225154048/UR-LOD3R_normal.jpg","View")</f>
        <v>View</v>
      </c>
      <c r="P1109" s="15"/>
    </row>
    <row r="1110">
      <c r="A1110" s="7">
        <v>42423.30546296296</v>
      </c>
      <c r="B1110" s="8" t="str">
        <f>HYPERLINK("https://twitter.com/MikeyJ","@MikeyJ")</f>
        <v>@MikeyJ</v>
      </c>
      <c r="C1110" s="10" t="s">
        <v>8329</v>
      </c>
      <c r="D1110" s="10" t="s">
        <v>8328</v>
      </c>
      <c r="E1110" s="11" t="str">
        <f>HYPERLINK("https://twitter.com/MikeyJ/status/702150890174734336","702150890174734336")</f>
        <v>702150890174734336</v>
      </c>
      <c r="F1110" s="12" t="s">
        <v>152</v>
      </c>
      <c r="G1110" s="13">
        <v>1006.0</v>
      </c>
      <c r="H1110" s="13">
        <v>1530.0</v>
      </c>
      <c r="I1110" s="13">
        <v>2.0</v>
      </c>
      <c r="J1110" s="13">
        <v>0.0</v>
      </c>
      <c r="K1110" s="12" t="s">
        <v>21</v>
      </c>
      <c r="L1110" s="7">
        <v>39220.16134259259</v>
      </c>
      <c r="M1110" s="14" t="s">
        <v>489</v>
      </c>
      <c r="N1110" s="14" t="s">
        <v>8330</v>
      </c>
      <c r="O1110" s="11" t="str">
        <f>HYPERLINK("https://pbs.twimg.com/profile_images/619782944652152832/eG_SmB8Z_normal.jpg","View")</f>
        <v>View</v>
      </c>
      <c r="P1110" s="15"/>
    </row>
    <row r="1111">
      <c r="A1111" s="7">
        <v>42423.30681712963</v>
      </c>
      <c r="B1111" s="8" t="str">
        <f>HYPERLINK("https://twitter.com/laabidi_raissi","@laabidi_raissi")</f>
        <v>@laabidi_raissi</v>
      </c>
      <c r="C1111" s="10" t="s">
        <v>8331</v>
      </c>
      <c r="D1111" s="10" t="s">
        <v>8265</v>
      </c>
      <c r="E1111" s="11" t="str">
        <f>HYPERLINK("https://twitter.com/laabidi_raissi/status/702151383999496192","702151383999496192")</f>
        <v>702151383999496192</v>
      </c>
      <c r="F1111" s="12" t="s">
        <v>152</v>
      </c>
      <c r="G1111" s="13">
        <v>53.0</v>
      </c>
      <c r="H1111" s="13">
        <v>436.0</v>
      </c>
      <c r="I1111" s="13">
        <v>3.0</v>
      </c>
      <c r="J1111" s="13">
        <v>0.0</v>
      </c>
      <c r="K1111" s="12" t="s">
        <v>21</v>
      </c>
      <c r="L1111" s="7">
        <v>39944.63722222222</v>
      </c>
      <c r="M1111" s="14" t="s">
        <v>241</v>
      </c>
      <c r="N1111" s="16"/>
      <c r="O1111" s="11" t="str">
        <f>HYPERLINK("https://abs.twimg.com/sticky/default_profile_images/default_profile_2_normal.png","View")</f>
        <v>View</v>
      </c>
      <c r="P1111" s="15"/>
    </row>
    <row r="1112">
      <c r="A1112" s="7">
        <v>42423.312060185184</v>
      </c>
      <c r="B1112" s="8" t="str">
        <f>HYPERLINK("https://twitter.com/isabelsassoon","@isabelsassoon")</f>
        <v>@isabelsassoon</v>
      </c>
      <c r="C1112" s="10" t="s">
        <v>8332</v>
      </c>
      <c r="D1112" s="10" t="s">
        <v>7913</v>
      </c>
      <c r="E1112" s="11" t="str">
        <f>HYPERLINK("https://twitter.com/isabelsassoon/status/702153281913626624","702153281913626624")</f>
        <v>702153281913626624</v>
      </c>
      <c r="F1112" s="12" t="s">
        <v>52</v>
      </c>
      <c r="G1112" s="13">
        <v>41.0</v>
      </c>
      <c r="H1112" s="13">
        <v>104.0</v>
      </c>
      <c r="I1112" s="13">
        <v>18.0</v>
      </c>
      <c r="J1112" s="13">
        <v>0.0</v>
      </c>
      <c r="K1112" s="12" t="s">
        <v>21</v>
      </c>
      <c r="L1112" s="7">
        <v>40792.520902777775</v>
      </c>
      <c r="M1112" s="14" t="s">
        <v>489</v>
      </c>
      <c r="N1112" s="14" t="s">
        <v>8333</v>
      </c>
      <c r="O1112" s="11" t="str">
        <f>HYPERLINK("https://pbs.twimg.com/profile_images/569466486641946624/Zc9XLrXx_normal.jpeg","View")</f>
        <v>View</v>
      </c>
      <c r="P1112" s="15"/>
    </row>
    <row r="1113">
      <c r="A1113" s="7">
        <v>42423.31240740741</v>
      </c>
      <c r="B1113" s="8" t="str">
        <f>HYPERLINK("https://twitter.com/dragonflystats","@dragonflystats")</f>
        <v>@dragonflystats</v>
      </c>
      <c r="C1113" s="10" t="s">
        <v>7344</v>
      </c>
      <c r="D1113" s="10" t="s">
        <v>8334</v>
      </c>
      <c r="E1113" s="11" t="str">
        <f>HYPERLINK("https://twitter.com/dragonflystats/status/702153406081794048","702153406081794048")</f>
        <v>702153406081794048</v>
      </c>
      <c r="F1113" s="12" t="s">
        <v>20</v>
      </c>
      <c r="G1113" s="13">
        <v>2313.0</v>
      </c>
      <c r="H1113" s="13">
        <v>2016.0</v>
      </c>
      <c r="I1113" s="13">
        <v>33.0</v>
      </c>
      <c r="J1113" s="13">
        <v>0.0</v>
      </c>
      <c r="K1113" s="12" t="s">
        <v>21</v>
      </c>
      <c r="L1113" s="7">
        <v>41356.21569444444</v>
      </c>
      <c r="M1113" s="14" t="s">
        <v>1031</v>
      </c>
      <c r="N1113" s="14" t="s">
        <v>7346</v>
      </c>
      <c r="O1113" s="11" t="str">
        <f>HYPERLINK("https://pbs.twimg.com/profile_images/3427713318/840e4aa0a6dca9263a0507fbfe4c4074_normal.jpeg","View")</f>
        <v>View</v>
      </c>
      <c r="P1113" s="15"/>
    </row>
    <row r="1114">
      <c r="A1114" s="7">
        <v>42423.31489583333</v>
      </c>
      <c r="B1114" s="8" t="str">
        <f>HYPERLINK("https://twitter.com/plon_io","@plon_io")</f>
        <v>@plon_io</v>
      </c>
      <c r="C1114" s="9" t="s">
        <v>4619</v>
      </c>
      <c r="D1114" s="10" t="s">
        <v>8335</v>
      </c>
      <c r="E1114" s="11" t="str">
        <f>HYPERLINK("https://twitter.com/plon_io/status/702154310071754752","702154310071754752")</f>
        <v>702154310071754752</v>
      </c>
      <c r="F1114" s="12" t="s">
        <v>20</v>
      </c>
      <c r="G1114" s="13">
        <v>59.0</v>
      </c>
      <c r="H1114" s="13">
        <v>166.0</v>
      </c>
      <c r="I1114" s="13">
        <v>22.0</v>
      </c>
      <c r="J1114" s="13">
        <v>0.0</v>
      </c>
      <c r="K1114" s="12" t="s">
        <v>21</v>
      </c>
      <c r="L1114" s="7">
        <v>42077.03866898148</v>
      </c>
      <c r="M1114" s="14" t="s">
        <v>4621</v>
      </c>
      <c r="N1114" s="14" t="s">
        <v>4622</v>
      </c>
      <c r="O1114" s="11" t="str">
        <f>HYPERLINK("https://pbs.twimg.com/profile_images/589367041536176128/TfjOhvci_normal.png","View")</f>
        <v>View</v>
      </c>
      <c r="P1114" s="15"/>
    </row>
    <row r="1115">
      <c r="A1115" s="7">
        <v>42423.31634259259</v>
      </c>
      <c r="B1115" s="8" t="str">
        <f>HYPERLINK("https://twitter.com/timelyportfolio","@timelyportfolio")</f>
        <v>@timelyportfolio</v>
      </c>
      <c r="C1115" s="10" t="s">
        <v>3698</v>
      </c>
      <c r="D1115" s="10" t="s">
        <v>8334</v>
      </c>
      <c r="E1115" s="11" t="str">
        <f>HYPERLINK("https://twitter.com/timelyportfolio/status/702154835651600389","702154835651600389")</f>
        <v>702154835651600389</v>
      </c>
      <c r="F1115" s="12" t="s">
        <v>20</v>
      </c>
      <c r="G1115" s="13">
        <v>1875.0</v>
      </c>
      <c r="H1115" s="13">
        <v>2248.0</v>
      </c>
      <c r="I1115" s="13">
        <v>33.0</v>
      </c>
      <c r="J1115" s="13">
        <v>0.0</v>
      </c>
      <c r="K1115" s="12" t="s">
        <v>21</v>
      </c>
      <c r="L1115" s="7">
        <v>40573.86280092593</v>
      </c>
      <c r="M1115" s="14" t="s">
        <v>3700</v>
      </c>
      <c r="N1115" s="14" t="s">
        <v>3701</v>
      </c>
      <c r="O1115" s="11" t="str">
        <f>HYPERLINK("https://pbs.twimg.com/profile_images/2198946077/image_normal.jpg","View")</f>
        <v>View</v>
      </c>
      <c r="P1115" s="15"/>
    </row>
    <row r="1116">
      <c r="A1116" s="7">
        <v>42423.317453703705</v>
      </c>
      <c r="B1116" s="8" t="str">
        <f>HYPERLINK("https://twitter.com/joranelias","@joranelias")</f>
        <v>@joranelias</v>
      </c>
      <c r="C1116" s="10" t="s">
        <v>8336</v>
      </c>
      <c r="D1116" s="10" t="s">
        <v>8337</v>
      </c>
      <c r="E1116" s="11" t="str">
        <f>HYPERLINK("https://twitter.com/joranelias/status/702155235318312961","702155235318312961")</f>
        <v>702155235318312961</v>
      </c>
      <c r="F1116" s="12" t="s">
        <v>1082</v>
      </c>
      <c r="G1116" s="13">
        <v>139.0</v>
      </c>
      <c r="H1116" s="13">
        <v>303.0</v>
      </c>
      <c r="I1116" s="13">
        <v>0.0</v>
      </c>
      <c r="J1116" s="13">
        <v>1.0</v>
      </c>
      <c r="K1116" s="12" t="s">
        <v>21</v>
      </c>
      <c r="L1116" s="7">
        <v>39867.681608796294</v>
      </c>
      <c r="M1116" s="14" t="s">
        <v>8338</v>
      </c>
      <c r="N1116" s="14" t="s">
        <v>8339</v>
      </c>
      <c r="O1116" s="11" t="str">
        <f>HYPERLINK("https://pbs.twimg.com/profile_images/701279754494685184/sQDL_EIb_normal.jpg","View")</f>
        <v>View</v>
      </c>
      <c r="P1116" s="15"/>
    </row>
    <row r="1117">
      <c r="A1117" s="7">
        <v>42423.31854166667</v>
      </c>
      <c r="B1117" s="8" t="str">
        <f>HYPERLINK("https://twitter.com/YorkUScientists","@YorkUScientists")</f>
        <v>@YorkUScientists</v>
      </c>
      <c r="C1117" s="10" t="s">
        <v>7504</v>
      </c>
      <c r="D1117" s="10" t="s">
        <v>8340</v>
      </c>
      <c r="E1117" s="11" t="str">
        <f>HYPERLINK("https://twitter.com/YorkUScientists/status/702155633005617152","702155633005617152")</f>
        <v>702155633005617152</v>
      </c>
      <c r="F1117" s="12" t="s">
        <v>20</v>
      </c>
      <c r="G1117" s="13">
        <v>386.0</v>
      </c>
      <c r="H1117" s="13">
        <v>458.0</v>
      </c>
      <c r="I1117" s="13">
        <v>1.0</v>
      </c>
      <c r="J1117" s="13">
        <v>1.0</v>
      </c>
      <c r="K1117" s="12" t="s">
        <v>21</v>
      </c>
      <c r="L1117" s="7">
        <v>41612.171689814815</v>
      </c>
      <c r="M1117" s="14" t="s">
        <v>7505</v>
      </c>
      <c r="N1117" s="14" t="s">
        <v>7506</v>
      </c>
      <c r="O1117" s="11" t="str">
        <f>HYPERLINK("https://pbs.twimg.com/profile_images/701787680850337792/3ntUzwll_normal.png","View")</f>
        <v>View</v>
      </c>
      <c r="P1117" s="15"/>
    </row>
    <row r="1118">
      <c r="A1118" s="7">
        <v>42423.31954861111</v>
      </c>
      <c r="B1118" s="8" t="str">
        <f>HYPERLINK("https://twitter.com/pacoramon","@pacoramon")</f>
        <v>@pacoramon</v>
      </c>
      <c r="C1118" s="10" t="s">
        <v>5643</v>
      </c>
      <c r="D1118" s="10" t="s">
        <v>8334</v>
      </c>
      <c r="E1118" s="11" t="str">
        <f>HYPERLINK("https://twitter.com/pacoramon/status/702155994005114880","702155994005114880")</f>
        <v>702155994005114880</v>
      </c>
      <c r="F1118" s="12" t="s">
        <v>52</v>
      </c>
      <c r="G1118" s="13">
        <v>808.0</v>
      </c>
      <c r="H1118" s="13">
        <v>2044.0</v>
      </c>
      <c r="I1118" s="13">
        <v>33.0</v>
      </c>
      <c r="J1118" s="13">
        <v>0.0</v>
      </c>
      <c r="K1118" s="12" t="s">
        <v>21</v>
      </c>
      <c r="L1118" s="7">
        <v>40023.25795138889</v>
      </c>
      <c r="M1118" s="14" t="s">
        <v>232</v>
      </c>
      <c r="N1118" s="14" t="s">
        <v>5644</v>
      </c>
      <c r="O1118" s="11" t="str">
        <f>HYPERLINK("https://pbs.twimg.com/profile_images/378800000859434127/2hj0SxQo_normal.jpeg","View")</f>
        <v>View</v>
      </c>
      <c r="P1118" s="15"/>
    </row>
    <row r="1119">
      <c r="A1119" s="7">
        <v>42423.321388888886</v>
      </c>
      <c r="B1119" s="8" t="str">
        <f>HYPERLINK("https://twitter.com/bhaskar_vk","@bhaskar_vk")</f>
        <v>@bhaskar_vk</v>
      </c>
      <c r="C1119" s="10" t="s">
        <v>7634</v>
      </c>
      <c r="D1119" s="10" t="s">
        <v>8341</v>
      </c>
      <c r="E1119" s="11" t="str">
        <f>HYPERLINK("https://twitter.com/bhaskar_vk/status/702156661444767745","702156661444767745")</f>
        <v>702156661444767745</v>
      </c>
      <c r="F1119" s="12" t="s">
        <v>20</v>
      </c>
      <c r="G1119" s="13">
        <v>768.0</v>
      </c>
      <c r="H1119" s="13">
        <v>2215.0</v>
      </c>
      <c r="I1119" s="13">
        <v>0.0</v>
      </c>
      <c r="J1119" s="13">
        <v>1.0</v>
      </c>
      <c r="K1119" s="12" t="s">
        <v>21</v>
      </c>
      <c r="L1119" s="7">
        <v>41040.30097222222</v>
      </c>
      <c r="M1119" s="14" t="s">
        <v>5287</v>
      </c>
      <c r="N1119" s="14" t="s">
        <v>7636</v>
      </c>
      <c r="O1119" s="11" t="str">
        <f>HYPERLINK("https://pbs.twimg.com/profile_images/3654916643/41e86ccffc771868940fb53a41c3b712_normal.jpeg","View")</f>
        <v>View</v>
      </c>
      <c r="P1119" s="15"/>
    </row>
    <row r="1120">
      <c r="A1120" s="7">
        <v>42423.322106481486</v>
      </c>
      <c r="B1120" s="8" t="str">
        <f>HYPERLINK("https://twitter.com/WebScraperDB","@WebScraperDB")</f>
        <v>@WebScraperDB</v>
      </c>
      <c r="C1120" s="10" t="s">
        <v>2743</v>
      </c>
      <c r="D1120" s="10" t="s">
        <v>8342</v>
      </c>
      <c r="E1120" s="11" t="str">
        <f>HYPERLINK("https://twitter.com/WebScraperDB/status/702156922280091648","702156922280091648")</f>
        <v>702156922280091648</v>
      </c>
      <c r="F1120" s="12" t="s">
        <v>2743</v>
      </c>
      <c r="G1120" s="13">
        <v>298.0</v>
      </c>
      <c r="H1120" s="13">
        <v>927.0</v>
      </c>
      <c r="I1120" s="13">
        <v>0.0</v>
      </c>
      <c r="J1120" s="13">
        <v>1.0</v>
      </c>
      <c r="K1120" s="12" t="s">
        <v>21</v>
      </c>
      <c r="L1120" s="7">
        <v>42410.33493055556</v>
      </c>
      <c r="M1120" s="14" t="s">
        <v>2745</v>
      </c>
      <c r="N1120" s="14" t="s">
        <v>2746</v>
      </c>
      <c r="O1120" s="11" t="str">
        <f>HYPERLINK("https://pbs.twimg.com/profile_images/699545598450606080/s8CU8cVg_normal.png","View")</f>
        <v>View</v>
      </c>
      <c r="P1120" s="15"/>
    </row>
    <row r="1121">
      <c r="A1121" s="7">
        <v>42423.326469907406</v>
      </c>
      <c r="B1121" s="8" t="str">
        <f>HYPERLINK("https://twitter.com/hidroVis","@hidroVis")</f>
        <v>@hidroVis</v>
      </c>
      <c r="C1121" s="10" t="s">
        <v>8343</v>
      </c>
      <c r="D1121" s="10" t="s">
        <v>8334</v>
      </c>
      <c r="E1121" s="11" t="str">
        <f>HYPERLINK("https://twitter.com/hidroVis/status/702158503759187969","702158503759187969")</f>
        <v>702158503759187969</v>
      </c>
      <c r="F1121" s="12" t="s">
        <v>152</v>
      </c>
      <c r="G1121" s="13">
        <v>152.0</v>
      </c>
      <c r="H1121" s="13">
        <v>238.0</v>
      </c>
      <c r="I1121" s="13">
        <v>33.0</v>
      </c>
      <c r="J1121" s="13">
        <v>0.0</v>
      </c>
      <c r="K1121" s="12" t="s">
        <v>21</v>
      </c>
      <c r="L1121" s="7">
        <v>42153.35297453703</v>
      </c>
      <c r="M1121" s="14" t="s">
        <v>8344</v>
      </c>
      <c r="N1121" s="14" t="s">
        <v>8345</v>
      </c>
      <c r="O1121" s="11" t="str">
        <f>HYPERLINK("https://pbs.twimg.com/profile_images/605099917653241857/6ZOa_dHn_normal.jpg","View")</f>
        <v>View</v>
      </c>
      <c r="P1121" s="15"/>
    </row>
    <row r="1122">
      <c r="A1122" s="7">
        <v>42423.33268518519</v>
      </c>
      <c r="B1122" s="8" t="str">
        <f>HYPERLINK("https://twitter.com/nierhoff","@nierhoff")</f>
        <v>@nierhoff</v>
      </c>
      <c r="C1122" s="10" t="s">
        <v>7397</v>
      </c>
      <c r="D1122" s="10" t="s">
        <v>8346</v>
      </c>
      <c r="E1122" s="11" t="str">
        <f>HYPERLINK("https://twitter.com/nierhoff/status/702160755110584321","702160755110584321")</f>
        <v>702160755110584321</v>
      </c>
      <c r="F1122" s="12" t="s">
        <v>294</v>
      </c>
      <c r="G1122" s="13">
        <v>296.0</v>
      </c>
      <c r="H1122" s="13">
        <v>244.0</v>
      </c>
      <c r="I1122" s="13">
        <v>0.0</v>
      </c>
      <c r="J1122" s="13">
        <v>1.0</v>
      </c>
      <c r="K1122" s="12" t="s">
        <v>21</v>
      </c>
      <c r="L1122" s="7">
        <v>40304.130995370375</v>
      </c>
      <c r="M1122" s="14" t="s">
        <v>7399</v>
      </c>
      <c r="N1122" s="14" t="s">
        <v>7400</v>
      </c>
      <c r="O1122" s="11" t="str">
        <f>HYPERLINK("https://pbs.twimg.com/profile_images/466323009796456448/toIsECgZ_normal.jpeg","View")</f>
        <v>View</v>
      </c>
      <c r="P1122" s="15"/>
    </row>
    <row r="1123">
      <c r="A1123" s="7">
        <v>42423.33270833333</v>
      </c>
      <c r="B1123" s="8" t="str">
        <f>HYPERLINK("https://twitter.com/WebScraperDB","@WebScraperDB")</f>
        <v>@WebScraperDB</v>
      </c>
      <c r="C1123" s="10" t="s">
        <v>2743</v>
      </c>
      <c r="D1123" s="10" t="s">
        <v>8347</v>
      </c>
      <c r="E1123" s="11" t="str">
        <f>HYPERLINK("https://twitter.com/WebScraperDB/status/702160766514888704","702160766514888704")</f>
        <v>702160766514888704</v>
      </c>
      <c r="F1123" s="12" t="s">
        <v>2743</v>
      </c>
      <c r="G1123" s="13">
        <v>298.0</v>
      </c>
      <c r="H1123" s="13">
        <v>927.0</v>
      </c>
      <c r="I1123" s="13">
        <v>0.0</v>
      </c>
      <c r="J1123" s="13">
        <v>1.0</v>
      </c>
      <c r="K1123" s="12" t="s">
        <v>21</v>
      </c>
      <c r="L1123" s="7">
        <v>42410.33493055556</v>
      </c>
      <c r="M1123" s="14" t="s">
        <v>2745</v>
      </c>
      <c r="N1123" s="14" t="s">
        <v>2746</v>
      </c>
      <c r="O1123" s="11" t="str">
        <f>HYPERLINK("https://pbs.twimg.com/profile_images/699545598450606080/s8CU8cVg_normal.png","View")</f>
        <v>View</v>
      </c>
      <c r="P1123" s="15"/>
    </row>
    <row r="1124">
      <c r="A1124" s="7">
        <v>42423.333391203705</v>
      </c>
      <c r="B1124" s="8" t="str">
        <f>HYPERLINK("https://twitter.com/MangoTheCat","@MangoTheCat")</f>
        <v>@MangoTheCat</v>
      </c>
      <c r="C1124" s="10" t="s">
        <v>6321</v>
      </c>
      <c r="D1124" s="10" t="s">
        <v>8348</v>
      </c>
      <c r="E1124" s="11" t="str">
        <f>HYPERLINK("https://twitter.com/MangoTheCat/status/702161010451329026","702161010451329026")</f>
        <v>702161010451329026</v>
      </c>
      <c r="F1124" s="12" t="s">
        <v>47</v>
      </c>
      <c r="G1124" s="13">
        <v>2041.0</v>
      </c>
      <c r="H1124" s="13">
        <v>2855.0</v>
      </c>
      <c r="I1124" s="13">
        <v>0.0</v>
      </c>
      <c r="J1124" s="13">
        <v>1.0</v>
      </c>
      <c r="K1124" s="12" t="s">
        <v>21</v>
      </c>
      <c r="L1124" s="7">
        <v>39854.3178587963</v>
      </c>
      <c r="M1124" s="14" t="s">
        <v>6323</v>
      </c>
      <c r="N1124" s="14" t="s">
        <v>6324</v>
      </c>
      <c r="O1124" s="11" t="str">
        <f>HYPERLINK("https://pbs.twimg.com/profile_images/641183991077445633/V7VcBpJI_normal.png","View")</f>
        <v>View</v>
      </c>
      <c r="P1124" s="15"/>
    </row>
    <row r="1125">
      <c r="A1125" s="7">
        <v>42423.33461805555</v>
      </c>
      <c r="B1125" s="8" t="str">
        <f>HYPERLINK("https://twitter.com/infotroph","@infotroph")</f>
        <v>@infotroph</v>
      </c>
      <c r="C1125" s="10" t="s">
        <v>8349</v>
      </c>
      <c r="D1125" s="10" t="s">
        <v>8350</v>
      </c>
      <c r="E1125" s="11" t="str">
        <f>HYPERLINK("https://twitter.com/infotroph/status/702161455047520257","702161455047520257")</f>
        <v>702161455047520257</v>
      </c>
      <c r="F1125" s="12" t="s">
        <v>240</v>
      </c>
      <c r="G1125" s="13">
        <v>315.0</v>
      </c>
      <c r="H1125" s="13">
        <v>385.0</v>
      </c>
      <c r="I1125" s="13">
        <v>0.0</v>
      </c>
      <c r="J1125" s="13">
        <v>4.0</v>
      </c>
      <c r="K1125" s="12" t="s">
        <v>21</v>
      </c>
      <c r="L1125" s="7">
        <v>39931.71041666667</v>
      </c>
      <c r="M1125" s="14" t="s">
        <v>1158</v>
      </c>
      <c r="N1125" s="14" t="s">
        <v>8351</v>
      </c>
      <c r="O1125" s="11" t="str">
        <f>HYPERLINK("https://pbs.twimg.com/profile_images/654666018296467456/9m3ijJ_Z_normal.jpg","View")</f>
        <v>View</v>
      </c>
      <c r="P1125" s="15"/>
    </row>
    <row r="1126">
      <c r="A1126" s="7">
        <v>42423.335810185185</v>
      </c>
      <c r="B1126" s="8" t="str">
        <f>HYPERLINK("https://twitter.com/alex_filazzola","@alex_filazzola")</f>
        <v>@alex_filazzola</v>
      </c>
      <c r="C1126" s="10" t="s">
        <v>7685</v>
      </c>
      <c r="D1126" s="10" t="s">
        <v>8352</v>
      </c>
      <c r="E1126" s="11" t="str">
        <f>HYPERLINK("https://twitter.com/alex_filazzola/status/702161889439121408","702161889439121408")</f>
        <v>702161889439121408</v>
      </c>
      <c r="F1126" s="12" t="s">
        <v>20</v>
      </c>
      <c r="G1126" s="13">
        <v>78.0</v>
      </c>
      <c r="H1126" s="13">
        <v>216.0</v>
      </c>
      <c r="I1126" s="13">
        <v>1.0</v>
      </c>
      <c r="J1126" s="13">
        <v>0.0</v>
      </c>
      <c r="K1126" s="12" t="s">
        <v>21</v>
      </c>
      <c r="L1126" s="7">
        <v>42096.60217592593</v>
      </c>
      <c r="M1126" s="14" t="s">
        <v>917</v>
      </c>
      <c r="N1126" s="14" t="s">
        <v>7686</v>
      </c>
      <c r="O1126" s="11" t="str">
        <f>HYPERLINK("https://pbs.twimg.com/profile_images/583743302886785024/--qJwzOK_normal.jpg","View")</f>
        <v>View</v>
      </c>
      <c r="P1126" s="15"/>
    </row>
    <row r="1127">
      <c r="A1127" s="7">
        <v>42423.33666666667</v>
      </c>
      <c r="B1127" s="8" t="str">
        <f>HYPERLINK("https://twitter.com/jhollist","@jhollist")</f>
        <v>@jhollist</v>
      </c>
      <c r="C1127" s="10" t="s">
        <v>8353</v>
      </c>
      <c r="D1127" s="10" t="s">
        <v>8354</v>
      </c>
      <c r="E1127" s="11" t="str">
        <f>HYPERLINK("https://twitter.com/jhollist/status/702162199473741824","702162199473741824")</f>
        <v>702162199473741824</v>
      </c>
      <c r="F1127" s="12" t="s">
        <v>20</v>
      </c>
      <c r="G1127" s="13">
        <v>483.0</v>
      </c>
      <c r="H1127" s="13">
        <v>409.0</v>
      </c>
      <c r="I1127" s="13">
        <v>1.0</v>
      </c>
      <c r="J1127" s="13">
        <v>6.0</v>
      </c>
      <c r="K1127" s="12" t="s">
        <v>21</v>
      </c>
      <c r="L1127" s="7">
        <v>40049.80991898148</v>
      </c>
      <c r="M1127" s="14" t="s">
        <v>8355</v>
      </c>
      <c r="N1127" s="14" t="s">
        <v>8356</v>
      </c>
      <c r="O1127" s="11" t="str">
        <f>HYPERLINK("https://pbs.twimg.com/profile_images/562349585545170944/FADS_UgG_normal.jpeg","View")</f>
        <v>View</v>
      </c>
      <c r="P1127" s="15"/>
    </row>
    <row r="1128">
      <c r="A1128" s="7">
        <v>42423.33696759259</v>
      </c>
      <c r="B1128" s="8" t="str">
        <f>HYPERLINK("https://twitter.com/Rbloggers","@Rbloggers")</f>
        <v>@Rbloggers</v>
      </c>
      <c r="C1128" s="10" t="s">
        <v>6221</v>
      </c>
      <c r="D1128" s="10" t="s">
        <v>8357</v>
      </c>
      <c r="E1128" s="11" t="str">
        <f>HYPERLINK("https://twitter.com/Rbloggers/status/702162310228348928","702162310228348928")</f>
        <v>702162310228348928</v>
      </c>
      <c r="F1128" s="17" t="s">
        <v>6223</v>
      </c>
      <c r="G1128" s="13">
        <v>28572.0</v>
      </c>
      <c r="H1128" s="13">
        <v>36.0</v>
      </c>
      <c r="I1128" s="13">
        <v>5.0</v>
      </c>
      <c r="J1128" s="13">
        <v>6.0</v>
      </c>
      <c r="K1128" s="12" t="s">
        <v>21</v>
      </c>
      <c r="L1128" s="7">
        <v>40314.510601851856</v>
      </c>
      <c r="M1128" s="16"/>
      <c r="N1128" s="14" t="s">
        <v>6224</v>
      </c>
      <c r="O1128" s="11" t="str">
        <f>HYPERLINK("https://pbs.twimg.com/profile_images/502185985786916864/gkdFh-q7_normal.png","View")</f>
        <v>View</v>
      </c>
      <c r="P1128" s="15"/>
    </row>
    <row r="1129">
      <c r="A1129" s="7">
        <v>42423.33796296296</v>
      </c>
      <c r="B1129" s="8" t="str">
        <f>HYPERLINK("https://twitter.com/RProgramming","@RProgramming")</f>
        <v>@RProgramming</v>
      </c>
      <c r="C1129" s="9" t="s">
        <v>6225</v>
      </c>
      <c r="D1129" s="10" t="s">
        <v>8358</v>
      </c>
      <c r="E1129" s="11" t="str">
        <f>HYPERLINK("https://twitter.com/RProgramming/status/702162669374033920","702162669374033920")</f>
        <v>702162669374033920</v>
      </c>
      <c r="F1129" s="12" t="s">
        <v>1961</v>
      </c>
      <c r="G1129" s="13">
        <v>227.0</v>
      </c>
      <c r="H1129" s="13">
        <v>15.0</v>
      </c>
      <c r="I1129" s="13">
        <v>0.0</v>
      </c>
      <c r="J1129" s="13">
        <v>0.0</v>
      </c>
      <c r="K1129" s="12" t="s">
        <v>21</v>
      </c>
      <c r="L1129" s="7">
        <v>41350.72472222222</v>
      </c>
      <c r="M1129" s="16"/>
      <c r="N1129" s="14" t="s">
        <v>6227</v>
      </c>
      <c r="O1129" s="11" t="str">
        <f>HYPERLINK("https://pbs.twimg.com/profile_images/696056897560915969/XpPGOuAf_normal.png","View")</f>
        <v>View</v>
      </c>
      <c r="P1129" s="15"/>
    </row>
    <row r="1130">
      <c r="A1130" s="7">
        <v>42423.33832175926</v>
      </c>
      <c r="B1130" s="8" t="str">
        <f>HYPERLINK("https://twitter.com/BenBondLamberty","@BenBondLamberty")</f>
        <v>@BenBondLamberty</v>
      </c>
      <c r="C1130" s="10" t="s">
        <v>8359</v>
      </c>
      <c r="D1130" s="10" t="s">
        <v>8360</v>
      </c>
      <c r="E1130" s="11" t="str">
        <f>HYPERLINK("https://twitter.com/BenBondLamberty/status/702162797862510596","702162797862510596")</f>
        <v>702162797862510596</v>
      </c>
      <c r="F1130" s="12" t="s">
        <v>20</v>
      </c>
      <c r="G1130" s="13">
        <v>723.0</v>
      </c>
      <c r="H1130" s="13">
        <v>134.0</v>
      </c>
      <c r="I1130" s="13">
        <v>1.0</v>
      </c>
      <c r="J1130" s="13">
        <v>0.0</v>
      </c>
      <c r="K1130" s="12" t="s">
        <v>21</v>
      </c>
      <c r="L1130" s="7">
        <v>41498.918275462966</v>
      </c>
      <c r="M1130" s="14" t="s">
        <v>8361</v>
      </c>
      <c r="N1130" s="14" t="s">
        <v>8362</v>
      </c>
      <c r="O1130" s="11" t="str">
        <f>HYPERLINK("https://pbs.twimg.com/profile_images/378800000379904772/a5a32945f329f35a345b28adfa8fe081_normal.png","View")</f>
        <v>View</v>
      </c>
      <c r="P1130" s="15"/>
    </row>
    <row r="1131">
      <c r="A1131" s="7">
        <v>42423.340046296296</v>
      </c>
      <c r="B1131" s="8" t="str">
        <f>HYPERLINK("https://twitter.com/KirkwoodLab","@KirkwoodLab")</f>
        <v>@KirkwoodLab</v>
      </c>
      <c r="C1131" s="10" t="s">
        <v>8363</v>
      </c>
      <c r="D1131" s="10" t="s">
        <v>8364</v>
      </c>
      <c r="E1131" s="11" t="str">
        <f>HYPERLINK("https://twitter.com/KirkwoodLab/status/702163425724465152","702163425724465152")</f>
        <v>702163425724465152</v>
      </c>
      <c r="F1131" s="12" t="s">
        <v>20</v>
      </c>
      <c r="G1131" s="13">
        <v>1575.0</v>
      </c>
      <c r="H1131" s="13">
        <v>1287.0</v>
      </c>
      <c r="I1131" s="13">
        <v>1.0</v>
      </c>
      <c r="J1131" s="13">
        <v>0.0</v>
      </c>
      <c r="K1131" s="12" t="s">
        <v>21</v>
      </c>
      <c r="L1131" s="7">
        <v>41013.7040162037</v>
      </c>
      <c r="M1131" s="14" t="s">
        <v>8365</v>
      </c>
      <c r="N1131" s="14" t="s">
        <v>8366</v>
      </c>
      <c r="O1131" s="11" t="str">
        <f>HYPERLINK("https://pbs.twimg.com/profile_images/687474809677201408/qnWJGIo-_normal.jpg","View")</f>
        <v>View</v>
      </c>
      <c r="P1131" s="15"/>
    </row>
    <row r="1132">
      <c r="A1132" s="7">
        <v>42423.3422337963</v>
      </c>
      <c r="B1132" s="8" t="str">
        <f>HYPERLINK("https://twitter.com/JaySun_Bee","@JaySun_Bee")</f>
        <v>@JaySun_Bee</v>
      </c>
      <c r="C1132" s="10" t="s">
        <v>8367</v>
      </c>
      <c r="D1132" s="10" t="s">
        <v>8280</v>
      </c>
      <c r="E1132" s="11" t="str">
        <f>HYPERLINK("https://twitter.com/JaySun_Bee/status/702164218431328257","702164218431328257")</f>
        <v>702164218431328257</v>
      </c>
      <c r="F1132" s="12" t="s">
        <v>20</v>
      </c>
      <c r="G1132" s="13">
        <v>21.0</v>
      </c>
      <c r="H1132" s="13">
        <v>94.0</v>
      </c>
      <c r="I1132" s="13">
        <v>4.0</v>
      </c>
      <c r="J1132" s="13">
        <v>0.0</v>
      </c>
      <c r="K1132" s="12" t="s">
        <v>21</v>
      </c>
      <c r="L1132" s="7">
        <v>42414.700057870374</v>
      </c>
      <c r="M1132" s="16"/>
      <c r="N1132" s="14" t="s">
        <v>8368</v>
      </c>
      <c r="O1132" s="11" t="str">
        <f>HYPERLINK("https://pbs.twimg.com/profile_images/699034073507889152/kcSt-apS_normal.png","View")</f>
        <v>View</v>
      </c>
      <c r="P1132" s="15"/>
    </row>
    <row r="1133">
      <c r="A1133" s="7">
        <v>42423.34280092592</v>
      </c>
      <c r="B1133" s="8" t="str">
        <f>HYPERLINK("https://twitter.com/CRANberriesFeed","@CRANberriesFeed")</f>
        <v>@CRANberriesFeed</v>
      </c>
      <c r="C1133" s="10" t="s">
        <v>6282</v>
      </c>
      <c r="D1133" s="10" t="s">
        <v>8369</v>
      </c>
      <c r="E1133" s="11" t="str">
        <f>HYPERLINK("https://twitter.com/CRANberriesFeed/status/702164421469216768","702164421469216768")</f>
        <v>702164421469216768</v>
      </c>
      <c r="F1133" s="12" t="s">
        <v>6284</v>
      </c>
      <c r="G1133" s="13">
        <v>657.0</v>
      </c>
      <c r="H1133" s="13">
        <v>0.0</v>
      </c>
      <c r="I1133" s="13">
        <v>0.0</v>
      </c>
      <c r="J1133" s="13">
        <v>0.0</v>
      </c>
      <c r="K1133" s="12" t="s">
        <v>21</v>
      </c>
      <c r="L1133" s="7">
        <v>40546.353425925925</v>
      </c>
      <c r="M1133" s="14" t="s">
        <v>1158</v>
      </c>
      <c r="N1133" s="16"/>
      <c r="O1133" s="11" t="str">
        <f>HYPERLINK("https://pbs.twimg.com/profile_images/1222779560/cran1_normal.jpg","View")</f>
        <v>View</v>
      </c>
      <c r="P1133" s="15"/>
    </row>
    <row r="1134">
      <c r="A1134" s="7">
        <v>42423.34371527778</v>
      </c>
      <c r="B1134" s="8" t="str">
        <f>HYPERLINK("https://twitter.com/abtran","@abtran")</f>
        <v>@abtran</v>
      </c>
      <c r="C1134" s="10" t="s">
        <v>8370</v>
      </c>
      <c r="D1134" s="10" t="s">
        <v>8371</v>
      </c>
      <c r="E1134" s="11" t="str">
        <f>HYPERLINK("https://twitter.com/abtran/status/702164755105054720","702164755105054720")</f>
        <v>702164755105054720</v>
      </c>
      <c r="F1134" s="12" t="s">
        <v>446</v>
      </c>
      <c r="G1134" s="13">
        <v>3216.0</v>
      </c>
      <c r="H1134" s="13">
        <v>1511.0</v>
      </c>
      <c r="I1134" s="13">
        <v>0.0</v>
      </c>
      <c r="J1134" s="13">
        <v>1.0</v>
      </c>
      <c r="K1134" s="12" t="s">
        <v>21</v>
      </c>
      <c r="L1134" s="7">
        <v>39446.62363425926</v>
      </c>
      <c r="M1134" s="14" t="s">
        <v>8372</v>
      </c>
      <c r="N1134" s="14" t="s">
        <v>8373</v>
      </c>
      <c r="O1134" s="11" t="str">
        <f>HYPERLINK("https://pbs.twimg.com/profile_images/572388011115966464/EuY9KrbT_normal.jpeg","View")</f>
        <v>View</v>
      </c>
      <c r="P1134" s="15"/>
    </row>
    <row r="1135">
      <c r="A1135" s="7">
        <v>42423.345046296294</v>
      </c>
      <c r="B1135" s="8" t="str">
        <f>HYPERLINK("https://twitter.com/pssGuy","@pssGuy")</f>
        <v>@pssGuy</v>
      </c>
      <c r="C1135" s="10" t="s">
        <v>7477</v>
      </c>
      <c r="D1135" s="10" t="s">
        <v>8374</v>
      </c>
      <c r="E1135" s="11" t="str">
        <f>HYPERLINK("https://twitter.com/pssGuy/status/702165235835150337","702165235835150337")</f>
        <v>702165235835150337</v>
      </c>
      <c r="F1135" s="12" t="s">
        <v>20</v>
      </c>
      <c r="G1135" s="13">
        <v>318.0</v>
      </c>
      <c r="H1135" s="13">
        <v>118.0</v>
      </c>
      <c r="I1135" s="13">
        <v>0.0</v>
      </c>
      <c r="J1135" s="13">
        <v>2.0</v>
      </c>
      <c r="K1135" s="12" t="s">
        <v>21</v>
      </c>
      <c r="L1135" s="7">
        <v>40451.41810185185</v>
      </c>
      <c r="M1135" s="14" t="s">
        <v>7479</v>
      </c>
      <c r="N1135" s="14" t="s">
        <v>7480</v>
      </c>
      <c r="O1135" s="11" t="str">
        <f>HYPERLINK("https://pbs.twimg.com/profile_images/1138368380/P1010066small_normal.jpg","View")</f>
        <v>View</v>
      </c>
      <c r="P1135" s="15"/>
    </row>
    <row r="1136">
      <c r="A1136" s="7">
        <v>42423.345671296294</v>
      </c>
      <c r="B1136" s="8" t="str">
        <f>HYPERLINK("https://twitter.com/jstew_stats","@jstew_stats")</f>
        <v>@jstew_stats</v>
      </c>
      <c r="C1136" s="10" t="s">
        <v>8375</v>
      </c>
      <c r="D1136" s="10" t="s">
        <v>8376</v>
      </c>
      <c r="E1136" s="11" t="str">
        <f>HYPERLINK("https://twitter.com/jstew_stats/status/702165462361075712","702165462361075712")</f>
        <v>702165462361075712</v>
      </c>
      <c r="F1136" s="12" t="s">
        <v>52</v>
      </c>
      <c r="G1136" s="13">
        <v>8.0</v>
      </c>
      <c r="H1136" s="13">
        <v>4.0</v>
      </c>
      <c r="I1136" s="13">
        <v>1.0</v>
      </c>
      <c r="J1136" s="13">
        <v>0.0</v>
      </c>
      <c r="K1136" s="12" t="s">
        <v>21</v>
      </c>
      <c r="L1136" s="7">
        <v>42411.59204861111</v>
      </c>
      <c r="M1136" s="16"/>
      <c r="N1136" s="14" t="s">
        <v>8377</v>
      </c>
      <c r="O1136" s="11" t="str">
        <f>HYPERLINK("https://abs.twimg.com/sticky/default_profile_images/default_profile_3_normal.png","View")</f>
        <v>View</v>
      </c>
      <c r="P1136" s="15"/>
    </row>
    <row r="1137">
      <c r="A1137" s="7">
        <v>42423.34958333333</v>
      </c>
      <c r="B1137" s="8" t="str">
        <f>HYPERLINK("https://twitter.com/samfirke","@samfirke")</f>
        <v>@samfirke</v>
      </c>
      <c r="C1137" s="10" t="s">
        <v>8378</v>
      </c>
      <c r="D1137" s="10" t="s">
        <v>8379</v>
      </c>
      <c r="E1137" s="11" t="str">
        <f>HYPERLINK("https://twitter.com/samfirke/status/702166881810194433","702166881810194433")</f>
        <v>702166881810194433</v>
      </c>
      <c r="F1137" s="12" t="s">
        <v>20</v>
      </c>
      <c r="G1137" s="13">
        <v>125.0</v>
      </c>
      <c r="H1137" s="13">
        <v>156.0</v>
      </c>
      <c r="I1137" s="13">
        <v>0.0</v>
      </c>
      <c r="J1137" s="13">
        <v>0.0</v>
      </c>
      <c r="K1137" s="12" t="s">
        <v>21</v>
      </c>
      <c r="L1137" s="7">
        <v>41995.45155092592</v>
      </c>
      <c r="M1137" s="14" t="s">
        <v>8380</v>
      </c>
      <c r="N1137" s="14" t="s">
        <v>8381</v>
      </c>
      <c r="O1137" s="11" t="str">
        <f>HYPERLINK("https://pbs.twimg.com/profile_images/561167051427807234/wUrmQ9sE_normal.jpeg","View")</f>
        <v>View</v>
      </c>
      <c r="P1137" s="15"/>
    </row>
    <row r="1138">
      <c r="A1138" s="7">
        <v>42423.349768518514</v>
      </c>
      <c r="B1138" s="8" t="str">
        <f>HYPERLINK("https://twitter.com/infotroph","@infotroph")</f>
        <v>@infotroph</v>
      </c>
      <c r="C1138" s="10" t="s">
        <v>8349</v>
      </c>
      <c r="D1138" s="10" t="s">
        <v>8382</v>
      </c>
      <c r="E1138" s="11" t="str">
        <f>HYPERLINK("https://twitter.com/infotroph/status/702166949208289280","702166949208289280")</f>
        <v>702166949208289280</v>
      </c>
      <c r="F1138" s="12" t="s">
        <v>240</v>
      </c>
      <c r="G1138" s="13">
        <v>315.0</v>
      </c>
      <c r="H1138" s="13">
        <v>385.0</v>
      </c>
      <c r="I1138" s="13">
        <v>0.0</v>
      </c>
      <c r="J1138" s="13">
        <v>1.0</v>
      </c>
      <c r="K1138" s="12" t="s">
        <v>21</v>
      </c>
      <c r="L1138" s="7">
        <v>39931.71041666667</v>
      </c>
      <c r="M1138" s="14" t="s">
        <v>1158</v>
      </c>
      <c r="N1138" s="14" t="s">
        <v>8351</v>
      </c>
      <c r="O1138" s="11" t="str">
        <f>HYPERLINK("https://pbs.twimg.com/profile_images/654666018296467456/9m3ijJ_Z_normal.jpg","View")</f>
        <v>View</v>
      </c>
      <c r="P1138" s="15"/>
    </row>
    <row r="1139">
      <c r="A1139" s="7">
        <v>42423.35430555556</v>
      </c>
      <c r="B1139" s="8" t="str">
        <f>HYPERLINK("https://twitter.com/druau","@druau")</f>
        <v>@druau</v>
      </c>
      <c r="C1139" s="10" t="s">
        <v>8383</v>
      </c>
      <c r="D1139" s="10" t="s">
        <v>8384</v>
      </c>
      <c r="E1139" s="11" t="str">
        <f>HYPERLINK("https://twitter.com/druau/status/702168589990805507","702168589990805507")</f>
        <v>702168589990805507</v>
      </c>
      <c r="F1139" s="12" t="s">
        <v>20</v>
      </c>
      <c r="G1139" s="13">
        <v>232.0</v>
      </c>
      <c r="H1139" s="13">
        <v>105.0</v>
      </c>
      <c r="I1139" s="13">
        <v>0.0</v>
      </c>
      <c r="J1139" s="13">
        <v>1.0</v>
      </c>
      <c r="K1139" s="12" t="s">
        <v>21</v>
      </c>
      <c r="L1139" s="7">
        <v>39942.54084490741</v>
      </c>
      <c r="M1139" s="14" t="s">
        <v>2833</v>
      </c>
      <c r="N1139" s="14" t="s">
        <v>8385</v>
      </c>
      <c r="O1139" s="11" t="str">
        <f>HYPERLINK("https://pbs.twimg.com/profile_images/1598890352/DSC01244_2_normal.jpg","View")</f>
        <v>View</v>
      </c>
      <c r="P1139" s="15"/>
    </row>
    <row r="1140">
      <c r="A1140" s="7">
        <v>42423.35506944444</v>
      </c>
      <c r="B1140" s="8" t="str">
        <f>HYPERLINK("https://twitter.com/nekrum","@nekrum")</f>
        <v>@nekrum</v>
      </c>
      <c r="C1140" s="10" t="s">
        <v>6885</v>
      </c>
      <c r="D1140" s="10" t="s">
        <v>8386</v>
      </c>
      <c r="E1140" s="11" t="str">
        <f>HYPERLINK("https://twitter.com/nekrum/status/702168866449805314","702168866449805314")</f>
        <v>702168866449805314</v>
      </c>
      <c r="F1140" s="12" t="s">
        <v>152</v>
      </c>
      <c r="G1140" s="13">
        <v>116.0</v>
      </c>
      <c r="H1140" s="13">
        <v>307.0</v>
      </c>
      <c r="I1140" s="13">
        <v>5.0</v>
      </c>
      <c r="J1140" s="13">
        <v>0.0</v>
      </c>
      <c r="K1140" s="12" t="s">
        <v>21</v>
      </c>
      <c r="L1140" s="7">
        <v>39800.53101851852</v>
      </c>
      <c r="M1140" s="14" t="s">
        <v>6886</v>
      </c>
      <c r="N1140" s="14" t="s">
        <v>6887</v>
      </c>
      <c r="O1140" s="11" t="str">
        <f>HYPERLINK("https://pbs.twimg.com/profile_images/119769350/logo-azul-blanco_normal.png","View")</f>
        <v>View</v>
      </c>
      <c r="P1140" s="15"/>
    </row>
    <row r="1141">
      <c r="A1141" s="7">
        <v>42423.358136574076</v>
      </c>
      <c r="B1141" s="8" t="str">
        <f>HYPERLINK("https://twitter.com/jonesor","@jonesor")</f>
        <v>@jonesor</v>
      </c>
      <c r="C1141" s="10" t="s">
        <v>8387</v>
      </c>
      <c r="D1141" s="10" t="s">
        <v>8388</v>
      </c>
      <c r="E1141" s="11" t="str">
        <f>HYPERLINK("https://twitter.com/jonesor/status/702169980641607685","702169980641607685")</f>
        <v>702169980641607685</v>
      </c>
      <c r="F1141" s="12" t="s">
        <v>20</v>
      </c>
      <c r="G1141" s="13">
        <v>1125.0</v>
      </c>
      <c r="H1141" s="13">
        <v>736.0</v>
      </c>
      <c r="I1141" s="13">
        <v>1.0</v>
      </c>
      <c r="J1141" s="13">
        <v>0.0</v>
      </c>
      <c r="K1141" s="12" t="s">
        <v>21</v>
      </c>
      <c r="L1141" s="7">
        <v>39157.15663194445</v>
      </c>
      <c r="M1141" s="14" t="s">
        <v>8389</v>
      </c>
      <c r="N1141" s="14" t="s">
        <v>8390</v>
      </c>
      <c r="O1141" s="11" t="str">
        <f>HYPERLINK("https://pbs.twimg.com/profile_images/583641832975945728/1K2ySb5m_normal.jpg","View")</f>
        <v>View</v>
      </c>
      <c r="P1141" s="15"/>
    </row>
    <row r="1142">
      <c r="A1142" s="7">
        <v>42423.359085648146</v>
      </c>
      <c r="B1142" s="8" t="str">
        <f>HYPERLINK("https://twitter.com/DataWookie","@DataWookie")</f>
        <v>@DataWookie</v>
      </c>
      <c r="C1142" s="10" t="s">
        <v>6231</v>
      </c>
      <c r="D1142" s="10" t="s">
        <v>8391</v>
      </c>
      <c r="E1142" s="11" t="str">
        <f>HYPERLINK("https://twitter.com/DataWookie/status/702170324683501568","702170324683501568")</f>
        <v>702170324683501568</v>
      </c>
      <c r="F1142" s="12" t="s">
        <v>6233</v>
      </c>
      <c r="G1142" s="13">
        <v>426.0</v>
      </c>
      <c r="H1142" s="13">
        <v>296.0</v>
      </c>
      <c r="I1142" s="13">
        <v>0.0</v>
      </c>
      <c r="J1142" s="13">
        <v>0.0</v>
      </c>
      <c r="K1142" s="12" t="s">
        <v>21</v>
      </c>
      <c r="L1142" s="7">
        <v>42166.966678240744</v>
      </c>
      <c r="M1142" s="14" t="s">
        <v>6234</v>
      </c>
      <c r="N1142" s="14" t="s">
        <v>6235</v>
      </c>
      <c r="O1142" s="11" t="str">
        <f>HYPERLINK("https://pbs.twimg.com/profile_images/612471608725213184/eXKo2Kmo_normal.jpg","View")</f>
        <v>View</v>
      </c>
      <c r="P1142" s="15"/>
    </row>
    <row r="1143">
      <c r="A1143" s="7">
        <v>42423.359375</v>
      </c>
      <c r="B1143" s="8" t="str">
        <f>HYPERLINK("https://twitter.com/daniel_storage","@daniel_storage")</f>
        <v>@daniel_storage</v>
      </c>
      <c r="C1143" s="10" t="s">
        <v>8392</v>
      </c>
      <c r="D1143" s="10" t="s">
        <v>7482</v>
      </c>
      <c r="E1143" s="11" t="str">
        <f>HYPERLINK("https://twitter.com/daniel_storage/status/702170426827534336","702170426827534336")</f>
        <v>702170426827534336</v>
      </c>
      <c r="F1143" s="12" t="s">
        <v>52</v>
      </c>
      <c r="G1143" s="13">
        <v>56.0</v>
      </c>
      <c r="H1143" s="13">
        <v>60.0</v>
      </c>
      <c r="I1143" s="13">
        <v>8.0</v>
      </c>
      <c r="J1143" s="13">
        <v>0.0</v>
      </c>
      <c r="K1143" s="12" t="s">
        <v>21</v>
      </c>
      <c r="L1143" s="7">
        <v>41593.352731481486</v>
      </c>
      <c r="M1143" s="14" t="s">
        <v>8393</v>
      </c>
      <c r="N1143" s="14" t="s">
        <v>8394</v>
      </c>
      <c r="O1143" s="11" t="str">
        <f>HYPERLINK("https://pbs.twimg.com/profile_images/700379606008905728/nB8LK_HN_normal.jpg","View")</f>
        <v>View</v>
      </c>
      <c r="P1143" s="15"/>
    </row>
    <row r="1144">
      <c r="A1144" s="7">
        <v>42423.35990740741</v>
      </c>
      <c r="B1144" s="8" t="str">
        <f>HYPERLINK("https://twitter.com/DataWookie","@DataWookie")</f>
        <v>@DataWookie</v>
      </c>
      <c r="C1144" s="10" t="s">
        <v>6231</v>
      </c>
      <c r="D1144" s="10" t="s">
        <v>8395</v>
      </c>
      <c r="E1144" s="11" t="str">
        <f>HYPERLINK("https://twitter.com/DataWookie/status/702170620071510017","702170620071510017")</f>
        <v>702170620071510017</v>
      </c>
      <c r="F1144" s="12" t="s">
        <v>6233</v>
      </c>
      <c r="G1144" s="13">
        <v>426.0</v>
      </c>
      <c r="H1144" s="13">
        <v>296.0</v>
      </c>
      <c r="I1144" s="13">
        <v>0.0</v>
      </c>
      <c r="J1144" s="13">
        <v>0.0</v>
      </c>
      <c r="K1144" s="12" t="s">
        <v>21</v>
      </c>
      <c r="L1144" s="7">
        <v>42166.966678240744</v>
      </c>
      <c r="M1144" s="14" t="s">
        <v>6234</v>
      </c>
      <c r="N1144" s="14" t="s">
        <v>6235</v>
      </c>
      <c r="O1144" s="11" t="str">
        <f>HYPERLINK("https://pbs.twimg.com/profile_images/612471608725213184/eXKo2Kmo_normal.jpg","View")</f>
        <v>View</v>
      </c>
      <c r="P1144" s="15"/>
    </row>
    <row r="1145">
      <c r="A1145" s="7">
        <v>42423.35994212963</v>
      </c>
      <c r="B1145" s="8" t="str">
        <f>HYPERLINK("https://twitter.com/capichoni","@capichoni")</f>
        <v>@capichoni</v>
      </c>
      <c r="C1145" s="10" t="s">
        <v>8396</v>
      </c>
      <c r="D1145" s="10" t="s">
        <v>8265</v>
      </c>
      <c r="E1145" s="11" t="str">
        <f>HYPERLINK("https://twitter.com/capichoni/status/702170632574935042","702170632574935042")</f>
        <v>702170632574935042</v>
      </c>
      <c r="F1145" s="12" t="s">
        <v>152</v>
      </c>
      <c r="G1145" s="13">
        <v>46.0</v>
      </c>
      <c r="H1145" s="13">
        <v>114.0</v>
      </c>
      <c r="I1145" s="13">
        <v>3.0</v>
      </c>
      <c r="J1145" s="13">
        <v>0.0</v>
      </c>
      <c r="K1145" s="12" t="s">
        <v>21</v>
      </c>
      <c r="L1145" s="7">
        <v>42132.510729166665</v>
      </c>
      <c r="M1145" s="14" t="s">
        <v>8397</v>
      </c>
      <c r="N1145" s="14" t="s">
        <v>8398</v>
      </c>
      <c r="O1145" s="11" t="str">
        <f>HYPERLINK("https://pbs.twimg.com/profile_images/675442704877228032/oce3K-Od_normal.jpg","View")</f>
        <v>View</v>
      </c>
      <c r="P1145" s="15"/>
    </row>
    <row r="1146">
      <c r="A1146" s="7">
        <v>42423.35995370371</v>
      </c>
      <c r="B1146" s="8" t="str">
        <f>HYPERLINK("https://twitter.com/AndrewBaidu","@AndrewBaidu")</f>
        <v>@AndrewBaidu</v>
      </c>
      <c r="C1146" s="10" t="s">
        <v>1704</v>
      </c>
      <c r="D1146" s="10" t="s">
        <v>8334</v>
      </c>
      <c r="E1146" s="11" t="str">
        <f>HYPERLINK("https://twitter.com/AndrewBaidu/status/702170638132314112","702170638132314112")</f>
        <v>702170638132314112</v>
      </c>
      <c r="F1146" s="12" t="s">
        <v>1705</v>
      </c>
      <c r="G1146" s="13">
        <v>362.0</v>
      </c>
      <c r="H1146" s="13">
        <v>92.0</v>
      </c>
      <c r="I1146" s="13">
        <v>33.0</v>
      </c>
      <c r="J1146" s="13">
        <v>0.0</v>
      </c>
      <c r="K1146" s="12" t="s">
        <v>21</v>
      </c>
      <c r="L1146" s="7">
        <v>42231.3446875</v>
      </c>
      <c r="M1146" s="14" t="s">
        <v>1706</v>
      </c>
      <c r="N1146" s="14" t="s">
        <v>1707</v>
      </c>
      <c r="O1146" s="11" t="str">
        <f>HYPERLINK("https://pbs.twimg.com/profile_images/632743976785735682/CfTy63Eb_normal.jpg","View")</f>
        <v>View</v>
      </c>
      <c r="P1146" s="15"/>
    </row>
    <row r="1147">
      <c r="A1147" s="7">
        <v>42423.36078703703</v>
      </c>
      <c r="B1147" s="8" t="str">
        <f t="shared" ref="B1147:B1148" si="125">HYPERLINK("https://twitter.com/DataWookie","@DataWookie")</f>
        <v>@DataWookie</v>
      </c>
      <c r="C1147" s="10" t="s">
        <v>6231</v>
      </c>
      <c r="D1147" s="10" t="s">
        <v>8399</v>
      </c>
      <c r="E1147" s="11" t="str">
        <f>HYPERLINK("https://twitter.com/DataWookie/status/702170939635552256","702170939635552256")</f>
        <v>702170939635552256</v>
      </c>
      <c r="F1147" s="12" t="s">
        <v>6233</v>
      </c>
      <c r="G1147" s="13">
        <v>426.0</v>
      </c>
      <c r="H1147" s="13">
        <v>296.0</v>
      </c>
      <c r="I1147" s="13">
        <v>0.0</v>
      </c>
      <c r="J1147" s="13">
        <v>0.0</v>
      </c>
      <c r="K1147" s="12" t="s">
        <v>21</v>
      </c>
      <c r="L1147" s="7">
        <v>42166.966678240744</v>
      </c>
      <c r="M1147" s="14" t="s">
        <v>6234</v>
      </c>
      <c r="N1147" s="14" t="s">
        <v>6235</v>
      </c>
      <c r="O1147" s="11" t="str">
        <f t="shared" ref="O1147:O1148" si="126">HYPERLINK("https://pbs.twimg.com/profile_images/612471608725213184/eXKo2Kmo_normal.jpg","View")</f>
        <v>View</v>
      </c>
      <c r="P1147" s="15"/>
    </row>
    <row r="1148">
      <c r="A1148" s="7">
        <v>42423.36140046296</v>
      </c>
      <c r="B1148" s="8" t="str">
        <f t="shared" si="125"/>
        <v>@DataWookie</v>
      </c>
      <c r="C1148" s="10" t="s">
        <v>6231</v>
      </c>
      <c r="D1148" s="10" t="s">
        <v>8400</v>
      </c>
      <c r="E1148" s="11" t="str">
        <f>HYPERLINK("https://twitter.com/DataWookie/status/702171161912676352","702171161912676352")</f>
        <v>702171161912676352</v>
      </c>
      <c r="F1148" s="12" t="s">
        <v>6233</v>
      </c>
      <c r="G1148" s="13">
        <v>426.0</v>
      </c>
      <c r="H1148" s="13">
        <v>296.0</v>
      </c>
      <c r="I1148" s="13">
        <v>0.0</v>
      </c>
      <c r="J1148" s="13">
        <v>0.0</v>
      </c>
      <c r="K1148" s="12" t="s">
        <v>21</v>
      </c>
      <c r="L1148" s="7">
        <v>42166.966678240744</v>
      </c>
      <c r="M1148" s="14" t="s">
        <v>6234</v>
      </c>
      <c r="N1148" s="14" t="s">
        <v>6235</v>
      </c>
      <c r="O1148" s="11" t="str">
        <f t="shared" si="126"/>
        <v>View</v>
      </c>
      <c r="P1148" s="15"/>
    </row>
    <row r="1149">
      <c r="A1149" s="7">
        <v>42423.36335648148</v>
      </c>
      <c r="B1149" s="8" t="str">
        <f>HYPERLINK("https://twitter.com/OrogenesisVe","@OrogenesisVe")</f>
        <v>@OrogenesisVe</v>
      </c>
      <c r="C1149" s="10" t="s">
        <v>8401</v>
      </c>
      <c r="D1149" s="10" t="s">
        <v>8402</v>
      </c>
      <c r="E1149" s="11" t="str">
        <f>HYPERLINK("https://twitter.com/OrogenesisVe/status/702171871882649603","702171871882649603")</f>
        <v>702171871882649603</v>
      </c>
      <c r="F1149" s="12" t="s">
        <v>20</v>
      </c>
      <c r="G1149" s="13">
        <v>1069.0</v>
      </c>
      <c r="H1149" s="13">
        <v>1746.0</v>
      </c>
      <c r="I1149" s="13">
        <v>6.0</v>
      </c>
      <c r="J1149" s="13">
        <v>0.0</v>
      </c>
      <c r="K1149" s="12" t="s">
        <v>21</v>
      </c>
      <c r="L1149" s="7">
        <v>41550.83188657407</v>
      </c>
      <c r="M1149" s="14" t="s">
        <v>8403</v>
      </c>
      <c r="N1149" s="14" t="s">
        <v>8404</v>
      </c>
      <c r="O1149" s="11" t="str">
        <f>HYPERLINK("https://pbs.twimg.com/profile_images/637646303841882112/BErzAEjd_normal.jpg","View")</f>
        <v>View</v>
      </c>
      <c r="P1149" s="15"/>
    </row>
    <row r="1150">
      <c r="A1150" s="7">
        <v>42423.36335648148</v>
      </c>
      <c r="B1150" s="8" t="str">
        <f>HYPERLINK("https://twitter.com/homeAIinfo","@homeAIinfo")</f>
        <v>@homeAIinfo</v>
      </c>
      <c r="C1150" s="10" t="s">
        <v>36</v>
      </c>
      <c r="D1150" s="10" t="s">
        <v>8386</v>
      </c>
      <c r="E1150" s="11" t="str">
        <f>HYPERLINK("https://twitter.com/homeAIinfo/status/702171872704774144","702171872704774144")</f>
        <v>702171872704774144</v>
      </c>
      <c r="F1150" s="12" t="s">
        <v>38</v>
      </c>
      <c r="G1150" s="13">
        <v>52868.0</v>
      </c>
      <c r="H1150" s="13">
        <v>1328.0</v>
      </c>
      <c r="I1150" s="13">
        <v>5.0</v>
      </c>
      <c r="J1150" s="13">
        <v>0.0</v>
      </c>
      <c r="K1150" s="12" t="s">
        <v>21</v>
      </c>
      <c r="L1150" s="7">
        <v>42133.34662037037</v>
      </c>
      <c r="M1150" s="14" t="s">
        <v>39</v>
      </c>
      <c r="N1150" s="14" t="s">
        <v>40</v>
      </c>
      <c r="O1150" s="11" t="str">
        <f>HYPERLINK("https://pbs.twimg.com/profile_images/645650110374936580/-oQakt8x_normal.png","View")</f>
        <v>View</v>
      </c>
      <c r="P1150" s="15"/>
    </row>
    <row r="1151">
      <c r="A1151" s="7">
        <v>42423.368252314816</v>
      </c>
      <c r="B1151" s="8" t="str">
        <f>HYPERLINK("https://twitter.com/Rbloggers","@Rbloggers")</f>
        <v>@Rbloggers</v>
      </c>
      <c r="C1151" s="10" t="s">
        <v>6221</v>
      </c>
      <c r="D1151" s="10" t="s">
        <v>8405</v>
      </c>
      <c r="E1151" s="11" t="str">
        <f>HYPERLINK("https://twitter.com/Rbloggers/status/702173645452345345","702173645452345345")</f>
        <v>702173645452345345</v>
      </c>
      <c r="F1151" s="17" t="s">
        <v>6223</v>
      </c>
      <c r="G1151" s="13">
        <v>28572.0</v>
      </c>
      <c r="H1151" s="13">
        <v>36.0</v>
      </c>
      <c r="I1151" s="13">
        <v>18.0</v>
      </c>
      <c r="J1151" s="13">
        <v>33.0</v>
      </c>
      <c r="K1151" s="12" t="s">
        <v>21</v>
      </c>
      <c r="L1151" s="7">
        <v>40314.510601851856</v>
      </c>
      <c r="M1151" s="16"/>
      <c r="N1151" s="14" t="s">
        <v>6224</v>
      </c>
      <c r="O1151" s="11" t="str">
        <f>HYPERLINK("https://pbs.twimg.com/profile_images/502185985786916864/gkdFh-q7_normal.png","View")</f>
        <v>View</v>
      </c>
      <c r="P1151" s="15"/>
    </row>
    <row r="1152">
      <c r="A1152" s="7">
        <v>42423.36832175926</v>
      </c>
      <c r="B1152" s="8" t="str">
        <f>HYPERLINK("https://twitter.com/mj_kallen","@mj_kallen")</f>
        <v>@mj_kallen</v>
      </c>
      <c r="C1152" s="10" t="s">
        <v>8406</v>
      </c>
      <c r="D1152" s="10" t="s">
        <v>8407</v>
      </c>
      <c r="E1152" s="11" t="str">
        <f>HYPERLINK("https://twitter.com/mj_kallen/status/702173670731489280","702173670731489280")</f>
        <v>702173670731489280</v>
      </c>
      <c r="F1152" s="12" t="s">
        <v>20</v>
      </c>
      <c r="G1152" s="13">
        <v>212.0</v>
      </c>
      <c r="H1152" s="13">
        <v>224.0</v>
      </c>
      <c r="I1152" s="13">
        <v>0.0</v>
      </c>
      <c r="J1152" s="13">
        <v>1.0</v>
      </c>
      <c r="K1152" s="12" t="s">
        <v>21</v>
      </c>
      <c r="L1152" s="7">
        <v>41012.337800925925</v>
      </c>
      <c r="M1152" s="14" t="s">
        <v>8408</v>
      </c>
      <c r="N1152" s="14" t="s">
        <v>8409</v>
      </c>
      <c r="O1152" s="11" t="str">
        <f>HYPERLINK("https://pbs.twimg.com/profile_images/3726746350/fe010823d81013ba77b285d0e4922a18_normal.jpeg","View")</f>
        <v>View</v>
      </c>
      <c r="P1152" s="15"/>
    </row>
    <row r="1153">
      <c r="A1153" s="7">
        <v>42423.368425925924</v>
      </c>
      <c r="B1153" s="8" t="str">
        <f>HYPERLINK("https://twitter.com/JMateosGarcia","@JMateosGarcia")</f>
        <v>@JMateosGarcia</v>
      </c>
      <c r="C1153" s="10" t="s">
        <v>8410</v>
      </c>
      <c r="D1153" s="10" t="s">
        <v>8411</v>
      </c>
      <c r="E1153" s="11" t="str">
        <f>HYPERLINK("https://twitter.com/JMateosGarcia/status/702173708836851713","702173708836851713")</f>
        <v>702173708836851713</v>
      </c>
      <c r="F1153" s="12" t="s">
        <v>52</v>
      </c>
      <c r="G1153" s="13">
        <v>1231.0</v>
      </c>
      <c r="H1153" s="13">
        <v>819.0</v>
      </c>
      <c r="I1153" s="13">
        <v>18.0</v>
      </c>
      <c r="J1153" s="13">
        <v>0.0</v>
      </c>
      <c r="K1153" s="12" t="s">
        <v>21</v>
      </c>
      <c r="L1153" s="7">
        <v>40918.51929398148</v>
      </c>
      <c r="M1153" s="14" t="s">
        <v>2098</v>
      </c>
      <c r="N1153" s="14" t="s">
        <v>8412</v>
      </c>
      <c r="O1153" s="11" t="str">
        <f>HYPERLINK("https://pbs.twimg.com/profile_images/638956113912819712/K8he5nGA_normal.jpg","View")</f>
        <v>View</v>
      </c>
      <c r="P1153" s="15"/>
    </row>
    <row r="1154">
      <c r="A1154" s="7">
        <v>42423.36892361111</v>
      </c>
      <c r="B1154" s="8" t="str">
        <f>HYPERLINK("https://twitter.com/se_verin","@se_verin")</f>
        <v>@se_verin</v>
      </c>
      <c r="C1154" s="10" t="s">
        <v>8413</v>
      </c>
      <c r="D1154" s="10" t="s">
        <v>8414</v>
      </c>
      <c r="E1154" s="11" t="str">
        <f>HYPERLINK("https://twitter.com/se_verin/status/702173889653248000","702173889653248000")</f>
        <v>702173889653248000</v>
      </c>
      <c r="F1154" s="12" t="s">
        <v>446</v>
      </c>
      <c r="G1154" s="13">
        <v>231.0</v>
      </c>
      <c r="H1154" s="13">
        <v>658.0</v>
      </c>
      <c r="I1154" s="13">
        <v>0.0</v>
      </c>
      <c r="J1154" s="13">
        <v>0.0</v>
      </c>
      <c r="K1154" s="12" t="s">
        <v>21</v>
      </c>
      <c r="L1154" s="7">
        <v>39978.19085648148</v>
      </c>
      <c r="M1154" s="14" t="s">
        <v>7357</v>
      </c>
      <c r="N1154" s="14" t="s">
        <v>8415</v>
      </c>
      <c r="O1154" s="11" t="str">
        <f>HYPERLINK("https://pbs.twimg.com/profile_images/602533362666987520/AcPQUSZw_normal.jpg","View")</f>
        <v>View</v>
      </c>
      <c r="P1154" s="15"/>
    </row>
    <row r="1155">
      <c r="A1155" s="7">
        <v>42423.36938657408</v>
      </c>
      <c r="B1155" s="8" t="str">
        <f>HYPERLINK("https://twitter.com/Sergio_CPS","@Sergio_CPS")</f>
        <v>@Sergio_CPS</v>
      </c>
      <c r="C1155" s="10" t="s">
        <v>6395</v>
      </c>
      <c r="D1155" s="10" t="s">
        <v>8411</v>
      </c>
      <c r="E1155" s="11" t="str">
        <f>HYPERLINK("https://twitter.com/Sergio_CPS/status/702174058004217856","702174058004217856")</f>
        <v>702174058004217856</v>
      </c>
      <c r="F1155" s="12" t="s">
        <v>20</v>
      </c>
      <c r="G1155" s="13">
        <v>643.0</v>
      </c>
      <c r="H1155" s="13">
        <v>644.0</v>
      </c>
      <c r="I1155" s="13">
        <v>18.0</v>
      </c>
      <c r="J1155" s="13">
        <v>0.0</v>
      </c>
      <c r="K1155" s="12" t="s">
        <v>21</v>
      </c>
      <c r="L1155" s="7">
        <v>39958.0190162037</v>
      </c>
      <c r="M1155" s="14" t="s">
        <v>6396</v>
      </c>
      <c r="N1155" s="14" t="s">
        <v>6397</v>
      </c>
      <c r="O1155" s="11" t="str">
        <f>HYPERLINK("https://pbs.twimg.com/profile_images/672265924184010752/LrKCh_kA_normal.png","View")</f>
        <v>View</v>
      </c>
      <c r="P1155" s="15"/>
    </row>
    <row r="1156">
      <c r="A1156" s="7">
        <v>42423.371145833335</v>
      </c>
      <c r="B1156" s="8" t="str">
        <f>HYPERLINK("https://twitter.com/WestCoastPole","@WestCoastPole")</f>
        <v>@WestCoastPole</v>
      </c>
      <c r="C1156" s="10" t="s">
        <v>7535</v>
      </c>
      <c r="D1156" s="10" t="s">
        <v>8411</v>
      </c>
      <c r="E1156" s="11" t="str">
        <f>HYPERLINK("https://twitter.com/WestCoastPole/status/702174693923692549","702174693923692549")</f>
        <v>702174693923692549</v>
      </c>
      <c r="F1156" s="12" t="s">
        <v>20</v>
      </c>
      <c r="G1156" s="13">
        <v>8.0</v>
      </c>
      <c r="H1156" s="13">
        <v>47.0</v>
      </c>
      <c r="I1156" s="13">
        <v>18.0</v>
      </c>
      <c r="J1156" s="13">
        <v>0.0</v>
      </c>
      <c r="K1156" s="12" t="s">
        <v>21</v>
      </c>
      <c r="L1156" s="7">
        <v>42409.795625</v>
      </c>
      <c r="M1156" s="16"/>
      <c r="N1156" s="14" t="s">
        <v>7536</v>
      </c>
      <c r="O1156" s="11" t="str">
        <f>HYPERLINK("https://pbs.twimg.com/profile_images/697258194142236672/s37qIvfo_normal.png","View")</f>
        <v>View</v>
      </c>
      <c r="P1156" s="15"/>
    </row>
    <row r="1157">
      <c r="A1157" s="7">
        <v>42423.37149305556</v>
      </c>
      <c r="B1157" s="8" t="str">
        <f>HYPERLINK("https://twitter.com/jatkat45","@jatkat45")</f>
        <v>@jatkat45</v>
      </c>
      <c r="C1157" s="10" t="s">
        <v>6920</v>
      </c>
      <c r="D1157" s="10" t="s">
        <v>8411</v>
      </c>
      <c r="E1157" s="11" t="str">
        <f>HYPERLINK("https://twitter.com/jatkat45/status/702174819459145728","702174819459145728")</f>
        <v>702174819459145728</v>
      </c>
      <c r="F1157" s="12" t="s">
        <v>52</v>
      </c>
      <c r="G1157" s="13">
        <v>1260.0</v>
      </c>
      <c r="H1157" s="13">
        <v>2290.0</v>
      </c>
      <c r="I1157" s="13">
        <v>18.0</v>
      </c>
      <c r="J1157" s="13">
        <v>0.0</v>
      </c>
      <c r="K1157" s="12" t="s">
        <v>21</v>
      </c>
      <c r="L1157" s="7">
        <v>41577.453668981485</v>
      </c>
      <c r="M1157" s="14" t="s">
        <v>332</v>
      </c>
      <c r="N1157" s="14" t="s">
        <v>6921</v>
      </c>
      <c r="O1157" s="11" t="str">
        <f>HYPERLINK("https://pbs.twimg.com/profile_images/687122510672953344/ppVG2cIC_normal.jpg","View")</f>
        <v>View</v>
      </c>
      <c r="P1157" s="15"/>
    </row>
    <row r="1158">
      <c r="A1158" s="7">
        <v>42423.37158564814</v>
      </c>
      <c r="B1158" s="8" t="str">
        <f>HYPERLINK("https://twitter.com/revodavid","@revodavid")</f>
        <v>@revodavid</v>
      </c>
      <c r="C1158" s="10" t="s">
        <v>7648</v>
      </c>
      <c r="D1158" s="10" t="s">
        <v>8416</v>
      </c>
      <c r="E1158" s="11" t="str">
        <f>HYPERLINK("https://twitter.com/revodavid/status/702174854598922240","702174854598922240")</f>
        <v>702174854598922240</v>
      </c>
      <c r="F1158" s="12" t="s">
        <v>446</v>
      </c>
      <c r="G1158" s="13">
        <v>18983.0</v>
      </c>
      <c r="H1158" s="13">
        <v>1103.0</v>
      </c>
      <c r="I1158" s="13">
        <v>11.0</v>
      </c>
      <c r="J1158" s="13">
        <v>17.0</v>
      </c>
      <c r="K1158" s="12" t="s">
        <v>21</v>
      </c>
      <c r="L1158" s="7">
        <v>39926.45226851852</v>
      </c>
      <c r="M1158" s="14" t="s">
        <v>1158</v>
      </c>
      <c r="N1158" s="14" t="s">
        <v>7650</v>
      </c>
      <c r="O1158" s="11" t="str">
        <f>HYPERLINK("https://pbs.twimg.com/profile_images/580043996723974144/_Oyvwa9c_normal.jpg","View")</f>
        <v>View</v>
      </c>
      <c r="P1158" s="15"/>
    </row>
    <row r="1159">
      <c r="A1159" s="7">
        <v>42423.37239583333</v>
      </c>
      <c r="B1159" s="8" t="str">
        <f>HYPERLINK("https://twitter.com/timelyportfolio","@timelyportfolio")</f>
        <v>@timelyportfolio</v>
      </c>
      <c r="C1159" s="10" t="s">
        <v>3698</v>
      </c>
      <c r="D1159" s="10" t="s">
        <v>8417</v>
      </c>
      <c r="E1159" s="11" t="str">
        <f>HYPERLINK("https://twitter.com/timelyportfolio/status/702175149064380416","702175149064380416")</f>
        <v>702175149064380416</v>
      </c>
      <c r="F1159" s="12" t="s">
        <v>20</v>
      </c>
      <c r="G1159" s="13">
        <v>1875.0</v>
      </c>
      <c r="H1159" s="13">
        <v>2248.0</v>
      </c>
      <c r="I1159" s="13">
        <v>11.0</v>
      </c>
      <c r="J1159" s="13">
        <v>0.0</v>
      </c>
      <c r="K1159" s="12" t="s">
        <v>21</v>
      </c>
      <c r="L1159" s="7">
        <v>40573.86280092593</v>
      </c>
      <c r="M1159" s="14" t="s">
        <v>3700</v>
      </c>
      <c r="N1159" s="14" t="s">
        <v>3701</v>
      </c>
      <c r="O1159" s="11" t="str">
        <f>HYPERLINK("https://pbs.twimg.com/profile_images/2198946077/image_normal.jpg","View")</f>
        <v>View</v>
      </c>
      <c r="P1159" s="15"/>
    </row>
    <row r="1160">
      <c r="A1160" s="7">
        <v>42423.373125</v>
      </c>
      <c r="B1160" s="8" t="str">
        <f>HYPERLINK("https://twitter.com/marypcbuk","@marypcbuk")</f>
        <v>@marypcbuk</v>
      </c>
      <c r="C1160" s="10" t="s">
        <v>8418</v>
      </c>
      <c r="D1160" s="10" t="s">
        <v>8417</v>
      </c>
      <c r="E1160" s="11" t="str">
        <f>HYPERLINK("https://twitter.com/marypcbuk/status/702175409778139137","702175409778139137")</f>
        <v>702175409778139137</v>
      </c>
      <c r="F1160" s="12" t="s">
        <v>6643</v>
      </c>
      <c r="G1160" s="13">
        <v>6891.0</v>
      </c>
      <c r="H1160" s="13">
        <v>1105.0</v>
      </c>
      <c r="I1160" s="13">
        <v>11.0</v>
      </c>
      <c r="J1160" s="13">
        <v>0.0</v>
      </c>
      <c r="K1160" s="12" t="s">
        <v>21</v>
      </c>
      <c r="L1160" s="7">
        <v>40206.406435185185</v>
      </c>
      <c r="M1160" s="16"/>
      <c r="N1160" s="14" t="s">
        <v>8419</v>
      </c>
      <c r="O1160" s="11" t="str">
        <f>HYPERLINK("https://pbs.twimg.com/profile_images/704319005/mary_head_normal.jpg","View")</f>
        <v>View</v>
      </c>
      <c r="P1160" s="15"/>
    </row>
    <row r="1161">
      <c r="A1161" s="7">
        <v>42423.373831018514</v>
      </c>
      <c r="B1161" s="8" t="str">
        <f>HYPERLINK("https://twitter.com/ngamita","@ngamita")</f>
        <v>@ngamita</v>
      </c>
      <c r="C1161" s="10" t="s">
        <v>7560</v>
      </c>
      <c r="D1161" s="10" t="s">
        <v>8417</v>
      </c>
      <c r="E1161" s="11" t="str">
        <f>HYPERLINK("https://twitter.com/ngamita/status/702175667140612097","702175667140612097")</f>
        <v>702175667140612097</v>
      </c>
      <c r="F1161" s="12" t="s">
        <v>20</v>
      </c>
      <c r="G1161" s="13">
        <v>1298.0</v>
      </c>
      <c r="H1161" s="13">
        <v>1239.0</v>
      </c>
      <c r="I1161" s="13">
        <v>11.0</v>
      </c>
      <c r="J1161" s="13">
        <v>0.0</v>
      </c>
      <c r="K1161" s="12" t="s">
        <v>21</v>
      </c>
      <c r="L1161" s="7">
        <v>40066.2893287037</v>
      </c>
      <c r="M1161" s="14" t="s">
        <v>7562</v>
      </c>
      <c r="N1161" s="14" t="s">
        <v>7563</v>
      </c>
      <c r="O1161" s="11" t="str">
        <f>HYPERLINK("https://pbs.twimg.com/profile_images/538251729419001857/kIvht2bF_normal.jpeg","View")</f>
        <v>View</v>
      </c>
      <c r="P1161" s="15"/>
    </row>
    <row r="1162">
      <c r="A1162" s="7">
        <v>42423.375127314815</v>
      </c>
      <c r="B1162" s="8" t="str">
        <f>HYPERLINK("https://twitter.com/richierocks","@richierocks")</f>
        <v>@richierocks</v>
      </c>
      <c r="C1162" s="10" t="s">
        <v>8420</v>
      </c>
      <c r="D1162" s="10" t="s">
        <v>8421</v>
      </c>
      <c r="E1162" s="11" t="str">
        <f>HYPERLINK("https://twitter.com/richierocks/status/702176136378322944","702176136378322944")</f>
        <v>702176136378322944</v>
      </c>
      <c r="F1162" s="12" t="s">
        <v>20</v>
      </c>
      <c r="G1162" s="13">
        <v>362.0</v>
      </c>
      <c r="H1162" s="13">
        <v>312.0</v>
      </c>
      <c r="I1162" s="13">
        <v>0.0</v>
      </c>
      <c r="J1162" s="13">
        <v>7.0</v>
      </c>
      <c r="K1162" s="12" t="s">
        <v>21</v>
      </c>
      <c r="L1162" s="7">
        <v>39281.2646412037</v>
      </c>
      <c r="M1162" s="14" t="s">
        <v>8422</v>
      </c>
      <c r="N1162" s="14" t="s">
        <v>8423</v>
      </c>
      <c r="O1162" s="11" t="str">
        <f>HYPERLINK("https://pbs.twimg.com/profile_images/529985174008639488/kEOLvxGs_normal.jpeg","View")</f>
        <v>View</v>
      </c>
      <c r="P1162" s="15"/>
    </row>
    <row r="1163">
      <c r="A1163" s="7">
        <v>42423.37520833334</v>
      </c>
      <c r="B1163" s="8" t="str">
        <f>HYPERLINK("https://twitter.com/mhultstrom","@mhultstrom")</f>
        <v>@mhultstrom</v>
      </c>
      <c r="C1163" s="10" t="s">
        <v>7511</v>
      </c>
      <c r="D1163" s="10" t="s">
        <v>8417</v>
      </c>
      <c r="E1163" s="11" t="str">
        <f>HYPERLINK("https://twitter.com/mhultstrom/status/702176165272932361","702176165272932361")</f>
        <v>702176165272932361</v>
      </c>
      <c r="F1163" s="12" t="s">
        <v>1573</v>
      </c>
      <c r="G1163" s="13">
        <v>207.0</v>
      </c>
      <c r="H1163" s="13">
        <v>373.0</v>
      </c>
      <c r="I1163" s="13">
        <v>11.0</v>
      </c>
      <c r="J1163" s="13">
        <v>0.0</v>
      </c>
      <c r="K1163" s="12" t="s">
        <v>21</v>
      </c>
      <c r="L1163" s="7">
        <v>40506.38873842593</v>
      </c>
      <c r="M1163" s="14" t="s">
        <v>7512</v>
      </c>
      <c r="N1163" s="14" t="s">
        <v>7513</v>
      </c>
      <c r="O1163" s="11" t="str">
        <f>HYPERLINK("https://pbs.twimg.com/profile_images/2746146658/4d05ba6e1fdfd38d3386922bf39aebcd_normal.png","View")</f>
        <v>View</v>
      </c>
      <c r="P1163" s="15"/>
    </row>
    <row r="1164">
      <c r="A1164" s="7">
        <v>42423.37615740741</v>
      </c>
      <c r="B1164" s="8" t="str">
        <f>HYPERLINK("https://twitter.com/monsoontrader","@monsoontrader")</f>
        <v>@monsoontrader</v>
      </c>
      <c r="C1164" s="10" t="s">
        <v>8424</v>
      </c>
      <c r="D1164" s="10" t="s">
        <v>8425</v>
      </c>
      <c r="E1164" s="11" t="str">
        <f>HYPERLINK("https://twitter.com/monsoontrader/status/702176508232728577","702176508232728577")</f>
        <v>702176508232728577</v>
      </c>
      <c r="F1164" s="12" t="s">
        <v>446</v>
      </c>
      <c r="G1164" s="13">
        <v>723.0</v>
      </c>
      <c r="H1164" s="13">
        <v>829.0</v>
      </c>
      <c r="I1164" s="13">
        <v>4.0</v>
      </c>
      <c r="J1164" s="13">
        <v>5.0</v>
      </c>
      <c r="K1164" s="12" t="s">
        <v>21</v>
      </c>
      <c r="L1164" s="7">
        <v>40839.94814814815</v>
      </c>
      <c r="M1164" s="14" t="s">
        <v>8426</v>
      </c>
      <c r="N1164" s="14" t="s">
        <v>8427</v>
      </c>
      <c r="O1164" s="11" t="str">
        <f>HYPERLINK("https://pbs.twimg.com/profile_images/669283346413916161/jH8A_2hk_normal.jpg","View")</f>
        <v>View</v>
      </c>
      <c r="P1164" s="15"/>
    </row>
    <row r="1165">
      <c r="A1165" s="7">
        <v>42423.37673611111</v>
      </c>
      <c r="B1165" s="8" t="str">
        <f>HYPERLINK("https://twitter.com/WebScraperDB","@WebScraperDB")</f>
        <v>@WebScraperDB</v>
      </c>
      <c r="C1165" s="10" t="s">
        <v>2743</v>
      </c>
      <c r="D1165" s="10" t="s">
        <v>8428</v>
      </c>
      <c r="E1165" s="11" t="str">
        <f>HYPERLINK("https://twitter.com/WebScraperDB/status/702176721357901824","702176721357901824")</f>
        <v>702176721357901824</v>
      </c>
      <c r="F1165" s="12" t="s">
        <v>2743</v>
      </c>
      <c r="G1165" s="13">
        <v>298.0</v>
      </c>
      <c r="H1165" s="13">
        <v>927.0</v>
      </c>
      <c r="I1165" s="13">
        <v>0.0</v>
      </c>
      <c r="J1165" s="13">
        <v>1.0</v>
      </c>
      <c r="K1165" s="12" t="s">
        <v>21</v>
      </c>
      <c r="L1165" s="7">
        <v>42410.33493055556</v>
      </c>
      <c r="M1165" s="14" t="s">
        <v>2745</v>
      </c>
      <c r="N1165" s="14" t="s">
        <v>2746</v>
      </c>
      <c r="O1165" s="11" t="str">
        <f>HYPERLINK("https://pbs.twimg.com/profile_images/699545598450606080/s8CU8cVg_normal.png","View")</f>
        <v>View</v>
      </c>
      <c r="P1165" s="15"/>
    </row>
    <row r="1166">
      <c r="A1166" s="7">
        <v>42423.37877314815</v>
      </c>
      <c r="B1166" s="8" t="str">
        <f>HYPERLINK("https://twitter.com/kierisi","@kierisi")</f>
        <v>@kierisi</v>
      </c>
      <c r="C1166" s="10" t="s">
        <v>1614</v>
      </c>
      <c r="D1166" s="10" t="s">
        <v>8429</v>
      </c>
      <c r="E1166" s="11" t="str">
        <f>HYPERLINK("https://twitter.com/kierisi/status/702177458468966400","702177458468966400")</f>
        <v>702177458468966400</v>
      </c>
      <c r="F1166" s="12" t="s">
        <v>446</v>
      </c>
      <c r="G1166" s="13">
        <v>668.0</v>
      </c>
      <c r="H1166" s="13">
        <v>588.0</v>
      </c>
      <c r="I1166" s="13">
        <v>4.0</v>
      </c>
      <c r="J1166" s="13">
        <v>0.0</v>
      </c>
      <c r="K1166" s="12" t="s">
        <v>21</v>
      </c>
      <c r="L1166" s="7">
        <v>41741.39902777778</v>
      </c>
      <c r="M1166" s="14" t="s">
        <v>1616</v>
      </c>
      <c r="N1166" s="14" t="s">
        <v>1617</v>
      </c>
      <c r="O1166" s="11" t="str">
        <f>HYPERLINK("https://pbs.twimg.com/profile_images/679646902145556480/cM-3XPTI_normal.jpg","View")</f>
        <v>View</v>
      </c>
      <c r="P1166" s="15"/>
    </row>
    <row r="1167">
      <c r="A1167" s="7">
        <v>42423.37922453704</v>
      </c>
      <c r="B1167" s="8" t="str">
        <f>HYPERLINK("https://twitter.com/RLangTip","@RLangTip")</f>
        <v>@RLangTip</v>
      </c>
      <c r="C1167" s="10" t="s">
        <v>7460</v>
      </c>
      <c r="D1167" s="10" t="s">
        <v>8430</v>
      </c>
      <c r="E1167" s="11" t="str">
        <f>HYPERLINK("https://twitter.com/RLangTip/status/702177623380779008","702177623380779008")</f>
        <v>702177623380779008</v>
      </c>
      <c r="F1167" s="12" t="s">
        <v>659</v>
      </c>
      <c r="G1167" s="13">
        <v>30041.0</v>
      </c>
      <c r="H1167" s="13">
        <v>11.0</v>
      </c>
      <c r="I1167" s="13">
        <v>12.0</v>
      </c>
      <c r="J1167" s="13">
        <v>19.0</v>
      </c>
      <c r="K1167" s="12" t="s">
        <v>21</v>
      </c>
      <c r="L1167" s="7">
        <v>40671.57754629629</v>
      </c>
      <c r="M1167" s="16"/>
      <c r="N1167" s="14" t="s">
        <v>7462</v>
      </c>
      <c r="O1167" s="11" t="str">
        <f>HYPERLINK("https://pbs.twimg.com/profile_images/1344530309/RLangTip_normal.png","View")</f>
        <v>View</v>
      </c>
      <c r="P1167" s="15"/>
    </row>
    <row r="1168">
      <c r="A1168" s="7">
        <v>42423.37951388889</v>
      </c>
      <c r="B1168" s="8" t="str">
        <f>HYPERLINK("https://twitter.com/Hrishi_kesh","@Hrishi_kesh")</f>
        <v>@Hrishi_kesh</v>
      </c>
      <c r="C1168" s="10" t="s">
        <v>8431</v>
      </c>
      <c r="D1168" s="10" t="s">
        <v>8411</v>
      </c>
      <c r="E1168" s="11" t="str">
        <f>HYPERLINK("https://twitter.com/Hrishi_kesh/status/702177724966637568","702177724966637568")</f>
        <v>702177724966637568</v>
      </c>
      <c r="F1168" s="12" t="s">
        <v>152</v>
      </c>
      <c r="G1168" s="13">
        <v>130.0</v>
      </c>
      <c r="H1168" s="13">
        <v>262.0</v>
      </c>
      <c r="I1168" s="13">
        <v>18.0</v>
      </c>
      <c r="J1168" s="13">
        <v>0.0</v>
      </c>
      <c r="K1168" s="12" t="s">
        <v>21</v>
      </c>
      <c r="L1168" s="7">
        <v>40547.38091435185</v>
      </c>
      <c r="M1168" s="14" t="s">
        <v>639</v>
      </c>
      <c r="N1168" s="14" t="s">
        <v>8432</v>
      </c>
      <c r="O1168" s="11" t="str">
        <f>HYPERLINK("https://pbs.twimg.com/profile_images/584640941308256257/J8P9dJjq_normal.jpg","View")</f>
        <v>View</v>
      </c>
      <c r="P1168" s="15"/>
    </row>
    <row r="1169">
      <c r="A1169" s="7">
        <v>42423.38291666667</v>
      </c>
      <c r="B1169" s="8" t="str">
        <f>HYPERLINK("https://twitter.com/IamLord_Zico","@IamLord_Zico")</f>
        <v>@IamLord_Zico</v>
      </c>
      <c r="C1169" s="10" t="s">
        <v>8433</v>
      </c>
      <c r="D1169" s="10" t="s">
        <v>8434</v>
      </c>
      <c r="E1169" s="11" t="str">
        <f>HYPERLINK("https://twitter.com/IamLord_Zico/status/702178958033481728","702178958033481728")</f>
        <v>702178958033481728</v>
      </c>
      <c r="F1169" s="12" t="s">
        <v>152</v>
      </c>
      <c r="G1169" s="13">
        <v>377.0</v>
      </c>
      <c r="H1169" s="13">
        <v>794.0</v>
      </c>
      <c r="I1169" s="13">
        <v>12.0</v>
      </c>
      <c r="J1169" s="13">
        <v>0.0</v>
      </c>
      <c r="K1169" s="12" t="s">
        <v>21</v>
      </c>
      <c r="L1169" s="7">
        <v>40448.19819444444</v>
      </c>
      <c r="M1169" s="14" t="s">
        <v>8435</v>
      </c>
      <c r="N1169" s="14" t="s">
        <v>8436</v>
      </c>
      <c r="O1169" s="11" t="str">
        <f>HYPERLINK("https://pbs.twimg.com/profile_images/695428125383995393/AHgGbV7f_normal.jpg","View")</f>
        <v>View</v>
      </c>
      <c r="P1169" s="15"/>
    </row>
    <row r="1170">
      <c r="A1170" s="7">
        <v>42423.38402777778</v>
      </c>
      <c r="B1170" s="8" t="str">
        <f>HYPERLINK("https://twitter.com/robertstats","@robertstats")</f>
        <v>@robertstats</v>
      </c>
      <c r="C1170" s="10" t="s">
        <v>8437</v>
      </c>
      <c r="D1170" s="10" t="s">
        <v>8438</v>
      </c>
      <c r="E1170" s="11" t="str">
        <f>HYPERLINK("https://twitter.com/robertstats/status/702179363601645568","702179363601645568")</f>
        <v>702179363601645568</v>
      </c>
      <c r="F1170" s="12" t="s">
        <v>152</v>
      </c>
      <c r="G1170" s="13">
        <v>568.0</v>
      </c>
      <c r="H1170" s="13">
        <v>348.0</v>
      </c>
      <c r="I1170" s="13">
        <v>0.0</v>
      </c>
      <c r="J1170" s="13">
        <v>1.0</v>
      </c>
      <c r="K1170" s="12" t="s">
        <v>21</v>
      </c>
      <c r="L1170" s="7">
        <v>41729.47409722222</v>
      </c>
      <c r="M1170" s="14" t="s">
        <v>1093</v>
      </c>
      <c r="N1170" s="14" t="s">
        <v>8439</v>
      </c>
      <c r="O1170" s="11" t="str">
        <f>HYPERLINK("https://pbs.twimg.com/profile_images/685147968874373121/r_V2hRhj_normal.jpg","View")</f>
        <v>View</v>
      </c>
      <c r="P1170" s="15"/>
    </row>
    <row r="1171">
      <c r="A1171" s="7">
        <v>42423.384097222224</v>
      </c>
      <c r="B1171" s="8" t="str">
        <f>HYPERLINK("https://twitter.com/sepirdata","@sepirdata")</f>
        <v>@sepirdata</v>
      </c>
      <c r="C1171" s="10" t="s">
        <v>8440</v>
      </c>
      <c r="D1171" s="10" t="s">
        <v>8417</v>
      </c>
      <c r="E1171" s="11" t="str">
        <f>HYPERLINK("https://twitter.com/sepirdata/status/702179387307900928","702179387307900928")</f>
        <v>702179387307900928</v>
      </c>
      <c r="F1171" s="12" t="s">
        <v>20</v>
      </c>
      <c r="G1171" s="13">
        <v>314.0</v>
      </c>
      <c r="H1171" s="13">
        <v>241.0</v>
      </c>
      <c r="I1171" s="13">
        <v>11.0</v>
      </c>
      <c r="J1171" s="13">
        <v>0.0</v>
      </c>
      <c r="K1171" s="12" t="s">
        <v>21</v>
      </c>
      <c r="L1171" s="7">
        <v>41785.43724537037</v>
      </c>
      <c r="M1171" s="14" t="s">
        <v>8441</v>
      </c>
      <c r="N1171" s="14" t="s">
        <v>8442</v>
      </c>
      <c r="O1171" s="11" t="str">
        <f>HYPERLINK("https://pbs.twimg.com/profile_images/560167861843267586/3xcke4Zg_normal.png","View")</f>
        <v>View</v>
      </c>
      <c r="P1171" s="15"/>
    </row>
    <row r="1172">
      <c r="A1172" s="7">
        <v>42423.388449074075</v>
      </c>
      <c r="B1172" s="8" t="str">
        <f t="shared" ref="B1172:B1173" si="127">HYPERLINK("https://twitter.com/MangoPharma","@MangoPharma")</f>
        <v>@MangoPharma</v>
      </c>
      <c r="C1172" s="10" t="s">
        <v>8443</v>
      </c>
      <c r="D1172" s="10" t="s">
        <v>7138</v>
      </c>
      <c r="E1172" s="11" t="str">
        <f>HYPERLINK("https://twitter.com/MangoPharma/status/702180965959999489","702180965959999489")</f>
        <v>702180965959999489</v>
      </c>
      <c r="F1172" s="12" t="s">
        <v>20</v>
      </c>
      <c r="G1172" s="13">
        <v>19.0</v>
      </c>
      <c r="H1172" s="13">
        <v>149.0</v>
      </c>
      <c r="I1172" s="13">
        <v>1.0</v>
      </c>
      <c r="J1172" s="13">
        <v>0.0</v>
      </c>
      <c r="K1172" s="12" t="s">
        <v>21</v>
      </c>
      <c r="L1172" s="7">
        <v>42421.48475694444</v>
      </c>
      <c r="M1172" s="14" t="s">
        <v>7439</v>
      </c>
      <c r="N1172" s="14" t="s">
        <v>8444</v>
      </c>
      <c r="O1172" s="11" t="str">
        <f t="shared" ref="O1172:O1173" si="128">HYPERLINK("https://pbs.twimg.com/profile_images/702168871437017090/GncGcQIU_normal.png","View")</f>
        <v>View</v>
      </c>
      <c r="P1172" s="15"/>
    </row>
    <row r="1173">
      <c r="A1173" s="7">
        <v>42423.38923611111</v>
      </c>
      <c r="B1173" s="8" t="str">
        <f t="shared" si="127"/>
        <v>@MangoPharma</v>
      </c>
      <c r="C1173" s="10" t="s">
        <v>8443</v>
      </c>
      <c r="D1173" s="10" t="s">
        <v>7453</v>
      </c>
      <c r="E1173" s="11" t="str">
        <f>HYPERLINK("https://twitter.com/MangoPharma/status/702181250585518080","702181250585518080")</f>
        <v>702181250585518080</v>
      </c>
      <c r="F1173" s="12" t="s">
        <v>20</v>
      </c>
      <c r="G1173" s="13">
        <v>19.0</v>
      </c>
      <c r="H1173" s="13">
        <v>149.0</v>
      </c>
      <c r="I1173" s="13">
        <v>2.0</v>
      </c>
      <c r="J1173" s="13">
        <v>0.0</v>
      </c>
      <c r="K1173" s="12" t="s">
        <v>21</v>
      </c>
      <c r="L1173" s="7">
        <v>42421.48475694444</v>
      </c>
      <c r="M1173" s="14" t="s">
        <v>7439</v>
      </c>
      <c r="N1173" s="14" t="s">
        <v>8444</v>
      </c>
      <c r="O1173" s="11" t="str">
        <f t="shared" si="128"/>
        <v>View</v>
      </c>
      <c r="P1173" s="15"/>
    </row>
    <row r="1174">
      <c r="A1174" s="7">
        <v>42423.391921296294</v>
      </c>
      <c r="B1174" s="8" t="str">
        <f>HYPERLINK("https://twitter.com/DataSciNews","@DataSciNews")</f>
        <v>@DataSciNews</v>
      </c>
      <c r="C1174" s="10" t="s">
        <v>8445</v>
      </c>
      <c r="D1174" s="10" t="s">
        <v>8417</v>
      </c>
      <c r="E1174" s="11" t="str">
        <f>HYPERLINK("https://twitter.com/DataSciNews/status/702182224947445760","702182224947445760")</f>
        <v>702182224947445760</v>
      </c>
      <c r="F1174" s="12" t="s">
        <v>152</v>
      </c>
      <c r="G1174" s="13">
        <v>2780.0</v>
      </c>
      <c r="H1174" s="13">
        <v>38.0</v>
      </c>
      <c r="I1174" s="13">
        <v>11.0</v>
      </c>
      <c r="J1174" s="13">
        <v>0.0</v>
      </c>
      <c r="K1174" s="12" t="s">
        <v>21</v>
      </c>
      <c r="L1174" s="7">
        <v>41599.45736111111</v>
      </c>
      <c r="M1174" s="16"/>
      <c r="N1174" s="14" t="s">
        <v>8446</v>
      </c>
      <c r="O1174" s="11" t="str">
        <f>HYPERLINK("https://pbs.twimg.com/profile_images/378800000774774259/d7d4e2bd0448f2c3ae4e8acd28f25927_normal.png","View")</f>
        <v>View</v>
      </c>
      <c r="P1174" s="15"/>
    </row>
    <row r="1175">
      <c r="A1175" s="7">
        <v>42423.39329861111</v>
      </c>
      <c r="B1175" s="8" t="str">
        <f>HYPERLINK("https://twitter.com/richierocks","@richierocks")</f>
        <v>@richierocks</v>
      </c>
      <c r="C1175" s="10" t="s">
        <v>8420</v>
      </c>
      <c r="D1175" s="10" t="s">
        <v>8447</v>
      </c>
      <c r="E1175" s="11" t="str">
        <f>HYPERLINK("https://twitter.com/richierocks/status/702182721192337408","702182721192337408")</f>
        <v>702182721192337408</v>
      </c>
      <c r="F1175" s="12" t="s">
        <v>20</v>
      </c>
      <c r="G1175" s="13">
        <v>362.0</v>
      </c>
      <c r="H1175" s="13">
        <v>312.0</v>
      </c>
      <c r="I1175" s="13">
        <v>0.0</v>
      </c>
      <c r="J1175" s="13">
        <v>5.0</v>
      </c>
      <c r="K1175" s="12" t="s">
        <v>21</v>
      </c>
      <c r="L1175" s="7">
        <v>39281.2646412037</v>
      </c>
      <c r="M1175" s="14" t="s">
        <v>8422</v>
      </c>
      <c r="N1175" s="14" t="s">
        <v>8423</v>
      </c>
      <c r="O1175" s="11" t="str">
        <f>HYPERLINK("https://pbs.twimg.com/profile_images/529985174008639488/kEOLvxGs_normal.jpeg","View")</f>
        <v>View</v>
      </c>
      <c r="P1175" s="15"/>
    </row>
    <row r="1176">
      <c r="A1176" s="7">
        <v>42423.39344907408</v>
      </c>
      <c r="B1176" s="8" t="str">
        <f>HYPERLINK("https://twitter.com/psolymos","@psolymos")</f>
        <v>@psolymos</v>
      </c>
      <c r="C1176" s="10" t="s">
        <v>8448</v>
      </c>
      <c r="D1176" s="10" t="s">
        <v>8449</v>
      </c>
      <c r="E1176" s="11" t="str">
        <f>HYPERLINK("https://twitter.com/psolymos/status/702182774560546816","702182774560546816")</f>
        <v>702182774560546816</v>
      </c>
      <c r="F1176" s="12" t="s">
        <v>20</v>
      </c>
      <c r="G1176" s="13">
        <v>17.0</v>
      </c>
      <c r="H1176" s="13">
        <v>59.0</v>
      </c>
      <c r="I1176" s="13">
        <v>0.0</v>
      </c>
      <c r="J1176" s="13">
        <v>0.0</v>
      </c>
      <c r="K1176" s="12" t="s">
        <v>21</v>
      </c>
      <c r="L1176" s="7">
        <v>40898.88332175926</v>
      </c>
      <c r="M1176" s="14" t="s">
        <v>8450</v>
      </c>
      <c r="N1176" s="14" t="s">
        <v>8451</v>
      </c>
      <c r="O1176" s="11" t="str">
        <f>HYPERLINK("https://pbs.twimg.com/profile_images/621827950296502272/EsvhO07z_normal.png","View")</f>
        <v>View</v>
      </c>
      <c r="P1176" s="15"/>
    </row>
    <row r="1177">
      <c r="A1177" s="7">
        <v>42423.39476851852</v>
      </c>
      <c r="B1177" s="8" t="str">
        <f>HYPERLINK("https://twitter.com/tanyacash21","@tanyacash21")</f>
        <v>@tanyacash21</v>
      </c>
      <c r="C1177" s="10" t="s">
        <v>8452</v>
      </c>
      <c r="D1177" s="10" t="s">
        <v>8429</v>
      </c>
      <c r="E1177" s="11" t="str">
        <f>HYPERLINK("https://twitter.com/tanyacash21/status/702183255416696835","702183255416696835")</f>
        <v>702183255416696835</v>
      </c>
      <c r="F1177" s="12" t="s">
        <v>52</v>
      </c>
      <c r="G1177" s="13">
        <v>783.0</v>
      </c>
      <c r="H1177" s="13">
        <v>995.0</v>
      </c>
      <c r="I1177" s="13">
        <v>4.0</v>
      </c>
      <c r="J1177" s="13">
        <v>0.0</v>
      </c>
      <c r="K1177" s="12" t="s">
        <v>21</v>
      </c>
      <c r="L1177" s="7">
        <v>40035.53855324074</v>
      </c>
      <c r="M1177" s="14" t="s">
        <v>1660</v>
      </c>
      <c r="N1177" s="14" t="s">
        <v>8453</v>
      </c>
      <c r="O1177" s="11" t="str">
        <f>HYPERLINK("https://pbs.twimg.com/profile_images/549774835258101761/h8VaD2VQ_normal.png","View")</f>
        <v>View</v>
      </c>
      <c r="P1177" s="15"/>
    </row>
    <row r="1178">
      <c r="A1178" s="7">
        <v>42423.39644675926</v>
      </c>
      <c r="B1178" s="8" t="str">
        <f>HYPERLINK("https://twitter.com/AnalyticsVidhya","@AnalyticsVidhya")</f>
        <v>@AnalyticsVidhya</v>
      </c>
      <c r="C1178" s="10" t="s">
        <v>2998</v>
      </c>
      <c r="D1178" s="10" t="s">
        <v>8454</v>
      </c>
      <c r="E1178" s="11" t="str">
        <f>HYPERLINK("https://twitter.com/AnalyticsVidhya/status/702183864236691457","702183864236691457")</f>
        <v>702183864236691457</v>
      </c>
      <c r="F1178" s="12" t="s">
        <v>294</v>
      </c>
      <c r="G1178" s="13">
        <v>4133.0</v>
      </c>
      <c r="H1178" s="13">
        <v>250.0</v>
      </c>
      <c r="I1178" s="13">
        <v>3.0</v>
      </c>
      <c r="J1178" s="13">
        <v>6.0</v>
      </c>
      <c r="K1178" s="12" t="s">
        <v>21</v>
      </c>
      <c r="L1178" s="7">
        <v>41665.11702546296</v>
      </c>
      <c r="M1178" s="16"/>
      <c r="N1178" s="14" t="s">
        <v>3000</v>
      </c>
      <c r="O1178" s="11" t="str">
        <f>HYPERLINK("https://pbs.twimg.com/profile_images/457775762108448768/XmO2C1-E_normal.png","View")</f>
        <v>View</v>
      </c>
      <c r="P1178" s="15"/>
    </row>
    <row r="1179">
      <c r="A1179" s="7">
        <v>42423.39775462963</v>
      </c>
      <c r="B1179" s="8" t="str">
        <f>HYPERLINK("https://twitter.com/antbarros","@antbarros")</f>
        <v>@antbarros</v>
      </c>
      <c r="C1179" s="10" t="s">
        <v>7492</v>
      </c>
      <c r="D1179" s="10" t="s">
        <v>8434</v>
      </c>
      <c r="E1179" s="11" t="str">
        <f>HYPERLINK("https://twitter.com/antbarros/status/702184337198944258","702184337198944258")</f>
        <v>702184337198944258</v>
      </c>
      <c r="F1179" s="12" t="s">
        <v>20</v>
      </c>
      <c r="G1179" s="13">
        <v>144.0</v>
      </c>
      <c r="H1179" s="13">
        <v>398.0</v>
      </c>
      <c r="I1179" s="13">
        <v>12.0</v>
      </c>
      <c r="J1179" s="13">
        <v>0.0</v>
      </c>
      <c r="K1179" s="12" t="s">
        <v>21</v>
      </c>
      <c r="L1179" s="7">
        <v>39834.61170138889</v>
      </c>
      <c r="M1179" s="14" t="s">
        <v>7493</v>
      </c>
      <c r="N1179" s="14" t="s">
        <v>7494</v>
      </c>
      <c r="O1179" s="11" t="str">
        <f>HYPERLINK("https://pbs.twimg.com/profile_images/3212894266/18133d38ffd7c042588b27ea15b3cd16_normal.jpeg","View")</f>
        <v>View</v>
      </c>
      <c r="P1179" s="15"/>
    </row>
    <row r="1180">
      <c r="A1180" s="7">
        <v>42423.398194444446</v>
      </c>
      <c r="B1180" s="8" t="str">
        <f>HYPERLINK("https://twitter.com/scripterAnon","@scripterAnon")</f>
        <v>@scripterAnon</v>
      </c>
      <c r="C1180" s="10" t="s">
        <v>7583</v>
      </c>
      <c r="D1180" s="10" t="s">
        <v>8411</v>
      </c>
      <c r="E1180" s="11" t="str">
        <f>HYPERLINK("https://twitter.com/scripterAnon/status/702184495265538048","702184495265538048")</f>
        <v>702184495265538048</v>
      </c>
      <c r="F1180" s="12" t="s">
        <v>1573</v>
      </c>
      <c r="G1180" s="13">
        <v>130.0</v>
      </c>
      <c r="H1180" s="13">
        <v>256.0</v>
      </c>
      <c r="I1180" s="13">
        <v>18.0</v>
      </c>
      <c r="J1180" s="13">
        <v>0.0</v>
      </c>
      <c r="K1180" s="12" t="s">
        <v>21</v>
      </c>
      <c r="L1180" s="7">
        <v>40161.40619212963</v>
      </c>
      <c r="M1180" s="14" t="s">
        <v>7585</v>
      </c>
      <c r="N1180" s="16"/>
      <c r="O1180" s="11" t="str">
        <f>HYPERLINK("https://pbs.twimg.com/profile_images/594801770414518272/4LKsLLI2_normal.jpg","View")</f>
        <v>View</v>
      </c>
      <c r="P1180" s="15"/>
    </row>
    <row r="1181">
      <c r="A1181" s="7">
        <v>42423.39839120371</v>
      </c>
      <c r="B1181" s="8" t="str">
        <f>HYPERLINK("https://twitter.com/antbarros","@antbarros")</f>
        <v>@antbarros</v>
      </c>
      <c r="C1181" s="10" t="s">
        <v>7492</v>
      </c>
      <c r="D1181" s="10" t="s">
        <v>8417</v>
      </c>
      <c r="E1181" s="11" t="str">
        <f>HYPERLINK("https://twitter.com/antbarros/status/702184568439357441","702184568439357441")</f>
        <v>702184568439357441</v>
      </c>
      <c r="F1181" s="12" t="s">
        <v>20</v>
      </c>
      <c r="G1181" s="13">
        <v>144.0</v>
      </c>
      <c r="H1181" s="13">
        <v>398.0</v>
      </c>
      <c r="I1181" s="13">
        <v>11.0</v>
      </c>
      <c r="J1181" s="13">
        <v>0.0</v>
      </c>
      <c r="K1181" s="12" t="s">
        <v>21</v>
      </c>
      <c r="L1181" s="7">
        <v>39834.61170138889</v>
      </c>
      <c r="M1181" s="14" t="s">
        <v>7493</v>
      </c>
      <c r="N1181" s="14" t="s">
        <v>7494</v>
      </c>
      <c r="O1181" s="11" t="str">
        <f>HYPERLINK("https://pbs.twimg.com/profile_images/3212894266/18133d38ffd7c042588b27ea15b3cd16_normal.jpeg","View")</f>
        <v>View</v>
      </c>
      <c r="P1181" s="15"/>
    </row>
    <row r="1182">
      <c r="A1182" s="7">
        <v>42423.40090277778</v>
      </c>
      <c r="B1182" s="8" t="str">
        <f>HYPERLINK("https://twitter.com/scripterAnon","@scripterAnon")</f>
        <v>@scripterAnon</v>
      </c>
      <c r="C1182" s="10" t="s">
        <v>7583</v>
      </c>
      <c r="D1182" s="10" t="s">
        <v>8434</v>
      </c>
      <c r="E1182" s="11" t="str">
        <f>HYPERLINK("https://twitter.com/scripterAnon/status/702185478674640896","702185478674640896")</f>
        <v>702185478674640896</v>
      </c>
      <c r="F1182" s="12" t="s">
        <v>1573</v>
      </c>
      <c r="G1182" s="13">
        <v>130.0</v>
      </c>
      <c r="H1182" s="13">
        <v>256.0</v>
      </c>
      <c r="I1182" s="13">
        <v>12.0</v>
      </c>
      <c r="J1182" s="13">
        <v>0.0</v>
      </c>
      <c r="K1182" s="12" t="s">
        <v>21</v>
      </c>
      <c r="L1182" s="7">
        <v>40161.40619212963</v>
      </c>
      <c r="M1182" s="14" t="s">
        <v>7585</v>
      </c>
      <c r="N1182" s="16"/>
      <c r="O1182" s="11" t="str">
        <f>HYPERLINK("https://pbs.twimg.com/profile_images/594801770414518272/4LKsLLI2_normal.jpg","View")</f>
        <v>View</v>
      </c>
      <c r="P1182" s="15"/>
    </row>
    <row r="1183">
      <c r="A1183" s="7">
        <v>42423.40258101852</v>
      </c>
      <c r="B1183" s="8" t="str">
        <f t="shared" ref="B1183:B1184" si="129">HYPERLINK("https://twitter.com/NowLivecodingtv","@NowLivecodingtv")</f>
        <v>@NowLivecodingtv</v>
      </c>
      <c r="C1183" s="10" t="s">
        <v>2320</v>
      </c>
      <c r="D1183" s="10" t="s">
        <v>7930</v>
      </c>
      <c r="E1183" s="11" t="str">
        <f>HYPERLINK("https://twitter.com/NowLivecodingtv/status/702186087263948800","702186087263948800")</f>
        <v>702186087263948800</v>
      </c>
      <c r="F1183" s="12" t="s">
        <v>2321</v>
      </c>
      <c r="G1183" s="13">
        <v>131.0</v>
      </c>
      <c r="H1183" s="13">
        <v>16.0</v>
      </c>
      <c r="I1183" s="13">
        <v>3.0</v>
      </c>
      <c r="J1183" s="13">
        <v>0.0</v>
      </c>
      <c r="K1183" s="12" t="s">
        <v>21</v>
      </c>
      <c r="L1183" s="7">
        <v>42346.15972222222</v>
      </c>
      <c r="M1183" s="14" t="s">
        <v>69</v>
      </c>
      <c r="N1183" s="14" t="s">
        <v>633</v>
      </c>
      <c r="O1183" s="11" t="str">
        <f t="shared" ref="O1183:O1184" si="130">HYPERLINK("https://pbs.twimg.com/profile_images/699984077877874688/aR2ovqId_normal.png","View")</f>
        <v>View</v>
      </c>
      <c r="P1183" s="15"/>
    </row>
    <row r="1184">
      <c r="A1184" s="7">
        <v>42423.402719907404</v>
      </c>
      <c r="B1184" s="8" t="str">
        <f t="shared" si="129"/>
        <v>@NowLivecodingtv</v>
      </c>
      <c r="C1184" s="10" t="s">
        <v>2320</v>
      </c>
      <c r="D1184" s="10" t="s">
        <v>7837</v>
      </c>
      <c r="E1184" s="11" t="str">
        <f>HYPERLINK("https://twitter.com/NowLivecodingtv/status/702186136874180608","702186136874180608")</f>
        <v>702186136874180608</v>
      </c>
      <c r="F1184" s="12" t="s">
        <v>2321</v>
      </c>
      <c r="G1184" s="13">
        <v>131.0</v>
      </c>
      <c r="H1184" s="13">
        <v>16.0</v>
      </c>
      <c r="I1184" s="13">
        <v>9.0</v>
      </c>
      <c r="J1184" s="13">
        <v>0.0</v>
      </c>
      <c r="K1184" s="12" t="s">
        <v>21</v>
      </c>
      <c r="L1184" s="7">
        <v>42346.15972222222</v>
      </c>
      <c r="M1184" s="14" t="s">
        <v>69</v>
      </c>
      <c r="N1184" s="14" t="s">
        <v>633</v>
      </c>
      <c r="O1184" s="11" t="str">
        <f t="shared" si="130"/>
        <v>View</v>
      </c>
      <c r="P1184" s="15"/>
    </row>
    <row r="1185">
      <c r="A1185" s="7">
        <v>42423.40292824074</v>
      </c>
      <c r="B1185" s="8" t="str">
        <f>HYPERLINK("https://twitter.com/nyhackr","@nyhackr")</f>
        <v>@nyhackr</v>
      </c>
      <c r="C1185" s="10" t="s">
        <v>8455</v>
      </c>
      <c r="D1185" s="10" t="s">
        <v>8456</v>
      </c>
      <c r="E1185" s="11" t="str">
        <f>HYPERLINK("https://twitter.com/nyhackr/status/702186210916220928","702186210916220928")</f>
        <v>702186210916220928</v>
      </c>
      <c r="F1185" s="12" t="s">
        <v>446</v>
      </c>
      <c r="G1185" s="13">
        <v>1020.0</v>
      </c>
      <c r="H1185" s="13">
        <v>69.0</v>
      </c>
      <c r="I1185" s="13">
        <v>1.0</v>
      </c>
      <c r="J1185" s="13">
        <v>2.0</v>
      </c>
      <c r="K1185" s="12" t="s">
        <v>21</v>
      </c>
      <c r="L1185" s="7">
        <v>40437.41012731481</v>
      </c>
      <c r="M1185" s="14" t="s">
        <v>8457</v>
      </c>
      <c r="N1185" s="14" t="s">
        <v>8458</v>
      </c>
      <c r="O1185" s="11" t="str">
        <f>HYPERLINK("https://pbs.twimg.com/profile_images/1125070699/nyc_stats_normal.jpeg","View")</f>
        <v>View</v>
      </c>
      <c r="P1185" s="15"/>
    </row>
    <row r="1186">
      <c r="A1186" s="7">
        <v>42423.403229166666</v>
      </c>
      <c r="B1186" s="8" t="str">
        <f>HYPERLINK("https://twitter.com/khakieconomist","@khakieconomist")</f>
        <v>@khakieconomist</v>
      </c>
      <c r="C1186" s="10" t="s">
        <v>8459</v>
      </c>
      <c r="D1186" s="10" t="s">
        <v>8460</v>
      </c>
      <c r="E1186" s="11" t="str">
        <f>HYPERLINK("https://twitter.com/khakieconomist/status/702186322577006596","702186322577006596")</f>
        <v>702186322577006596</v>
      </c>
      <c r="F1186" s="12" t="s">
        <v>20</v>
      </c>
      <c r="G1186" s="13">
        <v>1090.0</v>
      </c>
      <c r="H1186" s="13">
        <v>1329.0</v>
      </c>
      <c r="I1186" s="13">
        <v>1.0</v>
      </c>
      <c r="J1186" s="13">
        <v>0.0</v>
      </c>
      <c r="K1186" s="12" t="s">
        <v>21</v>
      </c>
      <c r="L1186" s="7">
        <v>40988.13039351852</v>
      </c>
      <c r="M1186" s="14" t="s">
        <v>2994</v>
      </c>
      <c r="N1186" s="14" t="s">
        <v>8461</v>
      </c>
      <c r="O1186" s="11" t="str">
        <f>HYPERLINK("https://pbs.twimg.com/profile_images/573218609599660032/xM4mXHOr_normal.jpeg","View")</f>
        <v>View</v>
      </c>
      <c r="P1186" s="15"/>
    </row>
    <row r="1187">
      <c r="A1187" s="7">
        <v>42423.40332175926</v>
      </c>
      <c r="B1187" s="8" t="str">
        <f>HYPERLINK("https://twitter.com/NowLivecodingtv","@NowLivecodingtv")</f>
        <v>@NowLivecodingtv</v>
      </c>
      <c r="C1187" s="10" t="s">
        <v>2320</v>
      </c>
      <c r="D1187" s="10" t="s">
        <v>7655</v>
      </c>
      <c r="E1187" s="11" t="str">
        <f>HYPERLINK("https://twitter.com/NowLivecodingtv/status/702186354608885760","702186354608885760")</f>
        <v>702186354608885760</v>
      </c>
      <c r="F1187" s="12" t="s">
        <v>2321</v>
      </c>
      <c r="G1187" s="13">
        <v>131.0</v>
      </c>
      <c r="H1187" s="13">
        <v>16.0</v>
      </c>
      <c r="I1187" s="13">
        <v>5.0</v>
      </c>
      <c r="J1187" s="13">
        <v>0.0</v>
      </c>
      <c r="K1187" s="12" t="s">
        <v>21</v>
      </c>
      <c r="L1187" s="7">
        <v>42346.15972222222</v>
      </c>
      <c r="M1187" s="14" t="s">
        <v>69</v>
      </c>
      <c r="N1187" s="14" t="s">
        <v>633</v>
      </c>
      <c r="O1187" s="11" t="str">
        <f>HYPERLINK("https://pbs.twimg.com/profile_images/699984077877874688/aR2ovqId_normal.png","View")</f>
        <v>View</v>
      </c>
      <c r="P1187" s="15"/>
    </row>
    <row r="1188">
      <c r="A1188" s="7">
        <v>42423.40490740741</v>
      </c>
      <c r="B1188" s="8" t="str">
        <f>HYPERLINK("https://twitter.com/Jemus42","@Jemus42")</f>
        <v>@Jemus42</v>
      </c>
      <c r="C1188" s="10" t="s">
        <v>7905</v>
      </c>
      <c r="D1188" s="10" t="s">
        <v>8429</v>
      </c>
      <c r="E1188" s="11" t="str">
        <f>HYPERLINK("https://twitter.com/Jemus42/status/702186926892310528","702186926892310528")</f>
        <v>702186926892310528</v>
      </c>
      <c r="F1188" s="12" t="s">
        <v>240</v>
      </c>
      <c r="G1188" s="13">
        <v>589.0</v>
      </c>
      <c r="H1188" s="13">
        <v>549.0</v>
      </c>
      <c r="I1188" s="13">
        <v>4.0</v>
      </c>
      <c r="J1188" s="13">
        <v>0.0</v>
      </c>
      <c r="K1188" s="12" t="s">
        <v>21</v>
      </c>
      <c r="L1188" s="7">
        <v>39988.36329861111</v>
      </c>
      <c r="M1188" s="16"/>
      <c r="N1188" s="14" t="s">
        <v>7907</v>
      </c>
      <c r="O1188" s="11" t="str">
        <f>HYPERLINK("https://pbs.twimg.com/profile_images/2442155420/13fr1e3on4dzb9fn7i48_normal.jpeg","View")</f>
        <v>View</v>
      </c>
      <c r="P1188" s="15"/>
    </row>
    <row r="1189">
      <c r="A1189" s="7">
        <v>42423.40724537037</v>
      </c>
      <c r="B1189" s="8" t="str">
        <f>HYPERLINK("https://twitter.com/artemklevtsov","@artemklevtsov")</f>
        <v>@artemklevtsov</v>
      </c>
      <c r="C1189" s="10" t="s">
        <v>7292</v>
      </c>
      <c r="D1189" s="10" t="s">
        <v>8417</v>
      </c>
      <c r="E1189" s="11" t="str">
        <f>HYPERLINK("https://twitter.com/artemklevtsov/status/702187777450975232","702187777450975232")</f>
        <v>702187777450975232</v>
      </c>
      <c r="F1189" s="12" t="s">
        <v>20</v>
      </c>
      <c r="G1189" s="13">
        <v>56.0</v>
      </c>
      <c r="H1189" s="13">
        <v>65.0</v>
      </c>
      <c r="I1189" s="13">
        <v>11.0</v>
      </c>
      <c r="J1189" s="13">
        <v>0.0</v>
      </c>
      <c r="K1189" s="12" t="s">
        <v>21</v>
      </c>
      <c r="L1189" s="7">
        <v>41777.31737268518</v>
      </c>
      <c r="M1189" s="14" t="s">
        <v>4647</v>
      </c>
      <c r="N1189" s="14" t="s">
        <v>7293</v>
      </c>
      <c r="O1189" s="11" t="str">
        <f>HYPERLINK("https://pbs.twimg.com/profile_images/582945739141058560/m1lDOgFc_normal.png","View")</f>
        <v>View</v>
      </c>
      <c r="P1189" s="15"/>
    </row>
    <row r="1190">
      <c r="A1190" s="7">
        <v>42423.407372685186</v>
      </c>
      <c r="B1190" s="8" t="str">
        <f>HYPERLINK("https://twitter.com/jletteboer","@jletteboer")</f>
        <v>@jletteboer</v>
      </c>
      <c r="C1190" s="10" t="s">
        <v>3886</v>
      </c>
      <c r="D1190" s="10" t="s">
        <v>8462</v>
      </c>
      <c r="E1190" s="11" t="str">
        <f>HYPERLINK("https://twitter.com/jletteboer/status/702187820891373568","702187820891373568")</f>
        <v>702187820891373568</v>
      </c>
      <c r="F1190" s="12" t="s">
        <v>52</v>
      </c>
      <c r="G1190" s="13">
        <v>818.0</v>
      </c>
      <c r="H1190" s="13">
        <v>786.0</v>
      </c>
      <c r="I1190" s="13">
        <v>3.0</v>
      </c>
      <c r="J1190" s="13">
        <v>0.0</v>
      </c>
      <c r="K1190" s="12" t="s">
        <v>21</v>
      </c>
      <c r="L1190" s="7">
        <v>40142.24915509259</v>
      </c>
      <c r="M1190" s="14" t="s">
        <v>1007</v>
      </c>
      <c r="N1190" s="14" t="s">
        <v>3888</v>
      </c>
      <c r="O1190" s="11" t="str">
        <f>HYPERLINK("https://pbs.twimg.com/profile_images/524199331365015552/O94t9yIe_normal.jpeg","View")</f>
        <v>View</v>
      </c>
      <c r="P1190" s="15"/>
    </row>
    <row r="1191">
      <c r="A1191" s="7">
        <v>42423.40947916667</v>
      </c>
      <c r="B1191" s="8" t="str">
        <f>HYPERLINK("https://twitter.com/data_made_easy","@data_made_easy")</f>
        <v>@data_made_easy</v>
      </c>
      <c r="C1191" s="10" t="s">
        <v>6585</v>
      </c>
      <c r="D1191" s="10" t="s">
        <v>8411</v>
      </c>
      <c r="E1191" s="11" t="str">
        <f>HYPERLINK("https://twitter.com/data_made_easy/status/702188584699203584","702188584699203584")</f>
        <v>702188584699203584</v>
      </c>
      <c r="F1191" s="12" t="s">
        <v>20</v>
      </c>
      <c r="G1191" s="13">
        <v>986.0</v>
      </c>
      <c r="H1191" s="13">
        <v>1441.0</v>
      </c>
      <c r="I1191" s="13">
        <v>18.0</v>
      </c>
      <c r="J1191" s="13">
        <v>0.0</v>
      </c>
      <c r="K1191" s="12" t="s">
        <v>21</v>
      </c>
      <c r="L1191" s="7">
        <v>42400.53592592593</v>
      </c>
      <c r="M1191" s="14" t="s">
        <v>69</v>
      </c>
      <c r="N1191" s="14" t="s">
        <v>6586</v>
      </c>
      <c r="O1191" s="11" t="str">
        <f>HYPERLINK("https://pbs.twimg.com/profile_images/696588454948270081/2oDpW0OI_normal.png","View")</f>
        <v>View</v>
      </c>
      <c r="P1191" s="15"/>
    </row>
    <row r="1192">
      <c r="A1192" s="7">
        <v>42423.41071759259</v>
      </c>
      <c r="B1192" s="8" t="str">
        <f>HYPERLINK("https://twitter.com/bigboardsio","@bigboardsio")</f>
        <v>@bigboardsio</v>
      </c>
      <c r="C1192" s="10" t="s">
        <v>5651</v>
      </c>
      <c r="D1192" s="10" t="s">
        <v>8411</v>
      </c>
      <c r="E1192" s="11" t="str">
        <f>HYPERLINK("https://twitter.com/bigboardsio/status/702189035494756352","702189035494756352")</f>
        <v>702189035494756352</v>
      </c>
      <c r="F1192" s="12" t="s">
        <v>38</v>
      </c>
      <c r="G1192" s="13">
        <v>3089.0</v>
      </c>
      <c r="H1192" s="13">
        <v>2635.0</v>
      </c>
      <c r="I1192" s="13">
        <v>18.0</v>
      </c>
      <c r="J1192" s="13">
        <v>0.0</v>
      </c>
      <c r="K1192" s="12" t="s">
        <v>21</v>
      </c>
      <c r="L1192" s="7">
        <v>41449.67438657407</v>
      </c>
      <c r="M1192" s="14" t="s">
        <v>5652</v>
      </c>
      <c r="N1192" s="14" t="s">
        <v>5653</v>
      </c>
      <c r="O1192" s="11" t="str">
        <f>HYPERLINK("https://pbs.twimg.com/profile_images/489375332743409664/P4sYDY1__normal.png","View")</f>
        <v>View</v>
      </c>
      <c r="P1192" s="15"/>
    </row>
    <row r="1193">
      <c r="A1193" s="7">
        <v>42423.41086805555</v>
      </c>
      <c r="B1193" s="8" t="str">
        <f>HYPERLINK("https://twitter.com/jlsalmeron","@jlsalmeron")</f>
        <v>@jlsalmeron</v>
      </c>
      <c r="C1193" s="10" t="s">
        <v>8463</v>
      </c>
      <c r="D1193" s="10" t="s">
        <v>8417</v>
      </c>
      <c r="E1193" s="11" t="str">
        <f>HYPERLINK("https://twitter.com/jlsalmeron/status/702189088389070852","702189088389070852")</f>
        <v>702189088389070852</v>
      </c>
      <c r="F1193" s="12" t="s">
        <v>52</v>
      </c>
      <c r="G1193" s="13">
        <v>132.0</v>
      </c>
      <c r="H1193" s="13">
        <v>371.0</v>
      </c>
      <c r="I1193" s="13">
        <v>11.0</v>
      </c>
      <c r="J1193" s="13">
        <v>0.0</v>
      </c>
      <c r="K1193" s="12" t="s">
        <v>21</v>
      </c>
      <c r="L1193" s="7">
        <v>40225.445069444446</v>
      </c>
      <c r="M1193" s="14" t="s">
        <v>8464</v>
      </c>
      <c r="N1193" s="14" t="s">
        <v>8465</v>
      </c>
      <c r="O1193" s="11" t="str">
        <f>HYPERLINK("https://pbs.twimg.com/profile_images/692461725870903297/g6XlJv2O_normal.jpg","View")</f>
        <v>View</v>
      </c>
      <c r="P1193" s="15"/>
    </row>
    <row r="1194">
      <c r="A1194" s="7">
        <v>42423.41222222222</v>
      </c>
      <c r="B1194" s="8" t="str">
        <f>HYPERLINK("https://twitter.com/gunesh_y","@gunesh_y")</f>
        <v>@gunesh_y</v>
      </c>
      <c r="C1194" s="10" t="s">
        <v>8466</v>
      </c>
      <c r="D1194" s="10" t="s">
        <v>8467</v>
      </c>
      <c r="E1194" s="11" t="str">
        <f>HYPERLINK("https://twitter.com/gunesh_y/status/702189578656985088","702189578656985088")</f>
        <v>702189578656985088</v>
      </c>
      <c r="F1194" s="12" t="s">
        <v>1573</v>
      </c>
      <c r="G1194" s="13">
        <v>47.0</v>
      </c>
      <c r="H1194" s="13">
        <v>260.0</v>
      </c>
      <c r="I1194" s="13">
        <v>0.0</v>
      </c>
      <c r="J1194" s="13">
        <v>0.0</v>
      </c>
      <c r="K1194" s="12" t="s">
        <v>21</v>
      </c>
      <c r="L1194" s="7">
        <v>40107.76295138889</v>
      </c>
      <c r="M1194" s="16"/>
      <c r="N1194" s="14" t="s">
        <v>8468</v>
      </c>
      <c r="O1194" s="11" t="str">
        <f>HYPERLINK("https://pbs.twimg.com/profile_images/665585864454643712/_LGhhyvq_normal.jpg","View")</f>
        <v>View</v>
      </c>
      <c r="P1194" s="15"/>
    </row>
    <row r="1195">
      <c r="A1195" s="7">
        <v>42423.42087962963</v>
      </c>
      <c r="B1195" s="8" t="str">
        <f>HYPERLINK("https://twitter.com/bhaskar_vk","@bhaskar_vk")</f>
        <v>@bhaskar_vk</v>
      </c>
      <c r="C1195" s="10" t="s">
        <v>7634</v>
      </c>
      <c r="D1195" s="10" t="s">
        <v>8469</v>
      </c>
      <c r="E1195" s="11" t="str">
        <f>HYPERLINK("https://twitter.com/bhaskar_vk/status/702192715216375809","702192715216375809")</f>
        <v>702192715216375809</v>
      </c>
      <c r="F1195" s="12" t="s">
        <v>20</v>
      </c>
      <c r="G1195" s="13">
        <v>768.0</v>
      </c>
      <c r="H1195" s="13">
        <v>2215.0</v>
      </c>
      <c r="I1195" s="13">
        <v>0.0</v>
      </c>
      <c r="J1195" s="13">
        <v>0.0</v>
      </c>
      <c r="K1195" s="12" t="s">
        <v>21</v>
      </c>
      <c r="L1195" s="7">
        <v>41040.30097222222</v>
      </c>
      <c r="M1195" s="14" t="s">
        <v>5287</v>
      </c>
      <c r="N1195" s="14" t="s">
        <v>7636</v>
      </c>
      <c r="O1195" s="11" t="str">
        <f>HYPERLINK("https://pbs.twimg.com/profile_images/3654916643/41e86ccffc771868940fb53a41c3b712_normal.jpeg","View")</f>
        <v>View</v>
      </c>
      <c r="P1195" s="15"/>
    </row>
    <row r="1196">
      <c r="A1196" s="7">
        <v>42423.427766203706</v>
      </c>
      <c r="B1196" s="8" t="str">
        <f>HYPERLINK("https://twitter.com/fawda123","@fawda123")</f>
        <v>@fawda123</v>
      </c>
      <c r="C1196" s="10" t="s">
        <v>8470</v>
      </c>
      <c r="D1196" s="10" t="s">
        <v>8471</v>
      </c>
      <c r="E1196" s="11" t="str">
        <f>HYPERLINK("https://twitter.com/fawda123/status/702195210621685761","702195210621685761")</f>
        <v>702195210621685761</v>
      </c>
      <c r="F1196" s="12" t="s">
        <v>52</v>
      </c>
      <c r="G1196" s="13">
        <v>34.0</v>
      </c>
      <c r="H1196" s="13">
        <v>53.0</v>
      </c>
      <c r="I1196" s="13">
        <v>0.0</v>
      </c>
      <c r="J1196" s="13">
        <v>0.0</v>
      </c>
      <c r="K1196" s="12" t="s">
        <v>21</v>
      </c>
      <c r="L1196" s="7">
        <v>42018.26684027778</v>
      </c>
      <c r="M1196" s="16"/>
      <c r="N1196" s="16"/>
      <c r="O1196" s="11" t="str">
        <f>HYPERLINK("https://pbs.twimg.com/profile_images/674965971765870592/2tyTjwMT_normal.jpg","View")</f>
        <v>View</v>
      </c>
      <c r="P1196" s="15"/>
    </row>
    <row r="1197">
      <c r="A1197" s="7">
        <v>42423.428506944445</v>
      </c>
      <c r="B1197" s="8" t="str">
        <f>HYPERLINK("https://twitter.com/detectarte","@detectarte")</f>
        <v>@detectarte</v>
      </c>
      <c r="C1197" s="10" t="s">
        <v>3555</v>
      </c>
      <c r="D1197" s="10" t="s">
        <v>6319</v>
      </c>
      <c r="E1197" s="11" t="str">
        <f>HYPERLINK("https://twitter.com/detectarte/status/702195481204625408","702195481204625408")</f>
        <v>702195481204625408</v>
      </c>
      <c r="F1197" s="12" t="s">
        <v>152</v>
      </c>
      <c r="G1197" s="13">
        <v>148.0</v>
      </c>
      <c r="H1197" s="13">
        <v>217.0</v>
      </c>
      <c r="I1197" s="13">
        <v>106.0</v>
      </c>
      <c r="J1197" s="13">
        <v>0.0</v>
      </c>
      <c r="K1197" s="12" t="s">
        <v>21</v>
      </c>
      <c r="L1197" s="7">
        <v>40875.75701388889</v>
      </c>
      <c r="M1197" s="14" t="s">
        <v>3557</v>
      </c>
      <c r="N1197" s="14" t="s">
        <v>3558</v>
      </c>
      <c r="O1197" s="11" t="str">
        <f>HYPERLINK("https://pbs.twimg.com/profile_images/1663515697/Nuevo-DA_normal.jpg","View")</f>
        <v>View</v>
      </c>
      <c r="P1197" s="15"/>
    </row>
    <row r="1198">
      <c r="A1198" s="7">
        <v>42423.429398148146</v>
      </c>
      <c r="B1198" s="8" t="str">
        <f>HYPERLINK("https://twitter.com/marknca","@marknca")</f>
        <v>@marknca</v>
      </c>
      <c r="C1198" s="10" t="s">
        <v>8472</v>
      </c>
      <c r="D1198" s="10" t="s">
        <v>8473</v>
      </c>
      <c r="E1198" s="11" t="str">
        <f>HYPERLINK("https://twitter.com/marknca/status/702195802106683392","702195802106683392")</f>
        <v>702195802106683392</v>
      </c>
      <c r="F1198" s="12" t="s">
        <v>294</v>
      </c>
      <c r="G1198" s="13">
        <v>3536.0</v>
      </c>
      <c r="H1198" s="13">
        <v>1233.0</v>
      </c>
      <c r="I1198" s="13">
        <v>1.0</v>
      </c>
      <c r="J1198" s="13">
        <v>0.0</v>
      </c>
      <c r="K1198" s="12" t="s">
        <v>21</v>
      </c>
      <c r="L1198" s="7">
        <v>39458.86203703703</v>
      </c>
      <c r="M1198" s="14" t="s">
        <v>8474</v>
      </c>
      <c r="N1198" s="14" t="s">
        <v>8475</v>
      </c>
      <c r="O1198" s="11" t="str">
        <f>HYPERLINK("https://pbs.twimg.com/profile_images/579998526039420928/6r__HOOO_normal.jpg","View")</f>
        <v>View</v>
      </c>
      <c r="P1198" s="15"/>
    </row>
    <row r="1199">
      <c r="A1199" s="7">
        <v>42423.42964120371</v>
      </c>
      <c r="B1199" s="8" t="str">
        <f>HYPERLINK("https://twitter.com/hrbrmstr","@hrbrmstr")</f>
        <v>@hrbrmstr</v>
      </c>
      <c r="C1199" s="10" t="s">
        <v>7276</v>
      </c>
      <c r="D1199" s="10" t="s">
        <v>8476</v>
      </c>
      <c r="E1199" s="11" t="str">
        <f>HYPERLINK("https://twitter.com/hrbrmstr/status/702195893936766976","702195893936766976")</f>
        <v>702195893936766976</v>
      </c>
      <c r="F1199" s="12" t="s">
        <v>20</v>
      </c>
      <c r="G1199" s="13">
        <v>6135.0</v>
      </c>
      <c r="H1199" s="13">
        <v>2926.0</v>
      </c>
      <c r="I1199" s="13">
        <v>0.0</v>
      </c>
      <c r="J1199" s="13">
        <v>1.0</v>
      </c>
      <c r="K1199" s="12" t="s">
        <v>21</v>
      </c>
      <c r="L1199" s="7">
        <v>39203.29472222222</v>
      </c>
      <c r="M1199" s="14" t="s">
        <v>7278</v>
      </c>
      <c r="N1199" s="14" t="s">
        <v>7279</v>
      </c>
      <c r="O1199" s="11" t="str">
        <f>HYPERLINK("https://pbs.twimg.com/profile_images/557592259298729985/kpCUQWH1_normal.png","View")</f>
        <v>View</v>
      </c>
      <c r="P1199" s="15"/>
    </row>
    <row r="1200">
      <c r="A1200" s="7">
        <v>42423.43450231482</v>
      </c>
      <c r="B1200" s="8" t="str">
        <f>HYPERLINK("https://twitter.com/fabio_zottele","@fabio_zottele")</f>
        <v>@fabio_zottele</v>
      </c>
      <c r="C1200" s="10" t="s">
        <v>6289</v>
      </c>
      <c r="D1200" s="10" t="s">
        <v>8411</v>
      </c>
      <c r="E1200" s="11" t="str">
        <f>HYPERLINK("https://twitter.com/fabio_zottele/status/702197651610144769","702197651610144769")</f>
        <v>702197651610144769</v>
      </c>
      <c r="F1200" s="12" t="s">
        <v>152</v>
      </c>
      <c r="G1200" s="13">
        <v>54.0</v>
      </c>
      <c r="H1200" s="13">
        <v>80.0</v>
      </c>
      <c r="I1200" s="13">
        <v>18.0</v>
      </c>
      <c r="J1200" s="13">
        <v>0.0</v>
      </c>
      <c r="K1200" s="12" t="s">
        <v>21</v>
      </c>
      <c r="L1200" s="7">
        <v>39772.20789351852</v>
      </c>
      <c r="M1200" s="14" t="s">
        <v>6290</v>
      </c>
      <c r="N1200" s="14" t="s">
        <v>6291</v>
      </c>
      <c r="O1200" s="11" t="str">
        <f>HYPERLINK("https://pbs.twimg.com/profile_images/1580520395/Nyan_cat_250px_frame_normal.png","View")</f>
        <v>View</v>
      </c>
      <c r="P1200" s="15"/>
    </row>
    <row r="1201">
      <c r="A1201" s="7">
        <v>42423.43528935185</v>
      </c>
      <c r="B1201" s="8" t="str">
        <f>HYPERLINK("https://twitter.com/tripartio","@tripartio")</f>
        <v>@tripartio</v>
      </c>
      <c r="C1201" s="10" t="s">
        <v>6827</v>
      </c>
      <c r="D1201" s="10" t="s">
        <v>8477</v>
      </c>
      <c r="E1201" s="11" t="str">
        <f>HYPERLINK("https://twitter.com/tripartio/status/702197937523130368","702197937523130368")</f>
        <v>702197937523130368</v>
      </c>
      <c r="F1201" s="12" t="s">
        <v>20</v>
      </c>
      <c r="G1201" s="13">
        <v>33.0</v>
      </c>
      <c r="H1201" s="13">
        <v>64.0</v>
      </c>
      <c r="I1201" s="13">
        <v>0.0</v>
      </c>
      <c r="J1201" s="13">
        <v>0.0</v>
      </c>
      <c r="K1201" s="12" t="s">
        <v>21</v>
      </c>
      <c r="L1201" s="7">
        <v>41946.83112268519</v>
      </c>
      <c r="M1201" s="14" t="s">
        <v>1806</v>
      </c>
      <c r="N1201" s="14" t="s">
        <v>6829</v>
      </c>
      <c r="O1201" s="11" t="str">
        <f>HYPERLINK("https://pbs.twimg.com/profile_images/529482878543867904/H-UGY1d0_normal.png","View")</f>
        <v>View</v>
      </c>
      <c r="P1201" s="15"/>
    </row>
    <row r="1202">
      <c r="A1202" s="7">
        <v>42423.43974537037</v>
      </c>
      <c r="B1202" s="8" t="str">
        <f>HYPERLINK("https://twitter.com/behaviordots","@behaviordots")</f>
        <v>@behaviordots</v>
      </c>
      <c r="C1202" s="10" t="s">
        <v>1773</v>
      </c>
      <c r="D1202" s="10" t="s">
        <v>8478</v>
      </c>
      <c r="E1202" s="11" t="str">
        <f>HYPERLINK("https://twitter.com/behaviordots/status/702199554767073280","702199554767073280")</f>
        <v>702199554767073280</v>
      </c>
      <c r="F1202" s="12" t="s">
        <v>20</v>
      </c>
      <c r="G1202" s="13">
        <v>474.0</v>
      </c>
      <c r="H1202" s="13">
        <v>558.0</v>
      </c>
      <c r="I1202" s="13">
        <v>1.0</v>
      </c>
      <c r="J1202" s="13">
        <v>2.0</v>
      </c>
      <c r="K1202" s="12" t="s">
        <v>21</v>
      </c>
      <c r="L1202" s="7">
        <v>42317.64460648148</v>
      </c>
      <c r="M1202" s="16"/>
      <c r="N1202" s="14" t="s">
        <v>1775</v>
      </c>
      <c r="O1202" s="11" t="str">
        <f>HYPERLINK("https://pbs.twimg.com/profile_images/672135815087149056/Cyx6X1gZ_normal.jpg","View")</f>
        <v>View</v>
      </c>
      <c r="P1202" s="15"/>
    </row>
    <row r="1203">
      <c r="A1203" s="7">
        <v>42423.44043981482</v>
      </c>
      <c r="B1203" s="8" t="str">
        <f>HYPERLINK("https://twitter.com/ArturoErdely","@ArturoErdely")</f>
        <v>@ArturoErdely</v>
      </c>
      <c r="C1203" s="10" t="s">
        <v>6604</v>
      </c>
      <c r="D1203" s="10" t="s">
        <v>8434</v>
      </c>
      <c r="E1203" s="11" t="str">
        <f>HYPERLINK("https://twitter.com/ArturoErdely/status/702199804365910017","702199804365910017")</f>
        <v>702199804365910017</v>
      </c>
      <c r="F1203" s="12" t="s">
        <v>1573</v>
      </c>
      <c r="G1203" s="13">
        <v>349.0</v>
      </c>
      <c r="H1203" s="13">
        <v>27.0</v>
      </c>
      <c r="I1203" s="13">
        <v>12.0</v>
      </c>
      <c r="J1203" s="13">
        <v>0.0</v>
      </c>
      <c r="K1203" s="12" t="s">
        <v>21</v>
      </c>
      <c r="L1203" s="7">
        <v>40488.30488425926</v>
      </c>
      <c r="M1203" s="14" t="s">
        <v>6605</v>
      </c>
      <c r="N1203" s="14" t="s">
        <v>6606</v>
      </c>
      <c r="O1203" s="11" t="str">
        <f>HYPERLINK("https://pbs.twimg.com/profile_images/3199598780/253af0e6b8fa63bf5b969ccc9a3486e7_normal.jpeg","View")</f>
        <v>View</v>
      </c>
      <c r="P1203" s="15"/>
    </row>
    <row r="1204">
      <c r="A1204" s="7">
        <v>42423.44138888889</v>
      </c>
      <c r="B1204" s="8" t="str">
        <f>HYPERLINK("https://twitter.com/stesummi","@stesummi")</f>
        <v>@stesummi</v>
      </c>
      <c r="C1204" s="10" t="s">
        <v>8479</v>
      </c>
      <c r="D1204" s="10" t="s">
        <v>6516</v>
      </c>
      <c r="E1204" s="11" t="str">
        <f>HYPERLINK("https://twitter.com/stesummi/status/702200149674762240","702200149674762240")</f>
        <v>702200149674762240</v>
      </c>
      <c r="F1204" s="12" t="s">
        <v>52</v>
      </c>
      <c r="G1204" s="13">
        <v>181.0</v>
      </c>
      <c r="H1204" s="13">
        <v>288.0</v>
      </c>
      <c r="I1204" s="13">
        <v>7.0</v>
      </c>
      <c r="J1204" s="13">
        <v>0.0</v>
      </c>
      <c r="K1204" s="12" t="s">
        <v>21</v>
      </c>
      <c r="L1204" s="7">
        <v>42111.491990740746</v>
      </c>
      <c r="M1204" s="14" t="s">
        <v>8480</v>
      </c>
      <c r="N1204" s="14" t="s">
        <v>8481</v>
      </c>
      <c r="O1204" s="11" t="str">
        <f>HYPERLINK("https://pbs.twimg.com/profile_images/671378779021832192/gmy9FPMl_normal.jpg","View")</f>
        <v>View</v>
      </c>
      <c r="P1204" s="15"/>
    </row>
    <row r="1205">
      <c r="A1205" s="7">
        <v>42423.44326388889</v>
      </c>
      <c r="B1205" s="8" t="str">
        <f>HYPERLINK("https://twitter.com/southmapr","@southmapr")</f>
        <v>@southmapr</v>
      </c>
      <c r="C1205" s="10" t="s">
        <v>8482</v>
      </c>
      <c r="D1205" s="10" t="s">
        <v>8483</v>
      </c>
      <c r="E1205" s="11" t="str">
        <f>HYPERLINK("https://twitter.com/southmapr/status/702200826916433920","702200826916433920")</f>
        <v>702200826916433920</v>
      </c>
      <c r="F1205" s="12" t="s">
        <v>20</v>
      </c>
      <c r="G1205" s="13">
        <v>342.0</v>
      </c>
      <c r="H1205" s="13">
        <v>296.0</v>
      </c>
      <c r="I1205" s="13">
        <v>1.0</v>
      </c>
      <c r="J1205" s="13">
        <v>2.0</v>
      </c>
      <c r="K1205" s="12" t="s">
        <v>21</v>
      </c>
      <c r="L1205" s="7">
        <v>41302.16997685185</v>
      </c>
      <c r="M1205" s="14" t="s">
        <v>8484</v>
      </c>
      <c r="N1205" s="14" t="s">
        <v>8485</v>
      </c>
      <c r="O1205" s="11" t="str">
        <f>HYPERLINK("https://pbs.twimg.com/profile_images/411845409284161536/vhIg-rTL_normal.jpeg","View")</f>
        <v>View</v>
      </c>
      <c r="P1205" s="15"/>
    </row>
    <row r="1206">
      <c r="A1206" s="7">
        <v>42423.44378472222</v>
      </c>
      <c r="B1206" s="8" t="str">
        <f>HYPERLINK("https://twitter.com/research_innova","@research_innova")</f>
        <v>@research_innova</v>
      </c>
      <c r="C1206" s="10" t="s">
        <v>6031</v>
      </c>
      <c r="D1206" s="10" t="s">
        <v>8230</v>
      </c>
      <c r="E1206" s="11" t="str">
        <f>HYPERLINK("https://twitter.com/research_innova/status/702201017555935232","702201017555935232")</f>
        <v>702201017555935232</v>
      </c>
      <c r="F1206" s="12" t="s">
        <v>52</v>
      </c>
      <c r="G1206" s="13">
        <v>2043.0</v>
      </c>
      <c r="H1206" s="13">
        <v>1800.0</v>
      </c>
      <c r="I1206" s="13">
        <v>10.0</v>
      </c>
      <c r="J1206" s="13">
        <v>0.0</v>
      </c>
      <c r="K1206" s="12" t="s">
        <v>21</v>
      </c>
      <c r="L1206" s="7">
        <v>42176.42917824074</v>
      </c>
      <c r="M1206" s="16"/>
      <c r="N1206" s="14" t="s">
        <v>6032</v>
      </c>
      <c r="O1206" s="11" t="str">
        <f>HYPERLINK("https://pbs.twimg.com/profile_images/612671526849146880/oaSXeNPe_normal.jpg","View")</f>
        <v>View</v>
      </c>
      <c r="P1206" s="15"/>
    </row>
    <row r="1207">
      <c r="A1207" s="7">
        <v>42423.44409722222</v>
      </c>
      <c r="B1207" s="8" t="str">
        <f>HYPERLINK("https://twitter.com/guidoromeo","@guidoromeo")</f>
        <v>@guidoromeo</v>
      </c>
      <c r="C1207" s="10" t="s">
        <v>8486</v>
      </c>
      <c r="D1207" s="10" t="s">
        <v>6516</v>
      </c>
      <c r="E1207" s="11" t="str">
        <f>HYPERLINK("https://twitter.com/guidoromeo/status/702201130839908356","702201130839908356")</f>
        <v>702201130839908356</v>
      </c>
      <c r="F1207" s="12" t="s">
        <v>446</v>
      </c>
      <c r="G1207" s="13">
        <v>5272.0</v>
      </c>
      <c r="H1207" s="13">
        <v>1473.0</v>
      </c>
      <c r="I1207" s="13">
        <v>7.0</v>
      </c>
      <c r="J1207" s="13">
        <v>0.0</v>
      </c>
      <c r="K1207" s="12" t="s">
        <v>21</v>
      </c>
      <c r="L1207" s="7">
        <v>39643.15175925926</v>
      </c>
      <c r="M1207" s="14" t="s">
        <v>8487</v>
      </c>
      <c r="N1207" s="14" t="s">
        <v>8488</v>
      </c>
      <c r="O1207" s="11" t="str">
        <f>HYPERLINK("https://pbs.twimg.com/profile_images/601296651504984064/nle2JrvB_normal.jpg","View")</f>
        <v>View</v>
      </c>
      <c r="P1207" s="15"/>
    </row>
    <row r="1208">
      <c r="A1208" s="7">
        <v>42423.44464120371</v>
      </c>
      <c r="B1208" s="8" t="str">
        <f t="shared" ref="B1208:B1209" si="131">HYPERLINK("https://twitter.com/Rbloggers","@Rbloggers")</f>
        <v>@Rbloggers</v>
      </c>
      <c r="C1208" s="10" t="s">
        <v>6221</v>
      </c>
      <c r="D1208" s="10" t="s">
        <v>8489</v>
      </c>
      <c r="E1208" s="11" t="str">
        <f>HYPERLINK("https://twitter.com/Rbloggers/status/702201329867837440","702201329867837440")</f>
        <v>702201329867837440</v>
      </c>
      <c r="F1208" s="17" t="s">
        <v>6223</v>
      </c>
      <c r="G1208" s="13">
        <v>28572.0</v>
      </c>
      <c r="H1208" s="13">
        <v>36.0</v>
      </c>
      <c r="I1208" s="13">
        <v>2.0</v>
      </c>
      <c r="J1208" s="13">
        <v>11.0</v>
      </c>
      <c r="K1208" s="12" t="s">
        <v>21</v>
      </c>
      <c r="L1208" s="7">
        <v>40314.510601851856</v>
      </c>
      <c r="M1208" s="16"/>
      <c r="N1208" s="14" t="s">
        <v>6224</v>
      </c>
      <c r="O1208" s="11" t="str">
        <f t="shared" ref="O1208:O1209" si="132">HYPERLINK("https://pbs.twimg.com/profile_images/502185985786916864/gkdFh-q7_normal.png","View")</f>
        <v>View</v>
      </c>
      <c r="P1208" s="15"/>
    </row>
    <row r="1209">
      <c r="A1209" s="7">
        <v>42423.44472222222</v>
      </c>
      <c r="B1209" s="8" t="str">
        <f t="shared" si="131"/>
        <v>@Rbloggers</v>
      </c>
      <c r="C1209" s="10" t="s">
        <v>6221</v>
      </c>
      <c r="D1209" s="10" t="s">
        <v>8490</v>
      </c>
      <c r="E1209" s="11" t="str">
        <f>HYPERLINK("https://twitter.com/Rbloggers/status/702201355180478464","702201355180478464")</f>
        <v>702201355180478464</v>
      </c>
      <c r="F1209" s="17" t="s">
        <v>6223</v>
      </c>
      <c r="G1209" s="13">
        <v>28572.0</v>
      </c>
      <c r="H1209" s="13">
        <v>36.0</v>
      </c>
      <c r="I1209" s="13">
        <v>5.0</v>
      </c>
      <c r="J1209" s="13">
        <v>7.0</v>
      </c>
      <c r="K1209" s="12" t="s">
        <v>21</v>
      </c>
      <c r="L1209" s="7">
        <v>40314.510601851856</v>
      </c>
      <c r="M1209" s="16"/>
      <c r="N1209" s="14" t="s">
        <v>6224</v>
      </c>
      <c r="O1209" s="11" t="str">
        <f t="shared" si="132"/>
        <v>View</v>
      </c>
      <c r="P1209" s="15"/>
    </row>
    <row r="1210">
      <c r="A1210" s="7">
        <v>42423.44677083333</v>
      </c>
      <c r="B1210" s="8" t="str">
        <f>HYPERLINK("https://twitter.com/Sheffield_R_","@Sheffield_R_")</f>
        <v>@Sheffield_R_</v>
      </c>
      <c r="C1210" s="10" t="s">
        <v>6686</v>
      </c>
      <c r="D1210" s="10" t="s">
        <v>8491</v>
      </c>
      <c r="E1210" s="11" t="str">
        <f>HYPERLINK("https://twitter.com/Sheffield_R_/status/702202098054729729","702202098054729729")</f>
        <v>702202098054729729</v>
      </c>
      <c r="F1210" s="12" t="s">
        <v>52</v>
      </c>
      <c r="G1210" s="13">
        <v>256.0</v>
      </c>
      <c r="H1210" s="13">
        <v>274.0</v>
      </c>
      <c r="I1210" s="13">
        <v>2.0</v>
      </c>
      <c r="J1210" s="13">
        <v>0.0</v>
      </c>
      <c r="K1210" s="12" t="s">
        <v>21</v>
      </c>
      <c r="L1210" s="7">
        <v>41773.27024305556</v>
      </c>
      <c r="M1210" s="14" t="s">
        <v>6688</v>
      </c>
      <c r="N1210" s="14" t="s">
        <v>6689</v>
      </c>
      <c r="O1210" s="11" t="str">
        <f>HYPERLINK("https://pbs.twimg.com/profile_images/526695509356838912/eSvsHAD7_normal.jpeg","View")</f>
        <v>View</v>
      </c>
      <c r="P1210" s="15"/>
    </row>
    <row r="1211">
      <c r="A1211" s="7">
        <v>42423.45076388889</v>
      </c>
      <c r="B1211" s="8" t="str">
        <f>HYPERLINK("https://twitter.com/HaakonGjerlw","@HaakonGjerlw")</f>
        <v>@HaakonGjerlw</v>
      </c>
      <c r="C1211" s="10" t="s">
        <v>8492</v>
      </c>
      <c r="D1211" s="10" t="s">
        <v>8493</v>
      </c>
      <c r="E1211" s="11" t="str">
        <f>HYPERLINK("https://twitter.com/HaakonGjerlw/status/702203545341325312","702203545341325312")</f>
        <v>702203545341325312</v>
      </c>
      <c r="F1211" s="12" t="s">
        <v>152</v>
      </c>
      <c r="G1211" s="13">
        <v>390.0</v>
      </c>
      <c r="H1211" s="13">
        <v>423.0</v>
      </c>
      <c r="I1211" s="13">
        <v>5.0</v>
      </c>
      <c r="J1211" s="13">
        <v>0.0</v>
      </c>
      <c r="K1211" s="12" t="s">
        <v>21</v>
      </c>
      <c r="L1211" s="7">
        <v>40718.03696759259</v>
      </c>
      <c r="M1211" s="14" t="s">
        <v>7037</v>
      </c>
      <c r="N1211" s="14" t="s">
        <v>8494</v>
      </c>
      <c r="O1211" s="11" t="str">
        <f>HYPERLINK("https://pbs.twimg.com/profile_images/461862616835436545/xAfri6oa_normal.jpeg","View")</f>
        <v>View</v>
      </c>
      <c r="P1211" s="15"/>
    </row>
    <row r="1212">
      <c r="A1212" s="7">
        <v>42423.45674768518</v>
      </c>
      <c r="B1212" s="8" t="str">
        <f>HYPERLINK("https://twitter.com/timelyportfolio","@timelyportfolio")</f>
        <v>@timelyportfolio</v>
      </c>
      <c r="C1212" s="10" t="s">
        <v>3698</v>
      </c>
      <c r="D1212" s="10" t="s">
        <v>8495</v>
      </c>
      <c r="E1212" s="11" t="str">
        <f>HYPERLINK("https://twitter.com/timelyportfolio/status/702205714169724929","702205714169724929")</f>
        <v>702205714169724929</v>
      </c>
      <c r="F1212" s="12" t="s">
        <v>20</v>
      </c>
      <c r="G1212" s="13">
        <v>1875.0</v>
      </c>
      <c r="H1212" s="13">
        <v>2248.0</v>
      </c>
      <c r="I1212" s="13">
        <v>1.0</v>
      </c>
      <c r="J1212" s="13">
        <v>0.0</v>
      </c>
      <c r="K1212" s="12" t="s">
        <v>21</v>
      </c>
      <c r="L1212" s="7">
        <v>40573.86280092593</v>
      </c>
      <c r="M1212" s="14" t="s">
        <v>3700</v>
      </c>
      <c r="N1212" s="14" t="s">
        <v>3701</v>
      </c>
      <c r="O1212" s="11" t="str">
        <f>HYPERLINK("https://pbs.twimg.com/profile_images/2198946077/image_normal.jpg","View")</f>
        <v>View</v>
      </c>
      <c r="P1212" s="15"/>
    </row>
    <row r="1213">
      <c r="A1213" s="7">
        <v>42423.4578125</v>
      </c>
      <c r="B1213" s="8" t="str">
        <f>HYPERLINK("https://twitter.com/pommedeterre33","@pommedeterre33")</f>
        <v>@pommedeterre33</v>
      </c>
      <c r="C1213" s="10" t="s">
        <v>8496</v>
      </c>
      <c r="D1213" s="10" t="s">
        <v>6419</v>
      </c>
      <c r="E1213" s="11" t="str">
        <f>HYPERLINK("https://twitter.com/pommedeterre33/status/702206099353686016","702206099353686016")</f>
        <v>702206099353686016</v>
      </c>
      <c r="F1213" s="12" t="s">
        <v>8497</v>
      </c>
      <c r="G1213" s="13">
        <v>211.0</v>
      </c>
      <c r="H1213" s="13">
        <v>234.0</v>
      </c>
      <c r="I1213" s="13">
        <v>33.0</v>
      </c>
      <c r="J1213" s="13">
        <v>0.0</v>
      </c>
      <c r="K1213" s="12" t="s">
        <v>21</v>
      </c>
      <c r="L1213" s="7">
        <v>40199.41349537037</v>
      </c>
      <c r="M1213" s="14" t="s">
        <v>8498</v>
      </c>
      <c r="N1213" s="14" t="s">
        <v>8499</v>
      </c>
      <c r="O1213" s="11" t="str">
        <f>HYPERLINK("https://pbs.twimg.com/profile_images/378800000579324326/77fad234674d1f22af356706ab2b50de_normal.jpeg","View")</f>
        <v>View</v>
      </c>
      <c r="P1213" s="15"/>
    </row>
    <row r="1214">
      <c r="A1214" s="7">
        <v>42423.46010416667</v>
      </c>
      <c r="B1214" s="8" t="str">
        <f>HYPERLINK("https://twitter.com/DarioHer0074","@DarioHer0074")</f>
        <v>@DarioHer0074</v>
      </c>
      <c r="C1214" s="10" t="s">
        <v>8500</v>
      </c>
      <c r="D1214" s="10" t="s">
        <v>8434</v>
      </c>
      <c r="E1214" s="11" t="str">
        <f>HYPERLINK("https://twitter.com/DarioHer0074/status/702206933126815748","702206933126815748")</f>
        <v>702206933126815748</v>
      </c>
      <c r="F1214" s="12" t="s">
        <v>52</v>
      </c>
      <c r="G1214" s="13">
        <v>86.0</v>
      </c>
      <c r="H1214" s="13">
        <v>112.0</v>
      </c>
      <c r="I1214" s="13">
        <v>12.0</v>
      </c>
      <c r="J1214" s="13">
        <v>0.0</v>
      </c>
      <c r="K1214" s="12" t="s">
        <v>21</v>
      </c>
      <c r="L1214" s="7">
        <v>40711.603530092594</v>
      </c>
      <c r="M1214" s="16"/>
      <c r="N1214" s="14" t="s">
        <v>8501</v>
      </c>
      <c r="O1214" s="11" t="str">
        <f>HYPERLINK("https://pbs.twimg.com/profile_images/1619728458/mod_normal.jpg","View")</f>
        <v>View</v>
      </c>
      <c r="P1214" s="15"/>
    </row>
    <row r="1215">
      <c r="A1215" s="7">
        <v>42423.46304398148</v>
      </c>
      <c r="B1215" s="8" t="str">
        <f>HYPERLINK("https://twitter.com/adolfoalvarez","@adolfoalvarez")</f>
        <v>@adolfoalvarez</v>
      </c>
      <c r="C1215" s="10" t="s">
        <v>8502</v>
      </c>
      <c r="D1215" s="10" t="s">
        <v>8503</v>
      </c>
      <c r="E1215" s="11" t="str">
        <f>HYPERLINK("https://twitter.com/adolfoalvarez/status/702207997645299712","702207997645299712")</f>
        <v>702207997645299712</v>
      </c>
      <c r="F1215" s="12" t="s">
        <v>3408</v>
      </c>
      <c r="G1215" s="13">
        <v>675.0</v>
      </c>
      <c r="H1215" s="13">
        <v>99.0</v>
      </c>
      <c r="I1215" s="13">
        <v>0.0</v>
      </c>
      <c r="J1215" s="13">
        <v>0.0</v>
      </c>
      <c r="K1215" s="12" t="s">
        <v>21</v>
      </c>
      <c r="L1215" s="7">
        <v>40064.403460648144</v>
      </c>
      <c r="M1215" s="14" t="s">
        <v>8504</v>
      </c>
      <c r="N1215" s="14" t="s">
        <v>8505</v>
      </c>
      <c r="O1215" s="11" t="str">
        <f>HYPERLINK("https://pbs.twimg.com/profile_images/594252638172098560/192mtWOt_normal.jpg","View")</f>
        <v>View</v>
      </c>
      <c r="P1215" s="15"/>
    </row>
    <row r="1216">
      <c r="A1216" s="7">
        <v>42423.46525462963</v>
      </c>
      <c r="B1216" s="8" t="str">
        <f>HYPERLINK("https://twitter.com/singhpankaj99","@singhpankaj99")</f>
        <v>@singhpankaj99</v>
      </c>
      <c r="C1216" s="10" t="s">
        <v>8506</v>
      </c>
      <c r="D1216" s="10" t="s">
        <v>8507</v>
      </c>
      <c r="E1216" s="11" t="str">
        <f>HYPERLINK("https://twitter.com/singhpankaj99/status/702208798228762624","702208798228762624")</f>
        <v>702208798228762624</v>
      </c>
      <c r="F1216" s="12" t="s">
        <v>20</v>
      </c>
      <c r="G1216" s="13">
        <v>90.0</v>
      </c>
      <c r="H1216" s="13">
        <v>185.0</v>
      </c>
      <c r="I1216" s="13">
        <v>0.0</v>
      </c>
      <c r="J1216" s="13">
        <v>1.0</v>
      </c>
      <c r="K1216" s="12" t="s">
        <v>21</v>
      </c>
      <c r="L1216" s="7">
        <v>40955.44652777778</v>
      </c>
      <c r="M1216" s="14" t="s">
        <v>8508</v>
      </c>
      <c r="N1216" s="14" t="s">
        <v>8509</v>
      </c>
      <c r="O1216" s="11" t="str">
        <f>HYPERLINK("https://pbs.twimg.com/profile_images/662899414848024576/2lQzWsxN_normal.jpg","View")</f>
        <v>View</v>
      </c>
      <c r="P1216" s="15"/>
    </row>
    <row r="1217">
      <c r="A1217" s="7">
        <v>42423.46728009259</v>
      </c>
      <c r="B1217" s="8" t="str">
        <f>HYPERLINK("https://twitter.com/pssGuy","@pssGuy")</f>
        <v>@pssGuy</v>
      </c>
      <c r="C1217" s="10" t="s">
        <v>7477</v>
      </c>
      <c r="D1217" s="10" t="s">
        <v>8510</v>
      </c>
      <c r="E1217" s="11" t="str">
        <f>HYPERLINK("https://twitter.com/pssGuy/status/702209530914934784","702209530914934784")</f>
        <v>702209530914934784</v>
      </c>
      <c r="F1217" s="12" t="s">
        <v>20</v>
      </c>
      <c r="G1217" s="13">
        <v>318.0</v>
      </c>
      <c r="H1217" s="13">
        <v>118.0</v>
      </c>
      <c r="I1217" s="13">
        <v>1.0</v>
      </c>
      <c r="J1217" s="13">
        <v>3.0</v>
      </c>
      <c r="K1217" s="12" t="s">
        <v>21</v>
      </c>
      <c r="L1217" s="7">
        <v>40451.41810185185</v>
      </c>
      <c r="M1217" s="14" t="s">
        <v>7479</v>
      </c>
      <c r="N1217" s="14" t="s">
        <v>7480</v>
      </c>
      <c r="O1217" s="11" t="str">
        <f>HYPERLINK("https://pbs.twimg.com/profile_images/1138368380/P1010066small_normal.jpg","View")</f>
        <v>View</v>
      </c>
      <c r="P1217" s="15"/>
    </row>
    <row r="1218">
      <c r="A1218" s="7">
        <v>42423.46753472222</v>
      </c>
      <c r="B1218" s="8" t="str">
        <f>HYPERLINK("https://twitter.com/tomhouslay","@tomhouslay")</f>
        <v>@tomhouslay</v>
      </c>
      <c r="C1218" s="10" t="s">
        <v>6801</v>
      </c>
      <c r="D1218" s="10" t="s">
        <v>8511</v>
      </c>
      <c r="E1218" s="11" t="str">
        <f>HYPERLINK("https://twitter.com/tomhouslay/status/702209625454731265","702209625454731265")</f>
        <v>702209625454731265</v>
      </c>
      <c r="F1218" s="12" t="s">
        <v>20</v>
      </c>
      <c r="G1218" s="13">
        <v>2957.0</v>
      </c>
      <c r="H1218" s="13">
        <v>2676.0</v>
      </c>
      <c r="I1218" s="13">
        <v>0.0</v>
      </c>
      <c r="J1218" s="13">
        <v>0.0</v>
      </c>
      <c r="K1218" s="12" t="s">
        <v>21</v>
      </c>
      <c r="L1218" s="7">
        <v>40136.59471064815</v>
      </c>
      <c r="M1218" s="14" t="s">
        <v>6803</v>
      </c>
      <c r="N1218" s="14" t="s">
        <v>6804</v>
      </c>
      <c r="O1218" s="11" t="str">
        <f>HYPERLINK("https://pbs.twimg.com/profile_images/701901513392717824/lUzJ39G2_normal.png","View")</f>
        <v>View</v>
      </c>
      <c r="P1218" s="15"/>
    </row>
    <row r="1219">
      <c r="A1219" s="7">
        <v>42423.467824074076</v>
      </c>
      <c r="B1219" s="8" t="str">
        <f>HYPERLINK("https://twitter.com/timelyportfolio","@timelyportfolio")</f>
        <v>@timelyportfolio</v>
      </c>
      <c r="C1219" s="10" t="s">
        <v>3698</v>
      </c>
      <c r="D1219" s="10" t="s">
        <v>8512</v>
      </c>
      <c r="E1219" s="11" t="str">
        <f>HYPERLINK("https://twitter.com/timelyportfolio/status/702209727304962050","702209727304962050")</f>
        <v>702209727304962050</v>
      </c>
      <c r="F1219" s="12" t="s">
        <v>52</v>
      </c>
      <c r="G1219" s="13">
        <v>1875.0</v>
      </c>
      <c r="H1219" s="13">
        <v>2248.0</v>
      </c>
      <c r="I1219" s="13">
        <v>1.0</v>
      </c>
      <c r="J1219" s="13">
        <v>0.0</v>
      </c>
      <c r="K1219" s="12" t="s">
        <v>21</v>
      </c>
      <c r="L1219" s="7">
        <v>40573.86280092593</v>
      </c>
      <c r="M1219" s="14" t="s">
        <v>3700</v>
      </c>
      <c r="N1219" s="14" t="s">
        <v>3701</v>
      </c>
      <c r="O1219" s="11" t="str">
        <f>HYPERLINK("https://pbs.twimg.com/profile_images/2198946077/image_normal.jpg","View")</f>
        <v>View</v>
      </c>
      <c r="P1219" s="15"/>
    </row>
    <row r="1220">
      <c r="A1220" s="7">
        <v>42423.46847222222</v>
      </c>
      <c r="B1220" s="8" t="str">
        <f>HYPERLINK("https://twitter.com/Hana_Anber","@Hana_Anber")</f>
        <v>@Hana_Anber</v>
      </c>
      <c r="C1220" s="10" t="s">
        <v>3433</v>
      </c>
      <c r="D1220" s="10" t="s">
        <v>8462</v>
      </c>
      <c r="E1220" s="11" t="str">
        <f>HYPERLINK("https://twitter.com/Hana_Anber/status/702209965554061312","702209965554061312")</f>
        <v>702209965554061312</v>
      </c>
      <c r="F1220" s="12" t="s">
        <v>52</v>
      </c>
      <c r="G1220" s="13">
        <v>40.0</v>
      </c>
      <c r="H1220" s="13">
        <v>77.0</v>
      </c>
      <c r="I1220" s="13">
        <v>3.0</v>
      </c>
      <c r="J1220" s="13">
        <v>0.0</v>
      </c>
      <c r="K1220" s="12" t="s">
        <v>21</v>
      </c>
      <c r="L1220" s="7">
        <v>41381.81621527778</v>
      </c>
      <c r="M1220" s="16"/>
      <c r="N1220" s="14" t="s">
        <v>3435</v>
      </c>
      <c r="O1220" s="11" t="str">
        <f>HYPERLINK("https://pbs.twimg.com/profile_images/675159429629759490/U_ciM4bZ_normal.jpg","View")</f>
        <v>View</v>
      </c>
      <c r="P1220" s="15"/>
    </row>
    <row r="1221">
      <c r="A1221" s="7">
        <v>42423.46885416667</v>
      </c>
      <c r="B1221" s="8" t="str">
        <f>HYPERLINK("https://twitter.com/skilloak","@skilloak")</f>
        <v>@skilloak</v>
      </c>
      <c r="C1221" s="10" t="s">
        <v>5999</v>
      </c>
      <c r="D1221" s="10" t="s">
        <v>8513</v>
      </c>
      <c r="E1221" s="11" t="str">
        <f>HYPERLINK("https://twitter.com/skilloak/status/702210102376333313","702210102376333313")</f>
        <v>702210102376333313</v>
      </c>
      <c r="F1221" s="12" t="s">
        <v>446</v>
      </c>
      <c r="G1221" s="13">
        <v>2427.0</v>
      </c>
      <c r="H1221" s="13">
        <v>338.0</v>
      </c>
      <c r="I1221" s="13">
        <v>0.0</v>
      </c>
      <c r="J1221" s="13">
        <v>0.0</v>
      </c>
      <c r="K1221" s="12" t="s">
        <v>21</v>
      </c>
      <c r="L1221" s="7">
        <v>41308.39502314815</v>
      </c>
      <c r="M1221" s="16"/>
      <c r="N1221" s="14" t="s">
        <v>6001</v>
      </c>
      <c r="O1221" s="11" t="str">
        <f>HYPERLINK("https://pbs.twimg.com/profile_images/670315479517413376/Kkf5JA8s_normal.png","View")</f>
        <v>View</v>
      </c>
      <c r="P1221" s="15"/>
    </row>
    <row r="1222">
      <c r="A1222" s="7">
        <v>42423.47025462963</v>
      </c>
      <c r="B1222" s="8" t="str">
        <f>HYPERLINK("https://twitter.com/mic0331","@mic0331")</f>
        <v>@mic0331</v>
      </c>
      <c r="C1222" s="10" t="s">
        <v>8514</v>
      </c>
      <c r="D1222" s="10" t="s">
        <v>8417</v>
      </c>
      <c r="E1222" s="11" t="str">
        <f>HYPERLINK("https://twitter.com/mic0331/status/702210611061641216","702210611061641216")</f>
        <v>702210611061641216</v>
      </c>
      <c r="F1222" s="12" t="s">
        <v>152</v>
      </c>
      <c r="G1222" s="13">
        <v>86.0</v>
      </c>
      <c r="H1222" s="13">
        <v>245.0</v>
      </c>
      <c r="I1222" s="13">
        <v>11.0</v>
      </c>
      <c r="J1222" s="13">
        <v>0.0</v>
      </c>
      <c r="K1222" s="12" t="s">
        <v>21</v>
      </c>
      <c r="L1222" s="7">
        <v>40465.98944444444</v>
      </c>
      <c r="M1222" s="14" t="s">
        <v>8515</v>
      </c>
      <c r="N1222" s="14" t="s">
        <v>8516</v>
      </c>
      <c r="O1222" s="11" t="str">
        <f>HYPERLINK("https://pbs.twimg.com/profile_images/534251938829721602/27AgDWet_normal.jpeg","View")</f>
        <v>View</v>
      </c>
      <c r="P1222" s="15"/>
    </row>
    <row r="1223">
      <c r="A1223" s="7">
        <v>42423.47399305555</v>
      </c>
      <c r="B1223" s="8" t="str">
        <f t="shared" ref="B1223:B1224" si="133">HYPERLINK("https://twitter.com/salvag63","@salvag63")</f>
        <v>@salvag63</v>
      </c>
      <c r="C1223" s="10" t="s">
        <v>6551</v>
      </c>
      <c r="D1223" s="10" t="s">
        <v>8517</v>
      </c>
      <c r="E1223" s="11" t="str">
        <f>HYPERLINK("https://twitter.com/salvag63/status/702211966014767110","702211966014767110")</f>
        <v>702211966014767110</v>
      </c>
      <c r="F1223" s="12" t="s">
        <v>20</v>
      </c>
      <c r="G1223" s="13">
        <v>244.0</v>
      </c>
      <c r="H1223" s="13">
        <v>166.0</v>
      </c>
      <c r="I1223" s="13">
        <v>1.0</v>
      </c>
      <c r="J1223" s="13">
        <v>0.0</v>
      </c>
      <c r="K1223" s="12" t="s">
        <v>21</v>
      </c>
      <c r="L1223" s="7">
        <v>39872.207500000004</v>
      </c>
      <c r="M1223" s="16"/>
      <c r="N1223" s="14" t="s">
        <v>6553</v>
      </c>
      <c r="O1223" s="11" t="str">
        <f t="shared" ref="O1223:O1224" si="134">HYPERLINK("https://pbs.twimg.com/profile_images/234609034/Press4_normal.jpg","View")</f>
        <v>View</v>
      </c>
      <c r="P1223" s="15"/>
    </row>
    <row r="1224">
      <c r="A1224" s="7">
        <v>42423.47547453704</v>
      </c>
      <c r="B1224" s="8" t="str">
        <f t="shared" si="133"/>
        <v>@salvag63</v>
      </c>
      <c r="C1224" s="10" t="s">
        <v>6551</v>
      </c>
      <c r="D1224" s="10" t="s">
        <v>8518</v>
      </c>
      <c r="E1224" s="11" t="str">
        <f>HYPERLINK("https://twitter.com/salvag63/status/702212502692749312","702212502692749312")</f>
        <v>702212502692749312</v>
      </c>
      <c r="F1224" s="12" t="s">
        <v>20</v>
      </c>
      <c r="G1224" s="13">
        <v>244.0</v>
      </c>
      <c r="H1224" s="13">
        <v>166.0</v>
      </c>
      <c r="I1224" s="13">
        <v>1.0</v>
      </c>
      <c r="J1224" s="13">
        <v>0.0</v>
      </c>
      <c r="K1224" s="12" t="s">
        <v>21</v>
      </c>
      <c r="L1224" s="7">
        <v>39872.207500000004</v>
      </c>
      <c r="M1224" s="16"/>
      <c r="N1224" s="14" t="s">
        <v>6553</v>
      </c>
      <c r="O1224" s="11" t="str">
        <f t="shared" si="134"/>
        <v>View</v>
      </c>
      <c r="P1224" s="15"/>
    </row>
    <row r="1225">
      <c r="A1225" s="7">
        <v>42423.47876157408</v>
      </c>
      <c r="B1225" s="8" t="str">
        <f>HYPERLINK("https://twitter.com/JoeAbusamra","@JoeAbusamra")</f>
        <v>@JoeAbusamra</v>
      </c>
      <c r="C1225" s="10" t="s">
        <v>8519</v>
      </c>
      <c r="D1225" s="10" t="s">
        <v>8520</v>
      </c>
      <c r="E1225" s="11" t="str">
        <f>HYPERLINK("https://twitter.com/JoeAbusamra/status/702213694533447680","702213694533447680")</f>
        <v>702213694533447680</v>
      </c>
      <c r="F1225" s="12" t="s">
        <v>20</v>
      </c>
      <c r="G1225" s="13">
        <v>3750.0</v>
      </c>
      <c r="H1225" s="13">
        <v>2732.0</v>
      </c>
      <c r="I1225" s="13">
        <v>17.0</v>
      </c>
      <c r="J1225" s="13">
        <v>0.0</v>
      </c>
      <c r="K1225" s="12" t="s">
        <v>21</v>
      </c>
      <c r="L1225" s="7">
        <v>39715.4306712963</v>
      </c>
      <c r="M1225" s="14" t="s">
        <v>8521</v>
      </c>
      <c r="N1225" s="14" t="s">
        <v>8522</v>
      </c>
      <c r="O1225" s="11" t="str">
        <f>HYPERLINK("https://pbs.twimg.com/profile_images/2170121407/2R_normal.jpg","View")</f>
        <v>View</v>
      </c>
      <c r="P1225" s="15"/>
    </row>
    <row r="1226">
      <c r="A1226" s="7">
        <v>42423.478900462964</v>
      </c>
      <c r="B1226" s="8" t="str">
        <f>HYPERLINK("https://twitter.com/DrQz","@DrQz")</f>
        <v>@DrQz</v>
      </c>
      <c r="C1226" s="10" t="s">
        <v>8523</v>
      </c>
      <c r="D1226" s="10" t="s">
        <v>8524</v>
      </c>
      <c r="E1226" s="11" t="str">
        <f>HYPERLINK("https://twitter.com/DrQz/status/702213741127954433","702213741127954433")</f>
        <v>702213741127954433</v>
      </c>
      <c r="F1226" s="12" t="s">
        <v>20</v>
      </c>
      <c r="G1226" s="13">
        <v>1859.0</v>
      </c>
      <c r="H1226" s="13">
        <v>381.0</v>
      </c>
      <c r="I1226" s="13">
        <v>5.0</v>
      </c>
      <c r="J1226" s="13">
        <v>2.0</v>
      </c>
      <c r="K1226" s="12" t="s">
        <v>21</v>
      </c>
      <c r="L1226" s="7">
        <v>39891.98332175926</v>
      </c>
      <c r="M1226" s="14" t="s">
        <v>8525</v>
      </c>
      <c r="N1226" s="14" t="s">
        <v>8526</v>
      </c>
      <c r="O1226" s="11" t="str">
        <f>HYPERLINK("https://pbs.twimg.com/profile_images/1348042873/njgThumb_normal.png","View")</f>
        <v>View</v>
      </c>
      <c r="P1226" s="15"/>
    </row>
    <row r="1227">
      <c r="A1227" s="7">
        <v>42423.47918981481</v>
      </c>
      <c r="B1227" s="8" t="str">
        <f>HYPERLINK("https://twitter.com/dataproblems","@dataproblems")</f>
        <v>@dataproblems</v>
      </c>
      <c r="C1227" s="10" t="s">
        <v>8527</v>
      </c>
      <c r="D1227" s="10" t="s">
        <v>8528</v>
      </c>
      <c r="E1227" s="11" t="str">
        <f>HYPERLINK("https://twitter.com/dataproblems/status/702213848380485632","702213848380485632")</f>
        <v>702213848380485632</v>
      </c>
      <c r="F1227" s="12" t="s">
        <v>8529</v>
      </c>
      <c r="G1227" s="13">
        <v>623.0</v>
      </c>
      <c r="H1227" s="13">
        <v>0.0</v>
      </c>
      <c r="I1227" s="13">
        <v>5.0</v>
      </c>
      <c r="J1227" s="13">
        <v>0.0</v>
      </c>
      <c r="K1227" s="12" t="s">
        <v>21</v>
      </c>
      <c r="L1227" s="7">
        <v>42111.88550925926</v>
      </c>
      <c r="M1227" s="16"/>
      <c r="N1227" s="16"/>
      <c r="O1227" s="11" t="str">
        <f>HYPERLINK("https://pbs.twimg.com/profile_images/589281797348798465/_SuW60Pm_normal.jpg","View")</f>
        <v>View</v>
      </c>
      <c r="P1227" s="15"/>
    </row>
    <row r="1228">
      <c r="A1228" s="7">
        <v>42423.47924768519</v>
      </c>
      <c r="B1228" s="8" t="str">
        <f>HYPERLINK("https://twitter.com/ThugMetrics","@ThugMetrics")</f>
        <v>@ThugMetrics</v>
      </c>
      <c r="C1228" s="10" t="s">
        <v>7417</v>
      </c>
      <c r="D1228" s="10" t="s">
        <v>8530</v>
      </c>
      <c r="E1228" s="11" t="str">
        <f>HYPERLINK("https://twitter.com/ThugMetrics/status/702213869159247872","702213869159247872")</f>
        <v>702213869159247872</v>
      </c>
      <c r="F1228" s="12" t="s">
        <v>38</v>
      </c>
      <c r="G1228" s="13">
        <v>1049.0</v>
      </c>
      <c r="H1228" s="13">
        <v>497.0</v>
      </c>
      <c r="I1228" s="13">
        <v>1.0</v>
      </c>
      <c r="J1228" s="13">
        <v>0.0</v>
      </c>
      <c r="K1228" s="12" t="s">
        <v>21</v>
      </c>
      <c r="L1228" s="7">
        <v>41974.772627314815</v>
      </c>
      <c r="M1228" s="14" t="s">
        <v>379</v>
      </c>
      <c r="N1228" s="14" t="s">
        <v>7419</v>
      </c>
      <c r="O1228" s="11" t="str">
        <f>HYPERLINK("https://pbs.twimg.com/profile_images/545309149953667072/f3IMwCEc_normal.jpeg","View")</f>
        <v>View</v>
      </c>
      <c r="P1228" s="15"/>
    </row>
    <row r="1229">
      <c r="A1229" s="7">
        <v>42423.479675925926</v>
      </c>
      <c r="B1229" s="8" t="str">
        <f t="shared" ref="B1229:B1230" si="135">HYPERLINK("https://twitter.com/BigDataTweetBot","@BigDataTweetBot")</f>
        <v>@BigDataTweetBot</v>
      </c>
      <c r="C1229" s="10" t="s">
        <v>1440</v>
      </c>
      <c r="D1229" s="10" t="s">
        <v>8531</v>
      </c>
      <c r="E1229" s="11" t="str">
        <f>HYPERLINK("https://twitter.com/BigDataTweetBot/status/702214022993678336","702214022993678336")</f>
        <v>702214022993678336</v>
      </c>
      <c r="F1229" s="12" t="s">
        <v>1442</v>
      </c>
      <c r="G1229" s="13">
        <v>8622.0</v>
      </c>
      <c r="H1229" s="13">
        <v>243.0</v>
      </c>
      <c r="I1229" s="13">
        <v>1.0</v>
      </c>
      <c r="J1229" s="13">
        <v>0.0</v>
      </c>
      <c r="K1229" s="12" t="s">
        <v>21</v>
      </c>
      <c r="L1229" s="7">
        <v>42187.77106481481</v>
      </c>
      <c r="M1229" s="16"/>
      <c r="N1229" s="14" t="s">
        <v>1443</v>
      </c>
      <c r="O1229" s="11" t="str">
        <f t="shared" ref="O1229:O1230" si="136">HYPERLINK("https://pbs.twimg.com/profile_images/616793252524650496/bQbxJqmz_normal.jpg","View")</f>
        <v>View</v>
      </c>
      <c r="P1229" s="15"/>
    </row>
    <row r="1230">
      <c r="A1230" s="7">
        <v>42423.47982638889</v>
      </c>
      <c r="B1230" s="8" t="str">
        <f t="shared" si="135"/>
        <v>@BigDataTweetBot</v>
      </c>
      <c r="C1230" s="10" t="s">
        <v>1440</v>
      </c>
      <c r="D1230" s="10" t="s">
        <v>8528</v>
      </c>
      <c r="E1230" s="11" t="str">
        <f>HYPERLINK("https://twitter.com/BigDataTweetBot/status/702214079398723585","702214079398723585")</f>
        <v>702214079398723585</v>
      </c>
      <c r="F1230" s="12" t="s">
        <v>1442</v>
      </c>
      <c r="G1230" s="13">
        <v>8622.0</v>
      </c>
      <c r="H1230" s="13">
        <v>243.0</v>
      </c>
      <c r="I1230" s="13">
        <v>5.0</v>
      </c>
      <c r="J1230" s="13">
        <v>0.0</v>
      </c>
      <c r="K1230" s="12" t="s">
        <v>21</v>
      </c>
      <c r="L1230" s="7">
        <v>42187.77106481481</v>
      </c>
      <c r="M1230" s="16"/>
      <c r="N1230" s="14" t="s">
        <v>1443</v>
      </c>
      <c r="O1230" s="11" t="str">
        <f t="shared" si="136"/>
        <v>View</v>
      </c>
      <c r="P1230" s="15"/>
    </row>
    <row r="1231">
      <c r="A1231" s="7">
        <v>42423.48224537037</v>
      </c>
      <c r="B1231" s="8" t="str">
        <f>HYPERLINK("https://twitter.com/homeAIinfo","@homeAIinfo")</f>
        <v>@homeAIinfo</v>
      </c>
      <c r="C1231" s="10" t="s">
        <v>36</v>
      </c>
      <c r="D1231" s="10" t="s">
        <v>8493</v>
      </c>
      <c r="E1231" s="11" t="str">
        <f>HYPERLINK("https://twitter.com/homeAIinfo/status/702214953604923393","702214953604923393")</f>
        <v>702214953604923393</v>
      </c>
      <c r="F1231" s="12" t="s">
        <v>38</v>
      </c>
      <c r="G1231" s="13">
        <v>52868.0</v>
      </c>
      <c r="H1231" s="13">
        <v>1328.0</v>
      </c>
      <c r="I1231" s="13">
        <v>5.0</v>
      </c>
      <c r="J1231" s="13">
        <v>0.0</v>
      </c>
      <c r="K1231" s="12" t="s">
        <v>21</v>
      </c>
      <c r="L1231" s="7">
        <v>42133.34662037037</v>
      </c>
      <c r="M1231" s="14" t="s">
        <v>39</v>
      </c>
      <c r="N1231" s="14" t="s">
        <v>40</v>
      </c>
      <c r="O1231" s="11" t="str">
        <f>HYPERLINK("https://pbs.twimg.com/profile_images/645650110374936580/-oQakt8x_normal.png","View")</f>
        <v>View</v>
      </c>
      <c r="P1231" s="15"/>
    </row>
    <row r="1232">
      <c r="A1232" s="7">
        <v>42423.48260416667</v>
      </c>
      <c r="B1232" s="8" t="str">
        <f>HYPERLINK("https://twitter.com/DataMinerX","@DataMinerX")</f>
        <v>@DataMinerX</v>
      </c>
      <c r="C1232" s="10" t="s">
        <v>7238</v>
      </c>
      <c r="D1232" s="10" t="s">
        <v>8532</v>
      </c>
      <c r="E1232" s="11" t="str">
        <f>HYPERLINK("https://twitter.com/DataMinerX/status/702215084127293440","702215084127293440")</f>
        <v>702215084127293440</v>
      </c>
      <c r="F1232" s="12" t="s">
        <v>152</v>
      </c>
      <c r="G1232" s="13">
        <v>33.0</v>
      </c>
      <c r="H1232" s="13">
        <v>39.0</v>
      </c>
      <c r="I1232" s="13">
        <v>1.0</v>
      </c>
      <c r="J1232" s="13">
        <v>0.0</v>
      </c>
      <c r="K1232" s="12" t="s">
        <v>21</v>
      </c>
      <c r="L1232" s="7">
        <v>42036.756886574076</v>
      </c>
      <c r="M1232" s="14" t="s">
        <v>7240</v>
      </c>
      <c r="N1232" s="14" t="s">
        <v>7241</v>
      </c>
      <c r="O1232" s="11" t="str">
        <f>HYPERLINK("https://pbs.twimg.com/profile_images/678987422475018240/zOKqetJt_normal.jpg","View")</f>
        <v>View</v>
      </c>
      <c r="P1232" s="15"/>
    </row>
    <row r="1233">
      <c r="A1233" s="7">
        <v>42423.484178240746</v>
      </c>
      <c r="B1233" s="8" t="str">
        <f>HYPERLINK("https://twitter.com/journocode","@journocode")</f>
        <v>@journocode</v>
      </c>
      <c r="C1233" s="10" t="s">
        <v>1456</v>
      </c>
      <c r="D1233" s="10" t="s">
        <v>8533</v>
      </c>
      <c r="E1233" s="11" t="str">
        <f>HYPERLINK("https://twitter.com/journocode/status/702215653869101056","702215653869101056")</f>
        <v>702215653869101056</v>
      </c>
      <c r="F1233" s="12" t="s">
        <v>52</v>
      </c>
      <c r="G1233" s="13">
        <v>272.0</v>
      </c>
      <c r="H1233" s="13">
        <v>129.0</v>
      </c>
      <c r="I1233" s="13">
        <v>1.0</v>
      </c>
      <c r="J1233" s="13">
        <v>1.0</v>
      </c>
      <c r="K1233" s="12" t="s">
        <v>21</v>
      </c>
      <c r="L1233" s="7">
        <v>42307.49438657408</v>
      </c>
      <c r="M1233" s="14" t="s">
        <v>1458</v>
      </c>
      <c r="N1233" s="14" t="s">
        <v>1459</v>
      </c>
      <c r="O1233" s="11" t="str">
        <f>HYPERLINK("https://pbs.twimg.com/profile_images/663285524162048000/leUzJIIa_normal.png","View")</f>
        <v>View</v>
      </c>
      <c r="P1233" s="15"/>
    </row>
    <row r="1234">
      <c r="A1234" s="7">
        <v>42423.489328703705</v>
      </c>
      <c r="B1234" s="8" t="str">
        <f>HYPERLINK("https://twitter.com/RadCashew","@RadCashew")</f>
        <v>@RadCashew</v>
      </c>
      <c r="C1234" s="10" t="s">
        <v>7097</v>
      </c>
      <c r="D1234" s="10" t="s">
        <v>8534</v>
      </c>
      <c r="E1234" s="11" t="str">
        <f>HYPERLINK("https://twitter.com/RadCashew/status/702217520032444416","702217520032444416")</f>
        <v>702217520032444416</v>
      </c>
      <c r="F1234" s="12" t="s">
        <v>20</v>
      </c>
      <c r="G1234" s="13">
        <v>437.0</v>
      </c>
      <c r="H1234" s="13">
        <v>1161.0</v>
      </c>
      <c r="I1234" s="13">
        <v>0.0</v>
      </c>
      <c r="J1234" s="13">
        <v>0.0</v>
      </c>
      <c r="K1234" s="12" t="s">
        <v>21</v>
      </c>
      <c r="L1234" s="7">
        <v>41228.08672453704</v>
      </c>
      <c r="M1234" s="16"/>
      <c r="N1234" s="14" t="s">
        <v>7099</v>
      </c>
      <c r="O1234" s="11" t="str">
        <f>HYPERLINK("https://pbs.twimg.com/profile_images/680782491737829376/7T1R6MR6_normal.jpg","View")</f>
        <v>View</v>
      </c>
      <c r="P1234" s="15"/>
    </row>
    <row r="1235">
      <c r="A1235" s="7">
        <v>42423.49096064815</v>
      </c>
      <c r="B1235" s="8" t="str">
        <f>HYPERLINK("https://twitter.com/CurryCunningham","@CurryCunningham")</f>
        <v>@CurryCunningham</v>
      </c>
      <c r="C1235" s="10" t="s">
        <v>8535</v>
      </c>
      <c r="D1235" s="10" t="s">
        <v>8493</v>
      </c>
      <c r="E1235" s="11" t="str">
        <f>HYPERLINK("https://twitter.com/CurryCunningham/status/702218114906218496","702218114906218496")</f>
        <v>702218114906218496</v>
      </c>
      <c r="F1235" s="12" t="s">
        <v>20</v>
      </c>
      <c r="G1235" s="13">
        <v>108.0</v>
      </c>
      <c r="H1235" s="13">
        <v>120.0</v>
      </c>
      <c r="I1235" s="13">
        <v>5.0</v>
      </c>
      <c r="J1235" s="13">
        <v>0.0</v>
      </c>
      <c r="K1235" s="12" t="s">
        <v>21</v>
      </c>
      <c r="L1235" s="7">
        <v>41791.75738425926</v>
      </c>
      <c r="M1235" s="14" t="s">
        <v>8536</v>
      </c>
      <c r="N1235" s="14" t="s">
        <v>8537</v>
      </c>
      <c r="O1235" s="11" t="str">
        <f>HYPERLINK("https://pbs.twimg.com/profile_images/482067305434578945/AxAYTLPW_normal.jpeg","View")</f>
        <v>View</v>
      </c>
      <c r="P1235" s="15"/>
    </row>
    <row r="1236">
      <c r="A1236" s="7">
        <v>42423.49986111111</v>
      </c>
      <c r="B1236" s="8" t="str">
        <f>HYPERLINK("https://twitter.com/sellorm","@sellorm")</f>
        <v>@sellorm</v>
      </c>
      <c r="C1236" s="10" t="s">
        <v>8538</v>
      </c>
      <c r="D1236" s="10" t="s">
        <v>8539</v>
      </c>
      <c r="E1236" s="11" t="str">
        <f>HYPERLINK("https://twitter.com/sellorm/status/702221337583075332","702221337583075332")</f>
        <v>702221337583075332</v>
      </c>
      <c r="F1236" s="12" t="s">
        <v>152</v>
      </c>
      <c r="G1236" s="13">
        <v>290.0</v>
      </c>
      <c r="H1236" s="13">
        <v>1435.0</v>
      </c>
      <c r="I1236" s="13">
        <v>4.0</v>
      </c>
      <c r="J1236" s="13">
        <v>8.0</v>
      </c>
      <c r="K1236" s="12" t="s">
        <v>21</v>
      </c>
      <c r="L1236" s="7">
        <v>39548.28162037037</v>
      </c>
      <c r="M1236" s="14" t="s">
        <v>8540</v>
      </c>
      <c r="N1236" s="14" t="s">
        <v>8541</v>
      </c>
      <c r="O1236" s="11" t="str">
        <f>HYPERLINK("https://pbs.twimg.com/profile_images/692468856288321538/S7BP0qfC_normal.jpg","View")</f>
        <v>View</v>
      </c>
      <c r="P1236" s="15"/>
    </row>
    <row r="1237">
      <c r="A1237" s="7">
        <v>42423.500196759254</v>
      </c>
      <c r="B1237" s="8" t="str">
        <f>HYPERLINK("https://twitter.com/MangoTheCat","@MangoTheCat")</f>
        <v>@MangoTheCat</v>
      </c>
      <c r="C1237" s="10" t="s">
        <v>6321</v>
      </c>
      <c r="D1237" s="10" t="s">
        <v>8542</v>
      </c>
      <c r="E1237" s="11" t="str">
        <f>HYPERLINK("https://twitter.com/MangoTheCat/status/702221460828459008","702221460828459008")</f>
        <v>702221460828459008</v>
      </c>
      <c r="F1237" s="12" t="s">
        <v>152</v>
      </c>
      <c r="G1237" s="13">
        <v>2041.0</v>
      </c>
      <c r="H1237" s="13">
        <v>2855.0</v>
      </c>
      <c r="I1237" s="13">
        <v>4.0</v>
      </c>
      <c r="J1237" s="13">
        <v>0.0</v>
      </c>
      <c r="K1237" s="12" t="s">
        <v>21</v>
      </c>
      <c r="L1237" s="7">
        <v>39854.3178587963</v>
      </c>
      <c r="M1237" s="14" t="s">
        <v>6323</v>
      </c>
      <c r="N1237" s="14" t="s">
        <v>6324</v>
      </c>
      <c r="O1237" s="11" t="str">
        <f>HYPERLINK("https://pbs.twimg.com/profile_images/641183991077445633/V7VcBpJI_normal.png","View")</f>
        <v>View</v>
      </c>
      <c r="P1237" s="15"/>
    </row>
    <row r="1238">
      <c r="A1238" s="7">
        <v>42423.50113425926</v>
      </c>
      <c r="B1238" s="8" t="str">
        <f>HYPERLINK("https://twitter.com/zkajdan","@zkajdan")</f>
        <v>@zkajdan</v>
      </c>
      <c r="C1238" s="10" t="s">
        <v>8543</v>
      </c>
      <c r="D1238" s="10" t="s">
        <v>8528</v>
      </c>
      <c r="E1238" s="11" t="str">
        <f>HYPERLINK("https://twitter.com/zkajdan/status/702221799052935168","702221799052935168")</f>
        <v>702221799052935168</v>
      </c>
      <c r="F1238" s="12" t="s">
        <v>1573</v>
      </c>
      <c r="G1238" s="13">
        <v>323.0</v>
      </c>
      <c r="H1238" s="13">
        <v>268.0</v>
      </c>
      <c r="I1238" s="13">
        <v>5.0</v>
      </c>
      <c r="J1238" s="13">
        <v>0.0</v>
      </c>
      <c r="K1238" s="12" t="s">
        <v>21</v>
      </c>
      <c r="L1238" s="7">
        <v>41888.96334490741</v>
      </c>
      <c r="M1238" s="14" t="s">
        <v>6743</v>
      </c>
      <c r="N1238" s="14" t="s">
        <v>8544</v>
      </c>
      <c r="O1238" s="11" t="str">
        <f>HYPERLINK("https://pbs.twimg.com/profile_images/508508222097874944/qHz1j7mr_normal.jpeg","View")</f>
        <v>View</v>
      </c>
      <c r="P1238" s="15"/>
    </row>
    <row r="1239">
      <c r="A1239" s="7">
        <v>42423.50262731481</v>
      </c>
      <c r="B1239" s="8" t="str">
        <f>HYPERLINK("https://twitter.com/AriLamstein","@AriLamstein")</f>
        <v>@AriLamstein</v>
      </c>
      <c r="C1239" s="10" t="s">
        <v>6680</v>
      </c>
      <c r="D1239" s="10" t="s">
        <v>8545</v>
      </c>
      <c r="E1239" s="11" t="str">
        <f>HYPERLINK("https://twitter.com/AriLamstein/status/702222339665215490","702222339665215490")</f>
        <v>702222339665215490</v>
      </c>
      <c r="F1239" s="12" t="s">
        <v>659</v>
      </c>
      <c r="G1239" s="13">
        <v>577.0</v>
      </c>
      <c r="H1239" s="13">
        <v>254.0</v>
      </c>
      <c r="I1239" s="13">
        <v>0.0</v>
      </c>
      <c r="J1239" s="13">
        <v>5.0</v>
      </c>
      <c r="K1239" s="12" t="s">
        <v>21</v>
      </c>
      <c r="L1239" s="7">
        <v>41654.58315972222</v>
      </c>
      <c r="M1239" s="14" t="s">
        <v>69</v>
      </c>
      <c r="N1239" s="14" t="s">
        <v>6682</v>
      </c>
      <c r="O1239" s="11" t="str">
        <f>HYPERLINK("https://pbs.twimg.com/profile_images/424265489666162688/OSt8nLEe_normal.jpeg","View")</f>
        <v>View</v>
      </c>
      <c r="P1239" s="15"/>
    </row>
    <row r="1240">
      <c r="A1240" s="7">
        <v>42423.5044212963</v>
      </c>
      <c r="B1240" s="8" t="str">
        <f>HYPERLINK("https://twitter.com/anjuls","@anjuls")</f>
        <v>@anjuls</v>
      </c>
      <c r="C1240" s="10" t="s">
        <v>8546</v>
      </c>
      <c r="D1240" s="10" t="s">
        <v>8528</v>
      </c>
      <c r="E1240" s="11" t="str">
        <f>HYPERLINK("https://twitter.com/anjuls/status/702222992185516032","702222992185516032")</f>
        <v>702222992185516032</v>
      </c>
      <c r="F1240" s="12" t="s">
        <v>152</v>
      </c>
      <c r="G1240" s="13">
        <v>485.0</v>
      </c>
      <c r="H1240" s="13">
        <v>822.0</v>
      </c>
      <c r="I1240" s="13">
        <v>5.0</v>
      </c>
      <c r="J1240" s="13">
        <v>0.0</v>
      </c>
      <c r="K1240" s="12" t="s">
        <v>21</v>
      </c>
      <c r="L1240" s="7">
        <v>39422.496087962965</v>
      </c>
      <c r="M1240" s="14" t="s">
        <v>7600</v>
      </c>
      <c r="N1240" s="14" t="s">
        <v>8547</v>
      </c>
      <c r="O1240" s="11" t="str">
        <f>HYPERLINK("https://pbs.twimg.com/profile_images/701008204516315136/__XCKR8P_normal.jpg","View")</f>
        <v>View</v>
      </c>
      <c r="P1240" s="15"/>
    </row>
    <row r="1241">
      <c r="A1241" s="7">
        <v>42423.50953703704</v>
      </c>
      <c r="B1241" s="8" t="str">
        <f t="shared" ref="B1241:B1242" si="137">HYPERLINK("https://twitter.com/CRANberriesFeed","@CRANberriesFeed")</f>
        <v>@CRANberriesFeed</v>
      </c>
      <c r="C1241" s="10" t="s">
        <v>6282</v>
      </c>
      <c r="D1241" s="10" t="s">
        <v>8548</v>
      </c>
      <c r="E1241" s="11" t="str">
        <f>HYPERLINK("https://twitter.com/CRANberriesFeed/status/702224843790544897","702224843790544897")</f>
        <v>702224843790544897</v>
      </c>
      <c r="F1241" s="12" t="s">
        <v>6284</v>
      </c>
      <c r="G1241" s="13">
        <v>657.0</v>
      </c>
      <c r="H1241" s="13">
        <v>0.0</v>
      </c>
      <c r="I1241" s="13">
        <v>0.0</v>
      </c>
      <c r="J1241" s="13">
        <v>0.0</v>
      </c>
      <c r="K1241" s="12" t="s">
        <v>21</v>
      </c>
      <c r="L1241" s="7">
        <v>40546.353425925925</v>
      </c>
      <c r="M1241" s="14" t="s">
        <v>1158</v>
      </c>
      <c r="N1241" s="16"/>
      <c r="O1241" s="11" t="str">
        <f t="shared" ref="O1241:O1242" si="138">HYPERLINK("https://pbs.twimg.com/profile_images/1222779560/cran1_normal.jpg","View")</f>
        <v>View</v>
      </c>
      <c r="P1241" s="15"/>
    </row>
    <row r="1242">
      <c r="A1242" s="7">
        <v>42423.50954861111</v>
      </c>
      <c r="B1242" s="8" t="str">
        <f t="shared" si="137"/>
        <v>@CRANberriesFeed</v>
      </c>
      <c r="C1242" s="10" t="s">
        <v>6282</v>
      </c>
      <c r="D1242" s="10" t="s">
        <v>8549</v>
      </c>
      <c r="E1242" s="11" t="str">
        <f>HYPERLINK("https://twitter.com/CRANberriesFeed/status/702224847628271616","702224847628271616")</f>
        <v>702224847628271616</v>
      </c>
      <c r="F1242" s="12" t="s">
        <v>6284</v>
      </c>
      <c r="G1242" s="13">
        <v>657.0</v>
      </c>
      <c r="H1242" s="13">
        <v>0.0</v>
      </c>
      <c r="I1242" s="13">
        <v>0.0</v>
      </c>
      <c r="J1242" s="13">
        <v>0.0</v>
      </c>
      <c r="K1242" s="12" t="s">
        <v>21</v>
      </c>
      <c r="L1242" s="7">
        <v>40546.353425925925</v>
      </c>
      <c r="M1242" s="14" t="s">
        <v>1158</v>
      </c>
      <c r="N1242" s="16"/>
      <c r="O1242" s="11" t="str">
        <f t="shared" si="138"/>
        <v>View</v>
      </c>
      <c r="P1242" s="15"/>
    </row>
    <row r="1243">
      <c r="A1243" s="7">
        <v>42423.51439814815</v>
      </c>
      <c r="B1243" s="8" t="str">
        <f>HYPERLINK("https://twitter.com/ProfRedOwl","@ProfRedOwl")</f>
        <v>@ProfRedOwl</v>
      </c>
      <c r="C1243" s="10" t="s">
        <v>6939</v>
      </c>
      <c r="D1243" s="10" t="s">
        <v>8434</v>
      </c>
      <c r="E1243" s="11" t="str">
        <f>HYPERLINK("https://twitter.com/ProfRedOwl/status/702226606287355905","702226606287355905")</f>
        <v>702226606287355905</v>
      </c>
      <c r="F1243" s="12" t="s">
        <v>20</v>
      </c>
      <c r="G1243" s="13">
        <v>317.0</v>
      </c>
      <c r="H1243" s="13">
        <v>270.0</v>
      </c>
      <c r="I1243" s="13">
        <v>12.0</v>
      </c>
      <c r="J1243" s="13">
        <v>0.0</v>
      </c>
      <c r="K1243" s="12" t="s">
        <v>21</v>
      </c>
      <c r="L1243" s="7">
        <v>39971.648194444446</v>
      </c>
      <c r="M1243" s="16"/>
      <c r="N1243" s="14" t="s">
        <v>6940</v>
      </c>
      <c r="O1243" s="11" t="str">
        <f>HYPERLINK("https://pbs.twimg.com/profile_images/2936510755/42fe7970ccba08ab320a202d8b0c5ee0_normal.png","View")</f>
        <v>View</v>
      </c>
      <c r="P1243" s="15"/>
    </row>
    <row r="1244">
      <c r="A1244" s="7">
        <v>42423.5159837963</v>
      </c>
      <c r="B1244" s="8" t="str">
        <f>HYPERLINK("https://twitter.com/thosjleeper","@thosjleeper")</f>
        <v>@thosjleeper</v>
      </c>
      <c r="C1244" s="10" t="s">
        <v>6598</v>
      </c>
      <c r="D1244" s="10" t="s">
        <v>8550</v>
      </c>
      <c r="E1244" s="11" t="str">
        <f>HYPERLINK("https://twitter.com/thosjleeper/status/702227181376765957","702227181376765957")</f>
        <v>702227181376765957</v>
      </c>
      <c r="F1244" s="12" t="s">
        <v>446</v>
      </c>
      <c r="G1244" s="13">
        <v>1594.0</v>
      </c>
      <c r="H1244" s="13">
        <v>1304.0</v>
      </c>
      <c r="I1244" s="13">
        <v>5.0</v>
      </c>
      <c r="J1244" s="13">
        <v>7.0</v>
      </c>
      <c r="K1244" s="12" t="s">
        <v>21</v>
      </c>
      <c r="L1244" s="7">
        <v>39689.60460648148</v>
      </c>
      <c r="M1244" s="14" t="s">
        <v>2034</v>
      </c>
      <c r="N1244" s="14" t="s">
        <v>6600</v>
      </c>
      <c r="O1244" s="11" t="str">
        <f>HYPERLINK("https://pbs.twimg.com/profile_images/702599433402322947/Rda4kptZ_normal.jpg","View")</f>
        <v>View</v>
      </c>
      <c r="P1244" s="15"/>
    </row>
    <row r="1245">
      <c r="A1245" s="7">
        <v>42423.51739583333</v>
      </c>
      <c r="B1245" s="8" t="str">
        <f t="shared" ref="B1245:B1246" si="139">HYPERLINK("https://twitter.com/jbryer","@jbryer")</f>
        <v>@jbryer</v>
      </c>
      <c r="C1245" s="10" t="s">
        <v>6401</v>
      </c>
      <c r="D1245" s="10" t="s">
        <v>8551</v>
      </c>
      <c r="E1245" s="11" t="str">
        <f>HYPERLINK("https://twitter.com/jbryer/status/702227692498907137","702227692498907137")</f>
        <v>702227692498907137</v>
      </c>
      <c r="F1245" s="12" t="s">
        <v>1082</v>
      </c>
      <c r="G1245" s="13">
        <v>53.0</v>
      </c>
      <c r="H1245" s="13">
        <v>206.0</v>
      </c>
      <c r="I1245" s="13">
        <v>2.0</v>
      </c>
      <c r="J1245" s="13">
        <v>0.0</v>
      </c>
      <c r="K1245" s="12" t="s">
        <v>21</v>
      </c>
      <c r="L1245" s="7">
        <v>39644.32935185185</v>
      </c>
      <c r="M1245" s="14" t="s">
        <v>6403</v>
      </c>
      <c r="N1245" s="16"/>
      <c r="O1245" s="11" t="str">
        <f t="shared" ref="O1245:O1246" si="140">HYPERLINK("https://pbs.twimg.com/profile_images/413098705378488321/pc7DXom7_normal.jpeg","View")</f>
        <v>View</v>
      </c>
      <c r="P1245" s="15"/>
    </row>
    <row r="1246">
      <c r="A1246" s="7">
        <v>42423.5174537037</v>
      </c>
      <c r="B1246" s="8" t="str">
        <f t="shared" si="139"/>
        <v>@jbryer</v>
      </c>
      <c r="C1246" s="10" t="s">
        <v>6401</v>
      </c>
      <c r="D1246" s="10" t="s">
        <v>8493</v>
      </c>
      <c r="E1246" s="11" t="str">
        <f>HYPERLINK("https://twitter.com/jbryer/status/702227715701788672","702227715701788672")</f>
        <v>702227715701788672</v>
      </c>
      <c r="F1246" s="12" t="s">
        <v>1082</v>
      </c>
      <c r="G1246" s="13">
        <v>53.0</v>
      </c>
      <c r="H1246" s="13">
        <v>206.0</v>
      </c>
      <c r="I1246" s="13">
        <v>5.0</v>
      </c>
      <c r="J1246" s="13">
        <v>0.0</v>
      </c>
      <c r="K1246" s="12" t="s">
        <v>21</v>
      </c>
      <c r="L1246" s="7">
        <v>39644.32935185185</v>
      </c>
      <c r="M1246" s="14" t="s">
        <v>6403</v>
      </c>
      <c r="N1246" s="16"/>
      <c r="O1246" s="11" t="str">
        <f t="shared" si="140"/>
        <v>View</v>
      </c>
      <c r="P1246" s="15"/>
    </row>
    <row r="1247">
      <c r="A1247" s="7">
        <v>42423.5187037037</v>
      </c>
      <c r="B1247" s="8" t="str">
        <f>HYPERLINK("https://twitter.com/mdsumner","@mdsumner")</f>
        <v>@mdsumner</v>
      </c>
      <c r="C1247" s="10" t="s">
        <v>7288</v>
      </c>
      <c r="D1247" s="10" t="s">
        <v>8552</v>
      </c>
      <c r="E1247" s="11" t="str">
        <f>HYPERLINK("https://twitter.com/mdsumner/status/702228167205859328","702228167205859328")</f>
        <v>702228167205859328</v>
      </c>
      <c r="F1247" s="12" t="s">
        <v>2063</v>
      </c>
      <c r="G1247" s="13">
        <v>189.0</v>
      </c>
      <c r="H1247" s="13">
        <v>593.0</v>
      </c>
      <c r="I1247" s="13">
        <v>5.0</v>
      </c>
      <c r="J1247" s="13">
        <v>0.0</v>
      </c>
      <c r="K1247" s="12" t="s">
        <v>21</v>
      </c>
      <c r="L1247" s="7">
        <v>40188.00508101852</v>
      </c>
      <c r="M1247" s="14" t="s">
        <v>7290</v>
      </c>
      <c r="N1247" s="14" t="s">
        <v>7291</v>
      </c>
      <c r="O1247" s="11" t="str">
        <f>HYPERLINK("https://pbs.twimg.com/profile_images/378800000711929469/c6f40d0623b31334f4f55e218c96df23_normal.jpeg","View")</f>
        <v>View</v>
      </c>
      <c r="P1247" s="15"/>
    </row>
    <row r="1248">
      <c r="A1248" s="7">
        <v>42423.52056712963</v>
      </c>
      <c r="B1248" s="8" t="str">
        <f>HYPERLINK("https://twitter.com/CjMrcamiel","@CjMrcamiel")</f>
        <v>@CjMrcamiel</v>
      </c>
      <c r="C1248" s="10" t="s">
        <v>7701</v>
      </c>
      <c r="D1248" s="10" t="s">
        <v>8155</v>
      </c>
      <c r="E1248" s="11" t="str">
        <f>HYPERLINK("https://twitter.com/CjMrcamiel/status/702228841490550784","702228841490550784")</f>
        <v>702228841490550784</v>
      </c>
      <c r="F1248" s="12" t="s">
        <v>52</v>
      </c>
      <c r="G1248" s="13">
        <v>11.0</v>
      </c>
      <c r="H1248" s="13">
        <v>24.0</v>
      </c>
      <c r="I1248" s="13">
        <v>3.0</v>
      </c>
      <c r="J1248" s="13">
        <v>0.0</v>
      </c>
      <c r="K1248" s="12" t="s">
        <v>21</v>
      </c>
      <c r="L1248" s="7">
        <v>41455.6708912037</v>
      </c>
      <c r="M1248" s="16"/>
      <c r="N1248" s="16"/>
      <c r="O1248" s="11" t="str">
        <f>HYPERLINK("https://pbs.twimg.com/profile_images/378800000254021542/887553be439db2d83c346af322b2e8ec_normal.jpeg","View")</f>
        <v>View</v>
      </c>
      <c r="P1248" s="15"/>
    </row>
    <row r="1249">
      <c r="A1249" s="7">
        <v>42423.52802083333</v>
      </c>
      <c r="B1249" s="8" t="str">
        <f>HYPERLINK("https://twitter.com/millerdl","@millerdl")</f>
        <v>@millerdl</v>
      </c>
      <c r="C1249" s="10" t="s">
        <v>8553</v>
      </c>
      <c r="D1249" s="10" t="s">
        <v>8552</v>
      </c>
      <c r="E1249" s="11" t="str">
        <f>HYPERLINK("https://twitter.com/millerdl/status/702231544065343489","702231544065343489")</f>
        <v>702231544065343489</v>
      </c>
      <c r="F1249" s="12" t="s">
        <v>8554</v>
      </c>
      <c r="G1249" s="13">
        <v>647.0</v>
      </c>
      <c r="H1249" s="13">
        <v>348.0</v>
      </c>
      <c r="I1249" s="13">
        <v>5.0</v>
      </c>
      <c r="J1249" s="13">
        <v>0.0</v>
      </c>
      <c r="K1249" s="12" t="s">
        <v>21</v>
      </c>
      <c r="L1249" s="7">
        <v>39517.686377314814</v>
      </c>
      <c r="M1249" s="14" t="s">
        <v>8555</v>
      </c>
      <c r="N1249" s="14" t="s">
        <v>8556</v>
      </c>
      <c r="O1249" s="11" t="str">
        <f>HYPERLINK("https://pbs.twimg.com/profile_images/683731282497552384/a0zG5d-P_normal.jpg","View")</f>
        <v>View</v>
      </c>
      <c r="P1249" s="15"/>
    </row>
    <row r="1250">
      <c r="A1250" s="7">
        <v>42423.528449074074</v>
      </c>
      <c r="B1250" s="8" t="str">
        <f>HYPERLINK("https://twitter.com/bearloga","@bearloga")</f>
        <v>@bearloga</v>
      </c>
      <c r="C1250" s="10" t="s">
        <v>8557</v>
      </c>
      <c r="D1250" s="10" t="s">
        <v>8558</v>
      </c>
      <c r="E1250" s="11" t="str">
        <f>HYPERLINK("https://twitter.com/bearloga/status/702231698730168320","702231698730168320")</f>
        <v>702231698730168320</v>
      </c>
      <c r="F1250" s="12" t="s">
        <v>20</v>
      </c>
      <c r="G1250" s="13">
        <v>310.0</v>
      </c>
      <c r="H1250" s="13">
        <v>143.0</v>
      </c>
      <c r="I1250" s="13">
        <v>1.0</v>
      </c>
      <c r="J1250" s="13">
        <v>7.0</v>
      </c>
      <c r="K1250" s="12" t="s">
        <v>21</v>
      </c>
      <c r="L1250" s="7">
        <v>39931.45989583334</v>
      </c>
      <c r="M1250" s="14" t="s">
        <v>8559</v>
      </c>
      <c r="N1250" s="14" t="s">
        <v>8560</v>
      </c>
      <c r="O1250" s="11" t="str">
        <f>HYPERLINK("https://pbs.twimg.com/profile_images/694390037748645888/pqPROnZB_normal.jpg","View")</f>
        <v>View</v>
      </c>
      <c r="P1250" s="15"/>
    </row>
    <row r="1251">
      <c r="A1251" s="7">
        <v>42423.532546296294</v>
      </c>
      <c r="B1251" s="8" t="str">
        <f>HYPERLINK("https://twitter.com/WebScraperDB","@WebScraperDB")</f>
        <v>@WebScraperDB</v>
      </c>
      <c r="C1251" s="10" t="s">
        <v>2743</v>
      </c>
      <c r="D1251" s="10" t="s">
        <v>8561</v>
      </c>
      <c r="E1251" s="11" t="str">
        <f>HYPERLINK("https://twitter.com/WebScraperDB/status/702233183908139012","702233183908139012")</f>
        <v>702233183908139012</v>
      </c>
      <c r="F1251" s="12" t="s">
        <v>2743</v>
      </c>
      <c r="G1251" s="13">
        <v>298.0</v>
      </c>
      <c r="H1251" s="13">
        <v>927.0</v>
      </c>
      <c r="I1251" s="13">
        <v>0.0</v>
      </c>
      <c r="J1251" s="13">
        <v>1.0</v>
      </c>
      <c r="K1251" s="12" t="s">
        <v>21</v>
      </c>
      <c r="L1251" s="7">
        <v>42410.33493055556</v>
      </c>
      <c r="M1251" s="14" t="s">
        <v>2745</v>
      </c>
      <c r="N1251" s="14" t="s">
        <v>2746</v>
      </c>
      <c r="O1251" s="11" t="str">
        <f>HYPERLINK("https://pbs.twimg.com/profile_images/699545598450606080/s8CU8cVg_normal.png","View")</f>
        <v>View</v>
      </c>
      <c r="P1251" s="15"/>
    </row>
    <row r="1252">
      <c r="A1252" s="7">
        <v>42423.53322916667</v>
      </c>
      <c r="B1252" s="8" t="str">
        <f>HYPERLINK("https://twitter.com/revodavid","@revodavid")</f>
        <v>@revodavid</v>
      </c>
      <c r="C1252" s="10" t="s">
        <v>7648</v>
      </c>
      <c r="D1252" s="10" t="s">
        <v>8552</v>
      </c>
      <c r="E1252" s="11" t="str">
        <f>HYPERLINK("https://twitter.com/revodavid/status/702233430369636352","702233430369636352")</f>
        <v>702233430369636352</v>
      </c>
      <c r="F1252" s="12" t="s">
        <v>446</v>
      </c>
      <c r="G1252" s="13">
        <v>18983.0</v>
      </c>
      <c r="H1252" s="13">
        <v>1103.0</v>
      </c>
      <c r="I1252" s="13">
        <v>5.0</v>
      </c>
      <c r="J1252" s="13">
        <v>0.0</v>
      </c>
      <c r="K1252" s="12" t="s">
        <v>21</v>
      </c>
      <c r="L1252" s="7">
        <v>39926.45226851852</v>
      </c>
      <c r="M1252" s="14" t="s">
        <v>1158</v>
      </c>
      <c r="N1252" s="14" t="s">
        <v>7650</v>
      </c>
      <c r="O1252" s="11" t="str">
        <f>HYPERLINK("https://pbs.twimg.com/profile_images/580043996723974144/_Oyvwa9c_normal.jpg","View")</f>
        <v>View</v>
      </c>
      <c r="P1252" s="15"/>
    </row>
    <row r="1253">
      <c r="A1253" s="7">
        <v>42423.53555555556</v>
      </c>
      <c r="B1253" s="8" t="str">
        <f>HYPERLINK("https://twitter.com/pdalgd","@pdalgd")</f>
        <v>@pdalgd</v>
      </c>
      <c r="C1253" s="10" t="s">
        <v>6306</v>
      </c>
      <c r="D1253" s="10" t="s">
        <v>8562</v>
      </c>
      <c r="E1253" s="11" t="str">
        <f>HYPERLINK("https://twitter.com/pdalgd/status/702234276138508289","702234276138508289")</f>
        <v>702234276138508289</v>
      </c>
      <c r="F1253" s="12" t="s">
        <v>20</v>
      </c>
      <c r="G1253" s="13">
        <v>57.0</v>
      </c>
      <c r="H1253" s="13">
        <v>8.0</v>
      </c>
      <c r="I1253" s="13">
        <v>0.0</v>
      </c>
      <c r="J1253" s="13">
        <v>1.0</v>
      </c>
      <c r="K1253" s="12" t="s">
        <v>21</v>
      </c>
      <c r="L1253" s="7">
        <v>41597.536898148144</v>
      </c>
      <c r="M1253" s="16"/>
      <c r="N1253" s="16"/>
      <c r="O1253" s="11" t="str">
        <f>HYPERLINK("https://pbs.twimg.com/profile_images/697868587130843136/9uZ8n-eM_normal.png","View")</f>
        <v>View</v>
      </c>
      <c r="P1253" s="15"/>
    </row>
    <row r="1254">
      <c r="A1254" s="7">
        <v>42423.536099537036</v>
      </c>
      <c r="B1254" s="8" t="str">
        <f>HYPERLINK("https://twitter.com/hrbrmstr","@hrbrmstr")</f>
        <v>@hrbrmstr</v>
      </c>
      <c r="C1254" s="10" t="s">
        <v>7276</v>
      </c>
      <c r="D1254" s="10" t="s">
        <v>8563</v>
      </c>
      <c r="E1254" s="11" t="str">
        <f>HYPERLINK("https://twitter.com/hrbrmstr/status/702234473325273090","702234473325273090")</f>
        <v>702234473325273090</v>
      </c>
      <c r="F1254" s="12" t="s">
        <v>991</v>
      </c>
      <c r="G1254" s="13">
        <v>6135.0</v>
      </c>
      <c r="H1254" s="13">
        <v>2926.0</v>
      </c>
      <c r="I1254" s="13">
        <v>1.0</v>
      </c>
      <c r="J1254" s="13">
        <v>12.0</v>
      </c>
      <c r="K1254" s="12" t="s">
        <v>21</v>
      </c>
      <c r="L1254" s="7">
        <v>39203.29472222222</v>
      </c>
      <c r="M1254" s="14" t="s">
        <v>7278</v>
      </c>
      <c r="N1254" s="14" t="s">
        <v>7279</v>
      </c>
      <c r="O1254" s="11" t="str">
        <f>HYPERLINK("https://pbs.twimg.com/profile_images/557592259298729985/kpCUQWH1_normal.png","View")</f>
        <v>View</v>
      </c>
      <c r="P1254" s="15"/>
    </row>
    <row r="1255">
      <c r="A1255" s="7">
        <v>42423.5408449074</v>
      </c>
      <c r="B1255" s="8" t="str">
        <f>HYPERLINK("https://twitter.com/JungeAlexander","@JungeAlexander")</f>
        <v>@JungeAlexander</v>
      </c>
      <c r="C1255" s="10" t="s">
        <v>8564</v>
      </c>
      <c r="D1255" s="10" t="s">
        <v>8565</v>
      </c>
      <c r="E1255" s="11" t="str">
        <f>HYPERLINK("https://twitter.com/JungeAlexander/status/702236190569795589","702236190569795589")</f>
        <v>702236190569795589</v>
      </c>
      <c r="F1255" s="12" t="s">
        <v>20</v>
      </c>
      <c r="G1255" s="13">
        <v>317.0</v>
      </c>
      <c r="H1255" s="13">
        <v>411.0</v>
      </c>
      <c r="I1255" s="13">
        <v>0.0</v>
      </c>
      <c r="J1255" s="13">
        <v>0.0</v>
      </c>
      <c r="K1255" s="12" t="s">
        <v>21</v>
      </c>
      <c r="L1255" s="7">
        <v>41028.41069444444</v>
      </c>
      <c r="M1255" s="14" t="s">
        <v>371</v>
      </c>
      <c r="N1255" s="14" t="s">
        <v>8566</v>
      </c>
      <c r="O1255" s="11" t="str">
        <f>HYPERLINK("https://pbs.twimg.com/profile_images/378800000716663656/46271cfb50a243156014c15294d97ac3_normal.jpeg","View")</f>
        <v>View</v>
      </c>
      <c r="P1255" s="15"/>
    </row>
    <row r="1256">
      <c r="A1256" s="7">
        <v>42423.54193287037</v>
      </c>
      <c r="B1256" s="8" t="str">
        <f>HYPERLINK("https://twitter.com/v_vashishta","@v_vashishta")</f>
        <v>@v_vashishta</v>
      </c>
      <c r="C1256" s="10" t="s">
        <v>6609</v>
      </c>
      <c r="D1256" s="10" t="s">
        <v>8567</v>
      </c>
      <c r="E1256" s="11" t="str">
        <f>HYPERLINK("https://twitter.com/v_vashishta/status/702236586335801344","702236586335801344")</f>
        <v>702236586335801344</v>
      </c>
      <c r="F1256" s="12" t="s">
        <v>446</v>
      </c>
      <c r="G1256" s="13">
        <v>19394.0</v>
      </c>
      <c r="H1256" s="13">
        <v>14053.0</v>
      </c>
      <c r="I1256" s="13">
        <v>1.0</v>
      </c>
      <c r="J1256" s="13">
        <v>2.0</v>
      </c>
      <c r="K1256" s="12" t="s">
        <v>21</v>
      </c>
      <c r="L1256" s="7">
        <v>40436.24811342593</v>
      </c>
      <c r="M1256" s="14" t="s">
        <v>6611</v>
      </c>
      <c r="N1256" s="14" t="s">
        <v>6612</v>
      </c>
      <c r="O1256" s="11" t="str">
        <f>HYPERLINK("https://pbs.twimg.com/profile_images/2311675967/yzhiz5niu8t497rap344_normal.jpeg","View")</f>
        <v>View</v>
      </c>
      <c r="P1256" s="15"/>
    </row>
    <row r="1257">
      <c r="A1257" s="7">
        <v>42423.54211805556</v>
      </c>
      <c r="B1257" s="8" t="str">
        <f>HYPERLINK("https://twitter.com/bruce_swihart","@bruce_swihart")</f>
        <v>@bruce_swihart</v>
      </c>
      <c r="C1257" s="10" t="s">
        <v>8568</v>
      </c>
      <c r="D1257" s="10" t="s">
        <v>7289</v>
      </c>
      <c r="E1257" s="11" t="str">
        <f>HYPERLINK("https://twitter.com/bruce_swihart/status/702236652819890176","702236652819890176")</f>
        <v>702236652819890176</v>
      </c>
      <c r="F1257" s="12" t="s">
        <v>52</v>
      </c>
      <c r="G1257" s="13">
        <v>138.0</v>
      </c>
      <c r="H1257" s="13">
        <v>325.0</v>
      </c>
      <c r="I1257" s="13">
        <v>2.0</v>
      </c>
      <c r="J1257" s="13">
        <v>0.0</v>
      </c>
      <c r="K1257" s="12" t="s">
        <v>21</v>
      </c>
      <c r="L1257" s="7">
        <v>42061.76924768518</v>
      </c>
      <c r="M1257" s="16"/>
      <c r="N1257" s="14" t="s">
        <v>8569</v>
      </c>
      <c r="O1257" s="11" t="str">
        <f>HYPERLINK("https://pbs.twimg.com/profile_images/571135675643092992/CGML23Za_normal.jpeg","View")</f>
        <v>View</v>
      </c>
      <c r="P1257" s="15"/>
    </row>
    <row r="1258">
      <c r="A1258" s="7">
        <v>42423.54300925926</v>
      </c>
      <c r="B1258" s="8" t="str">
        <f>HYPERLINK("https://twitter.com/eleafeit","@eleafeit")</f>
        <v>@eleafeit</v>
      </c>
      <c r="C1258" s="10" t="s">
        <v>8570</v>
      </c>
      <c r="D1258" s="10" t="s">
        <v>8571</v>
      </c>
      <c r="E1258" s="11" t="str">
        <f>HYPERLINK("https://twitter.com/eleafeit/status/702236976863428609","702236976863428609")</f>
        <v>702236976863428609</v>
      </c>
      <c r="F1258" s="12" t="s">
        <v>20</v>
      </c>
      <c r="G1258" s="13">
        <v>341.0</v>
      </c>
      <c r="H1258" s="13">
        <v>195.0</v>
      </c>
      <c r="I1258" s="13">
        <v>2.0</v>
      </c>
      <c r="J1258" s="13">
        <v>8.0</v>
      </c>
      <c r="K1258" s="12" t="s">
        <v>21</v>
      </c>
      <c r="L1258" s="7">
        <v>40200.80082175926</v>
      </c>
      <c r="M1258" s="14" t="s">
        <v>8572</v>
      </c>
      <c r="N1258" s="14" t="s">
        <v>8573</v>
      </c>
      <c r="O1258" s="11" t="str">
        <f>HYPERLINK("https://pbs.twimg.com/profile_images/619893009077800960/BrkB-Apy_normal.jpg","View")</f>
        <v>View</v>
      </c>
      <c r="P1258" s="15"/>
    </row>
    <row r="1259">
      <c r="A1259" s="7">
        <v>42423.54798611111</v>
      </c>
      <c r="B1259" s="8" t="str">
        <f>HYPERLINK("https://twitter.com/DataAndDataViz","@DataAndDataViz")</f>
        <v>@DataAndDataViz</v>
      </c>
      <c r="C1259" s="10" t="s">
        <v>5145</v>
      </c>
      <c r="D1259" s="10" t="s">
        <v>8552</v>
      </c>
      <c r="E1259" s="11" t="str">
        <f>HYPERLINK("https://twitter.com/DataAndDataViz/status/702238779726290944","702238779726290944")</f>
        <v>702238779726290944</v>
      </c>
      <c r="F1259" s="12" t="s">
        <v>5146</v>
      </c>
      <c r="G1259" s="13">
        <v>473.0</v>
      </c>
      <c r="H1259" s="13">
        <v>140.0</v>
      </c>
      <c r="I1259" s="13">
        <v>5.0</v>
      </c>
      <c r="J1259" s="13">
        <v>0.0</v>
      </c>
      <c r="K1259" s="12" t="s">
        <v>21</v>
      </c>
      <c r="L1259" s="7">
        <v>41603.30427083334</v>
      </c>
      <c r="M1259" s="16"/>
      <c r="N1259" s="14" t="s">
        <v>5147</v>
      </c>
      <c r="O1259" s="11" t="str">
        <f>HYPERLINK("https://pbs.twimg.com/profile_images/412249095110008832/J_K4--iQ_normal.png","View")</f>
        <v>View</v>
      </c>
      <c r="P1259" s="15"/>
    </row>
    <row r="1260">
      <c r="A1260" s="7">
        <v>42423.54980324074</v>
      </c>
      <c r="B1260" s="8" t="str">
        <f>HYPERLINK("https://twitter.com/Salt_and_Stats","@Salt_and_Stats")</f>
        <v>@Salt_and_Stats</v>
      </c>
      <c r="C1260" s="10" t="s">
        <v>8574</v>
      </c>
      <c r="D1260" s="10" t="s">
        <v>8575</v>
      </c>
      <c r="E1260" s="11" t="str">
        <f>HYPERLINK("https://twitter.com/Salt_and_Stats/status/702239436956835840","702239436956835840")</f>
        <v>702239436956835840</v>
      </c>
      <c r="F1260" s="12" t="s">
        <v>20</v>
      </c>
      <c r="G1260" s="13">
        <v>17.0</v>
      </c>
      <c r="H1260" s="13">
        <v>51.0</v>
      </c>
      <c r="I1260" s="13">
        <v>0.0</v>
      </c>
      <c r="J1260" s="13">
        <v>0.0</v>
      </c>
      <c r="K1260" s="12" t="s">
        <v>21</v>
      </c>
      <c r="L1260" s="7">
        <v>42386.387465277774</v>
      </c>
      <c r="M1260" s="14" t="s">
        <v>8576</v>
      </c>
      <c r="N1260" s="14" t="s">
        <v>8577</v>
      </c>
      <c r="O1260" s="11" t="str">
        <f>HYPERLINK("https://pbs.twimg.com/profile_images/688776623617916928/xynwBUJy_normal.jpg","View")</f>
        <v>View</v>
      </c>
      <c r="P1260" s="15"/>
    </row>
    <row r="1261">
      <c r="A1261" s="7">
        <v>42423.55108796296</v>
      </c>
      <c r="B1261" s="8" t="str">
        <f>HYPERLINK("https://twitter.com/Higgins_Daniell","@Higgins_Daniell")</f>
        <v>@Higgins_Daniell</v>
      </c>
      <c r="C1261" s="10" t="s">
        <v>8578</v>
      </c>
      <c r="D1261" s="10" t="s">
        <v>8579</v>
      </c>
      <c r="E1261" s="11" t="str">
        <f>HYPERLINK("https://twitter.com/Higgins_Daniell/status/702239902117797888","702239902117797888")</f>
        <v>702239902117797888</v>
      </c>
      <c r="F1261" s="12" t="s">
        <v>38</v>
      </c>
      <c r="G1261" s="13">
        <v>1412.0</v>
      </c>
      <c r="H1261" s="13">
        <v>1151.0</v>
      </c>
      <c r="I1261" s="13">
        <v>1.0</v>
      </c>
      <c r="J1261" s="13">
        <v>0.0</v>
      </c>
      <c r="K1261" s="12" t="s">
        <v>21</v>
      </c>
      <c r="L1261" s="7">
        <v>41823.56945601852</v>
      </c>
      <c r="M1261" s="16"/>
      <c r="N1261" s="14" t="s">
        <v>8580</v>
      </c>
      <c r="O1261" s="11" t="str">
        <f>HYPERLINK("https://pbs.twimg.com/profile_images/603687252263206912/8EwUo0wo_normal.jpg","View")</f>
        <v>View</v>
      </c>
      <c r="P1261" s="15"/>
    </row>
    <row r="1262">
      <c r="A1262" s="7">
        <v>42423.552152777775</v>
      </c>
      <c r="B1262" s="8" t="str">
        <f>HYPERLINK("https://twitter.com/skilloak","@skilloak")</f>
        <v>@skilloak</v>
      </c>
      <c r="C1262" s="10" t="s">
        <v>5999</v>
      </c>
      <c r="D1262" s="10" t="s">
        <v>8581</v>
      </c>
      <c r="E1262" s="11" t="str">
        <f>HYPERLINK("https://twitter.com/skilloak/status/702240287582584832","702240287582584832")</f>
        <v>702240287582584832</v>
      </c>
      <c r="F1262" s="12" t="s">
        <v>446</v>
      </c>
      <c r="G1262" s="13">
        <v>2427.0</v>
      </c>
      <c r="H1262" s="13">
        <v>338.0</v>
      </c>
      <c r="I1262" s="13">
        <v>0.0</v>
      </c>
      <c r="J1262" s="13">
        <v>0.0</v>
      </c>
      <c r="K1262" s="12" t="s">
        <v>21</v>
      </c>
      <c r="L1262" s="7">
        <v>41308.39502314815</v>
      </c>
      <c r="M1262" s="16"/>
      <c r="N1262" s="14" t="s">
        <v>6001</v>
      </c>
      <c r="O1262" s="11" t="str">
        <f>HYPERLINK("https://pbs.twimg.com/profile_images/670315479517413376/Kkf5JA8s_normal.png","View")</f>
        <v>View</v>
      </c>
      <c r="P1262" s="15"/>
    </row>
    <row r="1263">
      <c r="A1263" s="7">
        <v>42423.55903935185</v>
      </c>
      <c r="B1263" s="8" t="str">
        <f>HYPERLINK("https://twitter.com/noe_delasancha","@noe_delasancha")</f>
        <v>@noe_delasancha</v>
      </c>
      <c r="C1263" s="10" t="s">
        <v>8582</v>
      </c>
      <c r="D1263" s="10" t="s">
        <v>8583</v>
      </c>
      <c r="E1263" s="11" t="str">
        <f>HYPERLINK("https://twitter.com/noe_delasancha/status/702242785601179648","702242785601179648")</f>
        <v>702242785601179648</v>
      </c>
      <c r="F1263" s="12" t="s">
        <v>52</v>
      </c>
      <c r="G1263" s="13">
        <v>121.0</v>
      </c>
      <c r="H1263" s="13">
        <v>233.0</v>
      </c>
      <c r="I1263" s="13">
        <v>12.0</v>
      </c>
      <c r="J1263" s="13">
        <v>0.0</v>
      </c>
      <c r="K1263" s="12" t="s">
        <v>21</v>
      </c>
      <c r="L1263" s="7">
        <v>42168.75790509259</v>
      </c>
      <c r="M1263" s="16"/>
      <c r="N1263" s="14" t="s">
        <v>8584</v>
      </c>
      <c r="O1263" s="11" t="str">
        <f>HYPERLINK("https://pbs.twimg.com/profile_images/609891890062880769/wkHNkjsp_normal.jpg","View")</f>
        <v>View</v>
      </c>
      <c r="P1263" s="15"/>
    </row>
    <row r="1264">
      <c r="A1264" s="7">
        <v>42423.56050925926</v>
      </c>
      <c r="B1264" s="8" t="str">
        <f>HYPERLINK("https://twitter.com/DataFinest","@DataFinest")</f>
        <v>@DataFinest</v>
      </c>
      <c r="C1264" s="10" t="s">
        <v>6990</v>
      </c>
      <c r="D1264" s="10" t="s">
        <v>8585</v>
      </c>
      <c r="E1264" s="11" t="str">
        <f>HYPERLINK("https://twitter.com/DataFinest/status/702243317120110593","702243317120110593")</f>
        <v>702243317120110593</v>
      </c>
      <c r="F1264" s="12" t="s">
        <v>52</v>
      </c>
      <c r="G1264" s="13">
        <v>74.0</v>
      </c>
      <c r="H1264" s="13">
        <v>172.0</v>
      </c>
      <c r="I1264" s="13">
        <v>1.0</v>
      </c>
      <c r="J1264" s="13">
        <v>0.0</v>
      </c>
      <c r="K1264" s="12" t="s">
        <v>21</v>
      </c>
      <c r="L1264" s="7">
        <v>42347.028761574074</v>
      </c>
      <c r="M1264" s="14" t="s">
        <v>121</v>
      </c>
      <c r="N1264" s="14" t="s">
        <v>6991</v>
      </c>
      <c r="O1264" s="11" t="str">
        <f>HYPERLINK("https://pbs.twimg.com/profile_images/675225906173124609/xPlpeuKw_normal.png","View")</f>
        <v>View</v>
      </c>
      <c r="P1264" s="15"/>
    </row>
    <row r="1265">
      <c r="A1265" s="7">
        <v>42423.56873842592</v>
      </c>
      <c r="B1265" s="8" t="str">
        <f>HYPERLINK("https://twitter.com/Gaming_Dude","@Gaming_Dude")</f>
        <v>@Gaming_Dude</v>
      </c>
      <c r="C1265" s="10" t="s">
        <v>8586</v>
      </c>
      <c r="D1265" s="10" t="s">
        <v>8417</v>
      </c>
      <c r="E1265" s="11" t="str">
        <f>HYPERLINK("https://twitter.com/Gaming_Dude/status/702246299442266116","702246299442266116")</f>
        <v>702246299442266116</v>
      </c>
      <c r="F1265" s="12" t="s">
        <v>1082</v>
      </c>
      <c r="G1265" s="13">
        <v>451.0</v>
      </c>
      <c r="H1265" s="13">
        <v>470.0</v>
      </c>
      <c r="I1265" s="13">
        <v>11.0</v>
      </c>
      <c r="J1265" s="13">
        <v>0.0</v>
      </c>
      <c r="K1265" s="12" t="s">
        <v>21</v>
      </c>
      <c r="L1265" s="7">
        <v>40554.063321759255</v>
      </c>
      <c r="M1265" s="16"/>
      <c r="N1265" s="14" t="s">
        <v>8587</v>
      </c>
      <c r="O1265" s="11" t="str">
        <f>HYPERLINK("https://pbs.twimg.com/profile_images/695667728963735553/Afz2sro2_normal.jpg","View")</f>
        <v>View</v>
      </c>
      <c r="P1265" s="15"/>
    </row>
    <row r="1266">
      <c r="A1266" s="7">
        <v>42423.57891203703</v>
      </c>
      <c r="B1266" s="8" t="str">
        <f>HYPERLINK("https://twitter.com/mtn_ash","@mtn_ash")</f>
        <v>@mtn_ash</v>
      </c>
      <c r="C1266" s="10" t="s">
        <v>8588</v>
      </c>
      <c r="D1266" s="10" t="s">
        <v>8589</v>
      </c>
      <c r="E1266" s="11" t="str">
        <f>HYPERLINK("https://twitter.com/mtn_ash/status/702249984255614976","702249984255614976")</f>
        <v>702249984255614976</v>
      </c>
      <c r="F1266" s="12" t="s">
        <v>20</v>
      </c>
      <c r="G1266" s="13">
        <v>218.0</v>
      </c>
      <c r="H1266" s="13">
        <v>250.0</v>
      </c>
      <c r="I1266" s="13">
        <v>2.0</v>
      </c>
      <c r="J1266" s="13">
        <v>0.0</v>
      </c>
      <c r="K1266" s="12" t="s">
        <v>21</v>
      </c>
      <c r="L1266" s="7">
        <v>39883.25038194445</v>
      </c>
      <c r="M1266" s="14" t="s">
        <v>8590</v>
      </c>
      <c r="N1266" s="14" t="s">
        <v>8591</v>
      </c>
      <c r="O1266" s="11" t="str">
        <f>HYPERLINK("https://pbs.twimg.com/profile_images/683871788288196608/_S0g39DL_normal.jpg","View")</f>
        <v>View</v>
      </c>
      <c r="P1266" s="15"/>
    </row>
    <row r="1267">
      <c r="A1267" s="7">
        <v>42423.58716435185</v>
      </c>
      <c r="B1267" s="8" t="str">
        <f>HYPERLINK("https://twitter.com/noamross","@noamross")</f>
        <v>@noamross</v>
      </c>
      <c r="C1267" s="10" t="s">
        <v>8592</v>
      </c>
      <c r="D1267" s="10" t="s">
        <v>8593</v>
      </c>
      <c r="E1267" s="11" t="str">
        <f>HYPERLINK("https://twitter.com/noamross/status/702252976530919425","702252976530919425")</f>
        <v>702252976530919425</v>
      </c>
      <c r="F1267" s="12" t="s">
        <v>446</v>
      </c>
      <c r="G1267" s="13">
        <v>1838.0</v>
      </c>
      <c r="H1267" s="13">
        <v>1441.0</v>
      </c>
      <c r="I1267" s="13">
        <v>2.0</v>
      </c>
      <c r="J1267" s="13">
        <v>0.0</v>
      </c>
      <c r="K1267" s="12" t="s">
        <v>21</v>
      </c>
      <c r="L1267" s="7">
        <v>40164.79008101852</v>
      </c>
      <c r="M1267" s="14" t="s">
        <v>8594</v>
      </c>
      <c r="N1267" s="14" t="s">
        <v>8595</v>
      </c>
      <c r="O1267" s="11" t="str">
        <f>HYPERLINK("https://pbs.twimg.com/profile_images/557246848625172481/n7rj_Ee4_normal.png","View")</f>
        <v>View</v>
      </c>
      <c r="P1267" s="15"/>
    </row>
    <row r="1268">
      <c r="A1268" s="7">
        <v>42423.58825231482</v>
      </c>
      <c r="B1268" s="8" t="str">
        <f>HYPERLINK("https://twitter.com/TiffanyTimbers","@TiffanyTimbers")</f>
        <v>@TiffanyTimbers</v>
      </c>
      <c r="C1268" s="10" t="s">
        <v>8596</v>
      </c>
      <c r="D1268" s="10" t="s">
        <v>8597</v>
      </c>
      <c r="E1268" s="11" t="str">
        <f>HYPERLINK("https://twitter.com/TiffanyTimbers/status/702253369683943425","702253369683943425")</f>
        <v>702253369683943425</v>
      </c>
      <c r="F1268" s="12" t="s">
        <v>152</v>
      </c>
      <c r="G1268" s="13">
        <v>447.0</v>
      </c>
      <c r="H1268" s="13">
        <v>581.0</v>
      </c>
      <c r="I1268" s="13">
        <v>1.0</v>
      </c>
      <c r="J1268" s="13">
        <v>0.0</v>
      </c>
      <c r="K1268" s="12" t="s">
        <v>21</v>
      </c>
      <c r="L1268" s="7">
        <v>41744.80986111111</v>
      </c>
      <c r="M1268" s="14" t="s">
        <v>1855</v>
      </c>
      <c r="N1268" s="14" t="s">
        <v>8598</v>
      </c>
      <c r="O1268" s="11" t="str">
        <f>HYPERLINK("https://pbs.twimg.com/profile_images/555037927210614786/h0Xxb-Vr_normal.jpeg","View")</f>
        <v>View</v>
      </c>
      <c r="P1268" s="15"/>
    </row>
    <row r="1269">
      <c r="A1269" s="7">
        <v>42423.58925925926</v>
      </c>
      <c r="B1269" s="8" t="str">
        <f>HYPERLINK("https://twitter.com/sidquan","@sidquan")</f>
        <v>@sidquan</v>
      </c>
      <c r="C1269" s="10" t="s">
        <v>8599</v>
      </c>
      <c r="D1269" s="10" t="s">
        <v>8600</v>
      </c>
      <c r="E1269" s="11" t="str">
        <f>HYPERLINK("https://twitter.com/sidquan/status/702253733837582336","702253733837582336")</f>
        <v>702253733837582336</v>
      </c>
      <c r="F1269" s="12" t="s">
        <v>20</v>
      </c>
      <c r="G1269" s="13">
        <v>137.0</v>
      </c>
      <c r="H1269" s="13">
        <v>287.0</v>
      </c>
      <c r="I1269" s="13">
        <v>1.0</v>
      </c>
      <c r="J1269" s="13">
        <v>3.0</v>
      </c>
      <c r="K1269" s="12" t="s">
        <v>21</v>
      </c>
      <c r="L1269" s="7">
        <v>40808.426620370374</v>
      </c>
      <c r="M1269" s="14" t="s">
        <v>91</v>
      </c>
      <c r="N1269" s="14" t="s">
        <v>8601</v>
      </c>
      <c r="O1269" s="11" t="str">
        <f>HYPERLINK("https://pbs.twimg.com/profile_images/1554910841/tux_and_chicken_normal.jpg","View")</f>
        <v>View</v>
      </c>
      <c r="P1269" s="15"/>
    </row>
    <row r="1270">
      <c r="A1270" s="7">
        <v>42423.59166666667</v>
      </c>
      <c r="B1270" s="8" t="str">
        <f>HYPERLINK("https://twitter.com/wabarree","@wabarree")</f>
        <v>@wabarree</v>
      </c>
      <c r="C1270" s="10" t="s">
        <v>8602</v>
      </c>
      <c r="D1270" s="10" t="s">
        <v>8603</v>
      </c>
      <c r="E1270" s="11" t="str">
        <f>HYPERLINK("https://twitter.com/wabarree/status/702254606106099712","702254606106099712")</f>
        <v>702254606106099712</v>
      </c>
      <c r="F1270" s="12" t="s">
        <v>446</v>
      </c>
      <c r="G1270" s="13">
        <v>357.0</v>
      </c>
      <c r="H1270" s="13">
        <v>369.0</v>
      </c>
      <c r="I1270" s="13">
        <v>0.0</v>
      </c>
      <c r="J1270" s="13">
        <v>0.0</v>
      </c>
      <c r="K1270" s="12" t="s">
        <v>21</v>
      </c>
      <c r="L1270" s="7">
        <v>40609.708125</v>
      </c>
      <c r="M1270" s="14" t="s">
        <v>784</v>
      </c>
      <c r="N1270" s="14" t="s">
        <v>8604</v>
      </c>
      <c r="O1270" s="11" t="str">
        <f>HYPERLINK("https://pbs.twimg.com/profile_images/3724489199/887c2d7f33bf14fc44e3ff5ba4b5bdcd_normal.jpeg","View")</f>
        <v>View</v>
      </c>
      <c r="P1270" s="15"/>
    </row>
    <row r="1271">
      <c r="A1271" s="7">
        <v>42423.592777777776</v>
      </c>
      <c r="B1271" s="8" t="str">
        <f t="shared" ref="B1271:B1274" si="141">HYPERLINK("https://twitter.com/CRANberriesFeed","@CRANberriesFeed")</f>
        <v>@CRANberriesFeed</v>
      </c>
      <c r="C1271" s="10" t="s">
        <v>6282</v>
      </c>
      <c r="D1271" s="10" t="s">
        <v>8605</v>
      </c>
      <c r="E1271" s="11" t="str">
        <f>HYPERLINK("https://twitter.com/CRANberriesFeed/status/702255010382483456","702255010382483456")</f>
        <v>702255010382483456</v>
      </c>
      <c r="F1271" s="12" t="s">
        <v>6284</v>
      </c>
      <c r="G1271" s="13">
        <v>657.0</v>
      </c>
      <c r="H1271" s="13">
        <v>0.0</v>
      </c>
      <c r="I1271" s="13">
        <v>0.0</v>
      </c>
      <c r="J1271" s="13">
        <v>1.0</v>
      </c>
      <c r="K1271" s="12" t="s">
        <v>21</v>
      </c>
      <c r="L1271" s="7">
        <v>40546.353425925925</v>
      </c>
      <c r="M1271" s="14" t="s">
        <v>1158</v>
      </c>
      <c r="N1271" s="16"/>
      <c r="O1271" s="11" t="str">
        <f t="shared" ref="O1271:O1274" si="142">HYPERLINK("https://pbs.twimg.com/profile_images/1222779560/cran1_normal.jpg","View")</f>
        <v>View</v>
      </c>
      <c r="P1271" s="15"/>
    </row>
    <row r="1272">
      <c r="A1272" s="7">
        <v>42423.592928240745</v>
      </c>
      <c r="B1272" s="8" t="str">
        <f t="shared" si="141"/>
        <v>@CRANberriesFeed</v>
      </c>
      <c r="C1272" s="10" t="s">
        <v>6282</v>
      </c>
      <c r="D1272" s="10" t="s">
        <v>8606</v>
      </c>
      <c r="E1272" s="11" t="str">
        <f>HYPERLINK("https://twitter.com/CRANberriesFeed/status/702255066078650368","702255066078650368")</f>
        <v>702255066078650368</v>
      </c>
      <c r="F1272" s="12" t="s">
        <v>6284</v>
      </c>
      <c r="G1272" s="13">
        <v>657.0</v>
      </c>
      <c r="H1272" s="13">
        <v>0.0</v>
      </c>
      <c r="I1272" s="13">
        <v>0.0</v>
      </c>
      <c r="J1272" s="13">
        <v>0.0</v>
      </c>
      <c r="K1272" s="12" t="s">
        <v>21</v>
      </c>
      <c r="L1272" s="7">
        <v>40546.353425925925</v>
      </c>
      <c r="M1272" s="14" t="s">
        <v>1158</v>
      </c>
      <c r="N1272" s="16"/>
      <c r="O1272" s="11" t="str">
        <f t="shared" si="142"/>
        <v>View</v>
      </c>
      <c r="P1272" s="15"/>
    </row>
    <row r="1273">
      <c r="A1273" s="7">
        <v>42423.59300925926</v>
      </c>
      <c r="B1273" s="8" t="str">
        <f t="shared" si="141"/>
        <v>@CRANberriesFeed</v>
      </c>
      <c r="C1273" s="10" t="s">
        <v>6282</v>
      </c>
      <c r="D1273" s="10" t="s">
        <v>8607</v>
      </c>
      <c r="E1273" s="11" t="str">
        <f>HYPERLINK("https://twitter.com/CRANberriesFeed/status/702255095690485761","702255095690485761")</f>
        <v>702255095690485761</v>
      </c>
      <c r="F1273" s="12" t="s">
        <v>6284</v>
      </c>
      <c r="G1273" s="13">
        <v>657.0</v>
      </c>
      <c r="H1273" s="13">
        <v>0.0</v>
      </c>
      <c r="I1273" s="13">
        <v>0.0</v>
      </c>
      <c r="J1273" s="13">
        <v>0.0</v>
      </c>
      <c r="K1273" s="12" t="s">
        <v>21</v>
      </c>
      <c r="L1273" s="7">
        <v>40546.353425925925</v>
      </c>
      <c r="M1273" s="14" t="s">
        <v>1158</v>
      </c>
      <c r="N1273" s="16"/>
      <c r="O1273" s="11" t="str">
        <f t="shared" si="142"/>
        <v>View</v>
      </c>
      <c r="P1273" s="15"/>
    </row>
    <row r="1274">
      <c r="A1274" s="7">
        <v>42423.59305555555</v>
      </c>
      <c r="B1274" s="8" t="str">
        <f t="shared" si="141"/>
        <v>@CRANberriesFeed</v>
      </c>
      <c r="C1274" s="10" t="s">
        <v>6282</v>
      </c>
      <c r="D1274" s="10" t="s">
        <v>8608</v>
      </c>
      <c r="E1274" s="11" t="str">
        <f>HYPERLINK("https://twitter.com/CRANberriesFeed/status/702255112023121922","702255112023121922")</f>
        <v>702255112023121922</v>
      </c>
      <c r="F1274" s="12" t="s">
        <v>6284</v>
      </c>
      <c r="G1274" s="13">
        <v>657.0</v>
      </c>
      <c r="H1274" s="13">
        <v>0.0</v>
      </c>
      <c r="I1274" s="13">
        <v>0.0</v>
      </c>
      <c r="J1274" s="13">
        <v>0.0</v>
      </c>
      <c r="K1274" s="12" t="s">
        <v>21</v>
      </c>
      <c r="L1274" s="7">
        <v>40546.353425925925</v>
      </c>
      <c r="M1274" s="14" t="s">
        <v>1158</v>
      </c>
      <c r="N1274" s="16"/>
      <c r="O1274" s="11" t="str">
        <f t="shared" si="142"/>
        <v>View</v>
      </c>
      <c r="P1274" s="15"/>
    </row>
    <row r="1275">
      <c r="A1275" s="7">
        <v>42423.59385416667</v>
      </c>
      <c r="B1275" s="8" t="str">
        <f>HYPERLINK("https://twitter.com/skilloak","@skilloak")</f>
        <v>@skilloak</v>
      </c>
      <c r="C1275" s="10" t="s">
        <v>5999</v>
      </c>
      <c r="D1275" s="10" t="s">
        <v>8609</v>
      </c>
      <c r="E1275" s="11" t="str">
        <f>HYPERLINK("https://twitter.com/skilloak/status/702255399076909056","702255399076909056")</f>
        <v>702255399076909056</v>
      </c>
      <c r="F1275" s="12" t="s">
        <v>446</v>
      </c>
      <c r="G1275" s="13">
        <v>2427.0</v>
      </c>
      <c r="H1275" s="13">
        <v>338.0</v>
      </c>
      <c r="I1275" s="13">
        <v>0.0</v>
      </c>
      <c r="J1275" s="13">
        <v>0.0</v>
      </c>
      <c r="K1275" s="12" t="s">
        <v>21</v>
      </c>
      <c r="L1275" s="7">
        <v>41308.39502314815</v>
      </c>
      <c r="M1275" s="16"/>
      <c r="N1275" s="14" t="s">
        <v>6001</v>
      </c>
      <c r="O1275" s="11" t="str">
        <f>HYPERLINK("https://pbs.twimg.com/profile_images/670315479517413376/Kkf5JA8s_normal.png","View")</f>
        <v>View</v>
      </c>
      <c r="P1275" s="15"/>
    </row>
    <row r="1276">
      <c r="A1276" s="7">
        <v>42423.59521990741</v>
      </c>
      <c r="B1276" s="8" t="str">
        <f>HYPERLINK("https://twitter.com/dataandme","@dataandme")</f>
        <v>@dataandme</v>
      </c>
      <c r="C1276" s="10" t="s">
        <v>6648</v>
      </c>
      <c r="D1276" s="10" t="s">
        <v>8610</v>
      </c>
      <c r="E1276" s="11" t="str">
        <f>HYPERLINK("https://twitter.com/dataandme/status/702255897033252864","702255897033252864")</f>
        <v>702255897033252864</v>
      </c>
      <c r="F1276" s="12" t="s">
        <v>294</v>
      </c>
      <c r="G1276" s="13">
        <v>2501.0</v>
      </c>
      <c r="H1276" s="13">
        <v>1940.0</v>
      </c>
      <c r="I1276" s="13">
        <v>3.0</v>
      </c>
      <c r="J1276" s="13">
        <v>13.0</v>
      </c>
      <c r="K1276" s="12" t="s">
        <v>21</v>
      </c>
      <c r="L1276" s="7">
        <v>42127.19739583333</v>
      </c>
      <c r="M1276" s="14" t="s">
        <v>332</v>
      </c>
      <c r="N1276" s="14" t="s">
        <v>6650</v>
      </c>
      <c r="O1276" s="11" t="str">
        <f>HYPERLINK("https://pbs.twimg.com/profile_images/598126722920361984/HdS1NWXJ_normal.png","View")</f>
        <v>View</v>
      </c>
      <c r="P1276" s="15"/>
    </row>
    <row r="1277">
      <c r="A1277" s="7">
        <v>42423.59635416667</v>
      </c>
      <c r="B1277" s="8" t="str">
        <f>HYPERLINK("https://twitter.com/naynerz","@naynerz")</f>
        <v>@naynerz</v>
      </c>
      <c r="C1277" s="10" t="s">
        <v>8611</v>
      </c>
      <c r="D1277" s="10" t="s">
        <v>8612</v>
      </c>
      <c r="E1277" s="11" t="str">
        <f>HYPERLINK("https://twitter.com/naynerz/status/702256307483443200","702256307483443200")</f>
        <v>702256307483443200</v>
      </c>
      <c r="F1277" s="12" t="s">
        <v>20</v>
      </c>
      <c r="G1277" s="13">
        <v>1024.0</v>
      </c>
      <c r="H1277" s="13">
        <v>480.0</v>
      </c>
      <c r="I1277" s="13">
        <v>3.0</v>
      </c>
      <c r="J1277" s="13">
        <v>0.0</v>
      </c>
      <c r="K1277" s="12" t="s">
        <v>21</v>
      </c>
      <c r="L1277" s="7">
        <v>39533.00471064815</v>
      </c>
      <c r="M1277" s="14" t="s">
        <v>8613</v>
      </c>
      <c r="N1277" s="14" t="s">
        <v>8614</v>
      </c>
      <c r="O1277" s="11" t="str">
        <f>HYPERLINK("https://pbs.twimg.com/profile_images/696052442555781121/9-1ROpdl_normal.jpg","View")</f>
        <v>View</v>
      </c>
      <c r="P1277" s="15"/>
    </row>
    <row r="1278">
      <c r="A1278" s="7">
        <v>42423.60114583334</v>
      </c>
      <c r="B1278" s="8" t="str">
        <f>HYPERLINK("https://twitter.com/timelyportfolio","@timelyportfolio")</f>
        <v>@timelyportfolio</v>
      </c>
      <c r="C1278" s="10" t="s">
        <v>3698</v>
      </c>
      <c r="D1278" s="10" t="s">
        <v>8615</v>
      </c>
      <c r="E1278" s="11" t="str">
        <f>HYPERLINK("https://twitter.com/timelyportfolio/status/702258045154254848","702258045154254848")</f>
        <v>702258045154254848</v>
      </c>
      <c r="F1278" s="12" t="s">
        <v>20</v>
      </c>
      <c r="G1278" s="13">
        <v>1875.0</v>
      </c>
      <c r="H1278" s="13">
        <v>2248.0</v>
      </c>
      <c r="I1278" s="13">
        <v>1.0</v>
      </c>
      <c r="J1278" s="13">
        <v>0.0</v>
      </c>
      <c r="K1278" s="12" t="s">
        <v>21</v>
      </c>
      <c r="L1278" s="7">
        <v>40573.86280092593</v>
      </c>
      <c r="M1278" s="14" t="s">
        <v>3700</v>
      </c>
      <c r="N1278" s="14" t="s">
        <v>3701</v>
      </c>
      <c r="O1278" s="11" t="str">
        <f>HYPERLINK("https://pbs.twimg.com/profile_images/2198946077/image_normal.jpg","View")</f>
        <v>View</v>
      </c>
      <c r="P1278" s="15"/>
    </row>
    <row r="1279">
      <c r="A1279" s="7">
        <v>42423.60115740741</v>
      </c>
      <c r="B1279" s="8" t="str">
        <f>HYPERLINK("https://twitter.com/rob_choudhury","@rob_choudhury")</f>
        <v>@rob_choudhury</v>
      </c>
      <c r="C1279" s="10" t="s">
        <v>8616</v>
      </c>
      <c r="D1279" s="10" t="s">
        <v>8593</v>
      </c>
      <c r="E1279" s="11" t="str">
        <f>HYPERLINK("https://twitter.com/rob_choudhury/status/702258047897325568","702258047897325568")</f>
        <v>702258047897325568</v>
      </c>
      <c r="F1279" s="12" t="s">
        <v>20</v>
      </c>
      <c r="G1279" s="13">
        <v>276.0</v>
      </c>
      <c r="H1279" s="13">
        <v>522.0</v>
      </c>
      <c r="I1279" s="13">
        <v>2.0</v>
      </c>
      <c r="J1279" s="13">
        <v>0.0</v>
      </c>
      <c r="K1279" s="12" t="s">
        <v>21</v>
      </c>
      <c r="L1279" s="7">
        <v>41625.850625</v>
      </c>
      <c r="M1279" s="16"/>
      <c r="N1279" s="14" t="s">
        <v>8617</v>
      </c>
      <c r="O1279" s="11" t="str">
        <f>HYPERLINK("https://pbs.twimg.com/profile_images/564943566011502592/aYh8DTdF_normal.jpeg","View")</f>
        <v>View</v>
      </c>
      <c r="P1279" s="15"/>
    </row>
    <row r="1280">
      <c r="A1280" s="7">
        <v>42423.60165509259</v>
      </c>
      <c r="B1280" s="8" t="str">
        <f>HYPERLINK("https://twitter.com/DoubleDensity","@DoubleDensity")</f>
        <v>@DoubleDensity</v>
      </c>
      <c r="C1280" s="10" t="s">
        <v>8618</v>
      </c>
      <c r="D1280" s="10" t="s">
        <v>8619</v>
      </c>
      <c r="E1280" s="11" t="str">
        <f>HYPERLINK("https://twitter.com/DoubleDensity/status/702258226226663425","702258226226663425")</f>
        <v>702258226226663425</v>
      </c>
      <c r="F1280" s="12" t="s">
        <v>20</v>
      </c>
      <c r="G1280" s="13">
        <v>487.0</v>
      </c>
      <c r="H1280" s="13">
        <v>2909.0</v>
      </c>
      <c r="I1280" s="13">
        <v>1.0</v>
      </c>
      <c r="J1280" s="13">
        <v>0.0</v>
      </c>
      <c r="K1280" s="12" t="s">
        <v>21</v>
      </c>
      <c r="L1280" s="7">
        <v>41285.61023148148</v>
      </c>
      <c r="M1280" s="14" t="s">
        <v>8620</v>
      </c>
      <c r="N1280" s="14" t="s">
        <v>8621</v>
      </c>
      <c r="O1280" s="11" t="str">
        <f>HYPERLINK("https://pbs.twimg.com/profile_images/539543849756925954/acMMGQ14_normal.png","View")</f>
        <v>View</v>
      </c>
      <c r="P1280" s="15"/>
    </row>
    <row r="1281">
      <c r="A1281" s="7">
        <v>42423.60876157407</v>
      </c>
      <c r="B1281" s="8" t="str">
        <f>HYPERLINK("https://twitter.com/pmuruaandrade","@pmuruaandrade")</f>
        <v>@pmuruaandrade</v>
      </c>
      <c r="C1281" s="10" t="s">
        <v>8622</v>
      </c>
      <c r="D1281" s="10" t="s">
        <v>7116</v>
      </c>
      <c r="E1281" s="11" t="str">
        <f>HYPERLINK("https://twitter.com/pmuruaandrade/status/702260804830232578","702260804830232578")</f>
        <v>702260804830232578</v>
      </c>
      <c r="F1281" s="12" t="s">
        <v>52</v>
      </c>
      <c r="G1281" s="13">
        <v>105.0</v>
      </c>
      <c r="H1281" s="13">
        <v>364.0</v>
      </c>
      <c r="I1281" s="13">
        <v>16.0</v>
      </c>
      <c r="J1281" s="13">
        <v>0.0</v>
      </c>
      <c r="K1281" s="12" t="s">
        <v>21</v>
      </c>
      <c r="L1281" s="7">
        <v>40600.346712962964</v>
      </c>
      <c r="M1281" s="14" t="s">
        <v>8623</v>
      </c>
      <c r="N1281" s="14" t="s">
        <v>8624</v>
      </c>
      <c r="O1281" s="11" t="str">
        <f>HYPERLINK("https://pbs.twimg.com/profile_images/617306322212683776/jxPNc_2X_normal.jpg","View")</f>
        <v>View</v>
      </c>
      <c r="P1281" s="15"/>
    </row>
    <row r="1282">
      <c r="A1282" s="7">
        <v>42423.61047453704</v>
      </c>
      <c r="B1282" s="8" t="str">
        <f>HYPERLINK("https://twitter.com/datennutzen","@datennutzen")</f>
        <v>@datennutzen</v>
      </c>
      <c r="C1282" s="10" t="s">
        <v>8625</v>
      </c>
      <c r="D1282" s="10" t="s">
        <v>8626</v>
      </c>
      <c r="E1282" s="11" t="str">
        <f>HYPERLINK("https://twitter.com/datennutzen/status/702261424110837760","702261424110837760")</f>
        <v>702261424110837760</v>
      </c>
      <c r="F1282" s="12" t="s">
        <v>20</v>
      </c>
      <c r="G1282" s="13">
        <v>171.0</v>
      </c>
      <c r="H1282" s="13">
        <v>301.0</v>
      </c>
      <c r="I1282" s="13">
        <v>0.0</v>
      </c>
      <c r="J1282" s="13">
        <v>0.0</v>
      </c>
      <c r="K1282" s="12" t="s">
        <v>21</v>
      </c>
      <c r="L1282" s="7">
        <v>40918.36751157408</v>
      </c>
      <c r="M1282" s="16"/>
      <c r="N1282" s="14" t="s">
        <v>8627</v>
      </c>
      <c r="O1282" s="11" t="str">
        <f>HYPERLINK("https://pbs.twimg.com/profile_images/1746090001/Logo_bullet_normal.jpg","View")</f>
        <v>View</v>
      </c>
      <c r="P1282" s="15"/>
    </row>
    <row r="1283">
      <c r="A1283" s="7">
        <v>42423.612812499996</v>
      </c>
      <c r="B1283" s="8" t="str">
        <f>HYPERLINK("https://twitter.com/LovedeepSG","@LovedeepSG")</f>
        <v>@LovedeepSG</v>
      </c>
      <c r="C1283" s="10" t="s">
        <v>6501</v>
      </c>
      <c r="D1283" s="10" t="s">
        <v>8411</v>
      </c>
      <c r="E1283" s="11" t="str">
        <f>HYPERLINK("https://twitter.com/LovedeepSG/status/702262270097666048","702262270097666048")</f>
        <v>702262270097666048</v>
      </c>
      <c r="F1283" s="12" t="s">
        <v>152</v>
      </c>
      <c r="G1283" s="13">
        <v>46.0</v>
      </c>
      <c r="H1283" s="13">
        <v>85.0</v>
      </c>
      <c r="I1283" s="13">
        <v>18.0</v>
      </c>
      <c r="J1283" s="13">
        <v>0.0</v>
      </c>
      <c r="K1283" s="12" t="s">
        <v>21</v>
      </c>
      <c r="L1283" s="7">
        <v>41453.381203703706</v>
      </c>
      <c r="M1283" s="14" t="s">
        <v>4138</v>
      </c>
      <c r="N1283" s="14" t="s">
        <v>6502</v>
      </c>
      <c r="O1283" s="11" t="str">
        <f>HYPERLINK("https://pbs.twimg.com/profile_images/378800000059126288/17d4fa184bbd13c1e64465a3cc234efc_normal.jpeg","View")</f>
        <v>View</v>
      </c>
      <c r="P1283" s="15"/>
    </row>
    <row r="1284">
      <c r="A1284" s="7">
        <v>42423.61943287037</v>
      </c>
      <c r="B1284" s="8" t="str">
        <f>HYPERLINK("https://twitter.com/DataToValue","@DataToValue")</f>
        <v>@DataToValue</v>
      </c>
      <c r="C1284" s="10" t="s">
        <v>5522</v>
      </c>
      <c r="D1284" s="10" t="s">
        <v>8612</v>
      </c>
      <c r="E1284" s="11" t="str">
        <f>HYPERLINK("https://twitter.com/DataToValue/status/702264671097724928","702264671097724928")</f>
        <v>702264671097724928</v>
      </c>
      <c r="F1284" s="12" t="s">
        <v>38</v>
      </c>
      <c r="G1284" s="13">
        <v>439.0</v>
      </c>
      <c r="H1284" s="13">
        <v>364.0</v>
      </c>
      <c r="I1284" s="13">
        <v>3.0</v>
      </c>
      <c r="J1284" s="13">
        <v>0.0</v>
      </c>
      <c r="K1284" s="12" t="s">
        <v>21</v>
      </c>
      <c r="L1284" s="7">
        <v>41388.221979166665</v>
      </c>
      <c r="M1284" s="14" t="s">
        <v>1093</v>
      </c>
      <c r="N1284" s="14" t="s">
        <v>5523</v>
      </c>
      <c r="O1284" s="11" t="str">
        <f>HYPERLINK("https://pbs.twimg.com/profile_images/562555701734547456/mIBOZbQA_normal.jpeg","View")</f>
        <v>View</v>
      </c>
      <c r="P1284" s="15"/>
    </row>
    <row r="1285">
      <c r="A1285" s="7">
        <v>42423.621620370366</v>
      </c>
      <c r="B1285" s="8" t="str">
        <f>HYPERLINK("https://twitter.com/Rbloggers","@Rbloggers")</f>
        <v>@Rbloggers</v>
      </c>
      <c r="C1285" s="10" t="s">
        <v>6221</v>
      </c>
      <c r="D1285" s="10" t="s">
        <v>8628</v>
      </c>
      <c r="E1285" s="11" t="str">
        <f>HYPERLINK("https://twitter.com/Rbloggers/status/702265464802529281","702265464802529281")</f>
        <v>702265464802529281</v>
      </c>
      <c r="F1285" s="17" t="s">
        <v>6223</v>
      </c>
      <c r="G1285" s="13">
        <v>28572.0</v>
      </c>
      <c r="H1285" s="13">
        <v>36.0</v>
      </c>
      <c r="I1285" s="13">
        <v>6.0</v>
      </c>
      <c r="J1285" s="13">
        <v>13.0</v>
      </c>
      <c r="K1285" s="12" t="s">
        <v>21</v>
      </c>
      <c r="L1285" s="7">
        <v>40314.510601851856</v>
      </c>
      <c r="M1285" s="16"/>
      <c r="N1285" s="14" t="s">
        <v>6224</v>
      </c>
      <c r="O1285" s="11" t="str">
        <f>HYPERLINK("https://pbs.twimg.com/profile_images/502185985786916864/gkdFh-q7_normal.png","View")</f>
        <v>View</v>
      </c>
      <c r="P1285" s="15"/>
    </row>
    <row r="1286">
      <c r="A1286" s="7">
        <v>42423.6233912037</v>
      </c>
      <c r="B1286" s="8" t="str">
        <f>HYPERLINK("https://twitter.com/mariacdangelo","@mariacdangelo")</f>
        <v>@mariacdangelo</v>
      </c>
      <c r="C1286" s="10" t="s">
        <v>7850</v>
      </c>
      <c r="D1286" s="10" t="s">
        <v>8629</v>
      </c>
      <c r="E1286" s="11" t="str">
        <f>HYPERLINK("https://twitter.com/mariacdangelo/status/702266103720976385","702266103720976385")</f>
        <v>702266103720976385</v>
      </c>
      <c r="F1286" s="12" t="s">
        <v>52</v>
      </c>
      <c r="G1286" s="13">
        <v>3.0</v>
      </c>
      <c r="H1286" s="13">
        <v>24.0</v>
      </c>
      <c r="I1286" s="13">
        <v>6.0</v>
      </c>
      <c r="J1286" s="13">
        <v>0.0</v>
      </c>
      <c r="K1286" s="12" t="s">
        <v>21</v>
      </c>
      <c r="L1286" s="7">
        <v>42403.75297453704</v>
      </c>
      <c r="M1286" s="14" t="s">
        <v>3278</v>
      </c>
      <c r="N1286" s="14" t="s">
        <v>7851</v>
      </c>
      <c r="O1286" s="11" t="str">
        <f>HYPERLINK("https://pbs.twimg.com/profile_images/697575915430268928/XyVBRxw4_normal.jpg","View")</f>
        <v>View</v>
      </c>
      <c r="P1286" s="15"/>
    </row>
    <row r="1287">
      <c r="A1287" s="7">
        <v>42423.62409722222</v>
      </c>
      <c r="B1287" s="8" t="str">
        <f>HYPERLINK("https://twitter.com/mathiaspicker","@mathiaspicker")</f>
        <v>@mathiaspicker</v>
      </c>
      <c r="C1287" s="10" t="s">
        <v>6742</v>
      </c>
      <c r="D1287" s="10" t="s">
        <v>8629</v>
      </c>
      <c r="E1287" s="11" t="str">
        <f>HYPERLINK("https://twitter.com/mathiaspicker/status/702266361985236992","702266361985236992")</f>
        <v>702266361985236992</v>
      </c>
      <c r="F1287" s="12" t="s">
        <v>152</v>
      </c>
      <c r="G1287" s="13">
        <v>334.0</v>
      </c>
      <c r="H1287" s="13">
        <v>1251.0</v>
      </c>
      <c r="I1287" s="13">
        <v>6.0</v>
      </c>
      <c r="J1287" s="13">
        <v>0.0</v>
      </c>
      <c r="K1287" s="12" t="s">
        <v>21</v>
      </c>
      <c r="L1287" s="7">
        <v>39905.57471064815</v>
      </c>
      <c r="M1287" s="14" t="s">
        <v>6743</v>
      </c>
      <c r="N1287" s="14" t="s">
        <v>6744</v>
      </c>
      <c r="O1287" s="11" t="str">
        <f>HYPERLINK("https://pbs.twimg.com/profile_images/121126854/OpenID_normal.jpg","View")</f>
        <v>View</v>
      </c>
      <c r="P1287" s="15"/>
    </row>
    <row r="1288">
      <c r="A1288" s="7">
        <v>42423.624444444446</v>
      </c>
      <c r="B1288" s="8" t="str">
        <f>HYPERLINK("https://twitter.com/henrikbengtsson","@henrikbengtsson")</f>
        <v>@henrikbengtsson</v>
      </c>
      <c r="C1288" s="10" t="s">
        <v>6506</v>
      </c>
      <c r="D1288" s="10" t="s">
        <v>8630</v>
      </c>
      <c r="E1288" s="11" t="str">
        <f>HYPERLINK("https://twitter.com/henrikbengtsson/status/702266485301850112","702266485301850112")</f>
        <v>702266485301850112</v>
      </c>
      <c r="F1288" s="12" t="s">
        <v>152</v>
      </c>
      <c r="G1288" s="13">
        <v>124.0</v>
      </c>
      <c r="H1288" s="13">
        <v>97.0</v>
      </c>
      <c r="I1288" s="13">
        <v>0.0</v>
      </c>
      <c r="J1288" s="13">
        <v>1.0</v>
      </c>
      <c r="K1288" s="12" t="s">
        <v>21</v>
      </c>
      <c r="L1288" s="7">
        <v>39976.71613425926</v>
      </c>
      <c r="M1288" s="14" t="s">
        <v>6406</v>
      </c>
      <c r="N1288" s="14" t="s">
        <v>6508</v>
      </c>
      <c r="O1288" s="11" t="str">
        <f>HYPERLINK("https://pbs.twimg.com/profile_images/614632550988775424/rQn_pk5X_normal.jpg","View")</f>
        <v>View</v>
      </c>
      <c r="P1288" s="15"/>
    </row>
    <row r="1289">
      <c r="A1289" s="7">
        <v>42423.6246875</v>
      </c>
      <c r="B1289" s="8" t="str">
        <f>HYPERLINK("https://twitter.com/renato_umeton","@renato_umeton")</f>
        <v>@renato_umeton</v>
      </c>
      <c r="C1289" s="10" t="s">
        <v>1659</v>
      </c>
      <c r="D1289" s="10" t="s">
        <v>8629</v>
      </c>
      <c r="E1289" s="11" t="str">
        <f>HYPERLINK("https://twitter.com/renato_umeton/status/702266573453713410","702266573453713410")</f>
        <v>702266573453713410</v>
      </c>
      <c r="F1289" s="12" t="s">
        <v>38</v>
      </c>
      <c r="G1289" s="13">
        <v>70.0</v>
      </c>
      <c r="H1289" s="13">
        <v>79.0</v>
      </c>
      <c r="I1289" s="13">
        <v>6.0</v>
      </c>
      <c r="J1289" s="13">
        <v>0.0</v>
      </c>
      <c r="K1289" s="12" t="s">
        <v>21</v>
      </c>
      <c r="L1289" s="7">
        <v>39918.052083333336</v>
      </c>
      <c r="M1289" s="14" t="s">
        <v>1660</v>
      </c>
      <c r="N1289" s="14" t="s">
        <v>1661</v>
      </c>
      <c r="O1289" s="11" t="str">
        <f>HYPERLINK("https://pbs.twimg.com/profile_images/701553083537604608/nr8b38eG_normal.jpg","View")</f>
        <v>View</v>
      </c>
      <c r="P1289" s="15"/>
    </row>
    <row r="1290">
      <c r="A1290" s="7">
        <v>42423.62782407408</v>
      </c>
      <c r="B1290" s="8" t="str">
        <f>HYPERLINK("https://twitter.com/SparkIQ_Labs","@SparkIQ_Labs")</f>
        <v>@SparkIQ_Labs</v>
      </c>
      <c r="C1290" s="10" t="s">
        <v>8631</v>
      </c>
      <c r="D1290" s="10" t="s">
        <v>8632</v>
      </c>
      <c r="E1290" s="11" t="str">
        <f>HYPERLINK("https://twitter.com/SparkIQ_Labs/status/702267712374845440","702267712374845440")</f>
        <v>702267712374845440</v>
      </c>
      <c r="F1290" s="12" t="s">
        <v>20</v>
      </c>
      <c r="G1290" s="13">
        <v>542.0</v>
      </c>
      <c r="H1290" s="13">
        <v>1516.0</v>
      </c>
      <c r="I1290" s="13">
        <v>1.0</v>
      </c>
      <c r="J1290" s="13">
        <v>0.0</v>
      </c>
      <c r="K1290" s="12" t="s">
        <v>21</v>
      </c>
      <c r="L1290" s="7">
        <v>42283.45340277778</v>
      </c>
      <c r="M1290" s="14" t="s">
        <v>7315</v>
      </c>
      <c r="N1290" s="14" t="s">
        <v>8633</v>
      </c>
      <c r="O1290" s="11" t="str">
        <f>HYPERLINK("https://pbs.twimg.com/profile_images/651885368279568384/JY9VXNaJ_normal.jpg","View")</f>
        <v>View</v>
      </c>
      <c r="P1290" s="15"/>
    </row>
    <row r="1291">
      <c r="A1291" s="7">
        <v>42423.630277777775</v>
      </c>
      <c r="B1291" s="8" t="str">
        <f>HYPERLINK("https://twitter.com/DataWookie","@DataWookie")</f>
        <v>@DataWookie</v>
      </c>
      <c r="C1291" s="10" t="s">
        <v>6231</v>
      </c>
      <c r="D1291" s="10" t="s">
        <v>8634</v>
      </c>
      <c r="E1291" s="11" t="str">
        <f>HYPERLINK("https://twitter.com/DataWookie/status/702268598824271872","702268598824271872")</f>
        <v>702268598824271872</v>
      </c>
      <c r="F1291" s="12" t="s">
        <v>6233</v>
      </c>
      <c r="G1291" s="13">
        <v>426.0</v>
      </c>
      <c r="H1291" s="13">
        <v>296.0</v>
      </c>
      <c r="I1291" s="13">
        <v>0.0</v>
      </c>
      <c r="J1291" s="13">
        <v>0.0</v>
      </c>
      <c r="K1291" s="12" t="s">
        <v>21</v>
      </c>
      <c r="L1291" s="7">
        <v>42166.966678240744</v>
      </c>
      <c r="M1291" s="14" t="s">
        <v>6234</v>
      </c>
      <c r="N1291" s="14" t="s">
        <v>6235</v>
      </c>
      <c r="O1291" s="11" t="str">
        <f>HYPERLINK("https://pbs.twimg.com/profile_images/612471608725213184/eXKo2Kmo_normal.jpg","View")</f>
        <v>View</v>
      </c>
      <c r="P1291" s="15"/>
    </row>
    <row r="1292">
      <c r="A1292" s="7">
        <v>42423.63082175926</v>
      </c>
      <c r="B1292" s="8" t="str">
        <f>HYPERLINK("https://twitter.com/DataCamp","@DataCamp")</f>
        <v>@DataCamp</v>
      </c>
      <c r="C1292" s="10" t="s">
        <v>8635</v>
      </c>
      <c r="D1292" s="10" t="s">
        <v>8636</v>
      </c>
      <c r="E1292" s="11" t="str">
        <f>HYPERLINK("https://twitter.com/DataCamp/status/702268797563105284","702268797563105284")</f>
        <v>702268797563105284</v>
      </c>
      <c r="F1292" s="12" t="s">
        <v>294</v>
      </c>
      <c r="G1292" s="13">
        <v>5559.0</v>
      </c>
      <c r="H1292" s="13">
        <v>354.0</v>
      </c>
      <c r="I1292" s="13">
        <v>8.0</v>
      </c>
      <c r="J1292" s="13">
        <v>12.0</v>
      </c>
      <c r="K1292" s="12" t="s">
        <v>21</v>
      </c>
      <c r="L1292" s="7">
        <v>41459.42351851852</v>
      </c>
      <c r="M1292" s="16"/>
      <c r="N1292" s="14" t="s">
        <v>8637</v>
      </c>
      <c r="O1292" s="11" t="str">
        <f>HYPERLINK("https://pbs.twimg.com/profile_images/676442777018834944/Bk-dJvoN_normal.png","View")</f>
        <v>View</v>
      </c>
      <c r="P1292" s="15"/>
    </row>
    <row r="1293">
      <c r="A1293" s="7">
        <v>42423.63083333333</v>
      </c>
      <c r="B1293" s="8" t="str">
        <f>HYPERLINK("https://twitter.com/sentiwire","@sentiwire")</f>
        <v>@sentiwire</v>
      </c>
      <c r="C1293" s="10" t="s">
        <v>381</v>
      </c>
      <c r="D1293" s="10" t="s">
        <v>8638</v>
      </c>
      <c r="E1293" s="11" t="str">
        <f>HYPERLINK("https://twitter.com/sentiwire/status/702268802008899584","702268802008899584")</f>
        <v>702268802008899584</v>
      </c>
      <c r="F1293" s="12" t="s">
        <v>383</v>
      </c>
      <c r="G1293" s="13">
        <v>515.0</v>
      </c>
      <c r="H1293" s="13">
        <v>1716.0</v>
      </c>
      <c r="I1293" s="13">
        <v>8.0</v>
      </c>
      <c r="J1293" s="13">
        <v>0.0</v>
      </c>
      <c r="K1293" s="12" t="s">
        <v>21</v>
      </c>
      <c r="L1293" s="7">
        <v>41422.629641203705</v>
      </c>
      <c r="M1293" s="16"/>
      <c r="N1293" s="14" t="s">
        <v>384</v>
      </c>
      <c r="O1293" s="11" t="str">
        <f>HYPERLINK("https://pbs.twimg.com/profile_images/686965105473396736/B9V5UtGS_normal.jpg","View")</f>
        <v>View</v>
      </c>
      <c r="P1293" s="15"/>
    </row>
    <row r="1294">
      <c r="A1294" s="7">
        <v>42423.63255787037</v>
      </c>
      <c r="B1294" s="8" t="str">
        <f>HYPERLINK("https://twitter.com/BigDataTweetBot","@BigDataTweetBot")</f>
        <v>@BigDataTweetBot</v>
      </c>
      <c r="C1294" s="10" t="s">
        <v>1440</v>
      </c>
      <c r="D1294" s="10" t="s">
        <v>8638</v>
      </c>
      <c r="E1294" s="11" t="str">
        <f>HYPERLINK("https://twitter.com/BigDataTweetBot/status/702269426620563457","702269426620563457")</f>
        <v>702269426620563457</v>
      </c>
      <c r="F1294" s="12" t="s">
        <v>1442</v>
      </c>
      <c r="G1294" s="13">
        <v>8622.0</v>
      </c>
      <c r="H1294" s="13">
        <v>243.0</v>
      </c>
      <c r="I1294" s="13">
        <v>8.0</v>
      </c>
      <c r="J1294" s="13">
        <v>0.0</v>
      </c>
      <c r="K1294" s="12" t="s">
        <v>21</v>
      </c>
      <c r="L1294" s="7">
        <v>42187.77106481481</v>
      </c>
      <c r="M1294" s="16"/>
      <c r="N1294" s="14" t="s">
        <v>1443</v>
      </c>
      <c r="O1294" s="11" t="str">
        <f>HYPERLINK("https://pbs.twimg.com/profile_images/616793252524650496/bQbxJqmz_normal.jpg","View")</f>
        <v>View</v>
      </c>
      <c r="P1294" s="15"/>
    </row>
    <row r="1295">
      <c r="A1295" s="7">
        <v>42423.6328125</v>
      </c>
      <c r="B1295" s="8" t="str">
        <f>HYPERLINK("https://twitter.com/biconnections","@biconnections")</f>
        <v>@biconnections</v>
      </c>
      <c r="C1295" s="10" t="s">
        <v>3938</v>
      </c>
      <c r="D1295" s="10" t="s">
        <v>8638</v>
      </c>
      <c r="E1295" s="11" t="str">
        <f>HYPERLINK("https://twitter.com/biconnections/status/702269517657985028","702269517657985028")</f>
        <v>702269517657985028</v>
      </c>
      <c r="F1295" s="12" t="s">
        <v>20</v>
      </c>
      <c r="G1295" s="13">
        <v>8024.0</v>
      </c>
      <c r="H1295" s="13">
        <v>9.0</v>
      </c>
      <c r="I1295" s="13">
        <v>8.0</v>
      </c>
      <c r="J1295" s="13">
        <v>0.0</v>
      </c>
      <c r="K1295" s="12" t="s">
        <v>21</v>
      </c>
      <c r="L1295" s="7">
        <v>40970.119305555556</v>
      </c>
      <c r="M1295" s="14" t="s">
        <v>3939</v>
      </c>
      <c r="N1295" s="14" t="s">
        <v>3940</v>
      </c>
      <c r="O1295" s="11" t="str">
        <f>HYPERLINK("https://pbs.twimg.com/profile_images/1866862979/50519_388209157862059_947380685_n_normal.jpg","View")</f>
        <v>View</v>
      </c>
      <c r="P1295" s="15"/>
    </row>
    <row r="1296">
      <c r="A1296" s="7">
        <v>42423.634050925924</v>
      </c>
      <c r="B1296" s="8" t="str">
        <f>HYPERLINK("https://twitter.com/SparkIQ_Labs","@SparkIQ_Labs")</f>
        <v>@SparkIQ_Labs</v>
      </c>
      <c r="C1296" s="10" t="s">
        <v>8631</v>
      </c>
      <c r="D1296" s="10" t="s">
        <v>8639</v>
      </c>
      <c r="E1296" s="11" t="str">
        <f>HYPERLINK("https://twitter.com/SparkIQ_Labs/status/702269968646172672","702269968646172672")</f>
        <v>702269968646172672</v>
      </c>
      <c r="F1296" s="12" t="s">
        <v>20</v>
      </c>
      <c r="G1296" s="13">
        <v>542.0</v>
      </c>
      <c r="H1296" s="13">
        <v>1516.0</v>
      </c>
      <c r="I1296" s="13">
        <v>0.0</v>
      </c>
      <c r="J1296" s="13">
        <v>2.0</v>
      </c>
      <c r="K1296" s="12" t="s">
        <v>21</v>
      </c>
      <c r="L1296" s="7">
        <v>42283.45340277778</v>
      </c>
      <c r="M1296" s="14" t="s">
        <v>7315</v>
      </c>
      <c r="N1296" s="14" t="s">
        <v>8633</v>
      </c>
      <c r="O1296" s="11" t="str">
        <f>HYPERLINK("https://pbs.twimg.com/profile_images/651885368279568384/JY9VXNaJ_normal.jpg","View")</f>
        <v>View</v>
      </c>
      <c r="P1296" s="15"/>
    </row>
    <row r="1297">
      <c r="A1297" s="7">
        <v>42423.64072916667</v>
      </c>
      <c r="B1297" s="8" t="str">
        <f>HYPERLINK("https://twitter.com/lrako","@lrako")</f>
        <v>@lrako</v>
      </c>
      <c r="C1297" s="10" t="s">
        <v>8640</v>
      </c>
      <c r="D1297" s="10" t="s">
        <v>8641</v>
      </c>
      <c r="E1297" s="11" t="str">
        <f>HYPERLINK("https://twitter.com/lrako/status/702272387404996608","702272387404996608")</f>
        <v>702272387404996608</v>
      </c>
      <c r="F1297" s="12" t="s">
        <v>8642</v>
      </c>
      <c r="G1297" s="13">
        <v>105.0</v>
      </c>
      <c r="H1297" s="13">
        <v>27.0</v>
      </c>
      <c r="I1297" s="13">
        <v>1.0</v>
      </c>
      <c r="J1297" s="13">
        <v>0.0</v>
      </c>
      <c r="K1297" s="12" t="s">
        <v>21</v>
      </c>
      <c r="L1297" s="7">
        <v>39982.694236111114</v>
      </c>
      <c r="M1297" s="14" t="s">
        <v>8643</v>
      </c>
      <c r="N1297" s="14" t="s">
        <v>8644</v>
      </c>
      <c r="O1297" s="11" t="str">
        <f>HYPERLINK("https://pbs.twimg.com/profile_images/1113353588/02082010602_normal.jpg","View")</f>
        <v>View</v>
      </c>
      <c r="P1297" s="15"/>
    </row>
    <row r="1298">
      <c r="A1298" s="7">
        <v>42423.644525462965</v>
      </c>
      <c r="B1298" s="8" t="str">
        <f>HYPERLINK("https://twitter.com/zaticwu","@zaticwu")</f>
        <v>@zaticwu</v>
      </c>
      <c r="C1298" s="10" t="s">
        <v>7021</v>
      </c>
      <c r="D1298" s="10" t="s">
        <v>8493</v>
      </c>
      <c r="E1298" s="11" t="str">
        <f>HYPERLINK("https://twitter.com/zaticwu/status/702273764734599168","702273764734599168")</f>
        <v>702273764734599168</v>
      </c>
      <c r="F1298" s="12" t="s">
        <v>152</v>
      </c>
      <c r="G1298" s="13">
        <v>126.0</v>
      </c>
      <c r="H1298" s="13">
        <v>353.0</v>
      </c>
      <c r="I1298" s="13">
        <v>5.0</v>
      </c>
      <c r="J1298" s="13">
        <v>0.0</v>
      </c>
      <c r="K1298" s="12" t="s">
        <v>21</v>
      </c>
      <c r="L1298" s="7">
        <v>40668.12063657407</v>
      </c>
      <c r="M1298" s="14" t="s">
        <v>7022</v>
      </c>
      <c r="N1298" s="14" t="s">
        <v>7023</v>
      </c>
      <c r="O1298" s="11" t="str">
        <f>HYPERLINK("https://pbs.twimg.com/profile_images/509100899063439361/1xdR38oG_normal.jpeg","View")</f>
        <v>View</v>
      </c>
      <c r="P1298" s="15"/>
    </row>
    <row r="1299">
      <c r="A1299" s="7">
        <v>42423.645995370374</v>
      </c>
      <c r="B1299" s="8" t="str">
        <f>HYPERLINK("https://twitter.com/AnalyticsVidhya","@AnalyticsVidhya")</f>
        <v>@AnalyticsVidhya</v>
      </c>
      <c r="C1299" s="10" t="s">
        <v>2998</v>
      </c>
      <c r="D1299" s="10" t="s">
        <v>8645</v>
      </c>
      <c r="E1299" s="11" t="str">
        <f>HYPERLINK("https://twitter.com/AnalyticsVidhya/status/702274296274620416","702274296274620416")</f>
        <v>702274296274620416</v>
      </c>
      <c r="F1299" s="12" t="s">
        <v>294</v>
      </c>
      <c r="G1299" s="13">
        <v>4133.0</v>
      </c>
      <c r="H1299" s="13">
        <v>250.0</v>
      </c>
      <c r="I1299" s="13">
        <v>1.0</v>
      </c>
      <c r="J1299" s="13">
        <v>2.0</v>
      </c>
      <c r="K1299" s="12" t="s">
        <v>21</v>
      </c>
      <c r="L1299" s="7">
        <v>41665.11702546296</v>
      </c>
      <c r="M1299" s="16"/>
      <c r="N1299" s="14" t="s">
        <v>3000</v>
      </c>
      <c r="O1299" s="11" t="str">
        <f>HYPERLINK("https://pbs.twimg.com/profile_images/457775762108448768/XmO2C1-E_normal.png","View")</f>
        <v>View</v>
      </c>
      <c r="P1299" s="15"/>
    </row>
    <row r="1300">
      <c r="A1300" s="7">
        <v>42423.65052083333</v>
      </c>
      <c r="B1300" s="8" t="str">
        <f>HYPERLINK("https://twitter.com/MKrzywinski","@MKrzywinski")</f>
        <v>@MKrzywinski</v>
      </c>
      <c r="C1300" s="10" t="s">
        <v>8646</v>
      </c>
      <c r="D1300" s="10" t="s">
        <v>8647</v>
      </c>
      <c r="E1300" s="11" t="str">
        <f>HYPERLINK("https://twitter.com/MKrzywinski/status/702275937950236672","702275937950236672")</f>
        <v>702275937950236672</v>
      </c>
      <c r="F1300" s="12" t="s">
        <v>52</v>
      </c>
      <c r="G1300" s="13">
        <v>1060.0</v>
      </c>
      <c r="H1300" s="13">
        <v>27.0</v>
      </c>
      <c r="I1300" s="13">
        <v>1.0</v>
      </c>
      <c r="J1300" s="13">
        <v>0.0</v>
      </c>
      <c r="K1300" s="12" t="s">
        <v>21</v>
      </c>
      <c r="L1300" s="7">
        <v>40898.62636574074</v>
      </c>
      <c r="M1300" s="14" t="s">
        <v>2216</v>
      </c>
      <c r="N1300" s="14" t="s">
        <v>8648</v>
      </c>
      <c r="O1300" s="11" t="str">
        <f>HYPERLINK("https://pbs.twimg.com/profile_images/1706909550/mk_normal.jpg","View")</f>
        <v>View</v>
      </c>
      <c r="P1300" s="15"/>
    </row>
    <row r="1301">
      <c r="A1301" s="7">
        <v>42423.65258101852</v>
      </c>
      <c r="B1301" s="8" t="str">
        <f>HYPERLINK("https://twitter.com/andymurray000","@andymurray000")</f>
        <v>@andymurray000</v>
      </c>
      <c r="C1301" s="10" t="s">
        <v>8649</v>
      </c>
      <c r="D1301" s="10" t="s">
        <v>7116</v>
      </c>
      <c r="E1301" s="11" t="str">
        <f>HYPERLINK("https://twitter.com/andymurray000/status/702276682951032832","702276682951032832")</f>
        <v>702276682951032832</v>
      </c>
      <c r="F1301" s="12" t="s">
        <v>152</v>
      </c>
      <c r="G1301" s="13">
        <v>112.0</v>
      </c>
      <c r="H1301" s="13">
        <v>290.0</v>
      </c>
      <c r="I1301" s="13">
        <v>16.0</v>
      </c>
      <c r="J1301" s="13">
        <v>0.0</v>
      </c>
      <c r="K1301" s="12" t="s">
        <v>21</v>
      </c>
      <c r="L1301" s="7">
        <v>40782.822743055556</v>
      </c>
      <c r="M1301" s="14" t="s">
        <v>8650</v>
      </c>
      <c r="N1301" s="14" t="s">
        <v>8651</v>
      </c>
      <c r="O1301" s="11" t="str">
        <f>HYPERLINK("https://pbs.twimg.com/profile_images/2368101404/c3e67czm0heofzs30pqp_normal.jpeg","View")</f>
        <v>View</v>
      </c>
      <c r="P1301" s="15"/>
    </row>
    <row r="1302">
      <c r="A1302" s="7">
        <v>42423.65415509259</v>
      </c>
      <c r="B1302" s="8" t="str">
        <f>HYPERLINK("https://twitter.com/armand_ruiz","@armand_ruiz")</f>
        <v>@armand_ruiz</v>
      </c>
      <c r="C1302" s="10" t="s">
        <v>8652</v>
      </c>
      <c r="D1302" s="10" t="s">
        <v>6319</v>
      </c>
      <c r="E1302" s="11" t="str">
        <f>HYPERLINK("https://twitter.com/armand_ruiz/status/702277255209230336","702277255209230336")</f>
        <v>702277255209230336</v>
      </c>
      <c r="F1302" s="12" t="s">
        <v>20</v>
      </c>
      <c r="G1302" s="13">
        <v>1224.0</v>
      </c>
      <c r="H1302" s="13">
        <v>1586.0</v>
      </c>
      <c r="I1302" s="13">
        <v>106.0</v>
      </c>
      <c r="J1302" s="13">
        <v>0.0</v>
      </c>
      <c r="K1302" s="12" t="s">
        <v>21</v>
      </c>
      <c r="L1302" s="7">
        <v>40610.46319444444</v>
      </c>
      <c r="M1302" s="14" t="s">
        <v>8653</v>
      </c>
      <c r="N1302" s="14" t="s">
        <v>8654</v>
      </c>
      <c r="O1302" s="11" t="str">
        <f>HYPERLINK("https://pbs.twimg.com/profile_images/690228586817519616/8EhrPVtw_normal.jpg","View")</f>
        <v>View</v>
      </c>
      <c r="P1302" s="15"/>
    </row>
    <row r="1303">
      <c r="A1303" s="7">
        <v>42423.65988425926</v>
      </c>
      <c r="B1303" s="8" t="str">
        <f>HYPERLINK("https://twitter.com/Rbloggers","@Rbloggers")</f>
        <v>@Rbloggers</v>
      </c>
      <c r="C1303" s="10" t="s">
        <v>6221</v>
      </c>
      <c r="D1303" s="10" t="s">
        <v>8655</v>
      </c>
      <c r="E1303" s="11" t="str">
        <f>HYPERLINK("https://twitter.com/Rbloggers/status/702279328235585536","702279328235585536")</f>
        <v>702279328235585536</v>
      </c>
      <c r="F1303" s="17" t="s">
        <v>6223</v>
      </c>
      <c r="G1303" s="13">
        <v>28572.0</v>
      </c>
      <c r="H1303" s="13">
        <v>36.0</v>
      </c>
      <c r="I1303" s="13">
        <v>8.0</v>
      </c>
      <c r="J1303" s="13">
        <v>6.0</v>
      </c>
      <c r="K1303" s="12" t="s">
        <v>21</v>
      </c>
      <c r="L1303" s="7">
        <v>40314.510601851856</v>
      </c>
      <c r="M1303" s="16"/>
      <c r="N1303" s="14" t="s">
        <v>6224</v>
      </c>
      <c r="O1303" s="11" t="str">
        <f>HYPERLINK("https://pbs.twimg.com/profile_images/502185985786916864/gkdFh-q7_normal.png","View")</f>
        <v>View</v>
      </c>
      <c r="P1303" s="15"/>
    </row>
    <row r="1304">
      <c r="A1304" s="7">
        <v>42423.660682870366</v>
      </c>
      <c r="B1304" s="8" t="str">
        <f>HYPERLINK("https://twitter.com/renato_umeton","@renato_umeton")</f>
        <v>@renato_umeton</v>
      </c>
      <c r="C1304" s="10" t="s">
        <v>1659</v>
      </c>
      <c r="D1304" s="10" t="s">
        <v>8656</v>
      </c>
      <c r="E1304" s="11" t="str">
        <f>HYPERLINK("https://twitter.com/renato_umeton/status/702279618246664193","702279618246664193")</f>
        <v>702279618246664193</v>
      </c>
      <c r="F1304" s="12" t="s">
        <v>38</v>
      </c>
      <c r="G1304" s="13">
        <v>70.0</v>
      </c>
      <c r="H1304" s="13">
        <v>79.0</v>
      </c>
      <c r="I1304" s="13">
        <v>8.0</v>
      </c>
      <c r="J1304" s="13">
        <v>0.0</v>
      </c>
      <c r="K1304" s="12" t="s">
        <v>21</v>
      </c>
      <c r="L1304" s="7">
        <v>39918.052083333336</v>
      </c>
      <c r="M1304" s="14" t="s">
        <v>1660</v>
      </c>
      <c r="N1304" s="14" t="s">
        <v>1661</v>
      </c>
      <c r="O1304" s="11" t="str">
        <f>HYPERLINK("https://pbs.twimg.com/profile_images/701553083537604608/nr8b38eG_normal.jpg","View")</f>
        <v>View</v>
      </c>
      <c r="P1304" s="15"/>
    </row>
    <row r="1305">
      <c r="A1305" s="7">
        <v>42423.664375</v>
      </c>
      <c r="B1305" s="8" t="str">
        <f>HYPERLINK("https://twitter.com/JennyBryan","@JennyBryan")</f>
        <v>@JennyBryan</v>
      </c>
      <c r="C1305" s="10" t="s">
        <v>7457</v>
      </c>
      <c r="D1305" s="10" t="s">
        <v>8657</v>
      </c>
      <c r="E1305" s="11" t="str">
        <f>HYPERLINK("https://twitter.com/JennyBryan/status/702280957424852993","702280957424852993")</f>
        <v>702280957424852993</v>
      </c>
      <c r="F1305" s="12" t="s">
        <v>240</v>
      </c>
      <c r="G1305" s="13">
        <v>3780.0</v>
      </c>
      <c r="H1305" s="13">
        <v>466.0</v>
      </c>
      <c r="I1305" s="13">
        <v>2.0</v>
      </c>
      <c r="J1305" s="13">
        <v>6.0</v>
      </c>
      <c r="K1305" s="12" t="s">
        <v>21</v>
      </c>
      <c r="L1305" s="7">
        <v>41578.4809837963</v>
      </c>
      <c r="M1305" s="14" t="s">
        <v>1855</v>
      </c>
      <c r="N1305" s="14" t="s">
        <v>7459</v>
      </c>
      <c r="O1305" s="11" t="str">
        <f>HYPERLINK("https://pbs.twimg.com/profile_images/660978605606875137/s3YrJetD_normal.jpg","View")</f>
        <v>View</v>
      </c>
      <c r="P1305" s="15"/>
    </row>
    <row r="1306">
      <c r="A1306" s="7">
        <v>42423.66748842593</v>
      </c>
      <c r="B1306" s="8" t="str">
        <f>HYPERLINK("https://twitter.com/CaritoTV","@CaritoTV")</f>
        <v>@CaritoTV</v>
      </c>
      <c r="C1306" s="10" t="s">
        <v>8658</v>
      </c>
      <c r="D1306" s="10" t="s">
        <v>8656</v>
      </c>
      <c r="E1306" s="11" t="str">
        <f>HYPERLINK("https://twitter.com/CaritoTV/status/702282086128824321","702282086128824321")</f>
        <v>702282086128824321</v>
      </c>
      <c r="F1306" s="12" t="s">
        <v>52</v>
      </c>
      <c r="G1306" s="13">
        <v>513.0</v>
      </c>
      <c r="H1306" s="13">
        <v>470.0</v>
      </c>
      <c r="I1306" s="13">
        <v>8.0</v>
      </c>
      <c r="J1306" s="13">
        <v>0.0</v>
      </c>
      <c r="K1306" s="12" t="s">
        <v>21</v>
      </c>
      <c r="L1306" s="7">
        <v>40092.78863425926</v>
      </c>
      <c r="M1306" s="14" t="s">
        <v>8659</v>
      </c>
      <c r="N1306" s="14" t="s">
        <v>8660</v>
      </c>
      <c r="O1306" s="11" t="str">
        <f>HYPERLINK("https://pbs.twimg.com/profile_images/492813616211451904/ehHa-23P_normal.jpeg","View")</f>
        <v>View</v>
      </c>
      <c r="P1306" s="15"/>
    </row>
    <row r="1307">
      <c r="A1307" s="7">
        <v>42423.66881944444</v>
      </c>
      <c r="B1307" s="8" t="str">
        <f>HYPERLINK("https://twitter.com/alittlestats","@alittlestats")</f>
        <v>@alittlestats</v>
      </c>
      <c r="C1307" s="10" t="s">
        <v>8661</v>
      </c>
      <c r="D1307" s="10" t="s">
        <v>8662</v>
      </c>
      <c r="E1307" s="11" t="str">
        <f>HYPERLINK("https://twitter.com/alittlestats/status/702282567979024386","702282567979024386")</f>
        <v>702282567979024386</v>
      </c>
      <c r="F1307" s="12" t="s">
        <v>20</v>
      </c>
      <c r="G1307" s="13">
        <v>858.0</v>
      </c>
      <c r="H1307" s="13">
        <v>200.0</v>
      </c>
      <c r="I1307" s="13">
        <v>1.0</v>
      </c>
      <c r="J1307" s="13">
        <v>2.0</v>
      </c>
      <c r="K1307" s="12" t="s">
        <v>21</v>
      </c>
      <c r="L1307" s="7">
        <v>41837.744155092594</v>
      </c>
      <c r="M1307" s="14" t="s">
        <v>1939</v>
      </c>
      <c r="N1307" s="14" t="s">
        <v>8663</v>
      </c>
      <c r="O1307" s="11" t="str">
        <f>HYPERLINK("https://pbs.twimg.com/profile_images/503563693058048000/_ISCg-rN_normal.jpeg","View")</f>
        <v>View</v>
      </c>
      <c r="P1307" s="15"/>
    </row>
    <row r="1308">
      <c r="A1308" s="7">
        <v>42423.669224537036</v>
      </c>
      <c r="B1308" s="8" t="str">
        <f>HYPERLINK("https://twitter.com/h_okumura","@h_okumura")</f>
        <v>@h_okumura</v>
      </c>
      <c r="C1308" s="10" t="s">
        <v>6842</v>
      </c>
      <c r="D1308" s="10" t="s">
        <v>8386</v>
      </c>
      <c r="E1308" s="11" t="str">
        <f>HYPERLINK("https://twitter.com/h_okumura/status/702282714007797761","702282714007797761")</f>
        <v>702282714007797761</v>
      </c>
      <c r="F1308" s="12" t="s">
        <v>6843</v>
      </c>
      <c r="G1308" s="13">
        <v>17413.0</v>
      </c>
      <c r="H1308" s="13">
        <v>412.0</v>
      </c>
      <c r="I1308" s="13">
        <v>5.0</v>
      </c>
      <c r="J1308" s="13">
        <v>0.0</v>
      </c>
      <c r="K1308" s="12" t="s">
        <v>21</v>
      </c>
      <c r="L1308" s="7">
        <v>39907.689791666664</v>
      </c>
      <c r="M1308" s="14" t="s">
        <v>6844</v>
      </c>
      <c r="N1308" s="14" t="s">
        <v>6845</v>
      </c>
      <c r="O1308" s="11" t="str">
        <f>HYPERLINK("https://pbs.twimg.com/profile_images/3621816458/b159d4051d6a227bcaf7f265e1d92da4_normal.jpeg","View")</f>
        <v>View</v>
      </c>
      <c r="P1308" s="15"/>
    </row>
    <row r="1309">
      <c r="A1309" s="7">
        <v>42423.66989583333</v>
      </c>
      <c r="B1309" s="8" t="str">
        <f>HYPERLINK("https://twitter.com/JennyBryan","@JennyBryan")</f>
        <v>@JennyBryan</v>
      </c>
      <c r="C1309" s="10" t="s">
        <v>7457</v>
      </c>
      <c r="D1309" s="10" t="s">
        <v>8664</v>
      </c>
      <c r="E1309" s="11" t="str">
        <f>HYPERLINK("https://twitter.com/JennyBryan/status/702282958208536576","702282958208536576")</f>
        <v>702282958208536576</v>
      </c>
      <c r="F1309" s="12" t="s">
        <v>240</v>
      </c>
      <c r="G1309" s="13">
        <v>3780.0</v>
      </c>
      <c r="H1309" s="13">
        <v>466.0</v>
      </c>
      <c r="I1309" s="13">
        <v>50.0</v>
      </c>
      <c r="J1309" s="13">
        <v>50.0</v>
      </c>
      <c r="K1309" s="12" t="s">
        <v>21</v>
      </c>
      <c r="L1309" s="7">
        <v>41578.4809837963</v>
      </c>
      <c r="M1309" s="14" t="s">
        <v>1855</v>
      </c>
      <c r="N1309" s="14" t="s">
        <v>7459</v>
      </c>
      <c r="O1309" s="11" t="str">
        <f>HYPERLINK("https://pbs.twimg.com/profile_images/660978605606875137/s3YrJetD_normal.jpg","View")</f>
        <v>View</v>
      </c>
      <c r="P1309" s="15"/>
    </row>
    <row r="1310">
      <c r="A1310" s="7">
        <v>42423.670902777776</v>
      </c>
      <c r="B1310" s="8" t="str">
        <f>HYPERLINK("https://twitter.com/RallidaeRule","@RallidaeRule")</f>
        <v>@RallidaeRule</v>
      </c>
      <c r="C1310" s="10" t="s">
        <v>8665</v>
      </c>
      <c r="D1310" s="10" t="s">
        <v>8666</v>
      </c>
      <c r="E1310" s="11" t="str">
        <f>HYPERLINK("https://twitter.com/RallidaeRule/status/702283320290193408","702283320290193408")</f>
        <v>702283320290193408</v>
      </c>
      <c r="F1310" s="12" t="s">
        <v>446</v>
      </c>
      <c r="G1310" s="13">
        <v>2627.0</v>
      </c>
      <c r="H1310" s="13">
        <v>1200.0</v>
      </c>
      <c r="I1310" s="13">
        <v>50.0</v>
      </c>
      <c r="J1310" s="13">
        <v>0.0</v>
      </c>
      <c r="K1310" s="12" t="s">
        <v>21</v>
      </c>
      <c r="L1310" s="7">
        <v>40057.58322916667</v>
      </c>
      <c r="M1310" s="14" t="s">
        <v>8667</v>
      </c>
      <c r="N1310" s="14" t="s">
        <v>8668</v>
      </c>
      <c r="O1310" s="11" t="str">
        <f>HYPERLINK("https://pbs.twimg.com/profile_images/472088432374579201/pTx9F7zb_normal.jpeg","View")</f>
        <v>View</v>
      </c>
      <c r="P1310" s="15"/>
    </row>
    <row r="1311">
      <c r="A1311" s="7">
        <v>42423.67130787037</v>
      </c>
      <c r="B1311" s="8" t="str">
        <f>HYPERLINK("https://twitter.com/CjMrcamiel","@CjMrcamiel")</f>
        <v>@CjMrcamiel</v>
      </c>
      <c r="C1311" s="10" t="s">
        <v>7701</v>
      </c>
      <c r="D1311" s="10" t="s">
        <v>8638</v>
      </c>
      <c r="E1311" s="11" t="str">
        <f>HYPERLINK("https://twitter.com/CjMrcamiel/status/702283468235911169","702283468235911169")</f>
        <v>702283468235911169</v>
      </c>
      <c r="F1311" s="12" t="s">
        <v>52</v>
      </c>
      <c r="G1311" s="13">
        <v>11.0</v>
      </c>
      <c r="H1311" s="13">
        <v>24.0</v>
      </c>
      <c r="I1311" s="13">
        <v>8.0</v>
      </c>
      <c r="J1311" s="13">
        <v>0.0</v>
      </c>
      <c r="K1311" s="12" t="s">
        <v>21</v>
      </c>
      <c r="L1311" s="7">
        <v>41455.6708912037</v>
      </c>
      <c r="M1311" s="16"/>
      <c r="N1311" s="16"/>
      <c r="O1311" s="11" t="str">
        <f>HYPERLINK("https://pbs.twimg.com/profile_images/378800000254021542/887553be439db2d83c346af322b2e8ec_normal.jpeg","View")</f>
        <v>View</v>
      </c>
      <c r="P1311" s="15"/>
    </row>
    <row r="1312">
      <c r="A1312" s="7">
        <v>42423.67178240741</v>
      </c>
      <c r="B1312" s="8" t="str">
        <f>HYPERLINK("https://twitter.com/DataWookie","@DataWookie")</f>
        <v>@DataWookie</v>
      </c>
      <c r="C1312" s="10" t="s">
        <v>6231</v>
      </c>
      <c r="D1312" s="10" t="s">
        <v>8669</v>
      </c>
      <c r="E1312" s="11" t="str">
        <f>HYPERLINK("https://twitter.com/DataWookie/status/702283641347395584","702283641347395584")</f>
        <v>702283641347395584</v>
      </c>
      <c r="F1312" s="12" t="s">
        <v>6233</v>
      </c>
      <c r="G1312" s="13">
        <v>426.0</v>
      </c>
      <c r="H1312" s="13">
        <v>296.0</v>
      </c>
      <c r="I1312" s="13">
        <v>0.0</v>
      </c>
      <c r="J1312" s="13">
        <v>0.0</v>
      </c>
      <c r="K1312" s="12" t="s">
        <v>21</v>
      </c>
      <c r="L1312" s="7">
        <v>42166.966678240744</v>
      </c>
      <c r="M1312" s="14" t="s">
        <v>6234</v>
      </c>
      <c r="N1312" s="14" t="s">
        <v>6235</v>
      </c>
      <c r="O1312" s="11" t="str">
        <f>HYPERLINK("https://pbs.twimg.com/profile_images/612471608725213184/eXKo2Kmo_normal.jpg","View")</f>
        <v>View</v>
      </c>
      <c r="P1312" s="15"/>
    </row>
    <row r="1313">
      <c r="A1313" s="7">
        <v>42423.67233796296</v>
      </c>
      <c r="B1313" s="8" t="str">
        <f>HYPERLINK("https://twitter.com/SparkIQ_Labs","@SparkIQ_Labs")</f>
        <v>@SparkIQ_Labs</v>
      </c>
      <c r="C1313" s="10" t="s">
        <v>8631</v>
      </c>
      <c r="D1313" s="10" t="s">
        <v>8670</v>
      </c>
      <c r="E1313" s="11" t="str">
        <f>HYPERLINK("https://twitter.com/SparkIQ_Labs/status/702283842560757762","702283842560757762")</f>
        <v>702283842560757762</v>
      </c>
      <c r="F1313" s="12" t="s">
        <v>20</v>
      </c>
      <c r="G1313" s="13">
        <v>542.0</v>
      </c>
      <c r="H1313" s="13">
        <v>1516.0</v>
      </c>
      <c r="I1313" s="13">
        <v>3.0</v>
      </c>
      <c r="J1313" s="13">
        <v>3.0</v>
      </c>
      <c r="K1313" s="12" t="s">
        <v>21</v>
      </c>
      <c r="L1313" s="7">
        <v>42283.45340277778</v>
      </c>
      <c r="M1313" s="14" t="s">
        <v>7315</v>
      </c>
      <c r="N1313" s="14" t="s">
        <v>8633</v>
      </c>
      <c r="O1313" s="11" t="str">
        <f>HYPERLINK("https://pbs.twimg.com/profile_images/651885368279568384/JY9VXNaJ_normal.jpg","View")</f>
        <v>View</v>
      </c>
      <c r="P1313" s="15"/>
    </row>
    <row r="1314">
      <c r="A1314" s="7">
        <v>42423.672789351855</v>
      </c>
      <c r="B1314" s="8" t="str">
        <f>HYPERLINK("https://twitter.com/hujk","@hujk")</f>
        <v>@hujk</v>
      </c>
      <c r="C1314" s="10" t="s">
        <v>8671</v>
      </c>
      <c r="D1314" s="10" t="s">
        <v>8386</v>
      </c>
      <c r="E1314" s="11" t="str">
        <f>HYPERLINK("https://twitter.com/hujk/status/702284007724027906","702284007724027906")</f>
        <v>702284007724027906</v>
      </c>
      <c r="F1314" s="12" t="s">
        <v>152</v>
      </c>
      <c r="G1314" s="13">
        <v>57.0</v>
      </c>
      <c r="H1314" s="13">
        <v>104.0</v>
      </c>
      <c r="I1314" s="13">
        <v>5.0</v>
      </c>
      <c r="J1314" s="13">
        <v>0.0</v>
      </c>
      <c r="K1314" s="12" t="s">
        <v>21</v>
      </c>
      <c r="L1314" s="7">
        <v>39440.46197916666</v>
      </c>
      <c r="M1314" s="14" t="s">
        <v>6844</v>
      </c>
      <c r="N1314" s="16"/>
      <c r="O1314" s="11" t="str">
        <f>HYPERLINK("https://pbs.twimg.com/profile_images/1126641228/twitter_normal.png","View")</f>
        <v>View</v>
      </c>
      <c r="P1314" s="15"/>
    </row>
    <row r="1315">
      <c r="A1315" s="7">
        <v>42423.67510416667</v>
      </c>
      <c r="B1315" s="8" t="str">
        <f>HYPERLINK("https://twitter.com/Emaasit","@Emaasit")</f>
        <v>@Emaasit</v>
      </c>
      <c r="C1315" s="10" t="s">
        <v>7313</v>
      </c>
      <c r="D1315" s="10" t="s">
        <v>8672</v>
      </c>
      <c r="E1315" s="11" t="str">
        <f>HYPERLINK("https://twitter.com/Emaasit/status/702284844940722176","702284844940722176")</f>
        <v>702284844940722176</v>
      </c>
      <c r="F1315" s="12" t="s">
        <v>152</v>
      </c>
      <c r="G1315" s="13">
        <v>1025.0</v>
      </c>
      <c r="H1315" s="13">
        <v>2909.0</v>
      </c>
      <c r="I1315" s="13">
        <v>3.0</v>
      </c>
      <c r="J1315" s="13">
        <v>0.0</v>
      </c>
      <c r="K1315" s="12" t="s">
        <v>21</v>
      </c>
      <c r="L1315" s="7">
        <v>39981.148981481485</v>
      </c>
      <c r="M1315" s="14" t="s">
        <v>7315</v>
      </c>
      <c r="N1315" s="14" t="s">
        <v>7316</v>
      </c>
      <c r="O1315" s="11" t="str">
        <f>HYPERLINK("https://pbs.twimg.com/profile_images/567588045927354370/NN8xp_M5_normal.jpeg","View")</f>
        <v>View</v>
      </c>
      <c r="P1315" s="15"/>
    </row>
    <row r="1316">
      <c r="A1316" s="7">
        <v>42423.67612268518</v>
      </c>
      <c r="B1316" s="8" t="str">
        <f>HYPERLINK("https://twitter.com/JennyBryan","@JennyBryan")</f>
        <v>@JennyBryan</v>
      </c>
      <c r="C1316" s="10" t="s">
        <v>7457</v>
      </c>
      <c r="D1316" s="10" t="s">
        <v>8673</v>
      </c>
      <c r="E1316" s="11" t="str">
        <f>HYPERLINK("https://twitter.com/JennyBryan/status/702285213955559425","702285213955559425")</f>
        <v>702285213955559425</v>
      </c>
      <c r="F1316" s="12" t="s">
        <v>240</v>
      </c>
      <c r="G1316" s="13">
        <v>3780.0</v>
      </c>
      <c r="H1316" s="13">
        <v>466.0</v>
      </c>
      <c r="I1316" s="13">
        <v>6.0</v>
      </c>
      <c r="J1316" s="13">
        <v>14.0</v>
      </c>
      <c r="K1316" s="12" t="s">
        <v>21</v>
      </c>
      <c r="L1316" s="7">
        <v>41578.4809837963</v>
      </c>
      <c r="M1316" s="14" t="s">
        <v>1855</v>
      </c>
      <c r="N1316" s="14" t="s">
        <v>7459</v>
      </c>
      <c r="O1316" s="11" t="str">
        <f>HYPERLINK("https://pbs.twimg.com/profile_images/660978605606875137/s3YrJetD_normal.jpg","View")</f>
        <v>View</v>
      </c>
      <c r="P1316" s="15"/>
    </row>
    <row r="1317">
      <c r="A1317" s="7">
        <v>42423.677245370374</v>
      </c>
      <c r="B1317" s="8" t="str">
        <f>HYPERLINK("https://twitter.com/dynarski","@dynarski")</f>
        <v>@dynarski</v>
      </c>
      <c r="C1317" s="10" t="s">
        <v>8674</v>
      </c>
      <c r="D1317" s="10" t="s">
        <v>8675</v>
      </c>
      <c r="E1317" s="11" t="str">
        <f>HYPERLINK("https://twitter.com/dynarski/status/702285619209248768","702285619209248768")</f>
        <v>702285619209248768</v>
      </c>
      <c r="F1317" s="12" t="s">
        <v>52</v>
      </c>
      <c r="G1317" s="13">
        <v>4702.0</v>
      </c>
      <c r="H1317" s="13">
        <v>1097.0</v>
      </c>
      <c r="I1317" s="13">
        <v>1.0</v>
      </c>
      <c r="J1317" s="13">
        <v>0.0</v>
      </c>
      <c r="K1317" s="12" t="s">
        <v>21</v>
      </c>
      <c r="L1317" s="7">
        <v>40033.81076388889</v>
      </c>
      <c r="M1317" s="14" t="s">
        <v>8380</v>
      </c>
      <c r="N1317" s="14" t="s">
        <v>8676</v>
      </c>
      <c r="O1317" s="11" t="str">
        <f>HYPERLINK("https://pbs.twimg.com/profile_images/668490997010071552/3sh3c_9A_normal.png","View")</f>
        <v>View</v>
      </c>
      <c r="P1317" s="15"/>
    </row>
    <row r="1318">
      <c r="A1318" s="7">
        <v>42423.678402777776</v>
      </c>
      <c r="B1318" s="8" t="str">
        <f>HYPERLINK("https://twitter.com/kwbroman","@kwbroman")</f>
        <v>@kwbroman</v>
      </c>
      <c r="C1318" s="10" t="s">
        <v>6662</v>
      </c>
      <c r="D1318" s="10" t="s">
        <v>8666</v>
      </c>
      <c r="E1318" s="11" t="str">
        <f>HYPERLINK("https://twitter.com/kwbroman/status/702286041252671488","702286041252671488")</f>
        <v>702286041252671488</v>
      </c>
      <c r="F1318" s="12" t="s">
        <v>1082</v>
      </c>
      <c r="G1318" s="13">
        <v>3617.0</v>
      </c>
      <c r="H1318" s="13">
        <v>392.0</v>
      </c>
      <c r="I1318" s="13">
        <v>50.0</v>
      </c>
      <c r="J1318" s="13">
        <v>0.0</v>
      </c>
      <c r="K1318" s="12" t="s">
        <v>21</v>
      </c>
      <c r="L1318" s="7">
        <v>41335.79141203704</v>
      </c>
      <c r="M1318" s="14" t="s">
        <v>6664</v>
      </c>
      <c r="N1318" s="14" t="s">
        <v>6665</v>
      </c>
      <c r="O1318" s="11" t="str">
        <f>HYPERLINK("https://pbs.twimg.com/profile_images/680796333460959232/CzoFZb76_normal.jpg","View")</f>
        <v>View</v>
      </c>
      <c r="P1318" s="15"/>
    </row>
    <row r="1319">
      <c r="A1319" s="7">
        <v>42423.678981481484</v>
      </c>
      <c r="B1319" s="8" t="str">
        <f>HYPERLINK("https://twitter.com/DrDanielGillis","@DrDanielGillis")</f>
        <v>@DrDanielGillis</v>
      </c>
      <c r="C1319" s="10" t="s">
        <v>8677</v>
      </c>
      <c r="D1319" s="10" t="s">
        <v>8656</v>
      </c>
      <c r="E1319" s="11" t="str">
        <f>HYPERLINK("https://twitter.com/DrDanielGillis/status/702286251597111297","702286251597111297")</f>
        <v>702286251597111297</v>
      </c>
      <c r="F1319" s="12" t="s">
        <v>1573</v>
      </c>
      <c r="G1319" s="13">
        <v>641.0</v>
      </c>
      <c r="H1319" s="13">
        <v>580.0</v>
      </c>
      <c r="I1319" s="13">
        <v>8.0</v>
      </c>
      <c r="J1319" s="13">
        <v>0.0</v>
      </c>
      <c r="K1319" s="12" t="s">
        <v>21</v>
      </c>
      <c r="L1319" s="7">
        <v>40396.46556712963</v>
      </c>
      <c r="M1319" s="14" t="s">
        <v>8678</v>
      </c>
      <c r="N1319" s="14" t="s">
        <v>8679</v>
      </c>
      <c r="O1319" s="11" t="str">
        <f>HYPERLINK("https://pbs.twimg.com/profile_images/672147299154399233/tbxENz9t_normal.jpg","View")</f>
        <v>View</v>
      </c>
      <c r="P1319" s="15"/>
    </row>
    <row r="1320">
      <c r="A1320" s="7">
        <v>42423.68038194445</v>
      </c>
      <c r="B1320" s="8" t="str">
        <f>HYPERLINK("https://twitter.com/RallidaeRule","@RallidaeRule")</f>
        <v>@RallidaeRule</v>
      </c>
      <c r="C1320" s="10" t="s">
        <v>8665</v>
      </c>
      <c r="D1320" s="10" t="s">
        <v>8680</v>
      </c>
      <c r="E1320" s="11" t="str">
        <f>HYPERLINK("https://twitter.com/RallidaeRule/status/702286756167548928","702286756167548928")</f>
        <v>702286756167548928</v>
      </c>
      <c r="F1320" s="12" t="s">
        <v>446</v>
      </c>
      <c r="G1320" s="13">
        <v>2627.0</v>
      </c>
      <c r="H1320" s="13">
        <v>1200.0</v>
      </c>
      <c r="I1320" s="13">
        <v>1.0</v>
      </c>
      <c r="J1320" s="13">
        <v>0.0</v>
      </c>
      <c r="K1320" s="12" t="s">
        <v>21</v>
      </c>
      <c r="L1320" s="7">
        <v>40057.58322916667</v>
      </c>
      <c r="M1320" s="14" t="s">
        <v>8667</v>
      </c>
      <c r="N1320" s="14" t="s">
        <v>8668</v>
      </c>
      <c r="O1320" s="11" t="str">
        <f>HYPERLINK("https://pbs.twimg.com/profile_images/472088432374579201/pTx9F7zb_normal.jpeg","View")</f>
        <v>View</v>
      </c>
      <c r="P1320" s="15"/>
    </row>
    <row r="1321">
      <c r="A1321" s="7">
        <v>42423.681921296295</v>
      </c>
      <c r="B1321" s="8" t="str">
        <f>HYPERLINK("https://twitter.com/byuhobbes","@byuhobbes")</f>
        <v>@byuhobbes</v>
      </c>
      <c r="C1321" s="10" t="s">
        <v>8681</v>
      </c>
      <c r="D1321" s="10" t="s">
        <v>8666</v>
      </c>
      <c r="E1321" s="11" t="str">
        <f>HYPERLINK("https://twitter.com/byuhobbes/status/702287314303787008","702287314303787008")</f>
        <v>702287314303787008</v>
      </c>
      <c r="F1321" s="12" t="s">
        <v>20</v>
      </c>
      <c r="G1321" s="13">
        <v>244.0</v>
      </c>
      <c r="H1321" s="13">
        <v>229.0</v>
      </c>
      <c r="I1321" s="13">
        <v>50.0</v>
      </c>
      <c r="J1321" s="13">
        <v>0.0</v>
      </c>
      <c r="K1321" s="12" t="s">
        <v>21</v>
      </c>
      <c r="L1321" s="7">
        <v>39938.519641203704</v>
      </c>
      <c r="M1321" s="14" t="s">
        <v>8682</v>
      </c>
      <c r="N1321" s="14" t="s">
        <v>8683</v>
      </c>
      <c r="O1321" s="11" t="str">
        <f>HYPERLINK("https://pbs.twimg.com/profile_images/609311461177856001/JU9PUtBa_normal.jpg","View")</f>
        <v>View</v>
      </c>
      <c r="P1321" s="15"/>
    </row>
    <row r="1322">
      <c r="A1322" s="7">
        <v>42423.683333333334</v>
      </c>
      <c r="B1322" s="8" t="str">
        <f>HYPERLINK("https://twitter.com/jaimedash","@jaimedash")</f>
        <v>@jaimedash</v>
      </c>
      <c r="C1322" s="10" t="s">
        <v>8684</v>
      </c>
      <c r="D1322" s="10" t="s">
        <v>8666</v>
      </c>
      <c r="E1322" s="11" t="str">
        <f>HYPERLINK("https://twitter.com/jaimedash/status/702287826159689728","702287826159689728")</f>
        <v>702287826159689728</v>
      </c>
      <c r="F1322" s="12" t="s">
        <v>446</v>
      </c>
      <c r="G1322" s="13">
        <v>717.0</v>
      </c>
      <c r="H1322" s="13">
        <v>782.0</v>
      </c>
      <c r="I1322" s="13">
        <v>50.0</v>
      </c>
      <c r="J1322" s="13">
        <v>0.0</v>
      </c>
      <c r="K1322" s="12" t="s">
        <v>21</v>
      </c>
      <c r="L1322" s="7">
        <v>40444.97054398148</v>
      </c>
      <c r="M1322" s="16"/>
      <c r="N1322" s="14" t="s">
        <v>8685</v>
      </c>
      <c r="O1322" s="11" t="str">
        <f>HYPERLINK("https://pbs.twimg.com/profile_images/681682549723168768/2Ci1883e_normal.jpg","View")</f>
        <v>View</v>
      </c>
      <c r="P1322" s="15"/>
    </row>
    <row r="1323">
      <c r="A1323" s="7">
        <v>42423.684062500004</v>
      </c>
      <c r="B1323" s="8" t="str">
        <f>HYPERLINK("https://twitter.com/NoSQLDigest","@NoSQLDigest")</f>
        <v>@NoSQLDigest</v>
      </c>
      <c r="C1323" s="10" t="s">
        <v>200</v>
      </c>
      <c r="D1323" s="10" t="s">
        <v>8672</v>
      </c>
      <c r="E1323" s="11" t="str">
        <f>HYPERLINK("https://twitter.com/NoSQLDigest/status/702288092925853697","702288092925853697")</f>
        <v>702288092925853697</v>
      </c>
      <c r="F1323" s="12" t="s">
        <v>202</v>
      </c>
      <c r="G1323" s="13">
        <v>11375.0</v>
      </c>
      <c r="H1323" s="13">
        <v>12.0</v>
      </c>
      <c r="I1323" s="13">
        <v>3.0</v>
      </c>
      <c r="J1323" s="13">
        <v>0.0</v>
      </c>
      <c r="K1323" s="12" t="s">
        <v>21</v>
      </c>
      <c r="L1323" s="7">
        <v>41854.421805555554</v>
      </c>
      <c r="M1323" s="16"/>
      <c r="N1323" s="14" t="s">
        <v>203</v>
      </c>
      <c r="O1323" s="11" t="str">
        <f>HYPERLINK("https://pbs.twimg.com/profile_images/499257180009529344/CSWhr7LZ_normal.jpeg","View")</f>
        <v>View</v>
      </c>
      <c r="P1323" s="15"/>
    </row>
    <row r="1324">
      <c r="A1324" s="7">
        <v>42423.68420138889</v>
      </c>
      <c r="B1324" s="8" t="str">
        <f t="shared" ref="B1324:B1325" si="143">HYPERLINK("https://twitter.com/ethanwhite","@ethanwhite")</f>
        <v>@ethanwhite</v>
      </c>
      <c r="C1324" s="10" t="s">
        <v>8686</v>
      </c>
      <c r="D1324" s="10" t="s">
        <v>8666</v>
      </c>
      <c r="E1324" s="11" t="str">
        <f>HYPERLINK("https://twitter.com/ethanwhite/status/702288140728401920","702288140728401920")</f>
        <v>702288140728401920</v>
      </c>
      <c r="F1324" s="12" t="s">
        <v>52</v>
      </c>
      <c r="G1324" s="13">
        <v>3024.0</v>
      </c>
      <c r="H1324" s="13">
        <v>226.0</v>
      </c>
      <c r="I1324" s="13">
        <v>50.0</v>
      </c>
      <c r="J1324" s="13">
        <v>0.0</v>
      </c>
      <c r="K1324" s="12" t="s">
        <v>21</v>
      </c>
      <c r="L1324" s="7">
        <v>39925.924212962964</v>
      </c>
      <c r="M1324" s="14" t="s">
        <v>8687</v>
      </c>
      <c r="N1324" s="14" t="s">
        <v>8688</v>
      </c>
      <c r="O1324" s="11" t="str">
        <f t="shared" ref="O1324:O1325" si="144">HYPERLINK("https://pbs.twimg.com/profile_images/180038632/avatar_current_smaller_normal.PNG","View")</f>
        <v>View</v>
      </c>
      <c r="P1324" s="15"/>
    </row>
    <row r="1325">
      <c r="A1325" s="7">
        <v>42423.68424768519</v>
      </c>
      <c r="B1325" s="8" t="str">
        <f t="shared" si="143"/>
        <v>@ethanwhite</v>
      </c>
      <c r="C1325" s="10" t="s">
        <v>8686</v>
      </c>
      <c r="D1325" s="10" t="s">
        <v>8689</v>
      </c>
      <c r="E1325" s="11" t="str">
        <f>HYPERLINK("https://twitter.com/ethanwhite/status/702288158944317440","702288158944317440")</f>
        <v>702288158944317440</v>
      </c>
      <c r="F1325" s="12" t="s">
        <v>52</v>
      </c>
      <c r="G1325" s="13">
        <v>3024.0</v>
      </c>
      <c r="H1325" s="13">
        <v>226.0</v>
      </c>
      <c r="I1325" s="13">
        <v>6.0</v>
      </c>
      <c r="J1325" s="13">
        <v>0.0</v>
      </c>
      <c r="K1325" s="12" t="s">
        <v>21</v>
      </c>
      <c r="L1325" s="7">
        <v>39925.924212962964</v>
      </c>
      <c r="M1325" s="14" t="s">
        <v>8687</v>
      </c>
      <c r="N1325" s="14" t="s">
        <v>8688</v>
      </c>
      <c r="O1325" s="11" t="str">
        <f t="shared" si="144"/>
        <v>View</v>
      </c>
      <c r="P1325" s="15"/>
    </row>
    <row r="1326">
      <c r="A1326" s="7">
        <v>42423.684849537036</v>
      </c>
      <c r="B1326" s="8" t="str">
        <f>HYPERLINK("https://twitter.com/ctitusbrown","@ctitusbrown")</f>
        <v>@ctitusbrown</v>
      </c>
      <c r="C1326" s="10" t="s">
        <v>8690</v>
      </c>
      <c r="D1326" s="10" t="s">
        <v>8666</v>
      </c>
      <c r="E1326" s="11" t="str">
        <f>HYPERLINK("https://twitter.com/ctitusbrown/status/702288378360823808","702288378360823808")</f>
        <v>702288378360823808</v>
      </c>
      <c r="F1326" s="12" t="s">
        <v>8691</v>
      </c>
      <c r="G1326" s="13">
        <v>6613.0</v>
      </c>
      <c r="H1326" s="13">
        <v>126.0</v>
      </c>
      <c r="I1326" s="13">
        <v>50.0</v>
      </c>
      <c r="J1326" s="13">
        <v>0.0</v>
      </c>
      <c r="K1326" s="12" t="s">
        <v>21</v>
      </c>
      <c r="L1326" s="7">
        <v>39897.66158564815</v>
      </c>
      <c r="M1326" s="14" t="s">
        <v>8692</v>
      </c>
      <c r="N1326" s="14" t="s">
        <v>8693</v>
      </c>
      <c r="O1326" s="11" t="str">
        <f>HYPERLINK("https://pbs.twimg.com/profile_images/662714429742514176/bwLg2tBG_normal.jpg","View")</f>
        <v>View</v>
      </c>
      <c r="P1326" s="15"/>
    </row>
    <row r="1327">
      <c r="A1327" s="7">
        <v>42423.68515046296</v>
      </c>
      <c r="B1327" s="8" t="str">
        <f>HYPERLINK("https://twitter.com/tpoi","@tpoi")</f>
        <v>@tpoi</v>
      </c>
      <c r="C1327" s="10" t="s">
        <v>8694</v>
      </c>
      <c r="D1327" s="10" t="s">
        <v>8689</v>
      </c>
      <c r="E1327" s="11" t="str">
        <f>HYPERLINK("https://twitter.com/tpoi/status/702288486024548353","702288486024548353")</f>
        <v>702288486024548353</v>
      </c>
      <c r="F1327" s="12" t="s">
        <v>152</v>
      </c>
      <c r="G1327" s="13">
        <v>2248.0</v>
      </c>
      <c r="H1327" s="13">
        <v>2058.0</v>
      </c>
      <c r="I1327" s="13">
        <v>6.0</v>
      </c>
      <c r="J1327" s="13">
        <v>0.0</v>
      </c>
      <c r="K1327" s="12" t="s">
        <v>21</v>
      </c>
      <c r="L1327" s="7">
        <v>39366.28224537037</v>
      </c>
      <c r="M1327" s="14" t="s">
        <v>5113</v>
      </c>
      <c r="N1327" s="14" t="s">
        <v>8695</v>
      </c>
      <c r="O1327" s="11" t="str">
        <f>HYPERLINK("https://pbs.twimg.com/profile_images/676829689026072578/Tc66pMai_normal.jpg","View")</f>
        <v>View</v>
      </c>
      <c r="P1327" s="15"/>
    </row>
    <row r="1328">
      <c r="A1328" s="7">
        <v>42423.685532407406</v>
      </c>
      <c r="B1328" s="8" t="str">
        <f>HYPERLINK("https://twitter.com/biconnections","@biconnections")</f>
        <v>@biconnections</v>
      </c>
      <c r="C1328" s="10" t="s">
        <v>3938</v>
      </c>
      <c r="D1328" s="10" t="s">
        <v>8462</v>
      </c>
      <c r="E1328" s="11" t="str">
        <f>HYPERLINK("https://twitter.com/biconnections/status/702288625984258053","702288625984258053")</f>
        <v>702288625984258053</v>
      </c>
      <c r="F1328" s="12" t="s">
        <v>20</v>
      </c>
      <c r="G1328" s="13">
        <v>8024.0</v>
      </c>
      <c r="H1328" s="13">
        <v>9.0</v>
      </c>
      <c r="I1328" s="13">
        <v>3.0</v>
      </c>
      <c r="J1328" s="13">
        <v>0.0</v>
      </c>
      <c r="K1328" s="12" t="s">
        <v>21</v>
      </c>
      <c r="L1328" s="7">
        <v>40970.119305555556</v>
      </c>
      <c r="M1328" s="14" t="s">
        <v>3939</v>
      </c>
      <c r="N1328" s="14" t="s">
        <v>3940</v>
      </c>
      <c r="O1328" s="11" t="str">
        <f>HYPERLINK("https://pbs.twimg.com/profile_images/1866862979/50519_388209157862059_947380685_n_normal.jpg","View")</f>
        <v>View</v>
      </c>
      <c r="P1328" s="15"/>
    </row>
    <row r="1329">
      <c r="A1329" s="7">
        <v>42423.68625</v>
      </c>
      <c r="B1329" s="8" t="str">
        <f>HYPERLINK("https://twitter.com/akm","@akm")</f>
        <v>@akm</v>
      </c>
      <c r="C1329" s="10" t="s">
        <v>8696</v>
      </c>
      <c r="D1329" s="10" t="s">
        <v>8666</v>
      </c>
      <c r="E1329" s="11" t="str">
        <f>HYPERLINK("https://twitter.com/akm/status/702288885980622848","702288885980622848")</f>
        <v>702288885980622848</v>
      </c>
      <c r="F1329" s="12" t="s">
        <v>20</v>
      </c>
      <c r="G1329" s="13">
        <v>495.0</v>
      </c>
      <c r="H1329" s="13">
        <v>557.0</v>
      </c>
      <c r="I1329" s="13">
        <v>50.0</v>
      </c>
      <c r="J1329" s="13">
        <v>0.0</v>
      </c>
      <c r="K1329" s="12" t="s">
        <v>21</v>
      </c>
      <c r="L1329" s="7">
        <v>39458.64398148148</v>
      </c>
      <c r="M1329" s="14" t="s">
        <v>1259</v>
      </c>
      <c r="N1329" s="14" t="s">
        <v>8697</v>
      </c>
      <c r="O1329" s="11" t="str">
        <f>HYPERLINK("https://pbs.twimg.com/profile_images/521721909767987200/SdP9e2rd_normal.jpeg","View")</f>
        <v>View</v>
      </c>
      <c r="P1329" s="15"/>
    </row>
    <row r="1330">
      <c r="A1330" s="7">
        <v>42423.687696759254</v>
      </c>
      <c r="B1330" s="8" t="str">
        <f>HYPERLINK("https://twitter.com/AnalyticsVidhya","@AnalyticsVidhya")</f>
        <v>@AnalyticsVidhya</v>
      </c>
      <c r="C1330" s="10" t="s">
        <v>2998</v>
      </c>
      <c r="D1330" s="10" t="s">
        <v>8698</v>
      </c>
      <c r="E1330" s="11" t="str">
        <f>HYPERLINK("https://twitter.com/AnalyticsVidhya/status/702289408716840961","702289408716840961")</f>
        <v>702289408716840961</v>
      </c>
      <c r="F1330" s="12" t="s">
        <v>294</v>
      </c>
      <c r="G1330" s="13">
        <v>4133.0</v>
      </c>
      <c r="H1330" s="13">
        <v>250.0</v>
      </c>
      <c r="I1330" s="13">
        <v>0.0</v>
      </c>
      <c r="J1330" s="13">
        <v>0.0</v>
      </c>
      <c r="K1330" s="12" t="s">
        <v>21</v>
      </c>
      <c r="L1330" s="7">
        <v>41665.11702546296</v>
      </c>
      <c r="M1330" s="16"/>
      <c r="N1330" s="14" t="s">
        <v>3000</v>
      </c>
      <c r="O1330" s="11" t="str">
        <f>HYPERLINK("https://pbs.twimg.com/profile_images/457775762108448768/XmO2C1-E_normal.png","View")</f>
        <v>View</v>
      </c>
      <c r="P1330" s="15"/>
    </row>
    <row r="1331">
      <c r="A1331" s="7">
        <v>42423.69472222222</v>
      </c>
      <c r="B1331" s="8" t="str">
        <f>HYPERLINK("https://twitter.com/hadleywickham","@hadleywickham")</f>
        <v>@hadleywickham</v>
      </c>
      <c r="C1331" s="10" t="s">
        <v>6659</v>
      </c>
      <c r="D1331" s="10" t="s">
        <v>8666</v>
      </c>
      <c r="E1331" s="11" t="str">
        <f>HYPERLINK("https://twitter.com/hadleywickham/status/702291955615531008","702291955615531008")</f>
        <v>702291955615531008</v>
      </c>
      <c r="F1331" s="12" t="s">
        <v>1082</v>
      </c>
      <c r="G1331" s="13">
        <v>24816.0</v>
      </c>
      <c r="H1331" s="13">
        <v>244.0</v>
      </c>
      <c r="I1331" s="13">
        <v>50.0</v>
      </c>
      <c r="J1331" s="13">
        <v>0.0</v>
      </c>
      <c r="K1331" s="12" t="s">
        <v>21</v>
      </c>
      <c r="L1331" s="7">
        <v>40051.69081018519</v>
      </c>
      <c r="M1331" s="14" t="s">
        <v>719</v>
      </c>
      <c r="N1331" s="14" t="s">
        <v>6661</v>
      </c>
      <c r="O1331" s="11" t="str">
        <f>HYPERLINK("https://pbs.twimg.com/profile_images/677589103710306304/m56O6Wgf_normal.jpg","View")</f>
        <v>View</v>
      </c>
      <c r="P1331" s="15"/>
    </row>
    <row r="1332">
      <c r="A1332" s="7">
        <v>42423.695509259254</v>
      </c>
      <c r="B1332" s="8" t="str">
        <f>HYPERLINK("https://twitter.com/timelyportfolio","@timelyportfolio")</f>
        <v>@timelyportfolio</v>
      </c>
      <c r="C1332" s="10" t="s">
        <v>3698</v>
      </c>
      <c r="D1332" s="10" t="s">
        <v>8666</v>
      </c>
      <c r="E1332" s="11" t="str">
        <f>HYPERLINK("https://twitter.com/timelyportfolio/status/702292239301648384","702292239301648384")</f>
        <v>702292239301648384</v>
      </c>
      <c r="F1332" s="12" t="s">
        <v>52</v>
      </c>
      <c r="G1332" s="13">
        <v>1875.0</v>
      </c>
      <c r="H1332" s="13">
        <v>2248.0</v>
      </c>
      <c r="I1332" s="13">
        <v>50.0</v>
      </c>
      <c r="J1332" s="13">
        <v>0.0</v>
      </c>
      <c r="K1332" s="12" t="s">
        <v>21</v>
      </c>
      <c r="L1332" s="7">
        <v>40573.86280092593</v>
      </c>
      <c r="M1332" s="14" t="s">
        <v>3700</v>
      </c>
      <c r="N1332" s="14" t="s">
        <v>3701</v>
      </c>
      <c r="O1332" s="11" t="str">
        <f>HYPERLINK("https://pbs.twimg.com/profile_images/2198946077/image_normal.jpg","View")</f>
        <v>View</v>
      </c>
      <c r="P1332" s="15"/>
    </row>
    <row r="1333">
      <c r="A1333" s="7">
        <v>42423.69552083334</v>
      </c>
      <c r="B1333" s="8" t="str">
        <f>HYPERLINK("https://twitter.com/abhworthington","@abhworthington")</f>
        <v>@abhworthington</v>
      </c>
      <c r="C1333" s="10" t="s">
        <v>8699</v>
      </c>
      <c r="D1333" s="10" t="s">
        <v>8666</v>
      </c>
      <c r="E1333" s="11" t="str">
        <f>HYPERLINK("https://twitter.com/abhworthington/status/702292244607459328","702292244607459328")</f>
        <v>702292244607459328</v>
      </c>
      <c r="F1333" s="12" t="s">
        <v>20</v>
      </c>
      <c r="G1333" s="13">
        <v>83.0</v>
      </c>
      <c r="H1333" s="13">
        <v>183.0</v>
      </c>
      <c r="I1333" s="13">
        <v>50.0</v>
      </c>
      <c r="J1333" s="13">
        <v>0.0</v>
      </c>
      <c r="K1333" s="12" t="s">
        <v>21</v>
      </c>
      <c r="L1333" s="7">
        <v>41076.03084490741</v>
      </c>
      <c r="M1333" s="14" t="s">
        <v>8700</v>
      </c>
      <c r="N1333" s="14" t="s">
        <v>8701</v>
      </c>
      <c r="O1333" s="11" t="str">
        <f>HYPERLINK("https://pbs.twimg.com/profile_images/2735471720/d2fcfbc855f6fe384b5d04551e47e8a3_normal.jpeg","View")</f>
        <v>View</v>
      </c>
      <c r="P1333" s="15"/>
    </row>
    <row r="1334">
      <c r="A1334" s="7">
        <v>42423.69631944444</v>
      </c>
      <c r="B1334" s="8" t="str">
        <f>HYPERLINK("https://twitter.com/APMisLow","@APMisLow")</f>
        <v>@APMisLow</v>
      </c>
      <c r="C1334" s="10" t="s">
        <v>8702</v>
      </c>
      <c r="D1334" s="10" t="s">
        <v>8666</v>
      </c>
      <c r="E1334" s="11" t="str">
        <f>HYPERLINK("https://twitter.com/APMisLow/status/702292532042944513","702292532042944513")</f>
        <v>702292532042944513</v>
      </c>
      <c r="F1334" s="12" t="s">
        <v>20</v>
      </c>
      <c r="G1334" s="13">
        <v>66.0</v>
      </c>
      <c r="H1334" s="13">
        <v>176.0</v>
      </c>
      <c r="I1334" s="13">
        <v>50.0</v>
      </c>
      <c r="J1334" s="13">
        <v>0.0</v>
      </c>
      <c r="K1334" s="12" t="s">
        <v>21</v>
      </c>
      <c r="L1334" s="7">
        <v>40954.40489583333</v>
      </c>
      <c r="M1334" s="14" t="s">
        <v>8703</v>
      </c>
      <c r="N1334" s="14" t="s">
        <v>8704</v>
      </c>
      <c r="O1334" s="11" t="str">
        <f>HYPERLINK("https://pbs.twimg.com/profile_images/562313139136389121/TvuCabhE_normal.png","View")</f>
        <v>View</v>
      </c>
      <c r="P1334" s="15"/>
    </row>
    <row r="1335">
      <c r="A1335" s="7">
        <v>42423.69693287037</v>
      </c>
      <c r="B1335" s="8" t="str">
        <f>HYPERLINK("https://twitter.com/ivacielo","@ivacielo")</f>
        <v>@ivacielo</v>
      </c>
      <c r="C1335" s="10" t="s">
        <v>8705</v>
      </c>
      <c r="D1335" s="10" t="s">
        <v>8706</v>
      </c>
      <c r="E1335" s="11" t="str">
        <f>HYPERLINK("https://twitter.com/ivacielo/status/702292754492223489","702292754492223489")</f>
        <v>702292754492223489</v>
      </c>
      <c r="F1335" s="12" t="s">
        <v>52</v>
      </c>
      <c r="G1335" s="13">
        <v>371.0</v>
      </c>
      <c r="H1335" s="13">
        <v>359.0</v>
      </c>
      <c r="I1335" s="13">
        <v>1.0</v>
      </c>
      <c r="J1335" s="13">
        <v>0.0</v>
      </c>
      <c r="K1335" s="12" t="s">
        <v>21</v>
      </c>
      <c r="L1335" s="7">
        <v>40591.644791666666</v>
      </c>
      <c r="M1335" s="14" t="s">
        <v>8707</v>
      </c>
      <c r="N1335" s="14" t="s">
        <v>8708</v>
      </c>
      <c r="O1335" s="11" t="str">
        <f>HYPERLINK("https://pbs.twimg.com/profile_images/462249278061019136/mQarirZu_normal.jpeg","View")</f>
        <v>View</v>
      </c>
      <c r="P1335" s="15"/>
    </row>
    <row r="1336">
      <c r="A1336" s="7">
        <v>42423.69820601852</v>
      </c>
      <c r="B1336" s="8" t="str">
        <f>HYPERLINK("https://twitter.com/YurikitoKSP","@YurikitoKSP")</f>
        <v>@YurikitoKSP</v>
      </c>
      <c r="C1336" s="10" t="s">
        <v>8709</v>
      </c>
      <c r="D1336" s="10" t="s">
        <v>8666</v>
      </c>
      <c r="E1336" s="11" t="str">
        <f>HYPERLINK("https://twitter.com/YurikitoKSP/status/702293214703722496","702293214703722496")</f>
        <v>702293214703722496</v>
      </c>
      <c r="F1336" s="12" t="s">
        <v>152</v>
      </c>
      <c r="G1336" s="13">
        <v>578.0</v>
      </c>
      <c r="H1336" s="13">
        <v>274.0</v>
      </c>
      <c r="I1336" s="13">
        <v>50.0</v>
      </c>
      <c r="J1336" s="13">
        <v>0.0</v>
      </c>
      <c r="K1336" s="12" t="s">
        <v>21</v>
      </c>
      <c r="L1336" s="7">
        <v>40702.39277777778</v>
      </c>
      <c r="M1336" s="14" t="s">
        <v>8710</v>
      </c>
      <c r="N1336" s="14" t="s">
        <v>8711</v>
      </c>
      <c r="O1336" s="11" t="str">
        <f>HYPERLINK("https://pbs.twimg.com/profile_images/691405569182277634/_9E3Gs1O_normal.jpg","View")</f>
        <v>View</v>
      </c>
      <c r="P1336" s="15"/>
    </row>
    <row r="1337">
      <c r="A1337" s="7">
        <v>42423.69857638889</v>
      </c>
      <c r="B1337" s="8" t="str">
        <f>HYPERLINK("https://twitter.com/jweber3rd","@jweber3rd")</f>
        <v>@jweber3rd</v>
      </c>
      <c r="C1337" s="10" t="s">
        <v>8712</v>
      </c>
      <c r="D1337" s="10" t="s">
        <v>8666</v>
      </c>
      <c r="E1337" s="11" t="str">
        <f>HYPERLINK("https://twitter.com/jweber3rd/status/702293351010177024","702293351010177024")</f>
        <v>702293351010177024</v>
      </c>
      <c r="F1337" s="12" t="s">
        <v>152</v>
      </c>
      <c r="G1337" s="13">
        <v>107.0</v>
      </c>
      <c r="H1337" s="13">
        <v>254.0</v>
      </c>
      <c r="I1337" s="13">
        <v>50.0</v>
      </c>
      <c r="J1337" s="13">
        <v>0.0</v>
      </c>
      <c r="K1337" s="12" t="s">
        <v>21</v>
      </c>
      <c r="L1337" s="7">
        <v>39791.39115740741</v>
      </c>
      <c r="M1337" s="14" t="s">
        <v>8713</v>
      </c>
      <c r="N1337" s="14" t="s">
        <v>8714</v>
      </c>
      <c r="O1337" s="11" t="str">
        <f>HYPERLINK("https://pbs.twimg.com/profile_images/282692642/jweber_normal.jpg","View")</f>
        <v>View</v>
      </c>
      <c r="P1337" s="15"/>
    </row>
    <row r="1338">
      <c r="A1338" s="7">
        <v>42423.69871527777</v>
      </c>
      <c r="B1338" s="8" t="str">
        <f>HYPERLINK("https://twitter.com/DrAndyPardoe","@DrAndyPardoe")</f>
        <v>@DrAndyPardoe</v>
      </c>
      <c r="C1338" s="10" t="s">
        <v>3351</v>
      </c>
      <c r="D1338" s="10" t="s">
        <v>8656</v>
      </c>
      <c r="E1338" s="11" t="str">
        <f>HYPERLINK("https://twitter.com/DrAndyPardoe/status/702293402155675648","702293402155675648")</f>
        <v>702293402155675648</v>
      </c>
      <c r="F1338" s="12" t="s">
        <v>38</v>
      </c>
      <c r="G1338" s="13">
        <v>3759.0</v>
      </c>
      <c r="H1338" s="13">
        <v>2473.0</v>
      </c>
      <c r="I1338" s="13">
        <v>8.0</v>
      </c>
      <c r="J1338" s="13">
        <v>0.0</v>
      </c>
      <c r="K1338" s="12" t="s">
        <v>21</v>
      </c>
      <c r="L1338" s="7">
        <v>41826.237280092595</v>
      </c>
      <c r="M1338" s="14" t="s">
        <v>1093</v>
      </c>
      <c r="N1338" s="14" t="s">
        <v>3352</v>
      </c>
      <c r="O1338" s="11" t="str">
        <f>HYPERLINK("https://pbs.twimg.com/profile_images/485766134268837889/t4PLhSfT_normal.jpeg","View")</f>
        <v>View</v>
      </c>
      <c r="P1338" s="15"/>
    </row>
    <row r="1339">
      <c r="A1339" s="7">
        <v>42423.69998842593</v>
      </c>
      <c r="B1339" s="8" t="str">
        <f>HYPERLINK("https://twitter.com/KarlskiB","@KarlskiB")</f>
        <v>@KarlskiB</v>
      </c>
      <c r="C1339" s="10" t="s">
        <v>8715</v>
      </c>
      <c r="D1339" s="10" t="s">
        <v>8666</v>
      </c>
      <c r="E1339" s="11" t="str">
        <f>HYPERLINK("https://twitter.com/KarlskiB/status/702293861356285953","702293861356285953")</f>
        <v>702293861356285953</v>
      </c>
      <c r="F1339" s="12" t="s">
        <v>124</v>
      </c>
      <c r="G1339" s="13">
        <v>289.0</v>
      </c>
      <c r="H1339" s="13">
        <v>301.0</v>
      </c>
      <c r="I1339" s="13">
        <v>50.0</v>
      </c>
      <c r="J1339" s="13">
        <v>0.0</v>
      </c>
      <c r="K1339" s="12" t="s">
        <v>21</v>
      </c>
      <c r="L1339" s="7">
        <v>39944.25122685185</v>
      </c>
      <c r="M1339" s="14" t="s">
        <v>8716</v>
      </c>
      <c r="N1339" s="14" t="s">
        <v>8717</v>
      </c>
      <c r="O1339" s="11" t="str">
        <f>HYPERLINK("https://pbs.twimg.com/profile_images/206819990/wellington_normal.jpg","View")</f>
        <v>View</v>
      </c>
      <c r="P1339" s="15"/>
    </row>
    <row r="1340">
      <c r="A1340" s="7">
        <v>42423.70350694444</v>
      </c>
      <c r="B1340" s="8" t="str">
        <f>HYPERLINK("https://twitter.com/ARTbio_IBPS","@ARTbio_IBPS")</f>
        <v>@ARTbio_IBPS</v>
      </c>
      <c r="C1340" s="10" t="s">
        <v>8718</v>
      </c>
      <c r="D1340" s="10" t="s">
        <v>8434</v>
      </c>
      <c r="E1340" s="11" t="str">
        <f>HYPERLINK("https://twitter.com/ARTbio_IBPS/status/702295138895327233","702295138895327233")</f>
        <v>702295138895327233</v>
      </c>
      <c r="F1340" s="12" t="s">
        <v>52</v>
      </c>
      <c r="G1340" s="13">
        <v>66.0</v>
      </c>
      <c r="H1340" s="13">
        <v>92.0</v>
      </c>
      <c r="I1340" s="13">
        <v>12.0</v>
      </c>
      <c r="J1340" s="13">
        <v>0.0</v>
      </c>
      <c r="K1340" s="12" t="s">
        <v>21</v>
      </c>
      <c r="L1340" s="7">
        <v>42208.27431712963</v>
      </c>
      <c r="M1340" s="14" t="s">
        <v>2002</v>
      </c>
      <c r="N1340" s="14" t="s">
        <v>8719</v>
      </c>
      <c r="O1340" s="11" t="str">
        <f>HYPERLINK("https://pbs.twimg.com/profile_images/624213374545592320/Jd0fTL6e_normal.jpg","View")</f>
        <v>View</v>
      </c>
      <c r="P1340" s="15"/>
    </row>
    <row r="1341">
      <c r="A1341" s="7">
        <v>42423.70428240741</v>
      </c>
      <c r="B1341" s="8" t="str">
        <f>HYPERLINK("https://twitter.com/ArjunaMeridian","@ArjunaMeridian")</f>
        <v>@ArjunaMeridian</v>
      </c>
      <c r="C1341" s="10" t="s">
        <v>8720</v>
      </c>
      <c r="D1341" s="10" t="s">
        <v>8721</v>
      </c>
      <c r="E1341" s="11" t="str">
        <f>HYPERLINK("https://twitter.com/ArjunaMeridian/status/702295416683933698","702295416683933698")</f>
        <v>702295416683933698</v>
      </c>
      <c r="F1341" s="12" t="s">
        <v>2063</v>
      </c>
      <c r="G1341" s="13">
        <v>43.0</v>
      </c>
      <c r="H1341" s="13">
        <v>78.0</v>
      </c>
      <c r="I1341" s="13">
        <v>0.0</v>
      </c>
      <c r="J1341" s="13">
        <v>0.0</v>
      </c>
      <c r="K1341" s="12" t="s">
        <v>21</v>
      </c>
      <c r="L1341" s="7">
        <v>40242.495983796296</v>
      </c>
      <c r="M1341" s="16"/>
      <c r="N1341" s="16"/>
      <c r="O1341" s="11" t="str">
        <f>HYPERLINK("https://pbs.twimg.com/profile_images/1111285428/IMG_0026_normal.jpg","View")</f>
        <v>View</v>
      </c>
      <c r="P1341" s="15"/>
    </row>
    <row r="1342">
      <c r="A1342" s="7">
        <v>42423.706296296295</v>
      </c>
      <c r="B1342" s="8" t="str">
        <f>HYPERLINK("https://twitter.com/homeAIinfo","@homeAIinfo")</f>
        <v>@homeAIinfo</v>
      </c>
      <c r="C1342" s="10" t="s">
        <v>36</v>
      </c>
      <c r="D1342" s="10" t="s">
        <v>8656</v>
      </c>
      <c r="E1342" s="11" t="str">
        <f>HYPERLINK("https://twitter.com/homeAIinfo/status/702296147545686016","702296147545686016")</f>
        <v>702296147545686016</v>
      </c>
      <c r="F1342" s="12" t="s">
        <v>38</v>
      </c>
      <c r="G1342" s="13">
        <v>52868.0</v>
      </c>
      <c r="H1342" s="13">
        <v>1328.0</v>
      </c>
      <c r="I1342" s="13">
        <v>8.0</v>
      </c>
      <c r="J1342" s="13">
        <v>0.0</v>
      </c>
      <c r="K1342" s="12" t="s">
        <v>21</v>
      </c>
      <c r="L1342" s="7">
        <v>42133.34662037037</v>
      </c>
      <c r="M1342" s="14" t="s">
        <v>39</v>
      </c>
      <c r="N1342" s="14" t="s">
        <v>40</v>
      </c>
      <c r="O1342" s="11" t="str">
        <f>HYPERLINK("https://pbs.twimg.com/profile_images/645650110374936580/-oQakt8x_normal.png","View")</f>
        <v>View</v>
      </c>
      <c r="P1342" s="15"/>
    </row>
    <row r="1343">
      <c r="A1343" s="7">
        <v>42423.70671296296</v>
      </c>
      <c r="B1343" s="8" t="str">
        <f>HYPERLINK("https://twitter.com/BeamJake","@BeamJake")</f>
        <v>@BeamJake</v>
      </c>
      <c r="C1343" s="10" t="s">
        <v>8722</v>
      </c>
      <c r="D1343" s="10" t="s">
        <v>8666</v>
      </c>
      <c r="E1343" s="11" t="str">
        <f>HYPERLINK("https://twitter.com/BeamJake/status/702296301090680832","702296301090680832")</f>
        <v>702296301090680832</v>
      </c>
      <c r="F1343" s="12" t="s">
        <v>52</v>
      </c>
      <c r="G1343" s="13">
        <v>132.0</v>
      </c>
      <c r="H1343" s="13">
        <v>270.0</v>
      </c>
      <c r="I1343" s="13">
        <v>50.0</v>
      </c>
      <c r="J1343" s="13">
        <v>0.0</v>
      </c>
      <c r="K1343" s="12" t="s">
        <v>21</v>
      </c>
      <c r="L1343" s="7">
        <v>41210.5996875</v>
      </c>
      <c r="M1343" s="14" t="s">
        <v>8723</v>
      </c>
      <c r="N1343" s="14" t="s">
        <v>8724</v>
      </c>
      <c r="O1343" s="11" t="str">
        <f>HYPERLINK("https://pbs.twimg.com/profile_images/616249323060269057/ZHI_bS81_normal.jpg","View")</f>
        <v>View</v>
      </c>
      <c r="P1343" s="15"/>
    </row>
    <row r="1344">
      <c r="A1344" s="7">
        <v>42423.707141203704</v>
      </c>
      <c r="B1344" s="8" t="str">
        <f>HYPERLINK("https://twitter.com/is_aj","@is_aj")</f>
        <v>@is_aj</v>
      </c>
      <c r="C1344" s="10" t="s">
        <v>8725</v>
      </c>
      <c r="D1344" s="10" t="s">
        <v>8666</v>
      </c>
      <c r="E1344" s="11" t="str">
        <f>HYPERLINK("https://twitter.com/is_aj/status/702296454920949760","702296454920949760")</f>
        <v>702296454920949760</v>
      </c>
      <c r="F1344" s="12" t="s">
        <v>152</v>
      </c>
      <c r="G1344" s="13">
        <v>386.0</v>
      </c>
      <c r="H1344" s="13">
        <v>825.0</v>
      </c>
      <c r="I1344" s="13">
        <v>50.0</v>
      </c>
      <c r="J1344" s="13">
        <v>0.0</v>
      </c>
      <c r="K1344" s="12" t="s">
        <v>21</v>
      </c>
      <c r="L1344" s="7">
        <v>39900.08489583334</v>
      </c>
      <c r="M1344" s="16"/>
      <c r="N1344" s="14" t="s">
        <v>8726</v>
      </c>
      <c r="O1344" s="11" t="str">
        <f>HYPERLINK("https://pbs.twimg.com/profile_images/1709509309/IMG_9232_small_normal.JPG","View")</f>
        <v>View</v>
      </c>
      <c r="P1344" s="15"/>
    </row>
    <row r="1345">
      <c r="A1345" s="7">
        <v>42423.70737268518</v>
      </c>
      <c r="B1345" s="8" t="str">
        <f>HYPERLINK("https://twitter.com/cnchapman","@cnchapman")</f>
        <v>@cnchapman</v>
      </c>
      <c r="C1345" s="10" t="s">
        <v>8727</v>
      </c>
      <c r="D1345" s="10" t="s">
        <v>8728</v>
      </c>
      <c r="E1345" s="11" t="str">
        <f>HYPERLINK("https://twitter.com/cnchapman/status/702296537229996033","702296537229996033")</f>
        <v>702296537229996033</v>
      </c>
      <c r="F1345" s="12" t="s">
        <v>20</v>
      </c>
      <c r="G1345" s="13">
        <v>243.0</v>
      </c>
      <c r="H1345" s="13">
        <v>260.0</v>
      </c>
      <c r="I1345" s="13">
        <v>2.0</v>
      </c>
      <c r="J1345" s="13">
        <v>0.0</v>
      </c>
      <c r="K1345" s="12" t="s">
        <v>21</v>
      </c>
      <c r="L1345" s="7">
        <v>39838.50884259259</v>
      </c>
      <c r="M1345" s="14" t="s">
        <v>1259</v>
      </c>
      <c r="N1345" s="14" t="s">
        <v>8729</v>
      </c>
      <c r="O1345" s="11" t="str">
        <f>HYPERLINK("https://pbs.twimg.com/profile_images/572842946345463808/ysirsaBW_normal.jpeg","View")</f>
        <v>View</v>
      </c>
      <c r="P1345" s="15"/>
    </row>
    <row r="1346">
      <c r="A1346" s="7">
        <v>42423.70743055556</v>
      </c>
      <c r="B1346" s="8" t="str">
        <f t="shared" ref="B1346:B1347" si="145">HYPERLINK("https://twitter.com/phnk","@phnk")</f>
        <v>@phnk</v>
      </c>
      <c r="C1346" s="10" t="s">
        <v>8730</v>
      </c>
      <c r="D1346" s="10" t="s">
        <v>8731</v>
      </c>
      <c r="E1346" s="11" t="str">
        <f>HYPERLINK("https://twitter.com/phnk/status/702296559116029952","702296559116029952")</f>
        <v>702296559116029952</v>
      </c>
      <c r="F1346" s="12" t="s">
        <v>20</v>
      </c>
      <c r="G1346" s="13">
        <v>303.0</v>
      </c>
      <c r="H1346" s="13">
        <v>83.0</v>
      </c>
      <c r="I1346" s="13">
        <v>3.0</v>
      </c>
      <c r="J1346" s="13">
        <v>3.0</v>
      </c>
      <c r="K1346" s="12" t="s">
        <v>21</v>
      </c>
      <c r="L1346" s="7">
        <v>39559.102013888885</v>
      </c>
      <c r="M1346" s="16"/>
      <c r="N1346" s="16"/>
      <c r="O1346" s="11" t="str">
        <f t="shared" ref="O1346:O1347" si="146">HYPERLINK("https://pbs.twimg.com/profile_images/53085295/Picture_1_normal.png","View")</f>
        <v>View</v>
      </c>
      <c r="P1346" s="15"/>
    </row>
    <row r="1347">
      <c r="A1347" s="7">
        <v>42423.70796296296</v>
      </c>
      <c r="B1347" s="8" t="str">
        <f t="shared" si="145"/>
        <v>@phnk</v>
      </c>
      <c r="C1347" s="10" t="s">
        <v>8730</v>
      </c>
      <c r="D1347" s="10" t="s">
        <v>8732</v>
      </c>
      <c r="E1347" s="11" t="str">
        <f>HYPERLINK("https://twitter.com/phnk/status/702296750757957632","702296750757957632")</f>
        <v>702296750757957632</v>
      </c>
      <c r="F1347" s="12" t="s">
        <v>20</v>
      </c>
      <c r="G1347" s="13">
        <v>303.0</v>
      </c>
      <c r="H1347" s="13">
        <v>83.0</v>
      </c>
      <c r="I1347" s="13">
        <v>2.0</v>
      </c>
      <c r="J1347" s="13">
        <v>4.0</v>
      </c>
      <c r="K1347" s="12" t="s">
        <v>21</v>
      </c>
      <c r="L1347" s="7">
        <v>39559.102013888885</v>
      </c>
      <c r="M1347" s="16"/>
      <c r="N1347" s="16"/>
      <c r="O1347" s="11" t="str">
        <f t="shared" si="146"/>
        <v>View</v>
      </c>
      <c r="P1347" s="15"/>
    </row>
    <row r="1348">
      <c r="A1348" s="7">
        <v>42423.70959490741</v>
      </c>
      <c r="B1348" s="8" t="str">
        <f>HYPERLINK("https://twitter.com/MathBioPaul","@MathBioPaul")</f>
        <v>@MathBioPaul</v>
      </c>
      <c r="C1348" s="10" t="s">
        <v>8733</v>
      </c>
      <c r="D1348" s="10" t="s">
        <v>8734</v>
      </c>
      <c r="E1348" s="11" t="str">
        <f>HYPERLINK("https://twitter.com/MathBioPaul/status/702297341827485696","702297341827485696")</f>
        <v>702297341827485696</v>
      </c>
      <c r="F1348" s="12" t="s">
        <v>20</v>
      </c>
      <c r="G1348" s="13">
        <v>411.0</v>
      </c>
      <c r="H1348" s="13">
        <v>286.0</v>
      </c>
      <c r="I1348" s="13">
        <v>1.0</v>
      </c>
      <c r="J1348" s="13">
        <v>1.0</v>
      </c>
      <c r="K1348" s="12" t="s">
        <v>21</v>
      </c>
      <c r="L1348" s="7">
        <v>40617.5212962963</v>
      </c>
      <c r="M1348" s="14" t="s">
        <v>4281</v>
      </c>
      <c r="N1348" s="14" t="s">
        <v>8735</v>
      </c>
      <c r="O1348" s="11" t="str">
        <f>HYPERLINK("https://pbs.twimg.com/profile_images/501470296642035713/xiq0ddWi_normal.jpeg","View")</f>
        <v>View</v>
      </c>
      <c r="P1348" s="15"/>
    </row>
    <row r="1349">
      <c r="A1349" s="7">
        <v>42423.70959490741</v>
      </c>
      <c r="B1349" s="8" t="str">
        <f>HYPERLINK("https://twitter.com/kurai_yousei","@kurai_yousei")</f>
        <v>@kurai_yousei</v>
      </c>
      <c r="C1349" s="10" t="s">
        <v>8736</v>
      </c>
      <c r="D1349" s="10" t="s">
        <v>8666</v>
      </c>
      <c r="E1349" s="11" t="str">
        <f>HYPERLINK("https://twitter.com/kurai_yousei/status/702297344943915008","702297344943915008")</f>
        <v>702297344943915008</v>
      </c>
      <c r="F1349" s="12" t="s">
        <v>52</v>
      </c>
      <c r="G1349" s="13">
        <v>39.0</v>
      </c>
      <c r="H1349" s="13">
        <v>100.0</v>
      </c>
      <c r="I1349" s="13">
        <v>50.0</v>
      </c>
      <c r="J1349" s="13">
        <v>0.0</v>
      </c>
      <c r="K1349" s="12" t="s">
        <v>21</v>
      </c>
      <c r="L1349" s="7">
        <v>40088.30721064815</v>
      </c>
      <c r="M1349" s="14" t="s">
        <v>8737</v>
      </c>
      <c r="N1349" s="14" t="s">
        <v>8738</v>
      </c>
      <c r="O1349" s="11" t="str">
        <f>HYPERLINK("https://pbs.twimg.com/profile_images/602746912203116544/hcBnhYS1_normal.png","View")</f>
        <v>View</v>
      </c>
      <c r="P1349" s="15"/>
    </row>
    <row r="1350">
      <c r="A1350" s="7">
        <v>42423.70972222222</v>
      </c>
      <c r="B1350" s="8" t="str">
        <f>HYPERLINK("https://twitter.com/RallidaeRule","@RallidaeRule")</f>
        <v>@RallidaeRule</v>
      </c>
      <c r="C1350" s="10" t="s">
        <v>8665</v>
      </c>
      <c r="D1350" s="10" t="s">
        <v>8739</v>
      </c>
      <c r="E1350" s="11" t="str">
        <f>HYPERLINK("https://twitter.com/RallidaeRule/status/702297389722259456","702297389722259456")</f>
        <v>702297389722259456</v>
      </c>
      <c r="F1350" s="12" t="s">
        <v>446</v>
      </c>
      <c r="G1350" s="13">
        <v>2627.0</v>
      </c>
      <c r="H1350" s="13">
        <v>1200.0</v>
      </c>
      <c r="I1350" s="13">
        <v>1.0</v>
      </c>
      <c r="J1350" s="13">
        <v>0.0</v>
      </c>
      <c r="K1350" s="12" t="s">
        <v>21</v>
      </c>
      <c r="L1350" s="7">
        <v>40057.58322916667</v>
      </c>
      <c r="M1350" s="14" t="s">
        <v>8667</v>
      </c>
      <c r="N1350" s="14" t="s">
        <v>8668</v>
      </c>
      <c r="O1350" s="11" t="str">
        <f>HYPERLINK("https://pbs.twimg.com/profile_images/472088432374579201/pTx9F7zb_normal.jpeg","View")</f>
        <v>View</v>
      </c>
      <c r="P1350" s="15"/>
    </row>
    <row r="1351">
      <c r="A1351" s="7">
        <v>42423.70998842592</v>
      </c>
      <c r="B1351" s="8" t="str">
        <f>HYPERLINK("https://twitter.com/abresler","@abresler")</f>
        <v>@abresler</v>
      </c>
      <c r="C1351" s="10" t="s">
        <v>6436</v>
      </c>
      <c r="D1351" s="10" t="s">
        <v>8740</v>
      </c>
      <c r="E1351" s="11" t="str">
        <f>HYPERLINK("https://twitter.com/abresler/status/702297488062074880","702297488062074880")</f>
        <v>702297488062074880</v>
      </c>
      <c r="F1351" s="12" t="s">
        <v>152</v>
      </c>
      <c r="G1351" s="13">
        <v>1626.0</v>
      </c>
      <c r="H1351" s="13">
        <v>2074.0</v>
      </c>
      <c r="I1351" s="13">
        <v>0.0</v>
      </c>
      <c r="J1351" s="13">
        <v>2.0</v>
      </c>
      <c r="K1351" s="12" t="s">
        <v>21</v>
      </c>
      <c r="L1351" s="7">
        <v>39796.802407407406</v>
      </c>
      <c r="M1351" s="14" t="s">
        <v>6438</v>
      </c>
      <c r="N1351" s="14" t="s">
        <v>6439</v>
      </c>
      <c r="O1351" s="11" t="str">
        <f>HYPERLINK("https://pbs.twimg.com/profile_images/669441951192760324/zJylEnJ7_normal.jpg","View")</f>
        <v>View</v>
      </c>
      <c r="P1351" s="15"/>
    </row>
    <row r="1352">
      <c r="A1352" s="7">
        <v>42423.71109953704</v>
      </c>
      <c r="B1352" s="8" t="str">
        <f>HYPERLINK("https://twitter.com/sfrechette","@sfrechette")</f>
        <v>@sfrechette</v>
      </c>
      <c r="C1352" s="10" t="s">
        <v>6564</v>
      </c>
      <c r="D1352" s="10" t="s">
        <v>8741</v>
      </c>
      <c r="E1352" s="11" t="str">
        <f>HYPERLINK("https://twitter.com/sfrechette/status/702297890019000320","702297890019000320")</f>
        <v>702297890019000320</v>
      </c>
      <c r="F1352" s="12" t="s">
        <v>6566</v>
      </c>
      <c r="G1352" s="13">
        <v>1352.0</v>
      </c>
      <c r="H1352" s="13">
        <v>1178.0</v>
      </c>
      <c r="I1352" s="13">
        <v>0.0</v>
      </c>
      <c r="J1352" s="13">
        <v>0.0</v>
      </c>
      <c r="K1352" s="12" t="s">
        <v>21</v>
      </c>
      <c r="L1352" s="7">
        <v>39873.53702546297</v>
      </c>
      <c r="M1352" s="14" t="s">
        <v>6567</v>
      </c>
      <c r="N1352" s="14" t="s">
        <v>6568</v>
      </c>
      <c r="O1352" s="11" t="str">
        <f>HYPERLINK("https://pbs.twimg.com/profile_images/662342111799304192/Xtv8MZ-P_normal.jpg","View")</f>
        <v>View</v>
      </c>
      <c r="P1352" s="15"/>
    </row>
    <row r="1353">
      <c r="A1353" s="7">
        <v>42423.715</v>
      </c>
      <c r="B1353" s="8" t="str">
        <f>HYPERLINK("https://twitter.com/i_rockhopper","@i_rockhopper")</f>
        <v>@i_rockhopper</v>
      </c>
      <c r="C1353" s="10" t="s">
        <v>8742</v>
      </c>
      <c r="D1353" s="10" t="s">
        <v>8743</v>
      </c>
      <c r="E1353" s="11" t="str">
        <f>HYPERLINK("https://twitter.com/i_rockhopper/status/702299301695922177","702299301695922177")</f>
        <v>702299301695922177</v>
      </c>
      <c r="F1353" s="12" t="s">
        <v>20</v>
      </c>
      <c r="G1353" s="13">
        <v>91.0</v>
      </c>
      <c r="H1353" s="13">
        <v>141.0</v>
      </c>
      <c r="I1353" s="13">
        <v>0.0</v>
      </c>
      <c r="J1353" s="13">
        <v>0.0</v>
      </c>
      <c r="K1353" s="12" t="s">
        <v>21</v>
      </c>
      <c r="L1353" s="7">
        <v>42012.381319444445</v>
      </c>
      <c r="M1353" s="14" t="s">
        <v>8744</v>
      </c>
      <c r="N1353" s="14" t="s">
        <v>8745</v>
      </c>
      <c r="O1353" s="11" t="str">
        <f>HYPERLINK("https://pbs.twimg.com/profile_images/621780049520267264/R3GvI0eI_normal.jpg","View")</f>
        <v>View</v>
      </c>
      <c r="P1353" s="15"/>
    </row>
    <row r="1354">
      <c r="A1354" s="7">
        <v>42423.71576388889</v>
      </c>
      <c r="B1354" s="8" t="str">
        <f>HYPERLINK("https://twitter.com/kjhealy","@kjhealy")</f>
        <v>@kjhealy</v>
      </c>
      <c r="C1354" s="10" t="s">
        <v>8746</v>
      </c>
      <c r="D1354" s="10" t="s">
        <v>8666</v>
      </c>
      <c r="E1354" s="11" t="str">
        <f>HYPERLINK("https://twitter.com/kjhealy/status/702299579706961921","702299579706961921")</f>
        <v>702299579706961921</v>
      </c>
      <c r="F1354" s="12" t="s">
        <v>20</v>
      </c>
      <c r="G1354" s="13">
        <v>8982.0</v>
      </c>
      <c r="H1354" s="13">
        <v>100.0</v>
      </c>
      <c r="I1354" s="13">
        <v>50.0</v>
      </c>
      <c r="J1354" s="13">
        <v>0.0</v>
      </c>
      <c r="K1354" s="12" t="s">
        <v>21</v>
      </c>
      <c r="L1354" s="7">
        <v>39132.87519675926</v>
      </c>
      <c r="M1354" s="14" t="s">
        <v>8747</v>
      </c>
      <c r="N1354" s="14" t="s">
        <v>8748</v>
      </c>
      <c r="O1354" s="11" t="str">
        <f>HYPERLINK("https://pbs.twimg.com/profile_images/525000366551617537/U5Mm-OvJ_normal.png","View")</f>
        <v>View</v>
      </c>
      <c r="P1354" s="15"/>
    </row>
    <row r="1355">
      <c r="A1355" s="7">
        <v>42423.71738425926</v>
      </c>
      <c r="B1355" s="8" t="str">
        <f>HYPERLINK("https://twitter.com/ucfagls","@ucfagls")</f>
        <v>@ucfagls</v>
      </c>
      <c r="C1355" s="10" t="s">
        <v>7840</v>
      </c>
      <c r="D1355" s="10" t="s">
        <v>8689</v>
      </c>
      <c r="E1355" s="11" t="str">
        <f>HYPERLINK("https://twitter.com/ucfagls/status/702300166938755074","702300166938755074")</f>
        <v>702300166938755074</v>
      </c>
      <c r="F1355" s="12" t="s">
        <v>446</v>
      </c>
      <c r="G1355" s="13">
        <v>1631.0</v>
      </c>
      <c r="H1355" s="13">
        <v>1018.0</v>
      </c>
      <c r="I1355" s="13">
        <v>6.0</v>
      </c>
      <c r="J1355" s="13">
        <v>0.0</v>
      </c>
      <c r="K1355" s="12" t="s">
        <v>21</v>
      </c>
      <c r="L1355" s="7">
        <v>40648.72398148148</v>
      </c>
      <c r="M1355" s="14" t="s">
        <v>7841</v>
      </c>
      <c r="N1355" s="14" t="s">
        <v>7842</v>
      </c>
      <c r="O1355" s="11" t="str">
        <f>HYPERLINK("https://pbs.twimg.com/profile_images/564871970454401024/omH5A6W0_normal.png","View")</f>
        <v>View</v>
      </c>
      <c r="P1355" s="15"/>
    </row>
    <row r="1356">
      <c r="A1356" s="7">
        <v>42423.71760416667</v>
      </c>
      <c r="B1356" s="8" t="str">
        <f t="shared" ref="B1356:B1357" si="147">HYPERLINK("https://twitter.com/jrdnmdhl","@jrdnmdhl")</f>
        <v>@jrdnmdhl</v>
      </c>
      <c r="C1356" s="10" t="s">
        <v>8749</v>
      </c>
      <c r="D1356" s="10" t="s">
        <v>8750</v>
      </c>
      <c r="E1356" s="11" t="str">
        <f>HYPERLINK("https://twitter.com/jrdnmdhl/status/702300247888891905","702300247888891905")</f>
        <v>702300247888891905</v>
      </c>
      <c r="F1356" s="12" t="s">
        <v>52</v>
      </c>
      <c r="G1356" s="13">
        <v>47.0</v>
      </c>
      <c r="H1356" s="13">
        <v>226.0</v>
      </c>
      <c r="I1356" s="13">
        <v>3.0</v>
      </c>
      <c r="J1356" s="13">
        <v>0.0</v>
      </c>
      <c r="K1356" s="12" t="s">
        <v>21</v>
      </c>
      <c r="L1356" s="7">
        <v>42378.92321759259</v>
      </c>
      <c r="M1356" s="14" t="s">
        <v>8751</v>
      </c>
      <c r="N1356" s="14" t="s">
        <v>8752</v>
      </c>
      <c r="O1356" s="11" t="str">
        <f t="shared" ref="O1356:O1357" si="148">HYPERLINK("https://pbs.twimg.com/profile_images/686829356220608512/Xvuztyrm_normal.jpg","View")</f>
        <v>View</v>
      </c>
      <c r="P1356" s="15"/>
    </row>
    <row r="1357">
      <c r="A1357" s="7">
        <v>42423.71766203704</v>
      </c>
      <c r="B1357" s="8" t="str">
        <f t="shared" si="147"/>
        <v>@jrdnmdhl</v>
      </c>
      <c r="C1357" s="10" t="s">
        <v>8749</v>
      </c>
      <c r="D1357" s="10" t="s">
        <v>8753</v>
      </c>
      <c r="E1357" s="11" t="str">
        <f>HYPERLINK("https://twitter.com/jrdnmdhl/status/702300268738777089","702300268738777089")</f>
        <v>702300268738777089</v>
      </c>
      <c r="F1357" s="12" t="s">
        <v>52</v>
      </c>
      <c r="G1357" s="13">
        <v>47.0</v>
      </c>
      <c r="H1357" s="13">
        <v>226.0</v>
      </c>
      <c r="I1357" s="13">
        <v>2.0</v>
      </c>
      <c r="J1357" s="13">
        <v>0.0</v>
      </c>
      <c r="K1357" s="12" t="s">
        <v>21</v>
      </c>
      <c r="L1357" s="7">
        <v>42378.92321759259</v>
      </c>
      <c r="M1357" s="14" t="s">
        <v>8751</v>
      </c>
      <c r="N1357" s="14" t="s">
        <v>8752</v>
      </c>
      <c r="O1357" s="11" t="str">
        <f t="shared" si="148"/>
        <v>View</v>
      </c>
      <c r="P1357" s="15"/>
    </row>
    <row r="1358">
      <c r="A1358" s="7">
        <v>42423.71902777778</v>
      </c>
      <c r="B1358" s="8" t="str">
        <f>HYPERLINK("https://twitter.com/ucfagls","@ucfagls")</f>
        <v>@ucfagls</v>
      </c>
      <c r="C1358" s="10" t="s">
        <v>7840</v>
      </c>
      <c r="D1358" s="10" t="s">
        <v>8666</v>
      </c>
      <c r="E1358" s="11" t="str">
        <f>HYPERLINK("https://twitter.com/ucfagls/status/702300761649098753","702300761649098753")</f>
        <v>702300761649098753</v>
      </c>
      <c r="F1358" s="12" t="s">
        <v>446</v>
      </c>
      <c r="G1358" s="13">
        <v>1631.0</v>
      </c>
      <c r="H1358" s="13">
        <v>1018.0</v>
      </c>
      <c r="I1358" s="13">
        <v>50.0</v>
      </c>
      <c r="J1358" s="13">
        <v>0.0</v>
      </c>
      <c r="K1358" s="12" t="s">
        <v>21</v>
      </c>
      <c r="L1358" s="7">
        <v>40648.72398148148</v>
      </c>
      <c r="M1358" s="14" t="s">
        <v>7841</v>
      </c>
      <c r="N1358" s="14" t="s">
        <v>7842</v>
      </c>
      <c r="O1358" s="11" t="str">
        <f>HYPERLINK("https://pbs.twimg.com/profile_images/564871970454401024/omH5A6W0_normal.png","View")</f>
        <v>View</v>
      </c>
      <c r="P1358" s="15"/>
    </row>
    <row r="1359">
      <c r="A1359" s="7">
        <v>42423.7205324074</v>
      </c>
      <c r="B1359" s="8" t="str">
        <f>HYPERLINK("https://twitter.com/sckottie","@sckottie")</f>
        <v>@sckottie</v>
      </c>
      <c r="C1359" s="10" t="s">
        <v>7836</v>
      </c>
      <c r="D1359" s="10" t="s">
        <v>8754</v>
      </c>
      <c r="E1359" s="11" t="str">
        <f>HYPERLINK("https://twitter.com/sckottie/status/702301309341282309","702301309341282309")</f>
        <v>702301309341282309</v>
      </c>
      <c r="F1359" s="12" t="s">
        <v>446</v>
      </c>
      <c r="G1359" s="13">
        <v>3140.0</v>
      </c>
      <c r="H1359" s="13">
        <v>990.0</v>
      </c>
      <c r="I1359" s="13">
        <v>1.0</v>
      </c>
      <c r="J1359" s="13">
        <v>1.0</v>
      </c>
      <c r="K1359" s="12" t="s">
        <v>21</v>
      </c>
      <c r="L1359" s="7">
        <v>40186.2953587963</v>
      </c>
      <c r="M1359" s="14" t="s">
        <v>7838</v>
      </c>
      <c r="N1359" s="14" t="s">
        <v>7839</v>
      </c>
      <c r="O1359" s="11" t="str">
        <f>HYPERLINK("https://pbs.twimg.com/profile_images/628062474491670529/KOOABG9v_normal.jpg","View")</f>
        <v>View</v>
      </c>
      <c r="P1359" s="15"/>
    </row>
    <row r="1360">
      <c r="A1360" s="7">
        <v>42423.7205324074</v>
      </c>
      <c r="B1360" s="8" t="str">
        <f>HYPERLINK("https://twitter.com/pdxrlang","@pdxrlang")</f>
        <v>@pdxrlang</v>
      </c>
      <c r="C1360" s="10" t="s">
        <v>8755</v>
      </c>
      <c r="D1360" s="10" t="s">
        <v>8756</v>
      </c>
      <c r="E1360" s="11" t="str">
        <f>HYPERLINK("https://twitter.com/pdxrlang/status/702301309341343746","702301309341343746")</f>
        <v>702301309341343746</v>
      </c>
      <c r="F1360" s="12" t="s">
        <v>446</v>
      </c>
      <c r="G1360" s="13">
        <v>73.0</v>
      </c>
      <c r="H1360" s="13">
        <v>2.0</v>
      </c>
      <c r="I1360" s="13">
        <v>1.0</v>
      </c>
      <c r="J1360" s="13">
        <v>2.0</v>
      </c>
      <c r="K1360" s="12" t="s">
        <v>21</v>
      </c>
      <c r="L1360" s="7">
        <v>42102.461851851855</v>
      </c>
      <c r="M1360" s="14" t="s">
        <v>2181</v>
      </c>
      <c r="N1360" s="14" t="s">
        <v>8757</v>
      </c>
      <c r="O1360" s="11" t="str">
        <f>HYPERLINK("https://pbs.twimg.com/profile_images/585868440440700928/i6zV-hSn_normal.png","View")</f>
        <v>View</v>
      </c>
      <c r="P1360" s="15"/>
    </row>
    <row r="1361">
      <c r="A1361" s="7">
        <v>42423.72172453704</v>
      </c>
      <c r="B1361" s="8" t="str">
        <f>HYPERLINK("https://twitter.com/timelyportfolio","@timelyportfolio")</f>
        <v>@timelyportfolio</v>
      </c>
      <c r="C1361" s="10" t="s">
        <v>3698</v>
      </c>
      <c r="D1361" s="10" t="s">
        <v>8758</v>
      </c>
      <c r="E1361" s="11" t="str">
        <f>HYPERLINK("https://twitter.com/timelyportfolio/status/702301739651883008","702301739651883008")</f>
        <v>702301739651883008</v>
      </c>
      <c r="F1361" s="12" t="s">
        <v>52</v>
      </c>
      <c r="G1361" s="13">
        <v>1875.0</v>
      </c>
      <c r="H1361" s="13">
        <v>2248.0</v>
      </c>
      <c r="I1361" s="13">
        <v>1.0</v>
      </c>
      <c r="J1361" s="13">
        <v>0.0</v>
      </c>
      <c r="K1361" s="12" t="s">
        <v>21</v>
      </c>
      <c r="L1361" s="7">
        <v>40573.86280092593</v>
      </c>
      <c r="M1361" s="14" t="s">
        <v>3700</v>
      </c>
      <c r="N1361" s="14" t="s">
        <v>3701</v>
      </c>
      <c r="O1361" s="11" t="str">
        <f>HYPERLINK("https://pbs.twimg.com/profile_images/2198946077/image_normal.jpg","View")</f>
        <v>View</v>
      </c>
      <c r="P1361" s="15"/>
    </row>
    <row r="1362">
      <c r="A1362" s="7">
        <v>42423.72180555556</v>
      </c>
      <c r="B1362" s="8" t="str">
        <f t="shared" ref="B1362:B1363" si="149">HYPERLINK("https://twitter.com/sennoma","@sennoma")</f>
        <v>@sennoma</v>
      </c>
      <c r="C1362" s="10" t="s">
        <v>8759</v>
      </c>
      <c r="D1362" s="10" t="s">
        <v>8666</v>
      </c>
      <c r="E1362" s="11" t="str">
        <f>HYPERLINK("https://twitter.com/sennoma/status/702301769800523780","702301769800523780")</f>
        <v>702301769800523780</v>
      </c>
      <c r="F1362" s="12" t="s">
        <v>20</v>
      </c>
      <c r="G1362" s="13">
        <v>655.0</v>
      </c>
      <c r="H1362" s="13">
        <v>570.0</v>
      </c>
      <c r="I1362" s="13">
        <v>50.0</v>
      </c>
      <c r="J1362" s="13">
        <v>0.0</v>
      </c>
      <c r="K1362" s="12" t="s">
        <v>21</v>
      </c>
      <c r="L1362" s="7">
        <v>39941.7684375</v>
      </c>
      <c r="M1362" s="14" t="s">
        <v>8760</v>
      </c>
      <c r="N1362" s="14" t="s">
        <v>8761</v>
      </c>
      <c r="O1362" s="11" t="str">
        <f t="shared" ref="O1362:O1363" si="150">HYPERLINK("https://pbs.twimg.com/profile_images/702910697139613696/G-latKwW_normal.jpg","View")</f>
        <v>View</v>
      </c>
      <c r="P1362" s="15"/>
    </row>
    <row r="1363">
      <c r="A1363" s="7">
        <v>42423.721863425926</v>
      </c>
      <c r="B1363" s="8" t="str">
        <f t="shared" si="149"/>
        <v>@sennoma</v>
      </c>
      <c r="C1363" s="10" t="s">
        <v>8759</v>
      </c>
      <c r="D1363" s="10" t="s">
        <v>8689</v>
      </c>
      <c r="E1363" s="11" t="str">
        <f>HYPERLINK("https://twitter.com/sennoma/status/702301789475966981","702301789475966981")</f>
        <v>702301789475966981</v>
      </c>
      <c r="F1363" s="12" t="s">
        <v>20</v>
      </c>
      <c r="G1363" s="13">
        <v>655.0</v>
      </c>
      <c r="H1363" s="13">
        <v>570.0</v>
      </c>
      <c r="I1363" s="13">
        <v>6.0</v>
      </c>
      <c r="J1363" s="13">
        <v>0.0</v>
      </c>
      <c r="K1363" s="12" t="s">
        <v>21</v>
      </c>
      <c r="L1363" s="7">
        <v>39941.7684375</v>
      </c>
      <c r="M1363" s="14" t="s">
        <v>8760</v>
      </c>
      <c r="N1363" s="14" t="s">
        <v>8761</v>
      </c>
      <c r="O1363" s="11" t="str">
        <f t="shared" si="150"/>
        <v>View</v>
      </c>
      <c r="P1363" s="15"/>
    </row>
    <row r="1364">
      <c r="A1364" s="7">
        <v>42423.72383101852</v>
      </c>
      <c r="B1364" s="8" t="str">
        <f>HYPERLINK("https://twitter.com/ShainaRace","@ShainaRace")</f>
        <v>@ShainaRace</v>
      </c>
      <c r="C1364" s="10" t="s">
        <v>8762</v>
      </c>
      <c r="D1364" s="10" t="s">
        <v>8638</v>
      </c>
      <c r="E1364" s="11" t="str">
        <f>HYPERLINK("https://twitter.com/ShainaRace/status/702302503593881600","702302503593881600")</f>
        <v>702302503593881600</v>
      </c>
      <c r="F1364" s="12" t="s">
        <v>20</v>
      </c>
      <c r="G1364" s="13">
        <v>64.0</v>
      </c>
      <c r="H1364" s="13">
        <v>42.0</v>
      </c>
      <c r="I1364" s="13">
        <v>8.0</v>
      </c>
      <c r="J1364" s="13">
        <v>0.0</v>
      </c>
      <c r="K1364" s="12" t="s">
        <v>21</v>
      </c>
      <c r="L1364" s="7">
        <v>41383.407789351855</v>
      </c>
      <c r="M1364" s="14" t="s">
        <v>942</v>
      </c>
      <c r="N1364" s="14" t="s">
        <v>8763</v>
      </c>
      <c r="O1364" s="11" t="str">
        <f>HYPERLINK("https://pbs.twimg.com/profile_images/684762453612220416/h3_Yj60e_normal.png","View")</f>
        <v>View</v>
      </c>
      <c r="P1364" s="15"/>
    </row>
    <row r="1365">
      <c r="A1365" s="7">
        <v>42423.72717592593</v>
      </c>
      <c r="B1365" s="8" t="str">
        <f>HYPERLINK("https://twitter.com/mhiggins2000","@mhiggins2000")</f>
        <v>@mhiggins2000</v>
      </c>
      <c r="C1365" s="10" t="s">
        <v>7833</v>
      </c>
      <c r="D1365" s="10" t="s">
        <v>8434</v>
      </c>
      <c r="E1365" s="11" t="str">
        <f>HYPERLINK("https://twitter.com/mhiggins2000/status/702303715173208065","702303715173208065")</f>
        <v>702303715173208065</v>
      </c>
      <c r="F1365" s="12" t="s">
        <v>152</v>
      </c>
      <c r="G1365" s="13">
        <v>64.0</v>
      </c>
      <c r="H1365" s="13">
        <v>97.0</v>
      </c>
      <c r="I1365" s="13">
        <v>12.0</v>
      </c>
      <c r="J1365" s="13">
        <v>0.0</v>
      </c>
      <c r="K1365" s="12" t="s">
        <v>21</v>
      </c>
      <c r="L1365" s="7">
        <v>40927.871840277774</v>
      </c>
      <c r="M1365" s="14" t="s">
        <v>7834</v>
      </c>
      <c r="N1365" s="14" t="s">
        <v>7835</v>
      </c>
      <c r="O1365" s="11" t="str">
        <f>HYPERLINK("https://pbs.twimg.com/profile_images/536482954516520960/4dqsb-SO_normal.jpeg","View")</f>
        <v>View</v>
      </c>
      <c r="P1365" s="15"/>
    </row>
    <row r="1366">
      <c r="A1366" s="7">
        <v>42423.728993055556</v>
      </c>
      <c r="B1366" s="8" t="str">
        <f>HYPERLINK("https://twitter.com/apreshill","@apreshill")</f>
        <v>@apreshill</v>
      </c>
      <c r="C1366" s="10" t="s">
        <v>8764</v>
      </c>
      <c r="D1366" s="10" t="s">
        <v>8765</v>
      </c>
      <c r="E1366" s="11" t="str">
        <f>HYPERLINK("https://twitter.com/apreshill/status/702304373947236352","702304373947236352")</f>
        <v>702304373947236352</v>
      </c>
      <c r="F1366" s="12" t="s">
        <v>1082</v>
      </c>
      <c r="G1366" s="13">
        <v>120.0</v>
      </c>
      <c r="H1366" s="13">
        <v>388.0</v>
      </c>
      <c r="I1366" s="13">
        <v>1.0</v>
      </c>
      <c r="J1366" s="13">
        <v>0.0</v>
      </c>
      <c r="K1366" s="12" t="s">
        <v>21</v>
      </c>
      <c r="L1366" s="7">
        <v>42117.80967592592</v>
      </c>
      <c r="M1366" s="14" t="s">
        <v>2181</v>
      </c>
      <c r="N1366" s="14" t="s">
        <v>8766</v>
      </c>
      <c r="O1366" s="11" t="str">
        <f>HYPERLINK("https://pbs.twimg.com/profile_images/592435442835820544/S63GD5Rd_normal.jpg","View")</f>
        <v>View</v>
      </c>
      <c r="P1366" s="15"/>
    </row>
    <row r="1367">
      <c r="A1367" s="7">
        <v>42423.7290162037</v>
      </c>
      <c r="B1367" s="8" t="str">
        <f>HYPERLINK("https://twitter.com/tripartio","@tripartio")</f>
        <v>@tripartio</v>
      </c>
      <c r="C1367" s="10" t="s">
        <v>6827</v>
      </c>
      <c r="D1367" s="10" t="s">
        <v>8767</v>
      </c>
      <c r="E1367" s="11" t="str">
        <f>HYPERLINK("https://twitter.com/tripartio/status/702304380175802369","702304380175802369")</f>
        <v>702304380175802369</v>
      </c>
      <c r="F1367" s="12" t="s">
        <v>20</v>
      </c>
      <c r="G1367" s="13">
        <v>33.0</v>
      </c>
      <c r="H1367" s="13">
        <v>64.0</v>
      </c>
      <c r="I1367" s="13">
        <v>0.0</v>
      </c>
      <c r="J1367" s="13">
        <v>2.0</v>
      </c>
      <c r="K1367" s="12" t="s">
        <v>21</v>
      </c>
      <c r="L1367" s="7">
        <v>41946.83112268519</v>
      </c>
      <c r="M1367" s="14" t="s">
        <v>1806</v>
      </c>
      <c r="N1367" s="14" t="s">
        <v>6829</v>
      </c>
      <c r="O1367" s="11" t="str">
        <f>HYPERLINK("https://pbs.twimg.com/profile_images/529482878543867904/H-UGY1d0_normal.png","View")</f>
        <v>View</v>
      </c>
      <c r="P1367" s="15"/>
    </row>
    <row r="1368">
      <c r="A1368" s="7">
        <v>42423.72907407407</v>
      </c>
      <c r="B1368" s="8" t="str">
        <f>HYPERLINK("https://twitter.com/StephenCarnagua","@StephenCarnagua")</f>
        <v>@StephenCarnagua</v>
      </c>
      <c r="C1368" s="10" t="s">
        <v>8768</v>
      </c>
      <c r="D1368" s="10" t="s">
        <v>6913</v>
      </c>
      <c r="E1368" s="11" t="str">
        <f>HYPERLINK("https://twitter.com/StephenCarnagua/status/702304404070752256","702304404070752256")</f>
        <v>702304404070752256</v>
      </c>
      <c r="F1368" s="12" t="s">
        <v>152</v>
      </c>
      <c r="G1368" s="13">
        <v>66.0</v>
      </c>
      <c r="H1368" s="13">
        <v>156.0</v>
      </c>
      <c r="I1368" s="13">
        <v>32.0</v>
      </c>
      <c r="J1368" s="13">
        <v>0.0</v>
      </c>
      <c r="K1368" s="12" t="s">
        <v>21</v>
      </c>
      <c r="L1368" s="7">
        <v>39850.344930555555</v>
      </c>
      <c r="M1368" s="14" t="s">
        <v>6280</v>
      </c>
      <c r="N1368" s="14" t="s">
        <v>8769</v>
      </c>
      <c r="O1368" s="11" t="str">
        <f>HYPERLINK("https://pbs.twimg.com/profile_images/137371573/headshot_normal.JPG","View")</f>
        <v>View</v>
      </c>
      <c r="P1368" s="15"/>
    </row>
    <row r="1369">
      <c r="A1369" s="7">
        <v>42423.729675925926</v>
      </c>
      <c r="B1369" s="8" t="str">
        <f>HYPERLINK("https://twitter.com/RomeoKienzler","@RomeoKienzler")</f>
        <v>@RomeoKienzler</v>
      </c>
      <c r="C1369" s="10" t="s">
        <v>8770</v>
      </c>
      <c r="D1369" s="10" t="s">
        <v>8771</v>
      </c>
      <c r="E1369" s="11" t="str">
        <f>HYPERLINK("https://twitter.com/RomeoKienzler/status/702304621193207810","702304621193207810")</f>
        <v>702304621193207810</v>
      </c>
      <c r="F1369" s="12" t="s">
        <v>659</v>
      </c>
      <c r="G1369" s="13">
        <v>469.0</v>
      </c>
      <c r="H1369" s="13">
        <v>284.0</v>
      </c>
      <c r="I1369" s="13">
        <v>0.0</v>
      </c>
      <c r="J1369" s="13">
        <v>1.0</v>
      </c>
      <c r="K1369" s="12" t="s">
        <v>21</v>
      </c>
      <c r="L1369" s="7">
        <v>41256.39673611111</v>
      </c>
      <c r="M1369" s="14" t="s">
        <v>7185</v>
      </c>
      <c r="N1369" s="14" t="s">
        <v>8772</v>
      </c>
      <c r="O1369" s="11" t="str">
        <f>HYPERLINK("https://pbs.twimg.com/profile_images/699214464525139968/QNynQu0h_normal.jpg","View")</f>
        <v>View</v>
      </c>
      <c r="P1369" s="15"/>
    </row>
    <row r="1370">
      <c r="A1370" s="7">
        <v>42423.72980324074</v>
      </c>
      <c r="B1370" s="8" t="str">
        <f t="shared" ref="B1370:B1371" si="151">HYPERLINK("https://twitter.com/tpoi","@tpoi")</f>
        <v>@tpoi</v>
      </c>
      <c r="C1370" s="10" t="s">
        <v>8694</v>
      </c>
      <c r="D1370" s="10" t="s">
        <v>8750</v>
      </c>
      <c r="E1370" s="11" t="str">
        <f>HYPERLINK("https://twitter.com/tpoi/status/702304665719934976","702304665719934976")</f>
        <v>702304665719934976</v>
      </c>
      <c r="F1370" s="12" t="s">
        <v>152</v>
      </c>
      <c r="G1370" s="13">
        <v>2248.0</v>
      </c>
      <c r="H1370" s="13">
        <v>2058.0</v>
      </c>
      <c r="I1370" s="13">
        <v>3.0</v>
      </c>
      <c r="J1370" s="13">
        <v>0.0</v>
      </c>
      <c r="K1370" s="12" t="s">
        <v>21</v>
      </c>
      <c r="L1370" s="7">
        <v>39366.28224537037</v>
      </c>
      <c r="M1370" s="14" t="s">
        <v>5113</v>
      </c>
      <c r="N1370" s="14" t="s">
        <v>8695</v>
      </c>
      <c r="O1370" s="11" t="str">
        <f t="shared" ref="O1370:O1371" si="152">HYPERLINK("https://pbs.twimg.com/profile_images/676829689026072578/Tc66pMai_normal.jpg","View")</f>
        <v>View</v>
      </c>
      <c r="P1370" s="15"/>
    </row>
    <row r="1371">
      <c r="A1371" s="7">
        <v>42423.72981481481</v>
      </c>
      <c r="B1371" s="8" t="str">
        <f t="shared" si="151"/>
        <v>@tpoi</v>
      </c>
      <c r="C1371" s="10" t="s">
        <v>8694</v>
      </c>
      <c r="D1371" s="10" t="s">
        <v>8773</v>
      </c>
      <c r="E1371" s="11" t="str">
        <f>HYPERLINK("https://twitter.com/tpoi/status/702304671948476417","702304671948476417")</f>
        <v>702304671948476417</v>
      </c>
      <c r="F1371" s="12" t="s">
        <v>152</v>
      </c>
      <c r="G1371" s="13">
        <v>2248.0</v>
      </c>
      <c r="H1371" s="13">
        <v>2058.0</v>
      </c>
      <c r="I1371" s="13">
        <v>2.0</v>
      </c>
      <c r="J1371" s="13">
        <v>0.0</v>
      </c>
      <c r="K1371" s="12" t="s">
        <v>21</v>
      </c>
      <c r="L1371" s="7">
        <v>39366.28224537037</v>
      </c>
      <c r="M1371" s="14" t="s">
        <v>5113</v>
      </c>
      <c r="N1371" s="14" t="s">
        <v>8695</v>
      </c>
      <c r="O1371" s="11" t="str">
        <f t="shared" si="152"/>
        <v>View</v>
      </c>
      <c r="P1371" s="15"/>
    </row>
    <row r="1372">
      <c r="A1372" s="7">
        <v>42423.730578703704</v>
      </c>
      <c r="B1372" s="8" t="str">
        <f>HYPERLINK("https://twitter.com/oliviachen56","@oliviachen56")</f>
        <v>@oliviachen56</v>
      </c>
      <c r="C1372" s="10" t="s">
        <v>8774</v>
      </c>
      <c r="D1372" s="10" t="s">
        <v>6913</v>
      </c>
      <c r="E1372" s="11" t="str">
        <f>HYPERLINK("https://twitter.com/oliviachen56/status/702304949804384256","702304949804384256")</f>
        <v>702304949804384256</v>
      </c>
      <c r="F1372" s="12" t="s">
        <v>52</v>
      </c>
      <c r="G1372" s="13">
        <v>72.0</v>
      </c>
      <c r="H1372" s="13">
        <v>440.0</v>
      </c>
      <c r="I1372" s="13">
        <v>32.0</v>
      </c>
      <c r="J1372" s="13">
        <v>0.0</v>
      </c>
      <c r="K1372" s="12" t="s">
        <v>21</v>
      </c>
      <c r="L1372" s="7">
        <v>42093.50729166667</v>
      </c>
      <c r="M1372" s="14" t="s">
        <v>1325</v>
      </c>
      <c r="N1372" s="14" t="s">
        <v>8775</v>
      </c>
      <c r="O1372" s="11" t="str">
        <f>HYPERLINK("https://pbs.twimg.com/profile_images/582622524963352576/m9Rp1CBQ_normal.png","View")</f>
        <v>View</v>
      </c>
      <c r="P1372" s="15"/>
    </row>
    <row r="1373">
      <c r="A1373" s="7">
        <v>42423.73363425926</v>
      </c>
      <c r="B1373" s="8" t="str">
        <f t="shared" ref="B1373:B1374" si="153">HYPERLINK("https://twitter.com/RallidaeRule","@RallidaeRule")</f>
        <v>@RallidaeRule</v>
      </c>
      <c r="C1373" s="10" t="s">
        <v>8665</v>
      </c>
      <c r="D1373" s="10" t="s">
        <v>8750</v>
      </c>
      <c r="E1373" s="11" t="str">
        <f>HYPERLINK("https://twitter.com/RallidaeRule/status/702306056156778496","702306056156778496")</f>
        <v>702306056156778496</v>
      </c>
      <c r="F1373" s="12" t="s">
        <v>446</v>
      </c>
      <c r="G1373" s="13">
        <v>2627.0</v>
      </c>
      <c r="H1373" s="13">
        <v>1200.0</v>
      </c>
      <c r="I1373" s="13">
        <v>3.0</v>
      </c>
      <c r="J1373" s="13">
        <v>0.0</v>
      </c>
      <c r="K1373" s="12" t="s">
        <v>21</v>
      </c>
      <c r="L1373" s="7">
        <v>40057.58322916667</v>
      </c>
      <c r="M1373" s="14" t="s">
        <v>8667</v>
      </c>
      <c r="N1373" s="14" t="s">
        <v>8668</v>
      </c>
      <c r="O1373" s="11" t="str">
        <f t="shared" ref="O1373:O1374" si="154">HYPERLINK("https://pbs.twimg.com/profile_images/472088432374579201/pTx9F7zb_normal.jpeg","View")</f>
        <v>View</v>
      </c>
      <c r="P1373" s="15"/>
    </row>
    <row r="1374">
      <c r="A1374" s="7">
        <v>42423.73365740741</v>
      </c>
      <c r="B1374" s="8" t="str">
        <f t="shared" si="153"/>
        <v>@RallidaeRule</v>
      </c>
      <c r="C1374" s="10" t="s">
        <v>8665</v>
      </c>
      <c r="D1374" s="10" t="s">
        <v>8773</v>
      </c>
      <c r="E1374" s="11" t="str">
        <f>HYPERLINK("https://twitter.com/RallidaeRule/status/702306065665294336","702306065665294336")</f>
        <v>702306065665294336</v>
      </c>
      <c r="F1374" s="12" t="s">
        <v>446</v>
      </c>
      <c r="G1374" s="13">
        <v>2627.0</v>
      </c>
      <c r="H1374" s="13">
        <v>1200.0</v>
      </c>
      <c r="I1374" s="13">
        <v>2.0</v>
      </c>
      <c r="J1374" s="13">
        <v>0.0</v>
      </c>
      <c r="K1374" s="12" t="s">
        <v>21</v>
      </c>
      <c r="L1374" s="7">
        <v>40057.58322916667</v>
      </c>
      <c r="M1374" s="14" t="s">
        <v>8667</v>
      </c>
      <c r="N1374" s="14" t="s">
        <v>8668</v>
      </c>
      <c r="O1374" s="11" t="str">
        <f t="shared" si="154"/>
        <v>View</v>
      </c>
      <c r="P1374" s="15"/>
    </row>
    <row r="1375">
      <c r="A1375" s="7">
        <v>42423.73559027778</v>
      </c>
      <c r="B1375" s="8" t="str">
        <f>HYPERLINK("https://twitter.com/vsbuffalo","@vsbuffalo")</f>
        <v>@vsbuffalo</v>
      </c>
      <c r="C1375" s="10" t="s">
        <v>8776</v>
      </c>
      <c r="D1375" s="10" t="s">
        <v>8666</v>
      </c>
      <c r="E1375" s="11" t="str">
        <f>HYPERLINK("https://twitter.com/vsbuffalo/status/702306764092416000","702306764092416000")</f>
        <v>702306764092416000</v>
      </c>
      <c r="F1375" s="12" t="s">
        <v>20</v>
      </c>
      <c r="G1375" s="13">
        <v>3866.0</v>
      </c>
      <c r="H1375" s="13">
        <v>982.0</v>
      </c>
      <c r="I1375" s="13">
        <v>50.0</v>
      </c>
      <c r="J1375" s="13">
        <v>0.0</v>
      </c>
      <c r="K1375" s="12" t="s">
        <v>21</v>
      </c>
      <c r="L1375" s="7">
        <v>40026.84106481481</v>
      </c>
      <c r="M1375" s="14" t="s">
        <v>8590</v>
      </c>
      <c r="N1375" s="14" t="s">
        <v>8777</v>
      </c>
      <c r="O1375" s="11" t="str">
        <f>HYPERLINK("https://pbs.twimg.com/profile_images/701209128354492416/sgr-VUJb_normal.jpg","View")</f>
        <v>View</v>
      </c>
      <c r="P1375" s="15"/>
    </row>
    <row r="1376">
      <c r="A1376" s="7">
        <v>42423.738530092596</v>
      </c>
      <c r="B1376" s="8" t="str">
        <f>HYPERLINK("https://twitter.com/fhollenbach","@fhollenbach")</f>
        <v>@fhollenbach</v>
      </c>
      <c r="C1376" s="10" t="s">
        <v>8778</v>
      </c>
      <c r="D1376" s="10" t="s">
        <v>8666</v>
      </c>
      <c r="E1376" s="11" t="str">
        <f>HYPERLINK("https://twitter.com/fhollenbach/status/702307827826585600","702307827826585600")</f>
        <v>702307827826585600</v>
      </c>
      <c r="F1376" s="12" t="s">
        <v>20</v>
      </c>
      <c r="G1376" s="13">
        <v>298.0</v>
      </c>
      <c r="H1376" s="13">
        <v>612.0</v>
      </c>
      <c r="I1376" s="13">
        <v>50.0</v>
      </c>
      <c r="J1376" s="13">
        <v>0.0</v>
      </c>
      <c r="K1376" s="12" t="s">
        <v>21</v>
      </c>
      <c r="L1376" s="7">
        <v>40632.858564814815</v>
      </c>
      <c r="M1376" s="14" t="s">
        <v>8779</v>
      </c>
      <c r="N1376" s="14" t="s">
        <v>8780</v>
      </c>
      <c r="O1376" s="11" t="str">
        <f>HYPERLINK("https://pbs.twimg.com/profile_images/641697215891664896/VJdQSPoX_normal.png","View")</f>
        <v>View</v>
      </c>
      <c r="P1376" s="15"/>
    </row>
    <row r="1377">
      <c r="A1377" s="7">
        <v>42423.74083333333</v>
      </c>
      <c r="B1377" s="8" t="str">
        <f>HYPERLINK("https://twitter.com/Scott_Johnsn","@Scott_Johnsn")</f>
        <v>@Scott_Johnsn</v>
      </c>
      <c r="C1377" s="10" t="s">
        <v>8781</v>
      </c>
      <c r="D1377" s="10" t="s">
        <v>8782</v>
      </c>
      <c r="E1377" s="11" t="str">
        <f>HYPERLINK("https://twitter.com/Scott_Johnsn/status/702308662472093696","702308662472093696")</f>
        <v>702308662472093696</v>
      </c>
      <c r="F1377" s="12" t="s">
        <v>52</v>
      </c>
      <c r="G1377" s="13">
        <v>97.0</v>
      </c>
      <c r="H1377" s="13">
        <v>217.0</v>
      </c>
      <c r="I1377" s="13">
        <v>0.0</v>
      </c>
      <c r="J1377" s="13">
        <v>1.0</v>
      </c>
      <c r="K1377" s="12" t="s">
        <v>21</v>
      </c>
      <c r="L1377" s="7">
        <v>40865.608773148146</v>
      </c>
      <c r="M1377" s="14" t="s">
        <v>8783</v>
      </c>
      <c r="N1377" s="14" t="s">
        <v>8784</v>
      </c>
      <c r="O1377" s="11" t="str">
        <f>HYPERLINK("https://pbs.twimg.com/profile_images/1676067876/Scott_photo_pretoria1_normal.jpg","View")</f>
        <v>View</v>
      </c>
      <c r="P1377" s="15"/>
    </row>
    <row r="1378">
      <c r="A1378" s="7">
        <v>42423.74224537037</v>
      </c>
      <c r="B1378" s="8" t="str">
        <f>HYPERLINK("https://twitter.com/runcibleansible","@runcibleansible")</f>
        <v>@runcibleansible</v>
      </c>
      <c r="C1378" s="10" t="s">
        <v>8785</v>
      </c>
      <c r="D1378" s="10" t="s">
        <v>8666</v>
      </c>
      <c r="E1378" s="11" t="str">
        <f>HYPERLINK("https://twitter.com/runcibleansible/status/702309177461374976","702309177461374976")</f>
        <v>702309177461374976</v>
      </c>
      <c r="F1378" s="12" t="s">
        <v>446</v>
      </c>
      <c r="G1378" s="13">
        <v>181.0</v>
      </c>
      <c r="H1378" s="13">
        <v>163.0</v>
      </c>
      <c r="I1378" s="13">
        <v>50.0</v>
      </c>
      <c r="J1378" s="13">
        <v>0.0</v>
      </c>
      <c r="K1378" s="12" t="s">
        <v>21</v>
      </c>
      <c r="L1378" s="7">
        <v>39561.44019675926</v>
      </c>
      <c r="M1378" s="14" t="s">
        <v>8786</v>
      </c>
      <c r="N1378" s="14" t="s">
        <v>8787</v>
      </c>
      <c r="O1378" s="11" t="str">
        <f>HYPERLINK("https://pbs.twimg.com/profile_images/399023664/avatar3_normal.png","View")</f>
        <v>View</v>
      </c>
      <c r="P1378" s="15"/>
    </row>
    <row r="1379">
      <c r="A1379" s="7">
        <v>42423.74548611111</v>
      </c>
      <c r="B1379" s="8" t="str">
        <f>HYPERLINK("https://twitter.com/DesmondRamirez1","@DesmondRamirez1")</f>
        <v>@DesmondRamirez1</v>
      </c>
      <c r="C1379" s="10" t="s">
        <v>8788</v>
      </c>
      <c r="D1379" s="10" t="s">
        <v>7116</v>
      </c>
      <c r="E1379" s="11" t="str">
        <f>HYPERLINK("https://twitter.com/DesmondRamirez1/status/702310350453022720","702310350453022720")</f>
        <v>702310350453022720</v>
      </c>
      <c r="F1379" s="12" t="s">
        <v>52</v>
      </c>
      <c r="G1379" s="13">
        <v>110.0</v>
      </c>
      <c r="H1379" s="13">
        <v>119.0</v>
      </c>
      <c r="I1379" s="13">
        <v>16.0</v>
      </c>
      <c r="J1379" s="13">
        <v>0.0</v>
      </c>
      <c r="K1379" s="12" t="s">
        <v>21</v>
      </c>
      <c r="L1379" s="7">
        <v>41192.687002314815</v>
      </c>
      <c r="M1379" s="16"/>
      <c r="N1379" s="14" t="s">
        <v>8789</v>
      </c>
      <c r="O1379" s="11" t="str">
        <f>HYPERLINK("https://pbs.twimg.com/profile_images/554481313911013377/eUnIV6Wj_normal.jpeg","View")</f>
        <v>View</v>
      </c>
      <c r="P1379" s="15"/>
    </row>
    <row r="1380">
      <c r="A1380" s="7">
        <v>42423.74653935185</v>
      </c>
      <c r="B1380" s="8" t="str">
        <f>HYPERLINK("https://twitter.com/Md_Harris","@Md_Harris")</f>
        <v>@Md_Harris</v>
      </c>
      <c r="C1380" s="10" t="s">
        <v>8790</v>
      </c>
      <c r="D1380" s="10" t="s">
        <v>8791</v>
      </c>
      <c r="E1380" s="11" t="str">
        <f>HYPERLINK("https://twitter.com/Md_Harris/status/702310730079576064","702310730079576064")</f>
        <v>702310730079576064</v>
      </c>
      <c r="F1380" s="12" t="s">
        <v>20</v>
      </c>
      <c r="G1380" s="13">
        <v>586.0</v>
      </c>
      <c r="H1380" s="13">
        <v>971.0</v>
      </c>
      <c r="I1380" s="13">
        <v>2.0</v>
      </c>
      <c r="J1380" s="13">
        <v>8.0</v>
      </c>
      <c r="K1380" s="12" t="s">
        <v>21</v>
      </c>
      <c r="L1380" s="7">
        <v>39756.32986111111</v>
      </c>
      <c r="M1380" s="14" t="s">
        <v>1099</v>
      </c>
      <c r="N1380" s="14" t="s">
        <v>8792</v>
      </c>
      <c r="O1380" s="11" t="str">
        <f>HYPERLINK("https://pbs.twimg.com/profile_images/640558270843850752/9jnEvx6k_normal.jpg","View")</f>
        <v>View</v>
      </c>
      <c r="P1380" s="15"/>
    </row>
    <row r="1381">
      <c r="A1381" s="7">
        <v>42423.74673611111</v>
      </c>
      <c r="B1381" s="8" t="str">
        <f>HYPERLINK("https://twitter.com/groundwalkergmb","@groundwalkergmb")</f>
        <v>@groundwalkergmb</v>
      </c>
      <c r="C1381" s="10" t="s">
        <v>8793</v>
      </c>
      <c r="D1381" s="10" t="s">
        <v>8794</v>
      </c>
      <c r="E1381" s="11" t="str">
        <f>HYPERLINK("https://twitter.com/groundwalkergmb/status/702310805451046912","702310805451046912")</f>
        <v>702310805451046912</v>
      </c>
      <c r="F1381" s="12" t="s">
        <v>20</v>
      </c>
      <c r="G1381" s="13">
        <v>243.0</v>
      </c>
      <c r="H1381" s="13">
        <v>139.0</v>
      </c>
      <c r="I1381" s="13">
        <v>0.0</v>
      </c>
      <c r="J1381" s="13">
        <v>2.0</v>
      </c>
      <c r="K1381" s="12" t="s">
        <v>21</v>
      </c>
      <c r="L1381" s="7">
        <v>41729.307592592595</v>
      </c>
      <c r="M1381" s="14" t="s">
        <v>8795</v>
      </c>
      <c r="N1381" s="14" t="s">
        <v>8796</v>
      </c>
      <c r="O1381" s="11" t="str">
        <f>HYPERLINK("https://pbs.twimg.com/profile_images/496656702247145473/HTpRj6vo_normal.jpeg","View")</f>
        <v>View</v>
      </c>
      <c r="P1381" s="15"/>
    </row>
    <row r="1382">
      <c r="A1382" s="7">
        <v>42423.749189814815</v>
      </c>
      <c r="B1382" s="8" t="str">
        <f>HYPERLINK("https://twitter.com/pofigster","@pofigster")</f>
        <v>@pofigster</v>
      </c>
      <c r="C1382" s="10" t="s">
        <v>7968</v>
      </c>
      <c r="D1382" s="10" t="s">
        <v>8797</v>
      </c>
      <c r="E1382" s="11" t="str">
        <f>HYPERLINK("https://twitter.com/pofigster/status/702311693297307648","702311693297307648")</f>
        <v>702311693297307648</v>
      </c>
      <c r="F1382" s="12" t="s">
        <v>152</v>
      </c>
      <c r="G1382" s="13">
        <v>94.0</v>
      </c>
      <c r="H1382" s="13">
        <v>69.0</v>
      </c>
      <c r="I1382" s="13">
        <v>0.0</v>
      </c>
      <c r="J1382" s="13">
        <v>0.0</v>
      </c>
      <c r="K1382" s="12" t="s">
        <v>21</v>
      </c>
      <c r="L1382" s="7">
        <v>39851.509988425925</v>
      </c>
      <c r="M1382" s="14" t="s">
        <v>8798</v>
      </c>
      <c r="N1382" s="14" t="s">
        <v>8799</v>
      </c>
      <c r="O1382" s="11" t="str">
        <f>HYPERLINK("https://pbs.twimg.com/profile_images/458761760606937089/7VmynyT5_normal.jpeg","View")</f>
        <v>View</v>
      </c>
      <c r="P1382" s="15"/>
    </row>
    <row r="1383">
      <c r="A1383" s="7">
        <v>42423.75094907408</v>
      </c>
      <c r="B1383" s="8" t="str">
        <f>HYPERLINK("https://twitter.com/stat110","@stat110")</f>
        <v>@stat110</v>
      </c>
      <c r="C1383" s="10" t="s">
        <v>8800</v>
      </c>
      <c r="D1383" s="10" t="s">
        <v>8666</v>
      </c>
      <c r="E1383" s="11" t="str">
        <f>HYPERLINK("https://twitter.com/stat110/status/702312328910540800","702312328910540800")</f>
        <v>702312328910540800</v>
      </c>
      <c r="F1383" s="12" t="s">
        <v>52</v>
      </c>
      <c r="G1383" s="13">
        <v>7286.0</v>
      </c>
      <c r="H1383" s="13">
        <v>3175.0</v>
      </c>
      <c r="I1383" s="13">
        <v>50.0</v>
      </c>
      <c r="J1383" s="13">
        <v>0.0</v>
      </c>
      <c r="K1383" s="12" t="s">
        <v>21</v>
      </c>
      <c r="L1383" s="7">
        <v>40419.59091435185</v>
      </c>
      <c r="M1383" s="14" t="s">
        <v>1660</v>
      </c>
      <c r="N1383" s="14" t="s">
        <v>8801</v>
      </c>
      <c r="O1383" s="11" t="str">
        <f>HYPERLINK("https://pbs.twimg.com/profile_images/1360113908/Stat110Picture_normal.jpg","View")</f>
        <v>View</v>
      </c>
      <c r="P1383" s="15"/>
    </row>
    <row r="1384">
      <c r="A1384" s="7">
        <v>42423.752534722225</v>
      </c>
      <c r="B1384" s="8" t="str">
        <f>HYPERLINK("https://twitter.com/sherman_dani","@sherman_dani")</f>
        <v>@sherman_dani</v>
      </c>
      <c r="C1384" s="10" t="s">
        <v>8802</v>
      </c>
      <c r="D1384" s="10" t="s">
        <v>8803</v>
      </c>
      <c r="E1384" s="11" t="str">
        <f>HYPERLINK("https://twitter.com/sherman_dani/status/702312906856243200","702312906856243200")</f>
        <v>702312906856243200</v>
      </c>
      <c r="F1384" s="12" t="s">
        <v>52</v>
      </c>
      <c r="G1384" s="13">
        <v>103.0</v>
      </c>
      <c r="H1384" s="13">
        <v>269.0</v>
      </c>
      <c r="I1384" s="13">
        <v>1.0</v>
      </c>
      <c r="J1384" s="13">
        <v>0.0</v>
      </c>
      <c r="K1384" s="12" t="s">
        <v>21</v>
      </c>
      <c r="L1384" s="7">
        <v>41134.076527777775</v>
      </c>
      <c r="M1384" s="16"/>
      <c r="N1384" s="14" t="s">
        <v>8804</v>
      </c>
      <c r="O1384" s="11" t="str">
        <f>HYPERLINK("https://pbs.twimg.com/profile_images/514755793380335616/MslJNaJS_normal.jpeg","View")</f>
        <v>View</v>
      </c>
      <c r="P1384" s="15"/>
    </row>
    <row r="1385">
      <c r="A1385" s="7">
        <v>42423.75335648148</v>
      </c>
      <c r="B1385" s="8" t="str">
        <f>HYPERLINK("https://twitter.com/hrbrmstr","@hrbrmstr")</f>
        <v>@hrbrmstr</v>
      </c>
      <c r="C1385" s="10" t="s">
        <v>7276</v>
      </c>
      <c r="D1385" s="10" t="s">
        <v>8666</v>
      </c>
      <c r="E1385" s="11" t="str">
        <f>HYPERLINK("https://twitter.com/hrbrmstr/status/702313200528859141","702313200528859141")</f>
        <v>702313200528859141</v>
      </c>
      <c r="F1385" s="12" t="s">
        <v>20</v>
      </c>
      <c r="G1385" s="13">
        <v>6135.0</v>
      </c>
      <c r="H1385" s="13">
        <v>2926.0</v>
      </c>
      <c r="I1385" s="13">
        <v>50.0</v>
      </c>
      <c r="J1385" s="13">
        <v>0.0</v>
      </c>
      <c r="K1385" s="12" t="s">
        <v>21</v>
      </c>
      <c r="L1385" s="7">
        <v>39203.29472222222</v>
      </c>
      <c r="M1385" s="14" t="s">
        <v>7278</v>
      </c>
      <c r="N1385" s="14" t="s">
        <v>7279</v>
      </c>
      <c r="O1385" s="11" t="str">
        <f>HYPERLINK("https://pbs.twimg.com/profile_images/557592259298729985/kpCUQWH1_normal.png","View")</f>
        <v>View</v>
      </c>
      <c r="P1385" s="15"/>
    </row>
    <row r="1386">
      <c r="A1386" s="7">
        <v>42423.75513888889</v>
      </c>
      <c r="B1386" s="8" t="str">
        <f>HYPERLINK("https://twitter.com/mcmc_stan","@mcmc_stan")</f>
        <v>@mcmc_stan</v>
      </c>
      <c r="C1386" s="10" t="s">
        <v>7736</v>
      </c>
      <c r="D1386" s="10" t="s">
        <v>8805</v>
      </c>
      <c r="E1386" s="11" t="str">
        <f>HYPERLINK("https://twitter.com/mcmc_stan/status/702313849328963586","702313849328963586")</f>
        <v>702313849328963586</v>
      </c>
      <c r="F1386" s="12" t="s">
        <v>52</v>
      </c>
      <c r="G1386" s="13">
        <v>618.0</v>
      </c>
      <c r="H1386" s="13">
        <v>8.0</v>
      </c>
      <c r="I1386" s="13">
        <v>2.0</v>
      </c>
      <c r="J1386" s="13">
        <v>0.0</v>
      </c>
      <c r="K1386" s="12" t="s">
        <v>21</v>
      </c>
      <c r="L1386" s="7">
        <v>41318.22550925926</v>
      </c>
      <c r="M1386" s="16"/>
      <c r="N1386" s="14" t="s">
        <v>7737</v>
      </c>
      <c r="O1386" s="11" t="str">
        <f>HYPERLINK("https://pbs.twimg.com/profile_images/624211847126781952/xhy-Awix_normal.png","View")</f>
        <v>View</v>
      </c>
      <c r="P1386" s="15"/>
    </row>
    <row r="1387">
      <c r="A1387" s="7">
        <v>42423.75844907407</v>
      </c>
      <c r="B1387" s="8" t="str">
        <f>HYPERLINK("https://twitter.com/emjonaitis","@emjonaitis")</f>
        <v>@emjonaitis</v>
      </c>
      <c r="C1387" s="10" t="s">
        <v>8806</v>
      </c>
      <c r="D1387" s="10" t="s">
        <v>8666</v>
      </c>
      <c r="E1387" s="11" t="str">
        <f>HYPERLINK("https://twitter.com/emjonaitis/status/702315047586963456","702315047586963456")</f>
        <v>702315047586963456</v>
      </c>
      <c r="F1387" s="12" t="s">
        <v>2063</v>
      </c>
      <c r="G1387" s="13">
        <v>362.0</v>
      </c>
      <c r="H1387" s="13">
        <v>733.0</v>
      </c>
      <c r="I1387" s="13">
        <v>50.0</v>
      </c>
      <c r="J1387" s="13">
        <v>0.0</v>
      </c>
      <c r="K1387" s="12" t="s">
        <v>21</v>
      </c>
      <c r="L1387" s="7">
        <v>40922.23202546296</v>
      </c>
      <c r="M1387" s="14" t="s">
        <v>8807</v>
      </c>
      <c r="N1387" s="14" t="s">
        <v>8808</v>
      </c>
      <c r="O1387" s="11" t="str">
        <f>HYPERLINK("https://pbs.twimg.com/profile_images/686765997399748609/23O0VGyq_normal.jpg","View")</f>
        <v>View</v>
      </c>
      <c r="P1387" s="15"/>
    </row>
    <row r="1388">
      <c r="A1388" s="7">
        <v>42423.76133101852</v>
      </c>
      <c r="B1388" s="8" t="str">
        <f>HYPERLINK("https://twitter.com/RobbyMeals","@RobbyMeals")</f>
        <v>@RobbyMeals</v>
      </c>
      <c r="C1388" s="10" t="s">
        <v>8809</v>
      </c>
      <c r="D1388" s="10" t="s">
        <v>8810</v>
      </c>
      <c r="E1388" s="11" t="str">
        <f>HYPERLINK("https://twitter.com/RobbyMeals/status/702316090865483776","702316090865483776")</f>
        <v>702316090865483776</v>
      </c>
      <c r="F1388" s="12" t="s">
        <v>152</v>
      </c>
      <c r="G1388" s="13">
        <v>418.0</v>
      </c>
      <c r="H1388" s="13">
        <v>403.0</v>
      </c>
      <c r="I1388" s="13">
        <v>0.0</v>
      </c>
      <c r="J1388" s="13">
        <v>1.0</v>
      </c>
      <c r="K1388" s="12" t="s">
        <v>21</v>
      </c>
      <c r="L1388" s="7">
        <v>39928.867789351854</v>
      </c>
      <c r="M1388" s="14" t="s">
        <v>7394</v>
      </c>
      <c r="N1388" s="14" t="s">
        <v>8811</v>
      </c>
      <c r="O1388" s="11" t="str">
        <f>HYPERLINK("https://pbs.twimg.com/profile_images/592676310486536192/neLuVcCK_normal.jpg","View")</f>
        <v>View</v>
      </c>
      <c r="P1388" s="15"/>
    </row>
    <row r="1389">
      <c r="A1389" s="7">
        <v>42423.762094907404</v>
      </c>
      <c r="B1389" s="8" t="str">
        <f>HYPERLINK("https://twitter.com/dianamcqueen","@dianamcqueen")</f>
        <v>@dianamcqueen</v>
      </c>
      <c r="C1389" s="10" t="s">
        <v>8812</v>
      </c>
      <c r="D1389" s="10" t="s">
        <v>7906</v>
      </c>
      <c r="E1389" s="11" t="str">
        <f>HYPERLINK("https://twitter.com/dianamcqueen/status/702316368776011776","702316368776011776")</f>
        <v>702316368776011776</v>
      </c>
      <c r="F1389" s="12" t="s">
        <v>152</v>
      </c>
      <c r="G1389" s="13">
        <v>884.0</v>
      </c>
      <c r="H1389" s="13">
        <v>778.0</v>
      </c>
      <c r="I1389" s="13">
        <v>8.0</v>
      </c>
      <c r="J1389" s="13">
        <v>0.0</v>
      </c>
      <c r="K1389" s="12" t="s">
        <v>21</v>
      </c>
      <c r="L1389" s="7">
        <v>39261.29174768519</v>
      </c>
      <c r="M1389" s="14" t="s">
        <v>8813</v>
      </c>
      <c r="N1389" s="14" t="s">
        <v>8814</v>
      </c>
      <c r="O1389" s="11" t="str">
        <f>HYPERLINK("https://pbs.twimg.com/profile_images/695860150960320512/LomuQJpV_normal.jpg","View")</f>
        <v>View</v>
      </c>
      <c r="P1389" s="15"/>
    </row>
    <row r="1390">
      <c r="A1390" s="7">
        <v>42423.7634837963</v>
      </c>
      <c r="B1390" s="8" t="str">
        <f>HYPERLINK("https://twitter.com/joe_thorley","@joe_thorley")</f>
        <v>@joe_thorley</v>
      </c>
      <c r="C1390" s="10" t="s">
        <v>8815</v>
      </c>
      <c r="D1390" s="10" t="s">
        <v>8666</v>
      </c>
      <c r="E1390" s="11" t="str">
        <f>HYPERLINK("https://twitter.com/joe_thorley/status/702316872021086208","702316872021086208")</f>
        <v>702316872021086208</v>
      </c>
      <c r="F1390" s="12" t="s">
        <v>20</v>
      </c>
      <c r="G1390" s="13">
        <v>72.0</v>
      </c>
      <c r="H1390" s="13">
        <v>39.0</v>
      </c>
      <c r="I1390" s="13">
        <v>50.0</v>
      </c>
      <c r="J1390" s="13">
        <v>0.0</v>
      </c>
      <c r="K1390" s="12" t="s">
        <v>21</v>
      </c>
      <c r="L1390" s="7">
        <v>40400.51153935185</v>
      </c>
      <c r="M1390" s="14" t="s">
        <v>8816</v>
      </c>
      <c r="N1390" s="14" t="s">
        <v>8817</v>
      </c>
      <c r="O1390" s="11" t="str">
        <f>HYPERLINK("https://pbs.twimg.com/profile_images/427522755462852608/tdRLeQXF_normal.jpeg","View")</f>
        <v>View</v>
      </c>
      <c r="P1390" s="15"/>
    </row>
    <row r="1391">
      <c r="A1391" s="7">
        <v>42423.76394675926</v>
      </c>
      <c r="B1391" s="8" t="str">
        <f>HYPERLINK("https://twitter.com/NickUngson","@NickUngson")</f>
        <v>@NickUngson</v>
      </c>
      <c r="C1391" s="10" t="s">
        <v>8818</v>
      </c>
      <c r="D1391" s="10" t="s">
        <v>8819</v>
      </c>
      <c r="E1391" s="11" t="str">
        <f>HYPERLINK("https://twitter.com/NickUngson/status/702317039160000515","702317039160000515")</f>
        <v>702317039160000515</v>
      </c>
      <c r="F1391" s="12" t="s">
        <v>446</v>
      </c>
      <c r="G1391" s="13">
        <v>194.0</v>
      </c>
      <c r="H1391" s="13">
        <v>287.0</v>
      </c>
      <c r="I1391" s="13">
        <v>0.0</v>
      </c>
      <c r="J1391" s="13">
        <v>0.0</v>
      </c>
      <c r="K1391" s="12" t="s">
        <v>21</v>
      </c>
      <c r="L1391" s="7">
        <v>41259.776817129634</v>
      </c>
      <c r="M1391" s="14" t="s">
        <v>8820</v>
      </c>
      <c r="N1391" s="14" t="s">
        <v>8821</v>
      </c>
      <c r="O1391" s="11" t="str">
        <f>HYPERLINK("https://pbs.twimg.com/profile_images/500995924089245699/ZPg_mNR1_normal.jpeg","View")</f>
        <v>View</v>
      </c>
      <c r="P1391" s="15"/>
    </row>
    <row r="1392">
      <c r="A1392" s="7">
        <v>42423.76694444445</v>
      </c>
      <c r="B1392" s="8" t="str">
        <f>HYPERLINK("https://twitter.com/dataandme","@dataandme")</f>
        <v>@dataandme</v>
      </c>
      <c r="C1392" s="10" t="s">
        <v>6648</v>
      </c>
      <c r="D1392" s="10" t="s">
        <v>8822</v>
      </c>
      <c r="E1392" s="11" t="str">
        <f>HYPERLINK("https://twitter.com/dataandme/status/702318124775972864","702318124775972864")</f>
        <v>702318124775972864</v>
      </c>
      <c r="F1392" s="12" t="s">
        <v>52</v>
      </c>
      <c r="G1392" s="13">
        <v>2501.0</v>
      </c>
      <c r="H1392" s="13">
        <v>1940.0</v>
      </c>
      <c r="I1392" s="13">
        <v>0.0</v>
      </c>
      <c r="J1392" s="13">
        <v>2.0</v>
      </c>
      <c r="K1392" s="12" t="s">
        <v>21</v>
      </c>
      <c r="L1392" s="7">
        <v>42127.19739583333</v>
      </c>
      <c r="M1392" s="14" t="s">
        <v>332</v>
      </c>
      <c r="N1392" s="14" t="s">
        <v>6650</v>
      </c>
      <c r="O1392" s="11" t="str">
        <f>HYPERLINK("https://pbs.twimg.com/profile_images/598126722920361984/HdS1NWXJ_normal.png","View")</f>
        <v>View</v>
      </c>
      <c r="P1392" s="15"/>
    </row>
    <row r="1393">
      <c r="A1393" s="7">
        <v>42423.76793981482</v>
      </c>
      <c r="B1393" s="8" t="str">
        <f>HYPERLINK("https://twitter.com/davidejansen","@davidejansen")</f>
        <v>@davidejansen</v>
      </c>
      <c r="C1393" s="10" t="s">
        <v>8823</v>
      </c>
      <c r="D1393" s="10" t="s">
        <v>8824</v>
      </c>
      <c r="E1393" s="11" t="str">
        <f>HYPERLINK("https://twitter.com/davidejansen/status/702318488082186240","702318488082186240")</f>
        <v>702318488082186240</v>
      </c>
      <c r="F1393" s="12" t="s">
        <v>446</v>
      </c>
      <c r="G1393" s="13">
        <v>191.0</v>
      </c>
      <c r="H1393" s="13">
        <v>188.0</v>
      </c>
      <c r="I1393" s="13">
        <v>0.0</v>
      </c>
      <c r="J1393" s="13">
        <v>0.0</v>
      </c>
      <c r="K1393" s="12" t="s">
        <v>21</v>
      </c>
      <c r="L1393" s="7">
        <v>42285.283738425926</v>
      </c>
      <c r="M1393" s="14" t="s">
        <v>8825</v>
      </c>
      <c r="N1393" s="14" t="s">
        <v>8826</v>
      </c>
      <c r="O1393" s="11" t="str">
        <f>HYPERLINK("https://pbs.twimg.com/profile_images/652504486712180737/3lZYRqvo_normal.png","View")</f>
        <v>View</v>
      </c>
      <c r="P1393" s="15"/>
    </row>
    <row r="1394">
      <c r="A1394" s="7">
        <v>42423.768055555556</v>
      </c>
      <c r="B1394" s="8" t="str">
        <f>HYPERLINK("https://twitter.com/lada90","@lada90")</f>
        <v>@lada90</v>
      </c>
      <c r="C1394" s="10" t="s">
        <v>8827</v>
      </c>
      <c r="D1394" s="10" t="s">
        <v>8828</v>
      </c>
      <c r="E1394" s="11" t="str">
        <f>HYPERLINK("https://twitter.com/lada90/status/702318530377547776","702318530377547776")</f>
        <v>702318530377547776</v>
      </c>
      <c r="F1394" s="12" t="s">
        <v>20</v>
      </c>
      <c r="G1394" s="13">
        <v>612.0</v>
      </c>
      <c r="H1394" s="13">
        <v>912.0</v>
      </c>
      <c r="I1394" s="13">
        <v>0.0</v>
      </c>
      <c r="J1394" s="13">
        <v>2.0</v>
      </c>
      <c r="K1394" s="12" t="s">
        <v>21</v>
      </c>
      <c r="L1394" s="7">
        <v>39501.48516203704</v>
      </c>
      <c r="M1394" s="14" t="s">
        <v>8829</v>
      </c>
      <c r="N1394" s="14" t="s">
        <v>8830</v>
      </c>
      <c r="O1394" s="11" t="str">
        <f>HYPERLINK("https://pbs.twimg.com/profile_images/701095939134529536/YJgKwiyL_normal.jpg","View")</f>
        <v>View</v>
      </c>
      <c r="P1394" s="15"/>
    </row>
    <row r="1395">
      <c r="A1395" s="7">
        <v>42423.77253472222</v>
      </c>
      <c r="B1395" s="8" t="str">
        <f>HYPERLINK("https://twitter.com/eddelbuettel","@eddelbuettel")</f>
        <v>@eddelbuettel</v>
      </c>
      <c r="C1395" s="10" t="s">
        <v>8831</v>
      </c>
      <c r="D1395" s="10" t="s">
        <v>8832</v>
      </c>
      <c r="E1395" s="11" t="str">
        <f>HYPERLINK("https://twitter.com/eddelbuettel/status/702320151107125248","702320151107125248")</f>
        <v>702320151107125248</v>
      </c>
      <c r="F1395" s="12" t="s">
        <v>20</v>
      </c>
      <c r="G1395" s="13">
        <v>3411.0</v>
      </c>
      <c r="H1395" s="13">
        <v>378.0</v>
      </c>
      <c r="I1395" s="13">
        <v>2.0</v>
      </c>
      <c r="J1395" s="13">
        <v>13.0</v>
      </c>
      <c r="K1395" s="12" t="s">
        <v>21</v>
      </c>
      <c r="L1395" s="7">
        <v>39167.76431712963</v>
      </c>
      <c r="M1395" s="14" t="s">
        <v>8833</v>
      </c>
      <c r="N1395" s="14" t="s">
        <v>8834</v>
      </c>
      <c r="O1395" s="11" t="str">
        <f>HYPERLINK("https://pbs.twimg.com/profile_images/509888693478248448/rvqUa5YA_normal.jpeg","View")</f>
        <v>View</v>
      </c>
      <c r="P1395" s="15"/>
    </row>
    <row r="1396">
      <c r="A1396" s="7">
        <v>42423.77447916666</v>
      </c>
      <c r="B1396" s="8" t="str">
        <f>HYPERLINK("https://twitter.com/Rbloggers","@Rbloggers")</f>
        <v>@Rbloggers</v>
      </c>
      <c r="C1396" s="10" t="s">
        <v>6221</v>
      </c>
      <c r="D1396" s="10" t="s">
        <v>8835</v>
      </c>
      <c r="E1396" s="11" t="str">
        <f>HYPERLINK("https://twitter.com/Rbloggers/status/702320858727985152","702320858727985152")</f>
        <v>702320858727985152</v>
      </c>
      <c r="F1396" s="17" t="s">
        <v>6223</v>
      </c>
      <c r="G1396" s="13">
        <v>28572.0</v>
      </c>
      <c r="H1396" s="13">
        <v>36.0</v>
      </c>
      <c r="I1396" s="13">
        <v>2.0</v>
      </c>
      <c r="J1396" s="13">
        <v>4.0</v>
      </c>
      <c r="K1396" s="12" t="s">
        <v>21</v>
      </c>
      <c r="L1396" s="7">
        <v>40314.510601851856</v>
      </c>
      <c r="M1396" s="16"/>
      <c r="N1396" s="14" t="s">
        <v>6224</v>
      </c>
      <c r="O1396" s="11" t="str">
        <f>HYPERLINK("https://pbs.twimg.com/profile_images/502185985786916864/gkdFh-q7_normal.png","View")</f>
        <v>View</v>
      </c>
      <c r="P1396" s="15"/>
    </row>
    <row r="1397">
      <c r="A1397" s="7">
        <v>42423.77554398148</v>
      </c>
      <c r="B1397" s="8" t="str">
        <f>HYPERLINK("https://twitter.com/renato_umeton","@renato_umeton")</f>
        <v>@renato_umeton</v>
      </c>
      <c r="C1397" s="10" t="s">
        <v>1659</v>
      </c>
      <c r="D1397" s="10" t="s">
        <v>8836</v>
      </c>
      <c r="E1397" s="11" t="str">
        <f>HYPERLINK("https://twitter.com/renato_umeton/status/702321241152217088","702321241152217088")</f>
        <v>702321241152217088</v>
      </c>
      <c r="F1397" s="12" t="s">
        <v>38</v>
      </c>
      <c r="G1397" s="13">
        <v>70.0</v>
      </c>
      <c r="H1397" s="13">
        <v>79.0</v>
      </c>
      <c r="I1397" s="13">
        <v>2.0</v>
      </c>
      <c r="J1397" s="13">
        <v>0.0</v>
      </c>
      <c r="K1397" s="12" t="s">
        <v>21</v>
      </c>
      <c r="L1397" s="7">
        <v>39918.052083333336</v>
      </c>
      <c r="M1397" s="14" t="s">
        <v>1660</v>
      </c>
      <c r="N1397" s="14" t="s">
        <v>1661</v>
      </c>
      <c r="O1397" s="11" t="str">
        <f>HYPERLINK("https://pbs.twimg.com/profile_images/701553083537604608/nr8b38eG_normal.jpg","View")</f>
        <v>View</v>
      </c>
      <c r="P1397" s="15"/>
    </row>
    <row r="1398">
      <c r="A1398" s="7">
        <v>42423.7755787037</v>
      </c>
      <c r="B1398" s="8" t="str">
        <f>HYPERLINK("https://twitter.com/sw_inku","@sw_inku")</f>
        <v>@sw_inku</v>
      </c>
      <c r="C1398" s="10" t="s">
        <v>8837</v>
      </c>
      <c r="D1398" s="10" t="s">
        <v>7906</v>
      </c>
      <c r="E1398" s="11" t="str">
        <f>HYPERLINK("https://twitter.com/sw_inku/status/702321254460760065","702321254460760065")</f>
        <v>702321254460760065</v>
      </c>
      <c r="F1398" s="12" t="s">
        <v>152</v>
      </c>
      <c r="G1398" s="13">
        <v>665.0</v>
      </c>
      <c r="H1398" s="13">
        <v>354.0</v>
      </c>
      <c r="I1398" s="13">
        <v>8.0</v>
      </c>
      <c r="J1398" s="13">
        <v>0.0</v>
      </c>
      <c r="K1398" s="12" t="s">
        <v>21</v>
      </c>
      <c r="L1398" s="7">
        <v>39785.92129629629</v>
      </c>
      <c r="M1398" s="14" t="s">
        <v>8838</v>
      </c>
      <c r="N1398" s="14" t="s">
        <v>8839</v>
      </c>
      <c r="O1398" s="11" t="str">
        <f>HYPERLINK("https://pbs.twimg.com/profile_images/630177736229847040/DvK0Pher_normal.jpg","View")</f>
        <v>View</v>
      </c>
      <c r="P1398" s="15"/>
    </row>
    <row r="1399">
      <c r="A1399" s="7">
        <v>42423.77614583333</v>
      </c>
      <c r="B1399" s="8" t="str">
        <f>HYPERLINK("https://twitter.com/DataWookie","@DataWookie")</f>
        <v>@DataWookie</v>
      </c>
      <c r="C1399" s="10" t="s">
        <v>6231</v>
      </c>
      <c r="D1399" s="10" t="s">
        <v>8840</v>
      </c>
      <c r="E1399" s="11" t="str">
        <f>HYPERLINK("https://twitter.com/DataWookie/status/702321462867132416","702321462867132416")</f>
        <v>702321462867132416</v>
      </c>
      <c r="F1399" s="12" t="s">
        <v>6233</v>
      </c>
      <c r="G1399" s="13">
        <v>426.0</v>
      </c>
      <c r="H1399" s="13">
        <v>296.0</v>
      </c>
      <c r="I1399" s="13">
        <v>0.0</v>
      </c>
      <c r="J1399" s="13">
        <v>0.0</v>
      </c>
      <c r="K1399" s="12" t="s">
        <v>21</v>
      </c>
      <c r="L1399" s="7">
        <v>42166.966678240744</v>
      </c>
      <c r="M1399" s="14" t="s">
        <v>6234</v>
      </c>
      <c r="N1399" s="14" t="s">
        <v>6235</v>
      </c>
      <c r="O1399" s="11" t="str">
        <f>HYPERLINK("https://pbs.twimg.com/profile_images/612471608725213184/eXKo2Kmo_normal.jpg","View")</f>
        <v>View</v>
      </c>
      <c r="P1399" s="15"/>
    </row>
    <row r="1400">
      <c r="A1400" s="7">
        <v>42423.77903935185</v>
      </c>
      <c r="B1400" s="8" t="str">
        <f>HYPERLINK("https://twitter.com/m_ezkiel","@m_ezkiel")</f>
        <v>@m_ezkiel</v>
      </c>
      <c r="C1400" s="10" t="s">
        <v>8841</v>
      </c>
      <c r="D1400" s="10" t="s">
        <v>8842</v>
      </c>
      <c r="E1400" s="11" t="str">
        <f>HYPERLINK("https://twitter.com/m_ezkiel/status/702322511313182722","702322511313182722")</f>
        <v>702322511313182722</v>
      </c>
      <c r="F1400" s="12" t="s">
        <v>20</v>
      </c>
      <c r="G1400" s="13">
        <v>18.0</v>
      </c>
      <c r="H1400" s="13">
        <v>166.0</v>
      </c>
      <c r="I1400" s="13">
        <v>0.0</v>
      </c>
      <c r="J1400" s="13">
        <v>0.0</v>
      </c>
      <c r="K1400" s="12" t="s">
        <v>21</v>
      </c>
      <c r="L1400" s="7">
        <v>42287.7587037037</v>
      </c>
      <c r="M1400" s="14" t="s">
        <v>2022</v>
      </c>
      <c r="N1400" s="14" t="s">
        <v>8843</v>
      </c>
      <c r="O1400" s="11" t="str">
        <f>HYPERLINK("https://pbs.twimg.com/profile_images/653813078509813760/3pQJe4Rp_normal.jpg","View")</f>
        <v>View</v>
      </c>
      <c r="P1400" s="15"/>
    </row>
    <row r="1401">
      <c r="A1401" s="7">
        <v>42423.78145833334</v>
      </c>
      <c r="B1401" s="8" t="str">
        <f>HYPERLINK("https://twitter.com/FroogalStoodent","@FroogalStoodent")</f>
        <v>@FroogalStoodent</v>
      </c>
      <c r="C1401" s="10" t="s">
        <v>8844</v>
      </c>
      <c r="D1401" s="10" t="s">
        <v>8845</v>
      </c>
      <c r="E1401" s="11" t="str">
        <f>HYPERLINK("https://twitter.com/FroogalStoodent/status/702323387545358336","702323387545358336")</f>
        <v>702323387545358336</v>
      </c>
      <c r="F1401" s="12" t="s">
        <v>20</v>
      </c>
      <c r="G1401" s="13">
        <v>1554.0</v>
      </c>
      <c r="H1401" s="13">
        <v>1953.0</v>
      </c>
      <c r="I1401" s="13">
        <v>0.0</v>
      </c>
      <c r="J1401" s="13">
        <v>0.0</v>
      </c>
      <c r="K1401" s="12" t="s">
        <v>21</v>
      </c>
      <c r="L1401" s="7">
        <v>41784.87525462963</v>
      </c>
      <c r="M1401" s="14" t="s">
        <v>1054</v>
      </c>
      <c r="N1401" s="14" t="s">
        <v>8846</v>
      </c>
      <c r="O1401" s="11" t="str">
        <f>HYPERLINK("https://pbs.twimg.com/profile_images/470793404658380800/LlnufUWS_normal.png","View")</f>
        <v>View</v>
      </c>
      <c r="P1401" s="15"/>
    </row>
    <row r="1402">
      <c r="A1402" s="7">
        <v>42423.78435185185</v>
      </c>
      <c r="B1402" s="8" t="str">
        <f>HYPERLINK("https://twitter.com/monkmanmh","@monkmanmh")</f>
        <v>@monkmanmh</v>
      </c>
      <c r="C1402" s="10" t="s">
        <v>7951</v>
      </c>
      <c r="D1402" s="10" t="s">
        <v>8847</v>
      </c>
      <c r="E1402" s="11" t="str">
        <f>HYPERLINK("https://twitter.com/monkmanmh/status/702324434699313152","702324434699313152")</f>
        <v>702324434699313152</v>
      </c>
      <c r="F1402" s="12" t="s">
        <v>20</v>
      </c>
      <c r="G1402" s="13">
        <v>257.0</v>
      </c>
      <c r="H1402" s="13">
        <v>821.0</v>
      </c>
      <c r="I1402" s="13">
        <v>3.0</v>
      </c>
      <c r="J1402" s="13">
        <v>4.0</v>
      </c>
      <c r="K1402" s="12" t="s">
        <v>21</v>
      </c>
      <c r="L1402" s="7">
        <v>40456.45587962963</v>
      </c>
      <c r="M1402" s="14" t="s">
        <v>7544</v>
      </c>
      <c r="N1402" s="14" t="s">
        <v>7952</v>
      </c>
      <c r="O1402" s="11" t="str">
        <f>HYPERLINK("https://pbs.twimg.com/profile_images/378800000326851690/31a53679fad3e2366222d213ad196573_normal.jpeg","View")</f>
        <v>View</v>
      </c>
      <c r="P1402" s="15"/>
    </row>
    <row r="1403">
      <c r="A1403" s="7">
        <v>42423.78827546297</v>
      </c>
      <c r="B1403" s="8" t="str">
        <f>HYPERLINK("https://twitter.com/sainathadapa","@sainathadapa")</f>
        <v>@sainathadapa</v>
      </c>
      <c r="C1403" s="10" t="s">
        <v>7966</v>
      </c>
      <c r="D1403" s="10" t="s">
        <v>8848</v>
      </c>
      <c r="E1403" s="11" t="str">
        <f>HYPERLINK("https://twitter.com/sainathadapa/status/702325855515578368","702325855515578368")</f>
        <v>702325855515578368</v>
      </c>
      <c r="F1403" s="12" t="s">
        <v>152</v>
      </c>
      <c r="G1403" s="13">
        <v>183.0</v>
      </c>
      <c r="H1403" s="13">
        <v>214.0</v>
      </c>
      <c r="I1403" s="13">
        <v>3.0</v>
      </c>
      <c r="J1403" s="13">
        <v>0.0</v>
      </c>
      <c r="K1403" s="12" t="s">
        <v>21</v>
      </c>
      <c r="L1403" s="7">
        <v>40063.801157407404</v>
      </c>
      <c r="M1403" s="14" t="s">
        <v>3836</v>
      </c>
      <c r="N1403" s="14" t="s">
        <v>7967</v>
      </c>
      <c r="O1403" s="11" t="str">
        <f>HYPERLINK("https://pbs.twimg.com/profile_images/682881425331236864/zFd7F2uA_normal.jpg","View")</f>
        <v>View</v>
      </c>
      <c r="P1403" s="15"/>
    </row>
    <row r="1404">
      <c r="A1404" s="7">
        <v>42423.79282407407</v>
      </c>
      <c r="B1404" s="8" t="str">
        <f>HYPERLINK("https://twitter.com/bluecology","@bluecology")</f>
        <v>@bluecology</v>
      </c>
      <c r="C1404" s="10" t="s">
        <v>8849</v>
      </c>
      <c r="D1404" s="10" t="s">
        <v>8850</v>
      </c>
      <c r="E1404" s="11" t="str">
        <f>HYPERLINK("https://twitter.com/bluecology/status/702327505072443394","702327505072443394")</f>
        <v>702327505072443394</v>
      </c>
      <c r="F1404" s="12" t="s">
        <v>152</v>
      </c>
      <c r="G1404" s="13">
        <v>852.0</v>
      </c>
      <c r="H1404" s="13">
        <v>737.0</v>
      </c>
      <c r="I1404" s="13">
        <v>0.0</v>
      </c>
      <c r="J1404" s="13">
        <v>0.0</v>
      </c>
      <c r="K1404" s="12" t="s">
        <v>21</v>
      </c>
      <c r="L1404" s="7">
        <v>40620.42215277778</v>
      </c>
      <c r="M1404" s="14" t="s">
        <v>3780</v>
      </c>
      <c r="N1404" s="14" t="s">
        <v>8851</v>
      </c>
      <c r="O1404" s="11" t="str">
        <f>HYPERLINK("https://pbs.twimg.com/profile_images/624399902261403648/-I8q7-JD_normal.jpg","View")</f>
        <v>View</v>
      </c>
      <c r="P1404" s="15"/>
    </row>
    <row r="1405">
      <c r="A1405" s="7">
        <v>42423.79340277778</v>
      </c>
      <c r="B1405" s="8" t="str">
        <f>HYPERLINK("https://twitter.com/sckottie","@sckottie")</f>
        <v>@sckottie</v>
      </c>
      <c r="C1405" s="10" t="s">
        <v>7836</v>
      </c>
      <c r="D1405" s="10" t="s">
        <v>8852</v>
      </c>
      <c r="E1405" s="11" t="str">
        <f>HYPERLINK("https://twitter.com/sckottie/status/702327713760063488","702327713760063488")</f>
        <v>702327713760063488</v>
      </c>
      <c r="F1405" s="12" t="s">
        <v>446</v>
      </c>
      <c r="G1405" s="13">
        <v>3140.0</v>
      </c>
      <c r="H1405" s="13">
        <v>990.0</v>
      </c>
      <c r="I1405" s="13">
        <v>3.0</v>
      </c>
      <c r="J1405" s="13">
        <v>0.0</v>
      </c>
      <c r="K1405" s="12" t="s">
        <v>21</v>
      </c>
      <c r="L1405" s="7">
        <v>40186.2953587963</v>
      </c>
      <c r="M1405" s="14" t="s">
        <v>7838</v>
      </c>
      <c r="N1405" s="14" t="s">
        <v>7839</v>
      </c>
      <c r="O1405" s="11" t="str">
        <f>HYPERLINK("https://pbs.twimg.com/profile_images/628062474491670529/KOOABG9v_normal.jpg","View")</f>
        <v>View</v>
      </c>
      <c r="P1405" s="15"/>
    </row>
    <row r="1406">
      <c r="A1406" s="7">
        <v>42423.7958912037</v>
      </c>
      <c r="B1406" s="8" t="str">
        <f>HYPERLINK("https://twitter.com/philipdurbin","@philipdurbin")</f>
        <v>@philipdurbin</v>
      </c>
      <c r="C1406" s="10" t="s">
        <v>8853</v>
      </c>
      <c r="D1406" s="10" t="s">
        <v>8854</v>
      </c>
      <c r="E1406" s="11" t="str">
        <f>HYPERLINK("https://twitter.com/philipdurbin/status/702328618567888896","702328618567888896")</f>
        <v>702328618567888896</v>
      </c>
      <c r="F1406" s="12" t="s">
        <v>152</v>
      </c>
      <c r="G1406" s="13">
        <v>474.0</v>
      </c>
      <c r="H1406" s="13">
        <v>1408.0</v>
      </c>
      <c r="I1406" s="13">
        <v>2.0</v>
      </c>
      <c r="J1406" s="13">
        <v>0.0</v>
      </c>
      <c r="K1406" s="12" t="s">
        <v>21</v>
      </c>
      <c r="L1406" s="7">
        <v>39804.84570601852</v>
      </c>
      <c r="M1406" s="16"/>
      <c r="N1406" s="14" t="s">
        <v>8855</v>
      </c>
      <c r="O1406" s="11" t="str">
        <f>HYPERLINK("https://pbs.twimg.com/profile_images/1729661967/philipdurbin_cropped_normal.jpg","View")</f>
        <v>View</v>
      </c>
      <c r="P1406" s="15"/>
    </row>
    <row r="1407">
      <c r="A1407" s="7">
        <v>42423.801030092596</v>
      </c>
      <c r="B1407" s="8" t="str">
        <f>HYPERLINK("https://twitter.com/scottmccain5","@scottmccain5")</f>
        <v>@scottmccain5</v>
      </c>
      <c r="C1407" s="10" t="s">
        <v>8856</v>
      </c>
      <c r="D1407" s="10" t="s">
        <v>7352</v>
      </c>
      <c r="E1407" s="11" t="str">
        <f>HYPERLINK("https://twitter.com/scottmccain5/status/702330478146265088","702330478146265088")</f>
        <v>702330478146265088</v>
      </c>
      <c r="F1407" s="12" t="s">
        <v>152</v>
      </c>
      <c r="G1407" s="13">
        <v>6.0</v>
      </c>
      <c r="H1407" s="13">
        <v>21.0</v>
      </c>
      <c r="I1407" s="13">
        <v>48.0</v>
      </c>
      <c r="J1407" s="13">
        <v>0.0</v>
      </c>
      <c r="K1407" s="12" t="s">
        <v>21</v>
      </c>
      <c r="L1407" s="7">
        <v>42310.571493055555</v>
      </c>
      <c r="M1407" s="16"/>
      <c r="N1407" s="16"/>
      <c r="O1407" s="11" t="str">
        <f>HYPERLINK("https://pbs.twimg.com/profile_images/676837878035427328/rSTy-2NE_normal.jpg","View")</f>
        <v>View</v>
      </c>
      <c r="P1407" s="15"/>
    </row>
    <row r="1408">
      <c r="A1408" s="7">
        <v>42423.8019212963</v>
      </c>
      <c r="B1408" s="8" t="str">
        <f>HYPERLINK("https://twitter.com/lucselzer","@lucselzer")</f>
        <v>@lucselzer</v>
      </c>
      <c r="C1408" s="10" t="s">
        <v>6696</v>
      </c>
      <c r="D1408" s="10" t="s">
        <v>8852</v>
      </c>
      <c r="E1408" s="11" t="str">
        <f>HYPERLINK("https://twitter.com/lucselzer/status/702330803330654210","702330803330654210")</f>
        <v>702330803330654210</v>
      </c>
      <c r="F1408" s="12" t="s">
        <v>152</v>
      </c>
      <c r="G1408" s="13">
        <v>62.0</v>
      </c>
      <c r="H1408" s="13">
        <v>205.0</v>
      </c>
      <c r="I1408" s="13">
        <v>3.0</v>
      </c>
      <c r="J1408" s="13">
        <v>0.0</v>
      </c>
      <c r="K1408" s="12" t="s">
        <v>21</v>
      </c>
      <c r="L1408" s="7">
        <v>41204.976319444446</v>
      </c>
      <c r="M1408" s="14" t="s">
        <v>6698</v>
      </c>
      <c r="N1408" s="14" t="s">
        <v>6699</v>
      </c>
      <c r="O1408" s="11" t="str">
        <f>HYPERLINK("https://pbs.twimg.com/profile_images/700988765318283264/LoBqG5Dw_normal.jpg","View")</f>
        <v>View</v>
      </c>
      <c r="P1408" s="15"/>
    </row>
    <row r="1409">
      <c r="A1409" s="7">
        <v>42423.803495370375</v>
      </c>
      <c r="B1409" s="8" t="str">
        <f>HYPERLINK("https://twitter.com/TweetSKS","@TweetSKS")</f>
        <v>@TweetSKS</v>
      </c>
      <c r="C1409" s="10" t="s">
        <v>8857</v>
      </c>
      <c r="D1409" s="10" t="s">
        <v>8858</v>
      </c>
      <c r="E1409" s="11" t="str">
        <f>HYPERLINK("https://twitter.com/TweetSKS/status/702331371818086400","702331371818086400")</f>
        <v>702331371818086400</v>
      </c>
      <c r="F1409" s="12" t="s">
        <v>98</v>
      </c>
      <c r="G1409" s="13">
        <v>203.0</v>
      </c>
      <c r="H1409" s="13">
        <v>442.0</v>
      </c>
      <c r="I1409" s="13">
        <v>2.0</v>
      </c>
      <c r="J1409" s="13">
        <v>0.0</v>
      </c>
      <c r="K1409" s="12" t="s">
        <v>21</v>
      </c>
      <c r="L1409" s="7">
        <v>39329.36189814815</v>
      </c>
      <c r="M1409" s="14" t="s">
        <v>4759</v>
      </c>
      <c r="N1409" s="16"/>
      <c r="O1409" s="11" t="str">
        <f>HYPERLINK("https://pbs.twimg.com/profile_images/543120620297269249/uyIh8KDo_normal.jpeg","View")</f>
        <v>View</v>
      </c>
      <c r="P1409" s="15"/>
    </row>
    <row r="1410">
      <c r="A1410" s="7">
        <v>42423.80903935185</v>
      </c>
      <c r="B1410" s="8" t="str">
        <f>HYPERLINK("https://twitter.com/ShinyappsRecent","@ShinyappsRecent")</f>
        <v>@ShinyappsRecent</v>
      </c>
      <c r="C1410" s="10" t="s">
        <v>6422</v>
      </c>
      <c r="D1410" s="10" t="s">
        <v>8859</v>
      </c>
      <c r="E1410" s="11" t="str">
        <f>HYPERLINK("https://twitter.com/ShinyappsRecent/status/702333380168253440","702333380168253440")</f>
        <v>702333380168253440</v>
      </c>
      <c r="F1410" s="12" t="s">
        <v>6424</v>
      </c>
      <c r="G1410" s="13">
        <v>212.0</v>
      </c>
      <c r="H1410" s="13">
        <v>6.0</v>
      </c>
      <c r="I1410" s="13">
        <v>1.0</v>
      </c>
      <c r="J1410" s="13">
        <v>3.0</v>
      </c>
      <c r="K1410" s="12" t="s">
        <v>21</v>
      </c>
      <c r="L1410" s="7">
        <v>42004.08681712963</v>
      </c>
      <c r="M1410" s="14" t="s">
        <v>6425</v>
      </c>
      <c r="N1410" s="14" t="s">
        <v>6426</v>
      </c>
      <c r="O1410" s="11" t="str">
        <f>HYPERLINK("https://pbs.twimg.com/profile_images/550280885480603648/jye_0y8s_normal.png","View")</f>
        <v>View</v>
      </c>
      <c r="P1410" s="15"/>
    </row>
    <row r="1411">
      <c r="A1411" s="7">
        <v>42423.81954861111</v>
      </c>
      <c r="B1411" s="8" t="str">
        <f>HYPERLINK("https://twitter.com/Rbloggers","@Rbloggers")</f>
        <v>@Rbloggers</v>
      </c>
      <c r="C1411" s="10" t="s">
        <v>6221</v>
      </c>
      <c r="D1411" s="10" t="s">
        <v>8860</v>
      </c>
      <c r="E1411" s="11" t="str">
        <f>HYPERLINK("https://twitter.com/Rbloggers/status/702337189439369218","702337189439369218")</f>
        <v>702337189439369218</v>
      </c>
      <c r="F1411" s="17" t="s">
        <v>6223</v>
      </c>
      <c r="G1411" s="13">
        <v>28572.0</v>
      </c>
      <c r="H1411" s="13">
        <v>36.0</v>
      </c>
      <c r="I1411" s="13">
        <v>13.0</v>
      </c>
      <c r="J1411" s="13">
        <v>24.0</v>
      </c>
      <c r="K1411" s="12" t="s">
        <v>21</v>
      </c>
      <c r="L1411" s="7">
        <v>40314.510601851856</v>
      </c>
      <c r="M1411" s="16"/>
      <c r="N1411" s="14" t="s">
        <v>6224</v>
      </c>
      <c r="O1411" s="11" t="str">
        <f>HYPERLINK("https://pbs.twimg.com/profile_images/502185985786916864/gkdFh-q7_normal.png","View")</f>
        <v>View</v>
      </c>
      <c r="P1411" s="15"/>
    </row>
    <row r="1412">
      <c r="A1412" s="7">
        <v>42423.820625</v>
      </c>
      <c r="B1412" s="8" t="str">
        <f>HYPERLINK("https://twitter.com/WestCoastPole","@WestCoastPole")</f>
        <v>@WestCoastPole</v>
      </c>
      <c r="C1412" s="10" t="s">
        <v>7535</v>
      </c>
      <c r="D1412" s="10" t="s">
        <v>8861</v>
      </c>
      <c r="E1412" s="11" t="str">
        <f>HYPERLINK("https://twitter.com/WestCoastPole/status/702337579287388160","702337579287388160")</f>
        <v>702337579287388160</v>
      </c>
      <c r="F1412" s="12" t="s">
        <v>2063</v>
      </c>
      <c r="G1412" s="13">
        <v>8.0</v>
      </c>
      <c r="H1412" s="13">
        <v>47.0</v>
      </c>
      <c r="I1412" s="13">
        <v>13.0</v>
      </c>
      <c r="J1412" s="13">
        <v>0.0</v>
      </c>
      <c r="K1412" s="12" t="s">
        <v>21</v>
      </c>
      <c r="L1412" s="7">
        <v>42409.795625</v>
      </c>
      <c r="M1412" s="16"/>
      <c r="N1412" s="14" t="s">
        <v>7536</v>
      </c>
      <c r="O1412" s="11" t="str">
        <f>HYPERLINK("https://pbs.twimg.com/profile_images/697258194142236672/s37qIvfo_normal.png","View")</f>
        <v>View</v>
      </c>
      <c r="P1412" s="15"/>
    </row>
    <row r="1413">
      <c r="A1413" s="7">
        <v>42423.821875</v>
      </c>
      <c r="B1413" s="8" t="str">
        <f>HYPERLINK("https://twitter.com/pa_marais","@pa_marais")</f>
        <v>@pa_marais</v>
      </c>
      <c r="C1413" s="10" t="s">
        <v>6236</v>
      </c>
      <c r="D1413" s="10" t="s">
        <v>8861</v>
      </c>
      <c r="E1413" s="11" t="str">
        <f>HYPERLINK("https://twitter.com/pa_marais/status/702338031538278400","702338031538278400")</f>
        <v>702338031538278400</v>
      </c>
      <c r="F1413" s="12" t="s">
        <v>152</v>
      </c>
      <c r="G1413" s="13">
        <v>80.0</v>
      </c>
      <c r="H1413" s="13">
        <v>200.0</v>
      </c>
      <c r="I1413" s="13">
        <v>13.0</v>
      </c>
      <c r="J1413" s="13">
        <v>0.0</v>
      </c>
      <c r="K1413" s="12" t="s">
        <v>21</v>
      </c>
      <c r="L1413" s="7">
        <v>42053.30278935185</v>
      </c>
      <c r="M1413" s="16"/>
      <c r="N1413" s="14" t="s">
        <v>6238</v>
      </c>
      <c r="O1413" s="11" t="str">
        <f>HYPERLINK("https://pbs.twimg.com/profile_images/568067400809984000/MXrq4e8A_normal.jpeg","View")</f>
        <v>View</v>
      </c>
      <c r="P1413" s="15"/>
    </row>
    <row r="1414">
      <c r="A1414" s="7">
        <v>42423.823275462964</v>
      </c>
      <c r="B1414" s="8" t="str">
        <f>HYPERLINK("https://twitter.com/renato_umeton","@renato_umeton")</f>
        <v>@renato_umeton</v>
      </c>
      <c r="C1414" s="10" t="s">
        <v>1659</v>
      </c>
      <c r="D1414" s="10" t="s">
        <v>8861</v>
      </c>
      <c r="E1414" s="11" t="str">
        <f>HYPERLINK("https://twitter.com/renato_umeton/status/702338541821501440","702338541821501440")</f>
        <v>702338541821501440</v>
      </c>
      <c r="F1414" s="12" t="s">
        <v>38</v>
      </c>
      <c r="G1414" s="13">
        <v>70.0</v>
      </c>
      <c r="H1414" s="13">
        <v>79.0</v>
      </c>
      <c r="I1414" s="13">
        <v>13.0</v>
      </c>
      <c r="J1414" s="13">
        <v>0.0</v>
      </c>
      <c r="K1414" s="12" t="s">
        <v>21</v>
      </c>
      <c r="L1414" s="7">
        <v>39918.052083333336</v>
      </c>
      <c r="M1414" s="14" t="s">
        <v>1660</v>
      </c>
      <c r="N1414" s="14" t="s">
        <v>1661</v>
      </c>
      <c r="O1414" s="11" t="str">
        <f>HYPERLINK("https://pbs.twimg.com/profile_images/701553083537604608/nr8b38eG_normal.jpg","View")</f>
        <v>View</v>
      </c>
      <c r="P1414" s="15"/>
    </row>
    <row r="1415">
      <c r="A1415" s="7">
        <v>42423.82498842593</v>
      </c>
      <c r="B1415" s="8" t="str">
        <f>HYPERLINK("https://twitter.com/wtibrentdubai","@wtibrentdubai")</f>
        <v>@wtibrentdubai</v>
      </c>
      <c r="C1415" s="10" t="s">
        <v>6247</v>
      </c>
      <c r="D1415" s="10" t="s">
        <v>8861</v>
      </c>
      <c r="E1415" s="11" t="str">
        <f>HYPERLINK("https://twitter.com/wtibrentdubai/status/702339161072611328","702339161072611328")</f>
        <v>702339161072611328</v>
      </c>
      <c r="F1415" s="12" t="s">
        <v>152</v>
      </c>
      <c r="G1415" s="13">
        <v>85.0</v>
      </c>
      <c r="H1415" s="13">
        <v>201.0</v>
      </c>
      <c r="I1415" s="13">
        <v>13.0</v>
      </c>
      <c r="J1415" s="13">
        <v>0.0</v>
      </c>
      <c r="K1415" s="12" t="s">
        <v>21</v>
      </c>
      <c r="L1415" s="7">
        <v>42292.593680555554</v>
      </c>
      <c r="M1415" s="14" t="s">
        <v>6249</v>
      </c>
      <c r="N1415" s="14" t="s">
        <v>6250</v>
      </c>
      <c r="O1415" s="11" t="str">
        <f>HYPERLINK("https://pbs.twimg.com/profile_images/670700991906381824/-0POuKFV_normal.jpg","View")</f>
        <v>View</v>
      </c>
      <c r="P1415" s="15"/>
    </row>
    <row r="1416">
      <c r="A1416" s="7">
        <v>42423.82518518518</v>
      </c>
      <c r="B1416" s="8" t="str">
        <f t="shared" ref="B1416:B1417" si="155">HYPERLINK("https://twitter.com/TrestleJeff","@TrestleJeff")</f>
        <v>@TrestleJeff</v>
      </c>
      <c r="C1416" s="10" t="s">
        <v>8862</v>
      </c>
      <c r="D1416" s="10" t="s">
        <v>8863</v>
      </c>
      <c r="E1416" s="11" t="str">
        <f>HYPERLINK("https://twitter.com/TrestleJeff/status/702339230974898176","702339230974898176")</f>
        <v>702339230974898176</v>
      </c>
      <c r="F1416" s="12" t="s">
        <v>20</v>
      </c>
      <c r="G1416" s="13">
        <v>508.0</v>
      </c>
      <c r="H1416" s="13">
        <v>223.0</v>
      </c>
      <c r="I1416" s="13">
        <v>0.0</v>
      </c>
      <c r="J1416" s="13">
        <v>6.0</v>
      </c>
      <c r="K1416" s="12" t="s">
        <v>21</v>
      </c>
      <c r="L1416" s="7">
        <v>41110.32064814815</v>
      </c>
      <c r="M1416" s="14" t="s">
        <v>3613</v>
      </c>
      <c r="N1416" s="14" t="s">
        <v>8864</v>
      </c>
      <c r="O1416" s="11" t="str">
        <f t="shared" ref="O1416:O1417" si="156">HYPERLINK("https://pbs.twimg.com/profile_images/2415591608/wnoj4nzrqyoukm38vj0w_normal.jpeg","View")</f>
        <v>View</v>
      </c>
      <c r="P1416" s="15"/>
    </row>
    <row r="1417">
      <c r="A1417" s="7">
        <v>42423.8271875</v>
      </c>
      <c r="B1417" s="8" t="str">
        <f t="shared" si="155"/>
        <v>@TrestleJeff</v>
      </c>
      <c r="C1417" s="10" t="s">
        <v>8862</v>
      </c>
      <c r="D1417" s="10" t="s">
        <v>8865</v>
      </c>
      <c r="E1417" s="11" t="str">
        <f>HYPERLINK("https://twitter.com/TrestleJeff/status/702339956253941760","702339956253941760")</f>
        <v>702339956253941760</v>
      </c>
      <c r="F1417" s="12" t="s">
        <v>20</v>
      </c>
      <c r="G1417" s="13">
        <v>508.0</v>
      </c>
      <c r="H1417" s="13">
        <v>223.0</v>
      </c>
      <c r="I1417" s="13">
        <v>0.0</v>
      </c>
      <c r="J1417" s="13">
        <v>1.0</v>
      </c>
      <c r="K1417" s="12" t="s">
        <v>21</v>
      </c>
      <c r="L1417" s="7">
        <v>41110.32064814815</v>
      </c>
      <c r="M1417" s="14" t="s">
        <v>3613</v>
      </c>
      <c r="N1417" s="14" t="s">
        <v>8864</v>
      </c>
      <c r="O1417" s="11" t="str">
        <f t="shared" si="156"/>
        <v>View</v>
      </c>
      <c r="P1417" s="15"/>
    </row>
    <row r="1418">
      <c r="A1418" s="7">
        <v>42423.83012731481</v>
      </c>
      <c r="B1418" s="8" t="str">
        <f t="shared" ref="B1418:B1419" si="157">HYPERLINK("https://twitter.com/pa_marais","@pa_marais")</f>
        <v>@pa_marais</v>
      </c>
      <c r="C1418" s="10" t="s">
        <v>6236</v>
      </c>
      <c r="D1418" s="10" t="s">
        <v>8866</v>
      </c>
      <c r="E1418" s="11" t="str">
        <f>HYPERLINK("https://twitter.com/pa_marais/status/702341021598949376","702341021598949376")</f>
        <v>702341021598949376</v>
      </c>
      <c r="F1418" s="12" t="s">
        <v>152</v>
      </c>
      <c r="G1418" s="13">
        <v>80.0</v>
      </c>
      <c r="H1418" s="13">
        <v>200.0</v>
      </c>
      <c r="I1418" s="13">
        <v>1.0</v>
      </c>
      <c r="J1418" s="13">
        <v>0.0</v>
      </c>
      <c r="K1418" s="12" t="s">
        <v>21</v>
      </c>
      <c r="L1418" s="7">
        <v>42053.30278935185</v>
      </c>
      <c r="M1418" s="16"/>
      <c r="N1418" s="14" t="s">
        <v>6238</v>
      </c>
      <c r="O1418" s="11" t="str">
        <f t="shared" ref="O1418:O1419" si="158">HYPERLINK("https://pbs.twimg.com/profile_images/568067400809984000/MXrq4e8A_normal.jpeg","View")</f>
        <v>View</v>
      </c>
      <c r="P1418" s="15"/>
    </row>
    <row r="1419">
      <c r="A1419" s="7">
        <v>42423.8302662037</v>
      </c>
      <c r="B1419" s="8" t="str">
        <f t="shared" si="157"/>
        <v>@pa_marais</v>
      </c>
      <c r="C1419" s="10" t="s">
        <v>6236</v>
      </c>
      <c r="D1419" s="10" t="s">
        <v>8629</v>
      </c>
      <c r="E1419" s="11" t="str">
        <f>HYPERLINK("https://twitter.com/pa_marais/status/702341073625022464","702341073625022464")</f>
        <v>702341073625022464</v>
      </c>
      <c r="F1419" s="12" t="s">
        <v>152</v>
      </c>
      <c r="G1419" s="13">
        <v>80.0</v>
      </c>
      <c r="H1419" s="13">
        <v>200.0</v>
      </c>
      <c r="I1419" s="13">
        <v>6.0</v>
      </c>
      <c r="J1419" s="13">
        <v>0.0</v>
      </c>
      <c r="K1419" s="12" t="s">
        <v>21</v>
      </c>
      <c r="L1419" s="7">
        <v>42053.30278935185</v>
      </c>
      <c r="M1419" s="16"/>
      <c r="N1419" s="14" t="s">
        <v>6238</v>
      </c>
      <c r="O1419" s="11" t="str">
        <f t="shared" si="158"/>
        <v>View</v>
      </c>
      <c r="P1419" s="15"/>
    </row>
    <row r="1420">
      <c r="A1420" s="7">
        <v>42423.83048611111</v>
      </c>
      <c r="B1420" s="8" t="str">
        <f>HYPERLINK("https://twitter.com/archimedino","@archimedino")</f>
        <v>@archimedino</v>
      </c>
      <c r="C1420" s="10" t="s">
        <v>8867</v>
      </c>
      <c r="D1420" s="10" t="s">
        <v>8868</v>
      </c>
      <c r="E1420" s="11" t="str">
        <f>HYPERLINK("https://twitter.com/archimedino/status/702341155376242689","702341155376242689")</f>
        <v>702341155376242689</v>
      </c>
      <c r="F1420" s="12" t="s">
        <v>20</v>
      </c>
      <c r="G1420" s="13">
        <v>552.0</v>
      </c>
      <c r="H1420" s="13">
        <v>596.0</v>
      </c>
      <c r="I1420" s="13">
        <v>3.0</v>
      </c>
      <c r="J1420" s="13">
        <v>5.0</v>
      </c>
      <c r="K1420" s="12" t="s">
        <v>21</v>
      </c>
      <c r="L1420" s="7">
        <v>39969.52395833333</v>
      </c>
      <c r="M1420" s="14" t="s">
        <v>8869</v>
      </c>
      <c r="N1420" s="14" t="s">
        <v>8870</v>
      </c>
      <c r="O1420" s="11" t="str">
        <f>HYPERLINK("https://pbs.twimg.com/profile_images/526523280098725888/cmPB-YRO_normal.jpeg","View")</f>
        <v>View</v>
      </c>
      <c r="P1420" s="15"/>
    </row>
    <row r="1421">
      <c r="A1421" s="7">
        <v>42423.83334490741</v>
      </c>
      <c r="B1421" s="8" t="str">
        <f>HYPERLINK("https://twitter.com/sfrechette","@sfrechette")</f>
        <v>@sfrechette</v>
      </c>
      <c r="C1421" s="10" t="s">
        <v>6564</v>
      </c>
      <c r="D1421" s="10" t="s">
        <v>8871</v>
      </c>
      <c r="E1421" s="11" t="str">
        <f>HYPERLINK("https://twitter.com/sfrechette/status/702342189876174848","702342189876174848")</f>
        <v>702342189876174848</v>
      </c>
      <c r="F1421" s="12" t="s">
        <v>6566</v>
      </c>
      <c r="G1421" s="13">
        <v>1352.0</v>
      </c>
      <c r="H1421" s="13">
        <v>1178.0</v>
      </c>
      <c r="I1421" s="13">
        <v>0.0</v>
      </c>
      <c r="J1421" s="13">
        <v>0.0</v>
      </c>
      <c r="K1421" s="12" t="s">
        <v>21</v>
      </c>
      <c r="L1421" s="7">
        <v>39873.53702546297</v>
      </c>
      <c r="M1421" s="14" t="s">
        <v>6567</v>
      </c>
      <c r="N1421" s="14" t="s">
        <v>6568</v>
      </c>
      <c r="O1421" s="11" t="str">
        <f>HYPERLINK("https://pbs.twimg.com/profile_images/662342111799304192/Xtv8MZ-P_normal.jpg","View")</f>
        <v>View</v>
      </c>
      <c r="P1421" s="15"/>
    </row>
    <row r="1422">
      <c r="A1422" s="7">
        <v>42423.83479166667</v>
      </c>
      <c r="B1422" s="8" t="str">
        <f>HYPERLINK("https://twitter.com/hazediver","@hazediver")</f>
        <v>@hazediver</v>
      </c>
      <c r="C1422" s="10" t="s">
        <v>8872</v>
      </c>
      <c r="D1422" s="10" t="s">
        <v>8861</v>
      </c>
      <c r="E1422" s="11" t="str">
        <f>HYPERLINK("https://twitter.com/hazediver/status/702342713350320128","702342713350320128")</f>
        <v>702342713350320128</v>
      </c>
      <c r="F1422" s="12" t="s">
        <v>20</v>
      </c>
      <c r="G1422" s="13">
        <v>113.0</v>
      </c>
      <c r="H1422" s="13">
        <v>272.0</v>
      </c>
      <c r="I1422" s="13">
        <v>13.0</v>
      </c>
      <c r="J1422" s="13">
        <v>0.0</v>
      </c>
      <c r="K1422" s="12" t="s">
        <v>21</v>
      </c>
      <c r="L1422" s="7">
        <v>40259.4594212963</v>
      </c>
      <c r="M1422" s="14" t="s">
        <v>3114</v>
      </c>
      <c r="N1422" s="14" t="s">
        <v>8873</v>
      </c>
      <c r="O1422" s="11" t="str">
        <f>HYPERLINK("https://pbs.twimg.com/profile_images/3611365466/37620a705c62e001235a775b1a63cb50_normal.jpeg","View")</f>
        <v>View</v>
      </c>
      <c r="P1422" s="15"/>
    </row>
    <row r="1423">
      <c r="A1423" s="7">
        <v>42423.83952546296</v>
      </c>
      <c r="B1423" s="8" t="str">
        <f>HYPERLINK("https://twitter.com/ClarkGRichards","@ClarkGRichards")</f>
        <v>@ClarkGRichards</v>
      </c>
      <c r="C1423" s="10" t="s">
        <v>8874</v>
      </c>
      <c r="D1423" s="10" t="s">
        <v>8875</v>
      </c>
      <c r="E1423" s="11" t="str">
        <f>HYPERLINK("https://twitter.com/ClarkGRichards/status/702344430473211906","702344430473211906")</f>
        <v>702344430473211906</v>
      </c>
      <c r="F1423" s="12" t="s">
        <v>20</v>
      </c>
      <c r="G1423" s="13">
        <v>228.0</v>
      </c>
      <c r="H1423" s="13">
        <v>483.0</v>
      </c>
      <c r="I1423" s="13">
        <v>3.0</v>
      </c>
      <c r="J1423" s="13">
        <v>1.0</v>
      </c>
      <c r="K1423" s="12" t="s">
        <v>21</v>
      </c>
      <c r="L1423" s="7">
        <v>40892.252962962964</v>
      </c>
      <c r="M1423" s="14" t="s">
        <v>8876</v>
      </c>
      <c r="N1423" s="14" t="s">
        <v>8877</v>
      </c>
      <c r="O1423" s="11" t="str">
        <f>HYPERLINK("https://pbs.twimg.com/profile_images/571506248055398400/NlgYe8s8_normal.jpeg","View")</f>
        <v>View</v>
      </c>
      <c r="P1423" s="15"/>
    </row>
    <row r="1424">
      <c r="A1424" s="7">
        <v>42423.839942129634</v>
      </c>
      <c r="B1424" s="8" t="str">
        <f>HYPERLINK("https://twitter.com/VinhLu0ng","@VinhLu0ng")</f>
        <v>@VinhLu0ng</v>
      </c>
      <c r="C1424" s="10" t="s">
        <v>8878</v>
      </c>
      <c r="D1424" s="10" t="s">
        <v>8879</v>
      </c>
      <c r="E1424" s="11" t="str">
        <f>HYPERLINK("https://twitter.com/VinhLu0ng/status/702344579144507393","702344579144507393")</f>
        <v>702344579144507393</v>
      </c>
      <c r="F1424" s="12" t="s">
        <v>52</v>
      </c>
      <c r="G1424" s="13">
        <v>114.0</v>
      </c>
      <c r="H1424" s="13">
        <v>1252.0</v>
      </c>
      <c r="I1424" s="13">
        <v>0.0</v>
      </c>
      <c r="J1424" s="13">
        <v>0.0</v>
      </c>
      <c r="K1424" s="12" t="s">
        <v>21</v>
      </c>
      <c r="L1424" s="7">
        <v>39690.39208333333</v>
      </c>
      <c r="M1424" s="14" t="s">
        <v>6116</v>
      </c>
      <c r="N1424" s="16"/>
      <c r="O1424" s="11" t="str">
        <f>HYPERLINK("https://pbs.twimg.com/profile_images/535199064644542464/o15Cbw1Q_normal.jpeg","View")</f>
        <v>View</v>
      </c>
      <c r="P1424" s="15"/>
    </row>
    <row r="1425">
      <c r="A1425" s="7">
        <v>42423.84303240741</v>
      </c>
      <c r="B1425" s="8" t="str">
        <f>HYPERLINK("https://twitter.com/wrgarciag","@wrgarciag")</f>
        <v>@wrgarciag</v>
      </c>
      <c r="C1425" s="10" t="s">
        <v>6411</v>
      </c>
      <c r="D1425" s="10" t="s">
        <v>8861</v>
      </c>
      <c r="E1425" s="11" t="str">
        <f>HYPERLINK("https://twitter.com/wrgarciag/status/702345702140219395","702345702140219395")</f>
        <v>702345702140219395</v>
      </c>
      <c r="F1425" s="12" t="s">
        <v>152</v>
      </c>
      <c r="G1425" s="13">
        <v>48.0</v>
      </c>
      <c r="H1425" s="13">
        <v>248.0</v>
      </c>
      <c r="I1425" s="13">
        <v>13.0</v>
      </c>
      <c r="J1425" s="13">
        <v>0.0</v>
      </c>
      <c r="K1425" s="12" t="s">
        <v>21</v>
      </c>
      <c r="L1425" s="7">
        <v>41367.64738425926</v>
      </c>
      <c r="M1425" s="14" t="s">
        <v>1183</v>
      </c>
      <c r="N1425" s="14" t="s">
        <v>6412</v>
      </c>
      <c r="O1425" s="11" t="str">
        <f>HYPERLINK("https://pbs.twimg.com/profile_images/548931380541792256/RN_Lg1sS_normal.jpeg","View")</f>
        <v>View</v>
      </c>
      <c r="P1425" s="15"/>
    </row>
    <row r="1426">
      <c r="A1426" s="7">
        <v>42423.84307870371</v>
      </c>
      <c r="B1426" s="8" t="str">
        <f>HYPERLINK("https://twitter.com/jletteboer","@jletteboer")</f>
        <v>@jletteboer</v>
      </c>
      <c r="C1426" s="10" t="s">
        <v>3886</v>
      </c>
      <c r="D1426" s="10" t="s">
        <v>8880</v>
      </c>
      <c r="E1426" s="11" t="str">
        <f>HYPERLINK("https://twitter.com/jletteboer/status/702345717927510016","702345717927510016")</f>
        <v>702345717927510016</v>
      </c>
      <c r="F1426" s="17" t="s">
        <v>718</v>
      </c>
      <c r="G1426" s="13">
        <v>818.0</v>
      </c>
      <c r="H1426" s="13">
        <v>786.0</v>
      </c>
      <c r="I1426" s="13">
        <v>0.0</v>
      </c>
      <c r="J1426" s="13">
        <v>1.0</v>
      </c>
      <c r="K1426" s="12" t="s">
        <v>21</v>
      </c>
      <c r="L1426" s="7">
        <v>40142.24915509259</v>
      </c>
      <c r="M1426" s="14" t="s">
        <v>1007</v>
      </c>
      <c r="N1426" s="14" t="s">
        <v>3888</v>
      </c>
      <c r="O1426" s="11" t="str">
        <f>HYPERLINK("https://pbs.twimg.com/profile_images/524199331365015552/O94t9yIe_normal.jpeg","View")</f>
        <v>View</v>
      </c>
      <c r="P1426" s="15"/>
    </row>
    <row r="1427">
      <c r="A1427" s="7">
        <v>42423.84597222222</v>
      </c>
      <c r="B1427" s="8" t="str">
        <f>HYPERLINK("https://twitter.com/rstatsocean","@rstatsocean")</f>
        <v>@rstatsocean</v>
      </c>
      <c r="C1427" s="10" t="s">
        <v>8881</v>
      </c>
      <c r="D1427" s="10" t="s">
        <v>8882</v>
      </c>
      <c r="E1427" s="11" t="str">
        <f>HYPERLINK("https://twitter.com/rstatsocean/status/702346767384195072","702346767384195072")</f>
        <v>702346767384195072</v>
      </c>
      <c r="F1427" s="12" t="s">
        <v>20</v>
      </c>
      <c r="G1427" s="13">
        <v>131.0</v>
      </c>
      <c r="H1427" s="13">
        <v>300.0</v>
      </c>
      <c r="I1427" s="13">
        <v>3.0</v>
      </c>
      <c r="J1427" s="13">
        <v>0.0</v>
      </c>
      <c r="K1427" s="12" t="s">
        <v>21</v>
      </c>
      <c r="L1427" s="7">
        <v>42182.807337962964</v>
      </c>
      <c r="M1427" s="16"/>
      <c r="N1427" s="14" t="s">
        <v>8883</v>
      </c>
      <c r="O1427" s="11" t="str">
        <f>HYPERLINK("https://pbs.twimg.com/profile_images/614983742893985792/KFDo0nYW_normal.jpg","View")</f>
        <v>View</v>
      </c>
      <c r="P1427" s="15"/>
    </row>
    <row r="1428">
      <c r="A1428" s="7">
        <v>42423.84679398148</v>
      </c>
      <c r="B1428" s="8" t="str">
        <f>HYPERLINK("https://twitter.com/snickolas","@snickolas")</f>
        <v>@snickolas</v>
      </c>
      <c r="C1428" s="10" t="s">
        <v>6847</v>
      </c>
      <c r="D1428" s="10" t="s">
        <v>8884</v>
      </c>
      <c r="E1428" s="11" t="str">
        <f>HYPERLINK("https://twitter.com/snickolas/status/702347061736448000","702347061736448000")</f>
        <v>702347061736448000</v>
      </c>
      <c r="F1428" s="12" t="s">
        <v>52</v>
      </c>
      <c r="G1428" s="13">
        <v>163.0</v>
      </c>
      <c r="H1428" s="13">
        <v>229.0</v>
      </c>
      <c r="I1428" s="13">
        <v>0.0</v>
      </c>
      <c r="J1428" s="13">
        <v>2.0</v>
      </c>
      <c r="K1428" s="12" t="s">
        <v>21</v>
      </c>
      <c r="L1428" s="7">
        <v>39786.811840277776</v>
      </c>
      <c r="M1428" s="14" t="s">
        <v>6849</v>
      </c>
      <c r="N1428" s="14" t="s">
        <v>6850</v>
      </c>
      <c r="O1428" s="11" t="str">
        <f>HYPERLINK("https://pbs.twimg.com/profile_images/659901510000779266/XUTk0yim_normal.jpg","View")</f>
        <v>View</v>
      </c>
      <c r="P1428" s="15"/>
    </row>
    <row r="1429">
      <c r="A1429" s="7">
        <v>42423.84721064815</v>
      </c>
      <c r="B1429" s="8" t="str">
        <f>HYPERLINK("https://twitter.com/theWPSA","@theWPSA")</f>
        <v>@theWPSA</v>
      </c>
      <c r="C1429" s="10" t="s">
        <v>8885</v>
      </c>
      <c r="D1429" s="10" t="s">
        <v>8886</v>
      </c>
      <c r="E1429" s="11" t="str">
        <f>HYPERLINK("https://twitter.com/theWPSA/status/702347214367039488","702347214367039488")</f>
        <v>702347214367039488</v>
      </c>
      <c r="F1429" s="12" t="s">
        <v>52</v>
      </c>
      <c r="G1429" s="13">
        <v>1134.0</v>
      </c>
      <c r="H1429" s="13">
        <v>1371.0</v>
      </c>
      <c r="I1429" s="13">
        <v>3.0</v>
      </c>
      <c r="J1429" s="13">
        <v>0.0</v>
      </c>
      <c r="K1429" s="12" t="s">
        <v>21</v>
      </c>
      <c r="L1429" s="7">
        <v>41173.50690972222</v>
      </c>
      <c r="M1429" s="14" t="s">
        <v>8887</v>
      </c>
      <c r="N1429" s="14" t="s">
        <v>8888</v>
      </c>
      <c r="O1429" s="11" t="str">
        <f>HYPERLINK("https://pbs.twimg.com/profile_images/378800000632227002/90ac67022403b6a03f46340d54683344_normal.jpeg","View")</f>
        <v>View</v>
      </c>
      <c r="P1429" s="15"/>
    </row>
    <row r="1430">
      <c r="A1430" s="7">
        <v>42423.84805555556</v>
      </c>
      <c r="B1430" s="8" t="str">
        <f>HYPERLINK("https://twitter.com/Abcd_R","@Abcd_R")</f>
        <v>@Abcd_R</v>
      </c>
      <c r="C1430" s="10" t="s">
        <v>6513</v>
      </c>
      <c r="D1430" s="10" t="s">
        <v>8889</v>
      </c>
      <c r="E1430" s="11" t="str">
        <f>HYPERLINK("https://twitter.com/Abcd_R/status/702347520517734400","702347520517734400")</f>
        <v>702347520517734400</v>
      </c>
      <c r="F1430" s="12" t="s">
        <v>912</v>
      </c>
      <c r="G1430" s="13">
        <v>15.0</v>
      </c>
      <c r="H1430" s="13">
        <v>56.0</v>
      </c>
      <c r="I1430" s="13">
        <v>0.0</v>
      </c>
      <c r="J1430" s="13">
        <v>0.0</v>
      </c>
      <c r="K1430" s="12" t="s">
        <v>21</v>
      </c>
      <c r="L1430" s="7">
        <v>40843.3155324074</v>
      </c>
      <c r="M1430" s="16"/>
      <c r="N1430" s="16"/>
      <c r="O1430" s="11" t="str">
        <f>HYPERLINK("https://pbs.twimg.com/profile_images/603153255217156096/KoGYjyQT_normal.jpg","View")</f>
        <v>View</v>
      </c>
      <c r="P1430" s="15"/>
    </row>
    <row r="1431">
      <c r="A1431" s="7">
        <v>42423.850590277776</v>
      </c>
      <c r="B1431" s="8" t="str">
        <f>HYPERLINK("https://twitter.com/raulpacheco","@raulpacheco")</f>
        <v>@raulpacheco</v>
      </c>
      <c r="C1431" s="10" t="s">
        <v>8890</v>
      </c>
      <c r="D1431" s="10" t="s">
        <v>8886</v>
      </c>
      <c r="E1431" s="11" t="str">
        <f>HYPERLINK("https://twitter.com/raulpacheco/status/702348437321220099","702348437321220099")</f>
        <v>702348437321220099</v>
      </c>
      <c r="F1431" s="12" t="s">
        <v>52</v>
      </c>
      <c r="G1431" s="13">
        <v>10353.0</v>
      </c>
      <c r="H1431" s="13">
        <v>1681.0</v>
      </c>
      <c r="I1431" s="13">
        <v>3.0</v>
      </c>
      <c r="J1431" s="13">
        <v>0.0</v>
      </c>
      <c r="K1431" s="12" t="s">
        <v>21</v>
      </c>
      <c r="L1431" s="7">
        <v>39643.57935185185</v>
      </c>
      <c r="M1431" s="14" t="s">
        <v>8891</v>
      </c>
      <c r="N1431" s="14" t="s">
        <v>8892</v>
      </c>
      <c r="O1431" s="11" t="str">
        <f>HYPERLINK("https://pbs.twimg.com/profile_images/632998448342568960/ts8z_AE3_normal.jpg","View")</f>
        <v>View</v>
      </c>
      <c r="P1431" s="15"/>
    </row>
    <row r="1432">
      <c r="A1432" s="7">
        <v>42423.85415509259</v>
      </c>
      <c r="B1432" s="8" t="str">
        <f>HYPERLINK("https://twitter.com/stephenwinkler","@stephenwinkler")</f>
        <v>@stephenwinkler</v>
      </c>
      <c r="C1432" s="10" t="s">
        <v>8893</v>
      </c>
      <c r="D1432" s="10" t="s">
        <v>8886</v>
      </c>
      <c r="E1432" s="11" t="str">
        <f>HYPERLINK("https://twitter.com/stephenwinkler/status/702349730571902976","702349730571902976")</f>
        <v>702349730571902976</v>
      </c>
      <c r="F1432" s="12" t="s">
        <v>20</v>
      </c>
      <c r="G1432" s="13">
        <v>521.0</v>
      </c>
      <c r="H1432" s="13">
        <v>335.0</v>
      </c>
      <c r="I1432" s="13">
        <v>3.0</v>
      </c>
      <c r="J1432" s="13">
        <v>0.0</v>
      </c>
      <c r="K1432" s="12" t="s">
        <v>21</v>
      </c>
      <c r="L1432" s="7">
        <v>39814.545</v>
      </c>
      <c r="M1432" s="14" t="s">
        <v>1259</v>
      </c>
      <c r="N1432" s="14" t="s">
        <v>8894</v>
      </c>
      <c r="O1432" s="11" t="str">
        <f>HYPERLINK("https://pbs.twimg.com/profile_images/693505203178381313/ZGhv9DqA_normal.jpg","View")</f>
        <v>View</v>
      </c>
      <c r="P1432" s="15"/>
    </row>
    <row r="1433">
      <c r="A1433" s="7">
        <v>42423.8575925926</v>
      </c>
      <c r="B1433" s="8" t="str">
        <f>HYPERLINK("https://twitter.com/artemklevtsov","@artemklevtsov")</f>
        <v>@artemklevtsov</v>
      </c>
      <c r="C1433" s="10" t="s">
        <v>7292</v>
      </c>
      <c r="D1433" s="10" t="s">
        <v>8629</v>
      </c>
      <c r="E1433" s="11" t="str">
        <f>HYPERLINK("https://twitter.com/artemklevtsov/status/702350977064636416","702350977064636416")</f>
        <v>702350977064636416</v>
      </c>
      <c r="F1433" s="12" t="s">
        <v>20</v>
      </c>
      <c r="G1433" s="13">
        <v>56.0</v>
      </c>
      <c r="H1433" s="13">
        <v>65.0</v>
      </c>
      <c r="I1433" s="13">
        <v>6.0</v>
      </c>
      <c r="J1433" s="13">
        <v>0.0</v>
      </c>
      <c r="K1433" s="12" t="s">
        <v>21</v>
      </c>
      <c r="L1433" s="7">
        <v>41777.31737268518</v>
      </c>
      <c r="M1433" s="14" t="s">
        <v>4647</v>
      </c>
      <c r="N1433" s="14" t="s">
        <v>7293</v>
      </c>
      <c r="O1433" s="11" t="str">
        <f>HYPERLINK("https://pbs.twimg.com/profile_images/582945739141058560/m1lDOgFc_normal.png","View")</f>
        <v>View</v>
      </c>
      <c r="P1433" s="15"/>
    </row>
    <row r="1434">
      <c r="A1434" s="7">
        <v>42423.85974537037</v>
      </c>
      <c r="B1434" s="8" t="str">
        <f>HYPERLINK("https://twitter.com/AndrewBaidu","@AndrewBaidu")</f>
        <v>@AndrewBaidu</v>
      </c>
      <c r="C1434" s="10" t="s">
        <v>1704</v>
      </c>
      <c r="D1434" s="10" t="s">
        <v>8411</v>
      </c>
      <c r="E1434" s="11" t="str">
        <f>HYPERLINK("https://twitter.com/AndrewBaidu/status/702351756416720897","702351756416720897")</f>
        <v>702351756416720897</v>
      </c>
      <c r="F1434" s="12" t="s">
        <v>1705</v>
      </c>
      <c r="G1434" s="13">
        <v>362.0</v>
      </c>
      <c r="H1434" s="13">
        <v>92.0</v>
      </c>
      <c r="I1434" s="13">
        <v>18.0</v>
      </c>
      <c r="J1434" s="13">
        <v>0.0</v>
      </c>
      <c r="K1434" s="12" t="s">
        <v>21</v>
      </c>
      <c r="L1434" s="7">
        <v>42231.3446875</v>
      </c>
      <c r="M1434" s="14" t="s">
        <v>1706</v>
      </c>
      <c r="N1434" s="14" t="s">
        <v>1707</v>
      </c>
      <c r="O1434" s="11" t="str">
        <f>HYPERLINK("https://pbs.twimg.com/profile_images/632743976785735682/CfTy63Eb_normal.jpg","View")</f>
        <v>View</v>
      </c>
      <c r="P1434" s="15"/>
    </row>
    <row r="1435">
      <c r="A1435" s="7">
        <v>42423.860196759255</v>
      </c>
      <c r="B1435" s="8" t="str">
        <f>HYPERLINK("https://twitter.com/mdshw5","@mdshw5")</f>
        <v>@mdshw5</v>
      </c>
      <c r="C1435" s="10" t="s">
        <v>8895</v>
      </c>
      <c r="D1435" s="10" t="s">
        <v>8896</v>
      </c>
      <c r="E1435" s="11" t="str">
        <f>HYPERLINK("https://twitter.com/mdshw5/status/702351919595917312","702351919595917312")</f>
        <v>702351919595917312</v>
      </c>
      <c r="F1435" s="12" t="s">
        <v>1828</v>
      </c>
      <c r="G1435" s="13">
        <v>364.0</v>
      </c>
      <c r="H1435" s="13">
        <v>545.0</v>
      </c>
      <c r="I1435" s="13">
        <v>0.0</v>
      </c>
      <c r="J1435" s="13">
        <v>0.0</v>
      </c>
      <c r="K1435" s="12" t="s">
        <v>21</v>
      </c>
      <c r="L1435" s="7">
        <v>39745.873761574076</v>
      </c>
      <c r="M1435" s="14" t="s">
        <v>1660</v>
      </c>
      <c r="N1435" s="14" t="s">
        <v>8897</v>
      </c>
      <c r="O1435" s="11" t="str">
        <f>HYPERLINK("https://pbs.twimg.com/profile_images/473860930099351552/UX-vhJK8_normal.jpeg","View")</f>
        <v>View</v>
      </c>
      <c r="P1435" s="15"/>
    </row>
    <row r="1436">
      <c r="A1436" s="7">
        <v>42423.86133101852</v>
      </c>
      <c r="B1436" s="8" t="str">
        <f>HYPERLINK("https://twitter.com/tahirenesgedik","@tahirenesgedik")</f>
        <v>@tahirenesgedik</v>
      </c>
      <c r="C1436" s="10" t="s">
        <v>8898</v>
      </c>
      <c r="D1436" s="10" t="s">
        <v>8899</v>
      </c>
      <c r="E1436" s="11" t="str">
        <f>HYPERLINK("https://twitter.com/tahirenesgedik/status/702352331929681921","702352331929681921")</f>
        <v>702352331929681921</v>
      </c>
      <c r="F1436" s="12" t="s">
        <v>98</v>
      </c>
      <c r="G1436" s="13">
        <v>90.0</v>
      </c>
      <c r="H1436" s="13">
        <v>308.0</v>
      </c>
      <c r="I1436" s="13">
        <v>0.0</v>
      </c>
      <c r="J1436" s="13">
        <v>1.0</v>
      </c>
      <c r="K1436" s="12" t="s">
        <v>21</v>
      </c>
      <c r="L1436" s="7">
        <v>41519.46265046296</v>
      </c>
      <c r="M1436" s="16"/>
      <c r="N1436" s="16"/>
      <c r="O1436" s="11" t="str">
        <f>HYPERLINK("https://pbs.twimg.com/profile_images/496140186871672832/BQsbGNwS_normal.jpeg","View")</f>
        <v>View</v>
      </c>
      <c r="P1436" s="15"/>
    </row>
    <row r="1437">
      <c r="A1437" s="7">
        <v>42423.86136574074</v>
      </c>
      <c r="B1437" s="8" t="str">
        <f>HYPERLINK("https://twitter.com/monsoontrader","@monsoontrader")</f>
        <v>@monsoontrader</v>
      </c>
      <c r="C1437" s="10" t="s">
        <v>8424</v>
      </c>
      <c r="D1437" s="10" t="s">
        <v>8666</v>
      </c>
      <c r="E1437" s="11" t="str">
        <f>HYPERLINK("https://twitter.com/monsoontrader/status/702352342339993600","702352342339993600")</f>
        <v>702352342339993600</v>
      </c>
      <c r="F1437" s="12" t="s">
        <v>446</v>
      </c>
      <c r="G1437" s="13">
        <v>723.0</v>
      </c>
      <c r="H1437" s="13">
        <v>829.0</v>
      </c>
      <c r="I1437" s="13">
        <v>50.0</v>
      </c>
      <c r="J1437" s="13">
        <v>0.0</v>
      </c>
      <c r="K1437" s="12" t="s">
        <v>21</v>
      </c>
      <c r="L1437" s="7">
        <v>40839.94814814815</v>
      </c>
      <c r="M1437" s="14" t="s">
        <v>8426</v>
      </c>
      <c r="N1437" s="14" t="s">
        <v>8427</v>
      </c>
      <c r="O1437" s="11" t="str">
        <f>HYPERLINK("https://pbs.twimg.com/profile_images/669283346413916161/jH8A_2hk_normal.jpg","View")</f>
        <v>View</v>
      </c>
      <c r="P1437" s="15"/>
    </row>
    <row r="1438">
      <c r="A1438" s="7">
        <v>42423.87240740741</v>
      </c>
      <c r="B1438" s="8" t="str">
        <f>HYPERLINK("https://twitter.com/hungryhoser","@hungryhoser")</f>
        <v>@hungryhoser</v>
      </c>
      <c r="C1438" s="10" t="s">
        <v>8900</v>
      </c>
      <c r="D1438" s="10" t="s">
        <v>8666</v>
      </c>
      <c r="E1438" s="11" t="str">
        <f>HYPERLINK("https://twitter.com/hungryhoser/status/702356344939094016","702356344939094016")</f>
        <v>702356344939094016</v>
      </c>
      <c r="F1438" s="12" t="s">
        <v>1573</v>
      </c>
      <c r="G1438" s="13">
        <v>33.0</v>
      </c>
      <c r="H1438" s="13">
        <v>120.0</v>
      </c>
      <c r="I1438" s="13">
        <v>50.0</v>
      </c>
      <c r="J1438" s="13">
        <v>0.0</v>
      </c>
      <c r="K1438" s="12" t="s">
        <v>21</v>
      </c>
      <c r="L1438" s="7">
        <v>40004.768958333334</v>
      </c>
      <c r="M1438" s="14" t="s">
        <v>1660</v>
      </c>
      <c r="N1438" s="14" t="s">
        <v>8901</v>
      </c>
      <c r="O1438" s="11" t="str">
        <f>HYPERLINK("https://pbs.twimg.com/profile_images/584154026469654529/oAWN3Sd__normal.jpg","View")</f>
        <v>View</v>
      </c>
      <c r="P1438" s="15"/>
    </row>
    <row r="1439">
      <c r="A1439" s="7">
        <v>42423.87777777778</v>
      </c>
      <c r="B1439" s="8" t="str">
        <f>HYPERLINK("https://twitter.com/JBerdahl","@JBerdahl")</f>
        <v>@JBerdahl</v>
      </c>
      <c r="C1439" s="10" t="s">
        <v>8902</v>
      </c>
      <c r="D1439" s="10" t="s">
        <v>8666</v>
      </c>
      <c r="E1439" s="11" t="str">
        <f>HYPERLINK("https://twitter.com/JBerdahl/status/702358293424033794","702358293424033794")</f>
        <v>702358293424033794</v>
      </c>
      <c r="F1439" s="12" t="s">
        <v>20</v>
      </c>
      <c r="G1439" s="13">
        <v>1579.0</v>
      </c>
      <c r="H1439" s="13">
        <v>732.0</v>
      </c>
      <c r="I1439" s="13">
        <v>50.0</v>
      </c>
      <c r="J1439" s="13">
        <v>0.0</v>
      </c>
      <c r="K1439" s="12" t="s">
        <v>21</v>
      </c>
      <c r="L1439" s="7">
        <v>40671.83799768519</v>
      </c>
      <c r="M1439" s="14" t="s">
        <v>2216</v>
      </c>
      <c r="N1439" s="14" t="s">
        <v>8903</v>
      </c>
      <c r="O1439" s="11" t="str">
        <f>HYPERLINK("https://pbs.twimg.com/profile_images/545452455794708480/GHpnpC-F_normal.jpeg","View")</f>
        <v>View</v>
      </c>
      <c r="P1439" s="15"/>
    </row>
    <row r="1440">
      <c r="A1440" s="7">
        <v>42423.883252314816</v>
      </c>
      <c r="B1440" s="8" t="str">
        <f>HYPERLINK("https://twitter.com/ekonometrinedir","@ekonometrinedir")</f>
        <v>@ekonometrinedir</v>
      </c>
      <c r="C1440" s="10" t="s">
        <v>8904</v>
      </c>
      <c r="D1440" s="10" t="s">
        <v>7926</v>
      </c>
      <c r="E1440" s="11" t="str">
        <f>HYPERLINK("https://twitter.com/ekonometrinedir/status/702360277258469376","702360277258469376")</f>
        <v>702360277258469376</v>
      </c>
      <c r="F1440" s="12" t="s">
        <v>20</v>
      </c>
      <c r="G1440" s="13">
        <v>542.0</v>
      </c>
      <c r="H1440" s="13">
        <v>221.0</v>
      </c>
      <c r="I1440" s="13">
        <v>5.0</v>
      </c>
      <c r="J1440" s="13">
        <v>0.0</v>
      </c>
      <c r="K1440" s="12" t="s">
        <v>21</v>
      </c>
      <c r="L1440" s="7">
        <v>42060.07172453703</v>
      </c>
      <c r="M1440" s="16"/>
      <c r="N1440" s="14" t="s">
        <v>8905</v>
      </c>
      <c r="O1440" s="11" t="str">
        <f>HYPERLINK("https://pbs.twimg.com/profile_images/584116464392671232/6hJxtC1s_normal.jpg","View")</f>
        <v>View</v>
      </c>
      <c r="P1440" s="15"/>
    </row>
    <row r="1441">
      <c r="A1441" s="7">
        <v>42423.88655092593</v>
      </c>
      <c r="B1441" s="8" t="str">
        <f>HYPERLINK("https://twitter.com/scottistical","@scottistical")</f>
        <v>@scottistical</v>
      </c>
      <c r="C1441" s="10" t="s">
        <v>8906</v>
      </c>
      <c r="D1441" s="10" t="s">
        <v>8907</v>
      </c>
      <c r="E1441" s="11" t="str">
        <f>HYPERLINK("https://twitter.com/scottistical/status/702361471766937600","702361471766937600")</f>
        <v>702361471766937600</v>
      </c>
      <c r="F1441" s="12" t="s">
        <v>446</v>
      </c>
      <c r="G1441" s="13">
        <v>50.0</v>
      </c>
      <c r="H1441" s="13">
        <v>138.0</v>
      </c>
      <c r="I1441" s="13">
        <v>0.0</v>
      </c>
      <c r="J1441" s="13">
        <v>0.0</v>
      </c>
      <c r="K1441" s="12" t="s">
        <v>21</v>
      </c>
      <c r="L1441" s="7">
        <v>40991.38621527778</v>
      </c>
      <c r="M1441" s="16"/>
      <c r="N1441" s="14" t="s">
        <v>8908</v>
      </c>
      <c r="O1441" s="11" t="str">
        <f>HYPERLINK("https://pbs.twimg.com/profile_images/693816313328771072/4GTF6Ck5_normal.jpg","View")</f>
        <v>View</v>
      </c>
      <c r="P1441" s="15"/>
    </row>
    <row r="1442">
      <c r="A1442" s="7">
        <v>42423.88877314815</v>
      </c>
      <c r="B1442" s="8" t="str">
        <f>HYPERLINK("https://twitter.com/artemklevtsov","@artemklevtsov")</f>
        <v>@artemklevtsov</v>
      </c>
      <c r="C1442" s="10" t="s">
        <v>7292</v>
      </c>
      <c r="D1442" s="10" t="s">
        <v>8909</v>
      </c>
      <c r="E1442" s="11" t="str">
        <f>HYPERLINK("https://twitter.com/artemklevtsov/status/702362276268003328","702362276268003328")</f>
        <v>702362276268003328</v>
      </c>
      <c r="F1442" s="12" t="s">
        <v>20</v>
      </c>
      <c r="G1442" s="13">
        <v>56.0</v>
      </c>
      <c r="H1442" s="13">
        <v>65.0</v>
      </c>
      <c r="I1442" s="13">
        <v>0.0</v>
      </c>
      <c r="J1442" s="13">
        <v>0.0</v>
      </c>
      <c r="K1442" s="12" t="s">
        <v>21</v>
      </c>
      <c r="L1442" s="7">
        <v>41777.31737268518</v>
      </c>
      <c r="M1442" s="14" t="s">
        <v>4647</v>
      </c>
      <c r="N1442" s="14" t="s">
        <v>7293</v>
      </c>
      <c r="O1442" s="11" t="str">
        <f>HYPERLINK("https://pbs.twimg.com/profile_images/582945739141058560/m1lDOgFc_normal.png","View")</f>
        <v>View</v>
      </c>
      <c r="P1442" s="15"/>
    </row>
    <row r="1443">
      <c r="A1443" s="7">
        <v>42423.889444444445</v>
      </c>
      <c r="B1443" s="8" t="str">
        <f>HYPERLINK("https://twitter.com/CL_Booth","@CL_Booth")</f>
        <v>@CL_Booth</v>
      </c>
      <c r="C1443" s="10" t="s">
        <v>8910</v>
      </c>
      <c r="D1443" s="10" t="s">
        <v>8861</v>
      </c>
      <c r="E1443" s="11" t="str">
        <f>HYPERLINK("https://twitter.com/CL_Booth/status/702362521014038529","702362521014038529")</f>
        <v>702362521014038529</v>
      </c>
      <c r="F1443" s="12" t="s">
        <v>20</v>
      </c>
      <c r="G1443" s="13">
        <v>76.0</v>
      </c>
      <c r="H1443" s="13">
        <v>222.0</v>
      </c>
      <c r="I1443" s="13">
        <v>13.0</v>
      </c>
      <c r="J1443" s="13">
        <v>0.0</v>
      </c>
      <c r="K1443" s="12" t="s">
        <v>21</v>
      </c>
      <c r="L1443" s="7">
        <v>39932.92182870371</v>
      </c>
      <c r="M1443" s="14" t="s">
        <v>8911</v>
      </c>
      <c r="N1443" s="14" t="s">
        <v>8912</v>
      </c>
      <c r="O1443" s="11" t="str">
        <f>HYPERLINK("https://pbs.twimg.com/profile_images/701882919833370624/pmVsHkXo_normal.jpg","View")</f>
        <v>View</v>
      </c>
      <c r="P1443" s="15"/>
    </row>
    <row r="1444">
      <c r="A1444" s="7">
        <v>42423.90478009259</v>
      </c>
      <c r="B1444" s="8" t="str">
        <f>HYPERLINK("https://twitter.com/saemg","@saemg")</f>
        <v>@saemg</v>
      </c>
      <c r="C1444" s="10" t="s">
        <v>8913</v>
      </c>
      <c r="D1444" s="10" t="s">
        <v>8666</v>
      </c>
      <c r="E1444" s="11" t="str">
        <f>HYPERLINK("https://twitter.com/saemg/status/702368074679373824","702368074679373824")</f>
        <v>702368074679373824</v>
      </c>
      <c r="F1444" s="12" t="s">
        <v>20</v>
      </c>
      <c r="G1444" s="13">
        <v>330.0</v>
      </c>
      <c r="H1444" s="13">
        <v>308.0</v>
      </c>
      <c r="I1444" s="13">
        <v>50.0</v>
      </c>
      <c r="J1444" s="13">
        <v>0.0</v>
      </c>
      <c r="K1444" s="12" t="s">
        <v>21</v>
      </c>
      <c r="L1444" s="7">
        <v>41335.410532407404</v>
      </c>
      <c r="M1444" s="14" t="s">
        <v>2216</v>
      </c>
      <c r="N1444" s="14" t="s">
        <v>8914</v>
      </c>
      <c r="O1444" s="11" t="str">
        <f>HYPERLINK("https://pbs.twimg.com/profile_images/3329311334/ca5e1745fbfa23f7be098dff95a7fab7_normal.jpeg","View")</f>
        <v>View</v>
      </c>
      <c r="P1444" s="15"/>
    </row>
    <row r="1445">
      <c r="A1445" s="7">
        <v>42423.91283564815</v>
      </c>
      <c r="B1445" s="8" t="str">
        <f t="shared" ref="B1445:B1446" si="159">HYPERLINK("https://twitter.com/floatingatoll","@floatingatoll")</f>
        <v>@floatingatoll</v>
      </c>
      <c r="C1445" s="10" t="s">
        <v>8915</v>
      </c>
      <c r="D1445" s="10" t="s">
        <v>8666</v>
      </c>
      <c r="E1445" s="11" t="str">
        <f>HYPERLINK("https://twitter.com/floatingatoll/status/702370997698220033","702370997698220033")</f>
        <v>702370997698220033</v>
      </c>
      <c r="F1445" s="12" t="s">
        <v>1082</v>
      </c>
      <c r="G1445" s="13">
        <v>654.0</v>
      </c>
      <c r="H1445" s="13">
        <v>496.0</v>
      </c>
      <c r="I1445" s="13">
        <v>50.0</v>
      </c>
      <c r="J1445" s="13">
        <v>0.0</v>
      </c>
      <c r="K1445" s="12" t="s">
        <v>21</v>
      </c>
      <c r="L1445" s="7">
        <v>39153.770578703705</v>
      </c>
      <c r="M1445" s="14" t="s">
        <v>8916</v>
      </c>
      <c r="N1445" s="14" t="s">
        <v>8917</v>
      </c>
      <c r="O1445" s="11" t="str">
        <f t="shared" ref="O1445:O1446" si="160">HYPERLINK("https://pbs.twimg.com/profile_images/552210985927184384/tMweZxK4_normal.jpeg","View")</f>
        <v>View</v>
      </c>
      <c r="P1445" s="15"/>
    </row>
    <row r="1446">
      <c r="A1446" s="7">
        <v>42423.91284722222</v>
      </c>
      <c r="B1446" s="8" t="str">
        <f t="shared" si="159"/>
        <v>@floatingatoll</v>
      </c>
      <c r="C1446" s="10" t="s">
        <v>8915</v>
      </c>
      <c r="D1446" s="10" t="s">
        <v>8689</v>
      </c>
      <c r="E1446" s="11" t="str">
        <f>HYPERLINK("https://twitter.com/floatingatoll/status/702370999384338432","702370999384338432")</f>
        <v>702370999384338432</v>
      </c>
      <c r="F1446" s="12" t="s">
        <v>1082</v>
      </c>
      <c r="G1446" s="13">
        <v>654.0</v>
      </c>
      <c r="H1446" s="13">
        <v>496.0</v>
      </c>
      <c r="I1446" s="13">
        <v>6.0</v>
      </c>
      <c r="J1446" s="13">
        <v>0.0</v>
      </c>
      <c r="K1446" s="12" t="s">
        <v>21</v>
      </c>
      <c r="L1446" s="7">
        <v>39153.770578703705</v>
      </c>
      <c r="M1446" s="14" t="s">
        <v>8916</v>
      </c>
      <c r="N1446" s="14" t="s">
        <v>8917</v>
      </c>
      <c r="O1446" s="11" t="str">
        <f t="shared" si="160"/>
        <v>View</v>
      </c>
      <c r="P1446" s="15"/>
    </row>
    <row r="1447">
      <c r="A1447" s="7">
        <v>42423.91563657408</v>
      </c>
      <c r="B1447" s="8" t="str">
        <f>HYPERLINK("https://twitter.com/TrevorABranch","@TrevorABranch")</f>
        <v>@TrevorABranch</v>
      </c>
      <c r="C1447" s="10" t="s">
        <v>8918</v>
      </c>
      <c r="D1447" s="10" t="s">
        <v>8919</v>
      </c>
      <c r="E1447" s="11" t="str">
        <f>HYPERLINK("https://twitter.com/TrevorABranch/status/702372010953936896","702372010953936896")</f>
        <v>702372010953936896</v>
      </c>
      <c r="F1447" s="12" t="s">
        <v>52</v>
      </c>
      <c r="G1447" s="13">
        <v>4610.0</v>
      </c>
      <c r="H1447" s="13">
        <v>988.0</v>
      </c>
      <c r="I1447" s="13">
        <v>0.0</v>
      </c>
      <c r="J1447" s="13">
        <v>0.0</v>
      </c>
      <c r="K1447" s="12" t="s">
        <v>21</v>
      </c>
      <c r="L1447" s="7">
        <v>40896.929618055554</v>
      </c>
      <c r="M1447" s="14" t="s">
        <v>8920</v>
      </c>
      <c r="N1447" s="14" t="s">
        <v>8921</v>
      </c>
      <c r="O1447" s="11" t="str">
        <f>HYPERLINK("https://pbs.twimg.com/profile_images/492544507590631424/2kbSxpKS_normal.png","View")</f>
        <v>View</v>
      </c>
      <c r="P1447" s="15"/>
    </row>
    <row r="1448">
      <c r="A1448" s="7">
        <v>42423.91644675926</v>
      </c>
      <c r="B1448" s="8" t="str">
        <f t="shared" ref="B1448:B1449" si="161">HYPERLINK("https://twitter.com/BawnMatt","@BawnMatt")</f>
        <v>@BawnMatt</v>
      </c>
      <c r="C1448" s="10" t="s">
        <v>7637</v>
      </c>
      <c r="D1448" s="10" t="s">
        <v>8922</v>
      </c>
      <c r="E1448" s="11" t="str">
        <f>HYPERLINK("https://twitter.com/BawnMatt/status/702372305750630400","702372305750630400")</f>
        <v>702372305750630400</v>
      </c>
      <c r="F1448" s="12" t="s">
        <v>152</v>
      </c>
      <c r="G1448" s="13">
        <v>75.0</v>
      </c>
      <c r="H1448" s="13">
        <v>158.0</v>
      </c>
      <c r="I1448" s="13">
        <v>0.0</v>
      </c>
      <c r="J1448" s="13">
        <v>0.0</v>
      </c>
      <c r="K1448" s="12" t="s">
        <v>21</v>
      </c>
      <c r="L1448" s="7">
        <v>41396.35667824074</v>
      </c>
      <c r="M1448" s="14" t="s">
        <v>7639</v>
      </c>
      <c r="N1448" s="14" t="s">
        <v>7640</v>
      </c>
      <c r="O1448" s="11" t="str">
        <f t="shared" ref="O1448:O1449" si="162">HYPERLINK("https://pbs.twimg.com/profile_images/462772097593245696/Cr6fAyMs_normal.jpeg","View")</f>
        <v>View</v>
      </c>
      <c r="P1448" s="15"/>
    </row>
    <row r="1449">
      <c r="A1449" s="7">
        <v>42423.91679398148</v>
      </c>
      <c r="B1449" s="8" t="str">
        <f t="shared" si="161"/>
        <v>@BawnMatt</v>
      </c>
      <c r="C1449" s="10" t="s">
        <v>7637</v>
      </c>
      <c r="D1449" s="10" t="s">
        <v>8923</v>
      </c>
      <c r="E1449" s="11" t="str">
        <f>HYPERLINK("https://twitter.com/BawnMatt/status/702372429226778627","702372429226778627")</f>
        <v>702372429226778627</v>
      </c>
      <c r="F1449" s="12" t="s">
        <v>152</v>
      </c>
      <c r="G1449" s="13">
        <v>75.0</v>
      </c>
      <c r="H1449" s="13">
        <v>158.0</v>
      </c>
      <c r="I1449" s="13">
        <v>0.0</v>
      </c>
      <c r="J1449" s="13">
        <v>0.0</v>
      </c>
      <c r="K1449" s="12" t="s">
        <v>21</v>
      </c>
      <c r="L1449" s="7">
        <v>41396.35667824074</v>
      </c>
      <c r="M1449" s="14" t="s">
        <v>7639</v>
      </c>
      <c r="N1449" s="14" t="s">
        <v>7640</v>
      </c>
      <c r="O1449" s="11" t="str">
        <f t="shared" si="162"/>
        <v>View</v>
      </c>
      <c r="P1449" s="15"/>
    </row>
    <row r="1450">
      <c r="A1450" s="7">
        <v>42423.92018518518</v>
      </c>
      <c r="B1450" s="8" t="str">
        <f>HYPERLINK("https://twitter.com/ucfagls","@ucfagls")</f>
        <v>@ucfagls</v>
      </c>
      <c r="C1450" s="10" t="s">
        <v>7840</v>
      </c>
      <c r="D1450" s="10" t="s">
        <v>8924</v>
      </c>
      <c r="E1450" s="11" t="str">
        <f>HYPERLINK("https://twitter.com/ucfagls/status/702373660452122625","702373660452122625")</f>
        <v>702373660452122625</v>
      </c>
      <c r="F1450" s="12" t="s">
        <v>152</v>
      </c>
      <c r="G1450" s="13">
        <v>1631.0</v>
      </c>
      <c r="H1450" s="13">
        <v>1018.0</v>
      </c>
      <c r="I1450" s="13">
        <v>0.0</v>
      </c>
      <c r="J1450" s="13">
        <v>8.0</v>
      </c>
      <c r="K1450" s="12" t="s">
        <v>21</v>
      </c>
      <c r="L1450" s="7">
        <v>40648.72398148148</v>
      </c>
      <c r="M1450" s="14" t="s">
        <v>7841</v>
      </c>
      <c r="N1450" s="14" t="s">
        <v>7842</v>
      </c>
      <c r="O1450" s="11" t="str">
        <f>HYPERLINK("https://pbs.twimg.com/profile_images/564871970454401024/omH5A6W0_normal.png","View")</f>
        <v>View</v>
      </c>
      <c r="P1450" s="15"/>
    </row>
    <row r="1451">
      <c r="A1451" s="7">
        <v>42423.93261574074</v>
      </c>
      <c r="B1451" s="8" t="str">
        <f>HYPERLINK("https://twitter.com/UBCGlynnis","@UBCGlynnis")</f>
        <v>@UBCGlynnis</v>
      </c>
      <c r="C1451" s="10" t="s">
        <v>8925</v>
      </c>
      <c r="D1451" s="10" t="s">
        <v>8666</v>
      </c>
      <c r="E1451" s="11" t="str">
        <f>HYPERLINK("https://twitter.com/UBCGlynnis/status/702378165818228737","702378165818228737")</f>
        <v>702378165818228737</v>
      </c>
      <c r="F1451" s="12" t="s">
        <v>52</v>
      </c>
      <c r="G1451" s="13">
        <v>186.0</v>
      </c>
      <c r="H1451" s="13">
        <v>450.0</v>
      </c>
      <c r="I1451" s="13">
        <v>50.0</v>
      </c>
      <c r="J1451" s="13">
        <v>0.0</v>
      </c>
      <c r="K1451" s="12" t="s">
        <v>21</v>
      </c>
      <c r="L1451" s="7">
        <v>42326.822129629625</v>
      </c>
      <c r="M1451" s="16"/>
      <c r="N1451" s="14" t="s">
        <v>8926</v>
      </c>
      <c r="O1451" s="11" t="str">
        <f>HYPERLINK("https://pbs.twimg.com/profile_images/685968895572742144/fBw39iiU_normal.jpg","View")</f>
        <v>View</v>
      </c>
      <c r="P1451" s="15"/>
    </row>
    <row r="1452">
      <c r="A1452" s="7">
        <v>42423.9359837963</v>
      </c>
      <c r="B1452" s="8" t="str">
        <f t="shared" ref="B1452:B1454" si="163">HYPERLINK("https://twitter.com/patternproject","@patternproject")</f>
        <v>@patternproject</v>
      </c>
      <c r="C1452" s="10" t="s">
        <v>6998</v>
      </c>
      <c r="D1452" s="10" t="s">
        <v>8927</v>
      </c>
      <c r="E1452" s="11" t="str">
        <f>HYPERLINK("https://twitter.com/patternproject/status/702379385488351235","702379385488351235")</f>
        <v>702379385488351235</v>
      </c>
      <c r="F1452" s="12" t="s">
        <v>20</v>
      </c>
      <c r="G1452" s="13">
        <v>133.0</v>
      </c>
      <c r="H1452" s="13">
        <v>1378.0</v>
      </c>
      <c r="I1452" s="13">
        <v>1.0</v>
      </c>
      <c r="J1452" s="13">
        <v>0.0</v>
      </c>
      <c r="K1452" s="12" t="s">
        <v>21</v>
      </c>
      <c r="L1452" s="7">
        <v>41567.95469907408</v>
      </c>
      <c r="M1452" s="16"/>
      <c r="N1452" s="16"/>
      <c r="O1452" s="11" t="str">
        <f t="shared" ref="O1452:O1454" si="164">HYPERLINK("https://abs.twimg.com/sticky/default_profile_images/default_profile_0_normal.png","View")</f>
        <v>View</v>
      </c>
      <c r="P1452" s="15"/>
    </row>
    <row r="1453">
      <c r="A1453" s="7">
        <v>42423.93612268519</v>
      </c>
      <c r="B1453" s="8" t="str">
        <f t="shared" si="163"/>
        <v>@patternproject</v>
      </c>
      <c r="C1453" s="10" t="s">
        <v>6998</v>
      </c>
      <c r="D1453" s="10" t="s">
        <v>8928</v>
      </c>
      <c r="E1453" s="11" t="str">
        <f>HYPERLINK("https://twitter.com/patternproject/status/702379435287298048","702379435287298048")</f>
        <v>702379435287298048</v>
      </c>
      <c r="F1453" s="12" t="s">
        <v>20</v>
      </c>
      <c r="G1453" s="13">
        <v>133.0</v>
      </c>
      <c r="H1453" s="13">
        <v>1378.0</v>
      </c>
      <c r="I1453" s="13">
        <v>10.0</v>
      </c>
      <c r="J1453" s="13">
        <v>0.0</v>
      </c>
      <c r="K1453" s="12" t="s">
        <v>21</v>
      </c>
      <c r="L1453" s="7">
        <v>41567.95469907408</v>
      </c>
      <c r="M1453" s="16"/>
      <c r="N1453" s="16"/>
      <c r="O1453" s="11" t="str">
        <f t="shared" si="164"/>
        <v>View</v>
      </c>
      <c r="P1453" s="15"/>
    </row>
    <row r="1454">
      <c r="A1454" s="7">
        <v>42423.936377314814</v>
      </c>
      <c r="B1454" s="8" t="str">
        <f t="shared" si="163"/>
        <v>@patternproject</v>
      </c>
      <c r="C1454" s="10" t="s">
        <v>6998</v>
      </c>
      <c r="D1454" s="10" t="s">
        <v>8929</v>
      </c>
      <c r="E1454" s="11" t="str">
        <f>HYPERLINK("https://twitter.com/patternproject/status/702379527490682880","702379527490682880")</f>
        <v>702379527490682880</v>
      </c>
      <c r="F1454" s="12" t="s">
        <v>20</v>
      </c>
      <c r="G1454" s="13">
        <v>133.0</v>
      </c>
      <c r="H1454" s="13">
        <v>1378.0</v>
      </c>
      <c r="I1454" s="13">
        <v>11.0</v>
      </c>
      <c r="J1454" s="13">
        <v>0.0</v>
      </c>
      <c r="K1454" s="12" t="s">
        <v>21</v>
      </c>
      <c r="L1454" s="7">
        <v>41567.95469907408</v>
      </c>
      <c r="M1454" s="16"/>
      <c r="N1454" s="16"/>
      <c r="O1454" s="11" t="str">
        <f t="shared" si="164"/>
        <v>View</v>
      </c>
      <c r="P1454" s="15"/>
    </row>
    <row r="1455">
      <c r="A1455" s="7">
        <v>42423.93752314815</v>
      </c>
      <c r="B1455" s="8" t="str">
        <f>HYPERLINK("https://twitter.com/DailyRpackage","@DailyRpackage")</f>
        <v>@DailyRpackage</v>
      </c>
      <c r="C1455" s="10" t="s">
        <v>6240</v>
      </c>
      <c r="D1455" s="10" t="s">
        <v>8930</v>
      </c>
      <c r="E1455" s="11" t="str">
        <f>HYPERLINK("https://twitter.com/DailyRpackage/status/702379940847755267","702379940847755267")</f>
        <v>702379940847755267</v>
      </c>
      <c r="F1455" s="12" t="s">
        <v>6240</v>
      </c>
      <c r="G1455" s="13">
        <v>495.0</v>
      </c>
      <c r="H1455" s="13">
        <v>3.0</v>
      </c>
      <c r="I1455" s="13">
        <v>0.0</v>
      </c>
      <c r="J1455" s="13">
        <v>0.0</v>
      </c>
      <c r="K1455" s="12" t="s">
        <v>21</v>
      </c>
      <c r="L1455" s="7">
        <v>41360.287141203706</v>
      </c>
      <c r="M1455" s="16"/>
      <c r="N1455" s="14" t="s">
        <v>6242</v>
      </c>
      <c r="O1455" s="11" t="str">
        <f>HYPERLINK("https://pbs.twimg.com/profile_images/3438004205/66da7270714af4309d185b958c4bb8be_normal.jpeg","View")</f>
        <v>View</v>
      </c>
      <c r="P1455" s="15"/>
    </row>
    <row r="1456">
      <c r="A1456" s="7">
        <v>42423.937696759254</v>
      </c>
      <c r="B1456" s="8" t="str">
        <f>HYPERLINK("https://twitter.com/joelgombin","@joelgombin")</f>
        <v>@joelgombin</v>
      </c>
      <c r="C1456" s="10" t="s">
        <v>8931</v>
      </c>
      <c r="D1456" s="10" t="s">
        <v>8728</v>
      </c>
      <c r="E1456" s="11" t="str">
        <f>HYPERLINK("https://twitter.com/joelgombin/status/702380004739567617","702380004739567617")</f>
        <v>702380004739567617</v>
      </c>
      <c r="F1456" s="12" t="s">
        <v>152</v>
      </c>
      <c r="G1456" s="13">
        <v>4504.0</v>
      </c>
      <c r="H1456" s="13">
        <v>4504.0</v>
      </c>
      <c r="I1456" s="13">
        <v>2.0</v>
      </c>
      <c r="J1456" s="13">
        <v>0.0</v>
      </c>
      <c r="K1456" s="12" t="s">
        <v>21</v>
      </c>
      <c r="L1456" s="7">
        <v>39664.399884259255</v>
      </c>
      <c r="M1456" s="14" t="s">
        <v>8932</v>
      </c>
      <c r="N1456" s="14" t="s">
        <v>8933</v>
      </c>
      <c r="O1456" s="11" t="str">
        <f>HYPERLINK("https://pbs.twimg.com/profile_images/606600025527959552/DR1k8GAH_normal.jpg","View")</f>
        <v>View</v>
      </c>
      <c r="P1456" s="15"/>
    </row>
    <row r="1457">
      <c r="A1457" s="7">
        <v>42423.93918981482</v>
      </c>
      <c r="B1457" s="8" t="str">
        <f>HYPERLINK("https://twitter.com/ellis2013nz","@ellis2013nz")</f>
        <v>@ellis2013nz</v>
      </c>
      <c r="C1457" s="10" t="s">
        <v>8934</v>
      </c>
      <c r="D1457" s="10" t="s">
        <v>8935</v>
      </c>
      <c r="E1457" s="11" t="str">
        <f>HYPERLINK("https://twitter.com/ellis2013nz/status/702380545272094720","702380545272094720")</f>
        <v>702380545272094720</v>
      </c>
      <c r="F1457" s="12" t="s">
        <v>152</v>
      </c>
      <c r="G1457" s="13">
        <v>198.0</v>
      </c>
      <c r="H1457" s="13">
        <v>623.0</v>
      </c>
      <c r="I1457" s="13">
        <v>3.0</v>
      </c>
      <c r="J1457" s="13">
        <v>7.0</v>
      </c>
      <c r="K1457" s="12" t="s">
        <v>21</v>
      </c>
      <c r="L1457" s="7">
        <v>41862.54273148148</v>
      </c>
      <c r="M1457" s="14" t="s">
        <v>8936</v>
      </c>
      <c r="N1457" s="14" t="s">
        <v>8937</v>
      </c>
      <c r="O1457" s="11" t="str">
        <f>HYPERLINK("https://pbs.twimg.com/profile_images/618224596798476288/n9IN8hcm_normal.jpg","View")</f>
        <v>View</v>
      </c>
      <c r="P1457" s="15"/>
    </row>
    <row r="1458">
      <c r="A1458" s="7">
        <v>42423.94945601852</v>
      </c>
      <c r="B1458" s="8" t="str">
        <f t="shared" ref="B1458:B1459" si="165">HYPERLINK("https://twitter.com/aleeix4","@aleeix4")</f>
        <v>@aleeix4</v>
      </c>
      <c r="C1458" s="10" t="s">
        <v>8938</v>
      </c>
      <c r="D1458" s="10" t="s">
        <v>7891</v>
      </c>
      <c r="E1458" s="11" t="str">
        <f>HYPERLINK("https://twitter.com/aleeix4/status/702384265292546048","702384265292546048")</f>
        <v>702384265292546048</v>
      </c>
      <c r="F1458" s="12" t="s">
        <v>152</v>
      </c>
      <c r="G1458" s="13">
        <v>99.0</v>
      </c>
      <c r="H1458" s="13">
        <v>289.0</v>
      </c>
      <c r="I1458" s="13">
        <v>4.0</v>
      </c>
      <c r="J1458" s="13">
        <v>0.0</v>
      </c>
      <c r="K1458" s="12" t="s">
        <v>21</v>
      </c>
      <c r="L1458" s="7">
        <v>41164.56482638889</v>
      </c>
      <c r="M1458" s="16"/>
      <c r="N1458" s="14" t="s">
        <v>8939</v>
      </c>
      <c r="O1458" s="11" t="str">
        <f t="shared" ref="O1458:O1459" si="166">HYPERLINK("https://pbs.twimg.com/profile_images/2845473813/da9485b48e25ac7c3de3547581a4f285_normal.jpeg","View")</f>
        <v>View</v>
      </c>
      <c r="P1458" s="15"/>
    </row>
    <row r="1459">
      <c r="A1459" s="7">
        <v>42423.95112268519</v>
      </c>
      <c r="B1459" s="8" t="str">
        <f t="shared" si="165"/>
        <v>@aleeix4</v>
      </c>
      <c r="C1459" s="10" t="s">
        <v>8938</v>
      </c>
      <c r="D1459" s="10" t="s">
        <v>7352</v>
      </c>
      <c r="E1459" s="11" t="str">
        <f>HYPERLINK("https://twitter.com/aleeix4/status/702384871088455681","702384871088455681")</f>
        <v>702384871088455681</v>
      </c>
      <c r="F1459" s="12" t="s">
        <v>152</v>
      </c>
      <c r="G1459" s="13">
        <v>99.0</v>
      </c>
      <c r="H1459" s="13">
        <v>289.0</v>
      </c>
      <c r="I1459" s="13">
        <v>48.0</v>
      </c>
      <c r="J1459" s="13">
        <v>0.0</v>
      </c>
      <c r="K1459" s="12" t="s">
        <v>21</v>
      </c>
      <c r="L1459" s="7">
        <v>41164.56482638889</v>
      </c>
      <c r="M1459" s="16"/>
      <c r="N1459" s="14" t="s">
        <v>8939</v>
      </c>
      <c r="O1459" s="11" t="str">
        <f t="shared" si="166"/>
        <v>View</v>
      </c>
      <c r="P1459" s="15"/>
    </row>
    <row r="1460">
      <c r="A1460" s="7">
        <v>42423.978634259256</v>
      </c>
      <c r="B1460" s="8" t="str">
        <f>HYPERLINK("https://twitter.com/HoloMarkeD","@HoloMarkeD")</f>
        <v>@HoloMarkeD</v>
      </c>
      <c r="C1460" s="10" t="s">
        <v>8940</v>
      </c>
      <c r="D1460" s="10" t="s">
        <v>8666</v>
      </c>
      <c r="E1460" s="11" t="str">
        <f>HYPERLINK("https://twitter.com/HoloMarkeD/status/702394841947369472","702394841947369472")</f>
        <v>702394841947369472</v>
      </c>
      <c r="F1460" s="12" t="s">
        <v>52</v>
      </c>
      <c r="G1460" s="13">
        <v>2624.0</v>
      </c>
      <c r="H1460" s="13">
        <v>1700.0</v>
      </c>
      <c r="I1460" s="13">
        <v>50.0</v>
      </c>
      <c r="J1460" s="13">
        <v>0.0</v>
      </c>
      <c r="K1460" s="12" t="s">
        <v>21</v>
      </c>
      <c r="L1460" s="7">
        <v>39394.127430555556</v>
      </c>
      <c r="M1460" s="14" t="s">
        <v>371</v>
      </c>
      <c r="N1460" s="14" t="s">
        <v>8941</v>
      </c>
      <c r="O1460" s="11" t="str">
        <f>HYPERLINK("https://pbs.twimg.com/profile_images/477837951309979649/_Cc9fYWM_normal.jpeg","View")</f>
        <v>View</v>
      </c>
      <c r="P1460" s="15"/>
    </row>
    <row r="1461">
      <c r="A1461" s="7">
        <v>42423.98068287037</v>
      </c>
      <c r="B1461" s="8" t="str">
        <f>HYPERLINK("https://twitter.com/irenekoren","@irenekoren")</f>
        <v>@irenekoren</v>
      </c>
      <c r="C1461" s="10" t="s">
        <v>8942</v>
      </c>
      <c r="D1461" s="10" t="s">
        <v>8943</v>
      </c>
      <c r="E1461" s="11" t="str">
        <f>HYPERLINK("https://twitter.com/irenekoren/status/702395583278018563","702395583278018563")</f>
        <v>702395583278018563</v>
      </c>
      <c r="F1461" s="12" t="s">
        <v>98</v>
      </c>
      <c r="G1461" s="13">
        <v>1269.0</v>
      </c>
      <c r="H1461" s="13">
        <v>1258.0</v>
      </c>
      <c r="I1461" s="13">
        <v>1.0</v>
      </c>
      <c r="J1461" s="13">
        <v>1.0</v>
      </c>
      <c r="K1461" s="12" t="s">
        <v>21</v>
      </c>
      <c r="L1461" s="7">
        <v>40599.16258101852</v>
      </c>
      <c r="M1461" s="14" t="s">
        <v>8944</v>
      </c>
      <c r="N1461" s="14" t="s">
        <v>8945</v>
      </c>
      <c r="O1461" s="11" t="str">
        <f>HYPERLINK("https://pbs.twimg.com/profile_images/1459620361/Foto_20_normal.jpg","View")</f>
        <v>View</v>
      </c>
      <c r="P1461" s="15"/>
    </row>
    <row r="1462">
      <c r="A1462" s="7">
        <v>42423.983668981484</v>
      </c>
      <c r="B1462" s="8" t="str">
        <f>HYPERLINK("https://twitter.com/BroVic","@BroVic")</f>
        <v>@BroVic</v>
      </c>
      <c r="C1462" s="10" t="s">
        <v>8946</v>
      </c>
      <c r="D1462" s="10" t="s">
        <v>8947</v>
      </c>
      <c r="E1462" s="11" t="str">
        <f>HYPERLINK("https://twitter.com/BroVic/status/702396666922532865","702396666922532865")</f>
        <v>702396666922532865</v>
      </c>
      <c r="F1462" s="12" t="s">
        <v>1573</v>
      </c>
      <c r="G1462" s="13">
        <v>555.0</v>
      </c>
      <c r="H1462" s="13">
        <v>246.0</v>
      </c>
      <c r="I1462" s="13">
        <v>0.0</v>
      </c>
      <c r="J1462" s="13">
        <v>0.0</v>
      </c>
      <c r="K1462" s="12" t="s">
        <v>21</v>
      </c>
      <c r="L1462" s="7">
        <v>39862.59972222222</v>
      </c>
      <c r="M1462" s="14" t="s">
        <v>8948</v>
      </c>
      <c r="N1462" s="14" t="s">
        <v>8949</v>
      </c>
      <c r="O1462" s="11" t="str">
        <f>HYPERLINK("https://pbs.twimg.com/profile_images/639528574362472448/PgHltNjE_normal.jpg","View")</f>
        <v>View</v>
      </c>
      <c r="P1462" s="15"/>
    </row>
    <row r="1463">
      <c r="A1463" s="7">
        <v>42423.9862037037</v>
      </c>
      <c r="B1463" s="8" t="str">
        <f>HYPERLINK("https://twitter.com/Rbloggers","@Rbloggers")</f>
        <v>@Rbloggers</v>
      </c>
      <c r="C1463" s="10" t="s">
        <v>6221</v>
      </c>
      <c r="D1463" s="10" t="s">
        <v>8950</v>
      </c>
      <c r="E1463" s="11" t="str">
        <f>HYPERLINK("https://twitter.com/Rbloggers/status/702397585328381952","702397585328381952")</f>
        <v>702397585328381952</v>
      </c>
      <c r="F1463" s="17" t="s">
        <v>6223</v>
      </c>
      <c r="G1463" s="13">
        <v>28572.0</v>
      </c>
      <c r="H1463" s="13">
        <v>36.0</v>
      </c>
      <c r="I1463" s="13">
        <v>4.0</v>
      </c>
      <c r="J1463" s="13">
        <v>23.0</v>
      </c>
      <c r="K1463" s="12" t="s">
        <v>21</v>
      </c>
      <c r="L1463" s="7">
        <v>40314.510601851856</v>
      </c>
      <c r="M1463" s="16"/>
      <c r="N1463" s="14" t="s">
        <v>6224</v>
      </c>
      <c r="O1463" s="11" t="str">
        <f>HYPERLINK("https://pbs.twimg.com/profile_images/502185985786916864/gkdFh-q7_normal.png","View")</f>
        <v>View</v>
      </c>
      <c r="P1463" s="15"/>
    </row>
    <row r="1464">
      <c r="A1464" s="7">
        <v>42423.98659722222</v>
      </c>
      <c r="B1464" s="8" t="str">
        <f>HYPERLINK("https://twitter.com/BigDataTweetBot","@BigDataTweetBot")</f>
        <v>@BigDataTweetBot</v>
      </c>
      <c r="C1464" s="10" t="s">
        <v>1440</v>
      </c>
      <c r="D1464" s="10" t="s">
        <v>8951</v>
      </c>
      <c r="E1464" s="11" t="str">
        <f>HYPERLINK("https://twitter.com/BigDataTweetBot/status/702397725271314433","702397725271314433")</f>
        <v>702397725271314433</v>
      </c>
      <c r="F1464" s="12" t="s">
        <v>1442</v>
      </c>
      <c r="G1464" s="13">
        <v>8622.0</v>
      </c>
      <c r="H1464" s="13">
        <v>243.0</v>
      </c>
      <c r="I1464" s="13">
        <v>1.0</v>
      </c>
      <c r="J1464" s="13">
        <v>0.0</v>
      </c>
      <c r="K1464" s="12" t="s">
        <v>21</v>
      </c>
      <c r="L1464" s="7">
        <v>42187.77106481481</v>
      </c>
      <c r="M1464" s="16"/>
      <c r="N1464" s="14" t="s">
        <v>1443</v>
      </c>
      <c r="O1464" s="11" t="str">
        <f>HYPERLINK("https://pbs.twimg.com/profile_images/616793252524650496/bQbxJqmz_normal.jpg","View")</f>
        <v>View</v>
      </c>
      <c r="P1464" s="15"/>
    </row>
    <row r="1465">
      <c r="A1465" s="7">
        <v>42423.98732638889</v>
      </c>
      <c r="B1465" s="8" t="str">
        <f>HYPERLINK("https://twitter.com/jcanistrum","@jcanistrum")</f>
        <v>@jcanistrum</v>
      </c>
      <c r="C1465" s="10" t="s">
        <v>8952</v>
      </c>
      <c r="D1465" s="10" t="s">
        <v>8953</v>
      </c>
      <c r="E1465" s="11" t="str">
        <f>HYPERLINK("https://twitter.com/jcanistrum/status/702397992360415233","702397992360415233")</f>
        <v>702397992360415233</v>
      </c>
      <c r="F1465" s="12" t="s">
        <v>20</v>
      </c>
      <c r="G1465" s="13">
        <v>3195.0</v>
      </c>
      <c r="H1465" s="13">
        <v>3328.0</v>
      </c>
      <c r="I1465" s="13">
        <v>4.0</v>
      </c>
      <c r="J1465" s="13">
        <v>0.0</v>
      </c>
      <c r="K1465" s="12" t="s">
        <v>21</v>
      </c>
      <c r="L1465" s="7">
        <v>40050.28534722222</v>
      </c>
      <c r="M1465" s="14" t="s">
        <v>561</v>
      </c>
      <c r="N1465" s="14" t="s">
        <v>8954</v>
      </c>
      <c r="O1465" s="11" t="str">
        <f>HYPERLINK("https://pbs.twimg.com/profile_images/674901281459277824/fRgBleU9_normal.jpg","View")</f>
        <v>View</v>
      </c>
      <c r="P1465" s="15"/>
    </row>
    <row r="1466">
      <c r="A1466" s="7">
        <v>42423.98943287037</v>
      </c>
      <c r="B1466" s="8" t="str">
        <f>HYPERLINK("https://twitter.com/ardalby","@ardalby")</f>
        <v>@ardalby</v>
      </c>
      <c r="C1466" s="10" t="s">
        <v>8955</v>
      </c>
      <c r="D1466" s="10" t="s">
        <v>8953</v>
      </c>
      <c r="E1466" s="11" t="str">
        <f>HYPERLINK("https://twitter.com/ardalby/status/702398754532499456","702398754532499456")</f>
        <v>702398754532499456</v>
      </c>
      <c r="F1466" s="12" t="s">
        <v>1573</v>
      </c>
      <c r="G1466" s="13">
        <v>1102.0</v>
      </c>
      <c r="H1466" s="13">
        <v>1501.0</v>
      </c>
      <c r="I1466" s="13">
        <v>4.0</v>
      </c>
      <c r="J1466" s="13">
        <v>0.0</v>
      </c>
      <c r="K1466" s="12" t="s">
        <v>21</v>
      </c>
      <c r="L1466" s="7">
        <v>39841.12504629629</v>
      </c>
      <c r="M1466" s="14" t="s">
        <v>8956</v>
      </c>
      <c r="N1466" s="14" t="s">
        <v>8957</v>
      </c>
      <c r="O1466" s="11" t="str">
        <f>HYPERLINK("https://pbs.twimg.com/profile_images/378800000785900654/db137f2573665b3091ad03b5937a7302_normal.png","View")</f>
        <v>View</v>
      </c>
      <c r="P1466" s="15"/>
    </row>
    <row r="1467">
      <c r="A1467" s="7">
        <v>42423.99024305555</v>
      </c>
      <c r="B1467" s="8" t="str">
        <f>HYPERLINK("https://twitter.com/renato_umeton","@renato_umeton")</f>
        <v>@renato_umeton</v>
      </c>
      <c r="C1467" s="10" t="s">
        <v>1659</v>
      </c>
      <c r="D1467" s="10" t="s">
        <v>8953</v>
      </c>
      <c r="E1467" s="11" t="str">
        <f>HYPERLINK("https://twitter.com/renato_umeton/status/702399048075091968","702399048075091968")</f>
        <v>702399048075091968</v>
      </c>
      <c r="F1467" s="12" t="s">
        <v>38</v>
      </c>
      <c r="G1467" s="13">
        <v>70.0</v>
      </c>
      <c r="H1467" s="13">
        <v>79.0</v>
      </c>
      <c r="I1467" s="13">
        <v>4.0</v>
      </c>
      <c r="J1467" s="13">
        <v>0.0</v>
      </c>
      <c r="K1467" s="12" t="s">
        <v>21</v>
      </c>
      <c r="L1467" s="7">
        <v>39918.052083333336</v>
      </c>
      <c r="M1467" s="14" t="s">
        <v>1660</v>
      </c>
      <c r="N1467" s="14" t="s">
        <v>1661</v>
      </c>
      <c r="O1467" s="11" t="str">
        <f>HYPERLINK("https://pbs.twimg.com/profile_images/701553083537604608/nr8b38eG_normal.jpg","View")</f>
        <v>View</v>
      </c>
      <c r="P1467" s="15"/>
    </row>
    <row r="1468">
      <c r="A1468" s="7">
        <v>42423.991168981476</v>
      </c>
      <c r="B1468" s="8" t="str">
        <f>HYPERLINK("https://twitter.com/kylehamilton","@kylehamilton")</f>
        <v>@kylehamilton</v>
      </c>
      <c r="C1468" s="10" t="s">
        <v>8958</v>
      </c>
      <c r="D1468" s="10" t="s">
        <v>8666</v>
      </c>
      <c r="E1468" s="11" t="str">
        <f>HYPERLINK("https://twitter.com/kylehamilton/status/702399382063333377","702399382063333377")</f>
        <v>702399382063333377</v>
      </c>
      <c r="F1468" s="12" t="s">
        <v>20</v>
      </c>
      <c r="G1468" s="13">
        <v>488.0</v>
      </c>
      <c r="H1468" s="13">
        <v>675.0</v>
      </c>
      <c r="I1468" s="13">
        <v>50.0</v>
      </c>
      <c r="J1468" s="13">
        <v>0.0</v>
      </c>
      <c r="K1468" s="12" t="s">
        <v>21</v>
      </c>
      <c r="L1468" s="7">
        <v>39356.95041666667</v>
      </c>
      <c r="M1468" s="14" t="s">
        <v>8959</v>
      </c>
      <c r="N1468" s="14" t="s">
        <v>8960</v>
      </c>
      <c r="O1468" s="11" t="str">
        <f>HYPERLINK("https://pbs.twimg.com/profile_images/456968381338357760/0L5lghyl_normal.jpeg","View")</f>
        <v>View</v>
      </c>
      <c r="P1468" s="15"/>
    </row>
    <row r="1469">
      <c r="A1469" s="7">
        <v>42423.995104166665</v>
      </c>
      <c r="B1469" s="8" t="str">
        <f>HYPERLINK("https://twitter.com/schmidtdav","@schmidtdav")</f>
        <v>@schmidtdav</v>
      </c>
      <c r="C1469" s="10" t="s">
        <v>8961</v>
      </c>
      <c r="D1469" s="10" t="s">
        <v>8434</v>
      </c>
      <c r="E1469" s="11" t="str">
        <f>HYPERLINK("https://twitter.com/schmidtdav/status/702400807896031232","702400807896031232")</f>
        <v>702400807896031232</v>
      </c>
      <c r="F1469" s="12" t="s">
        <v>152</v>
      </c>
      <c r="G1469" s="13">
        <v>144.0</v>
      </c>
      <c r="H1469" s="13">
        <v>285.0</v>
      </c>
      <c r="I1469" s="13">
        <v>12.0</v>
      </c>
      <c r="J1469" s="13">
        <v>0.0</v>
      </c>
      <c r="K1469" s="12" t="s">
        <v>21</v>
      </c>
      <c r="L1469" s="7">
        <v>40908.43784722222</v>
      </c>
      <c r="M1469" s="14" t="s">
        <v>613</v>
      </c>
      <c r="N1469" s="14" t="s">
        <v>8962</v>
      </c>
      <c r="O1469" s="11" t="str">
        <f>HYPERLINK("https://pbs.twimg.com/profile_images/3371521249/f14e5be07fcc77cc833d5592b457cd61_normal.jpeg","View")</f>
        <v>View</v>
      </c>
      <c r="P1469" s="15"/>
    </row>
    <row r="1470">
      <c r="A1470" s="7">
        <v>42423.99777777778</v>
      </c>
      <c r="B1470" s="8" t="str">
        <f>HYPERLINK("https://twitter.com/PLOSBiology","@PLOSBiology")</f>
        <v>@PLOSBiology</v>
      </c>
      <c r="C1470" s="10" t="s">
        <v>8963</v>
      </c>
      <c r="D1470" s="10" t="s">
        <v>7116</v>
      </c>
      <c r="E1470" s="11" t="str">
        <f>HYPERLINK("https://twitter.com/PLOSBiology/status/702401778634063873","702401778634063873")</f>
        <v>702401778634063873</v>
      </c>
      <c r="F1470" s="12" t="s">
        <v>20</v>
      </c>
      <c r="G1470" s="13">
        <v>32446.0</v>
      </c>
      <c r="H1470" s="13">
        <v>2581.0</v>
      </c>
      <c r="I1470" s="13">
        <v>16.0</v>
      </c>
      <c r="J1470" s="13">
        <v>0.0</v>
      </c>
      <c r="K1470" s="12" t="s">
        <v>21</v>
      </c>
      <c r="L1470" s="7">
        <v>40158.1115162037</v>
      </c>
      <c r="M1470" s="14" t="s">
        <v>8964</v>
      </c>
      <c r="N1470" s="14" t="s">
        <v>8965</v>
      </c>
      <c r="O1470" s="11" t="str">
        <f>HYPERLINK("https://pbs.twimg.com/profile_images/2432741784/7kk4r2cpabm7u2lqf17y_normal.jpeg","View")</f>
        <v>View</v>
      </c>
      <c r="P1470" s="15"/>
    </row>
    <row r="1471">
      <c r="A1471" s="7">
        <v>42424.00099537037</v>
      </c>
      <c r="B1471" s="8" t="str">
        <f>HYPERLINK("https://twitter.com/bkkkk","@bkkkk")</f>
        <v>@bkkkk</v>
      </c>
      <c r="C1471" s="10" t="s">
        <v>8966</v>
      </c>
      <c r="D1471" s="10" t="s">
        <v>8638</v>
      </c>
      <c r="E1471" s="11" t="str">
        <f>HYPERLINK("https://twitter.com/bkkkk/status/702402943316836356","702402943316836356")</f>
        <v>702402943316836356</v>
      </c>
      <c r="F1471" s="12" t="s">
        <v>1828</v>
      </c>
      <c r="G1471" s="13">
        <v>101.0</v>
      </c>
      <c r="H1471" s="13">
        <v>25.0</v>
      </c>
      <c r="I1471" s="13">
        <v>8.0</v>
      </c>
      <c r="J1471" s="13">
        <v>0.0</v>
      </c>
      <c r="K1471" s="12" t="s">
        <v>21</v>
      </c>
      <c r="L1471" s="7">
        <v>39922.09881944444</v>
      </c>
      <c r="M1471" s="14" t="s">
        <v>765</v>
      </c>
      <c r="N1471" s="14" t="s">
        <v>8967</v>
      </c>
      <c r="O1471" s="11" t="str">
        <f>HYPERLINK("https://pbs.twimg.com/profile_images/646081371094564864/5rN00Xrr_normal.jpg","View")</f>
        <v>View</v>
      </c>
      <c r="P1471" s="15"/>
    </row>
    <row r="1472">
      <c r="A1472" s="7">
        <v>42424.007627314815</v>
      </c>
      <c r="B1472" s="8" t="str">
        <f>HYPERLINK("https://twitter.com/DrewCronin","@DrewCronin")</f>
        <v>@DrewCronin</v>
      </c>
      <c r="C1472" s="10" t="s">
        <v>8968</v>
      </c>
      <c r="D1472" s="10" t="s">
        <v>7116</v>
      </c>
      <c r="E1472" s="11" t="str">
        <f>HYPERLINK("https://twitter.com/DrewCronin/status/702405349198921729","702405349198921729")</f>
        <v>702405349198921729</v>
      </c>
      <c r="F1472" s="12" t="s">
        <v>52</v>
      </c>
      <c r="G1472" s="13">
        <v>301.0</v>
      </c>
      <c r="H1472" s="13">
        <v>375.0</v>
      </c>
      <c r="I1472" s="13">
        <v>16.0</v>
      </c>
      <c r="J1472" s="13">
        <v>0.0</v>
      </c>
      <c r="K1472" s="12" t="s">
        <v>21</v>
      </c>
      <c r="L1472" s="7">
        <v>41391.432905092595</v>
      </c>
      <c r="M1472" s="14" t="s">
        <v>8572</v>
      </c>
      <c r="N1472" s="14" t="s">
        <v>8969</v>
      </c>
      <c r="O1472" s="11" t="str">
        <f>HYPERLINK("https://pbs.twimg.com/profile_images/3581955735/2d95c4f0dae664ff324885d5761a277d_normal.jpeg","View")</f>
        <v>View</v>
      </c>
      <c r="P1472" s="15"/>
    </row>
    <row r="1473">
      <c r="A1473" s="7">
        <v>42424.007731481484</v>
      </c>
      <c r="B1473" s="8" t="str">
        <f>HYPERLINK("https://twitter.com/hughparsonage","@hughparsonage")</f>
        <v>@hughparsonage</v>
      </c>
      <c r="C1473" s="10" t="s">
        <v>8970</v>
      </c>
      <c r="D1473" s="10" t="s">
        <v>8971</v>
      </c>
      <c r="E1473" s="11" t="str">
        <f>HYPERLINK("https://twitter.com/hughparsonage/status/702405384955363328","702405384955363328")</f>
        <v>702405384955363328</v>
      </c>
      <c r="F1473" s="12" t="s">
        <v>52</v>
      </c>
      <c r="G1473" s="13">
        <v>159.0</v>
      </c>
      <c r="H1473" s="13">
        <v>167.0</v>
      </c>
      <c r="I1473" s="13">
        <v>3.0</v>
      </c>
      <c r="J1473" s="13">
        <v>0.0</v>
      </c>
      <c r="K1473" s="12" t="s">
        <v>21</v>
      </c>
      <c r="L1473" s="7">
        <v>40454.58398148148</v>
      </c>
      <c r="M1473" s="16"/>
      <c r="N1473" s="14" t="s">
        <v>8972</v>
      </c>
      <c r="O1473" s="11" t="str">
        <f>HYPERLINK("https://pbs.twimg.com/profile_images/378800000404942836/cd246e16e3343001c43f3fbf3d620d41_normal.png","View")</f>
        <v>View</v>
      </c>
      <c r="P1473" s="15"/>
    </row>
    <row r="1474">
      <c r="A1474" s="7">
        <v>42424.00833333333</v>
      </c>
      <c r="B1474" s="8" t="str">
        <f>HYPERLINK("https://twitter.com/MColebrook","@MColebrook")</f>
        <v>@MColebrook</v>
      </c>
      <c r="C1474" s="10" t="s">
        <v>8973</v>
      </c>
      <c r="D1474" s="10" t="s">
        <v>7913</v>
      </c>
      <c r="E1474" s="11" t="str">
        <f>HYPERLINK("https://twitter.com/MColebrook/status/702405603948371969","702405603948371969")</f>
        <v>702405603948371969</v>
      </c>
      <c r="F1474" s="12" t="s">
        <v>52</v>
      </c>
      <c r="G1474" s="13">
        <v>609.0</v>
      </c>
      <c r="H1474" s="13">
        <v>547.0</v>
      </c>
      <c r="I1474" s="13">
        <v>18.0</v>
      </c>
      <c r="J1474" s="13">
        <v>0.0</v>
      </c>
      <c r="K1474" s="12" t="s">
        <v>21</v>
      </c>
      <c r="L1474" s="7">
        <v>39881.087847222225</v>
      </c>
      <c r="M1474" s="14" t="s">
        <v>8974</v>
      </c>
      <c r="N1474" s="14" t="s">
        <v>8975</v>
      </c>
      <c r="O1474" s="11" t="str">
        <f>HYPERLINK("https://pbs.twimg.com/profile_images/673842342349156352/bbNaONv5_normal.jpg","View")</f>
        <v>View</v>
      </c>
      <c r="P1474" s="15"/>
    </row>
    <row r="1475">
      <c r="A1475" s="7">
        <v>42424.01049768519</v>
      </c>
      <c r="B1475" s="8" t="str">
        <f>HYPERLINK("https://twitter.com/datasciencefan","@datasciencefan")</f>
        <v>@datasciencefan</v>
      </c>
      <c r="C1475" s="10" t="s">
        <v>2069</v>
      </c>
      <c r="D1475" s="10" t="s">
        <v>8976</v>
      </c>
      <c r="E1475" s="11" t="str">
        <f>HYPERLINK("https://twitter.com/datasciencefan/status/702406388979355648","702406388979355648")</f>
        <v>702406388979355648</v>
      </c>
      <c r="F1475" s="12" t="s">
        <v>446</v>
      </c>
      <c r="G1475" s="13">
        <v>163.0</v>
      </c>
      <c r="H1475" s="13">
        <v>117.0</v>
      </c>
      <c r="I1475" s="13">
        <v>15.0</v>
      </c>
      <c r="J1475" s="13">
        <v>22.0</v>
      </c>
      <c r="K1475" s="12" t="s">
        <v>21</v>
      </c>
      <c r="L1475" s="7">
        <v>42362.194502314815</v>
      </c>
      <c r="M1475" s="14" t="s">
        <v>2072</v>
      </c>
      <c r="N1475" s="14" t="s">
        <v>2073</v>
      </c>
      <c r="O1475" s="11" t="str">
        <f>HYPERLINK("https://pbs.twimg.com/profile_images/680007215424618496/jKN3QBWT_normal.png","View")</f>
        <v>View</v>
      </c>
      <c r="P1475" s="15"/>
    </row>
    <row r="1476">
      <c r="A1476" s="7">
        <v>42424.01053240741</v>
      </c>
      <c r="B1476" s="8" t="str">
        <f>HYPERLINK("https://twitter.com/aworsleynz","@aworsleynz")</f>
        <v>@aworsleynz</v>
      </c>
      <c r="C1476" s="10" t="s">
        <v>8148</v>
      </c>
      <c r="D1476" s="10" t="s">
        <v>8977</v>
      </c>
      <c r="E1476" s="11" t="str">
        <f>HYPERLINK("https://twitter.com/aworsleynz/status/702406400979378179","702406400979378179")</f>
        <v>702406400979378179</v>
      </c>
      <c r="F1476" s="12" t="s">
        <v>20</v>
      </c>
      <c r="G1476" s="13">
        <v>76.0</v>
      </c>
      <c r="H1476" s="13">
        <v>126.0</v>
      </c>
      <c r="I1476" s="13">
        <v>0.0</v>
      </c>
      <c r="J1476" s="13">
        <v>0.0</v>
      </c>
      <c r="K1476" s="12" t="s">
        <v>21</v>
      </c>
      <c r="L1476" s="7">
        <v>42251.03300925926</v>
      </c>
      <c r="M1476" s="14" t="s">
        <v>312</v>
      </c>
      <c r="N1476" s="14" t="s">
        <v>8150</v>
      </c>
      <c r="O1476" s="11" t="str">
        <f>HYPERLINK("https://pbs.twimg.com/profile_images/639707867553992704/IjwZt_UB_normal.jpg","View")</f>
        <v>View</v>
      </c>
      <c r="P1476" s="15"/>
    </row>
    <row r="1477">
      <c r="A1477" s="7">
        <v>42424.01337962963</v>
      </c>
      <c r="B1477" s="8" t="str">
        <f>HYPERLINK("https://twitter.com/dataprix","@dataprix")</f>
        <v>@dataprix</v>
      </c>
      <c r="C1477" s="10" t="s">
        <v>2115</v>
      </c>
      <c r="D1477" s="10" t="s">
        <v>8978</v>
      </c>
      <c r="E1477" s="11" t="str">
        <f>HYPERLINK("https://twitter.com/dataprix/status/702407433734529024","702407433734529024")</f>
        <v>702407433734529024</v>
      </c>
      <c r="F1477" s="12" t="s">
        <v>103</v>
      </c>
      <c r="G1477" s="13">
        <v>4033.0</v>
      </c>
      <c r="H1477" s="13">
        <v>3956.0</v>
      </c>
      <c r="I1477" s="13">
        <v>3.0</v>
      </c>
      <c r="J1477" s="13">
        <v>2.0</v>
      </c>
      <c r="K1477" s="12" t="s">
        <v>21</v>
      </c>
      <c r="L1477" s="7">
        <v>39966.40350694444</v>
      </c>
      <c r="M1477" s="14" t="s">
        <v>901</v>
      </c>
      <c r="N1477" s="14" t="s">
        <v>2117</v>
      </c>
      <c r="O1477" s="11" t="str">
        <f>HYPERLINK("https://pbs.twimg.com/profile_images/701068875/isotipo_dataprix_screen_96_normal.jpg","View")</f>
        <v>View</v>
      </c>
      <c r="P1477" s="15"/>
    </row>
    <row r="1478">
      <c r="A1478" s="7">
        <v>42424.013460648144</v>
      </c>
      <c r="B1478" s="8" t="str">
        <f>HYPERLINK("https://twitter.com/ahmedfouadfarg1","@ahmedfouadfarg1")</f>
        <v>@ahmedfouadfarg1</v>
      </c>
      <c r="C1478" s="10" t="s">
        <v>8979</v>
      </c>
      <c r="D1478" s="10" t="s">
        <v>8980</v>
      </c>
      <c r="E1478" s="11" t="str">
        <f>HYPERLINK("https://twitter.com/ahmedfouadfarg1/status/702407459554594816","702407459554594816")</f>
        <v>702407459554594816</v>
      </c>
      <c r="F1478" s="12" t="s">
        <v>152</v>
      </c>
      <c r="G1478" s="13">
        <v>3793.0</v>
      </c>
      <c r="H1478" s="13">
        <v>2798.0</v>
      </c>
      <c r="I1478" s="13">
        <v>3.0</v>
      </c>
      <c r="J1478" s="13">
        <v>0.0</v>
      </c>
      <c r="K1478" s="12" t="s">
        <v>21</v>
      </c>
      <c r="L1478" s="7">
        <v>41329.293078703704</v>
      </c>
      <c r="M1478" s="21" t="s">
        <v>8981</v>
      </c>
      <c r="N1478" s="21" t="s">
        <v>8982</v>
      </c>
      <c r="O1478" s="11" t="str">
        <f>HYPERLINK("https://pbs.twimg.com/profile_images/412199926840324097/lonwxdri_normal.jpeg","View")</f>
        <v>View</v>
      </c>
      <c r="P1478" s="15"/>
    </row>
    <row r="1479">
      <c r="A1479" s="7">
        <v>42424.01405092592</v>
      </c>
      <c r="B1479" s="8" t="str">
        <f>HYPERLINK("https://twitter.com/gd047","@gd047")</f>
        <v>@gd047</v>
      </c>
      <c r="C1479" s="10" t="s">
        <v>8983</v>
      </c>
      <c r="D1479" s="10" t="s">
        <v>8984</v>
      </c>
      <c r="E1479" s="11" t="str">
        <f>HYPERLINK("https://twitter.com/gd047/status/702407673464152065","702407673464152065")</f>
        <v>702407673464152065</v>
      </c>
      <c r="F1479" s="12" t="s">
        <v>20</v>
      </c>
      <c r="G1479" s="13">
        <v>72.0</v>
      </c>
      <c r="H1479" s="13">
        <v>95.0</v>
      </c>
      <c r="I1479" s="13">
        <v>0.0</v>
      </c>
      <c r="J1479" s="13">
        <v>0.0</v>
      </c>
      <c r="K1479" s="12" t="s">
        <v>21</v>
      </c>
      <c r="L1479" s="7">
        <v>40865.001435185186</v>
      </c>
      <c r="M1479" s="14" t="s">
        <v>8985</v>
      </c>
      <c r="N1479" s="14" t="s">
        <v>8986</v>
      </c>
      <c r="O1479" s="11" t="str">
        <f>HYPERLINK("https://pbs.twimg.com/profile_images/485839550162272259/IA4bC8wX_normal.jpeg","View")</f>
        <v>View</v>
      </c>
      <c r="P1479" s="15"/>
    </row>
    <row r="1480">
      <c r="A1480" s="7">
        <v>42424.01422453704</v>
      </c>
      <c r="B1480" s="8" t="str">
        <f t="shared" ref="B1480:B1481" si="167">HYPERLINK("https://twitter.com/BigDataTweetBot","@BigDataTweetBot")</f>
        <v>@BigDataTweetBot</v>
      </c>
      <c r="C1480" s="10" t="s">
        <v>1440</v>
      </c>
      <c r="D1480" s="10" t="s">
        <v>8987</v>
      </c>
      <c r="E1480" s="11" t="str">
        <f>HYPERLINK("https://twitter.com/BigDataTweetBot/status/702407736575844352","702407736575844352")</f>
        <v>702407736575844352</v>
      </c>
      <c r="F1480" s="12" t="s">
        <v>1442</v>
      </c>
      <c r="G1480" s="13">
        <v>8622.0</v>
      </c>
      <c r="H1480" s="13">
        <v>243.0</v>
      </c>
      <c r="I1480" s="13">
        <v>15.0</v>
      </c>
      <c r="J1480" s="13">
        <v>0.0</v>
      </c>
      <c r="K1480" s="12" t="s">
        <v>21</v>
      </c>
      <c r="L1480" s="7">
        <v>42187.77106481481</v>
      </c>
      <c r="M1480" s="16"/>
      <c r="N1480" s="14" t="s">
        <v>1443</v>
      </c>
      <c r="O1480" s="11" t="str">
        <f t="shared" ref="O1480:O1481" si="168">HYPERLINK("https://pbs.twimg.com/profile_images/616793252524650496/bQbxJqmz_normal.jpg","View")</f>
        <v>View</v>
      </c>
      <c r="P1480" s="15"/>
    </row>
    <row r="1481">
      <c r="A1481" s="7">
        <v>42424.01442129629</v>
      </c>
      <c r="B1481" s="8" t="str">
        <f t="shared" si="167"/>
        <v>@BigDataTweetBot</v>
      </c>
      <c r="C1481" s="10" t="s">
        <v>1440</v>
      </c>
      <c r="D1481" s="10" t="s">
        <v>8980</v>
      </c>
      <c r="E1481" s="11" t="str">
        <f>HYPERLINK("https://twitter.com/BigDataTweetBot/status/702407810743734273","702407810743734273")</f>
        <v>702407810743734273</v>
      </c>
      <c r="F1481" s="12" t="s">
        <v>1442</v>
      </c>
      <c r="G1481" s="13">
        <v>8622.0</v>
      </c>
      <c r="H1481" s="13">
        <v>243.0</v>
      </c>
      <c r="I1481" s="13">
        <v>3.0</v>
      </c>
      <c r="J1481" s="13">
        <v>0.0</v>
      </c>
      <c r="K1481" s="12" t="s">
        <v>21</v>
      </c>
      <c r="L1481" s="7">
        <v>42187.77106481481</v>
      </c>
      <c r="M1481" s="16"/>
      <c r="N1481" s="14" t="s">
        <v>1443</v>
      </c>
      <c r="O1481" s="11" t="str">
        <f t="shared" si="168"/>
        <v>View</v>
      </c>
      <c r="P1481" s="15"/>
    </row>
    <row r="1482">
      <c r="A1482" s="7">
        <v>42424.014918981484</v>
      </c>
      <c r="B1482" s="8" t="str">
        <f>HYPERLINK("https://twitter.com/AmpiHD","@AmpiHD")</f>
        <v>@AmpiHD</v>
      </c>
      <c r="C1482" s="10" t="s">
        <v>8988</v>
      </c>
      <c r="D1482" s="10" t="s">
        <v>7116</v>
      </c>
      <c r="E1482" s="11" t="str">
        <f>HYPERLINK("https://twitter.com/AmpiHD/status/702407987571326977","702407987571326977")</f>
        <v>702407987571326977</v>
      </c>
      <c r="F1482" s="12" t="s">
        <v>152</v>
      </c>
      <c r="G1482" s="13">
        <v>95.0</v>
      </c>
      <c r="H1482" s="13">
        <v>353.0</v>
      </c>
      <c r="I1482" s="13">
        <v>16.0</v>
      </c>
      <c r="J1482" s="13">
        <v>0.0</v>
      </c>
      <c r="K1482" s="12" t="s">
        <v>21</v>
      </c>
      <c r="L1482" s="7">
        <v>41657.387719907405</v>
      </c>
      <c r="M1482" s="14" t="s">
        <v>8989</v>
      </c>
      <c r="N1482" s="14" t="s">
        <v>8990</v>
      </c>
      <c r="O1482" s="11" t="str">
        <f>HYPERLINK("https://pbs.twimg.com/profile_images/680081134869430272/NIdO8gxL_normal.jpg","View")</f>
        <v>View</v>
      </c>
      <c r="P1482" s="15"/>
    </row>
    <row r="1483">
      <c r="A1483" s="7">
        <v>42424.02309027778</v>
      </c>
      <c r="B1483" s="8" t="str">
        <f>HYPERLINK("https://twitter.com/ecoinf_aeet","@ecoinf_aeet")</f>
        <v>@ecoinf_aeet</v>
      </c>
      <c r="C1483" s="10" t="s">
        <v>8991</v>
      </c>
      <c r="D1483" s="10" t="s">
        <v>8852</v>
      </c>
      <c r="E1483" s="11" t="str">
        <f>HYPERLINK("https://twitter.com/ecoinf_aeet/status/702410951237226497","702410951237226497")</f>
        <v>702410951237226497</v>
      </c>
      <c r="F1483" s="12" t="s">
        <v>446</v>
      </c>
      <c r="G1483" s="13">
        <v>28.0</v>
      </c>
      <c r="H1483" s="13">
        <v>5.0</v>
      </c>
      <c r="I1483" s="13">
        <v>3.0</v>
      </c>
      <c r="J1483" s="13">
        <v>0.0</v>
      </c>
      <c r="K1483" s="12" t="s">
        <v>21</v>
      </c>
      <c r="L1483" s="7">
        <v>42395.08570601852</v>
      </c>
      <c r="M1483" s="16"/>
      <c r="N1483" s="14" t="s">
        <v>8992</v>
      </c>
      <c r="O1483" s="11" t="str">
        <f>HYPERLINK("https://pbs.twimg.com/profile_images/692301101576646656/f5-Ezs5n_normal.jpg","View")</f>
        <v>View</v>
      </c>
      <c r="P1483" s="15"/>
    </row>
    <row r="1484">
      <c r="A1484" s="7">
        <v>42424.03409722222</v>
      </c>
      <c r="B1484" s="8" t="str">
        <f>HYPERLINK("https://twitter.com/matthew1471","@matthew1471")</f>
        <v>@matthew1471</v>
      </c>
      <c r="C1484" s="10" t="s">
        <v>8993</v>
      </c>
      <c r="D1484" s="10" t="s">
        <v>8666</v>
      </c>
      <c r="E1484" s="11" t="str">
        <f>HYPERLINK("https://twitter.com/matthew1471/status/702414938590027777","702414938590027777")</f>
        <v>702414938590027777</v>
      </c>
      <c r="F1484" s="12" t="s">
        <v>152</v>
      </c>
      <c r="G1484" s="13">
        <v>101.0</v>
      </c>
      <c r="H1484" s="13">
        <v>152.0</v>
      </c>
      <c r="I1484" s="13">
        <v>50.0</v>
      </c>
      <c r="J1484" s="13">
        <v>0.0</v>
      </c>
      <c r="K1484" s="12" t="s">
        <v>21</v>
      </c>
      <c r="L1484" s="7">
        <v>39886.14685185185</v>
      </c>
      <c r="M1484" s="14" t="s">
        <v>489</v>
      </c>
      <c r="N1484" s="14" t="s">
        <v>8994</v>
      </c>
      <c r="O1484" s="11" t="str">
        <f>HYPERLINK("https://pbs.twimg.com/profile_images/614932353916497920/4YkebT7z_normal.jpg","View")</f>
        <v>View</v>
      </c>
      <c r="P1484" s="15"/>
    </row>
    <row r="1485">
      <c r="A1485" s="7">
        <v>42424.038310185184</v>
      </c>
      <c r="B1485" s="8" t="str">
        <f>HYPERLINK("https://twitter.com/m_a_upson","@m_a_upson")</f>
        <v>@m_a_upson</v>
      </c>
      <c r="C1485" s="10" t="s">
        <v>8995</v>
      </c>
      <c r="D1485" s="10" t="s">
        <v>8996</v>
      </c>
      <c r="E1485" s="11" t="str">
        <f>HYPERLINK("https://twitter.com/m_a_upson/status/702416464805031938","702416464805031938")</f>
        <v>702416464805031938</v>
      </c>
      <c r="F1485" s="12" t="s">
        <v>659</v>
      </c>
      <c r="G1485" s="13">
        <v>331.0</v>
      </c>
      <c r="H1485" s="13">
        <v>729.0</v>
      </c>
      <c r="I1485" s="13">
        <v>1.0</v>
      </c>
      <c r="J1485" s="13">
        <v>0.0</v>
      </c>
      <c r="K1485" s="12" t="s">
        <v>21</v>
      </c>
      <c r="L1485" s="7">
        <v>41395.14405092593</v>
      </c>
      <c r="M1485" s="14" t="s">
        <v>2034</v>
      </c>
      <c r="N1485" s="14" t="s">
        <v>8997</v>
      </c>
      <c r="O1485" s="11" t="str">
        <f>HYPERLINK("https://pbs.twimg.com/profile_images/678706667589095424/bSg7yEQM_normal.jpg","View")</f>
        <v>View</v>
      </c>
      <c r="P1485" s="15"/>
    </row>
    <row r="1486">
      <c r="A1486" s="7">
        <v>42424.05273148148</v>
      </c>
      <c r="B1486" s="8" t="str">
        <f>HYPERLINK("https://twitter.com/HofrichterJh","@HofrichterJh")</f>
        <v>@HofrichterJh</v>
      </c>
      <c r="C1486" s="10" t="s">
        <v>8998</v>
      </c>
      <c r="D1486" s="10" t="s">
        <v>8999</v>
      </c>
      <c r="E1486" s="11" t="str">
        <f>HYPERLINK("https://twitter.com/HofrichterJh/status/702421691268472832","702421691268472832")</f>
        <v>702421691268472832</v>
      </c>
      <c r="F1486" s="12" t="s">
        <v>20</v>
      </c>
      <c r="G1486" s="13">
        <v>190.0</v>
      </c>
      <c r="H1486" s="13">
        <v>162.0</v>
      </c>
      <c r="I1486" s="13">
        <v>0.0</v>
      </c>
      <c r="J1486" s="13">
        <v>0.0</v>
      </c>
      <c r="K1486" s="12" t="s">
        <v>21</v>
      </c>
      <c r="L1486" s="7">
        <v>41095.3272337963</v>
      </c>
      <c r="M1486" s="14" t="s">
        <v>9000</v>
      </c>
      <c r="N1486" s="14" t="s">
        <v>9001</v>
      </c>
      <c r="O1486" s="11" t="str">
        <f>HYPERLINK("https://pbs.twimg.com/profile_images/478467960848130048/yz2pCObD_normal.jpeg","View")</f>
        <v>View</v>
      </c>
      <c r="P1486" s="15"/>
    </row>
    <row r="1487">
      <c r="A1487" s="7">
        <v>42424.053819444445</v>
      </c>
      <c r="B1487" s="8" t="str">
        <f>HYPERLINK("https://twitter.com/UzmanB","@UzmanB")</f>
        <v>@UzmanB</v>
      </c>
      <c r="C1487" s="10" t="s">
        <v>9002</v>
      </c>
      <c r="D1487" s="10" t="s">
        <v>6319</v>
      </c>
      <c r="E1487" s="11" t="str">
        <f>HYPERLINK("https://twitter.com/UzmanB/status/702422087424720897","702422087424720897")</f>
        <v>702422087424720897</v>
      </c>
      <c r="F1487" s="12" t="s">
        <v>52</v>
      </c>
      <c r="G1487" s="13">
        <v>90.0</v>
      </c>
      <c r="H1487" s="13">
        <v>318.0</v>
      </c>
      <c r="I1487" s="13">
        <v>106.0</v>
      </c>
      <c r="J1487" s="13">
        <v>0.0</v>
      </c>
      <c r="K1487" s="12" t="s">
        <v>21</v>
      </c>
      <c r="L1487" s="7">
        <v>39972.28795138889</v>
      </c>
      <c r="M1487" s="14" t="s">
        <v>9003</v>
      </c>
      <c r="N1487" s="14" t="s">
        <v>9004</v>
      </c>
      <c r="O1487" s="11" t="str">
        <f>HYPERLINK("https://pbs.twimg.com/profile_images/1671800604/image_normal.jpg","View")</f>
        <v>View</v>
      </c>
      <c r="P1487" s="15"/>
    </row>
    <row r="1488">
      <c r="A1488" s="7">
        <v>42424.05569444444</v>
      </c>
      <c r="B1488" s="8" t="str">
        <f>HYPERLINK("https://twitter.com/philmassicotte","@philmassicotte")</f>
        <v>@philmassicotte</v>
      </c>
      <c r="C1488" s="10" t="s">
        <v>9005</v>
      </c>
      <c r="D1488" s="10" t="s">
        <v>8858</v>
      </c>
      <c r="E1488" s="11" t="str">
        <f>HYPERLINK("https://twitter.com/philmassicotte/status/702422764901310464","702422764901310464")</f>
        <v>702422764901310464</v>
      </c>
      <c r="F1488" s="12" t="s">
        <v>152</v>
      </c>
      <c r="G1488" s="13">
        <v>5.0</v>
      </c>
      <c r="H1488" s="13">
        <v>29.0</v>
      </c>
      <c r="I1488" s="13">
        <v>2.0</v>
      </c>
      <c r="J1488" s="13">
        <v>0.0</v>
      </c>
      <c r="K1488" s="12" t="s">
        <v>21</v>
      </c>
      <c r="L1488" s="7">
        <v>42329.088738425926</v>
      </c>
      <c r="M1488" s="16"/>
      <c r="N1488" s="16"/>
      <c r="O1488" s="11" t="str">
        <f>HYPERLINK("https://pbs.twimg.com/profile_images/668108852899004416/kzigJv7d_normal.jpg","View")</f>
        <v>View</v>
      </c>
      <c r="P1488" s="15"/>
    </row>
    <row r="1489">
      <c r="A1489" s="7">
        <v>42424.05668981481</v>
      </c>
      <c r="B1489" s="8" t="str">
        <f>HYPERLINK("https://twitter.com/ma_salmon","@ma_salmon")</f>
        <v>@ma_salmon</v>
      </c>
      <c r="C1489" s="10" t="s">
        <v>6494</v>
      </c>
      <c r="D1489" s="10" t="s">
        <v>9006</v>
      </c>
      <c r="E1489" s="11" t="str">
        <f>HYPERLINK("https://twitter.com/ma_salmon/status/702423126890700800","702423126890700800")</f>
        <v>702423126890700800</v>
      </c>
      <c r="F1489" s="12" t="s">
        <v>20</v>
      </c>
      <c r="G1489" s="13">
        <v>47.0</v>
      </c>
      <c r="H1489" s="13">
        <v>54.0</v>
      </c>
      <c r="I1489" s="13">
        <v>2.0</v>
      </c>
      <c r="J1489" s="13">
        <v>2.0</v>
      </c>
      <c r="K1489" s="12" t="s">
        <v>21</v>
      </c>
      <c r="L1489" s="7">
        <v>41950.10041666667</v>
      </c>
      <c r="M1489" s="14" t="s">
        <v>6496</v>
      </c>
      <c r="N1489" s="14" t="s">
        <v>6497</v>
      </c>
      <c r="O1489" s="11" t="str">
        <f>HYPERLINK("https://pbs.twimg.com/profile_images/630648570228666368/azCx-w8Z_normal.jpg","View")</f>
        <v>View</v>
      </c>
      <c r="P1489" s="15"/>
    </row>
    <row r="1490">
      <c r="A1490" s="7">
        <v>42424.060428240744</v>
      </c>
      <c r="B1490" s="8" t="str">
        <f>HYPERLINK("https://twitter.com/MangoPharma","@MangoPharma")</f>
        <v>@MangoPharma</v>
      </c>
      <c r="C1490" s="10" t="s">
        <v>8443</v>
      </c>
      <c r="D1490" s="10" t="s">
        <v>9007</v>
      </c>
      <c r="E1490" s="11" t="str">
        <f>HYPERLINK("https://twitter.com/MangoPharma/status/702424480828760064","702424480828760064")</f>
        <v>702424480828760064</v>
      </c>
      <c r="F1490" s="12" t="s">
        <v>47</v>
      </c>
      <c r="G1490" s="13">
        <v>19.0</v>
      </c>
      <c r="H1490" s="13">
        <v>149.0</v>
      </c>
      <c r="I1490" s="13">
        <v>0.0</v>
      </c>
      <c r="J1490" s="13">
        <v>1.0</v>
      </c>
      <c r="K1490" s="12" t="s">
        <v>21</v>
      </c>
      <c r="L1490" s="7">
        <v>42421.48475694444</v>
      </c>
      <c r="M1490" s="14" t="s">
        <v>7439</v>
      </c>
      <c r="N1490" s="14" t="s">
        <v>8444</v>
      </c>
      <c r="O1490" s="11" t="str">
        <f>HYPERLINK("https://pbs.twimg.com/profile_images/702168871437017090/GncGcQIU_normal.png","View")</f>
        <v>View</v>
      </c>
      <c r="P1490" s="15"/>
    </row>
    <row r="1491">
      <c r="A1491" s="7">
        <v>42424.06202546296</v>
      </c>
      <c r="B1491" s="8" t="str">
        <f>HYPERLINK("https://twitter.com/BIcortex","@BIcortex")</f>
        <v>@BIcortex</v>
      </c>
      <c r="C1491" s="10" t="s">
        <v>9008</v>
      </c>
      <c r="D1491" s="10" t="s">
        <v>9009</v>
      </c>
      <c r="E1491" s="11" t="str">
        <f>HYPERLINK("https://twitter.com/BIcortex/status/702425058925518848","702425058925518848")</f>
        <v>702425058925518848</v>
      </c>
      <c r="F1491" s="12" t="s">
        <v>20</v>
      </c>
      <c r="G1491" s="13">
        <v>234.0</v>
      </c>
      <c r="H1491" s="13">
        <v>369.0</v>
      </c>
      <c r="I1491" s="13">
        <v>0.0</v>
      </c>
      <c r="J1491" s="13">
        <v>0.0</v>
      </c>
      <c r="K1491" s="12" t="s">
        <v>21</v>
      </c>
      <c r="L1491" s="7">
        <v>40967.21061342592</v>
      </c>
      <c r="M1491" s="14" t="s">
        <v>4539</v>
      </c>
      <c r="N1491" s="14" t="s">
        <v>9010</v>
      </c>
      <c r="O1491" s="11" t="str">
        <f>HYPERLINK("https://pbs.twimg.com/profile_images/519015936997597185/3GNoeHMF_normal.jpeg","View")</f>
        <v>View</v>
      </c>
      <c r="P1491" s="15"/>
    </row>
    <row r="1492">
      <c r="A1492" s="7">
        <v>42424.06334490741</v>
      </c>
      <c r="B1492" s="8" t="str">
        <f>HYPERLINK("https://twitter.com/dougashton","@dougashton")</f>
        <v>@dougashton</v>
      </c>
      <c r="C1492" s="10" t="s">
        <v>9011</v>
      </c>
      <c r="D1492" s="10" t="s">
        <v>9012</v>
      </c>
      <c r="E1492" s="11" t="str">
        <f>HYPERLINK("https://twitter.com/dougashton/status/702425537596227585","702425537596227585")</f>
        <v>702425537596227585</v>
      </c>
      <c r="F1492" s="12" t="s">
        <v>20</v>
      </c>
      <c r="G1492" s="13">
        <v>124.0</v>
      </c>
      <c r="H1492" s="13">
        <v>91.0</v>
      </c>
      <c r="I1492" s="13">
        <v>0.0</v>
      </c>
      <c r="J1492" s="13">
        <v>2.0</v>
      </c>
      <c r="K1492" s="12" t="s">
        <v>21</v>
      </c>
      <c r="L1492" s="7">
        <v>40238.15414351852</v>
      </c>
      <c r="M1492" s="14" t="s">
        <v>519</v>
      </c>
      <c r="N1492" s="14" t="s">
        <v>9013</v>
      </c>
      <c r="O1492" s="11" t="str">
        <f>HYPERLINK("https://pbs.twimg.com/profile_images/652081177344540672/AudgFCJl_normal.jpg","View")</f>
        <v>View</v>
      </c>
      <c r="P1492" s="15"/>
    </row>
    <row r="1493">
      <c r="A1493" s="7">
        <v>42424.06560185185</v>
      </c>
      <c r="B1493" s="8" t="str">
        <f>HYPERLINK("https://twitter.com/_SevillaR","@_SevillaR")</f>
        <v>@_SevillaR</v>
      </c>
      <c r="C1493" s="10" t="s">
        <v>7815</v>
      </c>
      <c r="D1493" s="10" t="s">
        <v>7913</v>
      </c>
      <c r="E1493" s="11" t="str">
        <f>HYPERLINK("https://twitter.com/_SevillaR/status/702426355619725313","702426355619725313")</f>
        <v>702426355619725313</v>
      </c>
      <c r="F1493" s="12" t="s">
        <v>1573</v>
      </c>
      <c r="G1493" s="13">
        <v>89.0</v>
      </c>
      <c r="H1493" s="13">
        <v>12.0</v>
      </c>
      <c r="I1493" s="13">
        <v>18.0</v>
      </c>
      <c r="J1493" s="13">
        <v>0.0</v>
      </c>
      <c r="K1493" s="12" t="s">
        <v>21</v>
      </c>
      <c r="L1493" s="7">
        <v>42030.332604166666</v>
      </c>
      <c r="M1493" s="14" t="s">
        <v>7803</v>
      </c>
      <c r="N1493" s="14" t="s">
        <v>7816</v>
      </c>
      <c r="O1493" s="11" t="str">
        <f>HYPERLINK("https://pbs.twimg.com/profile_images/559743059789762561/0E4ssdxo_normal.jpeg","View")</f>
        <v>View</v>
      </c>
      <c r="P1493" s="15"/>
    </row>
    <row r="1494">
      <c r="A1494" s="7">
        <v>42424.0672800926</v>
      </c>
      <c r="B1494" s="8" t="str">
        <f>HYPERLINK("https://twitter.com/RuiMarcelino4","@RuiMarcelino4")</f>
        <v>@RuiMarcelino4</v>
      </c>
      <c r="C1494" s="10" t="s">
        <v>9014</v>
      </c>
      <c r="D1494" s="10" t="s">
        <v>9015</v>
      </c>
      <c r="E1494" s="11" t="str">
        <f>HYPERLINK("https://twitter.com/RuiMarcelino4/status/702426966494941184","702426966494941184")</f>
        <v>702426966494941184</v>
      </c>
      <c r="F1494" s="12" t="s">
        <v>98</v>
      </c>
      <c r="G1494" s="13">
        <v>345.0</v>
      </c>
      <c r="H1494" s="13">
        <v>305.0</v>
      </c>
      <c r="I1494" s="13">
        <v>2.0</v>
      </c>
      <c r="J1494" s="13">
        <v>6.0</v>
      </c>
      <c r="K1494" s="12" t="s">
        <v>21</v>
      </c>
      <c r="L1494" s="7">
        <v>41519.11894675926</v>
      </c>
      <c r="M1494" s="14" t="s">
        <v>9016</v>
      </c>
      <c r="N1494" s="14" t="s">
        <v>9017</v>
      </c>
      <c r="O1494" s="11" t="str">
        <f>HYPERLINK("https://pbs.twimg.com/profile_images/519054421427093506/vqKpRxEj_normal.jpeg","View")</f>
        <v>View</v>
      </c>
      <c r="P1494" s="15"/>
    </row>
    <row r="1495">
      <c r="A1495" s="7">
        <v>42424.067349537036</v>
      </c>
      <c r="B1495" s="8" t="str">
        <f>HYPERLINK("https://twitter.com/EntheogenicRS","@EntheogenicRS")</f>
        <v>@EntheogenicRS</v>
      </c>
      <c r="C1495" s="10" t="s">
        <v>9018</v>
      </c>
      <c r="D1495" s="10" t="s">
        <v>7116</v>
      </c>
      <c r="E1495" s="11" t="str">
        <f>HYPERLINK("https://twitter.com/EntheogenicRS/status/702426988812881920","702426988812881920")</f>
        <v>702426988812881920</v>
      </c>
      <c r="F1495" s="12" t="s">
        <v>152</v>
      </c>
      <c r="G1495" s="13">
        <v>16.0</v>
      </c>
      <c r="H1495" s="13">
        <v>120.0</v>
      </c>
      <c r="I1495" s="13">
        <v>16.0</v>
      </c>
      <c r="J1495" s="13">
        <v>0.0</v>
      </c>
      <c r="K1495" s="12" t="s">
        <v>21</v>
      </c>
      <c r="L1495" s="7">
        <v>42423.19258101852</v>
      </c>
      <c r="M1495" s="16"/>
      <c r="N1495" s="14" t="s">
        <v>9019</v>
      </c>
      <c r="O1495" s="11" t="str">
        <f>HYPERLINK("https://pbs.twimg.com/profile_images/702110526273409025/bJuQSH7u_normal.jpg","View")</f>
        <v>View</v>
      </c>
      <c r="P1495" s="15"/>
    </row>
    <row r="1496">
      <c r="A1496" s="7">
        <v>42424.06921296296</v>
      </c>
      <c r="B1496" s="8" t="str">
        <f>HYPERLINK("https://twitter.com/SergeySosnovsky","@SergeySosnovsky")</f>
        <v>@SergeySosnovsky</v>
      </c>
      <c r="C1496" s="10" t="s">
        <v>9020</v>
      </c>
      <c r="D1496" s="10" t="s">
        <v>8638</v>
      </c>
      <c r="E1496" s="11" t="str">
        <f>HYPERLINK("https://twitter.com/SergeySosnovsky/status/702427667212181504","702427667212181504")</f>
        <v>702427667212181504</v>
      </c>
      <c r="F1496" s="12" t="s">
        <v>98</v>
      </c>
      <c r="G1496" s="13">
        <v>73.0</v>
      </c>
      <c r="H1496" s="13">
        <v>133.0</v>
      </c>
      <c r="I1496" s="13">
        <v>8.0</v>
      </c>
      <c r="J1496" s="13">
        <v>0.0</v>
      </c>
      <c r="K1496" s="12" t="s">
        <v>21</v>
      </c>
      <c r="L1496" s="7">
        <v>40680.09017361111</v>
      </c>
      <c r="M1496" s="14" t="s">
        <v>9021</v>
      </c>
      <c r="N1496" s="16"/>
      <c r="O1496" s="11" t="str">
        <f>HYPERLINK("https://pbs.twimg.com/profile_images/3731357502/be77a63fb12491ba5457fc968af100b6_normal.jpeg","View")</f>
        <v>View</v>
      </c>
      <c r="P1496" s="15"/>
    </row>
    <row r="1497">
      <c r="A1497" s="7">
        <v>42424.06961805555</v>
      </c>
      <c r="B1497" s="8" t="str">
        <f>HYPERLINK("https://twitter.com/Rbloggers","@Rbloggers")</f>
        <v>@Rbloggers</v>
      </c>
      <c r="C1497" s="10" t="s">
        <v>6221</v>
      </c>
      <c r="D1497" s="10" t="s">
        <v>9022</v>
      </c>
      <c r="E1497" s="11" t="str">
        <f>HYPERLINK("https://twitter.com/Rbloggers/status/702427813345943552","702427813345943552")</f>
        <v>702427813345943552</v>
      </c>
      <c r="F1497" s="17" t="s">
        <v>6223</v>
      </c>
      <c r="G1497" s="13">
        <v>28572.0</v>
      </c>
      <c r="H1497" s="13">
        <v>36.0</v>
      </c>
      <c r="I1497" s="13">
        <v>1.0</v>
      </c>
      <c r="J1497" s="13">
        <v>2.0</v>
      </c>
      <c r="K1497" s="12" t="s">
        <v>21</v>
      </c>
      <c r="L1497" s="7">
        <v>40314.510601851856</v>
      </c>
      <c r="M1497" s="16"/>
      <c r="N1497" s="14" t="s">
        <v>6224</v>
      </c>
      <c r="O1497" s="11" t="str">
        <f>HYPERLINK("https://pbs.twimg.com/profile_images/502185985786916864/gkdFh-q7_normal.png","View")</f>
        <v>View</v>
      </c>
      <c r="P1497" s="15"/>
    </row>
    <row r="1498">
      <c r="A1498" s="7">
        <v>42424.07021990741</v>
      </c>
      <c r="B1498" s="8" t="str">
        <f>HYPERLINK("https://twitter.com/Jaime__Sampaio","@Jaime__Sampaio")</f>
        <v>@Jaime__Sampaio</v>
      </c>
      <c r="C1498" s="10" t="s">
        <v>9023</v>
      </c>
      <c r="D1498" s="10" t="s">
        <v>9024</v>
      </c>
      <c r="E1498" s="11" t="str">
        <f>HYPERLINK("https://twitter.com/Jaime__Sampaio/status/702428031349035009","702428031349035009")</f>
        <v>702428031349035009</v>
      </c>
      <c r="F1498" s="12" t="s">
        <v>98</v>
      </c>
      <c r="G1498" s="13">
        <v>1110.0</v>
      </c>
      <c r="H1498" s="13">
        <v>393.0</v>
      </c>
      <c r="I1498" s="13">
        <v>2.0</v>
      </c>
      <c r="J1498" s="13">
        <v>0.0</v>
      </c>
      <c r="K1498" s="12" t="s">
        <v>21</v>
      </c>
      <c r="L1498" s="7">
        <v>41461.41706018519</v>
      </c>
      <c r="M1498" s="14" t="s">
        <v>9025</v>
      </c>
      <c r="N1498" s="14" t="s">
        <v>9026</v>
      </c>
      <c r="O1498" s="11" t="str">
        <f>HYPERLINK("https://pbs.twimg.com/profile_images/593341808060538881/MQnRKZLg_normal.jpg","View")</f>
        <v>View</v>
      </c>
      <c r="P1498" s="15"/>
    </row>
    <row r="1499">
      <c r="A1499" s="7">
        <v>42424.07063657408</v>
      </c>
      <c r="B1499" s="8" t="str">
        <f>HYPERLINK("https://twitter.com/Parada1985","@Parada1985")</f>
        <v>@Parada1985</v>
      </c>
      <c r="C1499" s="10" t="s">
        <v>9027</v>
      </c>
      <c r="D1499" s="10" t="s">
        <v>9024</v>
      </c>
      <c r="E1499" s="11" t="str">
        <f>HYPERLINK("https://twitter.com/Parada1985/status/702428181001859073","702428181001859073")</f>
        <v>702428181001859073</v>
      </c>
      <c r="F1499" s="12" t="s">
        <v>20</v>
      </c>
      <c r="G1499" s="13">
        <v>1100.0</v>
      </c>
      <c r="H1499" s="13">
        <v>870.0</v>
      </c>
      <c r="I1499" s="13">
        <v>2.0</v>
      </c>
      <c r="J1499" s="13">
        <v>0.0</v>
      </c>
      <c r="K1499" s="12" t="s">
        <v>21</v>
      </c>
      <c r="L1499" s="7">
        <v>40420.29630787037</v>
      </c>
      <c r="M1499" s="14" t="s">
        <v>3872</v>
      </c>
      <c r="N1499" s="14" t="s">
        <v>9028</v>
      </c>
      <c r="O1499" s="11" t="str">
        <f>HYPERLINK("https://pbs.twimg.com/profile_images/653648502619287552/ovdemRX__normal.jpg","View")</f>
        <v>View</v>
      </c>
      <c r="P1499" s="15"/>
    </row>
    <row r="1500">
      <c r="A1500" s="7">
        <v>42424.07099537037</v>
      </c>
      <c r="B1500" s="8" t="str">
        <f>HYPERLINK("https://twitter.com/taneem","@taneem")</f>
        <v>@taneem</v>
      </c>
      <c r="C1500" s="10" t="s">
        <v>9029</v>
      </c>
      <c r="D1500" s="10" t="s">
        <v>6759</v>
      </c>
      <c r="E1500" s="11" t="str">
        <f>HYPERLINK("https://twitter.com/taneem/status/702428310366724096","702428310366724096")</f>
        <v>702428310366724096</v>
      </c>
      <c r="F1500" s="12" t="s">
        <v>20</v>
      </c>
      <c r="G1500" s="13">
        <v>541.0</v>
      </c>
      <c r="H1500" s="13">
        <v>615.0</v>
      </c>
      <c r="I1500" s="13">
        <v>4.0</v>
      </c>
      <c r="J1500" s="13">
        <v>0.0</v>
      </c>
      <c r="K1500" s="12" t="s">
        <v>21</v>
      </c>
      <c r="L1500" s="7">
        <v>39620.53128472222</v>
      </c>
      <c r="M1500" s="16"/>
      <c r="N1500" s="14" t="s">
        <v>9030</v>
      </c>
      <c r="O1500" s="11" t="str">
        <f>HYPERLINK("https://pbs.twimg.com/profile_images/659223106448322560/ybPJ6_eo_normal.png","View")</f>
        <v>View</v>
      </c>
      <c r="P1500" s="15"/>
    </row>
    <row r="1501">
      <c r="A1501" s="7">
        <v>42424.07131944444</v>
      </c>
      <c r="B1501" s="8" t="str">
        <f>HYPERLINK("https://twitter.com/renato_umeton","@renato_umeton")</f>
        <v>@renato_umeton</v>
      </c>
      <c r="C1501" s="10" t="s">
        <v>1659</v>
      </c>
      <c r="D1501" s="10" t="s">
        <v>9031</v>
      </c>
      <c r="E1501" s="11" t="str">
        <f>HYPERLINK("https://twitter.com/renato_umeton/status/702428427857559554","702428427857559554")</f>
        <v>702428427857559554</v>
      </c>
      <c r="F1501" s="12" t="s">
        <v>38</v>
      </c>
      <c r="G1501" s="13">
        <v>70.0</v>
      </c>
      <c r="H1501" s="13">
        <v>79.0</v>
      </c>
      <c r="I1501" s="13">
        <v>1.0</v>
      </c>
      <c r="J1501" s="13">
        <v>0.0</v>
      </c>
      <c r="K1501" s="12" t="s">
        <v>21</v>
      </c>
      <c r="L1501" s="7">
        <v>39918.052083333336</v>
      </c>
      <c r="M1501" s="14" t="s">
        <v>1660</v>
      </c>
      <c r="N1501" s="14" t="s">
        <v>1661</v>
      </c>
      <c r="O1501" s="11" t="str">
        <f>HYPERLINK("https://pbs.twimg.com/profile_images/701553083537604608/nr8b38eG_normal.jpg","View")</f>
        <v>View</v>
      </c>
      <c r="P1501" s="15"/>
    </row>
    <row r="1502">
      <c r="A1502" s="7">
        <v>42424.08298611111</v>
      </c>
      <c r="B1502" s="8" t="str">
        <f>HYPERLINK("https://twitter.com/DataFinest","@DataFinest")</f>
        <v>@DataFinest</v>
      </c>
      <c r="C1502" s="10" t="s">
        <v>6990</v>
      </c>
      <c r="D1502" s="10" t="s">
        <v>8953</v>
      </c>
      <c r="E1502" s="11" t="str">
        <f>HYPERLINK("https://twitter.com/DataFinest/status/702432656051609601","702432656051609601")</f>
        <v>702432656051609601</v>
      </c>
      <c r="F1502" s="12" t="s">
        <v>52</v>
      </c>
      <c r="G1502" s="13">
        <v>74.0</v>
      </c>
      <c r="H1502" s="13">
        <v>172.0</v>
      </c>
      <c r="I1502" s="13">
        <v>4.0</v>
      </c>
      <c r="J1502" s="13">
        <v>0.0</v>
      </c>
      <c r="K1502" s="12" t="s">
        <v>21</v>
      </c>
      <c r="L1502" s="7">
        <v>42347.028761574074</v>
      </c>
      <c r="M1502" s="14" t="s">
        <v>121</v>
      </c>
      <c r="N1502" s="14" t="s">
        <v>6991</v>
      </c>
      <c r="O1502" s="11" t="str">
        <f>HYPERLINK("https://pbs.twimg.com/profile_images/675225906173124609/xPlpeuKw_normal.png","View")</f>
        <v>View</v>
      </c>
      <c r="P1502" s="15"/>
    </row>
    <row r="1503">
      <c r="A1503" s="7">
        <v>42424.08658564815</v>
      </c>
      <c r="B1503" s="8" t="str">
        <f>HYPERLINK("https://twitter.com/pavanmirla","@pavanmirla")</f>
        <v>@pavanmirla</v>
      </c>
      <c r="C1503" s="10" t="s">
        <v>9032</v>
      </c>
      <c r="D1503" s="10" t="s">
        <v>9033</v>
      </c>
      <c r="E1503" s="11" t="str">
        <f>HYPERLINK("https://twitter.com/pavanmirla/status/702433958802419712","702433958802419712")</f>
        <v>702433958802419712</v>
      </c>
      <c r="F1503" s="12" t="s">
        <v>20</v>
      </c>
      <c r="G1503" s="13">
        <v>275.0</v>
      </c>
      <c r="H1503" s="13">
        <v>1037.0</v>
      </c>
      <c r="I1503" s="13">
        <v>0.0</v>
      </c>
      <c r="J1503" s="13">
        <v>0.0</v>
      </c>
      <c r="K1503" s="12" t="s">
        <v>21</v>
      </c>
      <c r="L1503" s="7">
        <v>39926.11956018519</v>
      </c>
      <c r="M1503" s="14" t="s">
        <v>6753</v>
      </c>
      <c r="N1503" s="14" t="s">
        <v>9034</v>
      </c>
      <c r="O1503" s="11" t="str">
        <f>HYPERLINK("https://pbs.twimg.com/profile_images/605813621944254465/OEGpUIAn_normal.png","View")</f>
        <v>View</v>
      </c>
      <c r="P1503" s="15"/>
    </row>
    <row r="1504">
      <c r="A1504" s="7">
        <v>42424.08851851852</v>
      </c>
      <c r="B1504" s="8" t="str">
        <f>HYPERLINK("https://twitter.com/SteffLocke","@SteffLocke")</f>
        <v>@SteffLocke</v>
      </c>
      <c r="C1504" s="10" t="s">
        <v>9035</v>
      </c>
      <c r="D1504" s="10" t="s">
        <v>9036</v>
      </c>
      <c r="E1504" s="11" t="str">
        <f>HYPERLINK("https://twitter.com/SteffLocke/status/702434662694703105","702434662694703105")</f>
        <v>702434662694703105</v>
      </c>
      <c r="F1504" s="12" t="s">
        <v>20</v>
      </c>
      <c r="G1504" s="13">
        <v>951.0</v>
      </c>
      <c r="H1504" s="13">
        <v>700.0</v>
      </c>
      <c r="I1504" s="13">
        <v>7.0</v>
      </c>
      <c r="J1504" s="13">
        <v>3.0</v>
      </c>
      <c r="K1504" s="12" t="s">
        <v>21</v>
      </c>
      <c r="L1504" s="7">
        <v>41405.37332175926</v>
      </c>
      <c r="M1504" s="14" t="s">
        <v>9037</v>
      </c>
      <c r="N1504" s="14" t="s">
        <v>9038</v>
      </c>
      <c r="O1504" s="11" t="str">
        <f>HYPERLINK("https://pbs.twimg.com/profile_images/549872383104790528/GzfOw30g_normal.jpeg","View")</f>
        <v>View</v>
      </c>
      <c r="P1504" s="15"/>
    </row>
    <row r="1505">
      <c r="A1505" s="7">
        <v>42424.09099537037</v>
      </c>
      <c r="B1505" s="8" t="str">
        <f>HYPERLINK("https://twitter.com/earlconf","@earlconf")</f>
        <v>@earlconf</v>
      </c>
      <c r="C1505" s="10" t="s">
        <v>7100</v>
      </c>
      <c r="D1505" s="10" t="s">
        <v>9039</v>
      </c>
      <c r="E1505" s="11" t="str">
        <f>HYPERLINK("https://twitter.com/earlconf/status/702435557805301760","702435557805301760")</f>
        <v>702435557805301760</v>
      </c>
      <c r="F1505" s="12" t="s">
        <v>47</v>
      </c>
      <c r="G1505" s="13">
        <v>1081.0</v>
      </c>
      <c r="H1505" s="13">
        <v>2351.0</v>
      </c>
      <c r="I1505" s="13">
        <v>2.0</v>
      </c>
      <c r="J1505" s="13">
        <v>1.0</v>
      </c>
      <c r="K1505" s="12" t="s">
        <v>21</v>
      </c>
      <c r="L1505" s="7">
        <v>41677.49930555555</v>
      </c>
      <c r="M1505" s="14" t="s">
        <v>7102</v>
      </c>
      <c r="N1505" s="14" t="s">
        <v>7103</v>
      </c>
      <c r="O1505" s="11" t="str">
        <f>HYPERLINK("https://pbs.twimg.com/profile_images/432298122203512833/YDXfWlI__normal.png","View")</f>
        <v>View</v>
      </c>
      <c r="P1505" s="15"/>
    </row>
    <row r="1506">
      <c r="A1506" s="7">
        <v>42424.09138888889</v>
      </c>
      <c r="B1506" s="8" t="str">
        <f>HYPERLINK("https://twitter.com/KNL_MIRC","@KNL_MIRC")</f>
        <v>@KNL_MIRC</v>
      </c>
      <c r="C1506" s="10" t="s">
        <v>9040</v>
      </c>
      <c r="D1506" s="10" t="s">
        <v>9041</v>
      </c>
      <c r="E1506" s="11" t="str">
        <f>HYPERLINK("https://twitter.com/KNL_MIRC/status/702435702068420608","702435702068420608")</f>
        <v>702435702068420608</v>
      </c>
      <c r="F1506" s="12" t="s">
        <v>20</v>
      </c>
      <c r="G1506" s="13">
        <v>696.0</v>
      </c>
      <c r="H1506" s="13">
        <v>205.0</v>
      </c>
      <c r="I1506" s="13">
        <v>1.0</v>
      </c>
      <c r="J1506" s="13">
        <v>0.0</v>
      </c>
      <c r="K1506" s="12" t="s">
        <v>21</v>
      </c>
      <c r="L1506" s="7">
        <v>40589.349027777775</v>
      </c>
      <c r="M1506" s="14" t="s">
        <v>9042</v>
      </c>
      <c r="N1506" s="14" t="s">
        <v>9043</v>
      </c>
      <c r="O1506" s="11" t="str">
        <f>HYPERLINK("https://pbs.twimg.com/profile_images/476301448670498817/uF--bJAu_normal.png","View")</f>
        <v>View</v>
      </c>
      <c r="P1506" s="15"/>
    </row>
    <row r="1507">
      <c r="A1507" s="7">
        <v>42424.09162037037</v>
      </c>
      <c r="B1507" s="8" t="str">
        <f>HYPERLINK("https://twitter.com/MangoMattGlover","@MangoMattGlover")</f>
        <v>@MangoMattGlover</v>
      </c>
      <c r="C1507" s="10" t="s">
        <v>7437</v>
      </c>
      <c r="D1507" s="10" t="s">
        <v>9044</v>
      </c>
      <c r="E1507" s="11" t="str">
        <f>HYPERLINK("https://twitter.com/MangoMattGlover/status/702435785623138306","702435785623138306")</f>
        <v>702435785623138306</v>
      </c>
      <c r="F1507" s="12" t="s">
        <v>20</v>
      </c>
      <c r="G1507" s="13">
        <v>27.0</v>
      </c>
      <c r="H1507" s="13">
        <v>40.0</v>
      </c>
      <c r="I1507" s="13">
        <v>2.0</v>
      </c>
      <c r="J1507" s="13">
        <v>0.0</v>
      </c>
      <c r="K1507" s="12" t="s">
        <v>21</v>
      </c>
      <c r="L1507" s="7">
        <v>42300.29976851852</v>
      </c>
      <c r="M1507" s="14" t="s">
        <v>7439</v>
      </c>
      <c r="N1507" s="16"/>
      <c r="O1507" s="11" t="str">
        <f>HYPERLINK("https://pbs.twimg.com/profile_images/658671552783896576/qahSiVSy_normal.jpg","View")</f>
        <v>View</v>
      </c>
      <c r="P1507" s="15"/>
    </row>
    <row r="1508">
      <c r="A1508" s="7">
        <v>42424.09289351852</v>
      </c>
      <c r="B1508" s="8" t="str">
        <f t="shared" ref="B1508:B1511" si="169">HYPERLINK("https://twitter.com/CRANberriesFeed","@CRANberriesFeed")</f>
        <v>@CRANberriesFeed</v>
      </c>
      <c r="C1508" s="10" t="s">
        <v>6282</v>
      </c>
      <c r="D1508" s="10" t="s">
        <v>9045</v>
      </c>
      <c r="E1508" s="11" t="str">
        <f>HYPERLINK("https://twitter.com/CRANberriesFeed/status/702436247239790592","702436247239790592")</f>
        <v>702436247239790592</v>
      </c>
      <c r="F1508" s="12" t="s">
        <v>6284</v>
      </c>
      <c r="G1508" s="13">
        <v>657.0</v>
      </c>
      <c r="H1508" s="13">
        <v>0.0</v>
      </c>
      <c r="I1508" s="13">
        <v>0.0</v>
      </c>
      <c r="J1508" s="13">
        <v>0.0</v>
      </c>
      <c r="K1508" s="12" t="s">
        <v>21</v>
      </c>
      <c r="L1508" s="7">
        <v>40546.353425925925</v>
      </c>
      <c r="M1508" s="14" t="s">
        <v>1158</v>
      </c>
      <c r="N1508" s="16"/>
      <c r="O1508" s="11" t="str">
        <f t="shared" ref="O1508:O1511" si="170">HYPERLINK("https://pbs.twimg.com/profile_images/1222779560/cran1_normal.jpg","View")</f>
        <v>View</v>
      </c>
      <c r="P1508" s="15"/>
    </row>
    <row r="1509">
      <c r="A1509" s="7">
        <v>42424.092951388884</v>
      </c>
      <c r="B1509" s="8" t="str">
        <f t="shared" si="169"/>
        <v>@CRANberriesFeed</v>
      </c>
      <c r="C1509" s="10" t="s">
        <v>6282</v>
      </c>
      <c r="D1509" s="10" t="s">
        <v>9046</v>
      </c>
      <c r="E1509" s="11" t="str">
        <f>HYPERLINK("https://twitter.com/CRANberriesFeed/status/702436265828945921","702436265828945921")</f>
        <v>702436265828945921</v>
      </c>
      <c r="F1509" s="12" t="s">
        <v>6284</v>
      </c>
      <c r="G1509" s="13">
        <v>657.0</v>
      </c>
      <c r="H1509" s="13">
        <v>0.0</v>
      </c>
      <c r="I1509" s="13">
        <v>0.0</v>
      </c>
      <c r="J1509" s="13">
        <v>0.0</v>
      </c>
      <c r="K1509" s="12" t="s">
        <v>21</v>
      </c>
      <c r="L1509" s="7">
        <v>40546.353425925925</v>
      </c>
      <c r="M1509" s="14" t="s">
        <v>1158</v>
      </c>
      <c r="N1509" s="16"/>
      <c r="O1509" s="11" t="str">
        <f t="shared" si="170"/>
        <v>View</v>
      </c>
      <c r="P1509" s="15"/>
    </row>
    <row r="1510">
      <c r="A1510" s="7">
        <v>42424.09298611111</v>
      </c>
      <c r="B1510" s="8" t="str">
        <f t="shared" si="169"/>
        <v>@CRANberriesFeed</v>
      </c>
      <c r="C1510" s="10" t="s">
        <v>6282</v>
      </c>
      <c r="D1510" s="10" t="s">
        <v>9047</v>
      </c>
      <c r="E1510" s="11" t="str">
        <f>HYPERLINK("https://twitter.com/CRANberriesFeed/status/702436279758295042","702436279758295042")</f>
        <v>702436279758295042</v>
      </c>
      <c r="F1510" s="12" t="s">
        <v>6284</v>
      </c>
      <c r="G1510" s="13">
        <v>657.0</v>
      </c>
      <c r="H1510" s="13">
        <v>0.0</v>
      </c>
      <c r="I1510" s="13">
        <v>0.0</v>
      </c>
      <c r="J1510" s="13">
        <v>0.0</v>
      </c>
      <c r="K1510" s="12" t="s">
        <v>21</v>
      </c>
      <c r="L1510" s="7">
        <v>40546.353425925925</v>
      </c>
      <c r="M1510" s="14" t="s">
        <v>1158</v>
      </c>
      <c r="N1510" s="16"/>
      <c r="O1510" s="11" t="str">
        <f t="shared" si="170"/>
        <v>View</v>
      </c>
      <c r="P1510" s="15"/>
    </row>
    <row r="1511">
      <c r="A1511" s="7">
        <v>42424.09303240741</v>
      </c>
      <c r="B1511" s="8" t="str">
        <f t="shared" si="169"/>
        <v>@CRANberriesFeed</v>
      </c>
      <c r="C1511" s="10" t="s">
        <v>6282</v>
      </c>
      <c r="D1511" s="10" t="s">
        <v>9048</v>
      </c>
      <c r="E1511" s="11" t="str">
        <f>HYPERLINK("https://twitter.com/CRANberriesFeed/status/702436298108362752","702436298108362752")</f>
        <v>702436298108362752</v>
      </c>
      <c r="F1511" s="12" t="s">
        <v>6284</v>
      </c>
      <c r="G1511" s="13">
        <v>657.0</v>
      </c>
      <c r="H1511" s="13">
        <v>0.0</v>
      </c>
      <c r="I1511" s="13">
        <v>1.0</v>
      </c>
      <c r="J1511" s="13">
        <v>0.0</v>
      </c>
      <c r="K1511" s="12" t="s">
        <v>21</v>
      </c>
      <c r="L1511" s="7">
        <v>40546.353425925925</v>
      </c>
      <c r="M1511" s="14" t="s">
        <v>1158</v>
      </c>
      <c r="N1511" s="16"/>
      <c r="O1511" s="11" t="str">
        <f t="shared" si="170"/>
        <v>View</v>
      </c>
      <c r="P1511" s="15"/>
    </row>
    <row r="1512">
      <c r="A1512" s="7">
        <v>42424.09341435185</v>
      </c>
      <c r="B1512" s="8" t="str">
        <f>HYPERLINK("https://twitter.com/IanSudbery","@IanSudbery")</f>
        <v>@IanSudbery</v>
      </c>
      <c r="C1512" s="10" t="s">
        <v>9049</v>
      </c>
      <c r="D1512" s="10" t="s">
        <v>8666</v>
      </c>
      <c r="E1512" s="11" t="str">
        <f>HYPERLINK("https://twitter.com/IanSudbery/status/702436433978630145","702436433978630145")</f>
        <v>702436433978630145</v>
      </c>
      <c r="F1512" s="12" t="s">
        <v>20</v>
      </c>
      <c r="G1512" s="13">
        <v>85.0</v>
      </c>
      <c r="H1512" s="13">
        <v>99.0</v>
      </c>
      <c r="I1512" s="13">
        <v>50.0</v>
      </c>
      <c r="J1512" s="13">
        <v>0.0</v>
      </c>
      <c r="K1512" s="12" t="s">
        <v>21</v>
      </c>
      <c r="L1512" s="7">
        <v>39961.21913194445</v>
      </c>
      <c r="M1512" s="14" t="s">
        <v>6688</v>
      </c>
      <c r="N1512" s="14" t="s">
        <v>9050</v>
      </c>
      <c r="O1512" s="11" t="str">
        <f>HYPERLINK("https://pbs.twimg.com/profile_images/936501549/OneLight_mini_normal.jpg","View")</f>
        <v>View</v>
      </c>
      <c r="P1512" s="15"/>
    </row>
    <row r="1513">
      <c r="A1513" s="7">
        <v>42424.09908564815</v>
      </c>
      <c r="B1513" s="8" t="str">
        <f>HYPERLINK("https://twitter.com/mianromu","@mianromu")</f>
        <v>@mianromu</v>
      </c>
      <c r="C1513" s="10" t="s">
        <v>8321</v>
      </c>
      <c r="D1513" s="10" t="s">
        <v>9051</v>
      </c>
      <c r="E1513" s="11" t="str">
        <f>HYPERLINK("https://twitter.com/mianromu/status/702438492102660100","702438492102660100")</f>
        <v>702438492102660100</v>
      </c>
      <c r="F1513" s="12" t="s">
        <v>20</v>
      </c>
      <c r="G1513" s="13">
        <v>203.0</v>
      </c>
      <c r="H1513" s="13">
        <v>256.0</v>
      </c>
      <c r="I1513" s="13">
        <v>0.0</v>
      </c>
      <c r="J1513" s="13">
        <v>1.0</v>
      </c>
      <c r="K1513" s="12" t="s">
        <v>21</v>
      </c>
      <c r="L1513" s="7">
        <v>40460.602013888885</v>
      </c>
      <c r="M1513" s="16"/>
      <c r="N1513" s="16"/>
      <c r="O1513" s="11" t="str">
        <f>HYPERLINK("https://pbs.twimg.com/profile_images/378800000207698056/90681b52392bc9c5378ed272853d8659_normal.jpeg","View")</f>
        <v>View</v>
      </c>
      <c r="P1513" s="15"/>
    </row>
    <row r="1514">
      <c r="A1514" s="7">
        <v>42424.1</v>
      </c>
      <c r="B1514" s="8" t="str">
        <f>HYPERLINK("https://twitter.com/MangoTheCat","@MangoTheCat")</f>
        <v>@MangoTheCat</v>
      </c>
      <c r="C1514" s="10" t="s">
        <v>6321</v>
      </c>
      <c r="D1514" s="10" t="s">
        <v>9052</v>
      </c>
      <c r="E1514" s="11" t="str">
        <f>HYPERLINK("https://twitter.com/MangoTheCat/status/702438823754637312","702438823754637312")</f>
        <v>702438823754637312</v>
      </c>
      <c r="F1514" s="12" t="s">
        <v>47</v>
      </c>
      <c r="G1514" s="13">
        <v>2041.0</v>
      </c>
      <c r="H1514" s="13">
        <v>2855.0</v>
      </c>
      <c r="I1514" s="13">
        <v>1.0</v>
      </c>
      <c r="J1514" s="13">
        <v>2.0</v>
      </c>
      <c r="K1514" s="12" t="s">
        <v>21</v>
      </c>
      <c r="L1514" s="7">
        <v>39854.3178587963</v>
      </c>
      <c r="M1514" s="14" t="s">
        <v>6323</v>
      </c>
      <c r="N1514" s="14" t="s">
        <v>6324</v>
      </c>
      <c r="O1514" s="11" t="str">
        <f>HYPERLINK("https://pbs.twimg.com/profile_images/641183991077445633/V7VcBpJI_normal.png","View")</f>
        <v>View</v>
      </c>
      <c r="P1514" s="15"/>
    </row>
    <row r="1515">
      <c r="A1515" s="7">
        <v>42424.101631944446</v>
      </c>
      <c r="B1515" s="8" t="str">
        <f>HYPERLINK("https://twitter.com/Open_AQ","@Open_AQ")</f>
        <v>@Open_AQ</v>
      </c>
      <c r="C1515" s="10" t="s">
        <v>9053</v>
      </c>
      <c r="D1515" s="10" t="s">
        <v>9054</v>
      </c>
      <c r="E1515" s="11" t="str">
        <f>HYPERLINK("https://twitter.com/Open_AQ/status/702439413020758016","702439413020758016")</f>
        <v>702439413020758016</v>
      </c>
      <c r="F1515" s="12" t="s">
        <v>52</v>
      </c>
      <c r="G1515" s="13">
        <v>368.0</v>
      </c>
      <c r="H1515" s="13">
        <v>576.0</v>
      </c>
      <c r="I1515" s="13">
        <v>2.0</v>
      </c>
      <c r="J1515" s="13">
        <v>0.0</v>
      </c>
      <c r="K1515" s="12" t="s">
        <v>21</v>
      </c>
      <c r="L1515" s="7">
        <v>42098.42873842592</v>
      </c>
      <c r="M1515" s="14" t="s">
        <v>9055</v>
      </c>
      <c r="N1515" s="14" t="s">
        <v>9056</v>
      </c>
      <c r="O1515" s="11" t="str">
        <f>HYPERLINK("https://pbs.twimg.com/profile_images/633796993387593728/Pr7Ex5Mz_normal.jpg","View")</f>
        <v>View</v>
      </c>
      <c r="P1515" s="15"/>
    </row>
    <row r="1516">
      <c r="A1516" s="7">
        <v>42424.10383101852</v>
      </c>
      <c r="B1516" s="8" t="str">
        <f>HYPERLINK("https://twitter.com/sciencerely","@sciencerely")</f>
        <v>@sciencerely</v>
      </c>
      <c r="C1516" s="10" t="s">
        <v>9057</v>
      </c>
      <c r="D1516" s="10" t="s">
        <v>9054</v>
      </c>
      <c r="E1516" s="11" t="str">
        <f>HYPERLINK("https://twitter.com/sciencerely/status/702440210815184896","702440210815184896")</f>
        <v>702440210815184896</v>
      </c>
      <c r="F1516" s="12" t="s">
        <v>52</v>
      </c>
      <c r="G1516" s="13">
        <v>425.0</v>
      </c>
      <c r="H1516" s="13">
        <v>473.0</v>
      </c>
      <c r="I1516" s="13">
        <v>2.0</v>
      </c>
      <c r="J1516" s="13">
        <v>0.0</v>
      </c>
      <c r="K1516" s="12" t="s">
        <v>21</v>
      </c>
      <c r="L1516" s="7">
        <v>40662.58435185185</v>
      </c>
      <c r="M1516" s="14" t="s">
        <v>784</v>
      </c>
      <c r="N1516" s="14" t="s">
        <v>9058</v>
      </c>
      <c r="O1516" s="11" t="str">
        <f>HYPERLINK("https://pbs.twimg.com/profile_images/440684638906773504/7dnMTesu_normal.jpeg","View")</f>
        <v>View</v>
      </c>
      <c r="P1516" s="15"/>
    </row>
    <row r="1517">
      <c r="A1517" s="7">
        <v>42424.1040162037</v>
      </c>
      <c r="B1517" s="8" t="str">
        <f>HYPERLINK("https://twitter.com/LC1824L","@LC1824L")</f>
        <v>@LC1824L</v>
      </c>
      <c r="C1517" s="10" t="s">
        <v>9059</v>
      </c>
      <c r="D1517" s="10" t="s">
        <v>8861</v>
      </c>
      <c r="E1517" s="11" t="str">
        <f>HYPERLINK("https://twitter.com/LC1824L/status/702440278368591872","702440278368591872")</f>
        <v>702440278368591872</v>
      </c>
      <c r="F1517" s="12" t="s">
        <v>9060</v>
      </c>
      <c r="G1517" s="13">
        <v>10.0</v>
      </c>
      <c r="H1517" s="13">
        <v>52.0</v>
      </c>
      <c r="I1517" s="13">
        <v>13.0</v>
      </c>
      <c r="J1517" s="13">
        <v>0.0</v>
      </c>
      <c r="K1517" s="12" t="s">
        <v>21</v>
      </c>
      <c r="L1517" s="7">
        <v>40999.54729166666</v>
      </c>
      <c r="M1517" s="16"/>
      <c r="N1517" s="16"/>
      <c r="O1517" s="11" t="str">
        <f>HYPERLINK("https://pbs.twimg.com/profile_images/2018155641/images_normal.jpg","View")</f>
        <v>View</v>
      </c>
      <c r="P1517" s="15"/>
    </row>
    <row r="1518">
      <c r="A1518" s="7">
        <v>42424.10487268519</v>
      </c>
      <c r="B1518" s="8" t="str">
        <f>HYPERLINK("https://twitter.com/earlconf","@earlconf")</f>
        <v>@earlconf</v>
      </c>
      <c r="C1518" s="10" t="s">
        <v>7100</v>
      </c>
      <c r="D1518" s="10" t="s">
        <v>9061</v>
      </c>
      <c r="E1518" s="11" t="str">
        <f>HYPERLINK("https://twitter.com/earlconf/status/702440587660759040","702440587660759040")</f>
        <v>702440587660759040</v>
      </c>
      <c r="F1518" s="12" t="s">
        <v>47</v>
      </c>
      <c r="G1518" s="13">
        <v>1081.0</v>
      </c>
      <c r="H1518" s="13">
        <v>2351.0</v>
      </c>
      <c r="I1518" s="13">
        <v>1.0</v>
      </c>
      <c r="J1518" s="13">
        <v>0.0</v>
      </c>
      <c r="K1518" s="12" t="s">
        <v>21</v>
      </c>
      <c r="L1518" s="7">
        <v>41677.49930555555</v>
      </c>
      <c r="M1518" s="14" t="s">
        <v>7102</v>
      </c>
      <c r="N1518" s="14" t="s">
        <v>7103</v>
      </c>
      <c r="O1518" s="11" t="str">
        <f>HYPERLINK("https://pbs.twimg.com/profile_images/432298122203512833/YDXfWlI__normal.png","View")</f>
        <v>View</v>
      </c>
      <c r="P1518" s="15"/>
    </row>
    <row r="1519">
      <c r="A1519" s="7">
        <v>42424.105671296296</v>
      </c>
      <c r="B1519" s="8" t="str">
        <f>HYPERLINK("https://twitter.com/DgtlNmd","@DgtlNmd")</f>
        <v>@DgtlNmd</v>
      </c>
      <c r="C1519" s="10" t="s">
        <v>9062</v>
      </c>
      <c r="D1519" s="10" t="s">
        <v>8666</v>
      </c>
      <c r="E1519" s="11" t="str">
        <f>HYPERLINK("https://twitter.com/DgtlNmd/status/702440876426055680","702440876426055680")</f>
        <v>702440876426055680</v>
      </c>
      <c r="F1519" s="12" t="s">
        <v>152</v>
      </c>
      <c r="G1519" s="13">
        <v>64.0</v>
      </c>
      <c r="H1519" s="13">
        <v>110.0</v>
      </c>
      <c r="I1519" s="13">
        <v>50.0</v>
      </c>
      <c r="J1519" s="13">
        <v>0.0</v>
      </c>
      <c r="K1519" s="12" t="s">
        <v>21</v>
      </c>
      <c r="L1519" s="7">
        <v>40194.43462962963</v>
      </c>
      <c r="M1519" s="16"/>
      <c r="N1519" s="14" t="s">
        <v>9063</v>
      </c>
      <c r="O1519" s="11" t="str">
        <f>HYPERLINK("https://pbs.twimg.com/profile_images/701672045512257537/SCiCCeCd_normal.jpg","View")</f>
        <v>View</v>
      </c>
      <c r="P1519" s="15"/>
    </row>
    <row r="1520">
      <c r="A1520" s="7">
        <v>42424.105844907404</v>
      </c>
      <c r="B1520" s="8" t="str">
        <f>HYPERLINK("https://twitter.com/adolfoalvarez","@adolfoalvarez")</f>
        <v>@adolfoalvarez</v>
      </c>
      <c r="C1520" s="10" t="s">
        <v>8502</v>
      </c>
      <c r="D1520" s="10" t="s">
        <v>9064</v>
      </c>
      <c r="E1520" s="11" t="str">
        <f>HYPERLINK("https://twitter.com/adolfoalvarez/status/702440939894263808","702440939894263808")</f>
        <v>702440939894263808</v>
      </c>
      <c r="F1520" s="12" t="s">
        <v>446</v>
      </c>
      <c r="G1520" s="13">
        <v>675.0</v>
      </c>
      <c r="H1520" s="13">
        <v>99.0</v>
      </c>
      <c r="I1520" s="13">
        <v>1.0</v>
      </c>
      <c r="J1520" s="13">
        <v>0.0</v>
      </c>
      <c r="K1520" s="12" t="s">
        <v>21</v>
      </c>
      <c r="L1520" s="7">
        <v>40064.403460648144</v>
      </c>
      <c r="M1520" s="14" t="s">
        <v>8504</v>
      </c>
      <c r="N1520" s="14" t="s">
        <v>8505</v>
      </c>
      <c r="O1520" s="11" t="str">
        <f>HYPERLINK("https://pbs.twimg.com/profile_images/594252638172098560/192mtWOt_normal.jpg","View")</f>
        <v>View</v>
      </c>
      <c r="P1520" s="15"/>
    </row>
    <row r="1521">
      <c r="A1521" s="7">
        <v>42424.106458333335</v>
      </c>
      <c r="B1521" s="8" t="str">
        <f>HYPERLINK("https://twitter.com/felixhaass","@felixhaass")</f>
        <v>@felixhaass</v>
      </c>
      <c r="C1521" s="10" t="s">
        <v>9065</v>
      </c>
      <c r="D1521" s="10" t="s">
        <v>9066</v>
      </c>
      <c r="E1521" s="11" t="str">
        <f>HYPERLINK("https://twitter.com/felixhaass/status/702441163626835968","702441163626835968")</f>
        <v>702441163626835968</v>
      </c>
      <c r="F1521" s="12" t="s">
        <v>446</v>
      </c>
      <c r="G1521" s="13">
        <v>632.0</v>
      </c>
      <c r="H1521" s="13">
        <v>1130.0</v>
      </c>
      <c r="I1521" s="13">
        <v>1.0</v>
      </c>
      <c r="J1521" s="13">
        <v>17.0</v>
      </c>
      <c r="K1521" s="12" t="s">
        <v>21</v>
      </c>
      <c r="L1521" s="7">
        <v>40141.91601851852</v>
      </c>
      <c r="M1521" s="14" t="s">
        <v>9067</v>
      </c>
      <c r="N1521" s="14" t="s">
        <v>9068</v>
      </c>
      <c r="O1521" s="11" t="str">
        <f>HYPERLINK("https://pbs.twimg.com/profile_images/673446393097383936/uAq5-GBS_normal.jpg","View")</f>
        <v>View</v>
      </c>
      <c r="P1521" s="15"/>
    </row>
    <row r="1522">
      <c r="A1522" s="7">
        <v>42424.10842592592</v>
      </c>
      <c r="B1522" s="8" t="str">
        <f>HYPERLINK("https://twitter.com/a_leininger","@a_leininger")</f>
        <v>@a_leininger</v>
      </c>
      <c r="C1522" s="10" t="s">
        <v>9069</v>
      </c>
      <c r="D1522" s="10" t="s">
        <v>9070</v>
      </c>
      <c r="E1522" s="11" t="str">
        <f>HYPERLINK("https://twitter.com/a_leininger/status/702441876222304256","702441876222304256")</f>
        <v>702441876222304256</v>
      </c>
      <c r="F1522" s="12" t="s">
        <v>20</v>
      </c>
      <c r="G1522" s="13">
        <v>459.0</v>
      </c>
      <c r="H1522" s="13">
        <v>579.0</v>
      </c>
      <c r="I1522" s="13">
        <v>1.0</v>
      </c>
      <c r="J1522" s="13">
        <v>0.0</v>
      </c>
      <c r="K1522" s="12" t="s">
        <v>21</v>
      </c>
      <c r="L1522" s="7">
        <v>41197.31114583333</v>
      </c>
      <c r="M1522" s="14" t="s">
        <v>1963</v>
      </c>
      <c r="N1522" s="14" t="s">
        <v>9071</v>
      </c>
      <c r="O1522" s="11" t="str">
        <f>HYPERLINK("https://pbs.twimg.com/profile_images/652945417785765888/SA1xemxF_normal.jpg","View")</f>
        <v>View</v>
      </c>
      <c r="P1522" s="15"/>
    </row>
    <row r="1523">
      <c r="A1523" s="7">
        <v>42424.10916666666</v>
      </c>
      <c r="B1523" s="8" t="str">
        <f>HYPERLINK("https://twitter.com/openmylab","@openmylab")</f>
        <v>@openmylab</v>
      </c>
      <c r="C1523" s="10" t="s">
        <v>5852</v>
      </c>
      <c r="D1523" s="10" t="s">
        <v>9072</v>
      </c>
      <c r="E1523" s="11" t="str">
        <f>HYPERLINK("https://twitter.com/openmylab/status/702442144695492608","702442144695492608")</f>
        <v>702442144695492608</v>
      </c>
      <c r="F1523" s="12" t="s">
        <v>2063</v>
      </c>
      <c r="G1523" s="13">
        <v>1017.0</v>
      </c>
      <c r="H1523" s="13">
        <v>974.0</v>
      </c>
      <c r="I1523" s="13">
        <v>1.0</v>
      </c>
      <c r="J1523" s="13">
        <v>0.0</v>
      </c>
      <c r="K1523" s="12" t="s">
        <v>21</v>
      </c>
      <c r="L1523" s="7">
        <v>42283.33546296296</v>
      </c>
      <c r="M1523" s="14" t="s">
        <v>5854</v>
      </c>
      <c r="N1523" s="14" t="s">
        <v>5855</v>
      </c>
      <c r="O1523" s="11" t="str">
        <f>HYPERLINK("https://pbs.twimg.com/profile_images/696226577386852352/yseUYL_3_normal.jpg","View")</f>
        <v>View</v>
      </c>
      <c r="P1523" s="15"/>
    </row>
    <row r="1524">
      <c r="A1524" s="7">
        <v>42424.10984953704</v>
      </c>
      <c r="B1524" s="8" t="str">
        <f>HYPERLINK("https://twitter.com/BeardData","@BeardData")</f>
        <v>@BeardData</v>
      </c>
      <c r="C1524" s="10" t="s">
        <v>9073</v>
      </c>
      <c r="D1524" s="10" t="s">
        <v>9074</v>
      </c>
      <c r="E1524" s="11" t="str">
        <f>HYPERLINK("https://twitter.com/BeardData/status/702442391492542465","702442391492542465")</f>
        <v>702442391492542465</v>
      </c>
      <c r="F1524" s="12" t="s">
        <v>20</v>
      </c>
      <c r="G1524" s="13">
        <v>337.0</v>
      </c>
      <c r="H1524" s="13">
        <v>772.0</v>
      </c>
      <c r="I1524" s="13">
        <v>0.0</v>
      </c>
      <c r="J1524" s="13">
        <v>0.0</v>
      </c>
      <c r="K1524" s="12" t="s">
        <v>21</v>
      </c>
      <c r="L1524" s="7">
        <v>39830.016550925924</v>
      </c>
      <c r="M1524" s="14" t="s">
        <v>613</v>
      </c>
      <c r="N1524" s="14" t="s">
        <v>9075</v>
      </c>
      <c r="O1524" s="11" t="str">
        <f>HYPERLINK("https://pbs.twimg.com/profile_images/654229391447207936/9XpOhLn__normal.jpg","View")</f>
        <v>View</v>
      </c>
      <c r="P1524" s="15"/>
    </row>
    <row r="1525">
      <c r="A1525" s="7">
        <v>42424.10995370371</v>
      </c>
      <c r="B1525" s="8" t="str">
        <f>HYPERLINK("https://twitter.com/Juan_A_Lleo","@Juan_A_Lleo")</f>
        <v>@Juan_A_Lleo</v>
      </c>
      <c r="C1525" s="10" t="s">
        <v>6352</v>
      </c>
      <c r="D1525" s="10" t="s">
        <v>9076</v>
      </c>
      <c r="E1525" s="11" t="str">
        <f>HYPERLINK("https://twitter.com/Juan_A_Lleo/status/702442429673291776","702442429673291776")</f>
        <v>702442429673291776</v>
      </c>
      <c r="F1525" s="12" t="s">
        <v>152</v>
      </c>
      <c r="G1525" s="13">
        <v>980.0</v>
      </c>
      <c r="H1525" s="13">
        <v>2271.0</v>
      </c>
      <c r="I1525" s="13">
        <v>1.0</v>
      </c>
      <c r="J1525" s="13">
        <v>0.0</v>
      </c>
      <c r="K1525" s="12" t="s">
        <v>21</v>
      </c>
      <c r="L1525" s="7">
        <v>41392.590636574074</v>
      </c>
      <c r="M1525" s="14" t="s">
        <v>6354</v>
      </c>
      <c r="N1525" s="14" t="s">
        <v>6355</v>
      </c>
      <c r="O1525" s="11" t="str">
        <f>HYPERLINK("https://pbs.twimg.com/profile_images/3587933843/b6e7fdace3be152afb087ed5e896a2e0_normal.jpeg","View")</f>
        <v>View</v>
      </c>
      <c r="P1525" s="15"/>
    </row>
    <row r="1526">
      <c r="A1526" s="7">
        <v>42424.11215277778</v>
      </c>
      <c r="B1526" s="8" t="str">
        <f>HYPERLINK("https://twitter.com/BigDataTweetBot","@BigDataTweetBot")</f>
        <v>@BigDataTweetBot</v>
      </c>
      <c r="C1526" s="10" t="s">
        <v>1440</v>
      </c>
      <c r="D1526" s="10" t="s">
        <v>9077</v>
      </c>
      <c r="E1526" s="11" t="str">
        <f>HYPERLINK("https://twitter.com/BigDataTweetBot/status/702443227555696640","702443227555696640")</f>
        <v>702443227555696640</v>
      </c>
      <c r="F1526" s="12" t="s">
        <v>1442</v>
      </c>
      <c r="G1526" s="13">
        <v>8622.0</v>
      </c>
      <c r="H1526" s="13">
        <v>243.0</v>
      </c>
      <c r="I1526" s="13">
        <v>1.0</v>
      </c>
      <c r="J1526" s="13">
        <v>0.0</v>
      </c>
      <c r="K1526" s="12" t="s">
        <v>21</v>
      </c>
      <c r="L1526" s="7">
        <v>42187.77106481481</v>
      </c>
      <c r="M1526" s="16"/>
      <c r="N1526" s="14" t="s">
        <v>1443</v>
      </c>
      <c r="O1526" s="11" t="str">
        <f>HYPERLINK("https://pbs.twimg.com/profile_images/616793252524650496/bQbxJqmz_normal.jpg","View")</f>
        <v>View</v>
      </c>
      <c r="P1526" s="15"/>
    </row>
    <row r="1527">
      <c r="A1527" s="7">
        <v>42424.11251157407</v>
      </c>
      <c r="B1527" s="8" t="str">
        <f>HYPERLINK("https://twitter.com/MangoTheCat","@MangoTheCat")</f>
        <v>@MangoTheCat</v>
      </c>
      <c r="C1527" s="10" t="s">
        <v>6321</v>
      </c>
      <c r="D1527" s="10" t="s">
        <v>9078</v>
      </c>
      <c r="E1527" s="11" t="str">
        <f>HYPERLINK("https://twitter.com/MangoTheCat/status/702443355960119297","702443355960119297")</f>
        <v>702443355960119297</v>
      </c>
      <c r="F1527" s="12" t="s">
        <v>47</v>
      </c>
      <c r="G1527" s="13">
        <v>2041.0</v>
      </c>
      <c r="H1527" s="13">
        <v>2855.0</v>
      </c>
      <c r="I1527" s="13">
        <v>1.0</v>
      </c>
      <c r="J1527" s="13">
        <v>1.0</v>
      </c>
      <c r="K1527" s="12" t="s">
        <v>21</v>
      </c>
      <c r="L1527" s="7">
        <v>39854.3178587963</v>
      </c>
      <c r="M1527" s="14" t="s">
        <v>6323</v>
      </c>
      <c r="N1527" s="14" t="s">
        <v>6324</v>
      </c>
      <c r="O1527" s="11" t="str">
        <f>HYPERLINK("https://pbs.twimg.com/profile_images/641183991077445633/V7VcBpJI_normal.png","View")</f>
        <v>View</v>
      </c>
      <c r="P1527" s="15"/>
    </row>
    <row r="1528">
      <c r="A1528" s="7">
        <v>42424.11263888889</v>
      </c>
      <c r="B1528" s="8" t="str">
        <f>HYPERLINK("https://twitter.com/enricoferrero","@enricoferrero")</f>
        <v>@enricoferrero</v>
      </c>
      <c r="C1528" s="10" t="s">
        <v>9079</v>
      </c>
      <c r="D1528" s="10" t="s">
        <v>9080</v>
      </c>
      <c r="E1528" s="11" t="str">
        <f>HYPERLINK("https://twitter.com/enricoferrero/status/702443402693058560","702443402693058560")</f>
        <v>702443402693058560</v>
      </c>
      <c r="F1528" s="12" t="s">
        <v>20</v>
      </c>
      <c r="G1528" s="13">
        <v>80.0</v>
      </c>
      <c r="H1528" s="13">
        <v>239.0</v>
      </c>
      <c r="I1528" s="13">
        <v>0.0</v>
      </c>
      <c r="J1528" s="13">
        <v>2.0</v>
      </c>
      <c r="K1528" s="12" t="s">
        <v>21</v>
      </c>
      <c r="L1528" s="7">
        <v>40654.64292824074</v>
      </c>
      <c r="M1528" s="14" t="s">
        <v>9081</v>
      </c>
      <c r="N1528" s="14" t="s">
        <v>9082</v>
      </c>
      <c r="O1528" s="11" t="str">
        <f>HYPERLINK("https://pbs.twimg.com/profile_images/701490432463646721/FByiPRJq_normal.png","View")</f>
        <v>View</v>
      </c>
      <c r="P1528" s="15"/>
    </row>
    <row r="1529">
      <c r="A1529" s="7">
        <v>42424.11729166667</v>
      </c>
      <c r="B1529" s="8" t="str">
        <f>HYPERLINK("https://twitter.com/IronistM","@IronistM")</f>
        <v>@IronistM</v>
      </c>
      <c r="C1529" s="10" t="s">
        <v>9083</v>
      </c>
      <c r="D1529" s="10" t="s">
        <v>9084</v>
      </c>
      <c r="E1529" s="11" t="str">
        <f>HYPERLINK("https://twitter.com/IronistM/status/702445088421584896","702445088421584896")</f>
        <v>702445088421584896</v>
      </c>
      <c r="F1529" s="12" t="s">
        <v>1801</v>
      </c>
      <c r="G1529" s="13">
        <v>208.0</v>
      </c>
      <c r="H1529" s="13">
        <v>461.0</v>
      </c>
      <c r="I1529" s="13">
        <v>0.0</v>
      </c>
      <c r="J1529" s="13">
        <v>0.0</v>
      </c>
      <c r="K1529" s="12" t="s">
        <v>21</v>
      </c>
      <c r="L1529" s="7">
        <v>40716.51765046296</v>
      </c>
      <c r="M1529" s="14" t="s">
        <v>9085</v>
      </c>
      <c r="N1529" s="14" t="s">
        <v>9086</v>
      </c>
      <c r="O1529" s="11" t="str">
        <f>HYPERLINK("https://pbs.twimg.com/profile_images/3622599222/2f4878678214814fc3fab4be42ddd636_normal.jpeg","View")</f>
        <v>View</v>
      </c>
      <c r="P1529" s="15"/>
    </row>
    <row r="1530">
      <c r="A1530" s="7">
        <v>42424.118310185186</v>
      </c>
      <c r="B1530" s="8" t="str">
        <f>HYPERLINK("https://twitter.com/linmic87","@linmic87")</f>
        <v>@linmic87</v>
      </c>
      <c r="C1530" s="10" t="s">
        <v>9087</v>
      </c>
      <c r="D1530" s="10" t="s">
        <v>8672</v>
      </c>
      <c r="E1530" s="11" t="str">
        <f>HYPERLINK("https://twitter.com/linmic87/status/702445458514427905","702445458514427905")</f>
        <v>702445458514427905</v>
      </c>
      <c r="F1530" s="12" t="s">
        <v>152</v>
      </c>
      <c r="G1530" s="13">
        <v>109.0</v>
      </c>
      <c r="H1530" s="13">
        <v>303.0</v>
      </c>
      <c r="I1530" s="13">
        <v>3.0</v>
      </c>
      <c r="J1530" s="13">
        <v>0.0</v>
      </c>
      <c r="K1530" s="12" t="s">
        <v>21</v>
      </c>
      <c r="L1530" s="7">
        <v>41379.516064814816</v>
      </c>
      <c r="M1530" s="16"/>
      <c r="N1530" s="14" t="s">
        <v>9088</v>
      </c>
      <c r="O1530" s="11" t="str">
        <f>HYPERLINK("https://pbs.twimg.com/profile_images/654197149522075648/7T2WVy2i_normal.jpg","View")</f>
        <v>View</v>
      </c>
      <c r="P1530" s="15"/>
    </row>
    <row r="1531">
      <c r="A1531" s="7">
        <v>42424.12390046296</v>
      </c>
      <c r="B1531" s="8" t="str">
        <f>HYPERLINK("https://twitter.com/0ttlngr","@0ttlngr")</f>
        <v>@0ttlngr</v>
      </c>
      <c r="C1531" s="10" t="s">
        <v>9089</v>
      </c>
      <c r="D1531" s="10" t="s">
        <v>9090</v>
      </c>
      <c r="E1531" s="11" t="str">
        <f>HYPERLINK("https://twitter.com/0ttlngr/status/702447481230106624","702447481230106624")</f>
        <v>702447481230106624</v>
      </c>
      <c r="F1531" s="12" t="s">
        <v>20</v>
      </c>
      <c r="G1531" s="13">
        <v>10.0</v>
      </c>
      <c r="H1531" s="13">
        <v>209.0</v>
      </c>
      <c r="I1531" s="13">
        <v>1.0</v>
      </c>
      <c r="J1531" s="13">
        <v>0.0</v>
      </c>
      <c r="K1531" s="12" t="s">
        <v>21</v>
      </c>
      <c r="L1531" s="7">
        <v>42408.70351851852</v>
      </c>
      <c r="M1531" s="14" t="s">
        <v>9091</v>
      </c>
      <c r="N1531" s="14" t="s">
        <v>9092</v>
      </c>
      <c r="O1531" s="11" t="str">
        <f>HYPERLINK("https://pbs.twimg.com/profile_images/697103122162962434/vXqoolw3_normal.png","View")</f>
        <v>View</v>
      </c>
      <c r="P1531" s="15"/>
    </row>
    <row r="1532">
      <c r="A1532" s="7">
        <v>42424.12894675926</v>
      </c>
      <c r="B1532" s="8" t="str">
        <f>HYPERLINK("https://twitter.com/NBNTrust","@NBNTrust")</f>
        <v>@NBNTrust</v>
      </c>
      <c r="C1532" s="10" t="s">
        <v>8072</v>
      </c>
      <c r="D1532" s="10" t="s">
        <v>9093</v>
      </c>
      <c r="E1532" s="11" t="str">
        <f>HYPERLINK("https://twitter.com/NBNTrust/status/702449312555540481","702449312555540481")</f>
        <v>702449312555540481</v>
      </c>
      <c r="F1532" s="12" t="s">
        <v>659</v>
      </c>
      <c r="G1532" s="13">
        <v>3417.0</v>
      </c>
      <c r="H1532" s="13">
        <v>651.0</v>
      </c>
      <c r="I1532" s="13">
        <v>2.0</v>
      </c>
      <c r="J1532" s="13">
        <v>0.0</v>
      </c>
      <c r="K1532" s="12" t="s">
        <v>21</v>
      </c>
      <c r="L1532" s="7">
        <v>39925.10091435185</v>
      </c>
      <c r="M1532" s="14" t="s">
        <v>8073</v>
      </c>
      <c r="N1532" s="14" t="s">
        <v>8074</v>
      </c>
      <c r="O1532" s="11" t="str">
        <f>HYPERLINK("https://pbs.twimg.com/profile_images/200311699/leaf_normal.jpg","View")</f>
        <v>View</v>
      </c>
      <c r="P1532" s="15"/>
    </row>
    <row r="1533">
      <c r="A1533" s="7">
        <v>42424.1337962963</v>
      </c>
      <c r="B1533" s="8" t="str">
        <f>HYPERLINK("https://twitter.com/BerlinRUG","@BerlinRUG")</f>
        <v>@BerlinRUG</v>
      </c>
      <c r="C1533" s="10" t="s">
        <v>9094</v>
      </c>
      <c r="D1533" s="10" t="s">
        <v>9095</v>
      </c>
      <c r="E1533" s="11" t="str">
        <f>HYPERLINK("https://twitter.com/BerlinRUG/status/702451068450504704","702451068450504704")</f>
        <v>702451068450504704</v>
      </c>
      <c r="F1533" s="12" t="s">
        <v>52</v>
      </c>
      <c r="G1533" s="13">
        <v>92.0</v>
      </c>
      <c r="H1533" s="13">
        <v>5.0</v>
      </c>
      <c r="I1533" s="13">
        <v>1.0</v>
      </c>
      <c r="J1533" s="13">
        <v>1.0</v>
      </c>
      <c r="K1533" s="12" t="s">
        <v>21</v>
      </c>
      <c r="L1533" s="7">
        <v>42134.13276620371</v>
      </c>
      <c r="M1533" s="14" t="s">
        <v>1963</v>
      </c>
      <c r="N1533" s="16"/>
      <c r="O1533" s="11" t="str">
        <f>HYPERLINK("https://pbs.twimg.com/profile_images/603517008777445376/474uLV55_normal.png","View")</f>
        <v>View</v>
      </c>
      <c r="P1533" s="15"/>
    </row>
    <row r="1534">
      <c r="A1534" s="7">
        <v>42424.13633101852</v>
      </c>
      <c r="B1534" s="8" t="str">
        <f>HYPERLINK("https://twitter.com/thijschr","@thijschr")</f>
        <v>@thijschr</v>
      </c>
      <c r="C1534" s="10" t="s">
        <v>9096</v>
      </c>
      <c r="D1534" s="10" t="s">
        <v>9097</v>
      </c>
      <c r="E1534" s="11" t="str">
        <f>HYPERLINK("https://twitter.com/thijschr/status/702451989200896000","702451989200896000")</f>
        <v>702451989200896000</v>
      </c>
      <c r="F1534" s="12" t="s">
        <v>294</v>
      </c>
      <c r="G1534" s="13">
        <v>82.0</v>
      </c>
      <c r="H1534" s="13">
        <v>215.0</v>
      </c>
      <c r="I1534" s="13">
        <v>2.0</v>
      </c>
      <c r="J1534" s="13">
        <v>2.0</v>
      </c>
      <c r="K1534" s="12" t="s">
        <v>21</v>
      </c>
      <c r="L1534" s="7">
        <v>40952.49859953704</v>
      </c>
      <c r="M1534" s="14" t="s">
        <v>9098</v>
      </c>
      <c r="N1534" s="14" t="s">
        <v>9099</v>
      </c>
      <c r="O1534" s="11" t="str">
        <f>HYPERLINK("https://pbs.twimg.com/profile_images/556170328229953536/CuvfXisf_normal.jpeg","View")</f>
        <v>View</v>
      </c>
      <c r="P1534" s="15"/>
    </row>
    <row r="1535">
      <c r="A1535" s="7">
        <v>42424.14076388889</v>
      </c>
      <c r="B1535" s="8" t="str">
        <f>HYPERLINK("https://twitter.com/wolass","@wolass")</f>
        <v>@wolass</v>
      </c>
      <c r="C1535" s="10" t="s">
        <v>9100</v>
      </c>
      <c r="D1535" s="10" t="s">
        <v>9101</v>
      </c>
      <c r="E1535" s="11" t="str">
        <f>HYPERLINK("https://twitter.com/wolass/status/702453593488662528","702453593488662528")</f>
        <v>702453593488662528</v>
      </c>
      <c r="F1535" s="12" t="s">
        <v>20</v>
      </c>
      <c r="G1535" s="13">
        <v>29.0</v>
      </c>
      <c r="H1535" s="13">
        <v>147.0</v>
      </c>
      <c r="I1535" s="13">
        <v>1.0</v>
      </c>
      <c r="J1535" s="13">
        <v>0.0</v>
      </c>
      <c r="K1535" s="12" t="s">
        <v>21</v>
      </c>
      <c r="L1535" s="7">
        <v>39869.549108796295</v>
      </c>
      <c r="M1535" s="16"/>
      <c r="N1535" s="16"/>
      <c r="O1535" s="11" t="str">
        <f>HYPERLINK("https://pbs.twimg.com/profile_images/512491328802783233/AVGFpLwo_normal.jpeg","View")</f>
        <v>View</v>
      </c>
      <c r="P1535" s="15"/>
    </row>
    <row r="1536">
      <c r="A1536" s="7">
        <v>42424.14457175926</v>
      </c>
      <c r="B1536" s="8" t="str">
        <f>HYPERLINK("https://twitter.com/calli993","@calli993")</f>
        <v>@calli993</v>
      </c>
      <c r="C1536" s="10" t="s">
        <v>9102</v>
      </c>
      <c r="D1536" s="10" t="s">
        <v>9103</v>
      </c>
      <c r="E1536" s="11" t="str">
        <f>HYPERLINK("https://twitter.com/calli993/status/702454975369256960","702454975369256960")</f>
        <v>702454975369256960</v>
      </c>
      <c r="F1536" s="12" t="s">
        <v>52</v>
      </c>
      <c r="G1536" s="13">
        <v>50.0</v>
      </c>
      <c r="H1536" s="13">
        <v>144.0</v>
      </c>
      <c r="I1536" s="13">
        <v>1.0</v>
      </c>
      <c r="J1536" s="13">
        <v>0.0</v>
      </c>
      <c r="K1536" s="12" t="s">
        <v>21</v>
      </c>
      <c r="L1536" s="7">
        <v>39639.24077546296</v>
      </c>
      <c r="M1536" s="14" t="s">
        <v>9104</v>
      </c>
      <c r="N1536" s="14" t="s">
        <v>9105</v>
      </c>
      <c r="O1536" s="11" t="str">
        <f>HYPERLINK("https://pbs.twimg.com/profile_images/1698849697/9911-225_normal.JPG","View")</f>
        <v>View</v>
      </c>
      <c r="P1536" s="15"/>
    </row>
    <row r="1537">
      <c r="A1537" s="7">
        <v>42424.14569444444</v>
      </c>
      <c r="B1537" s="8" t="str">
        <f>HYPERLINK("https://twitter.com/_wddrs","@_wddrs")</f>
        <v>@_wddrs</v>
      </c>
      <c r="C1537" s="10" t="s">
        <v>9106</v>
      </c>
      <c r="D1537" s="10" t="s">
        <v>8542</v>
      </c>
      <c r="E1537" s="11" t="str">
        <f>HYPERLINK("https://twitter.com/_wddrs/status/702455379586846721","702455379586846721")</f>
        <v>702455379586846721</v>
      </c>
      <c r="F1537" s="12" t="s">
        <v>52</v>
      </c>
      <c r="G1537" s="13">
        <v>290.0</v>
      </c>
      <c r="H1537" s="13">
        <v>320.0</v>
      </c>
      <c r="I1537" s="13">
        <v>4.0</v>
      </c>
      <c r="J1537" s="13">
        <v>0.0</v>
      </c>
      <c r="K1537" s="12" t="s">
        <v>21</v>
      </c>
      <c r="L1537" s="7">
        <v>39995.15546296296</v>
      </c>
      <c r="M1537" s="14" t="s">
        <v>9107</v>
      </c>
      <c r="N1537" s="14" t="s">
        <v>9108</v>
      </c>
      <c r="O1537" s="11" t="str">
        <f>HYPERLINK("https://pbs.twimg.com/profile_images/593529508621197312/TOz-6LPw_normal.jpg","View")</f>
        <v>View</v>
      </c>
      <c r="P1537" s="15"/>
    </row>
    <row r="1538">
      <c r="A1538" s="7">
        <v>42424.14655092593</v>
      </c>
      <c r="B1538" s="8" t="str">
        <f>HYPERLINK("https://twitter.com/CapitalOneGeek","@CapitalOneGeek")</f>
        <v>@CapitalOneGeek</v>
      </c>
      <c r="C1538" s="10" t="s">
        <v>9109</v>
      </c>
      <c r="D1538" s="10" t="s">
        <v>8542</v>
      </c>
      <c r="E1538" s="11" t="str">
        <f>HYPERLINK("https://twitter.com/CapitalOneGeek/status/702455689470410756","702455689470410756")</f>
        <v>702455689470410756</v>
      </c>
      <c r="F1538" s="12" t="s">
        <v>3113</v>
      </c>
      <c r="G1538" s="13">
        <v>757.0</v>
      </c>
      <c r="H1538" s="13">
        <v>644.0</v>
      </c>
      <c r="I1538" s="13">
        <v>4.0</v>
      </c>
      <c r="J1538" s="13">
        <v>0.0</v>
      </c>
      <c r="K1538" s="12" t="s">
        <v>21</v>
      </c>
      <c r="L1538" s="7">
        <v>41825.21685185185</v>
      </c>
      <c r="M1538" s="14" t="s">
        <v>9107</v>
      </c>
      <c r="N1538" s="14" t="s">
        <v>9110</v>
      </c>
      <c r="O1538" s="11" t="str">
        <f>HYPERLINK("https://pbs.twimg.com/profile_images/517966321472917507/hxaw0TQA_normal.png","View")</f>
        <v>View</v>
      </c>
      <c r="P1538" s="15"/>
    </row>
    <row r="1539">
      <c r="A1539" s="7">
        <v>42424.147141203706</v>
      </c>
      <c r="B1539" s="8" t="str">
        <f>HYPERLINK("https://twitter.com/Enroweb","@Enroweb")</f>
        <v>@Enroweb</v>
      </c>
      <c r="C1539" s="10" t="s">
        <v>9111</v>
      </c>
      <c r="D1539" s="10" t="s">
        <v>9112</v>
      </c>
      <c r="E1539" s="11" t="str">
        <f>HYPERLINK("https://twitter.com/Enroweb/status/702455904353062913","702455904353062913")</f>
        <v>702455904353062913</v>
      </c>
      <c r="F1539" s="12" t="s">
        <v>20</v>
      </c>
      <c r="G1539" s="13">
        <v>4956.0</v>
      </c>
      <c r="H1539" s="13">
        <v>2468.0</v>
      </c>
      <c r="I1539" s="13">
        <v>0.0</v>
      </c>
      <c r="J1539" s="13">
        <v>2.0</v>
      </c>
      <c r="K1539" s="12" t="s">
        <v>21</v>
      </c>
      <c r="L1539" s="7">
        <v>39948.02820601852</v>
      </c>
      <c r="M1539" s="14" t="s">
        <v>9113</v>
      </c>
      <c r="N1539" s="14" t="s">
        <v>9114</v>
      </c>
      <c r="O1539" s="11" t="str">
        <f>HYPERLINK("https://pbs.twimg.com/profile_images/213113599/mulloy2_normal.jpg","View")</f>
        <v>View</v>
      </c>
      <c r="P1539" s="15"/>
    </row>
    <row r="1540">
      <c r="A1540" s="7">
        <v>42424.1475</v>
      </c>
      <c r="B1540" s="8" t="str">
        <f>HYPERLINK("https://twitter.com/BestCourses_","@BestCourses_")</f>
        <v>@BestCourses_</v>
      </c>
      <c r="C1540" s="10" t="s">
        <v>409</v>
      </c>
      <c r="D1540" s="10" t="s">
        <v>6351</v>
      </c>
      <c r="E1540" s="11" t="str">
        <f>HYPERLINK("https://twitter.com/BestCourses_/status/702456035420856320","702456035420856320")</f>
        <v>702456035420856320</v>
      </c>
      <c r="F1540" s="12" t="s">
        <v>103</v>
      </c>
      <c r="G1540" s="13">
        <v>528.0</v>
      </c>
      <c r="H1540" s="13">
        <v>40.0</v>
      </c>
      <c r="I1540" s="13">
        <v>0.0</v>
      </c>
      <c r="J1540" s="13">
        <v>0.0</v>
      </c>
      <c r="K1540" s="12" t="s">
        <v>21</v>
      </c>
      <c r="L1540" s="7">
        <v>42294.333125000005</v>
      </c>
      <c r="M1540" s="14" t="s">
        <v>411</v>
      </c>
      <c r="N1540" s="14" t="s">
        <v>412</v>
      </c>
      <c r="O1540" s="11" t="str">
        <f>HYPERLINK("https://pbs.twimg.com/profile_images/655401968802861056/yuPEMhy3_normal.jpg","View")</f>
        <v>View</v>
      </c>
      <c r="P1540" s="15"/>
    </row>
    <row r="1541">
      <c r="A1541" s="7">
        <v>42424.15111111111</v>
      </c>
      <c r="B1541" s="8" t="str">
        <f>HYPERLINK("https://twitter.com/mdsumner","@mdsumner")</f>
        <v>@mdsumner</v>
      </c>
      <c r="C1541" s="10" t="s">
        <v>7288</v>
      </c>
      <c r="D1541" s="10" t="s">
        <v>9115</v>
      </c>
      <c r="E1541" s="11" t="str">
        <f>HYPERLINK("https://twitter.com/mdsumner/status/702457343393402881","702457343393402881")</f>
        <v>702457343393402881</v>
      </c>
      <c r="F1541" s="12" t="s">
        <v>20</v>
      </c>
      <c r="G1541" s="13">
        <v>189.0</v>
      </c>
      <c r="H1541" s="13">
        <v>593.0</v>
      </c>
      <c r="I1541" s="13">
        <v>0.0</v>
      </c>
      <c r="J1541" s="13">
        <v>1.0</v>
      </c>
      <c r="K1541" s="12" t="s">
        <v>21</v>
      </c>
      <c r="L1541" s="7">
        <v>40188.00508101852</v>
      </c>
      <c r="M1541" s="14" t="s">
        <v>7290</v>
      </c>
      <c r="N1541" s="14" t="s">
        <v>7291</v>
      </c>
      <c r="O1541" s="11" t="str">
        <f>HYPERLINK("https://pbs.twimg.com/profile_images/378800000711929469/c6f40d0623b31334f4f55e218c96df23_normal.jpeg","View")</f>
        <v>View</v>
      </c>
      <c r="P1541" s="15"/>
    </row>
    <row r="1542">
      <c r="A1542" s="7">
        <v>42424.15320601852</v>
      </c>
      <c r="B1542" s="8" t="str">
        <f>HYPERLINK("https://twitter.com/jenstirrup","@jenstirrup")</f>
        <v>@jenstirrup</v>
      </c>
      <c r="C1542" s="10" t="s">
        <v>6432</v>
      </c>
      <c r="D1542" s="10" t="s">
        <v>9116</v>
      </c>
      <c r="E1542" s="11" t="str">
        <f>HYPERLINK("https://twitter.com/jenstirrup/status/702458104667967488","702458104667967488")</f>
        <v>702458104667967488</v>
      </c>
      <c r="F1542" s="12" t="s">
        <v>20</v>
      </c>
      <c r="G1542" s="13">
        <v>8763.0</v>
      </c>
      <c r="H1542" s="13">
        <v>3147.0</v>
      </c>
      <c r="I1542" s="13">
        <v>2.0</v>
      </c>
      <c r="J1542" s="13">
        <v>3.0</v>
      </c>
      <c r="K1542" s="12" t="s">
        <v>21</v>
      </c>
      <c r="L1542" s="7">
        <v>39879.60259259259</v>
      </c>
      <c r="M1542" s="14" t="s">
        <v>6434</v>
      </c>
      <c r="N1542" s="14" t="s">
        <v>6435</v>
      </c>
      <c r="O1542" s="11" t="str">
        <f>HYPERLINK("https://pbs.twimg.com/profile_images/696103690369949696/EpU6buAs_normal.jpg","View")</f>
        <v>View</v>
      </c>
      <c r="P1542" s="15"/>
    </row>
    <row r="1543">
      <c r="A1543" s="7">
        <v>42424.153240740736</v>
      </c>
      <c r="B1543" s="8" t="str">
        <f>HYPERLINK("https://twitter.com/DataWookie","@DataWookie")</f>
        <v>@DataWookie</v>
      </c>
      <c r="C1543" s="10" t="s">
        <v>6231</v>
      </c>
      <c r="D1543" s="10" t="s">
        <v>9117</v>
      </c>
      <c r="E1543" s="11" t="str">
        <f>HYPERLINK("https://twitter.com/DataWookie/status/702458117666140160","702458117666140160")</f>
        <v>702458117666140160</v>
      </c>
      <c r="F1543" s="12" t="s">
        <v>6233</v>
      </c>
      <c r="G1543" s="13">
        <v>426.0</v>
      </c>
      <c r="H1543" s="13">
        <v>296.0</v>
      </c>
      <c r="I1543" s="13">
        <v>0.0</v>
      </c>
      <c r="J1543" s="13">
        <v>0.0</v>
      </c>
      <c r="K1543" s="12" t="s">
        <v>21</v>
      </c>
      <c r="L1543" s="7">
        <v>42166.966678240744</v>
      </c>
      <c r="M1543" s="14" t="s">
        <v>6234</v>
      </c>
      <c r="N1543" s="14" t="s">
        <v>6235</v>
      </c>
      <c r="O1543" s="11" t="str">
        <f>HYPERLINK("https://pbs.twimg.com/profile_images/612471608725213184/eXKo2Kmo_normal.jpg","View")</f>
        <v>View</v>
      </c>
      <c r="P1543" s="15"/>
    </row>
    <row r="1544">
      <c r="A1544" s="7">
        <v>42424.153703703705</v>
      </c>
      <c r="B1544" s="8" t="str">
        <f>HYPERLINK("https://twitter.com/phxtug","@phxtug")</f>
        <v>@phxtug</v>
      </c>
      <c r="C1544" s="10" t="s">
        <v>9118</v>
      </c>
      <c r="D1544" s="10" t="s">
        <v>9119</v>
      </c>
      <c r="E1544" s="11" t="str">
        <f>HYPERLINK("https://twitter.com/phxtug/status/702458284935000064","702458284935000064")</f>
        <v>702458284935000064</v>
      </c>
      <c r="F1544" s="12" t="s">
        <v>20</v>
      </c>
      <c r="G1544" s="13">
        <v>218.0</v>
      </c>
      <c r="H1544" s="13">
        <v>219.0</v>
      </c>
      <c r="I1544" s="13">
        <v>2.0</v>
      </c>
      <c r="J1544" s="13">
        <v>0.0</v>
      </c>
      <c r="K1544" s="12" t="s">
        <v>21</v>
      </c>
      <c r="L1544" s="7">
        <v>41405.02267361111</v>
      </c>
      <c r="M1544" s="16"/>
      <c r="N1544" s="14" t="s">
        <v>9120</v>
      </c>
      <c r="O1544" s="11" t="str">
        <f>HYPERLINK("https://pbs.twimg.com/profile_images/622634324337111040/HuTWSlWx_normal.png","View")</f>
        <v>View</v>
      </c>
      <c r="P1544" s="15"/>
    </row>
    <row r="1545">
      <c r="A1545" s="7">
        <v>42424.15626157407</v>
      </c>
      <c r="B1545" s="8" t="str">
        <f>HYPERLINK("https://twitter.com/MangoTheCat","@MangoTheCat")</f>
        <v>@MangoTheCat</v>
      </c>
      <c r="C1545" s="10" t="s">
        <v>6321</v>
      </c>
      <c r="D1545" s="10" t="s">
        <v>9121</v>
      </c>
      <c r="E1545" s="11" t="str">
        <f>HYPERLINK("https://twitter.com/MangoTheCat/status/702459212413038592","702459212413038592")</f>
        <v>702459212413038592</v>
      </c>
      <c r="F1545" s="12" t="s">
        <v>47</v>
      </c>
      <c r="G1545" s="13">
        <v>2041.0</v>
      </c>
      <c r="H1545" s="13">
        <v>2855.0</v>
      </c>
      <c r="I1545" s="13">
        <v>0.0</v>
      </c>
      <c r="J1545" s="13">
        <v>0.0</v>
      </c>
      <c r="K1545" s="12" t="s">
        <v>21</v>
      </c>
      <c r="L1545" s="7">
        <v>39854.3178587963</v>
      </c>
      <c r="M1545" s="14" t="s">
        <v>6323</v>
      </c>
      <c r="N1545" s="14" t="s">
        <v>6324</v>
      </c>
      <c r="O1545" s="11" t="str">
        <f>HYPERLINK("https://pbs.twimg.com/profile_images/641183991077445633/V7VcBpJI_normal.png","View")</f>
        <v>View</v>
      </c>
      <c r="P1545" s="15"/>
    </row>
    <row r="1546">
      <c r="A1546" s="7">
        <v>42424.15967592593</v>
      </c>
      <c r="B1546" s="8" t="str">
        <f>HYPERLINK("https://twitter.com/0ttlngr","@0ttlngr")</f>
        <v>@0ttlngr</v>
      </c>
      <c r="C1546" s="10" t="s">
        <v>9089</v>
      </c>
      <c r="D1546" s="10" t="s">
        <v>9122</v>
      </c>
      <c r="E1546" s="11" t="str">
        <f>HYPERLINK("https://twitter.com/0ttlngr/status/702460445832175616","702460445832175616")</f>
        <v>702460445832175616</v>
      </c>
      <c r="F1546" s="12" t="s">
        <v>20</v>
      </c>
      <c r="G1546" s="13">
        <v>10.0</v>
      </c>
      <c r="H1546" s="13">
        <v>209.0</v>
      </c>
      <c r="I1546" s="13">
        <v>3.0</v>
      </c>
      <c r="J1546" s="13">
        <v>5.0</v>
      </c>
      <c r="K1546" s="12" t="s">
        <v>21</v>
      </c>
      <c r="L1546" s="7">
        <v>42408.70351851852</v>
      </c>
      <c r="M1546" s="14" t="s">
        <v>9091</v>
      </c>
      <c r="N1546" s="14" t="s">
        <v>9092</v>
      </c>
      <c r="O1546" s="11" t="str">
        <f>HYPERLINK("https://pbs.twimg.com/profile_images/697103122162962434/vXqoolw3_normal.png","View")</f>
        <v>View</v>
      </c>
      <c r="P1546" s="15"/>
    </row>
    <row r="1547">
      <c r="A1547" s="7">
        <v>42424.16490740741</v>
      </c>
      <c r="B1547" s="8" t="str">
        <f>HYPERLINK("https://twitter.com/JeanVAdams","@JeanVAdams")</f>
        <v>@JeanVAdams</v>
      </c>
      <c r="C1547" s="10" t="s">
        <v>9123</v>
      </c>
      <c r="D1547" s="10" t="s">
        <v>9124</v>
      </c>
      <c r="E1547" s="11" t="str">
        <f>HYPERLINK("https://twitter.com/JeanVAdams/status/702462342261567489","702462342261567489")</f>
        <v>702462342261567489</v>
      </c>
      <c r="F1547" s="12" t="s">
        <v>152</v>
      </c>
      <c r="G1547" s="13">
        <v>144.0</v>
      </c>
      <c r="H1547" s="13">
        <v>203.0</v>
      </c>
      <c r="I1547" s="13">
        <v>0.0</v>
      </c>
      <c r="J1547" s="13">
        <v>1.0</v>
      </c>
      <c r="K1547" s="12" t="s">
        <v>21</v>
      </c>
      <c r="L1547" s="7">
        <v>39986.2524537037</v>
      </c>
      <c r="M1547" s="14" t="s">
        <v>9125</v>
      </c>
      <c r="N1547" s="14" t="s">
        <v>9126</v>
      </c>
      <c r="O1547" s="11" t="str">
        <f>HYPERLINK("https://pbs.twimg.com/profile_images/717793048/DSC07974_normal.JPG","View")</f>
        <v>View</v>
      </c>
      <c r="P1547" s="15"/>
    </row>
    <row r="1548">
      <c r="A1548" s="7">
        <v>42424.16668981481</v>
      </c>
      <c r="B1548" s="8" t="str">
        <f>HYPERLINK("https://twitter.com/BobbyCaudill","@BobbyCaudill")</f>
        <v>@BobbyCaudill</v>
      </c>
      <c r="C1548" s="10" t="s">
        <v>9127</v>
      </c>
      <c r="D1548" s="10" t="s">
        <v>9128</v>
      </c>
      <c r="E1548" s="11" t="str">
        <f>HYPERLINK("https://twitter.com/BobbyCaudill/status/702462990306643970","702462990306643970")</f>
        <v>702462990306643970</v>
      </c>
      <c r="F1548" s="12" t="s">
        <v>38</v>
      </c>
      <c r="G1548" s="13">
        <v>1795.0</v>
      </c>
      <c r="H1548" s="13">
        <v>826.0</v>
      </c>
      <c r="I1548" s="13">
        <v>2.0</v>
      </c>
      <c r="J1548" s="13">
        <v>0.0</v>
      </c>
      <c r="K1548" s="12" t="s">
        <v>21</v>
      </c>
      <c r="L1548" s="7">
        <v>39827.23131944444</v>
      </c>
      <c r="M1548" s="14" t="s">
        <v>9129</v>
      </c>
      <c r="N1548" s="14" t="s">
        <v>9130</v>
      </c>
      <c r="O1548" s="11" t="str">
        <f>HYPERLINK("https://pbs.twimg.com/profile_images/492138314040754177/6m0tO60d_normal.png","View")</f>
        <v>View</v>
      </c>
      <c r="P1548" s="15"/>
    </row>
    <row r="1549">
      <c r="A1549" s="7">
        <v>42424.16775462963</v>
      </c>
      <c r="B1549" s="8" t="str">
        <f>HYPERLINK("https://twitter.com/mottarafael","@mottarafael")</f>
        <v>@mottarafael</v>
      </c>
      <c r="C1549" s="10" t="s">
        <v>9131</v>
      </c>
      <c r="D1549" s="10" t="s">
        <v>8861</v>
      </c>
      <c r="E1549" s="11" t="str">
        <f>HYPERLINK("https://twitter.com/mottarafael/status/702463373422829568","702463373422829568")</f>
        <v>702463373422829568</v>
      </c>
      <c r="F1549" s="12" t="s">
        <v>152</v>
      </c>
      <c r="G1549" s="13">
        <v>121.0</v>
      </c>
      <c r="H1549" s="13">
        <v>329.0</v>
      </c>
      <c r="I1549" s="13">
        <v>13.0</v>
      </c>
      <c r="J1549" s="13">
        <v>0.0</v>
      </c>
      <c r="K1549" s="12" t="s">
        <v>21</v>
      </c>
      <c r="L1549" s="7">
        <v>40142.69484953704</v>
      </c>
      <c r="M1549" s="14" t="s">
        <v>9132</v>
      </c>
      <c r="N1549" s="14" t="s">
        <v>9133</v>
      </c>
      <c r="O1549" s="11" t="str">
        <f>HYPERLINK("https://pbs.twimg.com/profile_images/544229028/1445949_normal.jpg","View")</f>
        <v>View</v>
      </c>
      <c r="P1549" s="15"/>
    </row>
    <row r="1550">
      <c r="A1550" s="7">
        <v>42424.16902777778</v>
      </c>
      <c r="B1550" s="8" t="str">
        <f>HYPERLINK("https://twitter.com/romunov","@romunov")</f>
        <v>@romunov</v>
      </c>
      <c r="C1550" s="10" t="s">
        <v>9134</v>
      </c>
      <c r="D1550" s="10" t="s">
        <v>9135</v>
      </c>
      <c r="E1550" s="11" t="str">
        <f>HYPERLINK("https://twitter.com/romunov/status/702463838780825600","702463838780825600")</f>
        <v>702463838780825600</v>
      </c>
      <c r="F1550" s="12" t="s">
        <v>446</v>
      </c>
      <c r="G1550" s="13">
        <v>235.0</v>
      </c>
      <c r="H1550" s="13">
        <v>394.0</v>
      </c>
      <c r="I1550" s="13">
        <v>3.0</v>
      </c>
      <c r="J1550" s="13">
        <v>0.0</v>
      </c>
      <c r="K1550" s="12" t="s">
        <v>21</v>
      </c>
      <c r="L1550" s="7">
        <v>40352.31957175926</v>
      </c>
      <c r="M1550" s="14" t="s">
        <v>9136</v>
      </c>
      <c r="N1550" s="14" t="s">
        <v>9137</v>
      </c>
      <c r="O1550" s="11" t="str">
        <f>HYPERLINK("https://pbs.twimg.com/profile_images/3045897840/8582c38918fed1ac9fb9ddd4e4a9a26d_normal.jpeg","View")</f>
        <v>View</v>
      </c>
      <c r="P1550" s="15"/>
    </row>
    <row r="1551">
      <c r="A1551" s="7">
        <v>42424.17148148148</v>
      </c>
      <c r="B1551" s="8" t="str">
        <f>HYPERLINK("https://twitter.com/tmickael","@tmickael")</f>
        <v>@tmickael</v>
      </c>
      <c r="C1551" s="10" t="s">
        <v>9138</v>
      </c>
      <c r="D1551" s="10" t="s">
        <v>9139</v>
      </c>
      <c r="E1551" s="11" t="str">
        <f>HYPERLINK("https://twitter.com/tmickael/status/702464727407063041","702464727407063041")</f>
        <v>702464727407063041</v>
      </c>
      <c r="F1551" s="12" t="s">
        <v>152</v>
      </c>
      <c r="G1551" s="13">
        <v>178.0</v>
      </c>
      <c r="H1551" s="13">
        <v>406.0</v>
      </c>
      <c r="I1551" s="13">
        <v>1.0</v>
      </c>
      <c r="J1551" s="13">
        <v>2.0</v>
      </c>
      <c r="K1551" s="12" t="s">
        <v>21</v>
      </c>
      <c r="L1551" s="7">
        <v>39914.26023148148</v>
      </c>
      <c r="M1551" s="14" t="s">
        <v>769</v>
      </c>
      <c r="N1551" s="14" t="s">
        <v>9140</v>
      </c>
      <c r="O1551" s="11" t="str">
        <f>HYPERLINK("https://pbs.twimg.com/profile_images/674249951770099713/rIcQu2EN_normal.jpg","View")</f>
        <v>View</v>
      </c>
      <c r="P1551" s="15"/>
    </row>
    <row r="1552">
      <c r="A1552" s="7">
        <v>42424.173946759256</v>
      </c>
      <c r="B1552" s="8" t="str">
        <f>HYPERLINK("https://twitter.com/DataWookie","@DataWookie")</f>
        <v>@DataWookie</v>
      </c>
      <c r="C1552" s="10" t="s">
        <v>6231</v>
      </c>
      <c r="D1552" s="10" t="s">
        <v>9141</v>
      </c>
      <c r="E1552" s="11" t="str">
        <f>HYPERLINK("https://twitter.com/DataWookie/status/702465619594096640","702465619594096640")</f>
        <v>702465619594096640</v>
      </c>
      <c r="F1552" s="12" t="s">
        <v>6233</v>
      </c>
      <c r="G1552" s="13">
        <v>426.0</v>
      </c>
      <c r="H1552" s="13">
        <v>296.0</v>
      </c>
      <c r="I1552" s="13">
        <v>0.0</v>
      </c>
      <c r="J1552" s="13">
        <v>0.0</v>
      </c>
      <c r="K1552" s="12" t="s">
        <v>21</v>
      </c>
      <c r="L1552" s="7">
        <v>42166.966678240744</v>
      </c>
      <c r="M1552" s="14" t="s">
        <v>6234</v>
      </c>
      <c r="N1552" s="14" t="s">
        <v>6235</v>
      </c>
      <c r="O1552" s="11" t="str">
        <f>HYPERLINK("https://pbs.twimg.com/profile_images/612471608725213184/eXKo2Kmo_normal.jpg","View")</f>
        <v>View</v>
      </c>
      <c r="P1552" s="15"/>
    </row>
    <row r="1553">
      <c r="A1553" s="7">
        <v>42424.17608796296</v>
      </c>
      <c r="B1553" s="8" t="str">
        <f t="shared" ref="B1553:B1554" si="171">HYPERLINK("https://twitter.com/CRANberriesFeed","@CRANberriesFeed")</f>
        <v>@CRANberriesFeed</v>
      </c>
      <c r="C1553" s="10" t="s">
        <v>6282</v>
      </c>
      <c r="D1553" s="10" t="s">
        <v>9142</v>
      </c>
      <c r="E1553" s="11" t="str">
        <f>HYPERLINK("https://twitter.com/CRANberriesFeed/status/702466395959910405","702466395959910405")</f>
        <v>702466395959910405</v>
      </c>
      <c r="F1553" s="12" t="s">
        <v>6284</v>
      </c>
      <c r="G1553" s="13">
        <v>657.0</v>
      </c>
      <c r="H1553" s="13">
        <v>0.0</v>
      </c>
      <c r="I1553" s="13">
        <v>1.0</v>
      </c>
      <c r="J1553" s="13">
        <v>1.0</v>
      </c>
      <c r="K1553" s="12" t="s">
        <v>21</v>
      </c>
      <c r="L1553" s="7">
        <v>40546.353425925925</v>
      </c>
      <c r="M1553" s="14" t="s">
        <v>1158</v>
      </c>
      <c r="N1553" s="16"/>
      <c r="O1553" s="11" t="str">
        <f t="shared" ref="O1553:O1554" si="172">HYPERLINK("https://pbs.twimg.com/profile_images/1222779560/cran1_normal.jpg","View")</f>
        <v>View</v>
      </c>
      <c r="P1553" s="15"/>
    </row>
    <row r="1554">
      <c r="A1554" s="7">
        <v>42424.176203703704</v>
      </c>
      <c r="B1554" s="8" t="str">
        <f t="shared" si="171"/>
        <v>@CRANberriesFeed</v>
      </c>
      <c r="C1554" s="10" t="s">
        <v>6282</v>
      </c>
      <c r="D1554" s="10" t="s">
        <v>9143</v>
      </c>
      <c r="E1554" s="11" t="str">
        <f>HYPERLINK("https://twitter.com/CRANberriesFeed/status/702466436019658752","702466436019658752")</f>
        <v>702466436019658752</v>
      </c>
      <c r="F1554" s="12" t="s">
        <v>6284</v>
      </c>
      <c r="G1554" s="13">
        <v>657.0</v>
      </c>
      <c r="H1554" s="13">
        <v>0.0</v>
      </c>
      <c r="I1554" s="13">
        <v>0.0</v>
      </c>
      <c r="J1554" s="13">
        <v>0.0</v>
      </c>
      <c r="K1554" s="12" t="s">
        <v>21</v>
      </c>
      <c r="L1554" s="7">
        <v>40546.353425925925</v>
      </c>
      <c r="M1554" s="14" t="s">
        <v>1158</v>
      </c>
      <c r="N1554" s="16"/>
      <c r="O1554" s="11" t="str">
        <f t="shared" si="172"/>
        <v>View</v>
      </c>
      <c r="P1554" s="15"/>
    </row>
    <row r="1555">
      <c r="A1555" s="7">
        <v>42424.177870370375</v>
      </c>
      <c r="B1555" s="8" t="str">
        <f>HYPERLINK("https://twitter.com/GRDumas","@GRDumas")</f>
        <v>@GRDumas</v>
      </c>
      <c r="C1555" s="10" t="s">
        <v>6450</v>
      </c>
      <c r="D1555" s="10" t="s">
        <v>9128</v>
      </c>
      <c r="E1555" s="11" t="str">
        <f>HYPERLINK("https://twitter.com/GRDumas/status/702467039747772416","702467039747772416")</f>
        <v>702467039747772416</v>
      </c>
      <c r="F1555" s="12" t="s">
        <v>20</v>
      </c>
      <c r="G1555" s="13">
        <v>550.0</v>
      </c>
      <c r="H1555" s="13">
        <v>723.0</v>
      </c>
      <c r="I1555" s="13">
        <v>2.0</v>
      </c>
      <c r="J1555" s="13">
        <v>0.0</v>
      </c>
      <c r="K1555" s="12" t="s">
        <v>21</v>
      </c>
      <c r="L1555" s="7">
        <v>41257.89225694444</v>
      </c>
      <c r="M1555" s="14" t="s">
        <v>784</v>
      </c>
      <c r="N1555" s="14" t="s">
        <v>6452</v>
      </c>
      <c r="O1555" s="11" t="str">
        <f>HYPERLINK("https://pbs.twimg.com/profile_images/621905988619210752/osj3fItL_normal.jpg","View")</f>
        <v>View</v>
      </c>
      <c r="P1555" s="15"/>
    </row>
    <row r="1556">
      <c r="A1556" s="7">
        <v>42424.1794212963</v>
      </c>
      <c r="B1556" s="8" t="str">
        <f>HYPERLINK("https://twitter.com/jeffoscoulos","@jeffoscoulos")</f>
        <v>@jeffoscoulos</v>
      </c>
      <c r="C1556" s="10" t="s">
        <v>9144</v>
      </c>
      <c r="D1556" s="10" t="s">
        <v>7116</v>
      </c>
      <c r="E1556" s="11" t="str">
        <f>HYPERLINK("https://twitter.com/jeffoscoulos/status/702467603546112000","702467603546112000")</f>
        <v>702467603546112000</v>
      </c>
      <c r="F1556" s="12" t="s">
        <v>52</v>
      </c>
      <c r="G1556" s="13">
        <v>247.0</v>
      </c>
      <c r="H1556" s="13">
        <v>628.0</v>
      </c>
      <c r="I1556" s="13">
        <v>16.0</v>
      </c>
      <c r="J1556" s="13">
        <v>0.0</v>
      </c>
      <c r="K1556" s="12" t="s">
        <v>21</v>
      </c>
      <c r="L1556" s="7">
        <v>42327.99356481481</v>
      </c>
      <c r="M1556" s="14" t="s">
        <v>9145</v>
      </c>
      <c r="N1556" s="14" t="s">
        <v>9146</v>
      </c>
      <c r="O1556" s="11" t="str">
        <f>HYPERLINK("https://pbs.twimg.com/profile_images/667612877180792832/24yLZAXr_normal.jpg","View")</f>
        <v>View</v>
      </c>
      <c r="P1556" s="15"/>
    </row>
    <row r="1557">
      <c r="A1557" s="7">
        <v>42424.18475694444</v>
      </c>
      <c r="B1557" s="8" t="str">
        <f>HYPERLINK("https://twitter.com/ElinWaring","@ElinWaring")</f>
        <v>@ElinWaring</v>
      </c>
      <c r="C1557" s="10" t="s">
        <v>9147</v>
      </c>
      <c r="D1557" s="10" t="s">
        <v>7472</v>
      </c>
      <c r="E1557" s="11" t="str">
        <f>HYPERLINK("https://twitter.com/ElinWaring/status/702469536780591104","702469536780591104")</f>
        <v>702469536780591104</v>
      </c>
      <c r="F1557" s="12" t="s">
        <v>20</v>
      </c>
      <c r="G1557" s="13">
        <v>730.0</v>
      </c>
      <c r="H1557" s="13">
        <v>60.0</v>
      </c>
      <c r="I1557" s="13">
        <v>6.0</v>
      </c>
      <c r="J1557" s="13">
        <v>0.0</v>
      </c>
      <c r="K1557" s="12" t="s">
        <v>21</v>
      </c>
      <c r="L1557" s="7">
        <v>39793.46907407408</v>
      </c>
      <c r="M1557" s="16"/>
      <c r="N1557" s="14" t="s">
        <v>9148</v>
      </c>
      <c r="O1557" s="11" t="str">
        <f>HYPERLINK("https://pbs.twimg.com/profile_images/134460124/me2_normal.png","View")</f>
        <v>View</v>
      </c>
      <c r="P1557" s="15"/>
    </row>
    <row r="1558">
      <c r="A1558" s="7">
        <v>42424.18777777778</v>
      </c>
      <c r="B1558" s="8" t="str">
        <f>HYPERLINK("https://twitter.com/Rbloggers","@Rbloggers")</f>
        <v>@Rbloggers</v>
      </c>
      <c r="C1558" s="10" t="s">
        <v>6221</v>
      </c>
      <c r="D1558" s="10" t="s">
        <v>9149</v>
      </c>
      <c r="E1558" s="11" t="str">
        <f>HYPERLINK("https://twitter.com/Rbloggers/status/702470631963557888","702470631963557888")</f>
        <v>702470631963557888</v>
      </c>
      <c r="F1558" s="17" t="s">
        <v>6223</v>
      </c>
      <c r="G1558" s="13">
        <v>28572.0</v>
      </c>
      <c r="H1558" s="13">
        <v>36.0</v>
      </c>
      <c r="I1558" s="13">
        <v>14.0</v>
      </c>
      <c r="J1558" s="13">
        <v>22.0</v>
      </c>
      <c r="K1558" s="12" t="s">
        <v>21</v>
      </c>
      <c r="L1558" s="7">
        <v>40314.510601851856</v>
      </c>
      <c r="M1558" s="16"/>
      <c r="N1558" s="14" t="s">
        <v>6224</v>
      </c>
      <c r="O1558" s="11" t="str">
        <f>HYPERLINK("https://pbs.twimg.com/profile_images/502185985786916864/gkdFh-q7_normal.png","View")</f>
        <v>View</v>
      </c>
      <c r="P1558" s="15"/>
    </row>
    <row r="1559">
      <c r="A1559" s="7">
        <v>42424.18806712963</v>
      </c>
      <c r="B1559" s="8" t="str">
        <f>HYPERLINK("https://twitter.com/FanninQED","@FanninQED")</f>
        <v>@FanninQED</v>
      </c>
      <c r="C1559" s="10" t="s">
        <v>9150</v>
      </c>
      <c r="D1559" s="10" t="s">
        <v>9151</v>
      </c>
      <c r="E1559" s="11" t="str">
        <f>HYPERLINK("https://twitter.com/FanninQED/status/702470734535217152","702470734535217152")</f>
        <v>702470734535217152</v>
      </c>
      <c r="F1559" s="12" t="s">
        <v>7615</v>
      </c>
      <c r="G1559" s="13">
        <v>45.0</v>
      </c>
      <c r="H1559" s="13">
        <v>114.0</v>
      </c>
      <c r="I1559" s="13">
        <v>11.0</v>
      </c>
      <c r="J1559" s="13">
        <v>71.0</v>
      </c>
      <c r="K1559" s="12" t="s">
        <v>21</v>
      </c>
      <c r="L1559" s="7">
        <v>40912.76537037037</v>
      </c>
      <c r="M1559" s="16"/>
      <c r="N1559" s="16"/>
      <c r="O1559" s="11" t="str">
        <f>HYPERLINK("https://pbs.twimg.com/profile_images/378800000464374387/a3cc80ecc77f4c5c01cfb71c3dfd6371_normal.jpeg","View")</f>
        <v>View</v>
      </c>
      <c r="P1559" s="15"/>
    </row>
    <row r="1560">
      <c r="A1560" s="7">
        <v>42424.1884837963</v>
      </c>
      <c r="B1560" s="8" t="str">
        <f>HYPERLINK("https://twitter.com/renato_umeton","@renato_umeton")</f>
        <v>@renato_umeton</v>
      </c>
      <c r="C1560" s="10" t="s">
        <v>1659</v>
      </c>
      <c r="D1560" s="10" t="s">
        <v>9152</v>
      </c>
      <c r="E1560" s="11" t="str">
        <f>HYPERLINK("https://twitter.com/renato_umeton/status/702470885853233152","702470885853233152")</f>
        <v>702470885853233152</v>
      </c>
      <c r="F1560" s="12" t="s">
        <v>38</v>
      </c>
      <c r="G1560" s="13">
        <v>70.0</v>
      </c>
      <c r="H1560" s="13">
        <v>79.0</v>
      </c>
      <c r="I1560" s="13">
        <v>14.0</v>
      </c>
      <c r="J1560" s="13">
        <v>0.0</v>
      </c>
      <c r="K1560" s="12" t="s">
        <v>21</v>
      </c>
      <c r="L1560" s="7">
        <v>39918.052083333336</v>
      </c>
      <c r="M1560" s="14" t="s">
        <v>1660</v>
      </c>
      <c r="N1560" s="14" t="s">
        <v>1661</v>
      </c>
      <c r="O1560" s="11" t="str">
        <f>HYPERLINK("https://pbs.twimg.com/profile_images/701553083537604608/nr8b38eG_normal.jpg","View")</f>
        <v>View</v>
      </c>
      <c r="P1560" s="15"/>
    </row>
    <row r="1561">
      <c r="A1561" s="7">
        <v>42424.18849537037</v>
      </c>
      <c r="B1561" s="8" t="str">
        <f>HYPERLINK("https://twitter.com/NickUngson","@NickUngson")</f>
        <v>@NickUngson</v>
      </c>
      <c r="C1561" s="10" t="s">
        <v>8818</v>
      </c>
      <c r="D1561" s="10" t="s">
        <v>9153</v>
      </c>
      <c r="E1561" s="11" t="str">
        <f>HYPERLINK("https://twitter.com/NickUngson/status/702470893218492416","702470893218492416")</f>
        <v>702470893218492416</v>
      </c>
      <c r="F1561" s="12" t="s">
        <v>152</v>
      </c>
      <c r="G1561" s="13">
        <v>194.0</v>
      </c>
      <c r="H1561" s="13">
        <v>287.0</v>
      </c>
      <c r="I1561" s="13">
        <v>18.0</v>
      </c>
      <c r="J1561" s="13">
        <v>0.0</v>
      </c>
      <c r="K1561" s="12" t="s">
        <v>21</v>
      </c>
      <c r="L1561" s="7">
        <v>41259.776817129634</v>
      </c>
      <c r="M1561" s="14" t="s">
        <v>8820</v>
      </c>
      <c r="N1561" s="14" t="s">
        <v>8821</v>
      </c>
      <c r="O1561" s="11" t="str">
        <f>HYPERLINK("https://pbs.twimg.com/profile_images/500995924089245699/ZPg_mNR1_normal.jpeg","View")</f>
        <v>View</v>
      </c>
      <c r="P1561" s="15"/>
    </row>
    <row r="1562">
      <c r="A1562" s="7">
        <v>42424.19086805556</v>
      </c>
      <c r="B1562" s="8" t="str">
        <f>HYPERLINK("https://twitter.com/PatrickLiyanage","@PatrickLiyanage")</f>
        <v>@PatrickLiyanage</v>
      </c>
      <c r="C1562" s="10" t="s">
        <v>9154</v>
      </c>
      <c r="D1562" s="10" t="s">
        <v>9119</v>
      </c>
      <c r="E1562" s="11" t="str">
        <f>HYPERLINK("https://twitter.com/PatrickLiyanage/status/702471749984768002","702471749984768002")</f>
        <v>702471749984768002</v>
      </c>
      <c r="F1562" s="12" t="s">
        <v>124</v>
      </c>
      <c r="G1562" s="13">
        <v>176.0</v>
      </c>
      <c r="H1562" s="13">
        <v>273.0</v>
      </c>
      <c r="I1562" s="13">
        <v>2.0</v>
      </c>
      <c r="J1562" s="13">
        <v>0.0</v>
      </c>
      <c r="K1562" s="12" t="s">
        <v>21</v>
      </c>
      <c r="L1562" s="7">
        <v>42198.09266203704</v>
      </c>
      <c r="M1562" s="14" t="s">
        <v>9155</v>
      </c>
      <c r="N1562" s="14" t="s">
        <v>9156</v>
      </c>
      <c r="O1562" s="11" t="str">
        <f>HYPERLINK("https://pbs.twimg.com/profile_images/620523292890431488/zO_8FBhR_normal.png","View")</f>
        <v>View</v>
      </c>
      <c r="P1562" s="15"/>
    </row>
    <row r="1563">
      <c r="A1563" s="7">
        <v>42424.19271990741</v>
      </c>
      <c r="B1563" s="8" t="str">
        <f>HYPERLINK("https://twitter.com/DataWookie","@DataWookie")</f>
        <v>@DataWookie</v>
      </c>
      <c r="C1563" s="10" t="s">
        <v>6231</v>
      </c>
      <c r="D1563" s="10" t="s">
        <v>9157</v>
      </c>
      <c r="E1563" s="11" t="str">
        <f>HYPERLINK("https://twitter.com/DataWookie/status/702472423589810178","702472423589810178")</f>
        <v>702472423589810178</v>
      </c>
      <c r="F1563" s="12" t="s">
        <v>6233</v>
      </c>
      <c r="G1563" s="13">
        <v>426.0</v>
      </c>
      <c r="H1563" s="13">
        <v>296.0</v>
      </c>
      <c r="I1563" s="13">
        <v>0.0</v>
      </c>
      <c r="J1563" s="13">
        <v>0.0</v>
      </c>
      <c r="K1563" s="12" t="s">
        <v>21</v>
      </c>
      <c r="L1563" s="7">
        <v>42166.966678240744</v>
      </c>
      <c r="M1563" s="14" t="s">
        <v>6234</v>
      </c>
      <c r="N1563" s="14" t="s">
        <v>6235</v>
      </c>
      <c r="O1563" s="11" t="str">
        <f>HYPERLINK("https://pbs.twimg.com/profile_images/612471608725213184/eXKo2Kmo_normal.jpg","View")</f>
        <v>View</v>
      </c>
      <c r="P1563" s="15"/>
    </row>
    <row r="1564">
      <c r="A1564" s="7">
        <v>42424.19584490741</v>
      </c>
      <c r="B1564" s="8" t="str">
        <f>HYPERLINK("https://twitter.com/hrhotz","@hrhotz")</f>
        <v>@hrhotz</v>
      </c>
      <c r="C1564" s="10" t="s">
        <v>7363</v>
      </c>
      <c r="D1564" s="10" t="s">
        <v>9158</v>
      </c>
      <c r="E1564" s="11" t="str">
        <f>HYPERLINK("https://twitter.com/hrhotz/status/702473554525351938","702473554525351938")</f>
        <v>702473554525351938</v>
      </c>
      <c r="F1564" s="12" t="s">
        <v>20</v>
      </c>
      <c r="G1564" s="13">
        <v>107.0</v>
      </c>
      <c r="H1564" s="13">
        <v>126.0</v>
      </c>
      <c r="I1564" s="13">
        <v>1.0</v>
      </c>
      <c r="J1564" s="13">
        <v>0.0</v>
      </c>
      <c r="K1564" s="12" t="s">
        <v>21</v>
      </c>
      <c r="L1564" s="7">
        <v>40686.196018518516</v>
      </c>
      <c r="M1564" s="16"/>
      <c r="N1564" s="16"/>
      <c r="O1564" s="11" t="str">
        <f>HYPERLINK("https://pbs.twimg.com/profile_images/459219127203164160/oglOcHsK_normal.jpeg","View")</f>
        <v>View</v>
      </c>
      <c r="P1564" s="15"/>
    </row>
    <row r="1565">
      <c r="A1565" s="7">
        <v>42424.19608796296</v>
      </c>
      <c r="B1565" s="8" t="str">
        <f t="shared" ref="B1565:B1566" si="173">HYPERLINK("https://twitter.com/timelyportfolio","@timelyportfolio")</f>
        <v>@timelyportfolio</v>
      </c>
      <c r="C1565" s="10" t="s">
        <v>3698</v>
      </c>
      <c r="D1565" s="10" t="s">
        <v>9159</v>
      </c>
      <c r="E1565" s="11" t="str">
        <f>HYPERLINK("https://twitter.com/timelyportfolio/status/702473644165963776","702473644165963776")</f>
        <v>702473644165963776</v>
      </c>
      <c r="F1565" s="12" t="s">
        <v>52</v>
      </c>
      <c r="G1565" s="13">
        <v>1875.0</v>
      </c>
      <c r="H1565" s="13">
        <v>2248.0</v>
      </c>
      <c r="I1565" s="13">
        <v>7.0</v>
      </c>
      <c r="J1565" s="13">
        <v>0.0</v>
      </c>
      <c r="K1565" s="12" t="s">
        <v>21</v>
      </c>
      <c r="L1565" s="7">
        <v>40573.86280092593</v>
      </c>
      <c r="M1565" s="14" t="s">
        <v>3700</v>
      </c>
      <c r="N1565" s="14" t="s">
        <v>3701</v>
      </c>
      <c r="O1565" s="11" t="str">
        <f t="shared" ref="O1565:O1566" si="174">HYPERLINK("https://pbs.twimg.com/profile_images/2198946077/image_normal.jpg","View")</f>
        <v>View</v>
      </c>
      <c r="P1565" s="15"/>
    </row>
    <row r="1566">
      <c r="A1566" s="7">
        <v>42424.19644675926</v>
      </c>
      <c r="B1566" s="8" t="str">
        <f t="shared" si="173"/>
        <v>@timelyportfolio</v>
      </c>
      <c r="C1566" s="10" t="s">
        <v>3698</v>
      </c>
      <c r="D1566" s="10" t="s">
        <v>8971</v>
      </c>
      <c r="E1566" s="11" t="str">
        <f>HYPERLINK("https://twitter.com/timelyportfolio/status/702473773937770496","702473773937770496")</f>
        <v>702473773937770496</v>
      </c>
      <c r="F1566" s="12" t="s">
        <v>52</v>
      </c>
      <c r="G1566" s="13">
        <v>1875.0</v>
      </c>
      <c r="H1566" s="13">
        <v>2248.0</v>
      </c>
      <c r="I1566" s="13">
        <v>3.0</v>
      </c>
      <c r="J1566" s="13">
        <v>0.0</v>
      </c>
      <c r="K1566" s="12" t="s">
        <v>21</v>
      </c>
      <c r="L1566" s="7">
        <v>40573.86280092593</v>
      </c>
      <c r="M1566" s="14" t="s">
        <v>3700</v>
      </c>
      <c r="N1566" s="14" t="s">
        <v>3701</v>
      </c>
      <c r="O1566" s="11" t="str">
        <f t="shared" si="174"/>
        <v>View</v>
      </c>
      <c r="P1566" s="15"/>
    </row>
    <row r="1567">
      <c r="A1567" s="7">
        <v>42424.19850694445</v>
      </c>
      <c r="B1567" s="8" t="str">
        <f>HYPERLINK("https://twitter.com/kwbroman","@kwbroman")</f>
        <v>@kwbroman</v>
      </c>
      <c r="C1567" s="10" t="s">
        <v>6662</v>
      </c>
      <c r="D1567" s="10" t="s">
        <v>9159</v>
      </c>
      <c r="E1567" s="11" t="str">
        <f>HYPERLINK("https://twitter.com/kwbroman/status/702474518485295104","702474518485295104")</f>
        <v>702474518485295104</v>
      </c>
      <c r="F1567" s="12" t="s">
        <v>1082</v>
      </c>
      <c r="G1567" s="13">
        <v>3617.0</v>
      </c>
      <c r="H1567" s="13">
        <v>392.0</v>
      </c>
      <c r="I1567" s="13">
        <v>7.0</v>
      </c>
      <c r="J1567" s="13">
        <v>0.0</v>
      </c>
      <c r="K1567" s="12" t="s">
        <v>21</v>
      </c>
      <c r="L1567" s="7">
        <v>41335.79141203704</v>
      </c>
      <c r="M1567" s="14" t="s">
        <v>6664</v>
      </c>
      <c r="N1567" s="14" t="s">
        <v>6665</v>
      </c>
      <c r="O1567" s="11" t="str">
        <f>HYPERLINK("https://pbs.twimg.com/profile_images/680796333460959232/CzoFZb76_normal.jpg","View")</f>
        <v>View</v>
      </c>
      <c r="P1567" s="15"/>
    </row>
    <row r="1568">
      <c r="A1568" s="7">
        <v>42424.19934027777</v>
      </c>
      <c r="B1568" s="8" t="str">
        <f>HYPERLINK("https://twitter.com/jrcajide","@jrcajide")</f>
        <v>@jrcajide</v>
      </c>
      <c r="C1568" s="10" t="s">
        <v>9160</v>
      </c>
      <c r="D1568" s="10" t="s">
        <v>9152</v>
      </c>
      <c r="E1568" s="11" t="str">
        <f>HYPERLINK("https://twitter.com/jrcajide/status/702474822375313408","702474822375313408")</f>
        <v>702474822375313408</v>
      </c>
      <c r="F1568" s="12" t="s">
        <v>52</v>
      </c>
      <c r="G1568" s="13">
        <v>492.0</v>
      </c>
      <c r="H1568" s="13">
        <v>518.0</v>
      </c>
      <c r="I1568" s="13">
        <v>14.0</v>
      </c>
      <c r="J1568" s="13">
        <v>0.0</v>
      </c>
      <c r="K1568" s="12" t="s">
        <v>21</v>
      </c>
      <c r="L1568" s="7">
        <v>40444.296006944445</v>
      </c>
      <c r="M1568" s="14" t="s">
        <v>194</v>
      </c>
      <c r="N1568" s="14" t="s">
        <v>9161</v>
      </c>
      <c r="O1568" s="11" t="str">
        <f>HYPERLINK("https://pbs.twimg.com/profile_images/378800000042873137/2ffb31720df3cfc990c4e213e6675e88_normal.jpeg","View")</f>
        <v>View</v>
      </c>
      <c r="P1568" s="15"/>
    </row>
    <row r="1569">
      <c r="A1569" s="7">
        <v>42424.200891203705</v>
      </c>
      <c r="B1569" s="8" t="str">
        <f>HYPERLINK("https://twitter.com/Pvalsfr","@Pvalsfr")</f>
        <v>@Pvalsfr</v>
      </c>
      <c r="C1569" s="10" t="s">
        <v>771</v>
      </c>
      <c r="D1569" s="10" t="s">
        <v>9152</v>
      </c>
      <c r="E1569" s="11" t="str">
        <f>HYPERLINK("https://twitter.com/Pvalsfr/status/702475382239453184","702475382239453184")</f>
        <v>702475382239453184</v>
      </c>
      <c r="F1569" s="12" t="s">
        <v>152</v>
      </c>
      <c r="G1569" s="13">
        <v>1043.0</v>
      </c>
      <c r="H1569" s="13">
        <v>1081.0</v>
      </c>
      <c r="I1569" s="13">
        <v>14.0</v>
      </c>
      <c r="J1569" s="13">
        <v>0.0</v>
      </c>
      <c r="K1569" s="12" t="s">
        <v>21</v>
      </c>
      <c r="L1569" s="7">
        <v>40867.68900462963</v>
      </c>
      <c r="M1569" s="16"/>
      <c r="N1569" s="16"/>
      <c r="O1569" s="11" t="str">
        <f>HYPERLINK("https://abs.twimg.com/sticky/default_profile_images/default_profile_4_normal.png","View")</f>
        <v>View</v>
      </c>
      <c r="P1569" s="15"/>
    </row>
    <row r="1570">
      <c r="A1570" s="7">
        <v>42424.202326388884</v>
      </c>
      <c r="B1570" s="8" t="str">
        <f>HYPERLINK("https://twitter.com/marvin_dpr","@marvin_dpr")</f>
        <v>@marvin_dpr</v>
      </c>
      <c r="C1570" s="10" t="s">
        <v>9162</v>
      </c>
      <c r="D1570" s="10" t="s">
        <v>9163</v>
      </c>
      <c r="E1570" s="11" t="str">
        <f>HYPERLINK("https://twitter.com/marvin_dpr/status/702475904816177153","702475904816177153")</f>
        <v>702475904816177153</v>
      </c>
      <c r="F1570" s="12" t="s">
        <v>152</v>
      </c>
      <c r="G1570" s="13">
        <v>235.0</v>
      </c>
      <c r="H1570" s="13">
        <v>354.0</v>
      </c>
      <c r="I1570" s="13">
        <v>1.0</v>
      </c>
      <c r="J1570" s="13">
        <v>0.0</v>
      </c>
      <c r="K1570" s="12" t="s">
        <v>21</v>
      </c>
      <c r="L1570" s="7">
        <v>41463.95658564815</v>
      </c>
      <c r="M1570" s="14" t="s">
        <v>9164</v>
      </c>
      <c r="N1570" s="14" t="s">
        <v>9165</v>
      </c>
      <c r="O1570" s="11" t="str">
        <f>HYPERLINK("https://pbs.twimg.com/profile_images/689731265419960320/U7J19j40_normal.png","View")</f>
        <v>View</v>
      </c>
      <c r="P1570" s="15"/>
    </row>
    <row r="1571">
      <c r="A1571" s="7">
        <v>42424.203946759255</v>
      </c>
      <c r="B1571" s="8" t="str">
        <f>HYPERLINK("https://twitter.com/alf_crisci","@alf_crisci")</f>
        <v>@alf_crisci</v>
      </c>
      <c r="C1571" s="10" t="s">
        <v>9166</v>
      </c>
      <c r="D1571" s="10" t="s">
        <v>9152</v>
      </c>
      <c r="E1571" s="11" t="str">
        <f>HYPERLINK("https://twitter.com/alf_crisci/status/702476490919833600","702476490919833600")</f>
        <v>702476490919833600</v>
      </c>
      <c r="F1571" s="12" t="s">
        <v>20</v>
      </c>
      <c r="G1571" s="13">
        <v>476.0</v>
      </c>
      <c r="H1571" s="13">
        <v>492.0</v>
      </c>
      <c r="I1571" s="13">
        <v>14.0</v>
      </c>
      <c r="J1571" s="13">
        <v>0.0</v>
      </c>
      <c r="K1571" s="12" t="s">
        <v>21</v>
      </c>
      <c r="L1571" s="7">
        <v>40513.31891203704</v>
      </c>
      <c r="M1571" s="14" t="s">
        <v>9167</v>
      </c>
      <c r="N1571" s="14" t="s">
        <v>9168</v>
      </c>
      <c r="O1571" s="11" t="str">
        <f>HYPERLINK("https://pbs.twimg.com/profile_images/593860929454022656/8Wr0gd9g_normal.jpg","View")</f>
        <v>View</v>
      </c>
      <c r="P1571" s="15"/>
    </row>
    <row r="1572">
      <c r="A1572" s="7">
        <v>42424.20858796296</v>
      </c>
      <c r="B1572" s="8" t="str">
        <f>HYPERLINK("https://twitter.com/wrgarciag","@wrgarciag")</f>
        <v>@wrgarciag</v>
      </c>
      <c r="C1572" s="10" t="s">
        <v>6411</v>
      </c>
      <c r="D1572" s="10" t="s">
        <v>9152</v>
      </c>
      <c r="E1572" s="11" t="str">
        <f>HYPERLINK("https://twitter.com/wrgarciag/status/702478174106554368","702478174106554368")</f>
        <v>702478174106554368</v>
      </c>
      <c r="F1572" s="12" t="s">
        <v>152</v>
      </c>
      <c r="G1572" s="13">
        <v>48.0</v>
      </c>
      <c r="H1572" s="13">
        <v>248.0</v>
      </c>
      <c r="I1572" s="13">
        <v>14.0</v>
      </c>
      <c r="J1572" s="13">
        <v>0.0</v>
      </c>
      <c r="K1572" s="12" t="s">
        <v>21</v>
      </c>
      <c r="L1572" s="7">
        <v>41367.64738425926</v>
      </c>
      <c r="M1572" s="14" t="s">
        <v>1183</v>
      </c>
      <c r="N1572" s="14" t="s">
        <v>6412</v>
      </c>
      <c r="O1572" s="11" t="str">
        <f>HYPERLINK("https://pbs.twimg.com/profile_images/548931380541792256/RN_Lg1sS_normal.jpeg","View")</f>
        <v>View</v>
      </c>
      <c r="P1572" s="15"/>
    </row>
    <row r="1573">
      <c r="A1573" s="7">
        <v>42424.209814814814</v>
      </c>
      <c r="B1573" s="8" t="str">
        <f>HYPERLINK("https://twitter.com/prylypko","@prylypko")</f>
        <v>@prylypko</v>
      </c>
      <c r="C1573" s="10" t="s">
        <v>9169</v>
      </c>
      <c r="D1573" s="10" t="s">
        <v>7352</v>
      </c>
      <c r="E1573" s="11" t="str">
        <f>HYPERLINK("https://twitter.com/prylypko/status/702478619122266113","702478619122266113")</f>
        <v>702478619122266113</v>
      </c>
      <c r="F1573" s="12" t="s">
        <v>20</v>
      </c>
      <c r="G1573" s="13">
        <v>402.0</v>
      </c>
      <c r="H1573" s="13">
        <v>193.0</v>
      </c>
      <c r="I1573" s="13">
        <v>48.0</v>
      </c>
      <c r="J1573" s="13">
        <v>0.0</v>
      </c>
      <c r="K1573" s="12" t="s">
        <v>21</v>
      </c>
      <c r="L1573" s="7">
        <v>39848.22048611111</v>
      </c>
      <c r="M1573" s="14" t="s">
        <v>7729</v>
      </c>
      <c r="N1573" s="16"/>
      <c r="O1573" s="11" t="str">
        <f>HYPERLINK("https://pbs.twimg.com/profile_images/702031414984892416/nlex4cz2_normal.jpg","View")</f>
        <v>View</v>
      </c>
      <c r="P1573" s="15"/>
    </row>
    <row r="1574">
      <c r="A1574" s="7">
        <v>42424.21105324074</v>
      </c>
      <c r="B1574" s="8" t="str">
        <f>HYPERLINK("https://twitter.com/AlesMaver","@AlesMaver")</f>
        <v>@AlesMaver</v>
      </c>
      <c r="C1574" s="10" t="s">
        <v>9170</v>
      </c>
      <c r="D1574" s="10" t="s">
        <v>9135</v>
      </c>
      <c r="E1574" s="11" t="str">
        <f>HYPERLINK("https://twitter.com/AlesMaver/status/702479064381177856","702479064381177856")</f>
        <v>702479064381177856</v>
      </c>
      <c r="F1574" s="12" t="s">
        <v>52</v>
      </c>
      <c r="G1574" s="13">
        <v>83.0</v>
      </c>
      <c r="H1574" s="13">
        <v>198.0</v>
      </c>
      <c r="I1574" s="13">
        <v>3.0</v>
      </c>
      <c r="J1574" s="13">
        <v>0.0</v>
      </c>
      <c r="K1574" s="12" t="s">
        <v>21</v>
      </c>
      <c r="L1574" s="7">
        <v>41759.54721064815</v>
      </c>
      <c r="M1574" s="14" t="s">
        <v>9171</v>
      </c>
      <c r="N1574" s="14" t="s">
        <v>9172</v>
      </c>
      <c r="O1574" s="11" t="str">
        <f>HYPERLINK("https://pbs.twimg.com/profile_images/522463824805261312/K26Scrp3_normal.png","View")</f>
        <v>View</v>
      </c>
      <c r="P1574" s="15"/>
    </row>
    <row r="1575">
      <c r="A1575" s="7">
        <v>42424.21163194445</v>
      </c>
      <c r="B1575" s="8" t="str">
        <f>HYPERLINK("https://twitter.com/DataAndDataViz","@DataAndDataViz")</f>
        <v>@DataAndDataViz</v>
      </c>
      <c r="C1575" s="10" t="s">
        <v>5145</v>
      </c>
      <c r="D1575" s="10" t="s">
        <v>9159</v>
      </c>
      <c r="E1575" s="11" t="str">
        <f>HYPERLINK("https://twitter.com/DataAndDataViz/status/702479277435002880","702479277435002880")</f>
        <v>702479277435002880</v>
      </c>
      <c r="F1575" s="12" t="s">
        <v>5146</v>
      </c>
      <c r="G1575" s="13">
        <v>473.0</v>
      </c>
      <c r="H1575" s="13">
        <v>140.0</v>
      </c>
      <c r="I1575" s="13">
        <v>7.0</v>
      </c>
      <c r="J1575" s="13">
        <v>0.0</v>
      </c>
      <c r="K1575" s="12" t="s">
        <v>21</v>
      </c>
      <c r="L1575" s="7">
        <v>41603.30427083334</v>
      </c>
      <c r="M1575" s="16"/>
      <c r="N1575" s="14" t="s">
        <v>5147</v>
      </c>
      <c r="O1575" s="11" t="str">
        <f>HYPERLINK("https://pbs.twimg.com/profile_images/412249095110008832/J_K4--iQ_normal.png","View")</f>
        <v>View</v>
      </c>
      <c r="P1575" s="15"/>
    </row>
    <row r="1576">
      <c r="A1576" s="7">
        <v>42424.21266203704</v>
      </c>
      <c r="B1576" s="8" t="str">
        <f>HYPERLINK("https://twitter.com/BillPetti","@BillPetti")</f>
        <v>@BillPetti</v>
      </c>
      <c r="C1576" s="10" t="s">
        <v>7229</v>
      </c>
      <c r="D1576" s="10" t="s">
        <v>8971</v>
      </c>
      <c r="E1576" s="11" t="str">
        <f>HYPERLINK("https://twitter.com/BillPetti/status/702479647917916161","702479647917916161")</f>
        <v>702479647917916161</v>
      </c>
      <c r="F1576" s="12" t="s">
        <v>52</v>
      </c>
      <c r="G1576" s="13">
        <v>2350.0</v>
      </c>
      <c r="H1576" s="13">
        <v>978.0</v>
      </c>
      <c r="I1576" s="13">
        <v>3.0</v>
      </c>
      <c r="J1576" s="13">
        <v>0.0</v>
      </c>
      <c r="K1576" s="12" t="s">
        <v>21</v>
      </c>
      <c r="L1576" s="7">
        <v>39909.537997685184</v>
      </c>
      <c r="M1576" s="14" t="s">
        <v>7231</v>
      </c>
      <c r="N1576" s="14" t="s">
        <v>7232</v>
      </c>
      <c r="O1576" s="11" t="str">
        <f>HYPERLINK("https://pbs.twimg.com/profile_images/378800000666016370/4659ea1cf77b789e488e4c6888419315_normal.png","View")</f>
        <v>View</v>
      </c>
      <c r="P1576" s="15"/>
    </row>
    <row r="1577">
      <c r="A1577" s="7">
        <v>42424.21461805556</v>
      </c>
      <c r="B1577" s="8" t="str">
        <f>HYPERLINK("https://twitter.com/thomasp85","@thomasp85")</f>
        <v>@thomasp85</v>
      </c>
      <c r="C1577" s="10" t="s">
        <v>7089</v>
      </c>
      <c r="D1577" s="10" t="s">
        <v>9173</v>
      </c>
      <c r="E1577" s="11" t="str">
        <f>HYPERLINK("https://twitter.com/thomasp85/status/702480356931407872","702480356931407872")</f>
        <v>702480356931407872</v>
      </c>
      <c r="F1577" s="12" t="s">
        <v>20</v>
      </c>
      <c r="G1577" s="13">
        <v>166.0</v>
      </c>
      <c r="H1577" s="13">
        <v>45.0</v>
      </c>
      <c r="I1577" s="13">
        <v>12.0</v>
      </c>
      <c r="J1577" s="13">
        <v>29.0</v>
      </c>
      <c r="K1577" s="12" t="s">
        <v>21</v>
      </c>
      <c r="L1577" s="7">
        <v>41078.1696875</v>
      </c>
      <c r="M1577" s="14" t="s">
        <v>7091</v>
      </c>
      <c r="N1577" s="14" t="s">
        <v>7092</v>
      </c>
      <c r="O1577" s="11" t="str">
        <f>HYPERLINK("https://pbs.twimg.com/profile_images/685178010962505728/m0D-Pvwg_normal.jpg","View")</f>
        <v>View</v>
      </c>
      <c r="P1577" s="15"/>
    </row>
    <row r="1578">
      <c r="A1578" s="7">
        <v>42424.21506944444</v>
      </c>
      <c r="B1578" s="8" t="str">
        <f>HYPERLINK("https://twitter.com/pwsegal_CA","@pwsegal_CA")</f>
        <v>@pwsegal_CA</v>
      </c>
      <c r="C1578" s="10" t="s">
        <v>9174</v>
      </c>
      <c r="D1578" s="10" t="s">
        <v>9152</v>
      </c>
      <c r="E1578" s="11" t="str">
        <f>HYPERLINK("https://twitter.com/pwsegal_CA/status/702480523441135619","702480523441135619")</f>
        <v>702480523441135619</v>
      </c>
      <c r="F1578" s="12" t="s">
        <v>20</v>
      </c>
      <c r="G1578" s="13">
        <v>25.0</v>
      </c>
      <c r="H1578" s="13">
        <v>73.0</v>
      </c>
      <c r="I1578" s="13">
        <v>14.0</v>
      </c>
      <c r="J1578" s="13">
        <v>0.0</v>
      </c>
      <c r="K1578" s="12" t="s">
        <v>21</v>
      </c>
      <c r="L1578" s="7">
        <v>41202.445810185185</v>
      </c>
      <c r="M1578" s="14" t="s">
        <v>3175</v>
      </c>
      <c r="N1578" s="14" t="s">
        <v>9175</v>
      </c>
      <c r="O1578" s="11" t="str">
        <f>HYPERLINK("https://pbs.twimg.com/profile_images/2820491034/8f6d18cf3410a120179dc2962dcfe97f_normal.png","View")</f>
        <v>View</v>
      </c>
      <c r="P1578" s="15"/>
    </row>
    <row r="1579">
      <c r="A1579" s="7">
        <v>42424.2175</v>
      </c>
      <c r="B1579" s="8" t="str">
        <f t="shared" ref="B1579:B1580" si="175">HYPERLINK("https://twitter.com/mdshw5","@mdshw5")</f>
        <v>@mdshw5</v>
      </c>
      <c r="C1579" s="10" t="s">
        <v>8895</v>
      </c>
      <c r="D1579" s="10" t="s">
        <v>9176</v>
      </c>
      <c r="E1579" s="11" t="str">
        <f>HYPERLINK("https://twitter.com/mdshw5/status/702481403489984512","702481403489984512")</f>
        <v>702481403489984512</v>
      </c>
      <c r="F1579" s="12" t="s">
        <v>1828</v>
      </c>
      <c r="G1579" s="13">
        <v>364.0</v>
      </c>
      <c r="H1579" s="13">
        <v>545.0</v>
      </c>
      <c r="I1579" s="13">
        <v>0.0</v>
      </c>
      <c r="J1579" s="13">
        <v>0.0</v>
      </c>
      <c r="K1579" s="12" t="s">
        <v>21</v>
      </c>
      <c r="L1579" s="7">
        <v>39745.873761574076</v>
      </c>
      <c r="M1579" s="14" t="s">
        <v>1660</v>
      </c>
      <c r="N1579" s="14" t="s">
        <v>8897</v>
      </c>
      <c r="O1579" s="11" t="str">
        <f t="shared" ref="O1579:O1580" si="176">HYPERLINK("https://pbs.twimg.com/profile_images/473860930099351552/UX-vhJK8_normal.jpeg","View")</f>
        <v>View</v>
      </c>
      <c r="P1579" s="15"/>
    </row>
    <row r="1580">
      <c r="A1580" s="7">
        <v>42424.21789351852</v>
      </c>
      <c r="B1580" s="8" t="str">
        <f t="shared" si="175"/>
        <v>@mdshw5</v>
      </c>
      <c r="C1580" s="10" t="s">
        <v>8895</v>
      </c>
      <c r="D1580" s="10" t="s">
        <v>8666</v>
      </c>
      <c r="E1580" s="11" t="str">
        <f>HYPERLINK("https://twitter.com/mdshw5/status/702481544326332416","702481544326332416")</f>
        <v>702481544326332416</v>
      </c>
      <c r="F1580" s="12" t="s">
        <v>1828</v>
      </c>
      <c r="G1580" s="13">
        <v>364.0</v>
      </c>
      <c r="H1580" s="13">
        <v>545.0</v>
      </c>
      <c r="I1580" s="13">
        <v>50.0</v>
      </c>
      <c r="J1580" s="13">
        <v>0.0</v>
      </c>
      <c r="K1580" s="12" t="s">
        <v>21</v>
      </c>
      <c r="L1580" s="7">
        <v>39745.873761574076</v>
      </c>
      <c r="M1580" s="14" t="s">
        <v>1660</v>
      </c>
      <c r="N1580" s="14" t="s">
        <v>8897</v>
      </c>
      <c r="O1580" s="11" t="str">
        <f t="shared" si="176"/>
        <v>View</v>
      </c>
      <c r="P1580" s="15"/>
    </row>
    <row r="1581">
      <c r="A1581" s="7">
        <v>42424.22002314815</v>
      </c>
      <c r="B1581" s="8" t="str">
        <f>HYPERLINK("https://twitter.com/jjstache","@jjstache")</f>
        <v>@jjstache</v>
      </c>
      <c r="C1581" s="10" t="s">
        <v>9177</v>
      </c>
      <c r="D1581" s="10" t="s">
        <v>8882</v>
      </c>
      <c r="E1581" s="11" t="str">
        <f>HYPERLINK("https://twitter.com/jjstache/status/702482317437173760","702482317437173760")</f>
        <v>702482317437173760</v>
      </c>
      <c r="F1581" s="12" t="s">
        <v>152</v>
      </c>
      <c r="G1581" s="13">
        <v>80.0</v>
      </c>
      <c r="H1581" s="13">
        <v>304.0</v>
      </c>
      <c r="I1581" s="13">
        <v>3.0</v>
      </c>
      <c r="J1581" s="13">
        <v>0.0</v>
      </c>
      <c r="K1581" s="12" t="s">
        <v>21</v>
      </c>
      <c r="L1581" s="7">
        <v>42063.734131944446</v>
      </c>
      <c r="M1581" s="16"/>
      <c r="N1581" s="14" t="s">
        <v>9178</v>
      </c>
      <c r="O1581" s="11" t="str">
        <f>HYPERLINK("https://pbs.twimg.com/profile_images/574402802732003329/6xGdxR4M_normal.jpeg","View")</f>
        <v>View</v>
      </c>
      <c r="P1581" s="15"/>
    </row>
    <row r="1582">
      <c r="A1582" s="7">
        <v>42424.22524305555</v>
      </c>
      <c r="B1582" s="8" t="str">
        <f>HYPERLINK("https://twitter.com/ErmiaBivatan","@ErmiaBivatan")</f>
        <v>@ErmiaBivatan</v>
      </c>
      <c r="C1582" s="10" t="s">
        <v>6261</v>
      </c>
      <c r="D1582" s="10" t="s">
        <v>9179</v>
      </c>
      <c r="E1582" s="11" t="str">
        <f>HYPERLINK("https://twitter.com/ErmiaBivatan/status/702484208091004929","702484208091004929")</f>
        <v>702484208091004929</v>
      </c>
      <c r="F1582" s="12" t="s">
        <v>20</v>
      </c>
      <c r="G1582" s="13">
        <v>45.0</v>
      </c>
      <c r="H1582" s="13">
        <v>142.0</v>
      </c>
      <c r="I1582" s="13">
        <v>12.0</v>
      </c>
      <c r="J1582" s="13">
        <v>0.0</v>
      </c>
      <c r="K1582" s="12" t="s">
        <v>21</v>
      </c>
      <c r="L1582" s="7">
        <v>41409.883356481485</v>
      </c>
      <c r="M1582" s="16"/>
      <c r="N1582" s="14" t="s">
        <v>6263</v>
      </c>
      <c r="O1582" s="11" t="str">
        <f>HYPERLINK("https://pbs.twimg.com/profile_images/700219041131204608/DZKmHE4-_normal.jpg","View")</f>
        <v>View</v>
      </c>
      <c r="P1582" s="15"/>
    </row>
    <row r="1583">
      <c r="A1583" s="7">
        <v>42424.23202546296</v>
      </c>
      <c r="B1583" s="8" t="str">
        <f>HYPERLINK("https://twitter.com/sophieharries17","@sophieharries17")</f>
        <v>@sophieharries17</v>
      </c>
      <c r="C1583" s="10" t="s">
        <v>9180</v>
      </c>
      <c r="D1583" s="10" t="s">
        <v>8542</v>
      </c>
      <c r="E1583" s="11" t="str">
        <f>HYPERLINK("https://twitter.com/sophieharries17/status/702486664371970048","702486664371970048")</f>
        <v>702486664371970048</v>
      </c>
      <c r="F1583" s="12" t="s">
        <v>152</v>
      </c>
      <c r="G1583" s="13">
        <v>49.0</v>
      </c>
      <c r="H1583" s="13">
        <v>25.0</v>
      </c>
      <c r="I1583" s="13">
        <v>4.0</v>
      </c>
      <c r="J1583" s="13">
        <v>0.0</v>
      </c>
      <c r="K1583" s="12" t="s">
        <v>21</v>
      </c>
      <c r="L1583" s="7">
        <v>41984.07026620371</v>
      </c>
      <c r="M1583" s="14" t="s">
        <v>9181</v>
      </c>
      <c r="N1583" s="14" t="s">
        <v>9182</v>
      </c>
      <c r="O1583" s="11" t="str">
        <f>HYPERLINK("https://pbs.twimg.com/profile_images/542978775575957504/edw4o5WW_normal.jpeg","View")</f>
        <v>View</v>
      </c>
      <c r="P1583" s="15"/>
    </row>
    <row r="1584">
      <c r="A1584" s="7">
        <v>42424.233136574076</v>
      </c>
      <c r="B1584" s="8" t="str">
        <f>HYPERLINK("https://twitter.com/ChrisBeeley","@ChrisBeeley")</f>
        <v>@ChrisBeeley</v>
      </c>
      <c r="C1584" s="10" t="s">
        <v>9183</v>
      </c>
      <c r="D1584" s="10" t="s">
        <v>9184</v>
      </c>
      <c r="E1584" s="11" t="str">
        <f>HYPERLINK("https://twitter.com/ChrisBeeley/status/702487070732902400","702487070732902400")</f>
        <v>702487070732902400</v>
      </c>
      <c r="F1584" s="12" t="s">
        <v>446</v>
      </c>
      <c r="G1584" s="13">
        <v>258.0</v>
      </c>
      <c r="H1584" s="13">
        <v>385.0</v>
      </c>
      <c r="I1584" s="13">
        <v>0.0</v>
      </c>
      <c r="J1584" s="13">
        <v>1.0</v>
      </c>
      <c r="K1584" s="12" t="s">
        <v>21</v>
      </c>
      <c r="L1584" s="7">
        <v>40756.15133101852</v>
      </c>
      <c r="M1584" s="16"/>
      <c r="N1584" s="14" t="s">
        <v>9185</v>
      </c>
      <c r="O1584" s="11" t="str">
        <f>HYPERLINK("https://pbs.twimg.com/profile_images/459347899596304384/nnwc_De8_normal.jpeg","View")</f>
        <v>View</v>
      </c>
      <c r="P1584" s="15"/>
    </row>
    <row r="1585">
      <c r="A1585" s="7">
        <v>42424.237557870365</v>
      </c>
      <c r="B1585" s="8" t="str">
        <f>HYPERLINK("https://twitter.com/Champ_Pairach","@Champ_Pairach")</f>
        <v>@Champ_Pairach</v>
      </c>
      <c r="C1585" s="10" t="s">
        <v>9186</v>
      </c>
      <c r="D1585" s="10" t="s">
        <v>9044</v>
      </c>
      <c r="E1585" s="11" t="str">
        <f>HYPERLINK("https://twitter.com/Champ_Pairach/status/702488670918483968","702488670918483968")</f>
        <v>702488670918483968</v>
      </c>
      <c r="F1585" s="12" t="s">
        <v>52</v>
      </c>
      <c r="G1585" s="13">
        <v>526.0</v>
      </c>
      <c r="H1585" s="13">
        <v>151.0</v>
      </c>
      <c r="I1585" s="13">
        <v>2.0</v>
      </c>
      <c r="J1585" s="13">
        <v>0.0</v>
      </c>
      <c r="K1585" s="12" t="s">
        <v>21</v>
      </c>
      <c r="L1585" s="7">
        <v>40737.070069444446</v>
      </c>
      <c r="M1585" s="14" t="s">
        <v>9187</v>
      </c>
      <c r="N1585" s="14" t="s">
        <v>9188</v>
      </c>
      <c r="O1585" s="11" t="str">
        <f>HYPERLINK("https://pbs.twimg.com/profile_images/2870329116/86a8c8dfb6e84291f06a5890fe5912e4_normal.jpeg","View")</f>
        <v>View</v>
      </c>
      <c r="P1585" s="15"/>
    </row>
    <row r="1586">
      <c r="A1586" s="7">
        <v>42424.238032407404</v>
      </c>
      <c r="B1586" s="8" t="str">
        <f>HYPERLINK("https://twitter.com/jebyrnes","@jebyrnes")</f>
        <v>@jebyrnes</v>
      </c>
      <c r="C1586" s="10" t="s">
        <v>9189</v>
      </c>
      <c r="D1586" s="10" t="s">
        <v>9190</v>
      </c>
      <c r="E1586" s="11" t="str">
        <f>HYPERLINK("https://twitter.com/jebyrnes/status/702488844629884928","702488844629884928")</f>
        <v>702488844629884928</v>
      </c>
      <c r="F1586" s="12" t="s">
        <v>20</v>
      </c>
      <c r="G1586" s="13">
        <v>3188.0</v>
      </c>
      <c r="H1586" s="13">
        <v>2368.0</v>
      </c>
      <c r="I1586" s="13">
        <v>3.0</v>
      </c>
      <c r="J1586" s="13">
        <v>1.0</v>
      </c>
      <c r="K1586" s="12" t="s">
        <v>21</v>
      </c>
      <c r="L1586" s="7">
        <v>39867.62258101852</v>
      </c>
      <c r="M1586" s="14" t="s">
        <v>332</v>
      </c>
      <c r="N1586" s="14" t="s">
        <v>9191</v>
      </c>
      <c r="O1586" s="11" t="str">
        <f>HYPERLINK("https://pbs.twimg.com/profile_images/1278324526/Screen_shot_2011-03-18_at_11.05.13_AM_normal.png","View")</f>
        <v>View</v>
      </c>
      <c r="P1586" s="15"/>
    </row>
    <row r="1587">
      <c r="A1587" s="7">
        <v>42424.24733796297</v>
      </c>
      <c r="B1587" s="8" t="str">
        <f>HYPERLINK("https://twitter.com/fqz7c3","@fqz7c3")</f>
        <v>@fqz7c3</v>
      </c>
      <c r="C1587" s="10" t="s">
        <v>9192</v>
      </c>
      <c r="D1587" s="10" t="s">
        <v>6663</v>
      </c>
      <c r="E1587" s="11" t="str">
        <f>HYPERLINK("https://twitter.com/fqz7c3/status/702492214186741760","702492214186741760")</f>
        <v>702492214186741760</v>
      </c>
      <c r="F1587" s="12" t="s">
        <v>20</v>
      </c>
      <c r="G1587" s="13">
        <v>49.0</v>
      </c>
      <c r="H1587" s="13">
        <v>64.0</v>
      </c>
      <c r="I1587" s="13">
        <v>20.0</v>
      </c>
      <c r="J1587" s="13">
        <v>0.0</v>
      </c>
      <c r="K1587" s="12" t="s">
        <v>21</v>
      </c>
      <c r="L1587" s="7">
        <v>41426.9266550926</v>
      </c>
      <c r="M1587" s="14" t="s">
        <v>7883</v>
      </c>
      <c r="N1587" s="14" t="s">
        <v>9193</v>
      </c>
      <c r="O1587" s="11" t="str">
        <f>HYPERLINK("https://abs.twimg.com/sticky/default_profile_images/default_profile_4_normal.png","View")</f>
        <v>View</v>
      </c>
      <c r="P1587" s="15"/>
    </row>
    <row r="1588">
      <c r="A1588" s="7">
        <v>42424.25038194444</v>
      </c>
      <c r="B1588" s="8" t="str">
        <f>HYPERLINK("https://twitter.com/Voovarb","@Voovarb")</f>
        <v>@Voovarb</v>
      </c>
      <c r="C1588" s="10" t="s">
        <v>9194</v>
      </c>
      <c r="D1588" s="10" t="s">
        <v>9159</v>
      </c>
      <c r="E1588" s="11" t="str">
        <f>HYPERLINK("https://twitter.com/Voovarb/status/702493319788498944","702493319788498944")</f>
        <v>702493319788498944</v>
      </c>
      <c r="F1588" s="12" t="s">
        <v>1082</v>
      </c>
      <c r="G1588" s="13">
        <v>276.0</v>
      </c>
      <c r="H1588" s="13">
        <v>257.0</v>
      </c>
      <c r="I1588" s="13">
        <v>7.0</v>
      </c>
      <c r="J1588" s="13">
        <v>0.0</v>
      </c>
      <c r="K1588" s="12" t="s">
        <v>21</v>
      </c>
      <c r="L1588" s="7">
        <v>41869.92288194445</v>
      </c>
      <c r="M1588" s="16"/>
      <c r="N1588" s="14" t="s">
        <v>9195</v>
      </c>
      <c r="O1588" s="11" t="str">
        <f>HYPERLINK("https://pbs.twimg.com/profile_images/626808502929899522/nF4A807A_normal.jpg","View")</f>
        <v>View</v>
      </c>
      <c r="P1588" s="15"/>
    </row>
    <row r="1589">
      <c r="A1589" s="7">
        <v>42424.25040509259</v>
      </c>
      <c r="B1589" s="8" t="str">
        <f>HYPERLINK("https://twitter.com/fqz7c3","@fqz7c3")</f>
        <v>@fqz7c3</v>
      </c>
      <c r="C1589" s="10" t="s">
        <v>9192</v>
      </c>
      <c r="D1589" s="10" t="s">
        <v>6687</v>
      </c>
      <c r="E1589" s="11" t="str">
        <f>HYPERLINK("https://twitter.com/fqz7c3/status/702493327355023360","702493327355023360")</f>
        <v>702493327355023360</v>
      </c>
      <c r="F1589" s="12" t="s">
        <v>20</v>
      </c>
      <c r="G1589" s="13">
        <v>49.0</v>
      </c>
      <c r="H1589" s="13">
        <v>64.0</v>
      </c>
      <c r="I1589" s="13">
        <v>8.0</v>
      </c>
      <c r="J1589" s="13">
        <v>0.0</v>
      </c>
      <c r="K1589" s="12" t="s">
        <v>21</v>
      </c>
      <c r="L1589" s="7">
        <v>41426.9266550926</v>
      </c>
      <c r="M1589" s="14" t="s">
        <v>7883</v>
      </c>
      <c r="N1589" s="14" t="s">
        <v>9193</v>
      </c>
      <c r="O1589" s="11" t="str">
        <f>HYPERLINK("https://abs.twimg.com/sticky/default_profile_images/default_profile_4_normal.png","View")</f>
        <v>View</v>
      </c>
      <c r="P1589" s="15"/>
    </row>
    <row r="1590">
      <c r="A1590" s="7">
        <v>42424.250497685185</v>
      </c>
      <c r="B1590" s="8" t="str">
        <f>HYPERLINK("https://twitter.com/devlintufts","@devlintufts")</f>
        <v>@devlintufts</v>
      </c>
      <c r="C1590" s="10" t="s">
        <v>9196</v>
      </c>
      <c r="D1590" s="10" t="s">
        <v>9197</v>
      </c>
      <c r="E1590" s="11" t="str">
        <f>HYPERLINK("https://twitter.com/devlintufts/status/702493360389545984","702493360389545984")</f>
        <v>702493360389545984</v>
      </c>
      <c r="F1590" s="12" t="s">
        <v>20</v>
      </c>
      <c r="G1590" s="13">
        <v>128.0</v>
      </c>
      <c r="H1590" s="13">
        <v>275.0</v>
      </c>
      <c r="I1590" s="13">
        <v>0.0</v>
      </c>
      <c r="J1590" s="13">
        <v>1.0</v>
      </c>
      <c r="K1590" s="12" t="s">
        <v>21</v>
      </c>
      <c r="L1590" s="7">
        <v>41223.41166666667</v>
      </c>
      <c r="M1590" s="16"/>
      <c r="N1590" s="14" t="s">
        <v>9198</v>
      </c>
      <c r="O1590" s="11" t="str">
        <f>HYPERLINK("https://pbs.twimg.com/profile_images/558998884471435265/WRqSmwhB_normal.jpeg","View")</f>
        <v>View</v>
      </c>
      <c r="P1590" s="15"/>
    </row>
    <row r="1591">
      <c r="A1591" s="7">
        <v>42424.25194444445</v>
      </c>
      <c r="B1591" s="8" t="str">
        <f>HYPERLINK("https://twitter.com/dataandme","@dataandme")</f>
        <v>@dataandme</v>
      </c>
      <c r="C1591" s="10" t="s">
        <v>6648</v>
      </c>
      <c r="D1591" s="10" t="s">
        <v>9199</v>
      </c>
      <c r="E1591" s="11" t="str">
        <f>HYPERLINK("https://twitter.com/dataandme/status/702493886875357185","702493886875357185")</f>
        <v>702493886875357185</v>
      </c>
      <c r="F1591" s="12" t="s">
        <v>294</v>
      </c>
      <c r="G1591" s="13">
        <v>2501.0</v>
      </c>
      <c r="H1591" s="13">
        <v>1940.0</v>
      </c>
      <c r="I1591" s="13">
        <v>13.0</v>
      </c>
      <c r="J1591" s="13">
        <v>17.0</v>
      </c>
      <c r="K1591" s="12" t="s">
        <v>21</v>
      </c>
      <c r="L1591" s="7">
        <v>42127.19739583333</v>
      </c>
      <c r="M1591" s="14" t="s">
        <v>332</v>
      </c>
      <c r="N1591" s="14" t="s">
        <v>6650</v>
      </c>
      <c r="O1591" s="11" t="str">
        <f>HYPERLINK("https://pbs.twimg.com/profile_images/598126722920361984/HdS1NWXJ_normal.png","View")</f>
        <v>View</v>
      </c>
      <c r="P1591" s="15"/>
    </row>
    <row r="1592">
      <c r="A1592" s="7">
        <v>42424.252430555556</v>
      </c>
      <c r="B1592" s="8" t="str">
        <f>HYPERLINK("https://twitter.com/openmylab","@openmylab")</f>
        <v>@openmylab</v>
      </c>
      <c r="C1592" s="10" t="s">
        <v>5852</v>
      </c>
      <c r="D1592" s="10" t="s">
        <v>9200</v>
      </c>
      <c r="E1592" s="11" t="str">
        <f>HYPERLINK("https://twitter.com/openmylab/status/702494062406868992","702494062406868992")</f>
        <v>702494062406868992</v>
      </c>
      <c r="F1592" s="12" t="s">
        <v>2063</v>
      </c>
      <c r="G1592" s="13">
        <v>1017.0</v>
      </c>
      <c r="H1592" s="13">
        <v>974.0</v>
      </c>
      <c r="I1592" s="13">
        <v>13.0</v>
      </c>
      <c r="J1592" s="13">
        <v>0.0</v>
      </c>
      <c r="K1592" s="12" t="s">
        <v>21</v>
      </c>
      <c r="L1592" s="7">
        <v>42283.33546296296</v>
      </c>
      <c r="M1592" s="14" t="s">
        <v>5854</v>
      </c>
      <c r="N1592" s="14" t="s">
        <v>5855</v>
      </c>
      <c r="O1592" s="11" t="str">
        <f>HYPERLINK("https://pbs.twimg.com/profile_images/696226577386852352/yseUYL_3_normal.jpg","View")</f>
        <v>View</v>
      </c>
      <c r="P1592" s="15"/>
    </row>
    <row r="1593">
      <c r="A1593" s="7">
        <v>42424.25407407407</v>
      </c>
      <c r="B1593" s="8" t="str">
        <f>HYPERLINK("https://twitter.com/vakulkumarmore","@vakulkumarmore")</f>
        <v>@vakulkumarmore</v>
      </c>
      <c r="C1593" s="10" t="s">
        <v>9201</v>
      </c>
      <c r="D1593" s="10" t="s">
        <v>9202</v>
      </c>
      <c r="E1593" s="11" t="str">
        <f>HYPERLINK("https://twitter.com/vakulkumarmore/status/702494655796137984","702494655796137984")</f>
        <v>702494655796137984</v>
      </c>
      <c r="F1593" s="12" t="s">
        <v>659</v>
      </c>
      <c r="G1593" s="13">
        <v>747.0</v>
      </c>
      <c r="H1593" s="13">
        <v>877.0</v>
      </c>
      <c r="I1593" s="13">
        <v>1.0</v>
      </c>
      <c r="J1593" s="13">
        <v>1.0</v>
      </c>
      <c r="K1593" s="12" t="s">
        <v>21</v>
      </c>
      <c r="L1593" s="7">
        <v>39848.9128125</v>
      </c>
      <c r="M1593" s="16"/>
      <c r="N1593" s="14" t="s">
        <v>9203</v>
      </c>
      <c r="O1593" s="11" t="str">
        <f>HYPERLINK("https://pbs.twimg.com/profile_images/572795858085638144/QFwbWAjp_normal.jpeg","View")</f>
        <v>View</v>
      </c>
      <c r="P1593" s="15"/>
    </row>
    <row r="1594">
      <c r="A1594" s="7">
        <v>42424.25423611111</v>
      </c>
      <c r="B1594" s="8" t="str">
        <f>HYPERLINK("https://twitter.com/cMadan","@cMadan")</f>
        <v>@cMadan</v>
      </c>
      <c r="C1594" s="10" t="s">
        <v>9204</v>
      </c>
      <c r="D1594" s="10" t="s">
        <v>9200</v>
      </c>
      <c r="E1594" s="11" t="str">
        <f>HYPERLINK("https://twitter.com/cMadan/status/702494715900502016","702494715900502016")</f>
        <v>702494715900502016</v>
      </c>
      <c r="F1594" s="12" t="s">
        <v>20</v>
      </c>
      <c r="G1594" s="13">
        <v>1275.0</v>
      </c>
      <c r="H1594" s="13">
        <v>865.0</v>
      </c>
      <c r="I1594" s="13">
        <v>13.0</v>
      </c>
      <c r="J1594" s="13">
        <v>0.0</v>
      </c>
      <c r="K1594" s="12" t="s">
        <v>21</v>
      </c>
      <c r="L1594" s="7">
        <v>39436.51486111111</v>
      </c>
      <c r="M1594" s="14" t="s">
        <v>9205</v>
      </c>
      <c r="N1594" s="14" t="s">
        <v>9206</v>
      </c>
      <c r="O1594" s="11" t="str">
        <f>HYPERLINK("https://pbs.twimg.com/profile_images/685366481169854464/eWe1LzZF_normal.png","View")</f>
        <v>View</v>
      </c>
      <c r="P1594" s="15"/>
    </row>
    <row r="1595">
      <c r="A1595" s="7">
        <v>42424.25572916667</v>
      </c>
      <c r="B1595" s="8" t="str">
        <f>HYPERLINK("https://twitter.com/drob","@drob")</f>
        <v>@drob</v>
      </c>
      <c r="C1595" s="10" t="s">
        <v>7341</v>
      </c>
      <c r="D1595" s="10" t="s">
        <v>9200</v>
      </c>
      <c r="E1595" s="11" t="str">
        <f>HYPERLINK("https://twitter.com/drob/status/702495254709149696","702495254709149696")</f>
        <v>702495254709149696</v>
      </c>
      <c r="F1595" s="12" t="s">
        <v>20</v>
      </c>
      <c r="G1595" s="13">
        <v>2249.0</v>
      </c>
      <c r="H1595" s="13">
        <v>230.0</v>
      </c>
      <c r="I1595" s="13">
        <v>13.0</v>
      </c>
      <c r="J1595" s="13">
        <v>0.0</v>
      </c>
      <c r="K1595" s="12" t="s">
        <v>21</v>
      </c>
      <c r="L1595" s="7">
        <v>39974.65020833333</v>
      </c>
      <c r="M1595" s="14" t="s">
        <v>1018</v>
      </c>
      <c r="N1595" s="14" t="s">
        <v>7343</v>
      </c>
      <c r="O1595" s="11" t="str">
        <f>HYPERLINK("https://pbs.twimg.com/profile_images/777175344/David_Robinson_normal.jpg","View")</f>
        <v>View</v>
      </c>
      <c r="P1595" s="15"/>
    </row>
    <row r="1596">
      <c r="A1596" s="7">
        <v>42424.25782407407</v>
      </c>
      <c r="B1596" s="8" t="str">
        <f>HYPERLINK("https://twitter.com/hrbrmstr","@hrbrmstr")</f>
        <v>@hrbrmstr</v>
      </c>
      <c r="C1596" s="10" t="s">
        <v>7276</v>
      </c>
      <c r="D1596" s="10" t="s">
        <v>9207</v>
      </c>
      <c r="E1596" s="11" t="str">
        <f>HYPERLINK("https://twitter.com/hrbrmstr/status/702496015333629952","702496015333629952")</f>
        <v>702496015333629952</v>
      </c>
      <c r="F1596" s="12" t="s">
        <v>20</v>
      </c>
      <c r="G1596" s="13">
        <v>6135.0</v>
      </c>
      <c r="H1596" s="13">
        <v>2926.0</v>
      </c>
      <c r="I1596" s="13">
        <v>0.0</v>
      </c>
      <c r="J1596" s="13">
        <v>3.0</v>
      </c>
      <c r="K1596" s="12" t="s">
        <v>21</v>
      </c>
      <c r="L1596" s="7">
        <v>39203.29472222222</v>
      </c>
      <c r="M1596" s="14" t="s">
        <v>7278</v>
      </c>
      <c r="N1596" s="14" t="s">
        <v>7279</v>
      </c>
      <c r="O1596" s="11" t="str">
        <f>HYPERLINK("https://pbs.twimg.com/profile_images/557592259298729985/kpCUQWH1_normal.png","View")</f>
        <v>View</v>
      </c>
      <c r="P1596" s="15"/>
    </row>
    <row r="1597">
      <c r="A1597" s="7">
        <v>42424.26027777778</v>
      </c>
      <c r="B1597" s="8" t="str">
        <f>HYPERLINK("https://twitter.com/cloudtoad","@cloudtoad")</f>
        <v>@cloudtoad</v>
      </c>
      <c r="C1597" s="10" t="s">
        <v>7210</v>
      </c>
      <c r="D1597" s="10" t="s">
        <v>9200</v>
      </c>
      <c r="E1597" s="11" t="str">
        <f>HYPERLINK("https://twitter.com/cloudtoad/status/702496903959805953","702496903959805953")</f>
        <v>702496903959805953</v>
      </c>
      <c r="F1597" s="12" t="s">
        <v>446</v>
      </c>
      <c r="G1597" s="13">
        <v>2835.0</v>
      </c>
      <c r="H1597" s="13">
        <v>86.0</v>
      </c>
      <c r="I1597" s="13">
        <v>13.0</v>
      </c>
      <c r="J1597" s="13">
        <v>0.0</v>
      </c>
      <c r="K1597" s="12" t="s">
        <v>21</v>
      </c>
      <c r="L1597" s="7">
        <v>39762.21655092593</v>
      </c>
      <c r="M1597" s="16"/>
      <c r="N1597" s="14" t="s">
        <v>7212</v>
      </c>
      <c r="O1597" s="11" t="str">
        <f>HYPERLINK("https://pbs.twimg.com/profile_images/591372075182338048/JbeePn6j_normal.jpg","View")</f>
        <v>View</v>
      </c>
      <c r="P1597" s="15"/>
    </row>
    <row r="1598">
      <c r="A1598" s="7">
        <v>42424.260358796295</v>
      </c>
      <c r="B1598" s="8" t="str">
        <f>HYPERLINK("https://twitter.com/tylerrinker","@tylerrinker")</f>
        <v>@tylerrinker</v>
      </c>
      <c r="C1598" s="10" t="s">
        <v>9208</v>
      </c>
      <c r="D1598" s="10" t="s">
        <v>9209</v>
      </c>
      <c r="E1598" s="11" t="str">
        <f>HYPERLINK("https://twitter.com/tylerrinker/status/702496932510326785","702496932510326785")</f>
        <v>702496932510326785</v>
      </c>
      <c r="F1598" s="12" t="s">
        <v>20</v>
      </c>
      <c r="G1598" s="13">
        <v>217.0</v>
      </c>
      <c r="H1598" s="13">
        <v>117.0</v>
      </c>
      <c r="I1598" s="13">
        <v>0.0</v>
      </c>
      <c r="J1598" s="13">
        <v>1.0</v>
      </c>
      <c r="K1598" s="12" t="s">
        <v>21</v>
      </c>
      <c r="L1598" s="7">
        <v>40075.54701388889</v>
      </c>
      <c r="M1598" s="14" t="s">
        <v>9210</v>
      </c>
      <c r="N1598" s="14" t="s">
        <v>9211</v>
      </c>
      <c r="O1598" s="11" t="str">
        <f>HYPERLINK("https://pbs.twimg.com/profile_images/3409396165/3df155436a5f9201830bcc65f7a836f7_normal.jpeg","View")</f>
        <v>View</v>
      </c>
      <c r="P1598" s="15"/>
    </row>
    <row r="1599">
      <c r="A1599" s="7">
        <v>42424.263969907406</v>
      </c>
      <c r="B1599" s="8" t="str">
        <f>HYPERLINK("https://twitter.com/thisisrg1","@thisisrg1")</f>
        <v>@thisisrg1</v>
      </c>
      <c r="C1599" s="10" t="s">
        <v>9212</v>
      </c>
      <c r="D1599" s="10" t="s">
        <v>9200</v>
      </c>
      <c r="E1599" s="11" t="str">
        <f>HYPERLINK("https://twitter.com/thisisrg1/status/702498244710957056","702498244710957056")</f>
        <v>702498244710957056</v>
      </c>
      <c r="F1599" s="12" t="s">
        <v>52</v>
      </c>
      <c r="G1599" s="13">
        <v>114.0</v>
      </c>
      <c r="H1599" s="13">
        <v>210.0</v>
      </c>
      <c r="I1599" s="13">
        <v>13.0</v>
      </c>
      <c r="J1599" s="13">
        <v>0.0</v>
      </c>
      <c r="K1599" s="12" t="s">
        <v>21</v>
      </c>
      <c r="L1599" s="7">
        <v>39959.51673611111</v>
      </c>
      <c r="M1599" s="16"/>
      <c r="N1599" s="14" t="s">
        <v>9213</v>
      </c>
      <c r="O1599" s="11" t="str">
        <f>HYPERLINK("https://pbs.twimg.com/profile_images/542368256644755458/25eTPzvM_normal.jpeg","View")</f>
        <v>View</v>
      </c>
      <c r="P1599" s="15"/>
    </row>
    <row r="1600">
      <c r="A1600" s="7">
        <v>42424.26458333334</v>
      </c>
      <c r="B1600" s="8" t="str">
        <f>HYPERLINK("https://twitter.com/sckottie","@sckottie")</f>
        <v>@sckottie</v>
      </c>
      <c r="C1600" s="10" t="s">
        <v>7836</v>
      </c>
      <c r="D1600" s="10" t="s">
        <v>9214</v>
      </c>
      <c r="E1600" s="11" t="str">
        <f>HYPERLINK("https://twitter.com/sckottie/status/702498465947881472","702498465947881472")</f>
        <v>702498465947881472</v>
      </c>
      <c r="F1600" s="12" t="s">
        <v>152</v>
      </c>
      <c r="G1600" s="13">
        <v>3140.0</v>
      </c>
      <c r="H1600" s="13">
        <v>990.0</v>
      </c>
      <c r="I1600" s="13">
        <v>3.0</v>
      </c>
      <c r="J1600" s="13">
        <v>0.0</v>
      </c>
      <c r="K1600" s="12" t="s">
        <v>21</v>
      </c>
      <c r="L1600" s="7">
        <v>40186.2953587963</v>
      </c>
      <c r="M1600" s="14" t="s">
        <v>7838</v>
      </c>
      <c r="N1600" s="14" t="s">
        <v>7839</v>
      </c>
      <c r="O1600" s="11" t="str">
        <f>HYPERLINK("https://pbs.twimg.com/profile_images/628062474491670529/KOOABG9v_normal.jpg","View")</f>
        <v>View</v>
      </c>
      <c r="P1600" s="15"/>
    </row>
    <row r="1601">
      <c r="A1601" s="7">
        <v>42424.26528935185</v>
      </c>
      <c r="B1601" s="8" t="str">
        <f>HYPERLINK("https://twitter.com/earlconf","@earlconf")</f>
        <v>@earlconf</v>
      </c>
      <c r="C1601" s="10" t="s">
        <v>7100</v>
      </c>
      <c r="D1601" s="10" t="s">
        <v>9215</v>
      </c>
      <c r="E1601" s="11" t="str">
        <f>HYPERLINK("https://twitter.com/earlconf/status/702498721401942017","702498721401942017")</f>
        <v>702498721401942017</v>
      </c>
      <c r="F1601" s="12" t="s">
        <v>47</v>
      </c>
      <c r="G1601" s="13">
        <v>1081.0</v>
      </c>
      <c r="H1601" s="13">
        <v>2351.0</v>
      </c>
      <c r="I1601" s="13">
        <v>0.0</v>
      </c>
      <c r="J1601" s="13">
        <v>1.0</v>
      </c>
      <c r="K1601" s="12" t="s">
        <v>21</v>
      </c>
      <c r="L1601" s="7">
        <v>41677.49930555555</v>
      </c>
      <c r="M1601" s="14" t="s">
        <v>7102</v>
      </c>
      <c r="N1601" s="14" t="s">
        <v>7103</v>
      </c>
      <c r="O1601" s="11" t="str">
        <f>HYPERLINK("https://pbs.twimg.com/profile_images/432298122203512833/YDXfWlI__normal.png","View")</f>
        <v>View</v>
      </c>
      <c r="P1601" s="15"/>
    </row>
    <row r="1602">
      <c r="A1602" s="7">
        <v>42424.26746527778</v>
      </c>
      <c r="B1602" s="8" t="str">
        <f>HYPERLINK("https://twitter.com/AntoViral","@AntoViral")</f>
        <v>@AntoViral</v>
      </c>
      <c r="C1602" s="10" t="s">
        <v>7805</v>
      </c>
      <c r="D1602" s="10" t="s">
        <v>9200</v>
      </c>
      <c r="E1602" s="11" t="str">
        <f>HYPERLINK("https://twitter.com/AntoViral/status/702499509427937280","702499509427937280")</f>
        <v>702499509427937280</v>
      </c>
      <c r="F1602" s="12" t="s">
        <v>152</v>
      </c>
      <c r="G1602" s="13">
        <v>220.0</v>
      </c>
      <c r="H1602" s="13">
        <v>295.0</v>
      </c>
      <c r="I1602" s="13">
        <v>13.0</v>
      </c>
      <c r="J1602" s="13">
        <v>0.0</v>
      </c>
      <c r="K1602" s="12" t="s">
        <v>21</v>
      </c>
      <c r="L1602" s="7">
        <v>41604.57907407408</v>
      </c>
      <c r="M1602" s="16"/>
      <c r="N1602" s="14" t="s">
        <v>7806</v>
      </c>
      <c r="O1602" s="11" t="str">
        <f>HYPERLINK("https://pbs.twimg.com/profile_images/378800000794889152/545ea4ed01fbb17969822e1ee9b0f3fa_normal.jpeg","View")</f>
        <v>View</v>
      </c>
      <c r="P1602" s="15"/>
    </row>
    <row r="1603">
      <c r="A1603" s="7">
        <v>42424.26884259259</v>
      </c>
      <c r="B1603" s="8" t="str">
        <f>HYPERLINK("https://twitter.com/LucasHauptmann","@LucasHauptmann")</f>
        <v>@LucasHauptmann</v>
      </c>
      <c r="C1603" s="10" t="s">
        <v>9216</v>
      </c>
      <c r="D1603" s="10" t="s">
        <v>9217</v>
      </c>
      <c r="E1603" s="11" t="str">
        <f>HYPERLINK("https://twitter.com/LucasHauptmann/status/702500007652425729","702500007652425729")</f>
        <v>702500007652425729</v>
      </c>
      <c r="F1603" s="12" t="s">
        <v>20</v>
      </c>
      <c r="G1603" s="13">
        <v>60.0</v>
      </c>
      <c r="H1603" s="13">
        <v>88.0</v>
      </c>
      <c r="I1603" s="13">
        <v>8.0</v>
      </c>
      <c r="J1603" s="13">
        <v>13.0</v>
      </c>
      <c r="K1603" s="12" t="s">
        <v>21</v>
      </c>
      <c r="L1603" s="7">
        <v>40278.97997685185</v>
      </c>
      <c r="M1603" s="14" t="s">
        <v>9218</v>
      </c>
      <c r="N1603" s="14" t="s">
        <v>9219</v>
      </c>
      <c r="O1603" s="11" t="str">
        <f>HYPERLINK("https://pbs.twimg.com/profile_images/655965181005029376/Z3_PzlO2_normal.jpg","View")</f>
        <v>View</v>
      </c>
      <c r="P1603" s="15"/>
    </row>
    <row r="1604">
      <c r="A1604" s="7">
        <v>42424.26951388889</v>
      </c>
      <c r="B1604" s="8" t="str">
        <f>HYPERLINK("https://twitter.com/kurai_yousei","@kurai_yousei")</f>
        <v>@kurai_yousei</v>
      </c>
      <c r="C1604" s="10" t="s">
        <v>8736</v>
      </c>
      <c r="D1604" s="10" t="s">
        <v>9200</v>
      </c>
      <c r="E1604" s="11" t="str">
        <f>HYPERLINK("https://twitter.com/kurai_yousei/status/702500252918493184","702500252918493184")</f>
        <v>702500252918493184</v>
      </c>
      <c r="F1604" s="12" t="s">
        <v>20</v>
      </c>
      <c r="G1604" s="13">
        <v>39.0</v>
      </c>
      <c r="H1604" s="13">
        <v>100.0</v>
      </c>
      <c r="I1604" s="13">
        <v>13.0</v>
      </c>
      <c r="J1604" s="13">
        <v>0.0</v>
      </c>
      <c r="K1604" s="12" t="s">
        <v>21</v>
      </c>
      <c r="L1604" s="7">
        <v>40088.30721064815</v>
      </c>
      <c r="M1604" s="14" t="s">
        <v>8737</v>
      </c>
      <c r="N1604" s="14" t="s">
        <v>8738</v>
      </c>
      <c r="O1604" s="11" t="str">
        <f>HYPERLINK("https://pbs.twimg.com/profile_images/602746912203116544/hcBnhYS1_normal.png","View")</f>
        <v>View</v>
      </c>
      <c r="P1604" s="15"/>
    </row>
    <row r="1605">
      <c r="A1605" s="7">
        <v>42424.26987268518</v>
      </c>
      <c r="B1605" s="8" t="str">
        <f>HYPERLINK("https://twitter.com/mrwidmann","@mrwidmann")</f>
        <v>@mrwidmann</v>
      </c>
      <c r="C1605" s="10" t="s">
        <v>9220</v>
      </c>
      <c r="D1605" s="10" t="s">
        <v>9200</v>
      </c>
      <c r="E1605" s="11" t="str">
        <f>HYPERLINK("https://twitter.com/mrwidmann/status/702500380924465153","702500380924465153")</f>
        <v>702500380924465153</v>
      </c>
      <c r="F1605" s="12" t="s">
        <v>20</v>
      </c>
      <c r="G1605" s="13">
        <v>28.0</v>
      </c>
      <c r="H1605" s="13">
        <v>91.0</v>
      </c>
      <c r="I1605" s="13">
        <v>13.0</v>
      </c>
      <c r="J1605" s="13">
        <v>0.0</v>
      </c>
      <c r="K1605" s="12" t="s">
        <v>21</v>
      </c>
      <c r="L1605" s="7">
        <v>42390.33917824074</v>
      </c>
      <c r="M1605" s="16"/>
      <c r="N1605" s="14" t="s">
        <v>9221</v>
      </c>
      <c r="O1605" s="11" t="str">
        <f>HYPERLINK("https://pbs.twimg.com/profile_images/690204746066595840/N3OLEoqP_normal.jpg","View")</f>
        <v>View</v>
      </c>
      <c r="P1605" s="15"/>
    </row>
    <row r="1606">
      <c r="A1606" s="7">
        <v>42424.270150462966</v>
      </c>
      <c r="B1606" s="8" t="str">
        <f>HYPERLINK("https://twitter.com/MangoTheCat","@MangoTheCat")</f>
        <v>@MangoTheCat</v>
      </c>
      <c r="C1606" s="10" t="s">
        <v>6321</v>
      </c>
      <c r="D1606" s="10" t="s">
        <v>9222</v>
      </c>
      <c r="E1606" s="11" t="str">
        <f>HYPERLINK("https://twitter.com/MangoTheCat/status/702500481847799808","702500481847799808")</f>
        <v>702500481847799808</v>
      </c>
      <c r="F1606" s="12" t="s">
        <v>47</v>
      </c>
      <c r="G1606" s="13">
        <v>2041.0</v>
      </c>
      <c r="H1606" s="13">
        <v>2855.0</v>
      </c>
      <c r="I1606" s="13">
        <v>1.0</v>
      </c>
      <c r="J1606" s="13">
        <v>0.0</v>
      </c>
      <c r="K1606" s="12" t="s">
        <v>21</v>
      </c>
      <c r="L1606" s="7">
        <v>39854.3178587963</v>
      </c>
      <c r="M1606" s="14" t="s">
        <v>6323</v>
      </c>
      <c r="N1606" s="14" t="s">
        <v>6324</v>
      </c>
      <c r="O1606" s="11" t="str">
        <f>HYPERLINK("https://pbs.twimg.com/profile_images/641183991077445633/V7VcBpJI_normal.png","View")</f>
        <v>View</v>
      </c>
      <c r="P1606" s="15"/>
    </row>
    <row r="1607">
      <c r="A1607" s="7">
        <v>42424.27020833333</v>
      </c>
      <c r="B1607" s="8" t="str">
        <f>HYPERLINK("https://twitter.com/RKWardNet","@RKWardNet")</f>
        <v>@RKWardNet</v>
      </c>
      <c r="C1607" s="10" t="s">
        <v>9223</v>
      </c>
      <c r="D1607" s="10" t="s">
        <v>8666</v>
      </c>
      <c r="E1607" s="11" t="str">
        <f>HYPERLINK("https://twitter.com/RKWardNet/status/702500504128135168","702500504128135168")</f>
        <v>702500504128135168</v>
      </c>
      <c r="F1607" s="12" t="s">
        <v>20</v>
      </c>
      <c r="G1607" s="13">
        <v>24.0</v>
      </c>
      <c r="H1607" s="13">
        <v>16.0</v>
      </c>
      <c r="I1607" s="13">
        <v>50.0</v>
      </c>
      <c r="J1607" s="13">
        <v>0.0</v>
      </c>
      <c r="K1607" s="12" t="s">
        <v>21</v>
      </c>
      <c r="L1607" s="7">
        <v>42322.11486111111</v>
      </c>
      <c r="M1607" s="16"/>
      <c r="N1607" s="14" t="s">
        <v>9224</v>
      </c>
      <c r="O1607" s="11" t="str">
        <f>HYPERLINK("https://pbs.twimg.com/profile_images/666345541043884033/DZXZe2HG_normal.jpg","View")</f>
        <v>View</v>
      </c>
      <c r="P1607" s="15"/>
    </row>
    <row r="1608">
      <c r="A1608" s="7">
        <v>42424.27501157408</v>
      </c>
      <c r="B1608" s="8" t="str">
        <f>HYPERLINK("https://twitter.com/earlconf","@earlconf")</f>
        <v>@earlconf</v>
      </c>
      <c r="C1608" s="10" t="s">
        <v>7100</v>
      </c>
      <c r="D1608" s="10" t="s">
        <v>9225</v>
      </c>
      <c r="E1608" s="11" t="str">
        <f>HYPERLINK("https://twitter.com/earlconf/status/702502244780904449","702502244780904449")</f>
        <v>702502244780904449</v>
      </c>
      <c r="F1608" s="12" t="s">
        <v>47</v>
      </c>
      <c r="G1608" s="13">
        <v>1081.0</v>
      </c>
      <c r="H1608" s="13">
        <v>2351.0</v>
      </c>
      <c r="I1608" s="13">
        <v>3.0</v>
      </c>
      <c r="J1608" s="13">
        <v>0.0</v>
      </c>
      <c r="K1608" s="12" t="s">
        <v>21</v>
      </c>
      <c r="L1608" s="7">
        <v>41677.49930555555</v>
      </c>
      <c r="M1608" s="14" t="s">
        <v>7102</v>
      </c>
      <c r="N1608" s="14" t="s">
        <v>7103</v>
      </c>
      <c r="O1608" s="11" t="str">
        <f>HYPERLINK("https://pbs.twimg.com/profile_images/432298122203512833/YDXfWlI__normal.png","View")</f>
        <v>View</v>
      </c>
      <c r="P1608" s="15"/>
    </row>
    <row r="1609">
      <c r="A1609" s="7">
        <v>42424.275243055556</v>
      </c>
      <c r="B1609" s="8" t="str">
        <f>HYPERLINK("https://twitter.com/L0ND0N_APP","@L0ND0N_APP")</f>
        <v>@L0ND0N_APP</v>
      </c>
      <c r="C1609" s="10" t="s">
        <v>9226</v>
      </c>
      <c r="D1609" s="10" t="s">
        <v>9227</v>
      </c>
      <c r="E1609" s="11" t="str">
        <f>HYPERLINK("https://twitter.com/L0ND0N_APP/status/702502326674784256","702502326674784256")</f>
        <v>702502326674784256</v>
      </c>
      <c r="F1609" s="12" t="s">
        <v>9228</v>
      </c>
      <c r="G1609" s="13">
        <v>1095.0</v>
      </c>
      <c r="H1609" s="13">
        <v>58.0</v>
      </c>
      <c r="I1609" s="13">
        <v>3.0</v>
      </c>
      <c r="J1609" s="13">
        <v>0.0</v>
      </c>
      <c r="K1609" s="12" t="s">
        <v>21</v>
      </c>
      <c r="L1609" s="7">
        <v>42350.14256944445</v>
      </c>
      <c r="M1609" s="16"/>
      <c r="N1609" s="14" t="s">
        <v>9229</v>
      </c>
      <c r="O1609" s="11" t="str">
        <f>HYPERLINK("https://pbs.twimg.com/profile_images/675732024100061189/RUX9TEqH_normal.png","View")</f>
        <v>View</v>
      </c>
      <c r="P1609" s="15"/>
    </row>
    <row r="1610">
      <c r="A1610" s="7">
        <v>42424.27641203704</v>
      </c>
      <c r="B1610" s="8" t="str">
        <f>HYPERLINK("https://twitter.com/angebassa","@angebassa")</f>
        <v>@angebassa</v>
      </c>
      <c r="C1610" s="10" t="s">
        <v>9230</v>
      </c>
      <c r="D1610" s="10" t="s">
        <v>9200</v>
      </c>
      <c r="E1610" s="11" t="str">
        <f>HYPERLINK("https://twitter.com/angebassa/status/702502753046818816","702502753046818816")</f>
        <v>702502753046818816</v>
      </c>
      <c r="F1610" s="12" t="s">
        <v>240</v>
      </c>
      <c r="G1610" s="13">
        <v>798.0</v>
      </c>
      <c r="H1610" s="13">
        <v>122.0</v>
      </c>
      <c r="I1610" s="13">
        <v>13.0</v>
      </c>
      <c r="J1610" s="13">
        <v>0.0</v>
      </c>
      <c r="K1610" s="12" t="s">
        <v>21</v>
      </c>
      <c r="L1610" s="7">
        <v>41222.42428240741</v>
      </c>
      <c r="M1610" s="14" t="s">
        <v>332</v>
      </c>
      <c r="N1610" s="14" t="s">
        <v>9231</v>
      </c>
      <c r="O1610" s="11" t="str">
        <f>HYPERLINK("https://pbs.twimg.com/profile_images/620728563453407233/hbKQXmLf_normal.jpg","View")</f>
        <v>View</v>
      </c>
      <c r="P1610" s="15"/>
    </row>
    <row r="1611">
      <c r="A1611" s="7">
        <v>42424.276921296296</v>
      </c>
      <c r="B1611" s="8" t="str">
        <f>HYPERLINK("https://twitter.com/Luca_Parlamento","@Luca_Parlamento")</f>
        <v>@Luca_Parlamento</v>
      </c>
      <c r="C1611" s="10" t="s">
        <v>9232</v>
      </c>
      <c r="D1611" s="10" t="s">
        <v>9227</v>
      </c>
      <c r="E1611" s="11" t="str">
        <f>HYPERLINK("https://twitter.com/Luca_Parlamento/status/702502936354562049","702502936354562049")</f>
        <v>702502936354562049</v>
      </c>
      <c r="F1611" s="12" t="s">
        <v>52</v>
      </c>
      <c r="G1611" s="13">
        <v>218.0</v>
      </c>
      <c r="H1611" s="13">
        <v>1057.0</v>
      </c>
      <c r="I1611" s="13">
        <v>3.0</v>
      </c>
      <c r="J1611" s="13">
        <v>0.0</v>
      </c>
      <c r="K1611" s="12" t="s">
        <v>21</v>
      </c>
      <c r="L1611" s="7">
        <v>41368.83186342593</v>
      </c>
      <c r="M1611" s="14" t="s">
        <v>3802</v>
      </c>
      <c r="N1611" s="14" t="s">
        <v>9233</v>
      </c>
      <c r="O1611" s="11" t="str">
        <f>HYPERLINK("https://pbs.twimg.com/profile_images/695620608231497728/wCFZOMYh_normal.jpg","View")</f>
        <v>View</v>
      </c>
      <c r="P1611" s="15"/>
    </row>
    <row r="1612">
      <c r="A1612" s="7">
        <v>42424.27758101852</v>
      </c>
      <c r="B1612" s="8" t="str">
        <f>HYPERLINK("https://twitter.com/codepedia_info","@codepedia_info")</f>
        <v>@codepedia_info</v>
      </c>
      <c r="C1612" s="10" t="s">
        <v>6579</v>
      </c>
      <c r="D1612" s="10" t="s">
        <v>9234</v>
      </c>
      <c r="E1612" s="11" t="str">
        <f>HYPERLINK("https://twitter.com/codepedia_info/status/702503174729560064","702503174729560064")</f>
        <v>702503174729560064</v>
      </c>
      <c r="F1612" s="12" t="s">
        <v>6581</v>
      </c>
      <c r="G1612" s="13">
        <v>790.0</v>
      </c>
      <c r="H1612" s="13">
        <v>489.0</v>
      </c>
      <c r="I1612" s="13">
        <v>1.0</v>
      </c>
      <c r="J1612" s="13">
        <v>0.0</v>
      </c>
      <c r="K1612" s="12" t="s">
        <v>21</v>
      </c>
      <c r="L1612" s="7">
        <v>42292.92140046296</v>
      </c>
      <c r="M1612" s="16"/>
      <c r="N1612" s="14" t="s">
        <v>6582</v>
      </c>
      <c r="O1612" s="11" t="str">
        <f>HYPERLINK("https://pbs.twimg.com/profile_images/655054050832969728/3mJGHxhS_normal.jpg","View")</f>
        <v>View</v>
      </c>
      <c r="P1612" s="15"/>
    </row>
    <row r="1613">
      <c r="A1613" s="7">
        <v>42424.27766203704</v>
      </c>
      <c r="B1613" s="8" t="str">
        <f>HYPERLINK("https://twitter.com/BenBondLamberty","@BenBondLamberty")</f>
        <v>@BenBondLamberty</v>
      </c>
      <c r="C1613" s="10" t="s">
        <v>8359</v>
      </c>
      <c r="D1613" s="10" t="s">
        <v>9214</v>
      </c>
      <c r="E1613" s="11" t="str">
        <f>HYPERLINK("https://twitter.com/BenBondLamberty/status/702503204777562112","702503204777562112")</f>
        <v>702503204777562112</v>
      </c>
      <c r="F1613" s="12" t="s">
        <v>52</v>
      </c>
      <c r="G1613" s="13">
        <v>723.0</v>
      </c>
      <c r="H1613" s="13">
        <v>134.0</v>
      </c>
      <c r="I1613" s="13">
        <v>3.0</v>
      </c>
      <c r="J1613" s="13">
        <v>0.0</v>
      </c>
      <c r="K1613" s="12" t="s">
        <v>21</v>
      </c>
      <c r="L1613" s="7">
        <v>41498.918275462966</v>
      </c>
      <c r="M1613" s="14" t="s">
        <v>8361</v>
      </c>
      <c r="N1613" s="14" t="s">
        <v>8362</v>
      </c>
      <c r="O1613" s="11" t="str">
        <f>HYPERLINK("https://pbs.twimg.com/profile_images/378800000379904772/a5a32945f329f35a345b28adfa8fe081_normal.png","View")</f>
        <v>View</v>
      </c>
      <c r="P1613" s="15"/>
    </row>
    <row r="1614">
      <c r="A1614" s="7">
        <v>42424.27782407407</v>
      </c>
      <c r="B1614" s="8" t="str">
        <f>HYPERLINK("https://twitter.com/rystanman","@rystanman")</f>
        <v>@rystanman</v>
      </c>
      <c r="C1614" s="10" t="s">
        <v>9235</v>
      </c>
      <c r="D1614" s="10" t="s">
        <v>9236</v>
      </c>
      <c r="E1614" s="11" t="str">
        <f>HYPERLINK("https://twitter.com/rystanman/status/702503265196511232","702503265196511232")</f>
        <v>702503265196511232</v>
      </c>
      <c r="F1614" s="12" t="s">
        <v>152</v>
      </c>
      <c r="G1614" s="13">
        <v>391.0</v>
      </c>
      <c r="H1614" s="13">
        <v>433.0</v>
      </c>
      <c r="I1614" s="13">
        <v>0.0</v>
      </c>
      <c r="J1614" s="13">
        <v>2.0</v>
      </c>
      <c r="K1614" s="12" t="s">
        <v>21</v>
      </c>
      <c r="L1614" s="7">
        <v>40937.78055555555</v>
      </c>
      <c r="M1614" s="14" t="s">
        <v>9237</v>
      </c>
      <c r="N1614" s="14" t="s">
        <v>9238</v>
      </c>
      <c r="O1614" s="11" t="str">
        <f>HYPERLINK("https://pbs.twimg.com/profile_images/378800000824665536/86006ae3686418680b215ebad3fe7bf1_normal.jpeg","View")</f>
        <v>View</v>
      </c>
      <c r="P1614" s="15"/>
    </row>
    <row r="1615">
      <c r="A1615" s="7">
        <v>42424.278136574074</v>
      </c>
      <c r="B1615" s="8" t="str">
        <f>HYPERLINK("https://twitter.com/ttso","@ttso")</f>
        <v>@ttso</v>
      </c>
      <c r="C1615" s="10" t="s">
        <v>6331</v>
      </c>
      <c r="D1615" s="10" t="s">
        <v>9239</v>
      </c>
      <c r="E1615" s="11" t="str">
        <f>HYPERLINK("https://twitter.com/ttso/status/702503374550384640","702503374550384640")</f>
        <v>702503374550384640</v>
      </c>
      <c r="F1615" s="12" t="s">
        <v>446</v>
      </c>
      <c r="G1615" s="13">
        <v>655.0</v>
      </c>
      <c r="H1615" s="13">
        <v>693.0</v>
      </c>
      <c r="I1615" s="13">
        <v>1.0</v>
      </c>
      <c r="J1615" s="13">
        <v>2.0</v>
      </c>
      <c r="K1615" s="12" t="s">
        <v>21</v>
      </c>
      <c r="L1615" s="7">
        <v>39519.084814814814</v>
      </c>
      <c r="M1615" s="14" t="s">
        <v>6333</v>
      </c>
      <c r="N1615" s="14" t="s">
        <v>6334</v>
      </c>
      <c r="O1615" s="11" t="str">
        <f>HYPERLINK("https://pbs.twimg.com/profile_images/1486059918/photo_normal.jpg","View")</f>
        <v>View</v>
      </c>
      <c r="P1615" s="15"/>
    </row>
    <row r="1616">
      <c r="A1616" s="7">
        <v>42424.27855324074</v>
      </c>
      <c r="B1616" s="8" t="str">
        <f>HYPERLINK("https://twitter.com/Luca_Parlamento","@Luca_Parlamento")</f>
        <v>@Luca_Parlamento</v>
      </c>
      <c r="C1616" s="10" t="s">
        <v>9232</v>
      </c>
      <c r="D1616" s="10" t="s">
        <v>9240</v>
      </c>
      <c r="E1616" s="11" t="str">
        <f>HYPERLINK("https://twitter.com/Luca_Parlamento/status/702503525503279105","702503525503279105")</f>
        <v>702503525503279105</v>
      </c>
      <c r="F1616" s="12" t="s">
        <v>52</v>
      </c>
      <c r="G1616" s="13">
        <v>218.0</v>
      </c>
      <c r="H1616" s="13">
        <v>1057.0</v>
      </c>
      <c r="I1616" s="13">
        <v>1.0</v>
      </c>
      <c r="J1616" s="13">
        <v>0.0</v>
      </c>
      <c r="K1616" s="12" t="s">
        <v>21</v>
      </c>
      <c r="L1616" s="7">
        <v>41368.83186342593</v>
      </c>
      <c r="M1616" s="14" t="s">
        <v>3802</v>
      </c>
      <c r="N1616" s="14" t="s">
        <v>9233</v>
      </c>
      <c r="O1616" s="11" t="str">
        <f>HYPERLINK("https://pbs.twimg.com/profile_images/695620608231497728/wCFZOMYh_normal.jpg","View")</f>
        <v>View</v>
      </c>
      <c r="P1616" s="15"/>
    </row>
    <row r="1617">
      <c r="A1617" s="7">
        <v>42424.278819444444</v>
      </c>
      <c r="B1617" s="8" t="str">
        <f>HYPERLINK("https://twitter.com/iLoveLondontag","@iLoveLondontag")</f>
        <v>@iLoveLondontag</v>
      </c>
      <c r="C1617" s="10" t="s">
        <v>9241</v>
      </c>
      <c r="D1617" s="10" t="s">
        <v>9227</v>
      </c>
      <c r="E1617" s="11" t="str">
        <f>HYPERLINK("https://twitter.com/iLoveLondontag/status/702503625780817920","702503625780817920")</f>
        <v>702503625780817920</v>
      </c>
      <c r="F1617" s="12" t="s">
        <v>9242</v>
      </c>
      <c r="G1617" s="13">
        <v>1495.0</v>
      </c>
      <c r="H1617" s="13">
        <v>4662.0</v>
      </c>
      <c r="I1617" s="13">
        <v>3.0</v>
      </c>
      <c r="J1617" s="13">
        <v>0.0</v>
      </c>
      <c r="K1617" s="12" t="s">
        <v>21</v>
      </c>
      <c r="L1617" s="7">
        <v>41796.0771412037</v>
      </c>
      <c r="M1617" s="14" t="s">
        <v>2034</v>
      </c>
      <c r="N1617" s="14" t="s">
        <v>9243</v>
      </c>
      <c r="O1617" s="11" t="str">
        <f>HYPERLINK("https://pbs.twimg.com/profile_images/665104766431809536/KfXeDmF__normal.jpg","View")</f>
        <v>View</v>
      </c>
      <c r="P1617" s="15"/>
    </row>
    <row r="1618">
      <c r="A1618" s="7">
        <v>42424.28003472222</v>
      </c>
      <c r="B1618" s="8" t="str">
        <f>HYPERLINK("https://twitter.com/Luca_Parlamento","@Luca_Parlamento")</f>
        <v>@Luca_Parlamento</v>
      </c>
      <c r="C1618" s="10" t="s">
        <v>9232</v>
      </c>
      <c r="D1618" s="10" t="s">
        <v>9244</v>
      </c>
      <c r="E1618" s="11" t="str">
        <f>HYPERLINK("https://twitter.com/Luca_Parlamento/status/702504066367094784","702504066367094784")</f>
        <v>702504066367094784</v>
      </c>
      <c r="F1618" s="12" t="s">
        <v>52</v>
      </c>
      <c r="G1618" s="13">
        <v>218.0</v>
      </c>
      <c r="H1618" s="13">
        <v>1057.0</v>
      </c>
      <c r="I1618" s="13">
        <v>14.0</v>
      </c>
      <c r="J1618" s="13">
        <v>0.0</v>
      </c>
      <c r="K1618" s="12" t="s">
        <v>21</v>
      </c>
      <c r="L1618" s="7">
        <v>41368.83186342593</v>
      </c>
      <c r="M1618" s="14" t="s">
        <v>3802</v>
      </c>
      <c r="N1618" s="14" t="s">
        <v>9233</v>
      </c>
      <c r="O1618" s="11" t="str">
        <f>HYPERLINK("https://pbs.twimg.com/profile_images/695620608231497728/wCFZOMYh_normal.jpg","View")</f>
        <v>View</v>
      </c>
      <c r="P1618" s="15"/>
    </row>
    <row r="1619">
      <c r="A1619" s="7">
        <v>42424.280543981484</v>
      </c>
      <c r="B1619" s="8" t="str">
        <f>HYPERLINK("https://twitter.com/sharon000","@sharon000")</f>
        <v>@sharon000</v>
      </c>
      <c r="C1619" s="10" t="s">
        <v>9245</v>
      </c>
      <c r="D1619" s="10" t="s">
        <v>9246</v>
      </c>
      <c r="E1619" s="11" t="str">
        <f>HYPERLINK("https://twitter.com/sharon000/status/702504247863156736","702504247863156736")</f>
        <v>702504247863156736</v>
      </c>
      <c r="F1619" s="12" t="s">
        <v>446</v>
      </c>
      <c r="G1619" s="13">
        <v>4083.0</v>
      </c>
      <c r="H1619" s="13">
        <v>655.0</v>
      </c>
      <c r="I1619" s="13">
        <v>0.0</v>
      </c>
      <c r="J1619" s="13">
        <v>2.0</v>
      </c>
      <c r="K1619" s="12" t="s">
        <v>21</v>
      </c>
      <c r="L1619" s="7">
        <v>39422.53226851852</v>
      </c>
      <c r="M1619" s="16"/>
      <c r="N1619" s="14" t="s">
        <v>9247</v>
      </c>
      <c r="O1619" s="11" t="str">
        <f>HYPERLINK("https://pbs.twimg.com/profile_images/1174545663/SharonMachlis_sm2_normal.jpg","View")</f>
        <v>View</v>
      </c>
      <c r="P1619" s="15"/>
    </row>
    <row r="1620">
      <c r="A1620" s="7">
        <v>42424.281053240746</v>
      </c>
      <c r="B1620" s="8" t="str">
        <f>HYPERLINK("https://twitter.com/LM_HATII","@LM_HATII")</f>
        <v>@LM_HATII</v>
      </c>
      <c r="C1620" s="10" t="s">
        <v>9248</v>
      </c>
      <c r="D1620" s="10" t="s">
        <v>9249</v>
      </c>
      <c r="E1620" s="11" t="str">
        <f>HYPERLINK("https://twitter.com/LM_HATII/status/702504434413268993","702504434413268993")</f>
        <v>702504434413268993</v>
      </c>
      <c r="F1620" s="12" t="s">
        <v>446</v>
      </c>
      <c r="G1620" s="13">
        <v>833.0</v>
      </c>
      <c r="H1620" s="13">
        <v>709.0</v>
      </c>
      <c r="I1620" s="13">
        <v>1.0</v>
      </c>
      <c r="J1620" s="13">
        <v>0.0</v>
      </c>
      <c r="K1620" s="12" t="s">
        <v>21</v>
      </c>
      <c r="L1620" s="7">
        <v>40430.335497685184</v>
      </c>
      <c r="M1620" s="16"/>
      <c r="N1620" s="14" t="s">
        <v>9250</v>
      </c>
      <c r="O1620" s="11" t="str">
        <f>HYPERLINK("https://pbs.twimg.com/profile_images/1469062988/16floor_white_normal.jpg","View")</f>
        <v>View</v>
      </c>
      <c r="P1620" s="15"/>
    </row>
    <row r="1621">
      <c r="A1621" s="7">
        <v>42424.28184027778</v>
      </c>
      <c r="B1621" s="8" t="str">
        <f>HYPERLINK("https://twitter.com/justmarkham","@justmarkham")</f>
        <v>@justmarkham</v>
      </c>
      <c r="C1621" s="10" t="s">
        <v>5410</v>
      </c>
      <c r="D1621" s="10" t="s">
        <v>9251</v>
      </c>
      <c r="E1621" s="11" t="str">
        <f>HYPERLINK("https://twitter.com/justmarkham/status/702504719135186944","702504719135186944")</f>
        <v>702504719135186944</v>
      </c>
      <c r="F1621" s="12" t="s">
        <v>20</v>
      </c>
      <c r="G1621" s="13">
        <v>2069.0</v>
      </c>
      <c r="H1621" s="13">
        <v>363.0</v>
      </c>
      <c r="I1621" s="13">
        <v>1.0</v>
      </c>
      <c r="J1621" s="13">
        <v>3.0</v>
      </c>
      <c r="K1621" s="12" t="s">
        <v>21</v>
      </c>
      <c r="L1621" s="7">
        <v>40257.37741898148</v>
      </c>
      <c r="M1621" s="14" t="s">
        <v>784</v>
      </c>
      <c r="N1621" s="14" t="s">
        <v>5412</v>
      </c>
      <c r="O1621" s="11" t="str">
        <f>HYPERLINK("https://pbs.twimg.com/profile_images/443121981215350784/3D-2SL-R_normal.jpeg","View")</f>
        <v>View</v>
      </c>
      <c r="P1621" s="15"/>
    </row>
    <row r="1622">
      <c r="A1622" s="7">
        <v>42424.283425925925</v>
      </c>
      <c r="B1622" s="8" t="str">
        <f>HYPERLINK("https://twitter.com/mhiggins2000","@mhiggins2000")</f>
        <v>@mhiggins2000</v>
      </c>
      <c r="C1622" s="10" t="s">
        <v>7833</v>
      </c>
      <c r="D1622" s="10" t="s">
        <v>8861</v>
      </c>
      <c r="E1622" s="11" t="str">
        <f>HYPERLINK("https://twitter.com/mhiggins2000/status/702505294774063104","702505294774063104")</f>
        <v>702505294774063104</v>
      </c>
      <c r="F1622" s="12" t="s">
        <v>152</v>
      </c>
      <c r="G1622" s="13">
        <v>64.0</v>
      </c>
      <c r="H1622" s="13">
        <v>97.0</v>
      </c>
      <c r="I1622" s="13">
        <v>13.0</v>
      </c>
      <c r="J1622" s="13">
        <v>0.0</v>
      </c>
      <c r="K1622" s="12" t="s">
        <v>21</v>
      </c>
      <c r="L1622" s="7">
        <v>40927.871840277774</v>
      </c>
      <c r="M1622" s="14" t="s">
        <v>7834</v>
      </c>
      <c r="N1622" s="14" t="s">
        <v>7835</v>
      </c>
      <c r="O1622" s="11" t="str">
        <f>HYPERLINK("https://pbs.twimg.com/profile_images/536482954516520960/4dqsb-SO_normal.jpeg","View")</f>
        <v>View</v>
      </c>
      <c r="P1622" s="15"/>
    </row>
    <row r="1623">
      <c r="A1623" s="7">
        <v>42424.28659722222</v>
      </c>
      <c r="B1623" s="8" t="str">
        <f>HYPERLINK("https://twitter.com/JudgeLord","@JudgeLord")</f>
        <v>@JudgeLord</v>
      </c>
      <c r="C1623" s="10" t="s">
        <v>9252</v>
      </c>
      <c r="D1623" s="10" t="s">
        <v>9200</v>
      </c>
      <c r="E1623" s="11" t="str">
        <f>HYPERLINK("https://twitter.com/JudgeLord/status/702506443765710848","702506443765710848")</f>
        <v>702506443765710848</v>
      </c>
      <c r="F1623" s="12" t="s">
        <v>446</v>
      </c>
      <c r="G1623" s="13">
        <v>578.0</v>
      </c>
      <c r="H1623" s="13">
        <v>1485.0</v>
      </c>
      <c r="I1623" s="13">
        <v>13.0</v>
      </c>
      <c r="J1623" s="13">
        <v>0.0</v>
      </c>
      <c r="K1623" s="12" t="s">
        <v>21</v>
      </c>
      <c r="L1623" s="7">
        <v>39803.741215277776</v>
      </c>
      <c r="M1623" s="14" t="s">
        <v>9253</v>
      </c>
      <c r="N1623" s="14" t="s">
        <v>9254</v>
      </c>
      <c r="O1623" s="11" t="str">
        <f>HYPERLINK("https://pbs.twimg.com/profile_images/484739060984840192/jRC1zDjd_normal.png","View")</f>
        <v>View</v>
      </c>
      <c r="P1623" s="15"/>
    </row>
    <row r="1624">
      <c r="A1624" s="7">
        <v>42424.28702546297</v>
      </c>
      <c r="B1624" s="8" t="str">
        <f>HYPERLINK("https://twitter.com/geobrando","@geobrando")</f>
        <v>@geobrando</v>
      </c>
      <c r="C1624" s="10" t="s">
        <v>9255</v>
      </c>
      <c r="D1624" s="10" t="s">
        <v>9256</v>
      </c>
      <c r="E1624" s="11" t="str">
        <f>HYPERLINK("https://twitter.com/geobrando/status/702506597017374721","702506597017374721")</f>
        <v>702506597017374721</v>
      </c>
      <c r="F1624" s="12" t="s">
        <v>152</v>
      </c>
      <c r="G1624" s="13">
        <v>535.0</v>
      </c>
      <c r="H1624" s="13">
        <v>780.0</v>
      </c>
      <c r="I1624" s="13">
        <v>0.0</v>
      </c>
      <c r="J1624" s="13">
        <v>3.0</v>
      </c>
      <c r="K1624" s="12" t="s">
        <v>21</v>
      </c>
      <c r="L1624" s="7">
        <v>39868.776354166665</v>
      </c>
      <c r="M1624" s="14" t="s">
        <v>784</v>
      </c>
      <c r="N1624" s="14" t="s">
        <v>9257</v>
      </c>
      <c r="O1624" s="11" t="str">
        <f>HYPERLINK("https://pbs.twimg.com/profile_images/442533991489744896/MPBqZZ3q_normal.jpeg","View")</f>
        <v>View</v>
      </c>
      <c r="P1624" s="15"/>
    </row>
    <row r="1625">
      <c r="A1625" s="7">
        <v>42424.289513888885</v>
      </c>
      <c r="B1625" s="8" t="str">
        <f>HYPERLINK("https://twitter.com/ma_salmon","@ma_salmon")</f>
        <v>@ma_salmon</v>
      </c>
      <c r="C1625" s="10" t="s">
        <v>6494</v>
      </c>
      <c r="D1625" s="10" t="s">
        <v>9258</v>
      </c>
      <c r="E1625" s="11" t="str">
        <f>HYPERLINK("https://twitter.com/ma_salmon/status/702507498994008066","702507498994008066")</f>
        <v>702507498994008066</v>
      </c>
      <c r="F1625" s="12" t="s">
        <v>20</v>
      </c>
      <c r="G1625" s="13">
        <v>47.0</v>
      </c>
      <c r="H1625" s="13">
        <v>54.0</v>
      </c>
      <c r="I1625" s="13">
        <v>0.0</v>
      </c>
      <c r="J1625" s="13">
        <v>3.0</v>
      </c>
      <c r="K1625" s="12" t="s">
        <v>21</v>
      </c>
      <c r="L1625" s="7">
        <v>41950.10041666667</v>
      </c>
      <c r="M1625" s="14" t="s">
        <v>6496</v>
      </c>
      <c r="N1625" s="14" t="s">
        <v>6497</v>
      </c>
      <c r="O1625" s="11" t="str">
        <f>HYPERLINK("https://pbs.twimg.com/profile_images/630648570228666368/azCx-w8Z_normal.jpg","View")</f>
        <v>View</v>
      </c>
      <c r="P1625" s="15"/>
    </row>
    <row r="1626">
      <c r="A1626" s="7">
        <v>42424.28991898148</v>
      </c>
      <c r="B1626" s="8" t="str">
        <f>HYPERLINK("https://twitter.com/dunabit","@dunabit")</f>
        <v>@dunabit</v>
      </c>
      <c r="C1626" s="10" t="s">
        <v>9259</v>
      </c>
      <c r="D1626" s="10" t="s">
        <v>9260</v>
      </c>
      <c r="E1626" s="11" t="str">
        <f>HYPERLINK("https://twitter.com/dunabit/status/702507645588996096","702507645588996096")</f>
        <v>702507645588996096</v>
      </c>
      <c r="F1626" s="12" t="s">
        <v>20</v>
      </c>
      <c r="G1626" s="13">
        <v>177.0</v>
      </c>
      <c r="H1626" s="13">
        <v>210.0</v>
      </c>
      <c r="I1626" s="13">
        <v>1.0</v>
      </c>
      <c r="J1626" s="13">
        <v>0.0</v>
      </c>
      <c r="K1626" s="12" t="s">
        <v>21</v>
      </c>
      <c r="L1626" s="7">
        <v>39990.63396990741</v>
      </c>
      <c r="M1626" s="14" t="s">
        <v>9261</v>
      </c>
      <c r="N1626" s="14" t="s">
        <v>9262</v>
      </c>
      <c r="O1626" s="11" t="str">
        <f>HYPERLINK("https://pbs.twimg.com/profile_images/291083699/swimavatar_normal.jpg","View")</f>
        <v>View</v>
      </c>
      <c r="P1626" s="15"/>
    </row>
    <row r="1627">
      <c r="A1627" s="7">
        <v>42424.290509259255</v>
      </c>
      <c r="B1627" s="8" t="str">
        <f>HYPERLINK("https://twitter.com/gscheithauer","@gscheithauer")</f>
        <v>@gscheithauer</v>
      </c>
      <c r="C1627" s="10" t="s">
        <v>9263</v>
      </c>
      <c r="D1627" s="10" t="s">
        <v>9264</v>
      </c>
      <c r="E1627" s="11" t="str">
        <f>HYPERLINK("https://twitter.com/gscheithauer/status/702507858185818113","702507858185818113")</f>
        <v>702507858185818113</v>
      </c>
      <c r="F1627" s="12" t="s">
        <v>294</v>
      </c>
      <c r="G1627" s="13">
        <v>150.0</v>
      </c>
      <c r="H1627" s="13">
        <v>93.0</v>
      </c>
      <c r="I1627" s="13">
        <v>1.0</v>
      </c>
      <c r="J1627" s="13">
        <v>3.0</v>
      </c>
      <c r="K1627" s="12" t="s">
        <v>21</v>
      </c>
      <c r="L1627" s="7">
        <v>40485.08038194444</v>
      </c>
      <c r="M1627" s="14" t="s">
        <v>6743</v>
      </c>
      <c r="N1627" s="14" t="s">
        <v>9265</v>
      </c>
      <c r="O1627" s="11" t="str">
        <f>HYPERLINK("https://pbs.twimg.com/profile_images/1378810252/opitz-consulting_scheithauer-gregor_20110401_6186_quadratisch_normal.jpg","View")</f>
        <v>View</v>
      </c>
      <c r="P1627" s="15"/>
    </row>
    <row r="1628">
      <c r="A1628" s="7">
        <v>42424.29052083333</v>
      </c>
      <c r="B1628" s="8" t="str">
        <f>HYPERLINK("https://twitter.com/sentiwire","@sentiwire")</f>
        <v>@sentiwire</v>
      </c>
      <c r="C1628" s="10" t="s">
        <v>381</v>
      </c>
      <c r="D1628" s="10" t="s">
        <v>9266</v>
      </c>
      <c r="E1628" s="11" t="str">
        <f>HYPERLINK("https://twitter.com/sentiwire/status/702507862447116288","702507862447116288")</f>
        <v>702507862447116288</v>
      </c>
      <c r="F1628" s="12" t="s">
        <v>383</v>
      </c>
      <c r="G1628" s="13">
        <v>515.0</v>
      </c>
      <c r="H1628" s="13">
        <v>1716.0</v>
      </c>
      <c r="I1628" s="13">
        <v>1.0</v>
      </c>
      <c r="J1628" s="13">
        <v>0.0</v>
      </c>
      <c r="K1628" s="12" t="s">
        <v>21</v>
      </c>
      <c r="L1628" s="7">
        <v>41422.629641203705</v>
      </c>
      <c r="M1628" s="16"/>
      <c r="N1628" s="14" t="s">
        <v>384</v>
      </c>
      <c r="O1628" s="11" t="str">
        <f>HYPERLINK("https://pbs.twimg.com/profile_images/686965105473396736/B9V5UtGS_normal.jpg","View")</f>
        <v>View</v>
      </c>
      <c r="P1628" s="15"/>
    </row>
    <row r="1629">
      <c r="A1629" s="7">
        <v>42424.29331018518</v>
      </c>
      <c r="B1629" s="8" t="str">
        <f t="shared" ref="B1629:B1630" si="177">HYPERLINK("https://twitter.com/hadleywickham","@hadleywickham")</f>
        <v>@hadleywickham</v>
      </c>
      <c r="C1629" s="10" t="s">
        <v>6659</v>
      </c>
      <c r="D1629" s="10" t="s">
        <v>9179</v>
      </c>
      <c r="E1629" s="11" t="str">
        <f>HYPERLINK("https://twitter.com/hadleywickham/status/702508875077939201","702508875077939201")</f>
        <v>702508875077939201</v>
      </c>
      <c r="F1629" s="12" t="s">
        <v>1082</v>
      </c>
      <c r="G1629" s="13">
        <v>24816.0</v>
      </c>
      <c r="H1629" s="13">
        <v>244.0</v>
      </c>
      <c r="I1629" s="13">
        <v>12.0</v>
      </c>
      <c r="J1629" s="13">
        <v>0.0</v>
      </c>
      <c r="K1629" s="12" t="s">
        <v>21</v>
      </c>
      <c r="L1629" s="7">
        <v>40051.69081018519</v>
      </c>
      <c r="M1629" s="14" t="s">
        <v>719</v>
      </c>
      <c r="N1629" s="14" t="s">
        <v>6661</v>
      </c>
      <c r="O1629" s="11" t="str">
        <f t="shared" ref="O1629:O1630" si="178">HYPERLINK("https://pbs.twimg.com/profile_images/677589103710306304/m56O6Wgf_normal.jpg","View")</f>
        <v>View</v>
      </c>
      <c r="P1629" s="15"/>
    </row>
    <row r="1630">
      <c r="A1630" s="7">
        <v>42424.295694444445</v>
      </c>
      <c r="B1630" s="8" t="str">
        <f t="shared" si="177"/>
        <v>@hadleywickham</v>
      </c>
      <c r="C1630" s="10" t="s">
        <v>6659</v>
      </c>
      <c r="D1630" s="10" t="s">
        <v>9159</v>
      </c>
      <c r="E1630" s="11" t="str">
        <f>HYPERLINK("https://twitter.com/hadleywickham/status/702509739414933504","702509739414933504")</f>
        <v>702509739414933504</v>
      </c>
      <c r="F1630" s="12" t="s">
        <v>1082</v>
      </c>
      <c r="G1630" s="13">
        <v>24816.0</v>
      </c>
      <c r="H1630" s="13">
        <v>244.0</v>
      </c>
      <c r="I1630" s="13">
        <v>7.0</v>
      </c>
      <c r="J1630" s="13">
        <v>0.0</v>
      </c>
      <c r="K1630" s="12" t="s">
        <v>21</v>
      </c>
      <c r="L1630" s="7">
        <v>40051.69081018519</v>
      </c>
      <c r="M1630" s="14" t="s">
        <v>719</v>
      </c>
      <c r="N1630" s="14" t="s">
        <v>6661</v>
      </c>
      <c r="O1630" s="11" t="str">
        <f t="shared" si="178"/>
        <v>View</v>
      </c>
      <c r="P1630" s="15"/>
    </row>
    <row r="1631">
      <c r="A1631" s="7">
        <v>42424.29765046296</v>
      </c>
      <c r="B1631" s="8" t="str">
        <f>HYPERLINK("https://twitter.com/jrauser","@jrauser")</f>
        <v>@jrauser</v>
      </c>
      <c r="C1631" s="10" t="s">
        <v>9267</v>
      </c>
      <c r="D1631" s="10" t="s">
        <v>8666</v>
      </c>
      <c r="E1631" s="11" t="str">
        <f>HYPERLINK("https://twitter.com/jrauser/status/702510449045041154","702510449045041154")</f>
        <v>702510449045041154</v>
      </c>
      <c r="F1631" s="12" t="s">
        <v>52</v>
      </c>
      <c r="G1631" s="13">
        <v>1601.0</v>
      </c>
      <c r="H1631" s="13">
        <v>328.0</v>
      </c>
      <c r="I1631" s="13">
        <v>50.0</v>
      </c>
      <c r="J1631" s="13">
        <v>0.0</v>
      </c>
      <c r="K1631" s="12" t="s">
        <v>21</v>
      </c>
      <c r="L1631" s="7">
        <v>39564.51712962963</v>
      </c>
      <c r="M1631" s="14" t="s">
        <v>1259</v>
      </c>
      <c r="N1631" s="14" t="s">
        <v>9268</v>
      </c>
      <c r="O1631" s="11" t="str">
        <f>HYPERLINK("https://pbs.twimg.com/profile_images/1288636675/me_paris_normal.jpg","View")</f>
        <v>View</v>
      </c>
      <c r="P1631" s="15"/>
    </row>
    <row r="1632">
      <c r="A1632" s="7">
        <v>42424.29777777778</v>
      </c>
      <c r="B1632" s="8" t="str">
        <f>HYPERLINK("https://twitter.com/_Zanion","@_Zanion")</f>
        <v>@_Zanion</v>
      </c>
      <c r="C1632" s="10" t="s">
        <v>9269</v>
      </c>
      <c r="D1632" s="10" t="s">
        <v>9200</v>
      </c>
      <c r="E1632" s="11" t="str">
        <f>HYPERLINK("https://twitter.com/_Zanion/status/702510496264531968","702510496264531968")</f>
        <v>702510496264531968</v>
      </c>
      <c r="F1632" s="12" t="s">
        <v>152</v>
      </c>
      <c r="G1632" s="13">
        <v>49.0</v>
      </c>
      <c r="H1632" s="13">
        <v>130.0</v>
      </c>
      <c r="I1632" s="13">
        <v>13.0</v>
      </c>
      <c r="J1632" s="13">
        <v>0.0</v>
      </c>
      <c r="K1632" s="12" t="s">
        <v>21</v>
      </c>
      <c r="L1632" s="7">
        <v>41145.79230324074</v>
      </c>
      <c r="M1632" s="14" t="s">
        <v>9270</v>
      </c>
      <c r="N1632" s="14" t="s">
        <v>9271</v>
      </c>
      <c r="O1632" s="11" t="str">
        <f>HYPERLINK("https://pbs.twimg.com/profile_images/3567294631/38208b446c59ae5f4febdec37cef382d_normal.jpeg","View")</f>
        <v>View</v>
      </c>
      <c r="P1632" s="15"/>
    </row>
    <row r="1633">
      <c r="A1633" s="7">
        <v>42424.30119212963</v>
      </c>
      <c r="B1633" s="8" t="str">
        <f>HYPERLINK("https://twitter.com/DataAndDataViz","@DataAndDataViz")</f>
        <v>@DataAndDataViz</v>
      </c>
      <c r="C1633" s="10" t="s">
        <v>5145</v>
      </c>
      <c r="D1633" s="10" t="s">
        <v>9179</v>
      </c>
      <c r="E1633" s="11" t="str">
        <f>HYPERLINK("https://twitter.com/DataAndDataViz/status/702511729901768704","702511729901768704")</f>
        <v>702511729901768704</v>
      </c>
      <c r="F1633" s="12" t="s">
        <v>5146</v>
      </c>
      <c r="G1633" s="13">
        <v>473.0</v>
      </c>
      <c r="H1633" s="13">
        <v>140.0</v>
      </c>
      <c r="I1633" s="13">
        <v>12.0</v>
      </c>
      <c r="J1633" s="13">
        <v>0.0</v>
      </c>
      <c r="K1633" s="12" t="s">
        <v>21</v>
      </c>
      <c r="L1633" s="7">
        <v>41603.30427083334</v>
      </c>
      <c r="M1633" s="16"/>
      <c r="N1633" s="14" t="s">
        <v>5147</v>
      </c>
      <c r="O1633" s="11" t="str">
        <f>HYPERLINK("https://pbs.twimg.com/profile_images/412249095110008832/J_K4--iQ_normal.png","View")</f>
        <v>View</v>
      </c>
      <c r="P1633" s="15"/>
    </row>
    <row r="1634">
      <c r="A1634" s="7">
        <v>42424.30348379629</v>
      </c>
      <c r="B1634" s="8" t="str">
        <f>HYPERLINK("https://twitter.com/earlconf","@earlconf")</f>
        <v>@earlconf</v>
      </c>
      <c r="C1634" s="10" t="s">
        <v>7100</v>
      </c>
      <c r="D1634" s="10" t="s">
        <v>9272</v>
      </c>
      <c r="E1634" s="11" t="str">
        <f>HYPERLINK("https://twitter.com/earlconf/status/702512561896337408","702512561896337408")</f>
        <v>702512561896337408</v>
      </c>
      <c r="F1634" s="12" t="s">
        <v>47</v>
      </c>
      <c r="G1634" s="13">
        <v>1081.0</v>
      </c>
      <c r="H1634" s="13">
        <v>2351.0</v>
      </c>
      <c r="I1634" s="13">
        <v>0.0</v>
      </c>
      <c r="J1634" s="13">
        <v>0.0</v>
      </c>
      <c r="K1634" s="12" t="s">
        <v>21</v>
      </c>
      <c r="L1634" s="7">
        <v>41677.49930555555</v>
      </c>
      <c r="M1634" s="14" t="s">
        <v>7102</v>
      </c>
      <c r="N1634" s="14" t="s">
        <v>7103</v>
      </c>
      <c r="O1634" s="11" t="str">
        <f>HYPERLINK("https://pbs.twimg.com/profile_images/432298122203512833/YDXfWlI__normal.png","View")</f>
        <v>View</v>
      </c>
      <c r="P1634" s="15"/>
    </row>
    <row r="1635">
      <c r="A1635" s="7">
        <v>42424.30783564815</v>
      </c>
      <c r="B1635" s="8" t="str">
        <f>HYPERLINK("https://twitter.com/SeascapeScience","@SeascapeScience")</f>
        <v>@SeascapeScience</v>
      </c>
      <c r="C1635" s="10" t="s">
        <v>9273</v>
      </c>
      <c r="D1635" s="10" t="s">
        <v>8882</v>
      </c>
      <c r="E1635" s="11" t="str">
        <f>HYPERLINK("https://twitter.com/SeascapeScience/status/702514137482526720","702514137482526720")</f>
        <v>702514137482526720</v>
      </c>
      <c r="F1635" s="12" t="s">
        <v>20</v>
      </c>
      <c r="G1635" s="13">
        <v>178.0</v>
      </c>
      <c r="H1635" s="13">
        <v>153.0</v>
      </c>
      <c r="I1635" s="13">
        <v>3.0</v>
      </c>
      <c r="J1635" s="13">
        <v>0.0</v>
      </c>
      <c r="K1635" s="12" t="s">
        <v>21</v>
      </c>
      <c r="L1635" s="7">
        <v>41023.71496527777</v>
      </c>
      <c r="M1635" s="16"/>
      <c r="N1635" s="14" t="s">
        <v>9274</v>
      </c>
      <c r="O1635" s="11" t="str">
        <f>HYPERLINK("https://pbs.twimg.com/profile_images/672824252362440704/f3cGlBUj_normal.jpg","View")</f>
        <v>View</v>
      </c>
      <c r="P1635" s="15"/>
    </row>
    <row r="1636">
      <c r="A1636" s="7">
        <v>42424.30994212963</v>
      </c>
      <c r="B1636" s="8" t="str">
        <f>HYPERLINK("https://twitter.com/0ttlngr","@0ttlngr")</f>
        <v>@0ttlngr</v>
      </c>
      <c r="C1636" s="10" t="s">
        <v>9089</v>
      </c>
      <c r="D1636" s="10" t="s">
        <v>9275</v>
      </c>
      <c r="E1636" s="11" t="str">
        <f>HYPERLINK("https://twitter.com/0ttlngr/status/702514902091632640","702514902091632640")</f>
        <v>702514902091632640</v>
      </c>
      <c r="F1636" s="12" t="s">
        <v>20</v>
      </c>
      <c r="G1636" s="13">
        <v>10.0</v>
      </c>
      <c r="H1636" s="13">
        <v>209.0</v>
      </c>
      <c r="I1636" s="13">
        <v>1.0</v>
      </c>
      <c r="J1636" s="13">
        <v>0.0</v>
      </c>
      <c r="K1636" s="12" t="s">
        <v>21</v>
      </c>
      <c r="L1636" s="7">
        <v>42408.70351851852</v>
      </c>
      <c r="M1636" s="14" t="s">
        <v>9091</v>
      </c>
      <c r="N1636" s="14" t="s">
        <v>9092</v>
      </c>
      <c r="O1636" s="11" t="str">
        <f>HYPERLINK("https://pbs.twimg.com/profile_images/697103122162962434/vXqoolw3_normal.png","View")</f>
        <v>View</v>
      </c>
      <c r="P1636" s="15"/>
    </row>
    <row r="1637">
      <c r="A1637" s="7">
        <v>42424.31052083333</v>
      </c>
      <c r="B1637" s="8" t="str">
        <f>HYPERLINK("https://twitter.com/convexpolytop","@convexpolytop")</f>
        <v>@convexpolytop</v>
      </c>
      <c r="C1637" s="10" t="s">
        <v>9276</v>
      </c>
      <c r="D1637" s="10" t="s">
        <v>8230</v>
      </c>
      <c r="E1637" s="11" t="str">
        <f>HYPERLINK("https://twitter.com/convexpolytop/status/702515112096219136","702515112096219136")</f>
        <v>702515112096219136</v>
      </c>
      <c r="F1637" s="12" t="s">
        <v>20</v>
      </c>
      <c r="G1637" s="13">
        <v>1204.0</v>
      </c>
      <c r="H1637" s="13">
        <v>1029.0</v>
      </c>
      <c r="I1637" s="13">
        <v>10.0</v>
      </c>
      <c r="J1637" s="13">
        <v>0.0</v>
      </c>
      <c r="K1637" s="12" t="s">
        <v>21</v>
      </c>
      <c r="L1637" s="7">
        <v>41134.75004629629</v>
      </c>
      <c r="M1637" s="14" t="s">
        <v>9277</v>
      </c>
      <c r="N1637" s="14" t="s">
        <v>9278</v>
      </c>
      <c r="O1637" s="11" t="str">
        <f>HYPERLINK("https://pbs.twimg.com/profile_images/700469402118918144/M4tnVeQq_normal.jpg","View")</f>
        <v>View</v>
      </c>
      <c r="P1637" s="15"/>
    </row>
    <row r="1638">
      <c r="A1638" s="7">
        <v>42424.311307870375</v>
      </c>
      <c r="B1638" s="8" t="str">
        <f>HYPERLINK("https://twitter.com/windfall_j","@windfall_j")</f>
        <v>@windfall_j</v>
      </c>
      <c r="C1638" s="10" t="s">
        <v>9279</v>
      </c>
      <c r="D1638" s="10" t="s">
        <v>9179</v>
      </c>
      <c r="E1638" s="11" t="str">
        <f>HYPERLINK("https://twitter.com/windfall_j/status/702515398097264640","702515398097264640")</f>
        <v>702515398097264640</v>
      </c>
      <c r="F1638" s="12" t="s">
        <v>52</v>
      </c>
      <c r="G1638" s="13">
        <v>500.0</v>
      </c>
      <c r="H1638" s="13">
        <v>191.0</v>
      </c>
      <c r="I1638" s="13">
        <v>12.0</v>
      </c>
      <c r="J1638" s="13">
        <v>0.0</v>
      </c>
      <c r="K1638" s="12" t="s">
        <v>21</v>
      </c>
      <c r="L1638" s="7">
        <v>41777.00658564815</v>
      </c>
      <c r="M1638" s="16"/>
      <c r="N1638" s="14" t="s">
        <v>9280</v>
      </c>
      <c r="O1638" s="11" t="str">
        <f>HYPERLINK("https://pbs.twimg.com/profile_images/467927777132302336/VwUxJUlm_normal.png","View")</f>
        <v>View</v>
      </c>
      <c r="P1638" s="15"/>
    </row>
    <row r="1639">
      <c r="A1639" s="7">
        <v>42424.3187037037</v>
      </c>
      <c r="B1639" s="8" t="str">
        <f>HYPERLINK("https://twitter.com/miishke","@miishke")</f>
        <v>@miishke</v>
      </c>
      <c r="C1639" s="10" t="s">
        <v>9281</v>
      </c>
      <c r="D1639" s="10" t="s">
        <v>9282</v>
      </c>
      <c r="E1639" s="11" t="str">
        <f>HYPERLINK("https://twitter.com/miishke/status/702518076382830592","702518076382830592")</f>
        <v>702518076382830592</v>
      </c>
      <c r="F1639" s="12" t="s">
        <v>240</v>
      </c>
      <c r="G1639" s="13">
        <v>355.0</v>
      </c>
      <c r="H1639" s="13">
        <v>501.0</v>
      </c>
      <c r="I1639" s="13">
        <v>0.0</v>
      </c>
      <c r="J1639" s="13">
        <v>0.0</v>
      </c>
      <c r="K1639" s="12" t="s">
        <v>21</v>
      </c>
      <c r="L1639" s="7">
        <v>41507.45664351852</v>
      </c>
      <c r="M1639" s="14" t="s">
        <v>332</v>
      </c>
      <c r="N1639" s="14" t="s">
        <v>9283</v>
      </c>
      <c r="O1639" s="11" t="str">
        <f>HYPERLINK("https://pbs.twimg.com/profile_images/691290586062655488/YRSxlcWm_normal.png","View")</f>
        <v>View</v>
      </c>
      <c r="P1639" s="15"/>
    </row>
    <row r="1640">
      <c r="A1640" s="7">
        <v>42424.31943287037</v>
      </c>
      <c r="B1640" s="8" t="str">
        <f>HYPERLINK("https://twitter.com/taylerwithanE","@taylerwithanE")</f>
        <v>@taylerwithanE</v>
      </c>
      <c r="C1640" s="10" t="s">
        <v>9284</v>
      </c>
      <c r="D1640" s="10" t="s">
        <v>9152</v>
      </c>
      <c r="E1640" s="11" t="str">
        <f>HYPERLINK("https://twitter.com/taylerwithanE/status/702518342066839553","702518342066839553")</f>
        <v>702518342066839553</v>
      </c>
      <c r="F1640" s="12" t="s">
        <v>52</v>
      </c>
      <c r="G1640" s="13">
        <v>74.0</v>
      </c>
      <c r="H1640" s="13">
        <v>303.0</v>
      </c>
      <c r="I1640" s="13">
        <v>14.0</v>
      </c>
      <c r="J1640" s="13">
        <v>0.0</v>
      </c>
      <c r="K1640" s="12" t="s">
        <v>21</v>
      </c>
      <c r="L1640" s="7">
        <v>40993.51075231482</v>
      </c>
      <c r="M1640" s="14" t="s">
        <v>3785</v>
      </c>
      <c r="N1640" s="14" t="s">
        <v>9285</v>
      </c>
      <c r="O1640" s="11" t="str">
        <f>HYPERLINK("https://pbs.twimg.com/profile_images/3397855890/db44e00e37d2e58fc2409400349106f3_normal.jpeg","View")</f>
        <v>View</v>
      </c>
      <c r="P1640" s="15"/>
    </row>
    <row r="1641">
      <c r="A1641" s="7">
        <v>42424.31962962963</v>
      </c>
      <c r="B1641" s="8" t="str">
        <f>HYPERLINK("https://twitter.com/jamesaeddy","@jamesaeddy")</f>
        <v>@jamesaeddy</v>
      </c>
      <c r="C1641" s="10" t="s">
        <v>9286</v>
      </c>
      <c r="D1641" s="10" t="s">
        <v>9179</v>
      </c>
      <c r="E1641" s="11" t="str">
        <f>HYPERLINK("https://twitter.com/jamesaeddy/status/702518413386616832","702518413386616832")</f>
        <v>702518413386616832</v>
      </c>
      <c r="F1641" s="12" t="s">
        <v>152</v>
      </c>
      <c r="G1641" s="13">
        <v>150.0</v>
      </c>
      <c r="H1641" s="13">
        <v>227.0</v>
      </c>
      <c r="I1641" s="13">
        <v>12.0</v>
      </c>
      <c r="J1641" s="13">
        <v>0.0</v>
      </c>
      <c r="K1641" s="12" t="s">
        <v>21</v>
      </c>
      <c r="L1641" s="7">
        <v>40640.61344907407</v>
      </c>
      <c r="M1641" s="14" t="s">
        <v>1259</v>
      </c>
      <c r="N1641" s="14" t="s">
        <v>9287</v>
      </c>
      <c r="O1641" s="11" t="str">
        <f>HYPERLINK("https://pbs.twimg.com/profile_images/437829207167467520/_C2rvXH9_normal.jpeg","View")</f>
        <v>View</v>
      </c>
      <c r="P1641" s="15"/>
    </row>
    <row r="1642">
      <c r="A1642" s="7">
        <v>42424.3203125</v>
      </c>
      <c r="B1642" s="8" t="str">
        <f>HYPERLINK("https://twitter.com/timelyportfolio","@timelyportfolio")</f>
        <v>@timelyportfolio</v>
      </c>
      <c r="C1642" s="10" t="s">
        <v>3698</v>
      </c>
      <c r="D1642" s="10" t="s">
        <v>9179</v>
      </c>
      <c r="E1642" s="11" t="str">
        <f>HYPERLINK("https://twitter.com/timelyportfolio/status/702518658636128256","702518658636128256")</f>
        <v>702518658636128256</v>
      </c>
      <c r="F1642" s="12" t="s">
        <v>20</v>
      </c>
      <c r="G1642" s="13">
        <v>1875.0</v>
      </c>
      <c r="H1642" s="13">
        <v>2248.0</v>
      </c>
      <c r="I1642" s="13">
        <v>12.0</v>
      </c>
      <c r="J1642" s="13">
        <v>0.0</v>
      </c>
      <c r="K1642" s="12" t="s">
        <v>21</v>
      </c>
      <c r="L1642" s="7">
        <v>40573.86280092593</v>
      </c>
      <c r="M1642" s="14" t="s">
        <v>3700</v>
      </c>
      <c r="N1642" s="14" t="s">
        <v>3701</v>
      </c>
      <c r="O1642" s="11" t="str">
        <f>HYPERLINK("https://pbs.twimg.com/profile_images/2198946077/image_normal.jpg","View")</f>
        <v>View</v>
      </c>
      <c r="P1642" s="15"/>
    </row>
    <row r="1643">
      <c r="A1643" s="7">
        <v>42424.32042824074</v>
      </c>
      <c r="B1643" s="8" t="str">
        <f>HYPERLINK("https://twitter.com/kyle_e_walker","@kyle_e_walker")</f>
        <v>@kyle_e_walker</v>
      </c>
      <c r="C1643" s="10" t="s">
        <v>7852</v>
      </c>
      <c r="D1643" s="10" t="s">
        <v>9288</v>
      </c>
      <c r="E1643" s="11" t="str">
        <f>HYPERLINK("https://twitter.com/kyle_e_walker/status/702518703649218560","702518703649218560")</f>
        <v>702518703649218560</v>
      </c>
      <c r="F1643" s="12" t="s">
        <v>20</v>
      </c>
      <c r="G1643" s="13">
        <v>704.0</v>
      </c>
      <c r="H1643" s="13">
        <v>455.0</v>
      </c>
      <c r="I1643" s="13">
        <v>0.0</v>
      </c>
      <c r="J1643" s="13">
        <v>1.0</v>
      </c>
      <c r="K1643" s="12" t="s">
        <v>21</v>
      </c>
      <c r="L1643" s="7">
        <v>40314.349594907406</v>
      </c>
      <c r="M1643" s="14" t="s">
        <v>7853</v>
      </c>
      <c r="N1643" s="14" t="s">
        <v>7854</v>
      </c>
      <c r="O1643" s="11" t="str">
        <f>HYPERLINK("https://pbs.twimg.com/profile_images/535539844479332354/CA9doTjY_normal.jpeg","View")</f>
        <v>View</v>
      </c>
      <c r="P1643" s="15"/>
    </row>
    <row r="1644">
      <c r="A1644" s="7">
        <v>42424.32045138889</v>
      </c>
      <c r="B1644" s="8" t="str">
        <f>HYPERLINK("https://twitter.com/jatkat45","@jatkat45")</f>
        <v>@jatkat45</v>
      </c>
      <c r="C1644" s="10" t="s">
        <v>6920</v>
      </c>
      <c r="D1644" s="10" t="s">
        <v>9179</v>
      </c>
      <c r="E1644" s="11" t="str">
        <f>HYPERLINK("https://twitter.com/jatkat45/status/702518711874416640","702518711874416640")</f>
        <v>702518711874416640</v>
      </c>
      <c r="F1644" s="12" t="s">
        <v>52</v>
      </c>
      <c r="G1644" s="13">
        <v>1260.0</v>
      </c>
      <c r="H1644" s="13">
        <v>2290.0</v>
      </c>
      <c r="I1644" s="13">
        <v>12.0</v>
      </c>
      <c r="J1644" s="13">
        <v>0.0</v>
      </c>
      <c r="K1644" s="12" t="s">
        <v>21</v>
      </c>
      <c r="L1644" s="7">
        <v>41577.453668981485</v>
      </c>
      <c r="M1644" s="14" t="s">
        <v>332</v>
      </c>
      <c r="N1644" s="14" t="s">
        <v>6921</v>
      </c>
      <c r="O1644" s="11" t="str">
        <f>HYPERLINK("https://pbs.twimg.com/profile_images/687122510672953344/ppVG2cIC_normal.jpg","View")</f>
        <v>View</v>
      </c>
      <c r="P1644" s="15"/>
    </row>
    <row r="1645">
      <c r="A1645" s="7">
        <v>42424.32064814815</v>
      </c>
      <c r="B1645" s="8" t="str">
        <f>HYPERLINK("https://twitter.com/imfene","@imfene")</f>
        <v>@imfene</v>
      </c>
      <c r="C1645" s="10" t="s">
        <v>9289</v>
      </c>
      <c r="D1645" s="10" t="s">
        <v>9179</v>
      </c>
      <c r="E1645" s="11" t="str">
        <f>HYPERLINK("https://twitter.com/imfene/status/702518783001432064","702518783001432064")</f>
        <v>702518783001432064</v>
      </c>
      <c r="F1645" s="12" t="s">
        <v>124</v>
      </c>
      <c r="G1645" s="13">
        <v>87.0</v>
      </c>
      <c r="H1645" s="13">
        <v>219.0</v>
      </c>
      <c r="I1645" s="13">
        <v>12.0</v>
      </c>
      <c r="J1645" s="13">
        <v>0.0</v>
      </c>
      <c r="K1645" s="12" t="s">
        <v>21</v>
      </c>
      <c r="L1645" s="7">
        <v>39990.4471875</v>
      </c>
      <c r="M1645" s="14" t="s">
        <v>7274</v>
      </c>
      <c r="N1645" s="14" t="s">
        <v>9290</v>
      </c>
      <c r="O1645" s="11" t="str">
        <f>HYPERLINK("https://pbs.twimg.com/profile_images/527485548974178306/0ukbjjKx_normal.jpeg","View")</f>
        <v>View</v>
      </c>
      <c r="P1645" s="15"/>
    </row>
    <row r="1646">
      <c r="A1646" s="7">
        <v>42424.32092592593</v>
      </c>
      <c r="B1646" s="8" t="str">
        <f>HYPERLINK("https://twitter.com/dolugen","@dolugen")</f>
        <v>@dolugen</v>
      </c>
      <c r="C1646" s="10" t="s">
        <v>9291</v>
      </c>
      <c r="D1646" s="10" t="s">
        <v>9292</v>
      </c>
      <c r="E1646" s="11" t="str">
        <f>HYPERLINK("https://twitter.com/dolugen/status/702518882611761152","702518882611761152")</f>
        <v>702518882611761152</v>
      </c>
      <c r="F1646" s="12" t="s">
        <v>20</v>
      </c>
      <c r="G1646" s="13">
        <v>2993.0</v>
      </c>
      <c r="H1646" s="13">
        <v>285.0</v>
      </c>
      <c r="I1646" s="13">
        <v>0.0</v>
      </c>
      <c r="J1646" s="13">
        <v>0.0</v>
      </c>
      <c r="K1646" s="12" t="s">
        <v>21</v>
      </c>
      <c r="L1646" s="7">
        <v>39710.39695601852</v>
      </c>
      <c r="M1646" s="14" t="s">
        <v>9293</v>
      </c>
      <c r="N1646" s="14" t="s">
        <v>9294</v>
      </c>
      <c r="O1646" s="11" t="str">
        <f>HYPERLINK("https://pbs.twimg.com/profile_images/494341984/dolugen-128_normal.jpg","View")</f>
        <v>View</v>
      </c>
      <c r="P1646" s="15"/>
    </row>
    <row r="1647">
      <c r="A1647" s="7">
        <v>42424.32109953703</v>
      </c>
      <c r="B1647" s="8" t="str">
        <f>HYPERLINK("https://twitter.com/LovedeepSG","@LovedeepSG")</f>
        <v>@LovedeepSG</v>
      </c>
      <c r="C1647" s="10" t="s">
        <v>6501</v>
      </c>
      <c r="D1647" s="10" t="s">
        <v>9152</v>
      </c>
      <c r="E1647" s="11" t="str">
        <f>HYPERLINK("https://twitter.com/LovedeepSG/status/702518946700746752","702518946700746752")</f>
        <v>702518946700746752</v>
      </c>
      <c r="F1647" s="12" t="s">
        <v>152</v>
      </c>
      <c r="G1647" s="13">
        <v>46.0</v>
      </c>
      <c r="H1647" s="13">
        <v>85.0</v>
      </c>
      <c r="I1647" s="13">
        <v>14.0</v>
      </c>
      <c r="J1647" s="13">
        <v>0.0</v>
      </c>
      <c r="K1647" s="12" t="s">
        <v>21</v>
      </c>
      <c r="L1647" s="7">
        <v>41453.381203703706</v>
      </c>
      <c r="M1647" s="14" t="s">
        <v>4138</v>
      </c>
      <c r="N1647" s="14" t="s">
        <v>6502</v>
      </c>
      <c r="O1647" s="11" t="str">
        <f>HYPERLINK("https://pbs.twimg.com/profile_images/378800000059126288/17d4fa184bbd13c1e64465a3cc234efc_normal.jpeg","View")</f>
        <v>View</v>
      </c>
      <c r="P1647" s="15"/>
    </row>
    <row r="1648">
      <c r="A1648" s="7">
        <v>42424.3224537037</v>
      </c>
      <c r="B1648" s="8" t="str">
        <f>HYPERLINK("https://twitter.com/kyle_e_walker","@kyle_e_walker")</f>
        <v>@kyle_e_walker</v>
      </c>
      <c r="C1648" s="10" t="s">
        <v>7852</v>
      </c>
      <c r="D1648" s="10" t="s">
        <v>9295</v>
      </c>
      <c r="E1648" s="11" t="str">
        <f>HYPERLINK("https://twitter.com/kyle_e_walker/status/702519435517493248","702519435517493248")</f>
        <v>702519435517493248</v>
      </c>
      <c r="F1648" s="12" t="s">
        <v>20</v>
      </c>
      <c r="G1648" s="13">
        <v>704.0</v>
      </c>
      <c r="H1648" s="13">
        <v>455.0</v>
      </c>
      <c r="I1648" s="13">
        <v>0.0</v>
      </c>
      <c r="J1648" s="13">
        <v>4.0</v>
      </c>
      <c r="K1648" s="12" t="s">
        <v>21</v>
      </c>
      <c r="L1648" s="7">
        <v>40314.349594907406</v>
      </c>
      <c r="M1648" s="14" t="s">
        <v>7853</v>
      </c>
      <c r="N1648" s="14" t="s">
        <v>7854</v>
      </c>
      <c r="O1648" s="11" t="str">
        <f>HYPERLINK("https://pbs.twimg.com/profile_images/535539844479332354/CA9doTjY_normal.jpeg","View")</f>
        <v>View</v>
      </c>
      <c r="P1648" s="15"/>
    </row>
    <row r="1649">
      <c r="A1649" s="7">
        <v>42424.32288194445</v>
      </c>
      <c r="B1649" s="8" t="str">
        <f>HYPERLINK("https://twitter.com/nik_dudaev","@nik_dudaev")</f>
        <v>@nik_dudaev</v>
      </c>
      <c r="C1649" s="10" t="s">
        <v>9296</v>
      </c>
      <c r="D1649" s="10" t="s">
        <v>7891</v>
      </c>
      <c r="E1649" s="11" t="str">
        <f>HYPERLINK("https://twitter.com/nik_dudaev/status/702519592514617349","702519592514617349")</f>
        <v>702519592514617349</v>
      </c>
      <c r="F1649" s="12" t="s">
        <v>52</v>
      </c>
      <c r="G1649" s="13">
        <v>89.0</v>
      </c>
      <c r="H1649" s="13">
        <v>75.0</v>
      </c>
      <c r="I1649" s="13">
        <v>4.0</v>
      </c>
      <c r="J1649" s="13">
        <v>0.0</v>
      </c>
      <c r="K1649" s="12" t="s">
        <v>21</v>
      </c>
      <c r="L1649" s="7">
        <v>41939.21034722222</v>
      </c>
      <c r="M1649" s="14" t="s">
        <v>9297</v>
      </c>
      <c r="N1649" s="14" t="s">
        <v>9298</v>
      </c>
      <c r="O1649" s="11" t="str">
        <f>HYPERLINK("https://pbs.twimg.com/profile_images/526707334945337344/sbnoJ6fU_normal.jpeg","View")</f>
        <v>View</v>
      </c>
      <c r="P1649" s="15"/>
    </row>
    <row r="1650">
      <c r="A1650" s="7">
        <v>42424.322962962964</v>
      </c>
      <c r="B1650" s="8" t="str">
        <f>HYPERLINK("https://twitter.com/DataFinest","@DataFinest")</f>
        <v>@DataFinest</v>
      </c>
      <c r="C1650" s="10" t="s">
        <v>6990</v>
      </c>
      <c r="D1650" s="10" t="s">
        <v>9152</v>
      </c>
      <c r="E1650" s="11" t="str">
        <f>HYPERLINK("https://twitter.com/DataFinest/status/702519622139039744","702519622139039744")</f>
        <v>702519622139039744</v>
      </c>
      <c r="F1650" s="12" t="s">
        <v>52</v>
      </c>
      <c r="G1650" s="13">
        <v>74.0</v>
      </c>
      <c r="H1650" s="13">
        <v>172.0</v>
      </c>
      <c r="I1650" s="13">
        <v>14.0</v>
      </c>
      <c r="J1650" s="13">
        <v>0.0</v>
      </c>
      <c r="K1650" s="12" t="s">
        <v>21</v>
      </c>
      <c r="L1650" s="7">
        <v>42347.028761574074</v>
      </c>
      <c r="M1650" s="14" t="s">
        <v>121</v>
      </c>
      <c r="N1650" s="14" t="s">
        <v>6991</v>
      </c>
      <c r="O1650" s="11" t="str">
        <f>HYPERLINK("https://pbs.twimg.com/profile_images/675225906173124609/xPlpeuKw_normal.png","View")</f>
        <v>View</v>
      </c>
      <c r="P1650" s="15"/>
    </row>
    <row r="1651">
      <c r="A1651" s="7">
        <v>42424.32353009259</v>
      </c>
      <c r="B1651" s="8" t="str">
        <f>HYPERLINK("https://twitter.com/nik_dudaev","@nik_dudaev")</f>
        <v>@nik_dudaev</v>
      </c>
      <c r="C1651" s="10" t="s">
        <v>9296</v>
      </c>
      <c r="D1651" s="10" t="s">
        <v>6319</v>
      </c>
      <c r="E1651" s="11" t="str">
        <f>HYPERLINK("https://twitter.com/nik_dudaev/status/702519825717923840","702519825717923840")</f>
        <v>702519825717923840</v>
      </c>
      <c r="F1651" s="12" t="s">
        <v>52</v>
      </c>
      <c r="G1651" s="13">
        <v>89.0</v>
      </c>
      <c r="H1651" s="13">
        <v>75.0</v>
      </c>
      <c r="I1651" s="13">
        <v>106.0</v>
      </c>
      <c r="J1651" s="13">
        <v>0.0</v>
      </c>
      <c r="K1651" s="12" t="s">
        <v>21</v>
      </c>
      <c r="L1651" s="7">
        <v>41939.21034722222</v>
      </c>
      <c r="M1651" s="14" t="s">
        <v>9297</v>
      </c>
      <c r="N1651" s="14" t="s">
        <v>9298</v>
      </c>
      <c r="O1651" s="11" t="str">
        <f>HYPERLINK("https://pbs.twimg.com/profile_images/526707334945337344/sbnoJ6fU_normal.jpeg","View")</f>
        <v>View</v>
      </c>
      <c r="P1651" s="15"/>
    </row>
    <row r="1652">
      <c r="A1652" s="7">
        <v>42424.32481481481</v>
      </c>
      <c r="B1652" s="8" t="str">
        <f>HYPERLINK("https://twitter.com/edwindjonge","@edwindjonge")</f>
        <v>@edwindjonge</v>
      </c>
      <c r="C1652" s="10" t="s">
        <v>9299</v>
      </c>
      <c r="D1652" s="10" t="s">
        <v>9135</v>
      </c>
      <c r="E1652" s="11" t="str">
        <f>HYPERLINK("https://twitter.com/edwindjonge/status/702520292602716160","702520292602716160")</f>
        <v>702520292602716160</v>
      </c>
      <c r="F1652" s="12" t="s">
        <v>152</v>
      </c>
      <c r="G1652" s="13">
        <v>235.0</v>
      </c>
      <c r="H1652" s="13">
        <v>516.0</v>
      </c>
      <c r="I1652" s="13">
        <v>3.0</v>
      </c>
      <c r="J1652" s="13">
        <v>0.0</v>
      </c>
      <c r="K1652" s="12" t="s">
        <v>21</v>
      </c>
      <c r="L1652" s="7">
        <v>41201.126539351855</v>
      </c>
      <c r="M1652" s="14" t="s">
        <v>9300</v>
      </c>
      <c r="N1652" s="14" t="s">
        <v>9301</v>
      </c>
      <c r="O1652" s="11" t="str">
        <f>HYPERLINK("https://pbs.twimg.com/profile_images/2885910319/315395bcb6ecce9fc9d94ddd95a49679_normal.jpeg","View")</f>
        <v>View</v>
      </c>
      <c r="P1652" s="15"/>
    </row>
    <row r="1653">
      <c r="A1653" s="7">
        <v>42424.325162037036</v>
      </c>
      <c r="B1653" s="8" t="str">
        <f>HYPERLINK("https://twitter.com/kyle_e_walker","@kyle_e_walker")</f>
        <v>@kyle_e_walker</v>
      </c>
      <c r="C1653" s="10" t="s">
        <v>7852</v>
      </c>
      <c r="D1653" s="10" t="s">
        <v>9302</v>
      </c>
      <c r="E1653" s="11" t="str">
        <f>HYPERLINK("https://twitter.com/kyle_e_walker/status/702520417584488450","702520417584488450")</f>
        <v>702520417584488450</v>
      </c>
      <c r="F1653" s="12" t="s">
        <v>20</v>
      </c>
      <c r="G1653" s="13">
        <v>704.0</v>
      </c>
      <c r="H1653" s="13">
        <v>455.0</v>
      </c>
      <c r="I1653" s="13">
        <v>1.0</v>
      </c>
      <c r="J1653" s="13">
        <v>2.0</v>
      </c>
      <c r="K1653" s="12" t="s">
        <v>21</v>
      </c>
      <c r="L1653" s="7">
        <v>40314.349594907406</v>
      </c>
      <c r="M1653" s="14" t="s">
        <v>7853</v>
      </c>
      <c r="N1653" s="14" t="s">
        <v>7854</v>
      </c>
      <c r="O1653" s="11" t="str">
        <f>HYPERLINK("https://pbs.twimg.com/profile_images/535539844479332354/CA9doTjY_normal.jpeg","View")</f>
        <v>View</v>
      </c>
      <c r="P1653" s="15"/>
    </row>
    <row r="1654">
      <c r="A1654" s="7">
        <v>42424.329201388886</v>
      </c>
      <c r="B1654" s="8" t="str">
        <f>HYPERLINK("https://twitter.com/USGS_R","@USGS_R")</f>
        <v>@USGS_R</v>
      </c>
      <c r="C1654" s="10" t="s">
        <v>7429</v>
      </c>
      <c r="D1654" s="10" t="s">
        <v>9303</v>
      </c>
      <c r="E1654" s="11" t="str">
        <f>HYPERLINK("https://twitter.com/USGS_R/status/702521882583502848","702521882583502848")</f>
        <v>702521882583502848</v>
      </c>
      <c r="F1654" s="12" t="s">
        <v>446</v>
      </c>
      <c r="G1654" s="13">
        <v>407.0</v>
      </c>
      <c r="H1654" s="13">
        <v>43.0</v>
      </c>
      <c r="I1654" s="13">
        <v>2.0</v>
      </c>
      <c r="J1654" s="13">
        <v>12.0</v>
      </c>
      <c r="K1654" s="12" t="s">
        <v>21</v>
      </c>
      <c r="L1654" s="7">
        <v>42228.35309027778</v>
      </c>
      <c r="M1654" s="16"/>
      <c r="N1654" s="14" t="s">
        <v>7430</v>
      </c>
      <c r="O1654" s="11" t="str">
        <f>HYPERLINK("https://pbs.twimg.com/profile_images/631488083863584769/gDqhLdAL_normal.png","View")</f>
        <v>View</v>
      </c>
      <c r="P1654" s="15"/>
    </row>
    <row r="1655">
      <c r="A1655" s="7">
        <v>42424.32951388889</v>
      </c>
      <c r="B1655" s="8" t="str">
        <f>HYPERLINK("https://twitter.com/ph1v3r","@ph1v3r")</f>
        <v>@ph1v3r</v>
      </c>
      <c r="C1655" s="10" t="s">
        <v>8108</v>
      </c>
      <c r="D1655" s="10" t="s">
        <v>9159</v>
      </c>
      <c r="E1655" s="11" t="str">
        <f>HYPERLINK("https://twitter.com/ph1v3r/status/702521995808923648","702521995808923648")</f>
        <v>702521995808923648</v>
      </c>
      <c r="F1655" s="12" t="s">
        <v>152</v>
      </c>
      <c r="G1655" s="13">
        <v>8.0</v>
      </c>
      <c r="H1655" s="13">
        <v>27.0</v>
      </c>
      <c r="I1655" s="13">
        <v>7.0</v>
      </c>
      <c r="J1655" s="13">
        <v>0.0</v>
      </c>
      <c r="K1655" s="12" t="s">
        <v>21</v>
      </c>
      <c r="L1655" s="7">
        <v>41279.33181712963</v>
      </c>
      <c r="M1655" s="14" t="s">
        <v>1007</v>
      </c>
      <c r="N1655" s="14" t="s">
        <v>9304</v>
      </c>
      <c r="O1655" s="11" t="str">
        <f>HYPERLINK("https://pbs.twimg.com/profile_images/429634814317064192/UGex086Q_normal.png","View")</f>
        <v>View</v>
      </c>
      <c r="P1655" s="15"/>
    </row>
    <row r="1656">
      <c r="A1656" s="7">
        <v>42424.33387731481</v>
      </c>
      <c r="B1656" s="8" t="str">
        <f>HYPERLINK("https://twitter.com/statsepi","@statsepi")</f>
        <v>@statsepi</v>
      </c>
      <c r="C1656" s="10" t="s">
        <v>9305</v>
      </c>
      <c r="D1656" s="10" t="s">
        <v>9306</v>
      </c>
      <c r="E1656" s="11" t="str">
        <f>HYPERLINK("https://twitter.com/statsepi/status/702523577707454464","702523577707454464")</f>
        <v>702523577707454464</v>
      </c>
      <c r="F1656" s="12" t="s">
        <v>124</v>
      </c>
      <c r="G1656" s="13">
        <v>1870.0</v>
      </c>
      <c r="H1656" s="13">
        <v>671.0</v>
      </c>
      <c r="I1656" s="13">
        <v>2.0</v>
      </c>
      <c r="J1656" s="13">
        <v>0.0</v>
      </c>
      <c r="K1656" s="12" t="s">
        <v>21</v>
      </c>
      <c r="L1656" s="7">
        <v>40452.84261574074</v>
      </c>
      <c r="M1656" s="14" t="s">
        <v>9307</v>
      </c>
      <c r="N1656" s="14" t="s">
        <v>9308</v>
      </c>
      <c r="O1656" s="11" t="str">
        <f>HYPERLINK("https://pbs.twimg.com/profile_images/693572164323250176/FZ7W62KJ_normal.jpg","View")</f>
        <v>View</v>
      </c>
      <c r="P1656" s="15"/>
    </row>
    <row r="1657">
      <c r="A1657" s="7">
        <v>42424.33540509259</v>
      </c>
      <c r="B1657" s="8" t="str">
        <f>HYPERLINK("https://twitter.com/seandavis12","@seandavis12")</f>
        <v>@seandavis12</v>
      </c>
      <c r="C1657" s="10" t="s">
        <v>9309</v>
      </c>
      <c r="D1657" s="10" t="s">
        <v>9310</v>
      </c>
      <c r="E1657" s="11" t="str">
        <f>HYPERLINK("https://twitter.com/seandavis12/status/702524128901857284","702524128901857284")</f>
        <v>702524128901857284</v>
      </c>
      <c r="F1657" s="12" t="s">
        <v>98</v>
      </c>
      <c r="G1657" s="13">
        <v>990.0</v>
      </c>
      <c r="H1657" s="13">
        <v>433.0</v>
      </c>
      <c r="I1657" s="13">
        <v>1.0</v>
      </c>
      <c r="J1657" s="13">
        <v>2.0</v>
      </c>
      <c r="K1657" s="12" t="s">
        <v>21</v>
      </c>
      <c r="L1657" s="7">
        <v>40573.640173611115</v>
      </c>
      <c r="M1657" s="14" t="s">
        <v>9311</v>
      </c>
      <c r="N1657" s="14" t="s">
        <v>9312</v>
      </c>
      <c r="O1657" s="11" t="str">
        <f>HYPERLINK("https://pbs.twimg.com/profile_images/1913633871/sean_normal.png","View")</f>
        <v>View</v>
      </c>
      <c r="P1657" s="15"/>
    </row>
    <row r="1658">
      <c r="A1658" s="7">
        <v>42424.33644675926</v>
      </c>
      <c r="B1658" s="8" t="str">
        <f>HYPERLINK("https://twitter.com/AvrahamAdler","@AvrahamAdler")</f>
        <v>@AvrahamAdler</v>
      </c>
      <c r="C1658" s="10" t="s">
        <v>7961</v>
      </c>
      <c r="D1658" s="10" t="s">
        <v>9313</v>
      </c>
      <c r="E1658" s="11" t="str">
        <f>HYPERLINK("https://twitter.com/AvrahamAdler/status/702524506309459968","702524506309459968")</f>
        <v>702524506309459968</v>
      </c>
      <c r="F1658" s="12" t="s">
        <v>20</v>
      </c>
      <c r="G1658" s="13">
        <v>185.0</v>
      </c>
      <c r="H1658" s="13">
        <v>176.0</v>
      </c>
      <c r="I1658" s="13">
        <v>0.0</v>
      </c>
      <c r="J1658" s="13">
        <v>0.0</v>
      </c>
      <c r="K1658" s="12" t="s">
        <v>21</v>
      </c>
      <c r="L1658" s="7">
        <v>39899.30428240741</v>
      </c>
      <c r="M1658" s="14" t="s">
        <v>7962</v>
      </c>
      <c r="N1658" s="14" t="s">
        <v>7963</v>
      </c>
      <c r="O1658" s="11" t="str">
        <f>HYPERLINK("https://pbs.twimg.com/profile_images/378800000300019997/e0cc3d333edd7644c8b566146d92c853_normal.png","View")</f>
        <v>View</v>
      </c>
      <c r="P1658" s="15"/>
    </row>
    <row r="1659">
      <c r="A1659" s="7">
        <v>42424.34006944444</v>
      </c>
      <c r="B1659" s="8" t="str">
        <f>HYPERLINK("https://twitter.com/timelyportfolio","@timelyportfolio")</f>
        <v>@timelyportfolio</v>
      </c>
      <c r="C1659" s="10" t="s">
        <v>3698</v>
      </c>
      <c r="D1659" s="10" t="s">
        <v>9314</v>
      </c>
      <c r="E1659" s="11" t="str">
        <f>HYPERLINK("https://twitter.com/timelyportfolio/status/702525821873946627","702525821873946627")</f>
        <v>702525821873946627</v>
      </c>
      <c r="F1659" s="12" t="s">
        <v>20</v>
      </c>
      <c r="G1659" s="13">
        <v>1875.0</v>
      </c>
      <c r="H1659" s="13">
        <v>2248.0</v>
      </c>
      <c r="I1659" s="13">
        <v>1.0</v>
      </c>
      <c r="J1659" s="13">
        <v>0.0</v>
      </c>
      <c r="K1659" s="12" t="s">
        <v>21</v>
      </c>
      <c r="L1659" s="7">
        <v>40573.86280092593</v>
      </c>
      <c r="M1659" s="14" t="s">
        <v>3700</v>
      </c>
      <c r="N1659" s="14" t="s">
        <v>3701</v>
      </c>
      <c r="O1659" s="11" t="str">
        <f>HYPERLINK("https://pbs.twimg.com/profile_images/2198946077/image_normal.jpg","View")</f>
        <v>View</v>
      </c>
      <c r="P1659" s="15"/>
    </row>
    <row r="1660">
      <c r="A1660" s="7">
        <v>42424.34087962963</v>
      </c>
      <c r="B1660" s="8" t="str">
        <f>HYPERLINK("https://twitter.com/seandavis12","@seandavis12")</f>
        <v>@seandavis12</v>
      </c>
      <c r="C1660" s="10" t="s">
        <v>9309</v>
      </c>
      <c r="D1660" s="10" t="s">
        <v>9315</v>
      </c>
      <c r="E1660" s="11" t="str">
        <f>HYPERLINK("https://twitter.com/seandavis12/status/702526114460258306","702526114460258306")</f>
        <v>702526114460258306</v>
      </c>
      <c r="F1660" s="12" t="s">
        <v>98</v>
      </c>
      <c r="G1660" s="13">
        <v>990.0</v>
      </c>
      <c r="H1660" s="13">
        <v>433.0</v>
      </c>
      <c r="I1660" s="13">
        <v>0.0</v>
      </c>
      <c r="J1660" s="13">
        <v>2.0</v>
      </c>
      <c r="K1660" s="12" t="s">
        <v>21</v>
      </c>
      <c r="L1660" s="7">
        <v>40573.640173611115</v>
      </c>
      <c r="M1660" s="14" t="s">
        <v>9311</v>
      </c>
      <c r="N1660" s="14" t="s">
        <v>9312</v>
      </c>
      <c r="O1660" s="11" t="str">
        <f>HYPERLINK("https://pbs.twimg.com/profile_images/1913633871/sean_normal.png","View")</f>
        <v>View</v>
      </c>
      <c r="P1660" s="15"/>
    </row>
    <row r="1661">
      <c r="A1661" s="7">
        <v>42424.34275462963</v>
      </c>
      <c r="B1661" s="8" t="str">
        <f t="shared" ref="B1661:B1663" si="179">HYPERLINK("https://twitter.com/CRANberriesFeed","@CRANberriesFeed")</f>
        <v>@CRANberriesFeed</v>
      </c>
      <c r="C1661" s="10" t="s">
        <v>6282</v>
      </c>
      <c r="D1661" s="10" t="s">
        <v>9316</v>
      </c>
      <c r="E1661" s="11" t="str">
        <f>HYPERLINK("https://twitter.com/CRANberriesFeed/status/702526793677475845","702526793677475845")</f>
        <v>702526793677475845</v>
      </c>
      <c r="F1661" s="12" t="s">
        <v>6284</v>
      </c>
      <c r="G1661" s="13">
        <v>657.0</v>
      </c>
      <c r="H1661" s="13">
        <v>0.0</v>
      </c>
      <c r="I1661" s="13">
        <v>0.0</v>
      </c>
      <c r="J1661" s="13">
        <v>0.0</v>
      </c>
      <c r="K1661" s="12" t="s">
        <v>21</v>
      </c>
      <c r="L1661" s="7">
        <v>40546.353425925925</v>
      </c>
      <c r="M1661" s="14" t="s">
        <v>1158</v>
      </c>
      <c r="N1661" s="16"/>
      <c r="O1661" s="11" t="str">
        <f t="shared" ref="O1661:O1663" si="180">HYPERLINK("https://pbs.twimg.com/profile_images/1222779560/cran1_normal.jpg","View")</f>
        <v>View</v>
      </c>
      <c r="P1661" s="15"/>
    </row>
    <row r="1662">
      <c r="A1662" s="7">
        <v>42424.342939814815</v>
      </c>
      <c r="B1662" s="8" t="str">
        <f t="shared" si="179"/>
        <v>@CRANberriesFeed</v>
      </c>
      <c r="C1662" s="10" t="s">
        <v>6282</v>
      </c>
      <c r="D1662" s="10" t="s">
        <v>9317</v>
      </c>
      <c r="E1662" s="11" t="str">
        <f>HYPERLINK("https://twitter.com/CRANberriesFeed/status/702526862153687041","702526862153687041")</f>
        <v>702526862153687041</v>
      </c>
      <c r="F1662" s="12" t="s">
        <v>6284</v>
      </c>
      <c r="G1662" s="13">
        <v>657.0</v>
      </c>
      <c r="H1662" s="13">
        <v>0.0</v>
      </c>
      <c r="I1662" s="13">
        <v>0.0</v>
      </c>
      <c r="J1662" s="13">
        <v>0.0</v>
      </c>
      <c r="K1662" s="12" t="s">
        <v>21</v>
      </c>
      <c r="L1662" s="7">
        <v>40546.353425925925</v>
      </c>
      <c r="M1662" s="14" t="s">
        <v>1158</v>
      </c>
      <c r="N1662" s="16"/>
      <c r="O1662" s="11" t="str">
        <f t="shared" si="180"/>
        <v>View</v>
      </c>
      <c r="P1662" s="15"/>
    </row>
    <row r="1663">
      <c r="A1663" s="7">
        <v>42424.34307870371</v>
      </c>
      <c r="B1663" s="8" t="str">
        <f t="shared" si="179"/>
        <v>@CRANberriesFeed</v>
      </c>
      <c r="C1663" s="10" t="s">
        <v>6282</v>
      </c>
      <c r="D1663" s="10" t="s">
        <v>9318</v>
      </c>
      <c r="E1663" s="11" t="str">
        <f>HYPERLINK("https://twitter.com/CRANberriesFeed/status/702526911294140416","702526911294140416")</f>
        <v>702526911294140416</v>
      </c>
      <c r="F1663" s="12" t="s">
        <v>6284</v>
      </c>
      <c r="G1663" s="13">
        <v>657.0</v>
      </c>
      <c r="H1663" s="13">
        <v>0.0</v>
      </c>
      <c r="I1663" s="13">
        <v>0.0</v>
      </c>
      <c r="J1663" s="13">
        <v>0.0</v>
      </c>
      <c r="K1663" s="12" t="s">
        <v>21</v>
      </c>
      <c r="L1663" s="7">
        <v>40546.353425925925</v>
      </c>
      <c r="M1663" s="14" t="s">
        <v>1158</v>
      </c>
      <c r="N1663" s="16"/>
      <c r="O1663" s="11" t="str">
        <f t="shared" si="180"/>
        <v>View</v>
      </c>
      <c r="P1663" s="15"/>
    </row>
    <row r="1664">
      <c r="A1664" s="7">
        <v>42424.3441087963</v>
      </c>
      <c r="B1664" s="8" t="str">
        <f>HYPERLINK("https://twitter.com/missmolamola","@missmolamola")</f>
        <v>@missmolamola</v>
      </c>
      <c r="C1664" s="10" t="s">
        <v>9319</v>
      </c>
      <c r="D1664" s="10" t="s">
        <v>8666</v>
      </c>
      <c r="E1664" s="11" t="str">
        <f>HYPERLINK("https://twitter.com/missmolamola/status/702527283588825088","702527283588825088")</f>
        <v>702527283588825088</v>
      </c>
      <c r="F1664" s="12" t="s">
        <v>20</v>
      </c>
      <c r="G1664" s="13">
        <v>777.0</v>
      </c>
      <c r="H1664" s="13">
        <v>1002.0</v>
      </c>
      <c r="I1664" s="13">
        <v>50.0</v>
      </c>
      <c r="J1664" s="13">
        <v>0.0</v>
      </c>
      <c r="K1664" s="12" t="s">
        <v>21</v>
      </c>
      <c r="L1664" s="7">
        <v>40310.628530092596</v>
      </c>
      <c r="M1664" s="16"/>
      <c r="N1664" s="14" t="s">
        <v>9320</v>
      </c>
      <c r="O1664" s="11" t="str">
        <f>HYPERLINK("https://pbs.twimg.com/profile_images/675475253322059776/_hRNE59Q_normal.jpg","View")</f>
        <v>View</v>
      </c>
      <c r="P1664" s="15"/>
    </row>
    <row r="1665">
      <c r="A1665" s="7">
        <v>42424.34488425926</v>
      </c>
      <c r="B1665" s="8" t="str">
        <f>HYPERLINK("https://twitter.com/AriLamstein","@AriLamstein")</f>
        <v>@AriLamstein</v>
      </c>
      <c r="C1665" s="10" t="s">
        <v>6680</v>
      </c>
      <c r="D1665" s="10" t="s">
        <v>9321</v>
      </c>
      <c r="E1665" s="11" t="str">
        <f>HYPERLINK("https://twitter.com/AriLamstein/status/702527563818627072","702527563818627072")</f>
        <v>702527563818627072</v>
      </c>
      <c r="F1665" s="12" t="s">
        <v>20</v>
      </c>
      <c r="G1665" s="13">
        <v>577.0</v>
      </c>
      <c r="H1665" s="13">
        <v>254.0</v>
      </c>
      <c r="I1665" s="13">
        <v>1.0</v>
      </c>
      <c r="J1665" s="13">
        <v>0.0</v>
      </c>
      <c r="K1665" s="12" t="s">
        <v>21</v>
      </c>
      <c r="L1665" s="7">
        <v>41654.58315972222</v>
      </c>
      <c r="M1665" s="14" t="s">
        <v>69</v>
      </c>
      <c r="N1665" s="14" t="s">
        <v>6682</v>
      </c>
      <c r="O1665" s="11" t="str">
        <f>HYPERLINK("https://pbs.twimg.com/profile_images/424265489666162688/OSt8nLEe_normal.jpeg","View")</f>
        <v>View</v>
      </c>
      <c r="P1665" s="15"/>
    </row>
    <row r="1666">
      <c r="A1666" s="7">
        <v>42424.3465162037</v>
      </c>
      <c r="B1666" s="8" t="str">
        <f>HYPERLINK("https://twitter.com/jhollist","@jhollist")</f>
        <v>@jhollist</v>
      </c>
      <c r="C1666" s="10" t="s">
        <v>8353</v>
      </c>
      <c r="D1666" s="10" t="s">
        <v>9322</v>
      </c>
      <c r="E1666" s="11" t="str">
        <f>HYPERLINK("https://twitter.com/jhollist/status/702528156423553026","702528156423553026")</f>
        <v>702528156423553026</v>
      </c>
      <c r="F1666" s="12" t="s">
        <v>20</v>
      </c>
      <c r="G1666" s="13">
        <v>483.0</v>
      </c>
      <c r="H1666" s="13">
        <v>409.0</v>
      </c>
      <c r="I1666" s="13">
        <v>8.0</v>
      </c>
      <c r="J1666" s="13">
        <v>0.0</v>
      </c>
      <c r="K1666" s="12" t="s">
        <v>21</v>
      </c>
      <c r="L1666" s="7">
        <v>40049.80991898148</v>
      </c>
      <c r="M1666" s="14" t="s">
        <v>8355</v>
      </c>
      <c r="N1666" s="14" t="s">
        <v>8356</v>
      </c>
      <c r="O1666" s="11" t="str">
        <f>HYPERLINK("https://pbs.twimg.com/profile_images/562349585545170944/FADS_UgG_normal.jpeg","View")</f>
        <v>View</v>
      </c>
      <c r="P1666" s="15"/>
    </row>
    <row r="1667">
      <c r="A1667" s="7">
        <v>42424.346666666665</v>
      </c>
      <c r="B1667" s="8" t="str">
        <f>HYPERLINK("https://twitter.com/RallidaeRule","@RallidaeRule")</f>
        <v>@RallidaeRule</v>
      </c>
      <c r="C1667" s="10" t="s">
        <v>8665</v>
      </c>
      <c r="D1667" s="10" t="s">
        <v>9322</v>
      </c>
      <c r="E1667" s="11" t="str">
        <f>HYPERLINK("https://twitter.com/RallidaeRule/status/702528211964461057","702528211964461057")</f>
        <v>702528211964461057</v>
      </c>
      <c r="F1667" s="12" t="s">
        <v>446</v>
      </c>
      <c r="G1667" s="13">
        <v>2627.0</v>
      </c>
      <c r="H1667" s="13">
        <v>1200.0</v>
      </c>
      <c r="I1667" s="13">
        <v>8.0</v>
      </c>
      <c r="J1667" s="13">
        <v>0.0</v>
      </c>
      <c r="K1667" s="12" t="s">
        <v>21</v>
      </c>
      <c r="L1667" s="7">
        <v>40057.58322916667</v>
      </c>
      <c r="M1667" s="14" t="s">
        <v>8667</v>
      </c>
      <c r="N1667" s="14" t="s">
        <v>8668</v>
      </c>
      <c r="O1667" s="11" t="str">
        <f>HYPERLINK("https://pbs.twimg.com/profile_images/472088432374579201/pTx9F7zb_normal.jpeg","View")</f>
        <v>View</v>
      </c>
      <c r="P1667" s="15"/>
    </row>
    <row r="1668">
      <c r="A1668" s="7">
        <v>42424.348379629635</v>
      </c>
      <c r="B1668" s="8" t="str">
        <f>HYPERLINK("https://twitter.com/WinVectorLLC","@WinVectorLLC")</f>
        <v>@WinVectorLLC</v>
      </c>
      <c r="C1668" s="10" t="s">
        <v>9323</v>
      </c>
      <c r="D1668" s="10" t="s">
        <v>9324</v>
      </c>
      <c r="E1668" s="11" t="str">
        <f>HYPERLINK("https://twitter.com/WinVectorLLC/status/702528831773478912","702528831773478912")</f>
        <v>702528831773478912</v>
      </c>
      <c r="F1668" s="12" t="s">
        <v>446</v>
      </c>
      <c r="G1668" s="13">
        <v>924.0</v>
      </c>
      <c r="H1668" s="13">
        <v>1001.0</v>
      </c>
      <c r="I1668" s="13">
        <v>1.0</v>
      </c>
      <c r="J1668" s="13">
        <v>1.0</v>
      </c>
      <c r="K1668" s="12" t="s">
        <v>21</v>
      </c>
      <c r="L1668" s="7">
        <v>41367.40046296296</v>
      </c>
      <c r="M1668" s="14" t="s">
        <v>69</v>
      </c>
      <c r="N1668" s="14" t="s">
        <v>9325</v>
      </c>
      <c r="O1668" s="11" t="str">
        <f>HYPERLINK("https://pbs.twimg.com/profile_images/3471819465/58bf7bfaa29046d181eef07d22477315_normal.png","View")</f>
        <v>View</v>
      </c>
      <c r="P1668" s="15"/>
    </row>
    <row r="1669">
      <c r="A1669" s="7">
        <v>42424.348391203705</v>
      </c>
      <c r="B1669" s="8" t="str">
        <f>HYPERLINK("https://twitter.com/sentiwire","@sentiwire")</f>
        <v>@sentiwire</v>
      </c>
      <c r="C1669" s="10" t="s">
        <v>381</v>
      </c>
      <c r="D1669" s="10" t="s">
        <v>9326</v>
      </c>
      <c r="E1669" s="11" t="str">
        <f>HYPERLINK("https://twitter.com/sentiwire/status/702528836508909568","702528836508909568")</f>
        <v>702528836508909568</v>
      </c>
      <c r="F1669" s="12" t="s">
        <v>383</v>
      </c>
      <c r="G1669" s="13">
        <v>515.0</v>
      </c>
      <c r="H1669" s="13">
        <v>1716.0</v>
      </c>
      <c r="I1669" s="13">
        <v>1.0</v>
      </c>
      <c r="J1669" s="13">
        <v>0.0</v>
      </c>
      <c r="K1669" s="12" t="s">
        <v>21</v>
      </c>
      <c r="L1669" s="7">
        <v>41422.629641203705</v>
      </c>
      <c r="M1669" s="16"/>
      <c r="N1669" s="14" t="s">
        <v>384</v>
      </c>
      <c r="O1669" s="11" t="str">
        <f>HYPERLINK("https://pbs.twimg.com/profile_images/686965105473396736/B9V5UtGS_normal.jpg","View")</f>
        <v>View</v>
      </c>
      <c r="P1669" s="15"/>
    </row>
    <row r="1670">
      <c r="A1670" s="7">
        <v>42424.34950231481</v>
      </c>
      <c r="B1670" s="8" t="str">
        <f>HYPERLINK("https://twitter.com/jhollist","@jhollist")</f>
        <v>@jhollist</v>
      </c>
      <c r="C1670" s="10" t="s">
        <v>8353</v>
      </c>
      <c r="D1670" s="10" t="s">
        <v>9327</v>
      </c>
      <c r="E1670" s="11" t="str">
        <f>HYPERLINK("https://twitter.com/jhollist/status/702529239208345601","702529239208345601")</f>
        <v>702529239208345601</v>
      </c>
      <c r="F1670" s="12" t="s">
        <v>20</v>
      </c>
      <c r="G1670" s="13">
        <v>483.0</v>
      </c>
      <c r="H1670" s="13">
        <v>409.0</v>
      </c>
      <c r="I1670" s="13">
        <v>0.0</v>
      </c>
      <c r="J1670" s="13">
        <v>1.0</v>
      </c>
      <c r="K1670" s="12" t="s">
        <v>21</v>
      </c>
      <c r="L1670" s="7">
        <v>40049.80991898148</v>
      </c>
      <c r="M1670" s="14" t="s">
        <v>8355</v>
      </c>
      <c r="N1670" s="14" t="s">
        <v>8356</v>
      </c>
      <c r="O1670" s="11" t="str">
        <f>HYPERLINK("https://pbs.twimg.com/profile_images/562349585545170944/FADS_UgG_normal.jpeg","View")</f>
        <v>View</v>
      </c>
      <c r="P1670" s="15"/>
    </row>
    <row r="1671">
      <c r="A1671" s="7">
        <v>42424.35298611112</v>
      </c>
      <c r="B1671" s="8" t="str">
        <f t="shared" ref="B1671:B1672" si="181">HYPERLINK("https://twitter.com/seandavis12","@seandavis12")</f>
        <v>@seandavis12</v>
      </c>
      <c r="C1671" s="10" t="s">
        <v>9309</v>
      </c>
      <c r="D1671" s="10" t="s">
        <v>9328</v>
      </c>
      <c r="E1671" s="11" t="str">
        <f>HYPERLINK("https://twitter.com/seandavis12/status/702530499919659010","702530499919659010")</f>
        <v>702530499919659010</v>
      </c>
      <c r="F1671" s="12" t="s">
        <v>98</v>
      </c>
      <c r="G1671" s="13">
        <v>990.0</v>
      </c>
      <c r="H1671" s="13">
        <v>433.0</v>
      </c>
      <c r="I1671" s="13">
        <v>1.0</v>
      </c>
      <c r="J1671" s="13">
        <v>3.0</v>
      </c>
      <c r="K1671" s="12" t="s">
        <v>21</v>
      </c>
      <c r="L1671" s="7">
        <v>40573.640173611115</v>
      </c>
      <c r="M1671" s="14" t="s">
        <v>9311</v>
      </c>
      <c r="N1671" s="14" t="s">
        <v>9312</v>
      </c>
      <c r="O1671" s="11" t="str">
        <f t="shared" ref="O1671:O1672" si="182">HYPERLINK("https://pbs.twimg.com/profile_images/1913633871/sean_normal.png","View")</f>
        <v>View</v>
      </c>
      <c r="P1671" s="15"/>
    </row>
    <row r="1672">
      <c r="A1672" s="7">
        <v>42424.354050925926</v>
      </c>
      <c r="B1672" s="8" t="str">
        <f t="shared" si="181"/>
        <v>@seandavis12</v>
      </c>
      <c r="C1672" s="10" t="s">
        <v>9309</v>
      </c>
      <c r="D1672" s="10" t="s">
        <v>9329</v>
      </c>
      <c r="E1672" s="11" t="str">
        <f>HYPERLINK("https://twitter.com/seandavis12/status/702530887607566336","702530887607566336")</f>
        <v>702530887607566336</v>
      </c>
      <c r="F1672" s="12" t="s">
        <v>98</v>
      </c>
      <c r="G1672" s="13">
        <v>990.0</v>
      </c>
      <c r="H1672" s="13">
        <v>433.0</v>
      </c>
      <c r="I1672" s="13">
        <v>0.0</v>
      </c>
      <c r="J1672" s="13">
        <v>0.0</v>
      </c>
      <c r="K1672" s="12" t="s">
        <v>21</v>
      </c>
      <c r="L1672" s="7">
        <v>40573.640173611115</v>
      </c>
      <c r="M1672" s="14" t="s">
        <v>9311</v>
      </c>
      <c r="N1672" s="14" t="s">
        <v>9312</v>
      </c>
      <c r="O1672" s="11" t="str">
        <f t="shared" si="182"/>
        <v>View</v>
      </c>
      <c r="P1672" s="15"/>
    </row>
    <row r="1673">
      <c r="A1673" s="7">
        <v>42424.35418981481</v>
      </c>
      <c r="B1673" s="8" t="str">
        <f>HYPERLINK("https://twitter.com/thatdnaguy","@thatdnaguy")</f>
        <v>@thatdnaguy</v>
      </c>
      <c r="C1673" s="10" t="s">
        <v>9330</v>
      </c>
      <c r="D1673" s="10" t="s">
        <v>9331</v>
      </c>
      <c r="E1673" s="11" t="str">
        <f>HYPERLINK("https://twitter.com/thatdnaguy/status/702530939168165888","702530939168165888")</f>
        <v>702530939168165888</v>
      </c>
      <c r="F1673" s="12" t="s">
        <v>446</v>
      </c>
      <c r="G1673" s="13">
        <v>1047.0</v>
      </c>
      <c r="H1673" s="13">
        <v>647.0</v>
      </c>
      <c r="I1673" s="13">
        <v>1.0</v>
      </c>
      <c r="J1673" s="13">
        <v>0.0</v>
      </c>
      <c r="K1673" s="12" t="s">
        <v>21</v>
      </c>
      <c r="L1673" s="7">
        <v>40673.86337962963</v>
      </c>
      <c r="M1673" s="14" t="s">
        <v>7569</v>
      </c>
      <c r="N1673" s="14" t="s">
        <v>9332</v>
      </c>
      <c r="O1673" s="11" t="str">
        <f>HYPERLINK("https://pbs.twimg.com/profile_images/1378906526/B_DNA_normal.png","View")</f>
        <v>View</v>
      </c>
      <c r="P1673" s="15"/>
    </row>
    <row r="1674">
      <c r="A1674" s="7">
        <v>42424.35527777778</v>
      </c>
      <c r="B1674" s="8" t="str">
        <f>HYPERLINK("https://twitter.com/ryanpraski","@ryanpraski")</f>
        <v>@ryanpraski</v>
      </c>
      <c r="C1674" s="10" t="s">
        <v>7383</v>
      </c>
      <c r="D1674" s="10" t="s">
        <v>9333</v>
      </c>
      <c r="E1674" s="11" t="str">
        <f>HYPERLINK("https://twitter.com/ryanpraski/status/702531331700498432","702531331700498432")</f>
        <v>702531331700498432</v>
      </c>
      <c r="F1674" s="12" t="s">
        <v>20</v>
      </c>
      <c r="G1674" s="13">
        <v>1262.0</v>
      </c>
      <c r="H1674" s="13">
        <v>734.0</v>
      </c>
      <c r="I1674" s="13">
        <v>1.0</v>
      </c>
      <c r="J1674" s="13">
        <v>2.0</v>
      </c>
      <c r="K1674" s="12" t="s">
        <v>21</v>
      </c>
      <c r="L1674" s="7">
        <v>39979.54449074074</v>
      </c>
      <c r="M1674" s="14" t="s">
        <v>1939</v>
      </c>
      <c r="N1674" s="14" t="s">
        <v>7385</v>
      </c>
      <c r="O1674" s="11" t="str">
        <f>HYPERLINK("https://pbs.twimg.com/profile_images/634449864684924928/VtH3s8ip_normal.png","View")</f>
        <v>View</v>
      </c>
      <c r="P1674" s="15"/>
    </row>
    <row r="1675">
      <c r="A1675" s="7">
        <v>42424.35938657407</v>
      </c>
      <c r="B1675" s="8" t="str">
        <f t="shared" ref="B1675:B1676" si="183">HYPERLINK("https://twitter.com/seandavis12","@seandavis12")</f>
        <v>@seandavis12</v>
      </c>
      <c r="C1675" s="10" t="s">
        <v>9309</v>
      </c>
      <c r="D1675" s="10" t="s">
        <v>9334</v>
      </c>
      <c r="E1675" s="11" t="str">
        <f>HYPERLINK("https://twitter.com/seandavis12/status/702532822431571969","702532822431571969")</f>
        <v>702532822431571969</v>
      </c>
      <c r="F1675" s="12" t="s">
        <v>98</v>
      </c>
      <c r="G1675" s="13">
        <v>990.0</v>
      </c>
      <c r="H1675" s="13">
        <v>433.0</v>
      </c>
      <c r="I1675" s="13">
        <v>0.0</v>
      </c>
      <c r="J1675" s="13">
        <v>1.0</v>
      </c>
      <c r="K1675" s="12" t="s">
        <v>21</v>
      </c>
      <c r="L1675" s="7">
        <v>40573.640173611115</v>
      </c>
      <c r="M1675" s="14" t="s">
        <v>9311</v>
      </c>
      <c r="N1675" s="14" t="s">
        <v>9312</v>
      </c>
      <c r="O1675" s="11" t="str">
        <f t="shared" ref="O1675:O1676" si="184">HYPERLINK("https://pbs.twimg.com/profile_images/1913633871/sean_normal.png","View")</f>
        <v>View</v>
      </c>
      <c r="P1675" s="15"/>
    </row>
    <row r="1676">
      <c r="A1676" s="7">
        <v>42424.36027777778</v>
      </c>
      <c r="B1676" s="8" t="str">
        <f t="shared" si="183"/>
        <v>@seandavis12</v>
      </c>
      <c r="C1676" s="10" t="s">
        <v>9309</v>
      </c>
      <c r="D1676" s="10" t="s">
        <v>9335</v>
      </c>
      <c r="E1676" s="11" t="str">
        <f>HYPERLINK("https://twitter.com/seandavis12/status/702533142196920320","702533142196920320")</f>
        <v>702533142196920320</v>
      </c>
      <c r="F1676" s="12" t="s">
        <v>98</v>
      </c>
      <c r="G1676" s="13">
        <v>990.0</v>
      </c>
      <c r="H1676" s="13">
        <v>433.0</v>
      </c>
      <c r="I1676" s="13">
        <v>0.0</v>
      </c>
      <c r="J1676" s="13">
        <v>0.0</v>
      </c>
      <c r="K1676" s="12" t="s">
        <v>21</v>
      </c>
      <c r="L1676" s="7">
        <v>40573.640173611115</v>
      </c>
      <c r="M1676" s="14" t="s">
        <v>9311</v>
      </c>
      <c r="N1676" s="14" t="s">
        <v>9312</v>
      </c>
      <c r="O1676" s="11" t="str">
        <f t="shared" si="184"/>
        <v>View</v>
      </c>
      <c r="P1676" s="15"/>
    </row>
    <row r="1677">
      <c r="A1677" s="7">
        <v>42424.360497685186</v>
      </c>
      <c r="B1677" s="8" t="str">
        <f>HYPERLINK("https://twitter.com/JimGrange","@JimGrange")</f>
        <v>@JimGrange</v>
      </c>
      <c r="C1677" s="10" t="s">
        <v>9336</v>
      </c>
      <c r="D1677" s="10" t="s">
        <v>9337</v>
      </c>
      <c r="E1677" s="11" t="str">
        <f>HYPERLINK("https://twitter.com/JimGrange/status/702533224300486656","702533224300486656")</f>
        <v>702533224300486656</v>
      </c>
      <c r="F1677" s="12" t="s">
        <v>20</v>
      </c>
      <c r="G1677" s="13">
        <v>534.0</v>
      </c>
      <c r="H1677" s="13">
        <v>564.0</v>
      </c>
      <c r="I1677" s="13">
        <v>0.0</v>
      </c>
      <c r="J1677" s="13">
        <v>0.0</v>
      </c>
      <c r="K1677" s="12" t="s">
        <v>21</v>
      </c>
      <c r="L1677" s="7">
        <v>40160.35172453704</v>
      </c>
      <c r="M1677" s="14" t="s">
        <v>9338</v>
      </c>
      <c r="N1677" s="14" t="s">
        <v>9339</v>
      </c>
      <c r="O1677" s="11" t="str">
        <f>HYPERLINK("https://pbs.twimg.com/profile_images/689076690304241664/WqaUMDOJ_normal.jpg","View")</f>
        <v>View</v>
      </c>
      <c r="P1677" s="15"/>
    </row>
    <row r="1678">
      <c r="A1678" s="7">
        <v>42424.360555555555</v>
      </c>
      <c r="B1678" s="8" t="str">
        <f>HYPERLINK("https://twitter.com/andyteucher","@andyteucher")</f>
        <v>@andyteucher</v>
      </c>
      <c r="C1678" s="10" t="s">
        <v>7758</v>
      </c>
      <c r="D1678" s="10" t="s">
        <v>9340</v>
      </c>
      <c r="E1678" s="11" t="str">
        <f>HYPERLINK("https://twitter.com/andyteucher/status/702533246207168512","702533246207168512")</f>
        <v>702533246207168512</v>
      </c>
      <c r="F1678" s="12" t="s">
        <v>1082</v>
      </c>
      <c r="G1678" s="13">
        <v>236.0</v>
      </c>
      <c r="H1678" s="13">
        <v>530.0</v>
      </c>
      <c r="I1678" s="13">
        <v>2.0</v>
      </c>
      <c r="J1678" s="13">
        <v>1.0</v>
      </c>
      <c r="K1678" s="12" t="s">
        <v>21</v>
      </c>
      <c r="L1678" s="7">
        <v>40340.96523148148</v>
      </c>
      <c r="M1678" s="14" t="s">
        <v>7759</v>
      </c>
      <c r="N1678" s="14" t="s">
        <v>7760</v>
      </c>
      <c r="O1678" s="11" t="str">
        <f>HYPERLINK("https://pbs.twimg.com/profile_images/509021766979579904/lAjlpu7x_normal.jpeg","View")</f>
        <v>View</v>
      </c>
      <c r="P1678" s="15"/>
    </row>
    <row r="1679">
      <c r="A1679" s="7">
        <v>42424.36195601852</v>
      </c>
      <c r="B1679" s="8" t="str">
        <f t="shared" ref="B1679:B1681" si="185">HYPERLINK("https://twitter.com/seandavis12","@seandavis12")</f>
        <v>@seandavis12</v>
      </c>
      <c r="C1679" s="10" t="s">
        <v>9309</v>
      </c>
      <c r="D1679" s="10" t="s">
        <v>9341</v>
      </c>
      <c r="E1679" s="11" t="str">
        <f>HYPERLINK("https://twitter.com/seandavis12/status/702533752778563589","702533752778563589")</f>
        <v>702533752778563589</v>
      </c>
      <c r="F1679" s="12" t="s">
        <v>98</v>
      </c>
      <c r="G1679" s="13">
        <v>990.0</v>
      </c>
      <c r="H1679" s="13">
        <v>433.0</v>
      </c>
      <c r="I1679" s="13">
        <v>0.0</v>
      </c>
      <c r="J1679" s="13">
        <v>0.0</v>
      </c>
      <c r="K1679" s="12" t="s">
        <v>21</v>
      </c>
      <c r="L1679" s="7">
        <v>40573.640173611115</v>
      </c>
      <c r="M1679" s="14" t="s">
        <v>9311</v>
      </c>
      <c r="N1679" s="14" t="s">
        <v>9312</v>
      </c>
      <c r="O1679" s="11" t="str">
        <f t="shared" ref="O1679:O1681" si="186">HYPERLINK("https://pbs.twimg.com/profile_images/1913633871/sean_normal.png","View")</f>
        <v>View</v>
      </c>
      <c r="P1679" s="15"/>
    </row>
    <row r="1680">
      <c r="A1680" s="7">
        <v>42424.3653125</v>
      </c>
      <c r="B1680" s="8" t="str">
        <f t="shared" si="185"/>
        <v>@seandavis12</v>
      </c>
      <c r="C1680" s="10" t="s">
        <v>9309</v>
      </c>
      <c r="D1680" s="10" t="s">
        <v>9342</v>
      </c>
      <c r="E1680" s="11" t="str">
        <f>HYPERLINK("https://twitter.com/seandavis12/status/702534966920527872","702534966920527872")</f>
        <v>702534966920527872</v>
      </c>
      <c r="F1680" s="12" t="s">
        <v>98</v>
      </c>
      <c r="G1680" s="13">
        <v>990.0</v>
      </c>
      <c r="H1680" s="13">
        <v>433.0</v>
      </c>
      <c r="I1680" s="13">
        <v>0.0</v>
      </c>
      <c r="J1680" s="13">
        <v>0.0</v>
      </c>
      <c r="K1680" s="12" t="s">
        <v>21</v>
      </c>
      <c r="L1680" s="7">
        <v>40573.640173611115</v>
      </c>
      <c r="M1680" s="14" t="s">
        <v>9311</v>
      </c>
      <c r="N1680" s="14" t="s">
        <v>9312</v>
      </c>
      <c r="O1680" s="11" t="str">
        <f t="shared" si="186"/>
        <v>View</v>
      </c>
      <c r="P1680" s="15"/>
    </row>
    <row r="1681">
      <c r="A1681" s="7">
        <v>42424.36604166667</v>
      </c>
      <c r="B1681" s="8" t="str">
        <f t="shared" si="185"/>
        <v>@seandavis12</v>
      </c>
      <c r="C1681" s="10" t="s">
        <v>9309</v>
      </c>
      <c r="D1681" s="10" t="s">
        <v>9343</v>
      </c>
      <c r="E1681" s="11" t="str">
        <f>HYPERLINK("https://twitter.com/seandavis12/status/702535230779953152","702535230779953152")</f>
        <v>702535230779953152</v>
      </c>
      <c r="F1681" s="12" t="s">
        <v>98</v>
      </c>
      <c r="G1681" s="13">
        <v>990.0</v>
      </c>
      <c r="H1681" s="13">
        <v>433.0</v>
      </c>
      <c r="I1681" s="13">
        <v>0.0</v>
      </c>
      <c r="J1681" s="13">
        <v>0.0</v>
      </c>
      <c r="K1681" s="12" t="s">
        <v>21</v>
      </c>
      <c r="L1681" s="7">
        <v>40573.640173611115</v>
      </c>
      <c r="M1681" s="14" t="s">
        <v>9311</v>
      </c>
      <c r="N1681" s="14" t="s">
        <v>9312</v>
      </c>
      <c r="O1681" s="11" t="str">
        <f t="shared" si="186"/>
        <v>View</v>
      </c>
      <c r="P1681" s="15"/>
    </row>
    <row r="1682">
      <c r="A1682" s="7">
        <v>42424.36645833333</v>
      </c>
      <c r="B1682" s="8" t="str">
        <f>HYPERLINK("https://twitter.com/rbrowne","@rbrowne")</f>
        <v>@rbrowne</v>
      </c>
      <c r="C1682" s="10" t="s">
        <v>9344</v>
      </c>
      <c r="D1682" s="10" t="s">
        <v>8666</v>
      </c>
      <c r="E1682" s="11" t="str">
        <f>HYPERLINK("https://twitter.com/rbrowne/status/702535384396230656","702535384396230656")</f>
        <v>702535384396230656</v>
      </c>
      <c r="F1682" s="12" t="s">
        <v>152</v>
      </c>
      <c r="G1682" s="13">
        <v>549.0</v>
      </c>
      <c r="H1682" s="13">
        <v>1169.0</v>
      </c>
      <c r="I1682" s="13">
        <v>50.0</v>
      </c>
      <c r="J1682" s="13">
        <v>0.0</v>
      </c>
      <c r="K1682" s="12" t="s">
        <v>21</v>
      </c>
      <c r="L1682" s="7">
        <v>39591.94978009259</v>
      </c>
      <c r="M1682" s="14" t="s">
        <v>9345</v>
      </c>
      <c r="N1682" s="14" t="s">
        <v>9346</v>
      </c>
      <c r="O1682" s="11" t="str">
        <f>HYPERLINK("https://pbs.twimg.com/profile_images/378800000726882089/121e8e7f283613e94683c6def431d581_normal.jpeg","View")</f>
        <v>View</v>
      </c>
      <c r="P1682" s="15"/>
    </row>
    <row r="1683">
      <c r="A1683" s="7">
        <v>42424.3674537037</v>
      </c>
      <c r="B1683" s="8" t="str">
        <f>HYPERLINK("https://twitter.com/naupakaz","@naupakaz")</f>
        <v>@naupakaz</v>
      </c>
      <c r="C1683" s="10" t="s">
        <v>9347</v>
      </c>
      <c r="D1683" s="10" t="s">
        <v>9348</v>
      </c>
      <c r="E1683" s="11" t="str">
        <f>HYPERLINK("https://twitter.com/naupakaz/status/702535744531763200","702535744531763200")</f>
        <v>702535744531763200</v>
      </c>
      <c r="F1683" s="12" t="s">
        <v>20</v>
      </c>
      <c r="G1683" s="13">
        <v>1116.0</v>
      </c>
      <c r="H1683" s="13">
        <v>1613.0</v>
      </c>
      <c r="I1683" s="13">
        <v>0.0</v>
      </c>
      <c r="J1683" s="13">
        <v>0.0</v>
      </c>
      <c r="K1683" s="12" t="s">
        <v>21</v>
      </c>
      <c r="L1683" s="7">
        <v>39562.79421296297</v>
      </c>
      <c r="M1683" s="14" t="s">
        <v>1137</v>
      </c>
      <c r="N1683" s="14" t="s">
        <v>9349</v>
      </c>
      <c r="O1683" s="11" t="str">
        <f>HYPERLINK("https://pbs.twimg.com/profile_images/72873273/100_0702_normal.jpg","View")</f>
        <v>View</v>
      </c>
      <c r="P1683" s="15"/>
    </row>
    <row r="1684">
      <c r="A1684" s="7">
        <v>42424.36753472222</v>
      </c>
      <c r="B1684" s="8" t="str">
        <f>HYPERLINK("https://twitter.com/TiffanyTimbers","@TiffanyTimbers")</f>
        <v>@TiffanyTimbers</v>
      </c>
      <c r="C1684" s="10" t="s">
        <v>8596</v>
      </c>
      <c r="D1684" s="10" t="s">
        <v>9350</v>
      </c>
      <c r="E1684" s="11" t="str">
        <f>HYPERLINK("https://twitter.com/TiffanyTimbers/status/702535775187894273","702535775187894273")</f>
        <v>702535775187894273</v>
      </c>
      <c r="F1684" s="12" t="s">
        <v>152</v>
      </c>
      <c r="G1684" s="13">
        <v>447.0</v>
      </c>
      <c r="H1684" s="13">
        <v>581.0</v>
      </c>
      <c r="I1684" s="13">
        <v>2.0</v>
      </c>
      <c r="J1684" s="13">
        <v>0.0</v>
      </c>
      <c r="K1684" s="12" t="s">
        <v>21</v>
      </c>
      <c r="L1684" s="7">
        <v>41744.80986111111</v>
      </c>
      <c r="M1684" s="14" t="s">
        <v>1855</v>
      </c>
      <c r="N1684" s="14" t="s">
        <v>8598</v>
      </c>
      <c r="O1684" s="11" t="str">
        <f>HYPERLINK("https://pbs.twimg.com/profile_images/555037927210614786/h0Xxb-Vr_normal.jpeg","View")</f>
        <v>View</v>
      </c>
      <c r="P1684" s="15"/>
    </row>
    <row r="1685">
      <c r="A1685" s="7">
        <v>42424.370300925926</v>
      </c>
      <c r="B1685" s="8" t="str">
        <f>HYPERLINK("https://twitter.com/robinlovelace","@robinlovelace")</f>
        <v>@robinlovelace</v>
      </c>
      <c r="C1685" s="10" t="s">
        <v>9351</v>
      </c>
      <c r="D1685" s="10" t="s">
        <v>9352</v>
      </c>
      <c r="E1685" s="11" t="str">
        <f>HYPERLINK("https://twitter.com/robinlovelace/status/702536775214960640","702536775214960640")</f>
        <v>702536775214960640</v>
      </c>
      <c r="F1685" s="12" t="s">
        <v>20</v>
      </c>
      <c r="G1685" s="13">
        <v>598.0</v>
      </c>
      <c r="H1685" s="13">
        <v>99.0</v>
      </c>
      <c r="I1685" s="13">
        <v>0.0</v>
      </c>
      <c r="J1685" s="13">
        <v>3.0</v>
      </c>
      <c r="K1685" s="12" t="s">
        <v>21</v>
      </c>
      <c r="L1685" s="7">
        <v>40092.0553125</v>
      </c>
      <c r="M1685" s="14" t="s">
        <v>7068</v>
      </c>
      <c r="N1685" s="14" t="s">
        <v>9353</v>
      </c>
      <c r="O1685" s="11" t="str">
        <f>HYPERLINK("https://pbs.twimg.com/profile_images/504036355307884545/43rPIK7f_normal.jpeg","View")</f>
        <v>View</v>
      </c>
      <c r="P1685" s="15"/>
    </row>
    <row r="1686">
      <c r="A1686" s="7">
        <v>42424.370300925926</v>
      </c>
      <c r="B1686" s="8" t="str">
        <f>HYPERLINK("https://twitter.com/drob","@drob")</f>
        <v>@drob</v>
      </c>
      <c r="C1686" s="10" t="s">
        <v>7341</v>
      </c>
      <c r="D1686" s="10" t="s">
        <v>9322</v>
      </c>
      <c r="E1686" s="11" t="str">
        <f>HYPERLINK("https://twitter.com/drob/status/702536776905195524","702536776905195524")</f>
        <v>702536776905195524</v>
      </c>
      <c r="F1686" s="12" t="s">
        <v>20</v>
      </c>
      <c r="G1686" s="13">
        <v>2249.0</v>
      </c>
      <c r="H1686" s="13">
        <v>230.0</v>
      </c>
      <c r="I1686" s="13">
        <v>8.0</v>
      </c>
      <c r="J1686" s="13">
        <v>0.0</v>
      </c>
      <c r="K1686" s="12" t="s">
        <v>21</v>
      </c>
      <c r="L1686" s="7">
        <v>39974.65020833333</v>
      </c>
      <c r="M1686" s="14" t="s">
        <v>1018</v>
      </c>
      <c r="N1686" s="14" t="s">
        <v>7343</v>
      </c>
      <c r="O1686" s="11" t="str">
        <f>HYPERLINK("https://pbs.twimg.com/profile_images/777175344/David_Robinson_normal.jpg","View")</f>
        <v>View</v>
      </c>
      <c r="P1686" s="15"/>
    </row>
    <row r="1687">
      <c r="A1687" s="7">
        <v>42424.370624999996</v>
      </c>
      <c r="B1687" s="8" t="str">
        <f>HYPERLINK("https://twitter.com/naupakaz","@naupakaz")</f>
        <v>@naupakaz</v>
      </c>
      <c r="C1687" s="10" t="s">
        <v>9347</v>
      </c>
      <c r="D1687" s="10" t="s">
        <v>9354</v>
      </c>
      <c r="E1687" s="11" t="str">
        <f>HYPERLINK("https://twitter.com/naupakaz/status/702536893641035776","702536893641035776")</f>
        <v>702536893641035776</v>
      </c>
      <c r="F1687" s="12" t="s">
        <v>20</v>
      </c>
      <c r="G1687" s="13">
        <v>1116.0</v>
      </c>
      <c r="H1687" s="13">
        <v>1613.0</v>
      </c>
      <c r="I1687" s="13">
        <v>0.0</v>
      </c>
      <c r="J1687" s="13">
        <v>0.0</v>
      </c>
      <c r="K1687" s="12" t="s">
        <v>21</v>
      </c>
      <c r="L1687" s="7">
        <v>39562.79421296297</v>
      </c>
      <c r="M1687" s="14" t="s">
        <v>1137</v>
      </c>
      <c r="N1687" s="14" t="s">
        <v>9349</v>
      </c>
      <c r="O1687" s="11" t="str">
        <f>HYPERLINK("https://pbs.twimg.com/profile_images/72873273/100_0702_normal.jpg","View")</f>
        <v>View</v>
      </c>
      <c r="P1687" s="15"/>
    </row>
    <row r="1688">
      <c r="A1688" s="7">
        <v>42424.37177083333</v>
      </c>
      <c r="B1688" s="8" t="str">
        <f>HYPERLINK("https://twitter.com/earino","@earino")</f>
        <v>@earino</v>
      </c>
      <c r="C1688" s="10" t="s">
        <v>9355</v>
      </c>
      <c r="D1688" s="10" t="s">
        <v>9322</v>
      </c>
      <c r="E1688" s="11" t="str">
        <f>HYPERLINK("https://twitter.com/earino/status/702537306759036928","702537306759036928")</f>
        <v>702537306759036928</v>
      </c>
      <c r="F1688" s="12" t="s">
        <v>152</v>
      </c>
      <c r="G1688" s="13">
        <v>1262.0</v>
      </c>
      <c r="H1688" s="13">
        <v>481.0</v>
      </c>
      <c r="I1688" s="13">
        <v>8.0</v>
      </c>
      <c r="J1688" s="13">
        <v>0.0</v>
      </c>
      <c r="K1688" s="12" t="s">
        <v>21</v>
      </c>
      <c r="L1688" s="7">
        <v>39182.2247337963</v>
      </c>
      <c r="M1688" s="16"/>
      <c r="N1688" s="14" t="s">
        <v>9356</v>
      </c>
      <c r="O1688" s="11" t="str">
        <f>HYPERLINK("https://pbs.twimg.com/profile_images/698647905318469632/FrnlP1oe_normal.jpg","View")</f>
        <v>View</v>
      </c>
      <c r="P1688" s="15"/>
    </row>
    <row r="1689">
      <c r="A1689" s="7">
        <v>42424.37180555555</v>
      </c>
      <c r="B1689" s="8" t="str">
        <f>HYPERLINK("https://twitter.com/josefslerka","@josefslerka")</f>
        <v>@josefslerka</v>
      </c>
      <c r="C1689" s="10" t="s">
        <v>7586</v>
      </c>
      <c r="D1689" s="10" t="s">
        <v>9322</v>
      </c>
      <c r="E1689" s="11" t="str">
        <f>HYPERLINK("https://twitter.com/josefslerka/status/702537319862149120","702537319862149120")</f>
        <v>702537319862149120</v>
      </c>
      <c r="F1689" s="12" t="s">
        <v>52</v>
      </c>
      <c r="G1689" s="13">
        <v>26718.0</v>
      </c>
      <c r="H1689" s="13">
        <v>1661.0</v>
      </c>
      <c r="I1689" s="13">
        <v>8.0</v>
      </c>
      <c r="J1689" s="13">
        <v>0.0</v>
      </c>
      <c r="K1689" s="12" t="s">
        <v>21</v>
      </c>
      <c r="L1689" s="7">
        <v>39551.493726851855</v>
      </c>
      <c r="M1689" s="14" t="s">
        <v>7587</v>
      </c>
      <c r="N1689" s="14" t="s">
        <v>7588</v>
      </c>
      <c r="O1689" s="11" t="str">
        <f>HYPERLINK("https://pbs.twimg.com/profile_images/517385985311531009/wvYbiySo_normal.jpeg","View")</f>
        <v>View</v>
      </c>
      <c r="P1689" s="15"/>
    </row>
    <row r="1690">
      <c r="A1690" s="7">
        <v>42424.371886574074</v>
      </c>
      <c r="B1690" s="8" t="str">
        <f>HYPERLINK("https://twitter.com/SportsTribution","@SportsTribution")</f>
        <v>@SportsTribution</v>
      </c>
      <c r="C1690" s="10" t="s">
        <v>9357</v>
      </c>
      <c r="D1690" s="10" t="s">
        <v>9358</v>
      </c>
      <c r="E1690" s="11" t="str">
        <f>HYPERLINK("https://twitter.com/SportsTribution/status/702537348379242496","702537348379242496")</f>
        <v>702537348379242496</v>
      </c>
      <c r="F1690" s="12" t="s">
        <v>20</v>
      </c>
      <c r="G1690" s="13">
        <v>605.0</v>
      </c>
      <c r="H1690" s="13">
        <v>87.0</v>
      </c>
      <c r="I1690" s="13">
        <v>5.0</v>
      </c>
      <c r="J1690" s="13">
        <v>4.0</v>
      </c>
      <c r="K1690" s="12" t="s">
        <v>21</v>
      </c>
      <c r="L1690" s="7">
        <v>41660.1040625</v>
      </c>
      <c r="M1690" s="14" t="s">
        <v>9359</v>
      </c>
      <c r="N1690" s="14" t="s">
        <v>9360</v>
      </c>
      <c r="O1690" s="11" t="str">
        <f>HYPERLINK("https://pbs.twimg.com/profile_images/441921399435689984/H4B3BJX8_normal.png","View")</f>
        <v>View</v>
      </c>
      <c r="P1690" s="15"/>
    </row>
    <row r="1691">
      <c r="A1691" s="7">
        <v>42424.37226851852</v>
      </c>
      <c r="B1691" s="8" t="str">
        <f>HYPERLINK("https://twitter.com/seandavis12","@seandavis12")</f>
        <v>@seandavis12</v>
      </c>
      <c r="C1691" s="10" t="s">
        <v>9309</v>
      </c>
      <c r="D1691" s="10" t="s">
        <v>9361</v>
      </c>
      <c r="E1691" s="11" t="str">
        <f>HYPERLINK("https://twitter.com/seandavis12/status/702537489374908416","702537489374908416")</f>
        <v>702537489374908416</v>
      </c>
      <c r="F1691" s="12" t="s">
        <v>98</v>
      </c>
      <c r="G1691" s="13">
        <v>990.0</v>
      </c>
      <c r="H1691" s="13">
        <v>433.0</v>
      </c>
      <c r="I1691" s="13">
        <v>0.0</v>
      </c>
      <c r="J1691" s="13">
        <v>2.0</v>
      </c>
      <c r="K1691" s="12" t="s">
        <v>21</v>
      </c>
      <c r="L1691" s="7">
        <v>40573.640173611115</v>
      </c>
      <c r="M1691" s="14" t="s">
        <v>9311</v>
      </c>
      <c r="N1691" s="14" t="s">
        <v>9312</v>
      </c>
      <c r="O1691" s="11" t="str">
        <f>HYPERLINK("https://pbs.twimg.com/profile_images/1913633871/sean_normal.png","View")</f>
        <v>View</v>
      </c>
      <c r="P1691" s="15"/>
    </row>
    <row r="1692">
      <c r="A1692" s="7">
        <v>42424.37377314815</v>
      </c>
      <c r="B1692" s="8" t="str">
        <f>HYPERLINK("https://twitter.com/data__wizard","@data__wizard")</f>
        <v>@data__wizard</v>
      </c>
      <c r="C1692" s="10" t="s">
        <v>9362</v>
      </c>
      <c r="D1692" s="10" t="s">
        <v>9363</v>
      </c>
      <c r="E1692" s="11" t="str">
        <f>HYPERLINK("https://twitter.com/data__wizard/status/702538035229904896","702538035229904896")</f>
        <v>702538035229904896</v>
      </c>
      <c r="F1692" s="12" t="s">
        <v>20</v>
      </c>
      <c r="G1692" s="13">
        <v>280.0</v>
      </c>
      <c r="H1692" s="13">
        <v>268.0</v>
      </c>
      <c r="I1692" s="13">
        <v>1.0</v>
      </c>
      <c r="J1692" s="13">
        <v>3.0</v>
      </c>
      <c r="K1692" s="12" t="s">
        <v>21</v>
      </c>
      <c r="L1692" s="7">
        <v>40619.19856481481</v>
      </c>
      <c r="M1692" s="14" t="s">
        <v>9364</v>
      </c>
      <c r="N1692" s="14" t="s">
        <v>9365</v>
      </c>
      <c r="O1692" s="11" t="str">
        <f>HYPERLINK("https://pbs.twimg.com/profile_images/2325713594/xrtdv5qcn7zqiiwen9l1_normal.jpeg","View")</f>
        <v>View</v>
      </c>
      <c r="P1692" s="15"/>
    </row>
    <row r="1693">
      <c r="A1693" s="7">
        <v>42424.37378472222</v>
      </c>
      <c r="B1693" s="8" t="str">
        <f>HYPERLINK("https://twitter.com/sentiwire","@sentiwire")</f>
        <v>@sentiwire</v>
      </c>
      <c r="C1693" s="10" t="s">
        <v>381</v>
      </c>
      <c r="D1693" s="10" t="s">
        <v>9366</v>
      </c>
      <c r="E1693" s="11" t="str">
        <f>HYPERLINK("https://twitter.com/sentiwire/status/702538039168409600","702538039168409600")</f>
        <v>702538039168409600</v>
      </c>
      <c r="F1693" s="12" t="s">
        <v>383</v>
      </c>
      <c r="G1693" s="13">
        <v>515.0</v>
      </c>
      <c r="H1693" s="13">
        <v>1716.0</v>
      </c>
      <c r="I1693" s="13">
        <v>1.0</v>
      </c>
      <c r="J1693" s="13">
        <v>0.0</v>
      </c>
      <c r="K1693" s="12" t="s">
        <v>21</v>
      </c>
      <c r="L1693" s="7">
        <v>41422.629641203705</v>
      </c>
      <c r="M1693" s="16"/>
      <c r="N1693" s="14" t="s">
        <v>384</v>
      </c>
      <c r="O1693" s="11" t="str">
        <f>HYPERLINK("https://pbs.twimg.com/profile_images/686965105473396736/B9V5UtGS_normal.jpg","View")</f>
        <v>View</v>
      </c>
      <c r="P1693" s="15"/>
    </row>
    <row r="1694">
      <c r="A1694" s="7">
        <v>42424.37620370371</v>
      </c>
      <c r="B1694" s="8" t="str">
        <f>HYPERLINK("https://twitter.com/DominoDataLab","@DominoDataLab")</f>
        <v>@DominoDataLab</v>
      </c>
      <c r="C1694" s="10" t="s">
        <v>9367</v>
      </c>
      <c r="D1694" s="10" t="s">
        <v>9322</v>
      </c>
      <c r="E1694" s="11" t="str">
        <f>HYPERLINK("https://twitter.com/DominoDataLab/status/702538913248890881","702538913248890881")</f>
        <v>702538913248890881</v>
      </c>
      <c r="F1694" s="12" t="s">
        <v>20</v>
      </c>
      <c r="G1694" s="13">
        <v>4951.0</v>
      </c>
      <c r="H1694" s="13">
        <v>1636.0</v>
      </c>
      <c r="I1694" s="13">
        <v>8.0</v>
      </c>
      <c r="J1694" s="13">
        <v>0.0</v>
      </c>
      <c r="K1694" s="12" t="s">
        <v>21</v>
      </c>
      <c r="L1694" s="7">
        <v>41521.31863425926</v>
      </c>
      <c r="M1694" s="14" t="s">
        <v>69</v>
      </c>
      <c r="N1694" s="14" t="s">
        <v>9368</v>
      </c>
      <c r="O1694" s="11" t="str">
        <f>HYPERLINK("https://pbs.twimg.com/profile_images/671154942380400641/ySYpd-P3_normal.jpg","View")</f>
        <v>View</v>
      </c>
      <c r="P1694" s="15"/>
    </row>
    <row r="1695">
      <c r="A1695" s="7">
        <v>42424.37642361112</v>
      </c>
      <c r="B1695" s="8" t="str">
        <f t="shared" ref="B1695:B1697" si="187">HYPERLINK("https://twitter.com/sjackman","@sjackman")</f>
        <v>@sjackman</v>
      </c>
      <c r="C1695" s="10" t="s">
        <v>7786</v>
      </c>
      <c r="D1695" s="10" t="s">
        <v>8753</v>
      </c>
      <c r="E1695" s="11" t="str">
        <f>HYPERLINK("https://twitter.com/sjackman/status/702538993980715009","702538993980715009")</f>
        <v>702538993980715009</v>
      </c>
      <c r="F1695" s="12" t="s">
        <v>240</v>
      </c>
      <c r="G1695" s="13">
        <v>1252.0</v>
      </c>
      <c r="H1695" s="13">
        <v>177.0</v>
      </c>
      <c r="I1695" s="13">
        <v>2.0</v>
      </c>
      <c r="J1695" s="13">
        <v>0.0</v>
      </c>
      <c r="K1695" s="12" t="s">
        <v>21</v>
      </c>
      <c r="L1695" s="7">
        <v>39334.926469907405</v>
      </c>
      <c r="M1695" s="14" t="s">
        <v>4608</v>
      </c>
      <c r="N1695" s="14" t="s">
        <v>7787</v>
      </c>
      <c r="O1695" s="11" t="str">
        <f t="shared" ref="O1695:O1697" si="188">HYPERLINK("https://pbs.twimg.com/profile_images/1477813716/sdj-headshot-square_normal.jpg","View")</f>
        <v>View</v>
      </c>
      <c r="P1695" s="15"/>
    </row>
    <row r="1696">
      <c r="A1696" s="7">
        <v>42424.376446759255</v>
      </c>
      <c r="B1696" s="8" t="str">
        <f t="shared" si="187"/>
        <v>@sjackman</v>
      </c>
      <c r="C1696" s="10" t="s">
        <v>7786</v>
      </c>
      <c r="D1696" s="10" t="s">
        <v>8666</v>
      </c>
      <c r="E1696" s="11" t="str">
        <f>HYPERLINK("https://twitter.com/sjackman/status/702539003384373248","702539003384373248")</f>
        <v>702539003384373248</v>
      </c>
      <c r="F1696" s="12" t="s">
        <v>240</v>
      </c>
      <c r="G1696" s="13">
        <v>1252.0</v>
      </c>
      <c r="H1696" s="13">
        <v>177.0</v>
      </c>
      <c r="I1696" s="13">
        <v>50.0</v>
      </c>
      <c r="J1696" s="13">
        <v>0.0</v>
      </c>
      <c r="K1696" s="12" t="s">
        <v>21</v>
      </c>
      <c r="L1696" s="7">
        <v>39334.926469907405</v>
      </c>
      <c r="M1696" s="14" t="s">
        <v>4608</v>
      </c>
      <c r="N1696" s="14" t="s">
        <v>7787</v>
      </c>
      <c r="O1696" s="11" t="str">
        <f t="shared" si="188"/>
        <v>View</v>
      </c>
      <c r="P1696" s="15"/>
    </row>
    <row r="1697">
      <c r="A1697" s="7">
        <v>42424.37650462963</v>
      </c>
      <c r="B1697" s="8" t="str">
        <f t="shared" si="187"/>
        <v>@sjackman</v>
      </c>
      <c r="C1697" s="10" t="s">
        <v>7786</v>
      </c>
      <c r="D1697" s="10" t="s">
        <v>8689</v>
      </c>
      <c r="E1697" s="11" t="str">
        <f>HYPERLINK("https://twitter.com/sjackman/status/702539024557174785","702539024557174785")</f>
        <v>702539024557174785</v>
      </c>
      <c r="F1697" s="12" t="s">
        <v>240</v>
      </c>
      <c r="G1697" s="13">
        <v>1252.0</v>
      </c>
      <c r="H1697" s="13">
        <v>177.0</v>
      </c>
      <c r="I1697" s="13">
        <v>6.0</v>
      </c>
      <c r="J1697" s="13">
        <v>0.0</v>
      </c>
      <c r="K1697" s="12" t="s">
        <v>21</v>
      </c>
      <c r="L1697" s="7">
        <v>39334.926469907405</v>
      </c>
      <c r="M1697" s="14" t="s">
        <v>4608</v>
      </c>
      <c r="N1697" s="14" t="s">
        <v>7787</v>
      </c>
      <c r="O1697" s="11" t="str">
        <f t="shared" si="188"/>
        <v>View</v>
      </c>
      <c r="P1697" s="15"/>
    </row>
    <row r="1698">
      <c r="A1698" s="7">
        <v>42424.377013888894</v>
      </c>
      <c r="B1698" s="8" t="str">
        <f>HYPERLINK("https://twitter.com/AnnaOnTheWeb","@AnnaOnTheWeb")</f>
        <v>@AnnaOnTheWeb</v>
      </c>
      <c r="C1698" s="10" t="s">
        <v>9369</v>
      </c>
      <c r="D1698" s="10" t="s">
        <v>9322</v>
      </c>
      <c r="E1698" s="11" t="str">
        <f>HYPERLINK("https://twitter.com/AnnaOnTheWeb/status/702539209656107009","702539209656107009")</f>
        <v>702539209656107009</v>
      </c>
      <c r="F1698" s="12" t="s">
        <v>20</v>
      </c>
      <c r="G1698" s="13">
        <v>11572.0</v>
      </c>
      <c r="H1698" s="13">
        <v>1698.0</v>
      </c>
      <c r="I1698" s="13">
        <v>8.0</v>
      </c>
      <c r="J1698" s="13">
        <v>0.0</v>
      </c>
      <c r="K1698" s="12" t="s">
        <v>21</v>
      </c>
      <c r="L1698" s="7">
        <v>39772.503437499996</v>
      </c>
      <c r="M1698" s="14" t="s">
        <v>9370</v>
      </c>
      <c r="N1698" s="14" t="s">
        <v>9371</v>
      </c>
      <c r="O1698" s="11" t="str">
        <f>HYPERLINK("https://pbs.twimg.com/profile_images/570287724578344960/siyYKMC7_normal.png","View")</f>
        <v>View</v>
      </c>
      <c r="P1698" s="15"/>
    </row>
    <row r="1699">
      <c r="A1699" s="7">
        <v>42424.37868055556</v>
      </c>
      <c r="B1699" s="8" t="str">
        <f>HYPERLINK("https://twitter.com/denthoven","@denthoven")</f>
        <v>@denthoven</v>
      </c>
      <c r="C1699" s="10" t="s">
        <v>9372</v>
      </c>
      <c r="D1699" s="10" t="s">
        <v>9322</v>
      </c>
      <c r="E1699" s="11" t="str">
        <f>HYPERLINK("https://twitter.com/denthoven/status/702539814218780672","702539814218780672")</f>
        <v>702539814218780672</v>
      </c>
      <c r="F1699" s="12" t="s">
        <v>20</v>
      </c>
      <c r="G1699" s="13">
        <v>202.0</v>
      </c>
      <c r="H1699" s="13">
        <v>128.0</v>
      </c>
      <c r="I1699" s="13">
        <v>8.0</v>
      </c>
      <c r="J1699" s="13">
        <v>0.0</v>
      </c>
      <c r="K1699" s="12" t="s">
        <v>21</v>
      </c>
      <c r="L1699" s="7">
        <v>40182.65019675926</v>
      </c>
      <c r="M1699" s="16"/>
      <c r="N1699" s="16"/>
      <c r="O1699" s="11" t="str">
        <f>HYPERLINK("https://pbs.twimg.com/profile_images/2819444134/79a98b9ad52273eee376359003585a6b_normal.jpeg","View")</f>
        <v>View</v>
      </c>
      <c r="P1699" s="15"/>
    </row>
    <row r="1700">
      <c r="A1700" s="7">
        <v>42424.379166666666</v>
      </c>
      <c r="B1700" s="8" t="str">
        <f>HYPERLINK("https://twitter.com/RLangTip","@RLangTip")</f>
        <v>@RLangTip</v>
      </c>
      <c r="C1700" s="10" t="s">
        <v>7460</v>
      </c>
      <c r="D1700" s="10" t="s">
        <v>9373</v>
      </c>
      <c r="E1700" s="11" t="str">
        <f>HYPERLINK("https://twitter.com/RLangTip/status/702539987594682368","702539987594682368")</f>
        <v>702539987594682368</v>
      </c>
      <c r="F1700" s="12" t="s">
        <v>659</v>
      </c>
      <c r="G1700" s="13">
        <v>30041.0</v>
      </c>
      <c r="H1700" s="13">
        <v>11.0</v>
      </c>
      <c r="I1700" s="13">
        <v>6.0</v>
      </c>
      <c r="J1700" s="13">
        <v>8.0</v>
      </c>
      <c r="K1700" s="12" t="s">
        <v>21</v>
      </c>
      <c r="L1700" s="7">
        <v>40671.57754629629</v>
      </c>
      <c r="M1700" s="16"/>
      <c r="N1700" s="14" t="s">
        <v>7462</v>
      </c>
      <c r="O1700" s="11" t="str">
        <f>HYPERLINK("https://pbs.twimg.com/profile_images/1344530309/RLangTip_normal.png","View")</f>
        <v>View</v>
      </c>
      <c r="P1700" s="15"/>
    </row>
    <row r="1701">
      <c r="A1701" s="7">
        <v>42424.38121527778</v>
      </c>
      <c r="B1701" s="8" t="str">
        <f>HYPERLINK("https://twitter.com/maxheld","@maxheld")</f>
        <v>@maxheld</v>
      </c>
      <c r="C1701" s="10" t="s">
        <v>9374</v>
      </c>
      <c r="D1701" s="10" t="s">
        <v>9375</v>
      </c>
      <c r="E1701" s="11" t="str">
        <f>HYPERLINK("https://twitter.com/maxheld/status/702540728933752834","702540728933752834")</f>
        <v>702540728933752834</v>
      </c>
      <c r="F1701" s="12" t="s">
        <v>20</v>
      </c>
      <c r="G1701" s="13">
        <v>369.0</v>
      </c>
      <c r="H1701" s="13">
        <v>1126.0</v>
      </c>
      <c r="I1701" s="13">
        <v>0.0</v>
      </c>
      <c r="J1701" s="13">
        <v>0.0</v>
      </c>
      <c r="K1701" s="12" t="s">
        <v>21</v>
      </c>
      <c r="L1701" s="7">
        <v>39868.64753472222</v>
      </c>
      <c r="M1701" s="14" t="s">
        <v>9376</v>
      </c>
      <c r="N1701" s="14" t="s">
        <v>9377</v>
      </c>
      <c r="O1701" s="11" t="str">
        <f>HYPERLINK("https://pbs.twimg.com/profile_images/461537032859181058/3raeo4Y__normal.jpeg","View")</f>
        <v>View</v>
      </c>
      <c r="P1701" s="15"/>
    </row>
    <row r="1702">
      <c r="A1702" s="7">
        <v>42424.38239583334</v>
      </c>
      <c r="B1702" s="8" t="str">
        <f>HYPERLINK("https://twitter.com/Voovarb","@Voovarb")</f>
        <v>@Voovarb</v>
      </c>
      <c r="C1702" s="10" t="s">
        <v>9194</v>
      </c>
      <c r="D1702" s="10" t="s">
        <v>9306</v>
      </c>
      <c r="E1702" s="11" t="str">
        <f>HYPERLINK("https://twitter.com/Voovarb/status/702541157704699904","702541157704699904")</f>
        <v>702541157704699904</v>
      </c>
      <c r="F1702" s="12" t="s">
        <v>1082</v>
      </c>
      <c r="G1702" s="13">
        <v>276.0</v>
      </c>
      <c r="H1702" s="13">
        <v>257.0</v>
      </c>
      <c r="I1702" s="13">
        <v>2.0</v>
      </c>
      <c r="J1702" s="13">
        <v>0.0</v>
      </c>
      <c r="K1702" s="12" t="s">
        <v>21</v>
      </c>
      <c r="L1702" s="7">
        <v>41869.92288194445</v>
      </c>
      <c r="M1702" s="16"/>
      <c r="N1702" s="14" t="s">
        <v>9195</v>
      </c>
      <c r="O1702" s="11" t="str">
        <f>HYPERLINK("https://pbs.twimg.com/profile_images/626808502929899522/nF4A807A_normal.jpg","View")</f>
        <v>View</v>
      </c>
      <c r="P1702" s="15"/>
    </row>
    <row r="1703">
      <c r="A1703" s="7">
        <v>42424.3828125</v>
      </c>
      <c r="B1703" s="8" t="str">
        <f>HYPERLINK("https://twitter.com/sjackman","@sjackman")</f>
        <v>@sjackman</v>
      </c>
      <c r="C1703" s="10" t="s">
        <v>7786</v>
      </c>
      <c r="D1703" s="10" t="s">
        <v>9350</v>
      </c>
      <c r="E1703" s="11" t="str">
        <f>HYPERLINK("https://twitter.com/sjackman/status/702541311501426689","702541311501426689")</f>
        <v>702541311501426689</v>
      </c>
      <c r="F1703" s="12" t="s">
        <v>240</v>
      </c>
      <c r="G1703" s="13">
        <v>1252.0</v>
      </c>
      <c r="H1703" s="13">
        <v>177.0</v>
      </c>
      <c r="I1703" s="13">
        <v>2.0</v>
      </c>
      <c r="J1703" s="13">
        <v>0.0</v>
      </c>
      <c r="K1703" s="12" t="s">
        <v>21</v>
      </c>
      <c r="L1703" s="7">
        <v>39334.926469907405</v>
      </c>
      <c r="M1703" s="14" t="s">
        <v>4608</v>
      </c>
      <c r="N1703" s="14" t="s">
        <v>7787</v>
      </c>
      <c r="O1703" s="11" t="str">
        <f>HYPERLINK("https://pbs.twimg.com/profile_images/1477813716/sdj-headshot-square_normal.jpg","View")</f>
        <v>View</v>
      </c>
      <c r="P1703" s="15"/>
    </row>
    <row r="1704">
      <c r="A1704" s="7">
        <v>42424.38318287037</v>
      </c>
      <c r="B1704" s="8" t="str">
        <f t="shared" ref="B1704:B1705" si="189">HYPERLINK("https://twitter.com/DirtBrew","@DirtBrew")</f>
        <v>@DirtBrew</v>
      </c>
      <c r="C1704" s="10" t="s">
        <v>9378</v>
      </c>
      <c r="D1704" s="10" t="s">
        <v>9379</v>
      </c>
      <c r="E1704" s="11" t="str">
        <f>HYPERLINK("https://twitter.com/DirtBrew/status/702541446004367361","702541446004367361")</f>
        <v>702541446004367361</v>
      </c>
      <c r="F1704" s="12" t="s">
        <v>152</v>
      </c>
      <c r="G1704" s="13">
        <v>171.0</v>
      </c>
      <c r="H1704" s="13">
        <v>222.0</v>
      </c>
      <c r="I1704" s="13">
        <v>1.0</v>
      </c>
      <c r="J1704" s="13">
        <v>0.0</v>
      </c>
      <c r="K1704" s="12" t="s">
        <v>21</v>
      </c>
      <c r="L1704" s="7">
        <v>41409.432280092595</v>
      </c>
      <c r="M1704" s="14" t="s">
        <v>9380</v>
      </c>
      <c r="N1704" s="14" t="s">
        <v>9381</v>
      </c>
      <c r="O1704" s="11" t="str">
        <f t="shared" ref="O1704:O1705" si="190">HYPERLINK("https://pbs.twimg.com/profile_images/3664179338/a40befbbf560832dd7a22e75c72a1eec_normal.jpeg","View")</f>
        <v>View</v>
      </c>
      <c r="P1704" s="15"/>
    </row>
    <row r="1705">
      <c r="A1705" s="7">
        <v>42424.383877314816</v>
      </c>
      <c r="B1705" s="8" t="str">
        <f t="shared" si="189"/>
        <v>@DirtBrew</v>
      </c>
      <c r="C1705" s="10" t="s">
        <v>9378</v>
      </c>
      <c r="D1705" s="10" t="s">
        <v>9382</v>
      </c>
      <c r="E1705" s="11" t="str">
        <f>HYPERLINK("https://twitter.com/DirtBrew/status/702541697150877697","702541697150877697")</f>
        <v>702541697150877697</v>
      </c>
      <c r="F1705" s="12" t="s">
        <v>152</v>
      </c>
      <c r="G1705" s="13">
        <v>171.0</v>
      </c>
      <c r="H1705" s="13">
        <v>222.0</v>
      </c>
      <c r="I1705" s="13">
        <v>0.0</v>
      </c>
      <c r="J1705" s="13">
        <v>0.0</v>
      </c>
      <c r="K1705" s="12" t="s">
        <v>21</v>
      </c>
      <c r="L1705" s="7">
        <v>41409.432280092595</v>
      </c>
      <c r="M1705" s="14" t="s">
        <v>9380</v>
      </c>
      <c r="N1705" s="14" t="s">
        <v>9381</v>
      </c>
      <c r="O1705" s="11" t="str">
        <f t="shared" si="190"/>
        <v>View</v>
      </c>
      <c r="P1705" s="15"/>
    </row>
    <row r="1706">
      <c r="A1706" s="7">
        <v>42424.38465277778</v>
      </c>
      <c r="B1706" s="8" t="str">
        <f>HYPERLINK("https://twitter.com/datasciencenote","@datasciencenote")</f>
        <v>@datasciencenote</v>
      </c>
      <c r="C1706" s="10" t="s">
        <v>9383</v>
      </c>
      <c r="D1706" s="10" t="s">
        <v>9384</v>
      </c>
      <c r="E1706" s="11" t="str">
        <f>HYPERLINK("https://twitter.com/datasciencenote/status/702541978328641536","702541978328641536")</f>
        <v>702541978328641536</v>
      </c>
      <c r="F1706" s="12" t="s">
        <v>20</v>
      </c>
      <c r="G1706" s="13">
        <v>107.0</v>
      </c>
      <c r="H1706" s="13">
        <v>86.0</v>
      </c>
      <c r="I1706" s="13">
        <v>2.0</v>
      </c>
      <c r="J1706" s="13">
        <v>0.0</v>
      </c>
      <c r="K1706" s="12" t="s">
        <v>21</v>
      </c>
      <c r="L1706" s="7">
        <v>42145.33075231481</v>
      </c>
      <c r="M1706" s="14" t="s">
        <v>9385</v>
      </c>
      <c r="N1706" s="14" t="s">
        <v>9386</v>
      </c>
      <c r="O1706" s="11" t="str">
        <f>HYPERLINK("https://pbs.twimg.com/profile_images/601401378854965248/GQrs3iKd_normal.jpg","View")</f>
        <v>View</v>
      </c>
      <c r="P1706" s="15"/>
    </row>
    <row r="1707">
      <c r="A1707" s="7">
        <v>42424.38559027778</v>
      </c>
      <c r="B1707" s="8" t="str">
        <f>HYPERLINK("https://twitter.com/visnut","@visnut")</f>
        <v>@visnut</v>
      </c>
      <c r="C1707" s="10" t="s">
        <v>9387</v>
      </c>
      <c r="D1707" s="10" t="s">
        <v>8666</v>
      </c>
      <c r="E1707" s="11" t="str">
        <f>HYPERLINK("https://twitter.com/visnut/status/702542316628619264","702542316628619264")</f>
        <v>702542316628619264</v>
      </c>
      <c r="F1707" s="12" t="s">
        <v>52</v>
      </c>
      <c r="G1707" s="13">
        <v>540.0</v>
      </c>
      <c r="H1707" s="13">
        <v>281.0</v>
      </c>
      <c r="I1707" s="13">
        <v>50.0</v>
      </c>
      <c r="J1707" s="13">
        <v>0.0</v>
      </c>
      <c r="K1707" s="12" t="s">
        <v>21</v>
      </c>
      <c r="L1707" s="7">
        <v>40018.2409375</v>
      </c>
      <c r="M1707" s="14" t="s">
        <v>7810</v>
      </c>
      <c r="N1707" s="14" t="s">
        <v>9388</v>
      </c>
      <c r="O1707" s="11" t="str">
        <f>HYPERLINK("https://pbs.twimg.com/profile_images/551002016953036800/FsQNJ2yh_normal.jpeg","View")</f>
        <v>View</v>
      </c>
      <c r="P1707" s="15"/>
    </row>
    <row r="1708">
      <c r="A1708" s="7">
        <v>42424.38604166667</v>
      </c>
      <c r="B1708" s="8" t="str">
        <f>HYPERLINK("https://twitter.com/StatsInTheWild","@StatsInTheWild")</f>
        <v>@StatsInTheWild</v>
      </c>
      <c r="C1708" s="10" t="s">
        <v>9389</v>
      </c>
      <c r="D1708" s="10" t="s">
        <v>9390</v>
      </c>
      <c r="E1708" s="11" t="str">
        <f>HYPERLINK("https://twitter.com/StatsInTheWild/status/702542480210862080","702542480210862080")</f>
        <v>702542480210862080</v>
      </c>
      <c r="F1708" s="12" t="s">
        <v>446</v>
      </c>
      <c r="G1708" s="13">
        <v>3385.0</v>
      </c>
      <c r="H1708" s="13">
        <v>3503.0</v>
      </c>
      <c r="I1708" s="13">
        <v>5.0</v>
      </c>
      <c r="J1708" s="13">
        <v>0.0</v>
      </c>
      <c r="K1708" s="12" t="s">
        <v>21</v>
      </c>
      <c r="L1708" s="7">
        <v>39884.77275462963</v>
      </c>
      <c r="M1708" s="14" t="s">
        <v>2544</v>
      </c>
      <c r="N1708" s="14" t="s">
        <v>9391</v>
      </c>
      <c r="O1708" s="11" t="str">
        <f>HYPERLINK("https://pbs.twimg.com/profile_images/379405941/GolfGregCrop_normal.jpg","View")</f>
        <v>View</v>
      </c>
      <c r="P1708" s="15"/>
    </row>
    <row r="1709">
      <c r="A1709" s="7">
        <v>42424.38737268519</v>
      </c>
      <c r="B1709" s="8" t="str">
        <f>HYPERLINK("https://twitter.com/dataandme","@dataandme")</f>
        <v>@dataandme</v>
      </c>
      <c r="C1709" s="10" t="s">
        <v>6648</v>
      </c>
      <c r="D1709" s="10" t="s">
        <v>9390</v>
      </c>
      <c r="E1709" s="11" t="str">
        <f>HYPERLINK("https://twitter.com/dataandme/status/702542961553309696","702542961553309696")</f>
        <v>702542961553309696</v>
      </c>
      <c r="F1709" s="12" t="s">
        <v>294</v>
      </c>
      <c r="G1709" s="13">
        <v>2501.0</v>
      </c>
      <c r="H1709" s="13">
        <v>1940.0</v>
      </c>
      <c r="I1709" s="13">
        <v>5.0</v>
      </c>
      <c r="J1709" s="13">
        <v>0.0</v>
      </c>
      <c r="K1709" s="12" t="s">
        <v>21</v>
      </c>
      <c r="L1709" s="7">
        <v>42127.19739583333</v>
      </c>
      <c r="M1709" s="14" t="s">
        <v>332</v>
      </c>
      <c r="N1709" s="14" t="s">
        <v>6650</v>
      </c>
      <c r="O1709" s="11" t="str">
        <f>HYPERLINK("https://pbs.twimg.com/profile_images/598126722920361984/HdS1NWXJ_normal.png","View")</f>
        <v>View</v>
      </c>
      <c r="P1709" s="15"/>
    </row>
    <row r="1710">
      <c r="A1710" s="7">
        <v>42424.388877314814</v>
      </c>
      <c r="B1710" s="8" t="str">
        <f>HYPERLINK("https://twitter.com/DannyPage","@DannyPage")</f>
        <v>@DannyPage</v>
      </c>
      <c r="C1710" s="10" t="s">
        <v>9392</v>
      </c>
      <c r="D1710" s="10" t="s">
        <v>9390</v>
      </c>
      <c r="E1710" s="11" t="str">
        <f>HYPERLINK("https://twitter.com/DannyPage/status/702543506888376322","702543506888376322")</f>
        <v>702543506888376322</v>
      </c>
      <c r="F1710" s="12" t="s">
        <v>20</v>
      </c>
      <c r="G1710" s="13">
        <v>2587.0</v>
      </c>
      <c r="H1710" s="13">
        <v>1443.0</v>
      </c>
      <c r="I1710" s="13">
        <v>5.0</v>
      </c>
      <c r="J1710" s="13">
        <v>0.0</v>
      </c>
      <c r="K1710" s="12" t="s">
        <v>21</v>
      </c>
      <c r="L1710" s="7">
        <v>39754.8346875</v>
      </c>
      <c r="M1710" s="14" t="s">
        <v>784</v>
      </c>
      <c r="N1710" s="14" t="s">
        <v>9393</v>
      </c>
      <c r="O1710" s="11" t="str">
        <f>HYPERLINK("https://pbs.twimg.com/profile_images/599030723065081856/ghxW9f3E_normal.jpg","View")</f>
        <v>View</v>
      </c>
      <c r="P1710" s="15"/>
    </row>
    <row r="1711">
      <c r="A1711" s="7">
        <v>42424.38925925926</v>
      </c>
      <c r="B1711" s="8" t="str">
        <f>HYPERLINK("https://twitter.com/tripartio","@tripartio")</f>
        <v>@tripartio</v>
      </c>
      <c r="C1711" s="10" t="s">
        <v>6827</v>
      </c>
      <c r="D1711" s="10" t="s">
        <v>9394</v>
      </c>
      <c r="E1711" s="11" t="str">
        <f>HYPERLINK("https://twitter.com/tripartio/status/702543647242190848","702543647242190848")</f>
        <v>702543647242190848</v>
      </c>
      <c r="F1711" s="12" t="s">
        <v>446</v>
      </c>
      <c r="G1711" s="13">
        <v>33.0</v>
      </c>
      <c r="H1711" s="13">
        <v>64.0</v>
      </c>
      <c r="I1711" s="13">
        <v>0.0</v>
      </c>
      <c r="J1711" s="13">
        <v>0.0</v>
      </c>
      <c r="K1711" s="12" t="s">
        <v>21</v>
      </c>
      <c r="L1711" s="7">
        <v>41946.83112268519</v>
      </c>
      <c r="M1711" s="14" t="s">
        <v>1806</v>
      </c>
      <c r="N1711" s="14" t="s">
        <v>6829</v>
      </c>
      <c r="O1711" s="11" t="str">
        <f>HYPERLINK("https://pbs.twimg.com/profile_images/529482878543867904/H-UGY1d0_normal.png","View")</f>
        <v>View</v>
      </c>
      <c r="P1711" s="15"/>
    </row>
    <row r="1712">
      <c r="A1712" s="7">
        <v>42424.38946759259</v>
      </c>
      <c r="B1712" s="8" t="str">
        <f>HYPERLINK("https://twitter.com/BigDataTweetBot","@BigDataTweetBot")</f>
        <v>@BigDataTweetBot</v>
      </c>
      <c r="C1712" s="10" t="s">
        <v>1440</v>
      </c>
      <c r="D1712" s="10" t="s">
        <v>9395</v>
      </c>
      <c r="E1712" s="11" t="str">
        <f>HYPERLINK("https://twitter.com/BigDataTweetBot/status/702543720734990336","702543720734990336")</f>
        <v>702543720734990336</v>
      </c>
      <c r="F1712" s="12" t="s">
        <v>1442</v>
      </c>
      <c r="G1712" s="13">
        <v>8622.0</v>
      </c>
      <c r="H1712" s="13">
        <v>243.0</v>
      </c>
      <c r="I1712" s="13">
        <v>2.0</v>
      </c>
      <c r="J1712" s="13">
        <v>0.0</v>
      </c>
      <c r="K1712" s="12" t="s">
        <v>21</v>
      </c>
      <c r="L1712" s="7">
        <v>42187.77106481481</v>
      </c>
      <c r="M1712" s="16"/>
      <c r="N1712" s="14" t="s">
        <v>1443</v>
      </c>
      <c r="O1712" s="11" t="str">
        <f>HYPERLINK("https://pbs.twimg.com/profile_images/616793252524650496/bQbxJqmz_normal.jpg","View")</f>
        <v>View</v>
      </c>
      <c r="P1712" s="15"/>
    </row>
    <row r="1713">
      <c r="A1713" s="7">
        <v>42424.38986111111</v>
      </c>
      <c r="B1713" s="8" t="str">
        <f>HYPERLINK("https://twitter.com/tomhouslay","@tomhouslay")</f>
        <v>@tomhouslay</v>
      </c>
      <c r="C1713" s="10" t="s">
        <v>6801</v>
      </c>
      <c r="D1713" s="10" t="s">
        <v>9396</v>
      </c>
      <c r="E1713" s="11" t="str">
        <f>HYPERLINK("https://twitter.com/tomhouslay/status/702543864859643904","702543864859643904")</f>
        <v>702543864859643904</v>
      </c>
      <c r="F1713" s="12" t="s">
        <v>20</v>
      </c>
      <c r="G1713" s="13">
        <v>2957.0</v>
      </c>
      <c r="H1713" s="13">
        <v>2676.0</v>
      </c>
      <c r="I1713" s="13">
        <v>1.0</v>
      </c>
      <c r="J1713" s="13">
        <v>1.0</v>
      </c>
      <c r="K1713" s="12" t="s">
        <v>21</v>
      </c>
      <c r="L1713" s="7">
        <v>40136.59471064815</v>
      </c>
      <c r="M1713" s="14" t="s">
        <v>6803</v>
      </c>
      <c r="N1713" s="14" t="s">
        <v>6804</v>
      </c>
      <c r="O1713" s="11" t="str">
        <f>HYPERLINK("https://pbs.twimg.com/profile_images/701901513392717824/lUzJ39G2_normal.png","View")</f>
        <v>View</v>
      </c>
      <c r="P1713" s="15"/>
    </row>
    <row r="1714">
      <c r="A1714" s="7">
        <v>42424.39247685185</v>
      </c>
      <c r="B1714" s="8" t="str">
        <f>HYPERLINK("https://twitter.com/evodify","@evodify")</f>
        <v>@evodify</v>
      </c>
      <c r="C1714" s="10" t="s">
        <v>9397</v>
      </c>
      <c r="D1714" s="10" t="s">
        <v>9398</v>
      </c>
      <c r="E1714" s="11" t="str">
        <f>HYPERLINK("https://twitter.com/evodify/status/702544812151541766","702544812151541766")</f>
        <v>702544812151541766</v>
      </c>
      <c r="F1714" s="12" t="s">
        <v>152</v>
      </c>
      <c r="G1714" s="13">
        <v>113.0</v>
      </c>
      <c r="H1714" s="13">
        <v>180.0</v>
      </c>
      <c r="I1714" s="13">
        <v>0.0</v>
      </c>
      <c r="J1714" s="13">
        <v>2.0</v>
      </c>
      <c r="K1714" s="12" t="s">
        <v>21</v>
      </c>
      <c r="L1714" s="7">
        <v>41062.02756944444</v>
      </c>
      <c r="M1714" s="14" t="s">
        <v>9399</v>
      </c>
      <c r="N1714" s="14" t="s">
        <v>9400</v>
      </c>
      <c r="O1714" s="11" t="str">
        <f>HYPERLINK("https://pbs.twimg.com/profile_images/648178182009581568/S9nBOKJI_normal.jpg","View")</f>
        <v>View</v>
      </c>
      <c r="P1714" s="15"/>
    </row>
    <row r="1715">
      <c r="A1715" s="7">
        <v>42424.39283564815</v>
      </c>
      <c r="B1715" s="8" t="str">
        <f>HYPERLINK("https://twitter.com/StatGarrett","@StatGarrett")</f>
        <v>@StatGarrett</v>
      </c>
      <c r="C1715" s="10" t="s">
        <v>7422</v>
      </c>
      <c r="D1715" s="10" t="s">
        <v>9401</v>
      </c>
      <c r="E1715" s="11" t="str">
        <f>HYPERLINK("https://twitter.com/StatGarrett/status/702544943324258305","702544943324258305")</f>
        <v>702544943324258305</v>
      </c>
      <c r="F1715" s="12" t="s">
        <v>20</v>
      </c>
      <c r="G1715" s="13">
        <v>2139.0</v>
      </c>
      <c r="H1715" s="13">
        <v>21.0</v>
      </c>
      <c r="I1715" s="13">
        <v>4.0</v>
      </c>
      <c r="J1715" s="13">
        <v>16.0</v>
      </c>
      <c r="K1715" s="12" t="s">
        <v>21</v>
      </c>
      <c r="L1715" s="7">
        <v>41775.31407407408</v>
      </c>
      <c r="M1715" s="14" t="s">
        <v>719</v>
      </c>
      <c r="N1715" s="14" t="s">
        <v>7424</v>
      </c>
      <c r="O1715" s="11" t="str">
        <f>HYPERLINK("https://pbs.twimg.com/profile_images/467313147250868224/ZekxgNV9_normal.jpeg","View")</f>
        <v>View</v>
      </c>
      <c r="P1715" s="15"/>
    </row>
    <row r="1716">
      <c r="A1716" s="7">
        <v>42424.39394675926</v>
      </c>
      <c r="B1716" s="8" t="str">
        <f>HYPERLINK("https://twitter.com/techpearce2","@techpearce2")</f>
        <v>@techpearce2</v>
      </c>
      <c r="C1716" s="10" t="s">
        <v>2619</v>
      </c>
      <c r="D1716" s="10" t="s">
        <v>8100</v>
      </c>
      <c r="E1716" s="11" t="str">
        <f>HYPERLINK("https://twitter.com/techpearce2/status/702545342655557632","702545342655557632")</f>
        <v>702545342655557632</v>
      </c>
      <c r="F1716" s="12" t="s">
        <v>20</v>
      </c>
      <c r="G1716" s="13">
        <v>11677.0</v>
      </c>
      <c r="H1716" s="13">
        <v>11059.0</v>
      </c>
      <c r="I1716" s="13">
        <v>6.0</v>
      </c>
      <c r="J1716" s="13">
        <v>0.0</v>
      </c>
      <c r="K1716" s="12" t="s">
        <v>21</v>
      </c>
      <c r="L1716" s="7">
        <v>42276.432476851856</v>
      </c>
      <c r="M1716" s="14" t="s">
        <v>2622</v>
      </c>
      <c r="N1716" s="14" t="s">
        <v>2623</v>
      </c>
      <c r="O1716" s="11" t="str">
        <f>HYPERLINK("https://pbs.twimg.com/profile_images/648912420275154944/Ab4szUPV_normal.jpg","View")</f>
        <v>View</v>
      </c>
      <c r="P1716" s="15"/>
    </row>
    <row r="1717">
      <c r="A1717" s="7">
        <v>42424.39509259259</v>
      </c>
      <c r="B1717" s="8" t="str">
        <f>HYPERLINK("https://twitter.com/TomKrebs1","@TomKrebs1")</f>
        <v>@TomKrebs1</v>
      </c>
      <c r="C1717" s="10" t="s">
        <v>9402</v>
      </c>
      <c r="D1717" s="10" t="s">
        <v>9395</v>
      </c>
      <c r="E1717" s="11" t="str">
        <f>HYPERLINK("https://twitter.com/TomKrebs1/status/702545758537449472","702545758537449472")</f>
        <v>702545758537449472</v>
      </c>
      <c r="F1717" s="12" t="s">
        <v>20</v>
      </c>
      <c r="G1717" s="13">
        <v>1346.0</v>
      </c>
      <c r="H1717" s="13">
        <v>158.0</v>
      </c>
      <c r="I1717" s="13">
        <v>2.0</v>
      </c>
      <c r="J1717" s="13">
        <v>0.0</v>
      </c>
      <c r="K1717" s="12" t="s">
        <v>21</v>
      </c>
      <c r="L1717" s="7">
        <v>40980.44545138889</v>
      </c>
      <c r="M1717" s="16"/>
      <c r="N1717" s="14" t="s">
        <v>9403</v>
      </c>
      <c r="O1717" s="11" t="str">
        <f>HYPERLINK("https://pbs.twimg.com/profile_images/1898888637/twitter_normal.png","View")</f>
        <v>View</v>
      </c>
      <c r="P1717" s="15"/>
    </row>
    <row r="1718">
      <c r="A1718" s="7">
        <v>42424.39559027778</v>
      </c>
      <c r="B1718" s="8" t="str">
        <f>HYPERLINK("https://twitter.com/techpearce2","@techpearce2")</f>
        <v>@techpearce2</v>
      </c>
      <c r="C1718" s="10" t="s">
        <v>2619</v>
      </c>
      <c r="D1718" s="10" t="s">
        <v>9404</v>
      </c>
      <c r="E1718" s="11" t="str">
        <f>HYPERLINK("https://twitter.com/techpearce2/status/702545938590601216","702545938590601216")</f>
        <v>702545938590601216</v>
      </c>
      <c r="F1718" s="12" t="s">
        <v>2621</v>
      </c>
      <c r="G1718" s="13">
        <v>11677.0</v>
      </c>
      <c r="H1718" s="13">
        <v>11059.0</v>
      </c>
      <c r="I1718" s="13">
        <v>0.0</v>
      </c>
      <c r="J1718" s="13">
        <v>1.0</v>
      </c>
      <c r="K1718" s="12" t="s">
        <v>21</v>
      </c>
      <c r="L1718" s="7">
        <v>42276.432476851856</v>
      </c>
      <c r="M1718" s="14" t="s">
        <v>2622</v>
      </c>
      <c r="N1718" s="14" t="s">
        <v>2623</v>
      </c>
      <c r="O1718" s="11" t="str">
        <f>HYPERLINK("https://pbs.twimg.com/profile_images/648912420275154944/Ab4szUPV_normal.jpg","View")</f>
        <v>View</v>
      </c>
      <c r="P1718" s="15"/>
    </row>
    <row r="1719">
      <c r="A1719" s="7">
        <v>42424.39744212963</v>
      </c>
      <c r="B1719" s="8" t="str">
        <f>HYPERLINK("https://twitter.com/WinVectorLLC","@WinVectorLLC")</f>
        <v>@WinVectorLLC</v>
      </c>
      <c r="C1719" s="10" t="s">
        <v>9323</v>
      </c>
      <c r="D1719" s="10" t="s">
        <v>9405</v>
      </c>
      <c r="E1719" s="11" t="str">
        <f>HYPERLINK("https://twitter.com/WinVectorLLC/status/702546611780456448","702546611780456448")</f>
        <v>702546611780456448</v>
      </c>
      <c r="F1719" s="12" t="s">
        <v>446</v>
      </c>
      <c r="G1719" s="13">
        <v>924.0</v>
      </c>
      <c r="H1719" s="13">
        <v>1001.0</v>
      </c>
      <c r="I1719" s="13">
        <v>4.0</v>
      </c>
      <c r="J1719" s="13">
        <v>0.0</v>
      </c>
      <c r="K1719" s="12" t="s">
        <v>21</v>
      </c>
      <c r="L1719" s="7">
        <v>41367.40046296296</v>
      </c>
      <c r="M1719" s="14" t="s">
        <v>69</v>
      </c>
      <c r="N1719" s="14" t="s">
        <v>9325</v>
      </c>
      <c r="O1719" s="11" t="str">
        <f>HYPERLINK("https://pbs.twimg.com/profile_images/3471819465/58bf7bfaa29046d181eef07d22477315_normal.png","View")</f>
        <v>View</v>
      </c>
      <c r="P1719" s="15"/>
    </row>
    <row r="1720">
      <c r="A1720" s="7">
        <v>42424.397731481484</v>
      </c>
      <c r="B1720" s="8" t="str">
        <f t="shared" ref="B1720:B1721" si="191">HYPERLINK("https://twitter.com/juliesquid","@juliesquid")</f>
        <v>@juliesquid</v>
      </c>
      <c r="C1720" s="10" t="s">
        <v>9406</v>
      </c>
      <c r="D1720" s="10" t="s">
        <v>8666</v>
      </c>
      <c r="E1720" s="11" t="str">
        <f>HYPERLINK("https://twitter.com/juliesquid/status/702546717950943232","702546717950943232")</f>
        <v>702546717950943232</v>
      </c>
      <c r="F1720" s="12" t="s">
        <v>20</v>
      </c>
      <c r="G1720" s="13">
        <v>130.0</v>
      </c>
      <c r="H1720" s="13">
        <v>234.0</v>
      </c>
      <c r="I1720" s="13">
        <v>50.0</v>
      </c>
      <c r="J1720" s="13">
        <v>0.0</v>
      </c>
      <c r="K1720" s="12" t="s">
        <v>21</v>
      </c>
      <c r="L1720" s="7">
        <v>41162.092094907406</v>
      </c>
      <c r="M1720" s="16"/>
      <c r="N1720" s="14" t="s">
        <v>9407</v>
      </c>
      <c r="O1720" s="11" t="str">
        <f t="shared" ref="O1720:O1721" si="192">HYPERLINK("https://pbs.twimg.com/profile_images/581099003288248320/-l_plM7T_normal.jpg","View")</f>
        <v>View</v>
      </c>
      <c r="P1720" s="15"/>
    </row>
    <row r="1721">
      <c r="A1721" s="7">
        <v>42424.3987037037</v>
      </c>
      <c r="B1721" s="8" t="str">
        <f t="shared" si="191"/>
        <v>@juliesquid</v>
      </c>
      <c r="C1721" s="10" t="s">
        <v>9406</v>
      </c>
      <c r="D1721" s="10" t="s">
        <v>7906</v>
      </c>
      <c r="E1721" s="11" t="str">
        <f>HYPERLINK("https://twitter.com/juliesquid/status/702547068775104513","702547068775104513")</f>
        <v>702547068775104513</v>
      </c>
      <c r="F1721" s="12" t="s">
        <v>20</v>
      </c>
      <c r="G1721" s="13">
        <v>130.0</v>
      </c>
      <c r="H1721" s="13">
        <v>234.0</v>
      </c>
      <c r="I1721" s="13">
        <v>8.0</v>
      </c>
      <c r="J1721" s="13">
        <v>0.0</v>
      </c>
      <c r="K1721" s="12" t="s">
        <v>21</v>
      </c>
      <c r="L1721" s="7">
        <v>41162.092094907406</v>
      </c>
      <c r="M1721" s="16"/>
      <c r="N1721" s="14" t="s">
        <v>9407</v>
      </c>
      <c r="O1721" s="11" t="str">
        <f t="shared" si="192"/>
        <v>View</v>
      </c>
      <c r="P1721" s="15"/>
    </row>
    <row r="1722">
      <c r="A1722" s="7">
        <v>42424.399988425925</v>
      </c>
      <c r="B1722" s="8" t="str">
        <f>HYPERLINK("https://twitter.com/sckottie","@sckottie")</f>
        <v>@sckottie</v>
      </c>
      <c r="C1722" s="10" t="s">
        <v>7836</v>
      </c>
      <c r="D1722" s="10" t="s">
        <v>9408</v>
      </c>
      <c r="E1722" s="11" t="str">
        <f>HYPERLINK("https://twitter.com/sckottie/status/702547532291780609","702547532291780609")</f>
        <v>702547532291780609</v>
      </c>
      <c r="F1722" s="12" t="s">
        <v>446</v>
      </c>
      <c r="G1722" s="13">
        <v>3140.0</v>
      </c>
      <c r="H1722" s="13">
        <v>990.0</v>
      </c>
      <c r="I1722" s="13">
        <v>1.0</v>
      </c>
      <c r="J1722" s="13">
        <v>2.0</v>
      </c>
      <c r="K1722" s="12" t="s">
        <v>21</v>
      </c>
      <c r="L1722" s="7">
        <v>40186.2953587963</v>
      </c>
      <c r="M1722" s="14" t="s">
        <v>7838</v>
      </c>
      <c r="N1722" s="14" t="s">
        <v>7839</v>
      </c>
      <c r="O1722" s="11" t="str">
        <f>HYPERLINK("https://pbs.twimg.com/profile_images/628062474491670529/KOOABG9v_normal.jpg","View")</f>
        <v>View</v>
      </c>
      <c r="P1722" s="15"/>
    </row>
    <row r="1723">
      <c r="A1723" s="7">
        <v>42424.399988425925</v>
      </c>
      <c r="B1723" s="8" t="str">
        <f>HYPERLINK("https://twitter.com/rOpenSci","@rOpenSci")</f>
        <v>@rOpenSci</v>
      </c>
      <c r="C1723" s="10" t="s">
        <v>9409</v>
      </c>
      <c r="D1723" s="10" t="s">
        <v>9410</v>
      </c>
      <c r="E1723" s="11" t="str">
        <f>HYPERLINK("https://twitter.com/rOpenSci/status/702547532321140736","702547532321140736")</f>
        <v>702547532321140736</v>
      </c>
      <c r="F1723" s="12" t="s">
        <v>446</v>
      </c>
      <c r="G1723" s="13">
        <v>8974.0</v>
      </c>
      <c r="H1723" s="13">
        <v>396.0</v>
      </c>
      <c r="I1723" s="13">
        <v>3.0</v>
      </c>
      <c r="J1723" s="13">
        <v>3.0</v>
      </c>
      <c r="K1723" s="12" t="s">
        <v>21</v>
      </c>
      <c r="L1723" s="7">
        <v>40749.475625</v>
      </c>
      <c r="M1723" s="14" t="s">
        <v>9411</v>
      </c>
      <c r="N1723" s="14" t="s">
        <v>9412</v>
      </c>
      <c r="O1723" s="11" t="str">
        <f>HYPERLINK("https://pbs.twimg.com/profile_images/2849015260/cef0a5f1ff89a175bf04bcc575ef3d20_normal.png","View")</f>
        <v>View</v>
      </c>
      <c r="P1723" s="15"/>
    </row>
    <row r="1724">
      <c r="A1724" s="7">
        <v>42424.404456018514</v>
      </c>
      <c r="B1724" s="8" t="str">
        <f>HYPERLINK("https://twitter.com/JennyBryan","@JennyBryan")</f>
        <v>@JennyBryan</v>
      </c>
      <c r="C1724" s="10" t="s">
        <v>7457</v>
      </c>
      <c r="D1724" s="10" t="s">
        <v>9413</v>
      </c>
      <c r="E1724" s="11" t="str">
        <f>HYPERLINK("https://twitter.com/JennyBryan/status/702549151788113920","702549151788113920")</f>
        <v>702549151788113920</v>
      </c>
      <c r="F1724" s="12" t="s">
        <v>240</v>
      </c>
      <c r="G1724" s="13">
        <v>3780.0</v>
      </c>
      <c r="H1724" s="13">
        <v>466.0</v>
      </c>
      <c r="I1724" s="13">
        <v>1.0</v>
      </c>
      <c r="J1724" s="13">
        <v>46.0</v>
      </c>
      <c r="K1724" s="12" t="s">
        <v>21</v>
      </c>
      <c r="L1724" s="7">
        <v>41578.4809837963</v>
      </c>
      <c r="M1724" s="14" t="s">
        <v>1855</v>
      </c>
      <c r="N1724" s="14" t="s">
        <v>7459</v>
      </c>
      <c r="O1724" s="11" t="str">
        <f>HYPERLINK("https://pbs.twimg.com/profile_images/660978605606875137/s3YrJetD_normal.jpg","View")</f>
        <v>View</v>
      </c>
      <c r="P1724" s="15"/>
    </row>
    <row r="1725">
      <c r="A1725" s="7">
        <v>42424.40472222222</v>
      </c>
      <c r="B1725" s="8" t="str">
        <f>HYPERLINK("https://twitter.com/maynardandking","@maynardandking")</f>
        <v>@maynardandking</v>
      </c>
      <c r="C1725" s="10" t="s">
        <v>9414</v>
      </c>
      <c r="D1725" s="10" t="s">
        <v>9415</v>
      </c>
      <c r="E1725" s="11" t="str">
        <f>HYPERLINK("https://twitter.com/maynardandking/status/702549248873598977","702549248873598977")</f>
        <v>702549248873598977</v>
      </c>
      <c r="F1725" s="12" t="s">
        <v>20</v>
      </c>
      <c r="G1725" s="13">
        <v>6.0</v>
      </c>
      <c r="H1725" s="13">
        <v>29.0</v>
      </c>
      <c r="I1725" s="13">
        <v>0.0</v>
      </c>
      <c r="J1725" s="13">
        <v>0.0</v>
      </c>
      <c r="K1725" s="12" t="s">
        <v>21</v>
      </c>
      <c r="L1725" s="7">
        <v>42287.716875</v>
      </c>
      <c r="M1725" s="16"/>
      <c r="N1725" s="16"/>
      <c r="O1725" s="11" t="str">
        <f>HYPERLINK("https://pbs.twimg.com/profile_images/653001436448460800/YOgSS7-S_normal.jpg","View")</f>
        <v>View</v>
      </c>
      <c r="P1725" s="15"/>
    </row>
    <row r="1726">
      <c r="A1726" s="7">
        <v>42424.407430555555</v>
      </c>
      <c r="B1726" s="8" t="str">
        <f>HYPERLINK("https://twitter.com/USGS_R","@USGS_R")</f>
        <v>@USGS_R</v>
      </c>
      <c r="C1726" s="10" t="s">
        <v>7429</v>
      </c>
      <c r="D1726" s="10" t="s">
        <v>9416</v>
      </c>
      <c r="E1726" s="11" t="str">
        <f>HYPERLINK("https://twitter.com/USGS_R/status/702550231297224706","702550231297224706")</f>
        <v>702550231297224706</v>
      </c>
      <c r="F1726" s="12" t="s">
        <v>446</v>
      </c>
      <c r="G1726" s="13">
        <v>407.0</v>
      </c>
      <c r="H1726" s="13">
        <v>43.0</v>
      </c>
      <c r="I1726" s="13">
        <v>1.0</v>
      </c>
      <c r="J1726" s="13">
        <v>3.0</v>
      </c>
      <c r="K1726" s="12" t="s">
        <v>21</v>
      </c>
      <c r="L1726" s="7">
        <v>42228.35309027778</v>
      </c>
      <c r="M1726" s="16"/>
      <c r="N1726" s="14" t="s">
        <v>7430</v>
      </c>
      <c r="O1726" s="11" t="str">
        <f>HYPERLINK("https://pbs.twimg.com/profile_images/631488083863584769/gDqhLdAL_normal.png","View")</f>
        <v>View</v>
      </c>
      <c r="P1726" s="15"/>
    </row>
    <row r="1727">
      <c r="A1727" s="7">
        <v>42424.41006944445</v>
      </c>
      <c r="B1727" s="8" t="str">
        <f>HYPERLINK("https://twitter.com/gan_ef","@gan_ef")</f>
        <v>@gan_ef</v>
      </c>
      <c r="C1727" s="10" t="s">
        <v>9417</v>
      </c>
      <c r="D1727" s="10" t="s">
        <v>9418</v>
      </c>
      <c r="E1727" s="11" t="str">
        <f>HYPERLINK("https://twitter.com/gan_ef/status/702551187686469632","702551187686469632")</f>
        <v>702551187686469632</v>
      </c>
      <c r="F1727" s="12" t="s">
        <v>124</v>
      </c>
      <c r="G1727" s="13">
        <v>65.0</v>
      </c>
      <c r="H1727" s="13">
        <v>645.0</v>
      </c>
      <c r="I1727" s="13">
        <v>0.0</v>
      </c>
      <c r="J1727" s="13">
        <v>0.0</v>
      </c>
      <c r="K1727" s="12" t="s">
        <v>21</v>
      </c>
      <c r="L1727" s="7">
        <v>41384.542719907404</v>
      </c>
      <c r="M1727" s="16"/>
      <c r="N1727" s="16"/>
      <c r="O1727" s="11" t="str">
        <f>HYPERLINK("https://pbs.twimg.com/profile_images/3550297152/35d762fe14d11ab26123047838d270c0_normal.jpeg","View")</f>
        <v>View</v>
      </c>
      <c r="P1727" s="15"/>
    </row>
    <row r="1728">
      <c r="A1728" s="7">
        <v>42424.41055555556</v>
      </c>
      <c r="B1728" s="8" t="str">
        <f>HYPERLINK("https://twitter.com/sckottie","@sckottie")</f>
        <v>@sckottie</v>
      </c>
      <c r="C1728" s="10" t="s">
        <v>7836</v>
      </c>
      <c r="D1728" s="10" t="s">
        <v>9419</v>
      </c>
      <c r="E1728" s="11" t="str">
        <f>HYPERLINK("https://twitter.com/sckottie/status/702551364224679936","702551364224679936")</f>
        <v>702551364224679936</v>
      </c>
      <c r="F1728" s="12" t="s">
        <v>446</v>
      </c>
      <c r="G1728" s="13">
        <v>3140.0</v>
      </c>
      <c r="H1728" s="13">
        <v>990.0</v>
      </c>
      <c r="I1728" s="13">
        <v>1.0</v>
      </c>
      <c r="J1728" s="13">
        <v>0.0</v>
      </c>
      <c r="K1728" s="12" t="s">
        <v>21</v>
      </c>
      <c r="L1728" s="7">
        <v>40186.2953587963</v>
      </c>
      <c r="M1728" s="14" t="s">
        <v>7838</v>
      </c>
      <c r="N1728" s="14" t="s">
        <v>7839</v>
      </c>
      <c r="O1728" s="11" t="str">
        <f>HYPERLINK("https://pbs.twimg.com/profile_images/628062474491670529/KOOABG9v_normal.jpg","View")</f>
        <v>View</v>
      </c>
      <c r="P1728" s="15"/>
    </row>
    <row r="1729">
      <c r="A1729" s="7">
        <v>42424.41108796296</v>
      </c>
      <c r="B1729" s="8" t="str">
        <f>HYPERLINK("https://twitter.com/dillott","@dillott")</f>
        <v>@dillott</v>
      </c>
      <c r="C1729" s="10" t="s">
        <v>9420</v>
      </c>
      <c r="D1729" s="10" t="s">
        <v>9421</v>
      </c>
      <c r="E1729" s="11" t="str">
        <f>HYPERLINK("https://twitter.com/dillott/status/702551555099086848","702551555099086848")</f>
        <v>702551555099086848</v>
      </c>
      <c r="F1729" s="12" t="s">
        <v>52</v>
      </c>
      <c r="G1729" s="13">
        <v>385.0</v>
      </c>
      <c r="H1729" s="13">
        <v>909.0</v>
      </c>
      <c r="I1729" s="13">
        <v>0.0</v>
      </c>
      <c r="J1729" s="13">
        <v>0.0</v>
      </c>
      <c r="K1729" s="12" t="s">
        <v>21</v>
      </c>
      <c r="L1729" s="7">
        <v>39756.35451388889</v>
      </c>
      <c r="M1729" s="14" t="s">
        <v>942</v>
      </c>
      <c r="N1729" s="14" t="s">
        <v>9422</v>
      </c>
      <c r="O1729" s="11" t="str">
        <f>HYPERLINK("https://pbs.twimg.com/profile_images/473661071186591744/7zRMTott_normal.jpeg","View")</f>
        <v>View</v>
      </c>
      <c r="P1729" s="15"/>
    </row>
    <row r="1730">
      <c r="A1730" s="7">
        <v>42424.41121527778</v>
      </c>
      <c r="B1730" s="8" t="str">
        <f>HYPERLINK("https://twitter.com/hoytemerson","@hoytemerson")</f>
        <v>@hoytemerson</v>
      </c>
      <c r="C1730" s="10" t="s">
        <v>9423</v>
      </c>
      <c r="D1730" s="10" t="s">
        <v>9424</v>
      </c>
      <c r="E1730" s="11" t="str">
        <f>HYPERLINK("https://twitter.com/hoytemerson/status/702551602918363138","702551602918363138")</f>
        <v>702551602918363138</v>
      </c>
      <c r="F1730" s="12" t="s">
        <v>20</v>
      </c>
      <c r="G1730" s="13">
        <v>103.0</v>
      </c>
      <c r="H1730" s="13">
        <v>56.0</v>
      </c>
      <c r="I1730" s="13">
        <v>0.0</v>
      </c>
      <c r="J1730" s="13">
        <v>0.0</v>
      </c>
      <c r="K1730" s="12" t="s">
        <v>21</v>
      </c>
      <c r="L1730" s="7">
        <v>40149.7196412037</v>
      </c>
      <c r="M1730" s="14" t="s">
        <v>2181</v>
      </c>
      <c r="N1730" s="14" t="s">
        <v>9425</v>
      </c>
      <c r="O1730" s="11" t="str">
        <f>HYPERLINK("https://pbs.twimg.com/profile_images/568073117973499904/-2f4cZpn_normal.jpeg","View")</f>
        <v>View</v>
      </c>
      <c r="P1730" s="15"/>
    </row>
    <row r="1731">
      <c r="A1731" s="7">
        <v>42424.41265046297</v>
      </c>
      <c r="B1731" s="8" t="str">
        <f>HYPERLINK("https://twitter.com/benjguin","@benjguin")</f>
        <v>@benjguin</v>
      </c>
      <c r="C1731" s="10" t="s">
        <v>9426</v>
      </c>
      <c r="D1731" s="10" t="s">
        <v>9427</v>
      </c>
      <c r="E1731" s="11" t="str">
        <f>HYPERLINK("https://twitter.com/benjguin/status/702552122995425280","702552122995425280")</f>
        <v>702552122995425280</v>
      </c>
      <c r="F1731" s="12" t="s">
        <v>446</v>
      </c>
      <c r="G1731" s="13">
        <v>1054.0</v>
      </c>
      <c r="H1731" s="13">
        <v>764.0</v>
      </c>
      <c r="I1731" s="13">
        <v>0.0</v>
      </c>
      <c r="J1731" s="13">
        <v>0.0</v>
      </c>
      <c r="K1731" s="12" t="s">
        <v>21</v>
      </c>
      <c r="L1731" s="7">
        <v>40182.34693287037</v>
      </c>
      <c r="M1731" s="14" t="s">
        <v>416</v>
      </c>
      <c r="N1731" s="14" t="s">
        <v>9428</v>
      </c>
      <c r="O1731" s="11" t="str">
        <f>HYPERLINK("https://pbs.twimg.com/profile_images/636919861105573888/6vFgQ2b7_normal.jpg","View")</f>
        <v>View</v>
      </c>
      <c r="P1731" s="15"/>
    </row>
    <row r="1732">
      <c r="A1732" s="7">
        <v>42424.41275462963</v>
      </c>
      <c r="B1732" s="8" t="str">
        <f>HYPERLINK("https://twitter.com/apreshill","@apreshill")</f>
        <v>@apreshill</v>
      </c>
      <c r="C1732" s="10" t="s">
        <v>8764</v>
      </c>
      <c r="D1732" s="10" t="s">
        <v>9390</v>
      </c>
      <c r="E1732" s="11" t="str">
        <f>HYPERLINK("https://twitter.com/apreshill/status/702552161608019968","702552161608019968")</f>
        <v>702552161608019968</v>
      </c>
      <c r="F1732" s="12" t="s">
        <v>1082</v>
      </c>
      <c r="G1732" s="13">
        <v>120.0</v>
      </c>
      <c r="H1732" s="13">
        <v>388.0</v>
      </c>
      <c r="I1732" s="13">
        <v>5.0</v>
      </c>
      <c r="J1732" s="13">
        <v>0.0</v>
      </c>
      <c r="K1732" s="12" t="s">
        <v>21</v>
      </c>
      <c r="L1732" s="7">
        <v>42117.80967592592</v>
      </c>
      <c r="M1732" s="14" t="s">
        <v>2181</v>
      </c>
      <c r="N1732" s="14" t="s">
        <v>8766</v>
      </c>
      <c r="O1732" s="11" t="str">
        <f>HYPERLINK("https://pbs.twimg.com/profile_images/592435442835820544/S63GD5Rd_normal.jpg","View")</f>
        <v>View</v>
      </c>
      <c r="P1732" s="15"/>
    </row>
    <row r="1733">
      <c r="A1733" s="7">
        <v>42424.41670138889</v>
      </c>
      <c r="B1733" s="8" t="str">
        <f>HYPERLINK("https://twitter.com/DominoDataLab","@DominoDataLab")</f>
        <v>@DominoDataLab</v>
      </c>
      <c r="C1733" s="10" t="s">
        <v>9367</v>
      </c>
      <c r="D1733" s="10" t="s">
        <v>9429</v>
      </c>
      <c r="E1733" s="11" t="str">
        <f>HYPERLINK("https://twitter.com/DominoDataLab/status/702553588669616128","702553588669616128")</f>
        <v>702553588669616128</v>
      </c>
      <c r="F1733" s="12" t="s">
        <v>47</v>
      </c>
      <c r="G1733" s="13">
        <v>4951.0</v>
      </c>
      <c r="H1733" s="13">
        <v>1636.0</v>
      </c>
      <c r="I1733" s="13">
        <v>1.0</v>
      </c>
      <c r="J1733" s="13">
        <v>0.0</v>
      </c>
      <c r="K1733" s="12" t="s">
        <v>21</v>
      </c>
      <c r="L1733" s="7">
        <v>41521.31863425926</v>
      </c>
      <c r="M1733" s="14" t="s">
        <v>69</v>
      </c>
      <c r="N1733" s="14" t="s">
        <v>9368</v>
      </c>
      <c r="O1733" s="11" t="str">
        <f>HYPERLINK("https://pbs.twimg.com/profile_images/671154942380400641/ySYpd-P3_normal.jpg","View")</f>
        <v>View</v>
      </c>
      <c r="P1733" s="15"/>
    </row>
    <row r="1734">
      <c r="A1734" s="7">
        <v>42424.418703703705</v>
      </c>
      <c r="B1734" s="8" t="str">
        <f>HYPERLINK("https://twitter.com/bshor","@bshor")</f>
        <v>@bshor</v>
      </c>
      <c r="C1734" s="10" t="s">
        <v>9430</v>
      </c>
      <c r="D1734" s="10" t="s">
        <v>9431</v>
      </c>
      <c r="E1734" s="11" t="str">
        <f>HYPERLINK("https://twitter.com/bshor/status/702554318277320705","702554318277320705")</f>
        <v>702554318277320705</v>
      </c>
      <c r="F1734" s="12" t="s">
        <v>20</v>
      </c>
      <c r="G1734" s="13">
        <v>1296.0</v>
      </c>
      <c r="H1734" s="13">
        <v>851.0</v>
      </c>
      <c r="I1734" s="13">
        <v>0.0</v>
      </c>
      <c r="J1734" s="13">
        <v>4.0</v>
      </c>
      <c r="K1734" s="12" t="s">
        <v>21</v>
      </c>
      <c r="L1734" s="7">
        <v>39688.41164351852</v>
      </c>
      <c r="M1734" s="14" t="s">
        <v>784</v>
      </c>
      <c r="N1734" s="14" t="s">
        <v>9432</v>
      </c>
      <c r="O1734" s="11" t="str">
        <f>HYPERLINK("https://pbs.twimg.com/profile_images/702192939875696640/ujHprz8G_normal.jpg","View")</f>
        <v>View</v>
      </c>
      <c r="P1734" s="15"/>
    </row>
    <row r="1735">
      <c r="A1735" s="7">
        <v>42424.41909722222</v>
      </c>
      <c r="B1735" s="8" t="str">
        <f>HYPERLINK("https://twitter.com/noamross","@noamross")</f>
        <v>@noamross</v>
      </c>
      <c r="C1735" s="10" t="s">
        <v>8592</v>
      </c>
      <c r="D1735" s="10" t="s">
        <v>9433</v>
      </c>
      <c r="E1735" s="11" t="str">
        <f>HYPERLINK("https://twitter.com/noamross/status/702554458308354048","702554458308354048")</f>
        <v>702554458308354048</v>
      </c>
      <c r="F1735" s="12" t="s">
        <v>446</v>
      </c>
      <c r="G1735" s="13">
        <v>1838.0</v>
      </c>
      <c r="H1735" s="13">
        <v>1441.0</v>
      </c>
      <c r="I1735" s="13">
        <v>3.0</v>
      </c>
      <c r="J1735" s="13">
        <v>0.0</v>
      </c>
      <c r="K1735" s="12" t="s">
        <v>21</v>
      </c>
      <c r="L1735" s="7">
        <v>40164.79008101852</v>
      </c>
      <c r="M1735" s="14" t="s">
        <v>8594</v>
      </c>
      <c r="N1735" s="14" t="s">
        <v>8595</v>
      </c>
      <c r="O1735" s="11" t="str">
        <f>HYPERLINK("https://pbs.twimg.com/profile_images/557246848625172481/n7rj_Ee4_normal.png","View")</f>
        <v>View</v>
      </c>
      <c r="P1735" s="15"/>
    </row>
    <row r="1736">
      <c r="A1736" s="7">
        <v>42424.42349537037</v>
      </c>
      <c r="B1736" s="8" t="str">
        <f>HYPERLINK("https://twitter.com/jaimedash","@jaimedash")</f>
        <v>@jaimedash</v>
      </c>
      <c r="C1736" s="10" t="s">
        <v>8684</v>
      </c>
      <c r="D1736" s="10" t="s">
        <v>9433</v>
      </c>
      <c r="E1736" s="11" t="str">
        <f>HYPERLINK("https://twitter.com/jaimedash/status/702556054467383296","702556054467383296")</f>
        <v>702556054467383296</v>
      </c>
      <c r="F1736" s="12" t="s">
        <v>446</v>
      </c>
      <c r="G1736" s="13">
        <v>717.0</v>
      </c>
      <c r="H1736" s="13">
        <v>782.0</v>
      </c>
      <c r="I1736" s="13">
        <v>3.0</v>
      </c>
      <c r="J1736" s="13">
        <v>0.0</v>
      </c>
      <c r="K1736" s="12" t="s">
        <v>21</v>
      </c>
      <c r="L1736" s="7">
        <v>40444.97054398148</v>
      </c>
      <c r="M1736" s="16"/>
      <c r="N1736" s="14" t="s">
        <v>8685</v>
      </c>
      <c r="O1736" s="11" t="str">
        <f>HYPERLINK("https://pbs.twimg.com/profile_images/681682549723168768/2Ci1883e_normal.jpg","View")</f>
        <v>View</v>
      </c>
      <c r="P1736" s="15"/>
    </row>
    <row r="1737">
      <c r="A1737" s="7">
        <v>42424.4243287037</v>
      </c>
      <c r="B1737" s="8" t="str">
        <f>HYPERLINK("https://twitter.com/sidquan","@sidquan")</f>
        <v>@sidquan</v>
      </c>
      <c r="C1737" s="10" t="s">
        <v>8599</v>
      </c>
      <c r="D1737" s="10" t="s">
        <v>9434</v>
      </c>
      <c r="E1737" s="11" t="str">
        <f>HYPERLINK("https://twitter.com/sidquan/status/702556354011992065","702556354011992065")</f>
        <v>702556354011992065</v>
      </c>
      <c r="F1737" s="12" t="s">
        <v>20</v>
      </c>
      <c r="G1737" s="13">
        <v>137.0</v>
      </c>
      <c r="H1737" s="13">
        <v>287.0</v>
      </c>
      <c r="I1737" s="13">
        <v>2.0</v>
      </c>
      <c r="J1737" s="13">
        <v>4.0</v>
      </c>
      <c r="K1737" s="12" t="s">
        <v>21</v>
      </c>
      <c r="L1737" s="7">
        <v>40808.426620370374</v>
      </c>
      <c r="M1737" s="14" t="s">
        <v>91</v>
      </c>
      <c r="N1737" s="14" t="s">
        <v>8601</v>
      </c>
      <c r="O1737" s="11" t="str">
        <f>HYPERLINK("https://pbs.twimg.com/profile_images/1554910841/tux_and_chicken_normal.jpg","View")</f>
        <v>View</v>
      </c>
      <c r="P1737" s="15"/>
    </row>
    <row r="1738">
      <c r="A1738" s="7">
        <v>42424.42611111111</v>
      </c>
      <c r="B1738" s="8" t="str">
        <f t="shared" ref="B1738:B1740" si="193">HYPERLINK("https://twitter.com/CRANberriesFeed","@CRANberriesFeed")</f>
        <v>@CRANberriesFeed</v>
      </c>
      <c r="C1738" s="10" t="s">
        <v>6282</v>
      </c>
      <c r="D1738" s="10" t="s">
        <v>9435</v>
      </c>
      <c r="E1738" s="11" t="str">
        <f>HYPERLINK("https://twitter.com/CRANberriesFeed/status/702556999255515136","702556999255515136")</f>
        <v>702556999255515136</v>
      </c>
      <c r="F1738" s="12" t="s">
        <v>6284</v>
      </c>
      <c r="G1738" s="13">
        <v>657.0</v>
      </c>
      <c r="H1738" s="13">
        <v>0.0</v>
      </c>
      <c r="I1738" s="13">
        <v>0.0</v>
      </c>
      <c r="J1738" s="13">
        <v>0.0</v>
      </c>
      <c r="K1738" s="12" t="s">
        <v>21</v>
      </c>
      <c r="L1738" s="7">
        <v>40546.353425925925</v>
      </c>
      <c r="M1738" s="14" t="s">
        <v>1158</v>
      </c>
      <c r="N1738" s="16"/>
      <c r="O1738" s="11" t="str">
        <f t="shared" ref="O1738:O1740" si="194">HYPERLINK("https://pbs.twimg.com/profile_images/1222779560/cran1_normal.jpg","View")</f>
        <v>View</v>
      </c>
      <c r="P1738" s="15"/>
    </row>
    <row r="1739">
      <c r="A1739" s="7">
        <v>42424.42616898148</v>
      </c>
      <c r="B1739" s="8" t="str">
        <f t="shared" si="193"/>
        <v>@CRANberriesFeed</v>
      </c>
      <c r="C1739" s="10" t="s">
        <v>6282</v>
      </c>
      <c r="D1739" s="10" t="s">
        <v>9436</v>
      </c>
      <c r="E1739" s="11" t="str">
        <f>HYPERLINK("https://twitter.com/CRANberriesFeed/status/702557021573402624","702557021573402624")</f>
        <v>702557021573402624</v>
      </c>
      <c r="F1739" s="12" t="s">
        <v>6284</v>
      </c>
      <c r="G1739" s="13">
        <v>657.0</v>
      </c>
      <c r="H1739" s="13">
        <v>0.0</v>
      </c>
      <c r="I1739" s="13">
        <v>0.0</v>
      </c>
      <c r="J1739" s="13">
        <v>0.0</v>
      </c>
      <c r="K1739" s="12" t="s">
        <v>21</v>
      </c>
      <c r="L1739" s="7">
        <v>40546.353425925925</v>
      </c>
      <c r="M1739" s="14" t="s">
        <v>1158</v>
      </c>
      <c r="N1739" s="16"/>
      <c r="O1739" s="11" t="str">
        <f t="shared" si="194"/>
        <v>View</v>
      </c>
      <c r="P1739" s="15"/>
    </row>
    <row r="1740">
      <c r="A1740" s="7">
        <v>42424.42622685185</v>
      </c>
      <c r="B1740" s="8" t="str">
        <f t="shared" si="193"/>
        <v>@CRANberriesFeed</v>
      </c>
      <c r="C1740" s="10" t="s">
        <v>6282</v>
      </c>
      <c r="D1740" s="10" t="s">
        <v>9437</v>
      </c>
      <c r="E1740" s="11" t="str">
        <f>HYPERLINK("https://twitter.com/CRANberriesFeed/status/702557041290780672","702557041290780672")</f>
        <v>702557041290780672</v>
      </c>
      <c r="F1740" s="12" t="s">
        <v>6284</v>
      </c>
      <c r="G1740" s="13">
        <v>657.0</v>
      </c>
      <c r="H1740" s="13">
        <v>0.0</v>
      </c>
      <c r="I1740" s="13">
        <v>0.0</v>
      </c>
      <c r="J1740" s="13">
        <v>0.0</v>
      </c>
      <c r="K1740" s="12" t="s">
        <v>21</v>
      </c>
      <c r="L1740" s="7">
        <v>40546.353425925925</v>
      </c>
      <c r="M1740" s="14" t="s">
        <v>1158</v>
      </c>
      <c r="N1740" s="16"/>
      <c r="O1740" s="11" t="str">
        <f t="shared" si="194"/>
        <v>View</v>
      </c>
      <c r="P1740" s="15"/>
    </row>
    <row r="1741">
      <c r="A1741" s="7">
        <v>42424.43017361111</v>
      </c>
      <c r="B1741" s="8" t="str">
        <f>HYPERLINK("https://twitter.com/ellis2013nz","@ellis2013nz")</f>
        <v>@ellis2013nz</v>
      </c>
      <c r="C1741" s="10" t="s">
        <v>8934</v>
      </c>
      <c r="D1741" s="10" t="s">
        <v>9152</v>
      </c>
      <c r="E1741" s="11" t="str">
        <f>HYPERLINK("https://twitter.com/ellis2013nz/status/702558471359561728","702558471359561728")</f>
        <v>702558471359561728</v>
      </c>
      <c r="F1741" s="12" t="s">
        <v>152</v>
      </c>
      <c r="G1741" s="13">
        <v>198.0</v>
      </c>
      <c r="H1741" s="13">
        <v>623.0</v>
      </c>
      <c r="I1741" s="13">
        <v>14.0</v>
      </c>
      <c r="J1741" s="13">
        <v>0.0</v>
      </c>
      <c r="K1741" s="12" t="s">
        <v>21</v>
      </c>
      <c r="L1741" s="7">
        <v>41862.54273148148</v>
      </c>
      <c r="M1741" s="14" t="s">
        <v>8936</v>
      </c>
      <c r="N1741" s="14" t="s">
        <v>8937</v>
      </c>
      <c r="O1741" s="11" t="str">
        <f>HYPERLINK("https://pbs.twimg.com/profile_images/618224596798476288/n9IN8hcm_normal.jpg","View")</f>
        <v>View</v>
      </c>
      <c r="P1741" s="15"/>
    </row>
    <row r="1742">
      <c r="A1742" s="7">
        <v>42424.43168981481</v>
      </c>
      <c r="B1742" s="8" t="str">
        <f>HYPERLINK("https://twitter.com/Emaasit","@Emaasit")</f>
        <v>@Emaasit</v>
      </c>
      <c r="C1742" s="10" t="s">
        <v>7313</v>
      </c>
      <c r="D1742" s="10" t="s">
        <v>9438</v>
      </c>
      <c r="E1742" s="11" t="str">
        <f>HYPERLINK("https://twitter.com/Emaasit/status/702559022163988480","702559022163988480")</f>
        <v>702559022163988480</v>
      </c>
      <c r="F1742" s="12" t="s">
        <v>152</v>
      </c>
      <c r="G1742" s="13">
        <v>1025.0</v>
      </c>
      <c r="H1742" s="13">
        <v>2909.0</v>
      </c>
      <c r="I1742" s="13">
        <v>1.0</v>
      </c>
      <c r="J1742" s="13">
        <v>0.0</v>
      </c>
      <c r="K1742" s="12" t="s">
        <v>21</v>
      </c>
      <c r="L1742" s="7">
        <v>39981.148981481485</v>
      </c>
      <c r="M1742" s="14" t="s">
        <v>7315</v>
      </c>
      <c r="N1742" s="14" t="s">
        <v>7316</v>
      </c>
      <c r="O1742" s="11" t="str">
        <f>HYPERLINK("https://pbs.twimg.com/profile_images/567588045927354370/NN8xp_M5_normal.jpeg","View")</f>
        <v>View</v>
      </c>
      <c r="P1742" s="15"/>
    </row>
    <row r="1743">
      <c r="A1743" s="7">
        <v>42424.433171296296</v>
      </c>
      <c r="B1743" s="8" t="str">
        <f>HYPERLINK("https://twitter.com/R_Graph_Gallery","@R_Graph_Gallery")</f>
        <v>@R_Graph_Gallery</v>
      </c>
      <c r="C1743" s="10" t="s">
        <v>7216</v>
      </c>
      <c r="D1743" s="10" t="s">
        <v>9439</v>
      </c>
      <c r="E1743" s="11" t="str">
        <f>HYPERLINK("https://twitter.com/R_Graph_Gallery/status/702559557739003905","702559557739003905")</f>
        <v>702559557739003905</v>
      </c>
      <c r="F1743" s="12" t="s">
        <v>20</v>
      </c>
      <c r="G1743" s="13">
        <v>21.0</v>
      </c>
      <c r="H1743" s="13">
        <v>0.0</v>
      </c>
      <c r="I1743" s="13">
        <v>1.0</v>
      </c>
      <c r="J1743" s="13">
        <v>2.0</v>
      </c>
      <c r="K1743" s="12" t="s">
        <v>21</v>
      </c>
      <c r="L1743" s="7">
        <v>42421.52130787037</v>
      </c>
      <c r="M1743" s="14" t="s">
        <v>7218</v>
      </c>
      <c r="N1743" s="16"/>
      <c r="O1743" s="11" t="str">
        <f>HYPERLINK("https://pbs.twimg.com/profile_images/701732569944092672/lj__tCoY_normal.jpg","View")</f>
        <v>View</v>
      </c>
      <c r="P1743" s="15"/>
    </row>
    <row r="1744">
      <c r="A1744" s="7">
        <v>42424.433599537035</v>
      </c>
      <c r="B1744" s="8" t="str">
        <f>HYPERLINK("https://twitter.com/Voovarb","@Voovarb")</f>
        <v>@Voovarb</v>
      </c>
      <c r="C1744" s="10" t="s">
        <v>9194</v>
      </c>
      <c r="D1744" s="10" t="s">
        <v>9440</v>
      </c>
      <c r="E1744" s="11" t="str">
        <f>HYPERLINK("https://twitter.com/Voovarb/status/702559713582387200","702559713582387200")</f>
        <v>702559713582387200</v>
      </c>
      <c r="F1744" s="12" t="s">
        <v>20</v>
      </c>
      <c r="G1744" s="13">
        <v>276.0</v>
      </c>
      <c r="H1744" s="13">
        <v>257.0</v>
      </c>
      <c r="I1744" s="13">
        <v>1.0</v>
      </c>
      <c r="J1744" s="13">
        <v>0.0</v>
      </c>
      <c r="K1744" s="12" t="s">
        <v>21</v>
      </c>
      <c r="L1744" s="7">
        <v>41869.92288194445</v>
      </c>
      <c r="M1744" s="16"/>
      <c r="N1744" s="14" t="s">
        <v>9195</v>
      </c>
      <c r="O1744" s="11" t="str">
        <f>HYPERLINK("https://pbs.twimg.com/profile_images/626808502929899522/nF4A807A_normal.jpg","View")</f>
        <v>View</v>
      </c>
      <c r="P1744" s="15"/>
    </row>
    <row r="1745">
      <c r="A1745" s="7">
        <v>42424.43461805556</v>
      </c>
      <c r="B1745" s="8" t="str">
        <f>HYPERLINK("https://twitter.com/rozran00","@rozran00")</f>
        <v>@rozran00</v>
      </c>
      <c r="C1745" s="10" t="s">
        <v>9441</v>
      </c>
      <c r="D1745" s="10" t="s">
        <v>9442</v>
      </c>
      <c r="E1745" s="11" t="str">
        <f>HYPERLINK("https://twitter.com/rozran00/status/702560081464799232","702560081464799232")</f>
        <v>702560081464799232</v>
      </c>
      <c r="F1745" s="12" t="s">
        <v>20</v>
      </c>
      <c r="G1745" s="13">
        <v>120.0</v>
      </c>
      <c r="H1745" s="13">
        <v>534.0</v>
      </c>
      <c r="I1745" s="13">
        <v>0.0</v>
      </c>
      <c r="J1745" s="13">
        <v>0.0</v>
      </c>
      <c r="K1745" s="12" t="s">
        <v>21</v>
      </c>
      <c r="L1745" s="7">
        <v>40511.25271990741</v>
      </c>
      <c r="M1745" s="16"/>
      <c r="N1745" s="14" t="s">
        <v>9443</v>
      </c>
      <c r="O1745" s="11" t="str">
        <f>HYPERLINK("https://pbs.twimg.com/profile_images/2361292355/gf9ajbec7ejo7zkf58hl_normal.jpeg","View")</f>
        <v>View</v>
      </c>
      <c r="P1745" s="15"/>
    </row>
    <row r="1746">
      <c r="A1746" s="7">
        <v>42424.437569444446</v>
      </c>
      <c r="B1746" s="8" t="str">
        <f>HYPERLINK("https://twitter.com/sig_stats","@sig_stats")</f>
        <v>@sig_stats</v>
      </c>
      <c r="C1746" s="10" t="s">
        <v>6359</v>
      </c>
      <c r="D1746" s="10" t="s">
        <v>8411</v>
      </c>
      <c r="E1746" s="11" t="str">
        <f>HYPERLINK("https://twitter.com/sig_stats/status/702561154154029056","702561154154029056")</f>
        <v>702561154154029056</v>
      </c>
      <c r="F1746" s="12" t="s">
        <v>6360</v>
      </c>
      <c r="G1746" s="13">
        <v>26.0</v>
      </c>
      <c r="H1746" s="13">
        <v>9.0</v>
      </c>
      <c r="I1746" s="13">
        <v>18.0</v>
      </c>
      <c r="J1746" s="13">
        <v>0.0</v>
      </c>
      <c r="K1746" s="12" t="s">
        <v>21</v>
      </c>
      <c r="L1746" s="7">
        <v>42336.639606481476</v>
      </c>
      <c r="M1746" s="14" t="s">
        <v>765</v>
      </c>
      <c r="N1746" s="14" t="s">
        <v>6361</v>
      </c>
      <c r="O1746" s="11" t="str">
        <f>HYPERLINK("https://pbs.twimg.com/profile_images/672029237029793792/_qKmCzM8_normal.png","View")</f>
        <v>View</v>
      </c>
      <c r="P1746" s="15"/>
    </row>
    <row r="1747">
      <c r="A1747" s="7">
        <v>42424.437673611115</v>
      </c>
      <c r="B1747" s="8" t="str">
        <f>HYPERLINK("https://twitter.com/sjackman","@sjackman")</f>
        <v>@sjackman</v>
      </c>
      <c r="C1747" s="10" t="s">
        <v>7786</v>
      </c>
      <c r="D1747" s="10" t="s">
        <v>9444</v>
      </c>
      <c r="E1747" s="11" t="str">
        <f>HYPERLINK("https://twitter.com/sjackman/status/702561191143411712","702561191143411712")</f>
        <v>702561191143411712</v>
      </c>
      <c r="F1747" s="12" t="s">
        <v>240</v>
      </c>
      <c r="G1747" s="13">
        <v>1252.0</v>
      </c>
      <c r="H1747" s="13">
        <v>177.0</v>
      </c>
      <c r="I1747" s="13">
        <v>1.0</v>
      </c>
      <c r="J1747" s="13">
        <v>0.0</v>
      </c>
      <c r="K1747" s="12" t="s">
        <v>21</v>
      </c>
      <c r="L1747" s="7">
        <v>39334.926469907405</v>
      </c>
      <c r="M1747" s="14" t="s">
        <v>4608</v>
      </c>
      <c r="N1747" s="14" t="s">
        <v>7787</v>
      </c>
      <c r="O1747" s="11" t="str">
        <f>HYPERLINK("https://pbs.twimg.com/profile_images/1477813716/sdj-headshot-square_normal.jpg","View")</f>
        <v>View</v>
      </c>
      <c r="P1747" s="15"/>
    </row>
    <row r="1748">
      <c r="A1748" s="7">
        <v>42424.4378125</v>
      </c>
      <c r="B1748" s="8" t="str">
        <f>HYPERLINK("https://twitter.com/LovedeepSG","@LovedeepSG")</f>
        <v>@LovedeepSG</v>
      </c>
      <c r="C1748" s="10" t="s">
        <v>6501</v>
      </c>
      <c r="D1748" s="10" t="s">
        <v>9445</v>
      </c>
      <c r="E1748" s="11" t="str">
        <f>HYPERLINK("https://twitter.com/LovedeepSG/status/702561242766925825","702561242766925825")</f>
        <v>702561242766925825</v>
      </c>
      <c r="F1748" s="12" t="s">
        <v>152</v>
      </c>
      <c r="G1748" s="13">
        <v>46.0</v>
      </c>
      <c r="H1748" s="13">
        <v>85.0</v>
      </c>
      <c r="I1748" s="13">
        <v>6.0</v>
      </c>
      <c r="J1748" s="13">
        <v>0.0</v>
      </c>
      <c r="K1748" s="12" t="s">
        <v>21</v>
      </c>
      <c r="L1748" s="7">
        <v>41453.381203703706</v>
      </c>
      <c r="M1748" s="14" t="s">
        <v>4138</v>
      </c>
      <c r="N1748" s="14" t="s">
        <v>6502</v>
      </c>
      <c r="O1748" s="11" t="str">
        <f>HYPERLINK("https://pbs.twimg.com/profile_images/378800000059126288/17d4fa184bbd13c1e64465a3cc234efc_normal.jpeg","View")</f>
        <v>View</v>
      </c>
      <c r="P1748" s="15"/>
    </row>
    <row r="1749">
      <c r="A1749" s="7">
        <v>42424.43840277778</v>
      </c>
      <c r="B1749" s="8" t="str">
        <f>HYPERLINK("https://twitter.com/AntoViral","@AntoViral")</f>
        <v>@AntoViral</v>
      </c>
      <c r="C1749" s="10" t="s">
        <v>7805</v>
      </c>
      <c r="D1749" s="10" t="s">
        <v>9446</v>
      </c>
      <c r="E1749" s="11" t="str">
        <f>HYPERLINK("https://twitter.com/AntoViral/status/702561455959318529","702561455959318529")</f>
        <v>702561455959318529</v>
      </c>
      <c r="F1749" s="12" t="s">
        <v>152</v>
      </c>
      <c r="G1749" s="13">
        <v>220.0</v>
      </c>
      <c r="H1749" s="13">
        <v>295.0</v>
      </c>
      <c r="I1749" s="13">
        <v>1.0</v>
      </c>
      <c r="J1749" s="13">
        <v>0.0</v>
      </c>
      <c r="K1749" s="12" t="s">
        <v>21</v>
      </c>
      <c r="L1749" s="7">
        <v>41604.57907407408</v>
      </c>
      <c r="M1749" s="16"/>
      <c r="N1749" s="14" t="s">
        <v>7806</v>
      </c>
      <c r="O1749" s="11" t="str">
        <f>HYPERLINK("https://pbs.twimg.com/profile_images/378800000794889152/545ea4ed01fbb17969822e1ee9b0f3fa_normal.jpeg","View")</f>
        <v>View</v>
      </c>
      <c r="P1749" s="15"/>
    </row>
    <row r="1750">
      <c r="A1750" s="7">
        <v>42424.44265046297</v>
      </c>
      <c r="B1750" s="8" t="str">
        <f>HYPERLINK("https://twitter.com/Newystats","@Newystats")</f>
        <v>@Newystats</v>
      </c>
      <c r="C1750" s="10" t="s">
        <v>9447</v>
      </c>
      <c r="D1750" s="10" t="s">
        <v>9448</v>
      </c>
      <c r="E1750" s="11" t="str">
        <f>HYPERLINK("https://twitter.com/Newystats/status/702562992269856768","702562992269856768")</f>
        <v>702562992269856768</v>
      </c>
      <c r="F1750" s="12" t="s">
        <v>1828</v>
      </c>
      <c r="G1750" s="13">
        <v>34.0</v>
      </c>
      <c r="H1750" s="13">
        <v>222.0</v>
      </c>
      <c r="I1750" s="13">
        <v>1.0</v>
      </c>
      <c r="J1750" s="13">
        <v>0.0</v>
      </c>
      <c r="K1750" s="12" t="s">
        <v>21</v>
      </c>
      <c r="L1750" s="7">
        <v>40134.06071759259</v>
      </c>
      <c r="M1750" s="16"/>
      <c r="N1750" s="16"/>
      <c r="O1750" s="11" t="str">
        <f>HYPERLINK("https://pbs.twimg.com/profile_images/1874334738/Newystats_normal.jpg","View")</f>
        <v>View</v>
      </c>
      <c r="P1750" s="15"/>
    </row>
    <row r="1751">
      <c r="A1751" s="7">
        <v>42424.4435300926</v>
      </c>
      <c r="B1751" s="8" t="str">
        <f>HYPERLINK("https://twitter.com/DataWookie","@DataWookie")</f>
        <v>@DataWookie</v>
      </c>
      <c r="C1751" s="10" t="s">
        <v>6231</v>
      </c>
      <c r="D1751" s="10" t="s">
        <v>9449</v>
      </c>
      <c r="E1751" s="11" t="str">
        <f>HYPERLINK("https://twitter.com/DataWookie/status/702563314526588929","702563314526588929")</f>
        <v>702563314526588929</v>
      </c>
      <c r="F1751" s="12" t="s">
        <v>6233</v>
      </c>
      <c r="G1751" s="13">
        <v>426.0</v>
      </c>
      <c r="H1751" s="13">
        <v>296.0</v>
      </c>
      <c r="I1751" s="13">
        <v>0.0</v>
      </c>
      <c r="J1751" s="13">
        <v>1.0</v>
      </c>
      <c r="K1751" s="12" t="s">
        <v>21</v>
      </c>
      <c r="L1751" s="7">
        <v>42166.966678240744</v>
      </c>
      <c r="M1751" s="14" t="s">
        <v>6234</v>
      </c>
      <c r="N1751" s="14" t="s">
        <v>6235</v>
      </c>
      <c r="O1751" s="11" t="str">
        <f>HYPERLINK("https://pbs.twimg.com/profile_images/612471608725213184/eXKo2Kmo_normal.jpg","View")</f>
        <v>View</v>
      </c>
      <c r="P1751" s="15"/>
    </row>
    <row r="1752">
      <c r="A1752" s="7">
        <v>42424.44362268518</v>
      </c>
      <c r="B1752" s="8" t="str">
        <f>HYPERLINK("https://twitter.com/zentree","@zentree")</f>
        <v>@zentree</v>
      </c>
      <c r="C1752" s="10" t="s">
        <v>9450</v>
      </c>
      <c r="D1752" s="10" t="s">
        <v>9451</v>
      </c>
      <c r="E1752" s="11" t="str">
        <f>HYPERLINK("https://twitter.com/zentree/status/702563348429144064","702563348429144064")</f>
        <v>702563348429144064</v>
      </c>
      <c r="F1752" s="12" t="s">
        <v>20</v>
      </c>
      <c r="G1752" s="13">
        <v>592.0</v>
      </c>
      <c r="H1752" s="13">
        <v>109.0</v>
      </c>
      <c r="I1752" s="13">
        <v>0.0</v>
      </c>
      <c r="J1752" s="13">
        <v>0.0</v>
      </c>
      <c r="K1752" s="12" t="s">
        <v>21</v>
      </c>
      <c r="L1752" s="7">
        <v>39034.64048611111</v>
      </c>
      <c r="M1752" s="14" t="s">
        <v>9452</v>
      </c>
      <c r="N1752" s="14" t="s">
        <v>9453</v>
      </c>
      <c r="O1752" s="11" t="str">
        <f>HYPERLINK("https://pbs.twimg.com/profile_images/587187329934032897/ba7oP58d_normal.jpg","View")</f>
        <v>View</v>
      </c>
      <c r="P1752" s="15"/>
    </row>
    <row r="1753">
      <c r="A1753" s="7">
        <v>42424.444027777776</v>
      </c>
      <c r="B1753" s="8" t="str">
        <f>HYPERLINK("https://twitter.com/itschekkers","@itschekkers")</f>
        <v>@itschekkers</v>
      </c>
      <c r="C1753" s="10" t="s">
        <v>9454</v>
      </c>
      <c r="D1753" s="10" t="s">
        <v>9455</v>
      </c>
      <c r="E1753" s="11" t="str">
        <f>HYPERLINK("https://twitter.com/itschekkers/status/702563493069905920","702563493069905920")</f>
        <v>702563493069905920</v>
      </c>
      <c r="F1753" s="12" t="s">
        <v>20</v>
      </c>
      <c r="G1753" s="13">
        <v>235.0</v>
      </c>
      <c r="H1753" s="13">
        <v>398.0</v>
      </c>
      <c r="I1753" s="13">
        <v>0.0</v>
      </c>
      <c r="J1753" s="13">
        <v>2.0</v>
      </c>
      <c r="K1753" s="12" t="s">
        <v>21</v>
      </c>
      <c r="L1753" s="7">
        <v>41035.67792824074</v>
      </c>
      <c r="M1753" s="14" t="s">
        <v>9456</v>
      </c>
      <c r="N1753" s="14" t="s">
        <v>9457</v>
      </c>
      <c r="O1753" s="11" t="str">
        <f>HYPERLINK("https://pbs.twimg.com/profile_images/690588531325026305/Du_O8b-l_normal.jpg","View")</f>
        <v>View</v>
      </c>
      <c r="P1753" s="15"/>
    </row>
    <row r="1754">
      <c r="A1754" s="7">
        <v>42424.44482638889</v>
      </c>
      <c r="B1754" s="8" t="str">
        <f>HYPERLINK("https://twitter.com/GirlsWhoCode","@GirlsWhoCode")</f>
        <v>@GirlsWhoCode</v>
      </c>
      <c r="C1754" s="10" t="s">
        <v>9458</v>
      </c>
      <c r="D1754" s="10" t="s">
        <v>9459</v>
      </c>
      <c r="E1754" s="11" t="str">
        <f>HYPERLINK("https://twitter.com/GirlsWhoCode/status/702563784007618560","702563784007618560")</f>
        <v>702563784007618560</v>
      </c>
      <c r="F1754" s="12" t="s">
        <v>20</v>
      </c>
      <c r="G1754" s="13">
        <v>159171.0</v>
      </c>
      <c r="H1754" s="13">
        <v>1127.0</v>
      </c>
      <c r="I1754" s="13">
        <v>11.0</v>
      </c>
      <c r="J1754" s="13">
        <v>0.0</v>
      </c>
      <c r="K1754" s="12" t="s">
        <v>21</v>
      </c>
      <c r="L1754" s="7">
        <v>40884.50541666667</v>
      </c>
      <c r="M1754" s="14" t="s">
        <v>4787</v>
      </c>
      <c r="N1754" s="14" t="s">
        <v>9460</v>
      </c>
      <c r="O1754" s="11" t="str">
        <f>HYPERLINK("https://pbs.twimg.com/profile_images/691666604627619840/2NPy-Ymr_normal.png","View")</f>
        <v>View</v>
      </c>
      <c r="P1754" s="15"/>
    </row>
    <row r="1755">
      <c r="A1755" s="7">
        <v>42424.445127314815</v>
      </c>
      <c r="B1755" s="8" t="str">
        <f>HYPERLINK("https://twitter.com/critoe","@critoe")</f>
        <v>@critoe</v>
      </c>
      <c r="C1755" s="10" t="s">
        <v>9461</v>
      </c>
      <c r="D1755" s="10" t="s">
        <v>9459</v>
      </c>
      <c r="E1755" s="11" t="str">
        <f>HYPERLINK("https://twitter.com/critoe/status/702563890694135812","702563890694135812")</f>
        <v>702563890694135812</v>
      </c>
      <c r="F1755" s="12" t="s">
        <v>20</v>
      </c>
      <c r="G1755" s="13">
        <v>540.0</v>
      </c>
      <c r="H1755" s="13">
        <v>602.0</v>
      </c>
      <c r="I1755" s="13">
        <v>11.0</v>
      </c>
      <c r="J1755" s="13">
        <v>0.0</v>
      </c>
      <c r="K1755" s="12" t="s">
        <v>21</v>
      </c>
      <c r="L1755" s="7">
        <v>40944.511770833335</v>
      </c>
      <c r="M1755" s="14" t="s">
        <v>9462</v>
      </c>
      <c r="N1755" s="14" t="s">
        <v>9463</v>
      </c>
      <c r="O1755" s="11" t="str">
        <f>HYPERLINK("https://pbs.twimg.com/profile_images/673369747061235712/KT1vEmzu_normal.png","View")</f>
        <v>View</v>
      </c>
      <c r="P1755" s="15"/>
    </row>
    <row r="1756">
      <c r="A1756" s="7">
        <v>42424.445555555554</v>
      </c>
      <c r="B1756" s="8" t="str">
        <f>HYPERLINK("https://twitter.com/RiseGeeklings","@RiseGeeklings")</f>
        <v>@RiseGeeklings</v>
      </c>
      <c r="C1756" s="10" t="s">
        <v>9464</v>
      </c>
      <c r="D1756" s="10" t="s">
        <v>9459</v>
      </c>
      <c r="E1756" s="11" t="str">
        <f>HYPERLINK("https://twitter.com/RiseGeeklings/status/702564048970211333","702564048970211333")</f>
        <v>702564048970211333</v>
      </c>
      <c r="F1756" s="12" t="s">
        <v>20</v>
      </c>
      <c r="G1756" s="13">
        <v>713.0</v>
      </c>
      <c r="H1756" s="13">
        <v>862.0</v>
      </c>
      <c r="I1756" s="13">
        <v>11.0</v>
      </c>
      <c r="J1756" s="13">
        <v>0.0</v>
      </c>
      <c r="K1756" s="12" t="s">
        <v>21</v>
      </c>
      <c r="L1756" s="7">
        <v>42229.30417824074</v>
      </c>
      <c r="M1756" s="16"/>
      <c r="N1756" s="14" t="s">
        <v>9465</v>
      </c>
      <c r="O1756" s="11" t="str">
        <f>HYPERLINK("https://pbs.twimg.com/profile_images/645268170605920257/V9fLrMdk_normal.jpg","View")</f>
        <v>View</v>
      </c>
      <c r="P1756" s="15"/>
    </row>
    <row r="1757">
      <c r="A1757" s="7">
        <v>42424.44721064815</v>
      </c>
      <c r="B1757" s="8" t="str">
        <f>HYPERLINK("https://twitter.com/JAlexBranham","@JAlexBranham")</f>
        <v>@JAlexBranham</v>
      </c>
      <c r="C1757" s="10" t="s">
        <v>7908</v>
      </c>
      <c r="D1757" s="10" t="s">
        <v>9445</v>
      </c>
      <c r="E1757" s="11" t="str">
        <f>HYPERLINK("https://twitter.com/JAlexBranham/status/702564647967174656","702564647967174656")</f>
        <v>702564647967174656</v>
      </c>
      <c r="F1757" s="12" t="s">
        <v>152</v>
      </c>
      <c r="G1757" s="13">
        <v>150.0</v>
      </c>
      <c r="H1757" s="13">
        <v>178.0</v>
      </c>
      <c r="I1757" s="13">
        <v>6.0</v>
      </c>
      <c r="J1757" s="13">
        <v>0.0</v>
      </c>
      <c r="K1757" s="12" t="s">
        <v>21</v>
      </c>
      <c r="L1757" s="7">
        <v>40702.36282407407</v>
      </c>
      <c r="M1757" s="14" t="s">
        <v>2022</v>
      </c>
      <c r="N1757" s="14" t="s">
        <v>7910</v>
      </c>
      <c r="O1757" s="11" t="str">
        <f>HYPERLINK("https://pbs.twimg.com/profile_images/628537702166564864/DrkqoQcc_normal.jpg","View")</f>
        <v>View</v>
      </c>
      <c r="P1757" s="15"/>
    </row>
    <row r="1758">
      <c r="A1758" s="7">
        <v>42424.44819444444</v>
      </c>
      <c r="B1758" s="8" t="str">
        <f>HYPERLINK("https://twitter.com/daveinstpaul","@daveinstpaul")</f>
        <v>@daveinstpaul</v>
      </c>
      <c r="C1758" s="10" t="s">
        <v>9466</v>
      </c>
      <c r="D1758" s="10" t="s">
        <v>9467</v>
      </c>
      <c r="E1758" s="11" t="str">
        <f>HYPERLINK("https://twitter.com/daveinstpaul/status/702565004898279424","702565004898279424")</f>
        <v>702565004898279424</v>
      </c>
      <c r="F1758" s="12" t="s">
        <v>20</v>
      </c>
      <c r="G1758" s="13">
        <v>2819.0</v>
      </c>
      <c r="H1758" s="13">
        <v>1081.0</v>
      </c>
      <c r="I1758" s="13">
        <v>0.0</v>
      </c>
      <c r="J1758" s="13">
        <v>0.0</v>
      </c>
      <c r="K1758" s="12" t="s">
        <v>21</v>
      </c>
      <c r="L1758" s="7">
        <v>40073.770324074074</v>
      </c>
      <c r="M1758" s="14" t="s">
        <v>9468</v>
      </c>
      <c r="N1758" s="14" t="s">
        <v>9469</v>
      </c>
      <c r="O1758" s="11" t="str">
        <f>HYPERLINK("https://pbs.twimg.com/profile_images/528573126905315329/3TbCJKpT_normal.jpeg","View")</f>
        <v>View</v>
      </c>
      <c r="P1758" s="15"/>
    </row>
    <row r="1759">
      <c r="A1759" s="7">
        <v>42424.44876157407</v>
      </c>
      <c r="B1759" s="8" t="str">
        <f>HYPERLINK("https://twitter.com/philninh","@philninh")</f>
        <v>@philninh</v>
      </c>
      <c r="C1759" s="10" t="s">
        <v>9470</v>
      </c>
      <c r="D1759" s="10" t="s">
        <v>9471</v>
      </c>
      <c r="E1759" s="11" t="str">
        <f>HYPERLINK("https://twitter.com/philninh/status/702565207005077505","702565207005077505")</f>
        <v>702565207005077505</v>
      </c>
      <c r="F1759" s="12" t="s">
        <v>52</v>
      </c>
      <c r="G1759" s="13">
        <v>568.0</v>
      </c>
      <c r="H1759" s="13">
        <v>772.0</v>
      </c>
      <c r="I1759" s="13">
        <v>1.0</v>
      </c>
      <c r="J1759" s="13">
        <v>0.0</v>
      </c>
      <c r="K1759" s="12" t="s">
        <v>21</v>
      </c>
      <c r="L1759" s="7">
        <v>40469.44587962963</v>
      </c>
      <c r="M1759" s="14" t="s">
        <v>964</v>
      </c>
      <c r="N1759" s="14" t="s">
        <v>9472</v>
      </c>
      <c r="O1759" s="11" t="str">
        <f>HYPERLINK("https://pbs.twimg.com/profile_images/697560996563570695/f8WcvKtd_normal.jpg","View")</f>
        <v>View</v>
      </c>
      <c r="P1759" s="15"/>
    </row>
    <row r="1760">
      <c r="A1760" s="7">
        <v>42424.45315972222</v>
      </c>
      <c r="B1760" s="8" t="str">
        <f>HYPERLINK("https://twitter.com/LeahAWasser","@LeahAWasser")</f>
        <v>@LeahAWasser</v>
      </c>
      <c r="C1760" s="10" t="s">
        <v>9473</v>
      </c>
      <c r="D1760" s="10" t="s">
        <v>9474</v>
      </c>
      <c r="E1760" s="11" t="str">
        <f>HYPERLINK("https://twitter.com/LeahAWasser/status/702566801700327424","702566801700327424")</f>
        <v>702566801700327424</v>
      </c>
      <c r="F1760" s="12" t="s">
        <v>446</v>
      </c>
      <c r="G1760" s="13">
        <v>788.0</v>
      </c>
      <c r="H1760" s="13">
        <v>893.0</v>
      </c>
      <c r="I1760" s="13">
        <v>0.0</v>
      </c>
      <c r="J1760" s="13">
        <v>0.0</v>
      </c>
      <c r="K1760" s="12" t="s">
        <v>21</v>
      </c>
      <c r="L1760" s="7">
        <v>40975.52924768518</v>
      </c>
      <c r="M1760" s="14" t="s">
        <v>9475</v>
      </c>
      <c r="N1760" s="14" t="s">
        <v>9476</v>
      </c>
      <c r="O1760" s="11" t="str">
        <f>HYPERLINK("https://pbs.twimg.com/profile_images/633416207165689856/-nZq_x05_normal.jpg","View")</f>
        <v>View</v>
      </c>
      <c r="P1760" s="15"/>
    </row>
    <row r="1761">
      <c r="A1761" s="7">
        <v>42424.45398148148</v>
      </c>
      <c r="B1761" s="8" t="str">
        <f>HYPERLINK("https://twitter.com/behaviordots","@behaviordots")</f>
        <v>@behaviordots</v>
      </c>
      <c r="C1761" s="10" t="s">
        <v>1773</v>
      </c>
      <c r="D1761" s="10" t="s">
        <v>9459</v>
      </c>
      <c r="E1761" s="11" t="str">
        <f>HYPERLINK("https://twitter.com/behaviordots/status/702567098677997568","702567098677997568")</f>
        <v>702567098677997568</v>
      </c>
      <c r="F1761" s="12" t="s">
        <v>20</v>
      </c>
      <c r="G1761" s="13">
        <v>474.0</v>
      </c>
      <c r="H1761" s="13">
        <v>558.0</v>
      </c>
      <c r="I1761" s="13">
        <v>11.0</v>
      </c>
      <c r="J1761" s="13">
        <v>0.0</v>
      </c>
      <c r="K1761" s="12" t="s">
        <v>21</v>
      </c>
      <c r="L1761" s="7">
        <v>42317.64460648148</v>
      </c>
      <c r="M1761" s="16"/>
      <c r="N1761" s="14" t="s">
        <v>1775</v>
      </c>
      <c r="O1761" s="11" t="str">
        <f>HYPERLINK("https://pbs.twimg.com/profile_images/672135815087149056/Cyx6X1gZ_normal.jpg","View")</f>
        <v>View</v>
      </c>
      <c r="P1761" s="15"/>
    </row>
    <row r="1762">
      <c r="A1762" s="7">
        <v>42424.45658564815</v>
      </c>
      <c r="B1762" s="8" t="str">
        <f>HYPERLINK("https://twitter.com/ChristineFermo","@ChristineFermo")</f>
        <v>@ChristineFermo</v>
      </c>
      <c r="C1762" s="10" t="s">
        <v>9477</v>
      </c>
      <c r="D1762" s="10" t="s">
        <v>9459</v>
      </c>
      <c r="E1762" s="11" t="str">
        <f>HYPERLINK("https://twitter.com/ChristineFermo/status/702568044883795968","702568044883795968")</f>
        <v>702568044883795968</v>
      </c>
      <c r="F1762" s="12" t="s">
        <v>52</v>
      </c>
      <c r="G1762" s="13">
        <v>59.0</v>
      </c>
      <c r="H1762" s="13">
        <v>230.0</v>
      </c>
      <c r="I1762" s="13">
        <v>11.0</v>
      </c>
      <c r="J1762" s="13">
        <v>0.0</v>
      </c>
      <c r="K1762" s="12" t="s">
        <v>21</v>
      </c>
      <c r="L1762" s="7">
        <v>42339.288043981476</v>
      </c>
      <c r="M1762" s="14" t="s">
        <v>784</v>
      </c>
      <c r="N1762" s="14" t="s">
        <v>9478</v>
      </c>
      <c r="O1762" s="11" t="str">
        <f>HYPERLINK("https://pbs.twimg.com/profile_images/677485367088586752/6catih1W_normal.jpg","View")</f>
        <v>View</v>
      </c>
      <c r="P1762" s="15"/>
    </row>
    <row r="1763">
      <c r="A1763" s="7">
        <v>42424.46141203704</v>
      </c>
      <c r="B1763" s="8" t="str">
        <f>HYPERLINK("https://twitter.com/TimAssal","@TimAssal")</f>
        <v>@TimAssal</v>
      </c>
      <c r="C1763" s="10" t="s">
        <v>9479</v>
      </c>
      <c r="D1763" s="10" t="s">
        <v>7661</v>
      </c>
      <c r="E1763" s="11" t="str">
        <f>HYPERLINK("https://twitter.com/TimAssal/status/702569794130685952","702569794130685952")</f>
        <v>702569794130685952</v>
      </c>
      <c r="F1763" s="12" t="s">
        <v>20</v>
      </c>
      <c r="G1763" s="13">
        <v>318.0</v>
      </c>
      <c r="H1763" s="13">
        <v>392.0</v>
      </c>
      <c r="I1763" s="13">
        <v>10.0</v>
      </c>
      <c r="J1763" s="13">
        <v>0.0</v>
      </c>
      <c r="K1763" s="12" t="s">
        <v>21</v>
      </c>
      <c r="L1763" s="7">
        <v>41409.42702546297</v>
      </c>
      <c r="M1763" s="14" t="s">
        <v>7621</v>
      </c>
      <c r="N1763" s="14" t="s">
        <v>9480</v>
      </c>
      <c r="O1763" s="11" t="str">
        <f>HYPERLINK("https://pbs.twimg.com/profile_images/431833012179709954/LjPCVU4g_normal.jpeg","View")</f>
        <v>View</v>
      </c>
      <c r="P1763" s="15"/>
    </row>
    <row r="1764">
      <c r="A1764" s="7">
        <v>42424.46525462963</v>
      </c>
      <c r="B1764" s="8" t="str">
        <f t="shared" ref="B1764:B1766" si="195">HYPERLINK("https://twitter.com/kyle_e_walker","@kyle_e_walker")</f>
        <v>@kyle_e_walker</v>
      </c>
      <c r="C1764" s="10" t="s">
        <v>7852</v>
      </c>
      <c r="D1764" s="10" t="s">
        <v>9481</v>
      </c>
      <c r="E1764" s="11" t="str">
        <f>HYPERLINK("https://twitter.com/kyle_e_walker/status/702571184513126400","702571184513126400")</f>
        <v>702571184513126400</v>
      </c>
      <c r="F1764" s="12" t="s">
        <v>20</v>
      </c>
      <c r="G1764" s="13">
        <v>704.0</v>
      </c>
      <c r="H1764" s="13">
        <v>455.0</v>
      </c>
      <c r="I1764" s="13">
        <v>22.0</v>
      </c>
      <c r="J1764" s="13">
        <v>27.0</v>
      </c>
      <c r="K1764" s="12" t="s">
        <v>21</v>
      </c>
      <c r="L1764" s="7">
        <v>40314.349594907406</v>
      </c>
      <c r="M1764" s="14" t="s">
        <v>7853</v>
      </c>
      <c r="N1764" s="14" t="s">
        <v>7854</v>
      </c>
      <c r="O1764" s="11" t="str">
        <f t="shared" ref="O1764:O1766" si="196">HYPERLINK("https://pbs.twimg.com/profile_images/535539844479332354/CA9doTjY_normal.jpeg","View")</f>
        <v>View</v>
      </c>
      <c r="P1764" s="15"/>
    </row>
    <row r="1765">
      <c r="A1765" s="7">
        <v>42424.46614583333</v>
      </c>
      <c r="B1765" s="8" t="str">
        <f t="shared" si="195"/>
        <v>@kyle_e_walker</v>
      </c>
      <c r="C1765" s="10" t="s">
        <v>7852</v>
      </c>
      <c r="D1765" s="10" t="s">
        <v>9482</v>
      </c>
      <c r="E1765" s="11" t="str">
        <f>HYPERLINK("https://twitter.com/kyle_e_walker/status/702571510788026368","702571510788026368")</f>
        <v>702571510788026368</v>
      </c>
      <c r="F1765" s="12" t="s">
        <v>20</v>
      </c>
      <c r="G1765" s="13">
        <v>704.0</v>
      </c>
      <c r="H1765" s="13">
        <v>455.0</v>
      </c>
      <c r="I1765" s="13">
        <v>0.0</v>
      </c>
      <c r="J1765" s="13">
        <v>3.0</v>
      </c>
      <c r="K1765" s="12" t="s">
        <v>21</v>
      </c>
      <c r="L1765" s="7">
        <v>40314.349594907406</v>
      </c>
      <c r="M1765" s="14" t="s">
        <v>7853</v>
      </c>
      <c r="N1765" s="14" t="s">
        <v>7854</v>
      </c>
      <c r="O1765" s="11" t="str">
        <f t="shared" si="196"/>
        <v>View</v>
      </c>
      <c r="P1765" s="15"/>
    </row>
    <row r="1766">
      <c r="A1766" s="7">
        <v>42424.46724537037</v>
      </c>
      <c r="B1766" s="8" t="str">
        <f t="shared" si="195"/>
        <v>@kyle_e_walker</v>
      </c>
      <c r="C1766" s="10" t="s">
        <v>7852</v>
      </c>
      <c r="D1766" s="10" t="s">
        <v>9483</v>
      </c>
      <c r="E1766" s="11" t="str">
        <f>HYPERLINK("https://twitter.com/kyle_e_walker/status/702571909054005248","702571909054005248")</f>
        <v>702571909054005248</v>
      </c>
      <c r="F1766" s="12" t="s">
        <v>20</v>
      </c>
      <c r="G1766" s="13">
        <v>704.0</v>
      </c>
      <c r="H1766" s="13">
        <v>455.0</v>
      </c>
      <c r="I1766" s="13">
        <v>0.0</v>
      </c>
      <c r="J1766" s="13">
        <v>0.0</v>
      </c>
      <c r="K1766" s="12" t="s">
        <v>21</v>
      </c>
      <c r="L1766" s="7">
        <v>40314.349594907406</v>
      </c>
      <c r="M1766" s="14" t="s">
        <v>7853</v>
      </c>
      <c r="N1766" s="14" t="s">
        <v>7854</v>
      </c>
      <c r="O1766" s="11" t="str">
        <f t="shared" si="196"/>
        <v>View</v>
      </c>
      <c r="P1766" s="15"/>
    </row>
    <row r="1767">
      <c r="A1767" s="7">
        <v>42424.46737268519</v>
      </c>
      <c r="B1767" s="8" t="str">
        <f>HYPERLINK("https://twitter.com/Jemus42","@Jemus42")</f>
        <v>@Jemus42</v>
      </c>
      <c r="C1767" s="10" t="s">
        <v>7905</v>
      </c>
      <c r="D1767" s="10" t="s">
        <v>9484</v>
      </c>
      <c r="E1767" s="11" t="str">
        <f>HYPERLINK("https://twitter.com/Jemus42/status/702571952754597888","702571952754597888")</f>
        <v>702571952754597888</v>
      </c>
      <c r="F1767" s="12" t="s">
        <v>20</v>
      </c>
      <c r="G1767" s="13">
        <v>589.0</v>
      </c>
      <c r="H1767" s="13">
        <v>549.0</v>
      </c>
      <c r="I1767" s="13">
        <v>22.0</v>
      </c>
      <c r="J1767" s="13">
        <v>0.0</v>
      </c>
      <c r="K1767" s="12" t="s">
        <v>21</v>
      </c>
      <c r="L1767" s="7">
        <v>39988.36329861111</v>
      </c>
      <c r="M1767" s="16"/>
      <c r="N1767" s="14" t="s">
        <v>7907</v>
      </c>
      <c r="O1767" s="11" t="str">
        <f>HYPERLINK("https://pbs.twimg.com/profile_images/2442155420/13fr1e3on4dzb9fn7i48_normal.jpeg","View")</f>
        <v>View</v>
      </c>
      <c r="P1767" s="15"/>
    </row>
    <row r="1768">
      <c r="A1768" s="7">
        <v>42424.470763888894</v>
      </c>
      <c r="B1768" s="8" t="str">
        <f>HYPERLINK("https://twitter.com/censusSDC","@censusSDC")</f>
        <v>@censusSDC</v>
      </c>
      <c r="C1768" s="10" t="s">
        <v>9485</v>
      </c>
      <c r="D1768" s="10" t="s">
        <v>9484</v>
      </c>
      <c r="E1768" s="11" t="str">
        <f>HYPERLINK("https://twitter.com/censusSDC/status/702573182788751361","702573182788751361")</f>
        <v>702573182788751361</v>
      </c>
      <c r="F1768" s="12" t="s">
        <v>152</v>
      </c>
      <c r="G1768" s="13">
        <v>503.0</v>
      </c>
      <c r="H1768" s="13">
        <v>178.0</v>
      </c>
      <c r="I1768" s="13">
        <v>22.0</v>
      </c>
      <c r="J1768" s="13">
        <v>0.0</v>
      </c>
      <c r="K1768" s="12" t="s">
        <v>21</v>
      </c>
      <c r="L1768" s="7">
        <v>41703.46179398148</v>
      </c>
      <c r="M1768" s="14" t="s">
        <v>9486</v>
      </c>
      <c r="N1768" s="14" t="s">
        <v>9487</v>
      </c>
      <c r="O1768" s="11" t="str">
        <f>HYPERLINK("https://pbs.twimg.com/profile_images/441974532652290048/wodZQpZW_normal.jpeg","View")</f>
        <v>View</v>
      </c>
      <c r="P1768" s="15"/>
    </row>
    <row r="1769">
      <c r="A1769" s="7">
        <v>42424.47197916667</v>
      </c>
      <c r="B1769" s="8" t="str">
        <f>HYPERLINK("https://twitter.com/djpappano","@djpappano")</f>
        <v>@djpappano</v>
      </c>
      <c r="C1769" s="10" t="s">
        <v>9488</v>
      </c>
      <c r="D1769" s="10" t="s">
        <v>9489</v>
      </c>
      <c r="E1769" s="11" t="str">
        <f>HYPERLINK("https://twitter.com/djpappano/status/702573623203209218","702573623203209218")</f>
        <v>702573623203209218</v>
      </c>
      <c r="F1769" s="12" t="s">
        <v>98</v>
      </c>
      <c r="G1769" s="13">
        <v>787.0</v>
      </c>
      <c r="H1769" s="13">
        <v>840.0</v>
      </c>
      <c r="I1769" s="13">
        <v>1.0</v>
      </c>
      <c r="J1769" s="13">
        <v>4.0</v>
      </c>
      <c r="K1769" s="12" t="s">
        <v>21</v>
      </c>
      <c r="L1769" s="7">
        <v>40904.3512037037</v>
      </c>
      <c r="M1769" s="16"/>
      <c r="N1769" s="16"/>
      <c r="O1769" s="11" t="str">
        <f>HYPERLINK("https://pbs.twimg.com/profile_images/1802640457/maylet.7.15.10-ID2_normal.JPG","View")</f>
        <v>View</v>
      </c>
      <c r="P1769" s="15"/>
    </row>
    <row r="1770">
      <c r="A1770" s="7">
        <v>42424.47217592593</v>
      </c>
      <c r="B1770" s="8" t="str">
        <f>HYPERLINK("https://twitter.com/marshprincess","@marshprincess")</f>
        <v>@marshprincess</v>
      </c>
      <c r="C1770" s="10" t="s">
        <v>9490</v>
      </c>
      <c r="D1770" s="10" t="s">
        <v>9491</v>
      </c>
      <c r="E1770" s="11" t="str">
        <f>HYPERLINK("https://twitter.com/marshprincess/status/702573694002921472","702573694002921472")</f>
        <v>702573694002921472</v>
      </c>
      <c r="F1770" s="12" t="s">
        <v>152</v>
      </c>
      <c r="G1770" s="13">
        <v>163.0</v>
      </c>
      <c r="H1770" s="13">
        <v>332.0</v>
      </c>
      <c r="I1770" s="13">
        <v>0.0</v>
      </c>
      <c r="J1770" s="13">
        <v>1.0</v>
      </c>
      <c r="K1770" s="12" t="s">
        <v>21</v>
      </c>
      <c r="L1770" s="7">
        <v>40844.51295138889</v>
      </c>
      <c r="M1770" s="14" t="s">
        <v>8590</v>
      </c>
      <c r="N1770" s="14" t="s">
        <v>9492</v>
      </c>
      <c r="O1770" s="11" t="str">
        <f>HYPERLINK("https://pbs.twimg.com/profile_images/442101351573491713/cJ-gic4-_normal.jpeg","View")</f>
        <v>View</v>
      </c>
      <c r="P1770" s="15"/>
    </row>
    <row r="1771">
      <c r="A1771" s="7">
        <v>42424.47299768518</v>
      </c>
      <c r="B1771" s="8" t="str">
        <f>HYPERLINK("https://twitter.com/monsoontrader","@monsoontrader")</f>
        <v>@monsoontrader</v>
      </c>
      <c r="C1771" s="10" t="s">
        <v>8424</v>
      </c>
      <c r="D1771" s="10" t="s">
        <v>9493</v>
      </c>
      <c r="E1771" s="11" t="str">
        <f>HYPERLINK("https://twitter.com/monsoontrader/status/702573990699769856","702573990699769856")</f>
        <v>702573990699769856</v>
      </c>
      <c r="F1771" s="12" t="s">
        <v>124</v>
      </c>
      <c r="G1771" s="13">
        <v>723.0</v>
      </c>
      <c r="H1771" s="13">
        <v>829.0</v>
      </c>
      <c r="I1771" s="13">
        <v>0.0</v>
      </c>
      <c r="J1771" s="13">
        <v>0.0</v>
      </c>
      <c r="K1771" s="12" t="s">
        <v>21</v>
      </c>
      <c r="L1771" s="7">
        <v>40839.94814814815</v>
      </c>
      <c r="M1771" s="14" t="s">
        <v>8426</v>
      </c>
      <c r="N1771" s="14" t="s">
        <v>8427</v>
      </c>
      <c r="O1771" s="11" t="str">
        <f>HYPERLINK("https://pbs.twimg.com/profile_images/669283346413916161/jH8A_2hk_normal.jpg","View")</f>
        <v>View</v>
      </c>
      <c r="P1771" s="15"/>
    </row>
    <row r="1772">
      <c r="A1772" s="7">
        <v>42424.474699074075</v>
      </c>
      <c r="B1772" s="8" t="str">
        <f>HYPERLINK("https://twitter.com/Md_Harris","@Md_Harris")</f>
        <v>@Md_Harris</v>
      </c>
      <c r="C1772" s="10" t="s">
        <v>8790</v>
      </c>
      <c r="D1772" s="10" t="s">
        <v>9494</v>
      </c>
      <c r="E1772" s="11" t="str">
        <f>HYPERLINK("https://twitter.com/Md_Harris/status/702574609820991492","702574609820991492")</f>
        <v>702574609820991492</v>
      </c>
      <c r="F1772" s="12" t="s">
        <v>20</v>
      </c>
      <c r="G1772" s="13">
        <v>586.0</v>
      </c>
      <c r="H1772" s="13">
        <v>971.0</v>
      </c>
      <c r="I1772" s="13">
        <v>1.0</v>
      </c>
      <c r="J1772" s="13">
        <v>1.0</v>
      </c>
      <c r="K1772" s="12" t="s">
        <v>21</v>
      </c>
      <c r="L1772" s="7">
        <v>39756.32986111111</v>
      </c>
      <c r="M1772" s="14" t="s">
        <v>1099</v>
      </c>
      <c r="N1772" s="14" t="s">
        <v>8792</v>
      </c>
      <c r="O1772" s="11" t="str">
        <f>HYPERLINK("https://pbs.twimg.com/profile_images/640558270843850752/9jnEvx6k_normal.jpg","View")</f>
        <v>View</v>
      </c>
      <c r="P1772" s="15"/>
    </row>
    <row r="1773">
      <c r="A1773" s="7">
        <v>42424.48189814815</v>
      </c>
      <c r="B1773" s="8" t="str">
        <f>HYPERLINK("https://twitter.com/cartesianfaith","@cartesianfaith")</f>
        <v>@cartesianfaith</v>
      </c>
      <c r="C1773" s="10" t="s">
        <v>8190</v>
      </c>
      <c r="D1773" s="10" t="s">
        <v>9495</v>
      </c>
      <c r="E1773" s="11" t="str">
        <f>HYPERLINK("https://twitter.com/cartesianfaith/status/702577215909851136","702577215909851136")</f>
        <v>702577215909851136</v>
      </c>
      <c r="F1773" s="12" t="s">
        <v>20</v>
      </c>
      <c r="G1773" s="13">
        <v>355.0</v>
      </c>
      <c r="H1773" s="13">
        <v>568.0</v>
      </c>
      <c r="I1773" s="13">
        <v>1.0</v>
      </c>
      <c r="J1773" s="13">
        <v>0.0</v>
      </c>
      <c r="K1773" s="12" t="s">
        <v>21</v>
      </c>
      <c r="L1773" s="7">
        <v>39696.37836805556</v>
      </c>
      <c r="M1773" s="14" t="s">
        <v>1018</v>
      </c>
      <c r="N1773" s="14" t="s">
        <v>8192</v>
      </c>
      <c r="O1773" s="11" t="str">
        <f>HYPERLINK("https://pbs.twimg.com/profile_images/439165679602647040/f6VDw3GJ_normal.jpeg","View")</f>
        <v>View</v>
      </c>
      <c r="P1773" s="15"/>
    </row>
    <row r="1774">
      <c r="A1774" s="7">
        <v>42424.48824074074</v>
      </c>
      <c r="B1774" s="8" t="str">
        <f>HYPERLINK("https://twitter.com/kyle_e_walker","@kyle_e_walker")</f>
        <v>@kyle_e_walker</v>
      </c>
      <c r="C1774" s="10" t="s">
        <v>7852</v>
      </c>
      <c r="D1774" s="10" t="s">
        <v>9496</v>
      </c>
      <c r="E1774" s="11" t="str">
        <f>HYPERLINK("https://twitter.com/kyle_e_walker/status/702579513926901761","702579513926901761")</f>
        <v>702579513926901761</v>
      </c>
      <c r="F1774" s="12" t="s">
        <v>20</v>
      </c>
      <c r="G1774" s="13">
        <v>704.0</v>
      </c>
      <c r="H1774" s="13">
        <v>455.0</v>
      </c>
      <c r="I1774" s="13">
        <v>2.0</v>
      </c>
      <c r="J1774" s="13">
        <v>0.0</v>
      </c>
      <c r="K1774" s="12" t="s">
        <v>21</v>
      </c>
      <c r="L1774" s="7">
        <v>40314.349594907406</v>
      </c>
      <c r="M1774" s="14" t="s">
        <v>7853</v>
      </c>
      <c r="N1774" s="14" t="s">
        <v>7854</v>
      </c>
      <c r="O1774" s="11" t="str">
        <f>HYPERLINK("https://pbs.twimg.com/profile_images/535539844479332354/CA9doTjY_normal.jpeg","View")</f>
        <v>View</v>
      </c>
      <c r="P1774" s="15"/>
    </row>
    <row r="1775">
      <c r="A1775" s="7">
        <v>42424.48972222222</v>
      </c>
      <c r="B1775" s="8" t="str">
        <f>HYPERLINK("https://twitter.com/hernangraffe","@hernangraffe")</f>
        <v>@hernangraffe</v>
      </c>
      <c r="C1775" s="10" t="s">
        <v>9497</v>
      </c>
      <c r="D1775" s="10" t="s">
        <v>6942</v>
      </c>
      <c r="E1775" s="11" t="str">
        <f>HYPERLINK("https://twitter.com/hernangraffe/status/702580054392438784","702580054392438784")</f>
        <v>702580054392438784</v>
      </c>
      <c r="F1775" s="12" t="s">
        <v>52</v>
      </c>
      <c r="G1775" s="13">
        <v>766.0</v>
      </c>
      <c r="H1775" s="13">
        <v>2954.0</v>
      </c>
      <c r="I1775" s="13">
        <v>17.0</v>
      </c>
      <c r="J1775" s="13">
        <v>0.0</v>
      </c>
      <c r="K1775" s="12" t="s">
        <v>21</v>
      </c>
      <c r="L1775" s="7">
        <v>41863.666493055556</v>
      </c>
      <c r="M1775" s="14" t="s">
        <v>9498</v>
      </c>
      <c r="N1775" s="14" t="s">
        <v>9499</v>
      </c>
      <c r="O1775" s="11" t="str">
        <f>HYPERLINK("https://pbs.twimg.com/profile_images/545739425934606336/BfYP_1F7_normal.jpeg","View")</f>
        <v>View</v>
      </c>
      <c r="P1775" s="15"/>
    </row>
    <row r="1776">
      <c r="A1776" s="7">
        <v>42424.49065972222</v>
      </c>
      <c r="B1776" s="8" t="str">
        <f>HYPERLINK("https://twitter.com/engima25","@engima25")</f>
        <v>@engima25</v>
      </c>
      <c r="C1776" s="10" t="s">
        <v>9500</v>
      </c>
      <c r="D1776" s="10" t="s">
        <v>9152</v>
      </c>
      <c r="E1776" s="11" t="str">
        <f>HYPERLINK("https://twitter.com/engima25/status/702580391283064832","702580391283064832")</f>
        <v>702580391283064832</v>
      </c>
      <c r="F1776" s="12" t="s">
        <v>152</v>
      </c>
      <c r="G1776" s="13">
        <v>3.0</v>
      </c>
      <c r="H1776" s="13">
        <v>16.0</v>
      </c>
      <c r="I1776" s="13">
        <v>14.0</v>
      </c>
      <c r="J1776" s="13">
        <v>0.0</v>
      </c>
      <c r="K1776" s="12" t="s">
        <v>21</v>
      </c>
      <c r="L1776" s="7">
        <v>42418.45688657407</v>
      </c>
      <c r="M1776" s="16"/>
      <c r="N1776" s="16"/>
      <c r="O1776" s="11" t="str">
        <f>HYPERLINK("https://pbs.twimg.com/profile_images/700394301625241600/6zj3U0sH_normal.jpg","View")</f>
        <v>View</v>
      </c>
      <c r="P1776" s="15"/>
    </row>
    <row r="1777">
      <c r="A1777" s="7">
        <v>42424.49123842592</v>
      </c>
      <c r="B1777" s="8" t="str">
        <f>HYPERLINK("https://twitter.com/hrbrmstr","@hrbrmstr")</f>
        <v>@hrbrmstr</v>
      </c>
      <c r="C1777" s="10" t="s">
        <v>7276</v>
      </c>
      <c r="D1777" s="10" t="s">
        <v>9484</v>
      </c>
      <c r="E1777" s="11" t="str">
        <f>HYPERLINK("https://twitter.com/hrbrmstr/status/702580603384893440","702580603384893440")</f>
        <v>702580603384893440</v>
      </c>
      <c r="F1777" s="12" t="s">
        <v>20</v>
      </c>
      <c r="G1777" s="13">
        <v>6135.0</v>
      </c>
      <c r="H1777" s="13">
        <v>2926.0</v>
      </c>
      <c r="I1777" s="13">
        <v>22.0</v>
      </c>
      <c r="J1777" s="13">
        <v>0.0</v>
      </c>
      <c r="K1777" s="12" t="s">
        <v>21</v>
      </c>
      <c r="L1777" s="7">
        <v>39203.29472222222</v>
      </c>
      <c r="M1777" s="14" t="s">
        <v>7278</v>
      </c>
      <c r="N1777" s="14" t="s">
        <v>7279</v>
      </c>
      <c r="O1777" s="11" t="str">
        <f>HYPERLINK("https://pbs.twimg.com/profile_images/557592259298729985/kpCUQWH1_normal.png","View")</f>
        <v>View</v>
      </c>
      <c r="P1777" s="15"/>
    </row>
    <row r="1778">
      <c r="A1778" s="7">
        <v>42424.491689814815</v>
      </c>
      <c r="B1778" s="8" t="str">
        <f>HYPERLINK("https://twitter.com/thedynamicarts","@thedynamicarts")</f>
        <v>@thedynamicarts</v>
      </c>
      <c r="C1778" s="10" t="s">
        <v>9501</v>
      </c>
      <c r="D1778" s="10" t="s">
        <v>9459</v>
      </c>
      <c r="E1778" s="11" t="str">
        <f>HYPERLINK("https://twitter.com/thedynamicarts/status/702580766719356928","702580766719356928")</f>
        <v>702580766719356928</v>
      </c>
      <c r="F1778" s="12" t="s">
        <v>20</v>
      </c>
      <c r="G1778" s="13">
        <v>32.0</v>
      </c>
      <c r="H1778" s="13">
        <v>115.0</v>
      </c>
      <c r="I1778" s="13">
        <v>11.0</v>
      </c>
      <c r="J1778" s="13">
        <v>0.0</v>
      </c>
      <c r="K1778" s="12" t="s">
        <v>21</v>
      </c>
      <c r="L1778" s="7">
        <v>42416.942025462966</v>
      </c>
      <c r="M1778" s="14" t="s">
        <v>9502</v>
      </c>
      <c r="N1778" s="14" t="s">
        <v>9503</v>
      </c>
      <c r="O1778" s="11" t="str">
        <f>HYPERLINK("https://pbs.twimg.com/profile_images/699851605168918528/VOOUv390_normal.jpg","View")</f>
        <v>View</v>
      </c>
      <c r="P1778" s="15"/>
    </row>
    <row r="1779">
      <c r="A1779" s="7">
        <v>42424.4918287037</v>
      </c>
      <c r="B1779" s="8" t="str">
        <f>HYPERLINK("https://twitter.com/myrcurial","@myrcurial")</f>
        <v>@myrcurial</v>
      </c>
      <c r="C1779" s="10" t="s">
        <v>9504</v>
      </c>
      <c r="D1779" s="10" t="s">
        <v>9484</v>
      </c>
      <c r="E1779" s="11" t="str">
        <f>HYPERLINK("https://twitter.com/myrcurial/status/702580816778391552","702580816778391552")</f>
        <v>702580816778391552</v>
      </c>
      <c r="F1779" s="12" t="s">
        <v>52</v>
      </c>
      <c r="G1779" s="13">
        <v>13410.0</v>
      </c>
      <c r="H1779" s="13">
        <v>651.0</v>
      </c>
      <c r="I1779" s="13">
        <v>22.0</v>
      </c>
      <c r="J1779" s="13">
        <v>0.0</v>
      </c>
      <c r="K1779" s="12" t="s">
        <v>21</v>
      </c>
      <c r="L1779" s="7">
        <v>39154.28864583334</v>
      </c>
      <c r="M1779" s="14" t="s">
        <v>9505</v>
      </c>
      <c r="N1779" s="14" t="s">
        <v>9506</v>
      </c>
      <c r="O1779" s="11" t="str">
        <f>HYPERLINK("https://pbs.twimg.com/profile_images/2456256510/s32vk9pok4y6kd9jgciy_normal.jpeg","View")</f>
        <v>View</v>
      </c>
      <c r="P1779" s="15"/>
    </row>
    <row r="1780">
      <c r="A1780" s="7">
        <v>42424.49209490741</v>
      </c>
      <c r="B1780" s="8" t="str">
        <f t="shared" ref="B1780:B1782" si="197">HYPERLINK("https://twitter.com/Nuovella","@Nuovella")</f>
        <v>@Nuovella</v>
      </c>
      <c r="C1780" s="10" t="s">
        <v>9507</v>
      </c>
      <c r="D1780" s="10" t="s">
        <v>8861</v>
      </c>
      <c r="E1780" s="11" t="str">
        <f>HYPERLINK("https://twitter.com/Nuovella/status/702580911368445952","702580911368445952")</f>
        <v>702580911368445952</v>
      </c>
      <c r="F1780" s="12" t="s">
        <v>1573</v>
      </c>
      <c r="G1780" s="13">
        <v>2073.0</v>
      </c>
      <c r="H1780" s="13">
        <v>2065.0</v>
      </c>
      <c r="I1780" s="13">
        <v>13.0</v>
      </c>
      <c r="J1780" s="13">
        <v>0.0</v>
      </c>
      <c r="K1780" s="12" t="s">
        <v>21</v>
      </c>
      <c r="L1780" s="7">
        <v>40186.02034722222</v>
      </c>
      <c r="M1780" s="14" t="s">
        <v>9508</v>
      </c>
      <c r="N1780" s="14" t="s">
        <v>9509</v>
      </c>
      <c r="O1780" s="11" t="str">
        <f t="shared" ref="O1780:O1782" si="198">HYPERLINK("https://pbs.twimg.com/profile_images/460403786306289664/MJgCqWM0_normal.jpeg","View")</f>
        <v>View</v>
      </c>
      <c r="P1780" s="15"/>
    </row>
    <row r="1781">
      <c r="A1781" s="7">
        <v>42424.492314814815</v>
      </c>
      <c r="B1781" s="8" t="str">
        <f t="shared" si="197"/>
        <v>@Nuovella</v>
      </c>
      <c r="C1781" s="10" t="s">
        <v>9507</v>
      </c>
      <c r="D1781" s="10" t="s">
        <v>8411</v>
      </c>
      <c r="E1781" s="11" t="str">
        <f>HYPERLINK("https://twitter.com/Nuovella/status/702580991093772289","702580991093772289")</f>
        <v>702580991093772289</v>
      </c>
      <c r="F1781" s="12" t="s">
        <v>1573</v>
      </c>
      <c r="G1781" s="13">
        <v>2073.0</v>
      </c>
      <c r="H1781" s="13">
        <v>2065.0</v>
      </c>
      <c r="I1781" s="13">
        <v>18.0</v>
      </c>
      <c r="J1781" s="13">
        <v>0.0</v>
      </c>
      <c r="K1781" s="12" t="s">
        <v>21</v>
      </c>
      <c r="L1781" s="7">
        <v>40186.02034722222</v>
      </c>
      <c r="M1781" s="14" t="s">
        <v>9508</v>
      </c>
      <c r="N1781" s="14" t="s">
        <v>9509</v>
      </c>
      <c r="O1781" s="11" t="str">
        <f t="shared" si="198"/>
        <v>View</v>
      </c>
      <c r="P1781" s="15"/>
    </row>
    <row r="1782">
      <c r="A1782" s="7">
        <v>42424.49277777778</v>
      </c>
      <c r="B1782" s="8" t="str">
        <f t="shared" si="197"/>
        <v>@Nuovella</v>
      </c>
      <c r="C1782" s="10" t="s">
        <v>9507</v>
      </c>
      <c r="D1782" s="10" t="s">
        <v>7263</v>
      </c>
      <c r="E1782" s="11" t="str">
        <f>HYPERLINK("https://twitter.com/Nuovella/status/702581157926412288","702581157926412288")</f>
        <v>702581157926412288</v>
      </c>
      <c r="F1782" s="12" t="s">
        <v>1573</v>
      </c>
      <c r="G1782" s="13">
        <v>2073.0</v>
      </c>
      <c r="H1782" s="13">
        <v>2065.0</v>
      </c>
      <c r="I1782" s="13">
        <v>17.0</v>
      </c>
      <c r="J1782" s="13">
        <v>0.0</v>
      </c>
      <c r="K1782" s="12" t="s">
        <v>21</v>
      </c>
      <c r="L1782" s="7">
        <v>40186.02034722222</v>
      </c>
      <c r="M1782" s="14" t="s">
        <v>9508</v>
      </c>
      <c r="N1782" s="14" t="s">
        <v>9509</v>
      </c>
      <c r="O1782" s="11" t="str">
        <f t="shared" si="198"/>
        <v>View</v>
      </c>
      <c r="P1782" s="15"/>
    </row>
    <row r="1783">
      <c r="A1783" s="7">
        <v>42424.49421296296</v>
      </c>
      <c r="B1783" s="8" t="str">
        <f>HYPERLINK("https://twitter.com/Voovarb","@Voovarb")</f>
        <v>@Voovarb</v>
      </c>
      <c r="C1783" s="10" t="s">
        <v>9194</v>
      </c>
      <c r="D1783" s="10" t="s">
        <v>9510</v>
      </c>
      <c r="E1783" s="11" t="str">
        <f>HYPERLINK("https://twitter.com/Voovarb/status/702581680075198465","702581680075198465")</f>
        <v>702581680075198465</v>
      </c>
      <c r="F1783" s="12" t="s">
        <v>446</v>
      </c>
      <c r="G1783" s="13">
        <v>276.0</v>
      </c>
      <c r="H1783" s="13">
        <v>257.0</v>
      </c>
      <c r="I1783" s="13">
        <v>1.0</v>
      </c>
      <c r="J1783" s="13">
        <v>0.0</v>
      </c>
      <c r="K1783" s="12" t="s">
        <v>21</v>
      </c>
      <c r="L1783" s="7">
        <v>41869.92288194445</v>
      </c>
      <c r="M1783" s="16"/>
      <c r="N1783" s="14" t="s">
        <v>9195</v>
      </c>
      <c r="O1783" s="11" t="str">
        <f>HYPERLINK("https://pbs.twimg.com/profile_images/626808502929899522/nF4A807A_normal.jpg","View")</f>
        <v>View</v>
      </c>
      <c r="P1783" s="15"/>
    </row>
    <row r="1784">
      <c r="A1784" s="7">
        <v>42424.49431712963</v>
      </c>
      <c r="B1784" s="8" t="str">
        <f>HYPERLINK("https://twitter.com/BroVic","@BroVic")</f>
        <v>@BroVic</v>
      </c>
      <c r="C1784" s="10" t="s">
        <v>8946</v>
      </c>
      <c r="D1784" s="10" t="s">
        <v>9511</v>
      </c>
      <c r="E1784" s="11" t="str">
        <f>HYPERLINK("https://twitter.com/BroVic/status/702581716544851968","702581716544851968")</f>
        <v>702581716544851968</v>
      </c>
      <c r="F1784" s="12" t="s">
        <v>1573</v>
      </c>
      <c r="G1784" s="13">
        <v>555.0</v>
      </c>
      <c r="H1784" s="13">
        <v>246.0</v>
      </c>
      <c r="I1784" s="13">
        <v>0.0</v>
      </c>
      <c r="J1784" s="13">
        <v>0.0</v>
      </c>
      <c r="K1784" s="12" t="s">
        <v>21</v>
      </c>
      <c r="L1784" s="7">
        <v>39862.59972222222</v>
      </c>
      <c r="M1784" s="14" t="s">
        <v>8948</v>
      </c>
      <c r="N1784" s="14" t="s">
        <v>8949</v>
      </c>
      <c r="O1784" s="11" t="str">
        <f>HYPERLINK("https://pbs.twimg.com/profile_images/639528574362472448/PgHltNjE_normal.jpg","View")</f>
        <v>View</v>
      </c>
      <c r="P1784" s="15"/>
    </row>
    <row r="1785">
      <c r="A1785" s="7">
        <v>42424.498715277776</v>
      </c>
      <c r="B1785" s="8" t="str">
        <f>HYPERLINK("https://twitter.com/ouzor","@ouzor")</f>
        <v>@ouzor</v>
      </c>
      <c r="C1785" s="10" t="s">
        <v>9512</v>
      </c>
      <c r="D1785" s="10" t="s">
        <v>9484</v>
      </c>
      <c r="E1785" s="11" t="str">
        <f>HYPERLINK("https://twitter.com/ouzor/status/702583313157005312","702583313157005312")</f>
        <v>702583313157005312</v>
      </c>
      <c r="F1785" s="12" t="s">
        <v>52</v>
      </c>
      <c r="G1785" s="13">
        <v>830.0</v>
      </c>
      <c r="H1785" s="13">
        <v>1453.0</v>
      </c>
      <c r="I1785" s="13">
        <v>22.0</v>
      </c>
      <c r="J1785" s="13">
        <v>0.0</v>
      </c>
      <c r="K1785" s="12" t="s">
        <v>21</v>
      </c>
      <c r="L1785" s="7">
        <v>40826.12673611111</v>
      </c>
      <c r="M1785" s="14" t="s">
        <v>9513</v>
      </c>
      <c r="N1785" s="14" t="s">
        <v>9514</v>
      </c>
      <c r="O1785" s="11" t="str">
        <f>HYPERLINK("https://pbs.twimg.com/profile_images/496187927387336704/8MwsXd7s_normal.png","View")</f>
        <v>View</v>
      </c>
      <c r="P1785" s="15"/>
    </row>
    <row r="1786">
      <c r="A1786" s="7">
        <v>42424.50215277778</v>
      </c>
      <c r="B1786" s="8" t="str">
        <f>HYPERLINK("https://twitter.com/OR_EconAnalysis","@OR_EconAnalysis")</f>
        <v>@OR_EconAnalysis</v>
      </c>
      <c r="C1786" s="10" t="s">
        <v>9515</v>
      </c>
      <c r="D1786" s="10" t="s">
        <v>9484</v>
      </c>
      <c r="E1786" s="11" t="str">
        <f>HYPERLINK("https://twitter.com/OR_EconAnalysis/status/702584555199266816","702584555199266816")</f>
        <v>702584555199266816</v>
      </c>
      <c r="F1786" s="12" t="s">
        <v>20</v>
      </c>
      <c r="G1786" s="13">
        <v>1108.0</v>
      </c>
      <c r="H1786" s="13">
        <v>61.0</v>
      </c>
      <c r="I1786" s="13">
        <v>22.0</v>
      </c>
      <c r="J1786" s="13">
        <v>0.0</v>
      </c>
      <c r="K1786" s="12" t="s">
        <v>21</v>
      </c>
      <c r="L1786" s="7">
        <v>40249.47446759259</v>
      </c>
      <c r="M1786" s="14" t="s">
        <v>9516</v>
      </c>
      <c r="N1786" s="14" t="s">
        <v>9517</v>
      </c>
      <c r="O1786" s="11" t="str">
        <f>HYPERLINK("https://pbs.twimg.com/profile_images/760615905/Capitol_Mall_normal.JPG","View")</f>
        <v>View</v>
      </c>
      <c r="P1786" s="15"/>
    </row>
    <row r="1787">
      <c r="A1787" s="7">
        <v>42424.502534722225</v>
      </c>
      <c r="B1787" s="8" t="str">
        <f>HYPERLINK("https://twitter.com/alf_crisci","@alf_crisci")</f>
        <v>@alf_crisci</v>
      </c>
      <c r="C1787" s="10" t="s">
        <v>9166</v>
      </c>
      <c r="D1787" s="10" t="s">
        <v>9484</v>
      </c>
      <c r="E1787" s="11" t="str">
        <f>HYPERLINK("https://twitter.com/alf_crisci/status/702584697075978241","702584697075978241")</f>
        <v>702584697075978241</v>
      </c>
      <c r="F1787" s="12" t="s">
        <v>20</v>
      </c>
      <c r="G1787" s="13">
        <v>476.0</v>
      </c>
      <c r="H1787" s="13">
        <v>492.0</v>
      </c>
      <c r="I1787" s="13">
        <v>22.0</v>
      </c>
      <c r="J1787" s="13">
        <v>0.0</v>
      </c>
      <c r="K1787" s="12" t="s">
        <v>21</v>
      </c>
      <c r="L1787" s="7">
        <v>40513.31891203704</v>
      </c>
      <c r="M1787" s="14" t="s">
        <v>9167</v>
      </c>
      <c r="N1787" s="14" t="s">
        <v>9168</v>
      </c>
      <c r="O1787" s="11" t="str">
        <f>HYPERLINK("https://pbs.twimg.com/profile_images/593860929454022656/8Wr0gd9g_normal.jpg","View")</f>
        <v>View</v>
      </c>
      <c r="P1787" s="15"/>
    </row>
    <row r="1788">
      <c r="A1788" s="7">
        <v>42424.50271990741</v>
      </c>
      <c r="B1788" s="8" t="str">
        <f>HYPERLINK("https://twitter.com/beeonaposy","@beeonaposy")</f>
        <v>@beeonaposy</v>
      </c>
      <c r="C1788" s="10" t="s">
        <v>9518</v>
      </c>
      <c r="D1788" s="10" t="s">
        <v>9519</v>
      </c>
      <c r="E1788" s="11" t="str">
        <f>HYPERLINK("https://twitter.com/beeonaposy/status/702584763706511360","702584763706511360")</f>
        <v>702584763706511360</v>
      </c>
      <c r="F1788" s="12" t="s">
        <v>20</v>
      </c>
      <c r="G1788" s="13">
        <v>596.0</v>
      </c>
      <c r="H1788" s="13">
        <v>612.0</v>
      </c>
      <c r="I1788" s="13">
        <v>0.0</v>
      </c>
      <c r="J1788" s="13">
        <v>0.0</v>
      </c>
      <c r="K1788" s="12" t="s">
        <v>21</v>
      </c>
      <c r="L1788" s="7">
        <v>40494.54350694444</v>
      </c>
      <c r="M1788" s="14" t="s">
        <v>9520</v>
      </c>
      <c r="N1788" s="14" t="s">
        <v>9521</v>
      </c>
      <c r="O1788" s="11" t="str">
        <f>HYPERLINK("https://pbs.twimg.com/profile_images/507901232036315136/txGWGBW6_normal.png","View")</f>
        <v>View</v>
      </c>
      <c r="P1788" s="15"/>
    </row>
    <row r="1789">
      <c r="A1789" s="7">
        <v>42424.50363425926</v>
      </c>
      <c r="B1789" s="8" t="str">
        <f>HYPERLINK("https://twitter.com/monkmanmh","@monkmanmh")</f>
        <v>@monkmanmh</v>
      </c>
      <c r="C1789" s="10" t="s">
        <v>7951</v>
      </c>
      <c r="D1789" s="10" t="s">
        <v>9522</v>
      </c>
      <c r="E1789" s="11" t="str">
        <f>HYPERLINK("https://twitter.com/monkmanmh/status/702585094620336128","702585094620336128")</f>
        <v>702585094620336128</v>
      </c>
      <c r="F1789" s="12" t="s">
        <v>1573</v>
      </c>
      <c r="G1789" s="13">
        <v>257.0</v>
      </c>
      <c r="H1789" s="13">
        <v>821.0</v>
      </c>
      <c r="I1789" s="13">
        <v>0.0</v>
      </c>
      <c r="J1789" s="13">
        <v>0.0</v>
      </c>
      <c r="K1789" s="12" t="s">
        <v>21</v>
      </c>
      <c r="L1789" s="7">
        <v>40456.45587962963</v>
      </c>
      <c r="M1789" s="14" t="s">
        <v>7544</v>
      </c>
      <c r="N1789" s="14" t="s">
        <v>7952</v>
      </c>
      <c r="O1789" s="11" t="str">
        <f>HYPERLINK("https://pbs.twimg.com/profile_images/378800000326851690/31a53679fad3e2366222d213ad196573_normal.jpeg","View")</f>
        <v>View</v>
      </c>
      <c r="P1789" s="15"/>
    </row>
    <row r="1790">
      <c r="A1790" s="7">
        <v>42424.50454861111</v>
      </c>
      <c r="B1790" s="8" t="str">
        <f>HYPERLINK("https://twitter.com/cvandekerckh","@cvandekerckh")</f>
        <v>@cvandekerckh</v>
      </c>
      <c r="C1790" s="10" t="s">
        <v>9523</v>
      </c>
      <c r="D1790" s="10" t="s">
        <v>9524</v>
      </c>
      <c r="E1790" s="11" t="str">
        <f>HYPERLINK("https://twitter.com/cvandekerckh/status/702585427006529536","702585427006529536")</f>
        <v>702585427006529536</v>
      </c>
      <c r="F1790" s="12" t="s">
        <v>20</v>
      </c>
      <c r="G1790" s="13">
        <v>24.0</v>
      </c>
      <c r="H1790" s="13">
        <v>49.0</v>
      </c>
      <c r="I1790" s="13">
        <v>1.0</v>
      </c>
      <c r="J1790" s="13">
        <v>0.0</v>
      </c>
      <c r="K1790" s="12" t="s">
        <v>21</v>
      </c>
      <c r="L1790" s="7">
        <v>41675.30017361111</v>
      </c>
      <c r="M1790" s="16"/>
      <c r="N1790" s="16"/>
      <c r="O1790" s="11" t="str">
        <f>HYPERLINK("https://pbs.twimg.com/profile_images/431083985364480000/kMARbEpW_normal.png","View")</f>
        <v>View</v>
      </c>
      <c r="P1790" s="15"/>
    </row>
    <row r="1791">
      <c r="A1791" s="7">
        <v>42424.505648148144</v>
      </c>
      <c r="B1791" s="8" t="str">
        <f t="shared" ref="B1791:B1792" si="199">HYPERLINK("https://twitter.com/kyle_e_walker","@kyle_e_walker")</f>
        <v>@kyle_e_walker</v>
      </c>
      <c r="C1791" s="10" t="s">
        <v>7852</v>
      </c>
      <c r="D1791" s="10" t="s">
        <v>9525</v>
      </c>
      <c r="E1791" s="11" t="str">
        <f>HYPERLINK("https://twitter.com/kyle_e_walker/status/702585825775603712","702585825775603712")</f>
        <v>702585825775603712</v>
      </c>
      <c r="F1791" s="12" t="s">
        <v>20</v>
      </c>
      <c r="G1791" s="13">
        <v>704.0</v>
      </c>
      <c r="H1791" s="13">
        <v>455.0</v>
      </c>
      <c r="I1791" s="13">
        <v>2.0</v>
      </c>
      <c r="J1791" s="13">
        <v>6.0</v>
      </c>
      <c r="K1791" s="12" t="s">
        <v>21</v>
      </c>
      <c r="L1791" s="7">
        <v>40314.349594907406</v>
      </c>
      <c r="M1791" s="14" t="s">
        <v>7853</v>
      </c>
      <c r="N1791" s="14" t="s">
        <v>7854</v>
      </c>
      <c r="O1791" s="11" t="str">
        <f t="shared" ref="O1791:O1792" si="200">HYPERLINK("https://pbs.twimg.com/profile_images/535539844479332354/CA9doTjY_normal.jpeg","View")</f>
        <v>View</v>
      </c>
      <c r="P1791" s="15"/>
    </row>
    <row r="1792">
      <c r="A1792" s="7">
        <v>42424.50621527778</v>
      </c>
      <c r="B1792" s="8" t="str">
        <f t="shared" si="199"/>
        <v>@kyle_e_walker</v>
      </c>
      <c r="C1792" s="10" t="s">
        <v>7852</v>
      </c>
      <c r="D1792" s="10" t="s">
        <v>9526</v>
      </c>
      <c r="E1792" s="11" t="str">
        <f>HYPERLINK("https://twitter.com/kyle_e_walker/status/702586030679937025","702586030679937025")</f>
        <v>702586030679937025</v>
      </c>
      <c r="F1792" s="12" t="s">
        <v>20</v>
      </c>
      <c r="G1792" s="13">
        <v>704.0</v>
      </c>
      <c r="H1792" s="13">
        <v>455.0</v>
      </c>
      <c r="I1792" s="13">
        <v>0.0</v>
      </c>
      <c r="J1792" s="13">
        <v>2.0</v>
      </c>
      <c r="K1792" s="12" t="s">
        <v>21</v>
      </c>
      <c r="L1792" s="7">
        <v>40314.349594907406</v>
      </c>
      <c r="M1792" s="14" t="s">
        <v>7853</v>
      </c>
      <c r="N1792" s="14" t="s">
        <v>7854</v>
      </c>
      <c r="O1792" s="11" t="str">
        <f t="shared" si="200"/>
        <v>View</v>
      </c>
      <c r="P1792" s="15"/>
    </row>
    <row r="1793">
      <c r="A1793" s="7">
        <v>42424.5078125</v>
      </c>
      <c r="B1793" s="8" t="str">
        <f>HYPERLINK("https://twitter.com/jasdumas","@jasdumas")</f>
        <v>@jasdumas</v>
      </c>
      <c r="C1793" s="10" t="s">
        <v>9527</v>
      </c>
      <c r="D1793" s="10" t="s">
        <v>9528</v>
      </c>
      <c r="E1793" s="11" t="str">
        <f>HYPERLINK("https://twitter.com/jasdumas/status/702586607623401473","702586607623401473")</f>
        <v>702586607623401473</v>
      </c>
      <c r="F1793" s="12" t="s">
        <v>52</v>
      </c>
      <c r="G1793" s="13">
        <v>316.0</v>
      </c>
      <c r="H1793" s="13">
        <v>852.0</v>
      </c>
      <c r="I1793" s="13">
        <v>0.0</v>
      </c>
      <c r="J1793" s="13">
        <v>1.0</v>
      </c>
      <c r="K1793" s="12" t="s">
        <v>21</v>
      </c>
      <c r="L1793" s="7">
        <v>41521.153645833336</v>
      </c>
      <c r="M1793" s="14" t="s">
        <v>9529</v>
      </c>
      <c r="N1793" s="14" t="s">
        <v>9530</v>
      </c>
      <c r="O1793" s="11" t="str">
        <f>HYPERLINK("https://pbs.twimg.com/profile_images/657946826474172416/XOQYsUiS_normal.jpg","View")</f>
        <v>View</v>
      </c>
      <c r="P1793" s="15"/>
    </row>
    <row r="1794">
      <c r="A1794" s="7">
        <v>42424.50820601852</v>
      </c>
      <c r="B1794" s="8" t="str">
        <f>HYPERLINK("https://twitter.com/CoreySparks1","@CoreySparks1")</f>
        <v>@CoreySparks1</v>
      </c>
      <c r="C1794" s="10" t="s">
        <v>9531</v>
      </c>
      <c r="D1794" s="10" t="s">
        <v>9532</v>
      </c>
      <c r="E1794" s="11" t="str">
        <f>HYPERLINK("https://twitter.com/CoreySparks1/status/702586752163131394","702586752163131394")</f>
        <v>702586752163131394</v>
      </c>
      <c r="F1794" s="12" t="s">
        <v>20</v>
      </c>
      <c r="G1794" s="13">
        <v>1330.0</v>
      </c>
      <c r="H1794" s="13">
        <v>1990.0</v>
      </c>
      <c r="I1794" s="13">
        <v>0.0</v>
      </c>
      <c r="J1794" s="13">
        <v>0.0</v>
      </c>
      <c r="K1794" s="12" t="s">
        <v>21</v>
      </c>
      <c r="L1794" s="7">
        <v>40840.564571759256</v>
      </c>
      <c r="M1794" s="14" t="s">
        <v>9533</v>
      </c>
      <c r="N1794" s="14" t="s">
        <v>9534</v>
      </c>
      <c r="O1794" s="11" t="str">
        <f>HYPERLINK("https://pbs.twimg.com/profile_images/463121219244421120/iZtw_Rji_normal.jpeg","View")</f>
        <v>View</v>
      </c>
      <c r="P1794" s="15"/>
    </row>
    <row r="1795">
      <c r="A1795" s="7">
        <v>42424.50975694445</v>
      </c>
      <c r="B1795" s="8" t="str">
        <f>HYPERLINK("https://twitter.com/kdnuggets","@kdnuggets")</f>
        <v>@kdnuggets</v>
      </c>
      <c r="C1795" s="10" t="s">
        <v>5489</v>
      </c>
      <c r="D1795" s="10" t="s">
        <v>9535</v>
      </c>
      <c r="E1795" s="11" t="str">
        <f>HYPERLINK("https://twitter.com/kdnuggets/status/702587312153219073","702587312153219073")</f>
        <v>702587312153219073</v>
      </c>
      <c r="F1795" s="12" t="s">
        <v>294</v>
      </c>
      <c r="G1795" s="13">
        <v>51403.0</v>
      </c>
      <c r="H1795" s="13">
        <v>404.0</v>
      </c>
      <c r="I1795" s="13">
        <v>9.0</v>
      </c>
      <c r="J1795" s="13">
        <v>11.0</v>
      </c>
      <c r="K1795" s="12" t="s">
        <v>21</v>
      </c>
      <c r="L1795" s="7">
        <v>39849.40099537037</v>
      </c>
      <c r="M1795" s="14" t="s">
        <v>5491</v>
      </c>
      <c r="N1795" s="14" t="s">
        <v>5492</v>
      </c>
      <c r="O1795" s="11" t="str">
        <f>HYPERLINK("https://pbs.twimg.com/profile_images/1174228552/gpsc2_normal.jpg","View")</f>
        <v>View</v>
      </c>
      <c r="P1795" s="15"/>
    </row>
    <row r="1796">
      <c r="A1796" s="7">
        <v>42424.51107638889</v>
      </c>
      <c r="B1796" s="8" t="str">
        <f>HYPERLINK("https://twitter.com/renato_umeton","@renato_umeton")</f>
        <v>@renato_umeton</v>
      </c>
      <c r="C1796" s="10" t="s">
        <v>1659</v>
      </c>
      <c r="D1796" s="10" t="s">
        <v>9536</v>
      </c>
      <c r="E1796" s="11" t="str">
        <f>HYPERLINK("https://twitter.com/renato_umeton/status/702587792757530625","702587792757530625")</f>
        <v>702587792757530625</v>
      </c>
      <c r="F1796" s="12" t="s">
        <v>38</v>
      </c>
      <c r="G1796" s="13">
        <v>70.0</v>
      </c>
      <c r="H1796" s="13">
        <v>79.0</v>
      </c>
      <c r="I1796" s="13">
        <v>9.0</v>
      </c>
      <c r="J1796" s="13">
        <v>0.0</v>
      </c>
      <c r="K1796" s="12" t="s">
        <v>21</v>
      </c>
      <c r="L1796" s="7">
        <v>39918.052083333336</v>
      </c>
      <c r="M1796" s="14" t="s">
        <v>1660</v>
      </c>
      <c r="N1796" s="14" t="s">
        <v>1661</v>
      </c>
      <c r="O1796" s="11" t="str">
        <f>HYPERLINK("https://pbs.twimg.com/profile_images/701553083537604608/nr8b38eG_normal.jpg","View")</f>
        <v>View</v>
      </c>
      <c r="P1796" s="15"/>
    </row>
    <row r="1797">
      <c r="A1797" s="7">
        <v>42424.51390046296</v>
      </c>
      <c r="B1797" s="8" t="str">
        <f>HYPERLINK("https://twitter.com/ThugMetricsNews","@ThugMetricsNews")</f>
        <v>@ThugMetricsNews</v>
      </c>
      <c r="C1797" s="10" t="s">
        <v>9537</v>
      </c>
      <c r="D1797" s="10" t="s">
        <v>9536</v>
      </c>
      <c r="E1797" s="11" t="str">
        <f>HYPERLINK("https://twitter.com/ThugMetricsNews/status/702588815874068480","702588815874068480")</f>
        <v>702588815874068480</v>
      </c>
      <c r="F1797" s="12" t="s">
        <v>38</v>
      </c>
      <c r="G1797" s="13">
        <v>12831.0</v>
      </c>
      <c r="H1797" s="13">
        <v>11285.0</v>
      </c>
      <c r="I1797" s="13">
        <v>9.0</v>
      </c>
      <c r="J1797" s="13">
        <v>0.0</v>
      </c>
      <c r="K1797" s="12" t="s">
        <v>21</v>
      </c>
      <c r="L1797" s="7">
        <v>40110.85518518518</v>
      </c>
      <c r="M1797" s="14" t="s">
        <v>850</v>
      </c>
      <c r="N1797" s="14" t="s">
        <v>9538</v>
      </c>
      <c r="O1797" s="11" t="str">
        <f>HYPERLINK("https://pbs.twimg.com/profile_images/555474607101071360/jy1EJZCF_normal.jpeg","View")</f>
        <v>View</v>
      </c>
      <c r="P1797" s="15"/>
    </row>
    <row r="1798">
      <c r="A1798" s="7">
        <v>42424.514328703706</v>
      </c>
      <c r="B1798" s="8" t="str">
        <f>HYPERLINK("https://twitter.com/JennyBryan","@JennyBryan")</f>
        <v>@JennyBryan</v>
      </c>
      <c r="C1798" s="10" t="s">
        <v>7457</v>
      </c>
      <c r="D1798" s="10" t="s">
        <v>9539</v>
      </c>
      <c r="E1798" s="11" t="str">
        <f>HYPERLINK("https://twitter.com/JennyBryan/status/702588971189035008","702588971189035008")</f>
        <v>702588971189035008</v>
      </c>
      <c r="F1798" s="12" t="s">
        <v>240</v>
      </c>
      <c r="G1798" s="13">
        <v>3780.0</v>
      </c>
      <c r="H1798" s="13">
        <v>466.0</v>
      </c>
      <c r="I1798" s="13">
        <v>0.0</v>
      </c>
      <c r="J1798" s="13">
        <v>1.0</v>
      </c>
      <c r="K1798" s="12" t="s">
        <v>21</v>
      </c>
      <c r="L1798" s="7">
        <v>41578.4809837963</v>
      </c>
      <c r="M1798" s="14" t="s">
        <v>1855</v>
      </c>
      <c r="N1798" s="14" t="s">
        <v>7459</v>
      </c>
      <c r="O1798" s="11" t="str">
        <f>HYPERLINK("https://pbs.twimg.com/profile_images/660978605606875137/s3YrJetD_normal.jpg","View")</f>
        <v>View</v>
      </c>
      <c r="P1798" s="15"/>
    </row>
    <row r="1799">
      <c r="A1799" s="7">
        <v>42424.51672453704</v>
      </c>
      <c r="B1799" s="8" t="str">
        <f>HYPERLINK("https://twitter.com/EmekaOkoye","@EmekaOkoye")</f>
        <v>@EmekaOkoye</v>
      </c>
      <c r="C1799" s="10" t="s">
        <v>9540</v>
      </c>
      <c r="D1799" s="10" t="s">
        <v>9536</v>
      </c>
      <c r="E1799" s="11" t="str">
        <f>HYPERLINK("https://twitter.com/EmekaOkoye/status/702589838273474560","702589838273474560")</f>
        <v>702589838273474560</v>
      </c>
      <c r="F1799" s="12" t="s">
        <v>152</v>
      </c>
      <c r="G1799" s="13">
        <v>7286.0</v>
      </c>
      <c r="H1799" s="13">
        <v>777.0</v>
      </c>
      <c r="I1799" s="13">
        <v>9.0</v>
      </c>
      <c r="J1799" s="13">
        <v>0.0</v>
      </c>
      <c r="K1799" s="12" t="s">
        <v>21</v>
      </c>
      <c r="L1799" s="7">
        <v>39432.34936342593</v>
      </c>
      <c r="M1799" s="14" t="s">
        <v>9541</v>
      </c>
      <c r="N1799" s="14" t="s">
        <v>9542</v>
      </c>
      <c r="O1799" s="11" t="str">
        <f>HYPERLINK("https://pbs.twimg.com/profile_images/682178129390092288/D_vSqP-o_normal.jpg","View")</f>
        <v>View</v>
      </c>
      <c r="P1799" s="15"/>
    </row>
    <row r="1800">
      <c r="A1800" s="7">
        <v>42424.51751157407</v>
      </c>
      <c r="B1800" s="8" t="str">
        <f>HYPERLINK("https://twitter.com/NuriaStatgirl","@NuriaStatgirl")</f>
        <v>@NuriaStatgirl</v>
      </c>
      <c r="C1800" s="10" t="s">
        <v>9543</v>
      </c>
      <c r="D1800" s="10" t="s">
        <v>9459</v>
      </c>
      <c r="E1800" s="11" t="str">
        <f>HYPERLINK("https://twitter.com/NuriaStatgirl/status/702590123637149704","702590123637149704")</f>
        <v>702590123637149704</v>
      </c>
      <c r="F1800" s="12" t="s">
        <v>152</v>
      </c>
      <c r="G1800" s="13">
        <v>324.0</v>
      </c>
      <c r="H1800" s="13">
        <v>332.0</v>
      </c>
      <c r="I1800" s="13">
        <v>11.0</v>
      </c>
      <c r="J1800" s="13">
        <v>0.0</v>
      </c>
      <c r="K1800" s="12" t="s">
        <v>21</v>
      </c>
      <c r="L1800" s="7">
        <v>41043.432974537034</v>
      </c>
      <c r="M1800" s="16"/>
      <c r="N1800" s="14" t="s">
        <v>9544</v>
      </c>
      <c r="O1800" s="11" t="str">
        <f>HYPERLINK("https://pbs.twimg.com/profile_images/479012915887226881/njbvr8E0_normal.jpeg","View")</f>
        <v>View</v>
      </c>
      <c r="P1800" s="15"/>
    </row>
    <row r="1801">
      <c r="A1801" s="7">
        <v>42424.51795138889</v>
      </c>
      <c r="B1801" s="8" t="str">
        <f>HYPERLINK("https://twitter.com/analyticbridge","@analyticbridge")</f>
        <v>@analyticbridge</v>
      </c>
      <c r="C1801" s="10" t="s">
        <v>2479</v>
      </c>
      <c r="D1801" s="10" t="s">
        <v>8987</v>
      </c>
      <c r="E1801" s="11" t="str">
        <f>HYPERLINK("https://twitter.com/analyticbridge/status/702590280701063168","702590280701063168")</f>
        <v>702590280701063168</v>
      </c>
      <c r="F1801" s="12" t="s">
        <v>20</v>
      </c>
      <c r="G1801" s="13">
        <v>133762.0</v>
      </c>
      <c r="H1801" s="13">
        <v>4293.0</v>
      </c>
      <c r="I1801" s="13">
        <v>15.0</v>
      </c>
      <c r="J1801" s="13">
        <v>0.0</v>
      </c>
      <c r="K1801" s="12" t="s">
        <v>21</v>
      </c>
      <c r="L1801" s="7">
        <v>39525.935057870374</v>
      </c>
      <c r="M1801" s="14" t="s">
        <v>1259</v>
      </c>
      <c r="N1801" s="14" t="s">
        <v>2481</v>
      </c>
      <c r="O1801" s="11" t="str">
        <f>HYPERLINK("https://pbs.twimg.com/profile_images/1198161733/analitycbridge_normal.png","View")</f>
        <v>View</v>
      </c>
      <c r="P1801" s="15"/>
    </row>
    <row r="1802">
      <c r="A1802" s="7">
        <v>42424.51834490741</v>
      </c>
      <c r="B1802" s="8" t="str">
        <f>HYPERLINK("https://twitter.com/fgsole","@fgsole")</f>
        <v>@fgsole</v>
      </c>
      <c r="C1802" s="10" t="s">
        <v>9545</v>
      </c>
      <c r="D1802" s="10" t="s">
        <v>8987</v>
      </c>
      <c r="E1802" s="11" t="str">
        <f>HYPERLINK("https://twitter.com/fgsole/status/702590425211789312","702590425211789312")</f>
        <v>702590425211789312</v>
      </c>
      <c r="F1802" s="12" t="s">
        <v>152</v>
      </c>
      <c r="G1802" s="13">
        <v>539.0</v>
      </c>
      <c r="H1802" s="13">
        <v>1135.0</v>
      </c>
      <c r="I1802" s="13">
        <v>15.0</v>
      </c>
      <c r="J1802" s="13">
        <v>0.0</v>
      </c>
      <c r="K1802" s="12" t="s">
        <v>21</v>
      </c>
      <c r="L1802" s="7">
        <v>40639.120150462964</v>
      </c>
      <c r="M1802" s="14" t="s">
        <v>9546</v>
      </c>
      <c r="N1802" s="14" t="s">
        <v>9547</v>
      </c>
      <c r="O1802" s="11" t="str">
        <f>HYPERLINK("https://pbs.twimg.com/profile_images/580305931935813632/00ahCf1e_normal.jpg","View")</f>
        <v>View</v>
      </c>
      <c r="P1802" s="15"/>
    </row>
    <row r="1803">
      <c r="A1803" s="7">
        <v>42424.52034722222</v>
      </c>
      <c r="B1803" s="8" t="str">
        <f>HYPERLINK("https://twitter.com/monkmanmh","@monkmanmh")</f>
        <v>@monkmanmh</v>
      </c>
      <c r="C1803" s="10" t="s">
        <v>7951</v>
      </c>
      <c r="D1803" s="10" t="s">
        <v>9484</v>
      </c>
      <c r="E1803" s="11" t="str">
        <f>HYPERLINK("https://twitter.com/monkmanmh/status/702591150020923392","702591150020923392")</f>
        <v>702591150020923392</v>
      </c>
      <c r="F1803" s="12" t="s">
        <v>1573</v>
      </c>
      <c r="G1803" s="13">
        <v>257.0</v>
      </c>
      <c r="H1803" s="13">
        <v>821.0</v>
      </c>
      <c r="I1803" s="13">
        <v>22.0</v>
      </c>
      <c r="J1803" s="13">
        <v>0.0</v>
      </c>
      <c r="K1803" s="12" t="s">
        <v>21</v>
      </c>
      <c r="L1803" s="7">
        <v>40456.45587962963</v>
      </c>
      <c r="M1803" s="14" t="s">
        <v>7544</v>
      </c>
      <c r="N1803" s="14" t="s">
        <v>7952</v>
      </c>
      <c r="O1803" s="11" t="str">
        <f>HYPERLINK("https://pbs.twimg.com/profile_images/378800000326851690/31a53679fad3e2366222d213ad196573_normal.jpeg","View")</f>
        <v>View</v>
      </c>
      <c r="P1803" s="15"/>
    </row>
    <row r="1804">
      <c r="A1804" s="7">
        <v>42424.52079861111</v>
      </c>
      <c r="B1804" s="8" t="str">
        <f>HYPERLINK("https://twitter.com/lusseau","@lusseau")</f>
        <v>@lusseau</v>
      </c>
      <c r="C1804" s="10" t="s">
        <v>9548</v>
      </c>
      <c r="D1804" s="10" t="s">
        <v>8987</v>
      </c>
      <c r="E1804" s="11" t="str">
        <f>HYPERLINK("https://twitter.com/lusseau/status/702591315113086976","702591315113086976")</f>
        <v>702591315113086976</v>
      </c>
      <c r="F1804" s="12" t="s">
        <v>20</v>
      </c>
      <c r="G1804" s="13">
        <v>958.0</v>
      </c>
      <c r="H1804" s="13">
        <v>1646.0</v>
      </c>
      <c r="I1804" s="13">
        <v>15.0</v>
      </c>
      <c r="J1804" s="13">
        <v>0.0</v>
      </c>
      <c r="K1804" s="12" t="s">
        <v>21</v>
      </c>
      <c r="L1804" s="7">
        <v>39846.61685185185</v>
      </c>
      <c r="M1804" s="14" t="s">
        <v>9549</v>
      </c>
      <c r="N1804" s="14" t="s">
        <v>9550</v>
      </c>
      <c r="O1804" s="11" t="str">
        <f>HYPERLINK("https://pbs.twimg.com/profile_images/664219874890260481/dDsqBkIB_normal.png","View")</f>
        <v>View</v>
      </c>
      <c r="P1804" s="15"/>
    </row>
    <row r="1805">
      <c r="A1805" s="7">
        <v>42424.52105324074</v>
      </c>
      <c r="B1805" s="8" t="str">
        <f>HYPERLINK("https://twitter.com/LeahAWasser","@LeahAWasser")</f>
        <v>@LeahAWasser</v>
      </c>
      <c r="C1805" s="10" t="s">
        <v>9473</v>
      </c>
      <c r="D1805" s="10" t="s">
        <v>9551</v>
      </c>
      <c r="E1805" s="11" t="str">
        <f>HYPERLINK("https://twitter.com/LeahAWasser/status/702591404824993797","702591404824993797")</f>
        <v>702591404824993797</v>
      </c>
      <c r="F1805" s="12" t="s">
        <v>294</v>
      </c>
      <c r="G1805" s="13">
        <v>788.0</v>
      </c>
      <c r="H1805" s="13">
        <v>893.0</v>
      </c>
      <c r="I1805" s="13">
        <v>0.0</v>
      </c>
      <c r="J1805" s="13">
        <v>1.0</v>
      </c>
      <c r="K1805" s="12" t="s">
        <v>21</v>
      </c>
      <c r="L1805" s="7">
        <v>40975.52924768518</v>
      </c>
      <c r="M1805" s="14" t="s">
        <v>9475</v>
      </c>
      <c r="N1805" s="14" t="s">
        <v>9476</v>
      </c>
      <c r="O1805" s="11" t="str">
        <f>HYPERLINK("https://pbs.twimg.com/profile_images/633416207165689856/-nZq_x05_normal.jpg","View")</f>
        <v>View</v>
      </c>
      <c r="P1805" s="15"/>
    </row>
    <row r="1806">
      <c r="A1806" s="7">
        <v>42424.52284722222</v>
      </c>
      <c r="B1806" s="8" t="str">
        <f>HYPERLINK("https://twitter.com/monkmanmh","@monkmanmh")</f>
        <v>@monkmanmh</v>
      </c>
      <c r="C1806" s="10" t="s">
        <v>7951</v>
      </c>
      <c r="D1806" s="10" t="s">
        <v>9496</v>
      </c>
      <c r="E1806" s="11" t="str">
        <f>HYPERLINK("https://twitter.com/monkmanmh/status/702592055667589121","702592055667589121")</f>
        <v>702592055667589121</v>
      </c>
      <c r="F1806" s="12" t="s">
        <v>1573</v>
      </c>
      <c r="G1806" s="13">
        <v>257.0</v>
      </c>
      <c r="H1806" s="13">
        <v>821.0</v>
      </c>
      <c r="I1806" s="13">
        <v>2.0</v>
      </c>
      <c r="J1806" s="13">
        <v>0.0</v>
      </c>
      <c r="K1806" s="12" t="s">
        <v>21</v>
      </c>
      <c r="L1806" s="7">
        <v>40456.45587962963</v>
      </c>
      <c r="M1806" s="14" t="s">
        <v>7544</v>
      </c>
      <c r="N1806" s="14" t="s">
        <v>7952</v>
      </c>
      <c r="O1806" s="11" t="str">
        <f>HYPERLINK("https://pbs.twimg.com/profile_images/378800000326851690/31a53679fad3e2366222d213ad196573_normal.jpeg","View")</f>
        <v>View</v>
      </c>
      <c r="P1806" s="15"/>
    </row>
    <row r="1807">
      <c r="A1807" s="7">
        <v>42424.52342592593</v>
      </c>
      <c r="B1807" s="8" t="str">
        <f>HYPERLINK("https://twitter.com/AngeloLainoT","@AngeloLainoT")</f>
        <v>@AngeloLainoT</v>
      </c>
      <c r="C1807" s="10" t="s">
        <v>9552</v>
      </c>
      <c r="D1807" s="10" t="s">
        <v>8987</v>
      </c>
      <c r="E1807" s="11" t="str">
        <f>HYPERLINK("https://twitter.com/AngeloLainoT/status/702592265320058881","702592265320058881")</f>
        <v>702592265320058881</v>
      </c>
      <c r="F1807" s="12" t="s">
        <v>152</v>
      </c>
      <c r="G1807" s="13">
        <v>46.0</v>
      </c>
      <c r="H1807" s="13">
        <v>154.0</v>
      </c>
      <c r="I1807" s="13">
        <v>15.0</v>
      </c>
      <c r="J1807" s="13">
        <v>0.0</v>
      </c>
      <c r="K1807" s="12" t="s">
        <v>21</v>
      </c>
      <c r="L1807" s="7">
        <v>41166.36238425926</v>
      </c>
      <c r="M1807" s="16"/>
      <c r="N1807" s="14" t="s">
        <v>9553</v>
      </c>
      <c r="O1807" s="11" t="str">
        <f>HYPERLINK("https://pbs.twimg.com/profile_images/3545107022/4094e0dc76ec203ac1aba9bd525a1088_normal.jpeg","View")</f>
        <v>View</v>
      </c>
      <c r="P1807" s="15"/>
    </row>
    <row r="1808">
      <c r="A1808" s="7">
        <v>42424.524189814816</v>
      </c>
      <c r="B1808" s="8" t="str">
        <f>HYPERLINK("https://twitter.com/Daniele813","@Daniele813")</f>
        <v>@Daniele813</v>
      </c>
      <c r="C1808" s="10" t="s">
        <v>9554</v>
      </c>
      <c r="D1808" s="10" t="s">
        <v>8987</v>
      </c>
      <c r="E1808" s="11" t="str">
        <f>HYPERLINK("https://twitter.com/Daniele813/status/702592541900808192","702592541900808192")</f>
        <v>702592541900808192</v>
      </c>
      <c r="F1808" s="12" t="s">
        <v>152</v>
      </c>
      <c r="G1808" s="13">
        <v>136.0</v>
      </c>
      <c r="H1808" s="13">
        <v>223.0</v>
      </c>
      <c r="I1808" s="13">
        <v>15.0</v>
      </c>
      <c r="J1808" s="13">
        <v>0.0</v>
      </c>
      <c r="K1808" s="12" t="s">
        <v>21</v>
      </c>
      <c r="L1808" s="7">
        <v>40025.58054398148</v>
      </c>
      <c r="M1808" s="14" t="s">
        <v>9555</v>
      </c>
      <c r="N1808" s="14" t="s">
        <v>9556</v>
      </c>
      <c r="O1808" s="11" t="str">
        <f>HYPERLINK("https://pbs.twimg.com/profile_images/680358708342317056/DfS58NTM_normal.jpg","View")</f>
        <v>View</v>
      </c>
      <c r="P1808" s="15"/>
    </row>
    <row r="1809">
      <c r="A1809" s="7">
        <v>42424.52490740741</v>
      </c>
      <c r="B1809" s="8" t="str">
        <f>HYPERLINK("https://twitter.com/sheanineseven","@sheanineseven")</f>
        <v>@sheanineseven</v>
      </c>
      <c r="C1809" s="10" t="s">
        <v>9557</v>
      </c>
      <c r="D1809" s="10" t="s">
        <v>9536</v>
      </c>
      <c r="E1809" s="11" t="str">
        <f>HYPERLINK("https://twitter.com/sheanineseven/status/702592803600084992","702592803600084992")</f>
        <v>702592803600084992</v>
      </c>
      <c r="F1809" s="12" t="s">
        <v>20</v>
      </c>
      <c r="G1809" s="13">
        <v>574.0</v>
      </c>
      <c r="H1809" s="13">
        <v>998.0</v>
      </c>
      <c r="I1809" s="13">
        <v>9.0</v>
      </c>
      <c r="J1809" s="13">
        <v>0.0</v>
      </c>
      <c r="K1809" s="12" t="s">
        <v>21</v>
      </c>
      <c r="L1809" s="7">
        <v>39885.75319444444</v>
      </c>
      <c r="M1809" s="14" t="s">
        <v>9558</v>
      </c>
      <c r="N1809" s="14" t="s">
        <v>9559</v>
      </c>
      <c r="O1809" s="11" t="str">
        <f>HYPERLINK("https://pbs.twimg.com/profile_images/702009981961261056/qBjd2MYe_normal.png","View")</f>
        <v>View</v>
      </c>
      <c r="P1809" s="15"/>
    </row>
    <row r="1810">
      <c r="A1810" s="7">
        <v>42424.52512731482</v>
      </c>
      <c r="B1810" s="8" t="str">
        <f>HYPERLINK("https://twitter.com/polesasunder","@polesasunder")</f>
        <v>@polesasunder</v>
      </c>
      <c r="C1810" s="10" t="s">
        <v>7496</v>
      </c>
      <c r="D1810" s="10" t="s">
        <v>9560</v>
      </c>
      <c r="E1810" s="11" t="str">
        <f>HYPERLINK("https://twitter.com/polesasunder/status/702592881970655232","702592881970655232")</f>
        <v>702592881970655232</v>
      </c>
      <c r="F1810" s="12" t="s">
        <v>446</v>
      </c>
      <c r="G1810" s="13">
        <v>1560.0</v>
      </c>
      <c r="H1810" s="13">
        <v>1353.0</v>
      </c>
      <c r="I1810" s="13">
        <v>10.0</v>
      </c>
      <c r="J1810" s="13">
        <v>58.0</v>
      </c>
      <c r="K1810" s="12" t="s">
        <v>21</v>
      </c>
      <c r="L1810" s="7">
        <v>40268.41755787037</v>
      </c>
      <c r="M1810" s="14" t="s">
        <v>2216</v>
      </c>
      <c r="N1810" s="14" t="s">
        <v>7498</v>
      </c>
      <c r="O1810" s="11" t="str">
        <f>HYPERLINK("https://pbs.twimg.com/profile_images/499358811564425216/jiX57F1h_normal.jpeg","View")</f>
        <v>View</v>
      </c>
      <c r="P1810" s="15"/>
    </row>
    <row r="1811">
      <c r="A1811" s="7">
        <v>42424.52685185186</v>
      </c>
      <c r="B1811" s="8" t="str">
        <f>HYPERLINK("https://twitter.com/r_vaquerizo","@r_vaquerizo")</f>
        <v>@r_vaquerizo</v>
      </c>
      <c r="C1811" s="10" t="s">
        <v>9561</v>
      </c>
      <c r="D1811" s="10" t="s">
        <v>9562</v>
      </c>
      <c r="E1811" s="11" t="str">
        <f>HYPERLINK("https://twitter.com/r_vaquerizo/status/702593509807800320","702593509807800320")</f>
        <v>702593509807800320</v>
      </c>
      <c r="F1811" s="12" t="s">
        <v>52</v>
      </c>
      <c r="G1811" s="13">
        <v>241.0</v>
      </c>
      <c r="H1811" s="13">
        <v>307.0</v>
      </c>
      <c r="I1811" s="13">
        <v>0.0</v>
      </c>
      <c r="J1811" s="13">
        <v>1.0</v>
      </c>
      <c r="K1811" s="12" t="s">
        <v>21</v>
      </c>
      <c r="L1811" s="7">
        <v>40096.48314814815</v>
      </c>
      <c r="M1811" s="16"/>
      <c r="N1811" s="14" t="s">
        <v>9563</v>
      </c>
      <c r="O1811" s="11" t="str">
        <f>HYPERLINK("https://pbs.twimg.com/profile_images/696072141700231169/9KzrmUim_normal.jpg","View")</f>
        <v>View</v>
      </c>
      <c r="P1811" s="15"/>
    </row>
    <row r="1812">
      <c r="A1812" s="7">
        <v>42424.52704861111</v>
      </c>
      <c r="B1812" s="8" t="str">
        <f>HYPERLINK("https://twitter.com/noelia_vil3s","@noelia_vil3s")</f>
        <v>@noelia_vil3s</v>
      </c>
      <c r="C1812" s="10" t="s">
        <v>9564</v>
      </c>
      <c r="D1812" s="10" t="s">
        <v>9536</v>
      </c>
      <c r="E1812" s="11" t="str">
        <f>HYPERLINK("https://twitter.com/noelia_vil3s/status/702593578179174400","702593578179174400")</f>
        <v>702593578179174400</v>
      </c>
      <c r="F1812" s="12" t="s">
        <v>152</v>
      </c>
      <c r="G1812" s="13">
        <v>132.0</v>
      </c>
      <c r="H1812" s="13">
        <v>310.0</v>
      </c>
      <c r="I1812" s="13">
        <v>9.0</v>
      </c>
      <c r="J1812" s="13">
        <v>0.0</v>
      </c>
      <c r="K1812" s="12" t="s">
        <v>21</v>
      </c>
      <c r="L1812" s="7">
        <v>40967.46178240741</v>
      </c>
      <c r="M1812" s="14" t="s">
        <v>6496</v>
      </c>
      <c r="N1812" s="14" t="s">
        <v>9565</v>
      </c>
      <c r="O1812" s="11" t="str">
        <f>HYPERLINK("https://pbs.twimg.com/profile_images/578841855619670016/aufpn8-J_normal.jpeg","View")</f>
        <v>View</v>
      </c>
      <c r="P1812" s="15"/>
    </row>
    <row r="1813">
      <c r="A1813" s="7">
        <v>42424.5287962963</v>
      </c>
      <c r="B1813" s="8" t="str">
        <f>HYPERLINK("https://twitter.com/mathz_aragao","@mathz_aragao")</f>
        <v>@mathz_aragao</v>
      </c>
      <c r="C1813" s="10" t="s">
        <v>9566</v>
      </c>
      <c r="D1813" s="10" t="s">
        <v>8987</v>
      </c>
      <c r="E1813" s="11" t="str">
        <f>HYPERLINK("https://twitter.com/mathz_aragao/status/702594211355467776","702594211355467776")</f>
        <v>702594211355467776</v>
      </c>
      <c r="F1813" s="12" t="s">
        <v>20</v>
      </c>
      <c r="G1813" s="13">
        <v>57.0</v>
      </c>
      <c r="H1813" s="13">
        <v>109.0</v>
      </c>
      <c r="I1813" s="13">
        <v>15.0</v>
      </c>
      <c r="J1813" s="13">
        <v>0.0</v>
      </c>
      <c r="K1813" s="12" t="s">
        <v>21</v>
      </c>
      <c r="L1813" s="7">
        <v>40493.68712962963</v>
      </c>
      <c r="M1813" s="14" t="s">
        <v>1386</v>
      </c>
      <c r="N1813" s="14" t="s">
        <v>9567</v>
      </c>
      <c r="O1813" s="11" t="str">
        <f>HYPERLINK("https://pbs.twimg.com/profile_images/3425614549/e33550c5911ecf735e54b37550ee6903_normal.jpeg","View")</f>
        <v>View</v>
      </c>
      <c r="P1813" s="15"/>
    </row>
    <row r="1814">
      <c r="A1814" s="7">
        <v>42424.52930555555</v>
      </c>
      <c r="B1814" s="8" t="str">
        <f>HYPERLINK("https://twitter.com/hadleywickham","@hadleywickham")</f>
        <v>@hadleywickham</v>
      </c>
      <c r="C1814" s="10" t="s">
        <v>6659</v>
      </c>
      <c r="D1814" s="10" t="s">
        <v>9568</v>
      </c>
      <c r="E1814" s="11" t="str">
        <f>HYPERLINK("https://twitter.com/hadleywickham/status/702594397058129921","702594397058129921")</f>
        <v>702594397058129921</v>
      </c>
      <c r="F1814" s="12" t="s">
        <v>1082</v>
      </c>
      <c r="G1814" s="13">
        <v>24816.0</v>
      </c>
      <c r="H1814" s="13">
        <v>244.0</v>
      </c>
      <c r="I1814" s="13">
        <v>10.0</v>
      </c>
      <c r="J1814" s="13">
        <v>0.0</v>
      </c>
      <c r="K1814" s="12" t="s">
        <v>21</v>
      </c>
      <c r="L1814" s="7">
        <v>40051.69081018519</v>
      </c>
      <c r="M1814" s="14" t="s">
        <v>719</v>
      </c>
      <c r="N1814" s="14" t="s">
        <v>6661</v>
      </c>
      <c r="O1814" s="11" t="str">
        <f>HYPERLINK("https://pbs.twimg.com/profile_images/677589103710306304/m56O6Wgf_normal.jpg","View")</f>
        <v>View</v>
      </c>
      <c r="P1814" s="15"/>
    </row>
    <row r="1815">
      <c r="A1815" s="7">
        <v>42424.530069444445</v>
      </c>
      <c r="B1815" s="8" t="str">
        <f>HYPERLINK("https://twitter.com/danilobzdok","@danilobzdok")</f>
        <v>@danilobzdok</v>
      </c>
      <c r="C1815" s="10" t="s">
        <v>9569</v>
      </c>
      <c r="D1815" s="10" t="s">
        <v>9570</v>
      </c>
      <c r="E1815" s="11" t="str">
        <f>HYPERLINK("https://twitter.com/danilobzdok/status/702594674486284292","702594674486284292")</f>
        <v>702594674486284292</v>
      </c>
      <c r="F1815" s="12" t="s">
        <v>98</v>
      </c>
      <c r="G1815" s="13">
        <v>331.0</v>
      </c>
      <c r="H1815" s="13">
        <v>460.0</v>
      </c>
      <c r="I1815" s="13">
        <v>3.0</v>
      </c>
      <c r="J1815" s="13">
        <v>2.0</v>
      </c>
      <c r="K1815" s="12" t="s">
        <v>21</v>
      </c>
      <c r="L1815" s="7">
        <v>41688.09956018518</v>
      </c>
      <c r="M1815" s="14" t="s">
        <v>9571</v>
      </c>
      <c r="N1815" s="14" t="s">
        <v>9572</v>
      </c>
      <c r="O1815" s="11" t="str">
        <f>HYPERLINK("https://pbs.twimg.com/profile_images/622831035210928128/gfQGbx3W_normal.png","View")</f>
        <v>View</v>
      </c>
      <c r="P1815" s="15"/>
    </row>
    <row r="1816">
      <c r="A1816" s="7">
        <v>42424.53060185185</v>
      </c>
      <c r="B1816" s="8" t="str">
        <f>HYPERLINK("https://twitter.com/lachamba","@lachamba")</f>
        <v>@lachamba</v>
      </c>
      <c r="C1816" s="10" t="s">
        <v>9573</v>
      </c>
      <c r="D1816" s="10" t="s">
        <v>8987</v>
      </c>
      <c r="E1816" s="11" t="str">
        <f>HYPERLINK("https://twitter.com/lachamba/status/702594865150959620","702594865150959620")</f>
        <v>702594865150959620</v>
      </c>
      <c r="F1816" s="12" t="s">
        <v>52</v>
      </c>
      <c r="G1816" s="13">
        <v>536.0</v>
      </c>
      <c r="H1816" s="13">
        <v>886.0</v>
      </c>
      <c r="I1816" s="13">
        <v>15.0</v>
      </c>
      <c r="J1816" s="13">
        <v>0.0</v>
      </c>
      <c r="K1816" s="12" t="s">
        <v>21</v>
      </c>
      <c r="L1816" s="7">
        <v>39626.57229166667</v>
      </c>
      <c r="M1816" s="14" t="s">
        <v>9574</v>
      </c>
      <c r="N1816" s="14" t="s">
        <v>9575</v>
      </c>
      <c r="O1816" s="11" t="str">
        <f>HYPERLINK("https://pbs.twimg.com/profile_images/555751063496585216/t9tCSeqh_normal.png","View")</f>
        <v>View</v>
      </c>
      <c r="P1816" s="15"/>
    </row>
    <row r="1817">
      <c r="A1817" s="7">
        <v>42424.53108796296</v>
      </c>
      <c r="B1817" s="8" t="str">
        <f>HYPERLINK("https://twitter.com/polesasunder","@polesasunder")</f>
        <v>@polesasunder</v>
      </c>
      <c r="C1817" s="10" t="s">
        <v>7496</v>
      </c>
      <c r="D1817" s="10" t="s">
        <v>9576</v>
      </c>
      <c r="E1817" s="11" t="str">
        <f>HYPERLINK("https://twitter.com/polesasunder/status/702595042762838016","702595042762838016")</f>
        <v>702595042762838016</v>
      </c>
      <c r="F1817" s="12" t="s">
        <v>446</v>
      </c>
      <c r="G1817" s="13">
        <v>1560.0</v>
      </c>
      <c r="H1817" s="13">
        <v>1353.0</v>
      </c>
      <c r="I1817" s="13">
        <v>0.0</v>
      </c>
      <c r="J1817" s="13">
        <v>5.0</v>
      </c>
      <c r="K1817" s="12" t="s">
        <v>21</v>
      </c>
      <c r="L1817" s="7">
        <v>40268.41755787037</v>
      </c>
      <c r="M1817" s="14" t="s">
        <v>2216</v>
      </c>
      <c r="N1817" s="14" t="s">
        <v>7498</v>
      </c>
      <c r="O1817" s="11" t="str">
        <f>HYPERLINK("https://pbs.twimg.com/profile_images/499358811564425216/jiX57F1h_normal.jpeg","View")</f>
        <v>View</v>
      </c>
      <c r="P1817" s="15"/>
    </row>
    <row r="1818">
      <c r="A1818" s="7">
        <v>42424.53256944445</v>
      </c>
      <c r="B1818" s="8" t="str">
        <f>HYPERLINK("https://twitter.com/tylerrinker","@tylerrinker")</f>
        <v>@tylerrinker</v>
      </c>
      <c r="C1818" s="10" t="s">
        <v>9208</v>
      </c>
      <c r="D1818" s="10" t="s">
        <v>9179</v>
      </c>
      <c r="E1818" s="11" t="str">
        <f>HYPERLINK("https://twitter.com/tylerrinker/status/702595581806407680","702595581806407680")</f>
        <v>702595581806407680</v>
      </c>
      <c r="F1818" s="12" t="s">
        <v>20</v>
      </c>
      <c r="G1818" s="13">
        <v>217.0</v>
      </c>
      <c r="H1818" s="13">
        <v>117.0</v>
      </c>
      <c r="I1818" s="13">
        <v>12.0</v>
      </c>
      <c r="J1818" s="13">
        <v>0.0</v>
      </c>
      <c r="K1818" s="12" t="s">
        <v>21</v>
      </c>
      <c r="L1818" s="7">
        <v>40075.54701388889</v>
      </c>
      <c r="M1818" s="14" t="s">
        <v>9210</v>
      </c>
      <c r="N1818" s="14" t="s">
        <v>9211</v>
      </c>
      <c r="O1818" s="11" t="str">
        <f>HYPERLINK("https://pbs.twimg.com/profile_images/3409396165/3df155436a5f9201830bcc65f7a836f7_normal.jpeg","View")</f>
        <v>View</v>
      </c>
      <c r="P1818" s="15"/>
    </row>
    <row r="1819">
      <c r="A1819" s="7">
        <v>42424.53289351852</v>
      </c>
      <c r="B1819" s="8" t="str">
        <f>HYPERLINK("https://twitter.com/revodavid","@revodavid")</f>
        <v>@revodavid</v>
      </c>
      <c r="C1819" s="10" t="s">
        <v>7648</v>
      </c>
      <c r="D1819" s="10" t="s">
        <v>9577</v>
      </c>
      <c r="E1819" s="11" t="str">
        <f>HYPERLINK("https://twitter.com/revodavid/status/702595699385487364","702595699385487364")</f>
        <v>702595699385487364</v>
      </c>
      <c r="F1819" s="12" t="s">
        <v>446</v>
      </c>
      <c r="G1819" s="13">
        <v>18983.0</v>
      </c>
      <c r="H1819" s="13">
        <v>1103.0</v>
      </c>
      <c r="I1819" s="13">
        <v>3.0</v>
      </c>
      <c r="J1819" s="13">
        <v>7.0</v>
      </c>
      <c r="K1819" s="12" t="s">
        <v>21</v>
      </c>
      <c r="L1819" s="7">
        <v>39926.45226851852</v>
      </c>
      <c r="M1819" s="14" t="s">
        <v>1158</v>
      </c>
      <c r="N1819" s="14" t="s">
        <v>7650</v>
      </c>
      <c r="O1819" s="11" t="str">
        <f>HYPERLINK("https://pbs.twimg.com/profile_images/580043996723974144/_Oyvwa9c_normal.jpg","View")</f>
        <v>View</v>
      </c>
      <c r="P1819" s="15"/>
    </row>
    <row r="1820">
      <c r="A1820" s="7">
        <v>42424.5330324074</v>
      </c>
      <c r="B1820" s="8" t="str">
        <f>HYPERLINK("https://twitter.com/japalaciosg","@japalaciosg")</f>
        <v>@japalaciosg</v>
      </c>
      <c r="C1820" s="10" t="s">
        <v>6951</v>
      </c>
      <c r="D1820" s="10" t="s">
        <v>9568</v>
      </c>
      <c r="E1820" s="11" t="str">
        <f>HYPERLINK("https://twitter.com/japalaciosg/status/702595747250900994","702595747250900994")</f>
        <v>702595747250900994</v>
      </c>
      <c r="F1820" s="12" t="s">
        <v>152</v>
      </c>
      <c r="G1820" s="13">
        <v>310.0</v>
      </c>
      <c r="H1820" s="13">
        <v>663.0</v>
      </c>
      <c r="I1820" s="13">
        <v>10.0</v>
      </c>
      <c r="J1820" s="13">
        <v>0.0</v>
      </c>
      <c r="K1820" s="12" t="s">
        <v>21</v>
      </c>
      <c r="L1820" s="7">
        <v>41391.16357638889</v>
      </c>
      <c r="M1820" s="16"/>
      <c r="N1820" s="16"/>
      <c r="O1820" s="11" t="str">
        <f>HYPERLINK("https://pbs.twimg.com/profile_images/596724230449930240/Fg3wVDMe_normal.jpg","View")</f>
        <v>View</v>
      </c>
      <c r="P1820" s="15"/>
    </row>
    <row r="1821">
      <c r="A1821" s="7">
        <v>42424.533055555556</v>
      </c>
      <c r="B1821" s="8" t="str">
        <f>HYPERLINK("https://twitter.com/luisteran79","@luisteran79")</f>
        <v>@luisteran79</v>
      </c>
      <c r="C1821" s="10" t="s">
        <v>9578</v>
      </c>
      <c r="D1821" s="10" t="s">
        <v>8987</v>
      </c>
      <c r="E1821" s="11" t="str">
        <f>HYPERLINK("https://twitter.com/luisteran79/status/702595755417214982","702595755417214982")</f>
        <v>702595755417214982</v>
      </c>
      <c r="F1821" s="12" t="s">
        <v>98</v>
      </c>
      <c r="G1821" s="13">
        <v>297.0</v>
      </c>
      <c r="H1821" s="13">
        <v>531.0</v>
      </c>
      <c r="I1821" s="13">
        <v>15.0</v>
      </c>
      <c r="J1821" s="13">
        <v>0.0</v>
      </c>
      <c r="K1821" s="12" t="s">
        <v>21</v>
      </c>
      <c r="L1821" s="7">
        <v>40671.14818287037</v>
      </c>
      <c r="M1821" s="14" t="s">
        <v>9579</v>
      </c>
      <c r="N1821" s="14" t="s">
        <v>9580</v>
      </c>
      <c r="O1821" s="11" t="str">
        <f>HYPERLINK("https://pbs.twimg.com/profile_images/1343848257/Screen_shot_2011-05-08_at_12.40.22_PM_normal.png","View")</f>
        <v>View</v>
      </c>
      <c r="P1821" s="15"/>
    </row>
    <row r="1822">
      <c r="A1822" s="7">
        <v>42424.533217592594</v>
      </c>
      <c r="B1822" s="8" t="str">
        <f>HYPERLINK("https://twitter.com/AvrahamAdler","@AvrahamAdler")</f>
        <v>@AvrahamAdler</v>
      </c>
      <c r="C1822" s="10" t="s">
        <v>7961</v>
      </c>
      <c r="D1822" s="10" t="s">
        <v>9581</v>
      </c>
      <c r="E1822" s="11" t="str">
        <f>HYPERLINK("https://twitter.com/AvrahamAdler/status/702595813092913152","702595813092913152")</f>
        <v>702595813092913152</v>
      </c>
      <c r="F1822" s="12" t="s">
        <v>20</v>
      </c>
      <c r="G1822" s="13">
        <v>185.0</v>
      </c>
      <c r="H1822" s="13">
        <v>176.0</v>
      </c>
      <c r="I1822" s="13">
        <v>3.0</v>
      </c>
      <c r="J1822" s="13">
        <v>0.0</v>
      </c>
      <c r="K1822" s="12" t="s">
        <v>21</v>
      </c>
      <c r="L1822" s="7">
        <v>39899.30428240741</v>
      </c>
      <c r="M1822" s="14" t="s">
        <v>7962</v>
      </c>
      <c r="N1822" s="14" t="s">
        <v>7963</v>
      </c>
      <c r="O1822" s="11" t="str">
        <f>HYPERLINK("https://pbs.twimg.com/profile_images/378800000300019997/e0cc3d333edd7644c8b566146d92c853_normal.png","View")</f>
        <v>View</v>
      </c>
      <c r="P1822" s="15"/>
    </row>
    <row r="1823">
      <c r="A1823" s="7">
        <v>42424.53325231481</v>
      </c>
      <c r="B1823" s="8" t="str">
        <f>HYPERLINK("https://twitter.com/tea_gondii","@tea_gondii")</f>
        <v>@tea_gondii</v>
      </c>
      <c r="C1823" s="10" t="s">
        <v>9582</v>
      </c>
      <c r="D1823" s="10" t="s">
        <v>9568</v>
      </c>
      <c r="E1823" s="11" t="str">
        <f>HYPERLINK("https://twitter.com/tea_gondii/status/702595828486168579","702595828486168579")</f>
        <v>702595828486168579</v>
      </c>
      <c r="F1823" s="12" t="s">
        <v>152</v>
      </c>
      <c r="G1823" s="13">
        <v>583.0</v>
      </c>
      <c r="H1823" s="13">
        <v>511.0</v>
      </c>
      <c r="I1823" s="13">
        <v>10.0</v>
      </c>
      <c r="J1823" s="13">
        <v>0.0</v>
      </c>
      <c r="K1823" s="12" t="s">
        <v>21</v>
      </c>
      <c r="L1823" s="7">
        <v>40072.243738425925</v>
      </c>
      <c r="M1823" s="14" t="s">
        <v>9583</v>
      </c>
      <c r="N1823" s="14" t="s">
        <v>9584</v>
      </c>
      <c r="O1823" s="11" t="str">
        <f>HYPERLINK("https://pbs.twimg.com/profile_images/673707137529479168/9wAk967V_normal.jpg","View")</f>
        <v>View</v>
      </c>
      <c r="P1823" s="15"/>
    </row>
    <row r="1824">
      <c r="A1824" s="7">
        <v>42424.53327546296</v>
      </c>
      <c r="B1824" s="8" t="str">
        <f>HYPERLINK("https://twitter.com/yoseljaimes","@yoseljaimes")</f>
        <v>@yoseljaimes</v>
      </c>
      <c r="C1824" s="10" t="s">
        <v>9585</v>
      </c>
      <c r="D1824" s="10" t="s">
        <v>9586</v>
      </c>
      <c r="E1824" s="11" t="str">
        <f>HYPERLINK("https://twitter.com/yoseljaimes/status/702595837533167616","702595837533167616")</f>
        <v>702595837533167616</v>
      </c>
      <c r="F1824" s="12" t="s">
        <v>20</v>
      </c>
      <c r="G1824" s="13">
        <v>47.0</v>
      </c>
      <c r="H1824" s="13">
        <v>128.0</v>
      </c>
      <c r="I1824" s="13">
        <v>0.0</v>
      </c>
      <c r="J1824" s="13">
        <v>0.0</v>
      </c>
      <c r="K1824" s="12" t="s">
        <v>21</v>
      </c>
      <c r="L1824" s="7">
        <v>40796.59344907408</v>
      </c>
      <c r="M1824" s="14" t="s">
        <v>1783</v>
      </c>
      <c r="N1824" s="16"/>
      <c r="O1824" s="11" t="str">
        <f>HYPERLINK("https://pbs.twimg.com/profile_images/483463038784126976/s8iYPVBJ_normal.jpeg","View")</f>
        <v>View</v>
      </c>
      <c r="P1824" s="15"/>
    </row>
    <row r="1825">
      <c r="A1825" s="7">
        <v>42424.53364583333</v>
      </c>
      <c r="B1825" s="8" t="str">
        <f>HYPERLINK("https://twitter.com/pssGuy","@pssGuy")</f>
        <v>@pssGuy</v>
      </c>
      <c r="C1825" s="10" t="s">
        <v>7477</v>
      </c>
      <c r="D1825" s="10" t="s">
        <v>9587</v>
      </c>
      <c r="E1825" s="11" t="str">
        <f>HYPERLINK("https://twitter.com/pssGuy/status/702595968709971968","702595968709971968")</f>
        <v>702595968709971968</v>
      </c>
      <c r="F1825" s="12" t="s">
        <v>20</v>
      </c>
      <c r="G1825" s="13">
        <v>318.0</v>
      </c>
      <c r="H1825" s="13">
        <v>118.0</v>
      </c>
      <c r="I1825" s="13">
        <v>0.0</v>
      </c>
      <c r="J1825" s="13">
        <v>1.0</v>
      </c>
      <c r="K1825" s="12" t="s">
        <v>21</v>
      </c>
      <c r="L1825" s="7">
        <v>40451.41810185185</v>
      </c>
      <c r="M1825" s="14" t="s">
        <v>7479</v>
      </c>
      <c r="N1825" s="14" t="s">
        <v>7480</v>
      </c>
      <c r="O1825" s="11" t="str">
        <f>HYPERLINK("https://pbs.twimg.com/profile_images/1138368380/P1010066small_normal.jpg","View")</f>
        <v>View</v>
      </c>
      <c r="P1825" s="15"/>
    </row>
    <row r="1826">
      <c r="A1826" s="7">
        <v>42424.53488425926</v>
      </c>
      <c r="B1826" s="8" t="str">
        <f>HYPERLINK("https://twitter.com/emilysdarling","@emilysdarling")</f>
        <v>@emilysdarling</v>
      </c>
      <c r="C1826" s="10" t="s">
        <v>9588</v>
      </c>
      <c r="D1826" s="10" t="s">
        <v>9568</v>
      </c>
      <c r="E1826" s="11" t="str">
        <f>HYPERLINK("https://twitter.com/emilysdarling/status/702596420734480385","702596420734480385")</f>
        <v>702596420734480385</v>
      </c>
      <c r="F1826" s="12" t="s">
        <v>20</v>
      </c>
      <c r="G1826" s="13">
        <v>3202.0</v>
      </c>
      <c r="H1826" s="13">
        <v>981.0</v>
      </c>
      <c r="I1826" s="13">
        <v>10.0</v>
      </c>
      <c r="J1826" s="13">
        <v>0.0</v>
      </c>
      <c r="K1826" s="12" t="s">
        <v>21</v>
      </c>
      <c r="L1826" s="7">
        <v>40693.62005787037</v>
      </c>
      <c r="M1826" s="14" t="s">
        <v>3278</v>
      </c>
      <c r="N1826" s="14" t="s">
        <v>9589</v>
      </c>
      <c r="O1826" s="11" t="str">
        <f>HYPERLINK("https://pbs.twimg.com/profile_images/454677921081196544/h3btoOpw_normal.jpeg","View")</f>
        <v>View</v>
      </c>
      <c r="P1826" s="15"/>
    </row>
    <row r="1827">
      <c r="A1827" s="7">
        <v>42424.53501157407</v>
      </c>
      <c r="B1827" s="8" t="str">
        <f t="shared" ref="B1827:B1828" si="201">HYPERLINK("https://twitter.com/Rbloggers","@Rbloggers")</f>
        <v>@Rbloggers</v>
      </c>
      <c r="C1827" s="10" t="s">
        <v>6221</v>
      </c>
      <c r="D1827" s="10" t="s">
        <v>9590</v>
      </c>
      <c r="E1827" s="11" t="str">
        <f>HYPERLINK("https://twitter.com/Rbloggers/status/702596463470051328","702596463470051328")</f>
        <v>702596463470051328</v>
      </c>
      <c r="F1827" s="17" t="s">
        <v>6223</v>
      </c>
      <c r="G1827" s="13">
        <v>28572.0</v>
      </c>
      <c r="H1827" s="13">
        <v>36.0</v>
      </c>
      <c r="I1827" s="13">
        <v>1.0</v>
      </c>
      <c r="J1827" s="13">
        <v>0.0</v>
      </c>
      <c r="K1827" s="12" t="s">
        <v>21</v>
      </c>
      <c r="L1827" s="7">
        <v>40314.510601851856</v>
      </c>
      <c r="M1827" s="16"/>
      <c r="N1827" s="14" t="s">
        <v>6224</v>
      </c>
      <c r="O1827" s="11" t="str">
        <f t="shared" ref="O1827:O1828" si="202">HYPERLINK("https://pbs.twimg.com/profile_images/502185985786916864/gkdFh-q7_normal.png","View")</f>
        <v>View</v>
      </c>
      <c r="P1827" s="15"/>
    </row>
    <row r="1828">
      <c r="A1828" s="7">
        <v>42424.53512731481</v>
      </c>
      <c r="B1828" s="8" t="str">
        <f t="shared" si="201"/>
        <v>@Rbloggers</v>
      </c>
      <c r="C1828" s="10" t="s">
        <v>6221</v>
      </c>
      <c r="D1828" s="10" t="s">
        <v>9591</v>
      </c>
      <c r="E1828" s="11" t="str">
        <f>HYPERLINK("https://twitter.com/Rbloggers/status/702596505220182016","702596505220182016")</f>
        <v>702596505220182016</v>
      </c>
      <c r="F1828" s="17" t="s">
        <v>6223</v>
      </c>
      <c r="G1828" s="13">
        <v>28572.0</v>
      </c>
      <c r="H1828" s="13">
        <v>36.0</v>
      </c>
      <c r="I1828" s="13">
        <v>0.0</v>
      </c>
      <c r="J1828" s="13">
        <v>0.0</v>
      </c>
      <c r="K1828" s="12" t="s">
        <v>21</v>
      </c>
      <c r="L1828" s="7">
        <v>40314.510601851856</v>
      </c>
      <c r="M1828" s="16"/>
      <c r="N1828" s="14" t="s">
        <v>6224</v>
      </c>
      <c r="O1828" s="11" t="str">
        <f t="shared" si="202"/>
        <v>View</v>
      </c>
      <c r="P1828" s="15"/>
    </row>
    <row r="1829">
      <c r="A1829" s="7">
        <v>42424.53920138889</v>
      </c>
      <c r="B1829" s="8" t="str">
        <f>HYPERLINK("https://twitter.com/scripterAnon","@scripterAnon")</f>
        <v>@scripterAnon</v>
      </c>
      <c r="C1829" s="10" t="s">
        <v>7583</v>
      </c>
      <c r="D1829" s="10" t="s">
        <v>9536</v>
      </c>
      <c r="E1829" s="11" t="str">
        <f>HYPERLINK("https://twitter.com/scripterAnon/status/702597984983375874","702597984983375874")</f>
        <v>702597984983375874</v>
      </c>
      <c r="F1829" s="12" t="s">
        <v>1573</v>
      </c>
      <c r="G1829" s="13">
        <v>130.0</v>
      </c>
      <c r="H1829" s="13">
        <v>256.0</v>
      </c>
      <c r="I1829" s="13">
        <v>9.0</v>
      </c>
      <c r="J1829" s="13">
        <v>0.0</v>
      </c>
      <c r="K1829" s="12" t="s">
        <v>21</v>
      </c>
      <c r="L1829" s="7">
        <v>40161.40619212963</v>
      </c>
      <c r="M1829" s="14" t="s">
        <v>7585</v>
      </c>
      <c r="N1829" s="16"/>
      <c r="O1829" s="11" t="str">
        <f>HYPERLINK("https://pbs.twimg.com/profile_images/594801770414518272/4LKsLLI2_normal.jpg","View")</f>
        <v>View</v>
      </c>
      <c r="P1829" s="15"/>
    </row>
    <row r="1830">
      <c r="A1830" s="7">
        <v>42424.539247685185</v>
      </c>
      <c r="B1830" s="8" t="str">
        <f>HYPERLINK("https://twitter.com/thelabandfield","@thelabandfield")</f>
        <v>@thelabandfield</v>
      </c>
      <c r="C1830" s="10" t="s">
        <v>9592</v>
      </c>
      <c r="D1830" s="10" t="s">
        <v>9593</v>
      </c>
      <c r="E1830" s="11" t="str">
        <f>HYPERLINK("https://twitter.com/thelabandfield/status/702598001496350720","702598001496350720")</f>
        <v>702598001496350720</v>
      </c>
      <c r="F1830" s="12" t="s">
        <v>20</v>
      </c>
      <c r="G1830" s="13">
        <v>2218.0</v>
      </c>
      <c r="H1830" s="13">
        <v>483.0</v>
      </c>
      <c r="I1830" s="13">
        <v>0.0</v>
      </c>
      <c r="J1830" s="13">
        <v>1.0</v>
      </c>
      <c r="K1830" s="12" t="s">
        <v>21</v>
      </c>
      <c r="L1830" s="7">
        <v>41278.25299768519</v>
      </c>
      <c r="M1830" s="14" t="s">
        <v>9594</v>
      </c>
      <c r="N1830" s="14" t="s">
        <v>9595</v>
      </c>
      <c r="O1830" s="11" t="str">
        <f>HYPERLINK("https://pbs.twimg.com/profile_images/679617176807059457/fqgt0Fjw_normal.jpg","View")</f>
        <v>View</v>
      </c>
      <c r="P1830" s="15"/>
    </row>
    <row r="1831">
      <c r="A1831" s="7">
        <v>42424.53974537037</v>
      </c>
      <c r="B1831" s="8" t="str">
        <f>HYPERLINK("https://twitter.com/sheanineseven","@sheanineseven")</f>
        <v>@sheanineseven</v>
      </c>
      <c r="C1831" s="10" t="s">
        <v>9557</v>
      </c>
      <c r="D1831" s="10" t="s">
        <v>9596</v>
      </c>
      <c r="E1831" s="11" t="str">
        <f>HYPERLINK("https://twitter.com/sheanineseven/status/702598180198703104","702598180198703104")</f>
        <v>702598180198703104</v>
      </c>
      <c r="F1831" s="12" t="s">
        <v>20</v>
      </c>
      <c r="G1831" s="13">
        <v>574.0</v>
      </c>
      <c r="H1831" s="13">
        <v>998.0</v>
      </c>
      <c r="I1831" s="13">
        <v>0.0</v>
      </c>
      <c r="J1831" s="13">
        <v>0.0</v>
      </c>
      <c r="K1831" s="12" t="s">
        <v>21</v>
      </c>
      <c r="L1831" s="7">
        <v>39885.75319444444</v>
      </c>
      <c r="M1831" s="14" t="s">
        <v>9558</v>
      </c>
      <c r="N1831" s="14" t="s">
        <v>9559</v>
      </c>
      <c r="O1831" s="11" t="str">
        <f>HYPERLINK("https://pbs.twimg.com/profile_images/702009981961261056/qBjd2MYe_normal.png","View")</f>
        <v>View</v>
      </c>
      <c r="P1831" s="15"/>
    </row>
    <row r="1832">
      <c r="A1832" s="7">
        <v>42424.54040509259</v>
      </c>
      <c r="B1832" s="8" t="str">
        <f>HYPERLINK("https://twitter.com/gbstringer","@gbstringer")</f>
        <v>@gbstringer</v>
      </c>
      <c r="C1832" s="10" t="s">
        <v>9597</v>
      </c>
      <c r="D1832" s="10" t="s">
        <v>8987</v>
      </c>
      <c r="E1832" s="11" t="str">
        <f>HYPERLINK("https://twitter.com/gbstringer/status/702598419576127489","702598419576127489")</f>
        <v>702598419576127489</v>
      </c>
      <c r="F1832" s="12" t="s">
        <v>152</v>
      </c>
      <c r="G1832" s="13">
        <v>114.0</v>
      </c>
      <c r="H1832" s="13">
        <v>349.0</v>
      </c>
      <c r="I1832" s="13">
        <v>15.0</v>
      </c>
      <c r="J1832" s="13">
        <v>0.0</v>
      </c>
      <c r="K1832" s="12" t="s">
        <v>21</v>
      </c>
      <c r="L1832" s="7">
        <v>39874.09958333333</v>
      </c>
      <c r="M1832" s="14" t="s">
        <v>9598</v>
      </c>
      <c r="N1832" s="14" t="s">
        <v>9599</v>
      </c>
      <c r="O1832" s="11" t="str">
        <f>HYPERLINK("https://pbs.twimg.com/profile_images/403374594/gary_stringer_informal_normal.jpg","View")</f>
        <v>View</v>
      </c>
      <c r="P1832" s="15"/>
    </row>
    <row r="1833">
      <c r="A1833" s="7">
        <v>42424.543020833335</v>
      </c>
      <c r="B1833" s="8" t="str">
        <f>HYPERLINK("https://twitter.com/infotroph","@infotroph")</f>
        <v>@infotroph</v>
      </c>
      <c r="C1833" s="10" t="s">
        <v>8349</v>
      </c>
      <c r="D1833" s="10" t="s">
        <v>9600</v>
      </c>
      <c r="E1833" s="11" t="str">
        <f>HYPERLINK("https://twitter.com/infotroph/status/702599366431772672","702599366431772672")</f>
        <v>702599366431772672</v>
      </c>
      <c r="F1833" s="12" t="s">
        <v>240</v>
      </c>
      <c r="G1833" s="13">
        <v>315.0</v>
      </c>
      <c r="H1833" s="13">
        <v>385.0</v>
      </c>
      <c r="I1833" s="13">
        <v>0.0</v>
      </c>
      <c r="J1833" s="13">
        <v>2.0</v>
      </c>
      <c r="K1833" s="12" t="s">
        <v>21</v>
      </c>
      <c r="L1833" s="7">
        <v>39931.71041666667</v>
      </c>
      <c r="M1833" s="14" t="s">
        <v>1158</v>
      </c>
      <c r="N1833" s="14" t="s">
        <v>8351</v>
      </c>
      <c r="O1833" s="11" t="str">
        <f>HYPERLINK("https://pbs.twimg.com/profile_images/654666018296467456/9m3ijJ_Z_normal.jpg","View")</f>
        <v>View</v>
      </c>
      <c r="P1833" s="15"/>
    </row>
    <row r="1834">
      <c r="A1834" s="7">
        <v>42424.544375</v>
      </c>
      <c r="B1834" s="8" t="str">
        <f>HYPERLINK("https://twitter.com/ihansel","@ihansel")</f>
        <v>@ihansel</v>
      </c>
      <c r="C1834" s="10" t="s">
        <v>9601</v>
      </c>
      <c r="D1834" s="10" t="s">
        <v>9179</v>
      </c>
      <c r="E1834" s="11" t="str">
        <f>HYPERLINK("https://twitter.com/ihansel/status/702599857228247040","702599857228247040")</f>
        <v>702599857228247040</v>
      </c>
      <c r="F1834" s="12" t="s">
        <v>52</v>
      </c>
      <c r="G1834" s="13">
        <v>96.0</v>
      </c>
      <c r="H1834" s="13">
        <v>108.0</v>
      </c>
      <c r="I1834" s="13">
        <v>12.0</v>
      </c>
      <c r="J1834" s="13">
        <v>0.0</v>
      </c>
      <c r="K1834" s="12" t="s">
        <v>21</v>
      </c>
      <c r="L1834" s="7">
        <v>39643.92501157407</v>
      </c>
      <c r="M1834" s="14" t="s">
        <v>3802</v>
      </c>
      <c r="N1834" s="14" t="s">
        <v>9602</v>
      </c>
      <c r="O1834" s="11" t="str">
        <f>HYPERLINK("https://pbs.twimg.com/profile_images/474894124965826560/nQ5aYKdb_normal.jpeg","View")</f>
        <v>View</v>
      </c>
      <c r="P1834" s="15"/>
    </row>
    <row r="1835">
      <c r="A1835" s="7">
        <v>42424.54451388889</v>
      </c>
      <c r="B1835" s="8" t="str">
        <f>HYPERLINK("https://twitter.com/nonchalantnat","@nonchalantnat")</f>
        <v>@nonchalantnat</v>
      </c>
      <c r="C1835" s="10" t="s">
        <v>9603</v>
      </c>
      <c r="D1835" s="10" t="s">
        <v>9604</v>
      </c>
      <c r="E1835" s="11" t="str">
        <f>HYPERLINK("https://twitter.com/nonchalantnat/status/702599909300633600","702599909300633600")</f>
        <v>702599909300633600</v>
      </c>
      <c r="F1835" s="12" t="s">
        <v>52</v>
      </c>
      <c r="G1835" s="13">
        <v>536.0</v>
      </c>
      <c r="H1835" s="13">
        <v>721.0</v>
      </c>
      <c r="I1835" s="13">
        <v>1.0</v>
      </c>
      <c r="J1835" s="13">
        <v>0.0</v>
      </c>
      <c r="K1835" s="12" t="s">
        <v>21</v>
      </c>
      <c r="L1835" s="7">
        <v>41366.59388888889</v>
      </c>
      <c r="M1835" s="14" t="s">
        <v>9605</v>
      </c>
      <c r="N1835" s="14" t="s">
        <v>9606</v>
      </c>
      <c r="O1835" s="11" t="str">
        <f>HYPERLINK("https://pbs.twimg.com/profile_images/631705239364603905/jMIb71gs_normal.jpg","View")</f>
        <v>View</v>
      </c>
      <c r="P1835" s="15"/>
    </row>
    <row r="1836">
      <c r="A1836" s="7">
        <v>42424.54472222222</v>
      </c>
      <c r="B1836" s="8" t="str">
        <f>HYPERLINK("https://twitter.com/renato_umeton","@renato_umeton")</f>
        <v>@renato_umeton</v>
      </c>
      <c r="C1836" s="10" t="s">
        <v>1659</v>
      </c>
      <c r="D1836" s="10" t="s">
        <v>9607</v>
      </c>
      <c r="E1836" s="11" t="str">
        <f>HYPERLINK("https://twitter.com/renato_umeton/status/702599985544753153","702599985544753153")</f>
        <v>702599985544753153</v>
      </c>
      <c r="F1836" s="12" t="s">
        <v>38</v>
      </c>
      <c r="G1836" s="13">
        <v>70.0</v>
      </c>
      <c r="H1836" s="13">
        <v>79.0</v>
      </c>
      <c r="I1836" s="13">
        <v>1.0</v>
      </c>
      <c r="J1836" s="13">
        <v>0.0</v>
      </c>
      <c r="K1836" s="12" t="s">
        <v>21</v>
      </c>
      <c r="L1836" s="7">
        <v>39918.052083333336</v>
      </c>
      <c r="M1836" s="14" t="s">
        <v>1660</v>
      </c>
      <c r="N1836" s="14" t="s">
        <v>1661</v>
      </c>
      <c r="O1836" s="11" t="str">
        <f>HYPERLINK("https://pbs.twimg.com/profile_images/701553083537604608/nr8b38eG_normal.jpg","View")</f>
        <v>View</v>
      </c>
      <c r="P1836" s="15"/>
    </row>
    <row r="1837">
      <c r="A1837" s="7">
        <v>42424.54534722222</v>
      </c>
      <c r="B1837" s="8" t="str">
        <f>HYPERLINK("https://twitter.com/Rbloggers","@Rbloggers")</f>
        <v>@Rbloggers</v>
      </c>
      <c r="C1837" s="10" t="s">
        <v>6221</v>
      </c>
      <c r="D1837" s="10" t="s">
        <v>9608</v>
      </c>
      <c r="E1837" s="11" t="str">
        <f>HYPERLINK("https://twitter.com/Rbloggers/status/702600211143602176","702600211143602176")</f>
        <v>702600211143602176</v>
      </c>
      <c r="F1837" s="17" t="s">
        <v>6223</v>
      </c>
      <c r="G1837" s="13">
        <v>28572.0</v>
      </c>
      <c r="H1837" s="13">
        <v>36.0</v>
      </c>
      <c r="I1837" s="13">
        <v>16.0</v>
      </c>
      <c r="J1837" s="13">
        <v>39.0</v>
      </c>
      <c r="K1837" s="12" t="s">
        <v>21</v>
      </c>
      <c r="L1837" s="7">
        <v>40314.510601851856</v>
      </c>
      <c r="M1837" s="16"/>
      <c r="N1837" s="14" t="s">
        <v>6224</v>
      </c>
      <c r="O1837" s="11" t="str">
        <f>HYPERLINK("https://pbs.twimg.com/profile_images/502185985786916864/gkdFh-q7_normal.png","View")</f>
        <v>View</v>
      </c>
      <c r="P1837" s="15"/>
    </row>
    <row r="1838">
      <c r="A1838" s="7">
        <v>42424.546435185184</v>
      </c>
      <c r="B1838" s="8" t="str">
        <f>HYPERLINK("https://twitter.com/t_pren","@t_pren")</f>
        <v>@t_pren</v>
      </c>
      <c r="C1838" s="10" t="s">
        <v>7401</v>
      </c>
      <c r="D1838" s="10" t="s">
        <v>9609</v>
      </c>
      <c r="E1838" s="11" t="str">
        <f>HYPERLINK("https://twitter.com/t_pren/status/702600606377254912","702600606377254912")</f>
        <v>702600606377254912</v>
      </c>
      <c r="F1838" s="12" t="s">
        <v>152</v>
      </c>
      <c r="G1838" s="13">
        <v>76.0</v>
      </c>
      <c r="H1838" s="13">
        <v>211.0</v>
      </c>
      <c r="I1838" s="13">
        <v>16.0</v>
      </c>
      <c r="J1838" s="13">
        <v>0.0</v>
      </c>
      <c r="K1838" s="12" t="s">
        <v>21</v>
      </c>
      <c r="L1838" s="7">
        <v>40610.286828703705</v>
      </c>
      <c r="M1838" s="16"/>
      <c r="N1838" s="16"/>
      <c r="O1838" s="11" t="str">
        <f>HYPERLINK("https://pbs.twimg.com/profile_images/1444329161/picknose_normal.jpg","View")</f>
        <v>View</v>
      </c>
      <c r="P1838" s="15"/>
    </row>
    <row r="1839">
      <c r="A1839" s="7">
        <v>42424.5465162037</v>
      </c>
      <c r="B1839" s="8" t="str">
        <f>HYPERLINK("https://twitter.com/kemaltaskiran","@kemaltaskiran")</f>
        <v>@kemaltaskiran</v>
      </c>
      <c r="C1839" s="10" t="s">
        <v>9610</v>
      </c>
      <c r="D1839" s="10" t="s">
        <v>9609</v>
      </c>
      <c r="E1839" s="11" t="str">
        <f>HYPERLINK("https://twitter.com/kemaltaskiran/status/702600632235114496","702600632235114496")</f>
        <v>702600632235114496</v>
      </c>
      <c r="F1839" s="12" t="s">
        <v>20</v>
      </c>
      <c r="G1839" s="13">
        <v>2151.0</v>
      </c>
      <c r="H1839" s="13">
        <v>2530.0</v>
      </c>
      <c r="I1839" s="13">
        <v>16.0</v>
      </c>
      <c r="J1839" s="13">
        <v>0.0</v>
      </c>
      <c r="K1839" s="12" t="s">
        <v>21</v>
      </c>
      <c r="L1839" s="7">
        <v>40131.47858796296</v>
      </c>
      <c r="M1839" s="14" t="s">
        <v>6985</v>
      </c>
      <c r="N1839" s="14" t="s">
        <v>9611</v>
      </c>
      <c r="O1839" s="11" t="str">
        <f>HYPERLINK("https://pbs.twimg.com/profile_images/501113441482838017/LPfsQkwE_normal.jpeg","View")</f>
        <v>View</v>
      </c>
      <c r="P1839" s="15"/>
    </row>
    <row r="1840">
      <c r="A1840" s="7">
        <v>42424.54712962963</v>
      </c>
      <c r="B1840" s="8" t="str">
        <f>HYPERLINK("https://twitter.com/Eselquesoy","@Eselquesoy")</f>
        <v>@Eselquesoy</v>
      </c>
      <c r="C1840" s="10" t="s">
        <v>9612</v>
      </c>
      <c r="D1840" s="10" t="s">
        <v>9609</v>
      </c>
      <c r="E1840" s="11" t="str">
        <f>HYPERLINK("https://twitter.com/Eselquesoy/status/702600854386434055","702600854386434055")</f>
        <v>702600854386434055</v>
      </c>
      <c r="F1840" s="12" t="s">
        <v>152</v>
      </c>
      <c r="G1840" s="13">
        <v>168.0</v>
      </c>
      <c r="H1840" s="13">
        <v>357.0</v>
      </c>
      <c r="I1840" s="13">
        <v>16.0</v>
      </c>
      <c r="J1840" s="13">
        <v>0.0</v>
      </c>
      <c r="K1840" s="12" t="s">
        <v>21</v>
      </c>
      <c r="L1840" s="7">
        <v>41460.76835648148</v>
      </c>
      <c r="M1840" s="14" t="s">
        <v>9613</v>
      </c>
      <c r="N1840" s="14" t="s">
        <v>9614</v>
      </c>
      <c r="O1840" s="11" t="str">
        <f>HYPERLINK("https://pbs.twimg.com/profile_images/688832050334445568/HUUhr5Zf_normal.jpg","View")</f>
        <v>View</v>
      </c>
      <c r="P1840" s="15"/>
    </row>
    <row r="1841">
      <c r="A1841" s="7">
        <v>42424.547418981485</v>
      </c>
      <c r="B1841" s="8" t="str">
        <f>HYPERLINK("https://twitter.com/ProfRedOwl","@ProfRedOwl")</f>
        <v>@ProfRedOwl</v>
      </c>
      <c r="C1841" s="10" t="s">
        <v>6939</v>
      </c>
      <c r="D1841" s="10" t="s">
        <v>9609</v>
      </c>
      <c r="E1841" s="11" t="str">
        <f>HYPERLINK("https://twitter.com/ProfRedOwl/status/702600960821043201","702600960821043201")</f>
        <v>702600960821043201</v>
      </c>
      <c r="F1841" s="12" t="s">
        <v>20</v>
      </c>
      <c r="G1841" s="13">
        <v>317.0</v>
      </c>
      <c r="H1841" s="13">
        <v>270.0</v>
      </c>
      <c r="I1841" s="13">
        <v>16.0</v>
      </c>
      <c r="J1841" s="13">
        <v>0.0</v>
      </c>
      <c r="K1841" s="12" t="s">
        <v>21</v>
      </c>
      <c r="L1841" s="7">
        <v>39971.648194444446</v>
      </c>
      <c r="M1841" s="16"/>
      <c r="N1841" s="14" t="s">
        <v>6940</v>
      </c>
      <c r="O1841" s="11" t="str">
        <f>HYPERLINK("https://pbs.twimg.com/profile_images/2936510755/42fe7970ccba08ab320a202d8b0c5ee0_normal.png","View")</f>
        <v>View</v>
      </c>
      <c r="P1841" s="15"/>
    </row>
    <row r="1842">
      <c r="A1842" s="7">
        <v>42424.548738425925</v>
      </c>
      <c r="B1842" s="8" t="str">
        <f t="shared" ref="B1842:B1843" si="203">HYPERLINK("https://twitter.com/Rbloggers","@Rbloggers")</f>
        <v>@Rbloggers</v>
      </c>
      <c r="C1842" s="10" t="s">
        <v>6221</v>
      </c>
      <c r="D1842" s="10" t="s">
        <v>9615</v>
      </c>
      <c r="E1842" s="11" t="str">
        <f>HYPERLINK("https://twitter.com/Rbloggers/status/702601440976457728","702601440976457728")</f>
        <v>702601440976457728</v>
      </c>
      <c r="F1842" s="17" t="s">
        <v>6223</v>
      </c>
      <c r="G1842" s="13">
        <v>28572.0</v>
      </c>
      <c r="H1842" s="13">
        <v>36.0</v>
      </c>
      <c r="I1842" s="13">
        <v>16.0</v>
      </c>
      <c r="J1842" s="13">
        <v>21.0</v>
      </c>
      <c r="K1842" s="12" t="s">
        <v>21</v>
      </c>
      <c r="L1842" s="7">
        <v>40314.510601851856</v>
      </c>
      <c r="M1842" s="16"/>
      <c r="N1842" s="14" t="s">
        <v>6224</v>
      </c>
      <c r="O1842" s="11" t="str">
        <f t="shared" ref="O1842:O1843" si="204">HYPERLINK("https://pbs.twimg.com/profile_images/502185985786916864/gkdFh-q7_normal.png","View")</f>
        <v>View</v>
      </c>
      <c r="P1842" s="15"/>
    </row>
    <row r="1843">
      <c r="A1843" s="7">
        <v>42424.54887731481</v>
      </c>
      <c r="B1843" s="8" t="str">
        <f t="shared" si="203"/>
        <v>@Rbloggers</v>
      </c>
      <c r="C1843" s="10" t="s">
        <v>6221</v>
      </c>
      <c r="D1843" s="10" t="s">
        <v>9616</v>
      </c>
      <c r="E1843" s="11" t="str">
        <f>HYPERLINK("https://twitter.com/Rbloggers/status/702601490427281408","702601490427281408")</f>
        <v>702601490427281408</v>
      </c>
      <c r="F1843" s="17" t="s">
        <v>6223</v>
      </c>
      <c r="G1843" s="13">
        <v>28572.0</v>
      </c>
      <c r="H1843" s="13">
        <v>36.0</v>
      </c>
      <c r="I1843" s="13">
        <v>6.0</v>
      </c>
      <c r="J1843" s="13">
        <v>18.0</v>
      </c>
      <c r="K1843" s="12" t="s">
        <v>21</v>
      </c>
      <c r="L1843" s="7">
        <v>40314.510601851856</v>
      </c>
      <c r="M1843" s="16"/>
      <c r="N1843" s="14" t="s">
        <v>6224</v>
      </c>
      <c r="O1843" s="11" t="str">
        <f t="shared" si="204"/>
        <v>View</v>
      </c>
      <c r="P1843" s="15"/>
    </row>
    <row r="1844">
      <c r="A1844" s="7">
        <v>42424.54927083333</v>
      </c>
      <c r="B1844" s="8" t="str">
        <f t="shared" ref="B1844:B1845" si="205">HYPERLINK("https://twitter.com/renato_umeton","@renato_umeton")</f>
        <v>@renato_umeton</v>
      </c>
      <c r="C1844" s="10" t="s">
        <v>1659</v>
      </c>
      <c r="D1844" s="10" t="s">
        <v>9609</v>
      </c>
      <c r="E1844" s="11" t="str">
        <f>HYPERLINK("https://twitter.com/renato_umeton/status/702601632543014913","702601632543014913")</f>
        <v>702601632543014913</v>
      </c>
      <c r="F1844" s="12" t="s">
        <v>38</v>
      </c>
      <c r="G1844" s="13">
        <v>70.0</v>
      </c>
      <c r="H1844" s="13">
        <v>79.0</v>
      </c>
      <c r="I1844" s="13">
        <v>16.0</v>
      </c>
      <c r="J1844" s="13">
        <v>0.0</v>
      </c>
      <c r="K1844" s="12" t="s">
        <v>21</v>
      </c>
      <c r="L1844" s="7">
        <v>39918.052083333336</v>
      </c>
      <c r="M1844" s="14" t="s">
        <v>1660</v>
      </c>
      <c r="N1844" s="14" t="s">
        <v>1661</v>
      </c>
      <c r="O1844" s="11" t="str">
        <f t="shared" ref="O1844:O1845" si="206">HYPERLINK("https://pbs.twimg.com/profile_images/701553083537604608/nr8b38eG_normal.jpg","View")</f>
        <v>View</v>
      </c>
      <c r="P1844" s="15"/>
    </row>
    <row r="1845">
      <c r="A1845" s="7">
        <v>42424.54927083333</v>
      </c>
      <c r="B1845" s="8" t="str">
        <f t="shared" si="205"/>
        <v>@renato_umeton</v>
      </c>
      <c r="C1845" s="10" t="s">
        <v>1659</v>
      </c>
      <c r="D1845" s="10" t="s">
        <v>9617</v>
      </c>
      <c r="E1845" s="11" t="str">
        <f>HYPERLINK("https://twitter.com/renato_umeton/status/702601633365168128","702601633365168128")</f>
        <v>702601633365168128</v>
      </c>
      <c r="F1845" s="12" t="s">
        <v>38</v>
      </c>
      <c r="G1845" s="13">
        <v>70.0</v>
      </c>
      <c r="H1845" s="13">
        <v>79.0</v>
      </c>
      <c r="I1845" s="13">
        <v>16.0</v>
      </c>
      <c r="J1845" s="13">
        <v>0.0</v>
      </c>
      <c r="K1845" s="12" t="s">
        <v>21</v>
      </c>
      <c r="L1845" s="7">
        <v>39918.052083333336</v>
      </c>
      <c r="M1845" s="14" t="s">
        <v>1660</v>
      </c>
      <c r="N1845" s="14" t="s">
        <v>1661</v>
      </c>
      <c r="O1845" s="11" t="str">
        <f t="shared" si="206"/>
        <v>View</v>
      </c>
      <c r="P1845" s="15"/>
    </row>
    <row r="1846">
      <c r="A1846" s="7">
        <v>42424.54945601852</v>
      </c>
      <c r="B1846" s="8" t="str">
        <f t="shared" ref="B1846:B1847" si="207">HYPERLINK("https://twitter.com/jdmar3","@jdmar3")</f>
        <v>@jdmar3</v>
      </c>
      <c r="C1846" s="10" t="s">
        <v>9618</v>
      </c>
      <c r="D1846" s="10" t="s">
        <v>9617</v>
      </c>
      <c r="E1846" s="11" t="str">
        <f>HYPERLINK("https://twitter.com/jdmar3/status/702601700054421504","702601700054421504")</f>
        <v>702601700054421504</v>
      </c>
      <c r="F1846" s="12" t="s">
        <v>20</v>
      </c>
      <c r="G1846" s="13">
        <v>752.0</v>
      </c>
      <c r="H1846" s="13">
        <v>1143.0</v>
      </c>
      <c r="I1846" s="13">
        <v>16.0</v>
      </c>
      <c r="J1846" s="13">
        <v>0.0</v>
      </c>
      <c r="K1846" s="12" t="s">
        <v>21</v>
      </c>
      <c r="L1846" s="7">
        <v>39843.1884837963</v>
      </c>
      <c r="M1846" s="14" t="s">
        <v>9619</v>
      </c>
      <c r="N1846" s="14" t="s">
        <v>9620</v>
      </c>
      <c r="O1846" s="11" t="str">
        <f t="shared" ref="O1846:O1847" si="208">HYPERLINK("https://pbs.twimg.com/profile_images/664110305291685888/YKg9XxRd_normal.jpg","View")</f>
        <v>View</v>
      </c>
      <c r="P1846" s="15"/>
    </row>
    <row r="1847">
      <c r="A1847" s="7">
        <v>42424.54984953704</v>
      </c>
      <c r="B1847" s="8" t="str">
        <f t="shared" si="207"/>
        <v>@jdmar3</v>
      </c>
      <c r="C1847" s="10" t="s">
        <v>9618</v>
      </c>
      <c r="D1847" s="10" t="s">
        <v>9621</v>
      </c>
      <c r="E1847" s="11" t="str">
        <f>HYPERLINK("https://twitter.com/jdmar3/status/702601840664260608","702601840664260608")</f>
        <v>702601840664260608</v>
      </c>
      <c r="F1847" s="12" t="s">
        <v>20</v>
      </c>
      <c r="G1847" s="13">
        <v>752.0</v>
      </c>
      <c r="H1847" s="13">
        <v>1143.0</v>
      </c>
      <c r="I1847" s="13">
        <v>6.0</v>
      </c>
      <c r="J1847" s="13">
        <v>0.0</v>
      </c>
      <c r="K1847" s="12" t="s">
        <v>21</v>
      </c>
      <c r="L1847" s="7">
        <v>39843.1884837963</v>
      </c>
      <c r="M1847" s="14" t="s">
        <v>9619</v>
      </c>
      <c r="N1847" s="14" t="s">
        <v>9620</v>
      </c>
      <c r="O1847" s="11" t="str">
        <f t="shared" si="208"/>
        <v>View</v>
      </c>
      <c r="P1847" s="15"/>
    </row>
    <row r="1848">
      <c r="A1848" s="7">
        <v>42424.55055555556</v>
      </c>
      <c r="B1848" s="8" t="str">
        <f>HYPERLINK("https://twitter.com/Eselquesoy","@Eselquesoy")</f>
        <v>@Eselquesoy</v>
      </c>
      <c r="C1848" s="10" t="s">
        <v>9612</v>
      </c>
      <c r="D1848" s="10" t="s">
        <v>9621</v>
      </c>
      <c r="E1848" s="11" t="str">
        <f>HYPERLINK("https://twitter.com/Eselquesoy/status/702602098987417600","702602098987417600")</f>
        <v>702602098987417600</v>
      </c>
      <c r="F1848" s="12" t="s">
        <v>152</v>
      </c>
      <c r="G1848" s="13">
        <v>168.0</v>
      </c>
      <c r="H1848" s="13">
        <v>357.0</v>
      </c>
      <c r="I1848" s="13">
        <v>6.0</v>
      </c>
      <c r="J1848" s="13">
        <v>0.0</v>
      </c>
      <c r="K1848" s="12" t="s">
        <v>21</v>
      </c>
      <c r="L1848" s="7">
        <v>41460.76835648148</v>
      </c>
      <c r="M1848" s="14" t="s">
        <v>9613</v>
      </c>
      <c r="N1848" s="14" t="s">
        <v>9614</v>
      </c>
      <c r="O1848" s="11" t="str">
        <f>HYPERLINK("https://pbs.twimg.com/profile_images/688832050334445568/HUUhr5Zf_normal.jpg","View")</f>
        <v>View</v>
      </c>
      <c r="P1848" s="15"/>
    </row>
    <row r="1849">
      <c r="A1849" s="7">
        <v>42424.55109953704</v>
      </c>
      <c r="B1849" s="8" t="str">
        <f>HYPERLINK("https://twitter.com/dbikard","@dbikard")</f>
        <v>@dbikard</v>
      </c>
      <c r="C1849" s="10" t="s">
        <v>9622</v>
      </c>
      <c r="D1849" s="10" t="s">
        <v>7116</v>
      </c>
      <c r="E1849" s="11" t="str">
        <f>HYPERLINK("https://twitter.com/dbikard/status/702602293821235200","702602293821235200")</f>
        <v>702602293821235200</v>
      </c>
      <c r="F1849" s="12" t="s">
        <v>52</v>
      </c>
      <c r="G1849" s="13">
        <v>567.0</v>
      </c>
      <c r="H1849" s="13">
        <v>701.0</v>
      </c>
      <c r="I1849" s="13">
        <v>16.0</v>
      </c>
      <c r="J1849" s="13">
        <v>0.0</v>
      </c>
      <c r="K1849" s="12" t="s">
        <v>21</v>
      </c>
      <c r="L1849" s="7">
        <v>40014.3915162037</v>
      </c>
      <c r="M1849" s="14" t="s">
        <v>241</v>
      </c>
      <c r="N1849" s="14" t="s">
        <v>9623</v>
      </c>
      <c r="O1849" s="11" t="str">
        <f>HYPERLINK("https://pbs.twimg.com/profile_images/541693132853628928/vv8_t6AL_normal.png","View")</f>
        <v>View</v>
      </c>
      <c r="P1849" s="15"/>
    </row>
    <row r="1850">
      <c r="A1850" s="7">
        <v>42424.55168981482</v>
      </c>
      <c r="B1850" s="8" t="str">
        <f>HYPERLINK("https://twitter.com/MorningstarCPA","@MorningstarCPA")</f>
        <v>@MorningstarCPA</v>
      </c>
      <c r="C1850" s="10" t="s">
        <v>9624</v>
      </c>
      <c r="D1850" s="10" t="s">
        <v>9617</v>
      </c>
      <c r="E1850" s="11" t="str">
        <f>HYPERLINK("https://twitter.com/MorningstarCPA/status/702602508963704832","702602508963704832")</f>
        <v>702602508963704832</v>
      </c>
      <c r="F1850" s="12" t="s">
        <v>20</v>
      </c>
      <c r="G1850" s="13">
        <v>236.0</v>
      </c>
      <c r="H1850" s="13">
        <v>249.0</v>
      </c>
      <c r="I1850" s="13">
        <v>16.0</v>
      </c>
      <c r="J1850" s="13">
        <v>0.0</v>
      </c>
      <c r="K1850" s="12" t="s">
        <v>21</v>
      </c>
      <c r="L1850" s="7">
        <v>39802.60084490741</v>
      </c>
      <c r="M1850" s="14" t="s">
        <v>9625</v>
      </c>
      <c r="N1850" s="14" t="s">
        <v>9626</v>
      </c>
      <c r="O1850" s="11" t="str">
        <f>HYPERLINK("https://pbs.twimg.com/profile_images/700700203309862913/-XiSshsX_normal.jpg","View")</f>
        <v>View</v>
      </c>
      <c r="P1850" s="15"/>
    </row>
    <row r="1851">
      <c r="A1851" s="7">
        <v>42424.55175925926</v>
      </c>
      <c r="B1851" s="8" t="str">
        <f>HYPERLINK("https://twitter.com/hermansm","@hermansm")</f>
        <v>@hermansm</v>
      </c>
      <c r="C1851" s="10" t="s">
        <v>9627</v>
      </c>
      <c r="D1851" s="10" t="s">
        <v>9628</v>
      </c>
      <c r="E1851" s="11" t="str">
        <f>HYPERLINK("https://twitter.com/hermansm/status/702602535429918724","702602535429918724")</f>
        <v>702602535429918724</v>
      </c>
      <c r="F1851" s="12" t="s">
        <v>20</v>
      </c>
      <c r="G1851" s="13">
        <v>182.0</v>
      </c>
      <c r="H1851" s="13">
        <v>314.0</v>
      </c>
      <c r="I1851" s="13">
        <v>0.0</v>
      </c>
      <c r="J1851" s="13">
        <v>2.0</v>
      </c>
      <c r="K1851" s="12" t="s">
        <v>21</v>
      </c>
      <c r="L1851" s="7">
        <v>40541.62769675926</v>
      </c>
      <c r="M1851" s="14" t="s">
        <v>2846</v>
      </c>
      <c r="N1851" s="14" t="s">
        <v>9629</v>
      </c>
      <c r="O1851" s="11" t="str">
        <f>HYPERLINK("https://abs.twimg.com/sticky/default_profile_images/default_profile_4_normal.png","View")</f>
        <v>View</v>
      </c>
      <c r="P1851" s="15"/>
    </row>
    <row r="1852">
      <c r="A1852" s="7">
        <v>42424.551828703705</v>
      </c>
      <c r="B1852" s="8" t="str">
        <f>HYPERLINK("https://twitter.com/WestCoastPole","@WestCoastPole")</f>
        <v>@WestCoastPole</v>
      </c>
      <c r="C1852" s="10" t="s">
        <v>7535</v>
      </c>
      <c r="D1852" s="10" t="s">
        <v>9609</v>
      </c>
      <c r="E1852" s="11" t="str">
        <f>HYPERLINK("https://twitter.com/WestCoastPole/status/702602560109158400","702602560109158400")</f>
        <v>702602560109158400</v>
      </c>
      <c r="F1852" s="12" t="s">
        <v>20</v>
      </c>
      <c r="G1852" s="13">
        <v>8.0</v>
      </c>
      <c r="H1852" s="13">
        <v>47.0</v>
      </c>
      <c r="I1852" s="13">
        <v>16.0</v>
      </c>
      <c r="J1852" s="13">
        <v>0.0</v>
      </c>
      <c r="K1852" s="12" t="s">
        <v>21</v>
      </c>
      <c r="L1852" s="7">
        <v>42409.795625</v>
      </c>
      <c r="M1852" s="16"/>
      <c r="N1852" s="14" t="s">
        <v>7536</v>
      </c>
      <c r="O1852" s="11" t="str">
        <f>HYPERLINK("https://pbs.twimg.com/profile_images/697258194142236672/s37qIvfo_normal.png","View")</f>
        <v>View</v>
      </c>
      <c r="P1852" s="15"/>
    </row>
    <row r="1853">
      <c r="A1853" s="7">
        <v>42424.55216435185</v>
      </c>
      <c r="B1853" s="8" t="str">
        <f t="shared" ref="B1853:B1855" si="209">HYPERLINK("https://twitter.com/Rbloggers","@Rbloggers")</f>
        <v>@Rbloggers</v>
      </c>
      <c r="C1853" s="10" t="s">
        <v>6221</v>
      </c>
      <c r="D1853" s="10" t="s">
        <v>9630</v>
      </c>
      <c r="E1853" s="11" t="str">
        <f>HYPERLINK("https://twitter.com/Rbloggers/status/702602679957135364","702602679957135364")</f>
        <v>702602679957135364</v>
      </c>
      <c r="F1853" s="17" t="s">
        <v>6223</v>
      </c>
      <c r="G1853" s="13">
        <v>28572.0</v>
      </c>
      <c r="H1853" s="13">
        <v>36.0</v>
      </c>
      <c r="I1853" s="13">
        <v>4.0</v>
      </c>
      <c r="J1853" s="13">
        <v>14.0</v>
      </c>
      <c r="K1853" s="12" t="s">
        <v>21</v>
      </c>
      <c r="L1853" s="7">
        <v>40314.510601851856</v>
      </c>
      <c r="M1853" s="16"/>
      <c r="N1853" s="14" t="s">
        <v>6224</v>
      </c>
      <c r="O1853" s="11" t="str">
        <f t="shared" ref="O1853:O1855" si="210">HYPERLINK("https://pbs.twimg.com/profile_images/502185985786916864/gkdFh-q7_normal.png","View")</f>
        <v>View</v>
      </c>
      <c r="P1853" s="15"/>
    </row>
    <row r="1854">
      <c r="A1854" s="7">
        <v>42424.55221064815</v>
      </c>
      <c r="B1854" s="8" t="str">
        <f t="shared" si="209"/>
        <v>@Rbloggers</v>
      </c>
      <c r="C1854" s="10" t="s">
        <v>6221</v>
      </c>
      <c r="D1854" s="10" t="s">
        <v>9631</v>
      </c>
      <c r="E1854" s="11" t="str">
        <f>HYPERLINK("https://twitter.com/Rbloggers/status/702602697535426560","702602697535426560")</f>
        <v>702602697535426560</v>
      </c>
      <c r="F1854" s="17" t="s">
        <v>6223</v>
      </c>
      <c r="G1854" s="13">
        <v>28572.0</v>
      </c>
      <c r="H1854" s="13">
        <v>36.0</v>
      </c>
      <c r="I1854" s="13">
        <v>6.0</v>
      </c>
      <c r="J1854" s="13">
        <v>15.0</v>
      </c>
      <c r="K1854" s="12" t="s">
        <v>21</v>
      </c>
      <c r="L1854" s="7">
        <v>40314.510601851856</v>
      </c>
      <c r="M1854" s="16"/>
      <c r="N1854" s="14" t="s">
        <v>6224</v>
      </c>
      <c r="O1854" s="11" t="str">
        <f t="shared" si="210"/>
        <v>View</v>
      </c>
      <c r="P1854" s="15"/>
    </row>
    <row r="1855">
      <c r="A1855" s="7">
        <v>42424.552407407406</v>
      </c>
      <c r="B1855" s="8" t="str">
        <f t="shared" si="209"/>
        <v>@Rbloggers</v>
      </c>
      <c r="C1855" s="10" t="s">
        <v>6221</v>
      </c>
      <c r="D1855" s="10" t="s">
        <v>9632</v>
      </c>
      <c r="E1855" s="11" t="str">
        <f>HYPERLINK("https://twitter.com/Rbloggers/status/702602770663116801","702602770663116801")</f>
        <v>702602770663116801</v>
      </c>
      <c r="F1855" s="17" t="s">
        <v>6223</v>
      </c>
      <c r="G1855" s="13">
        <v>28572.0</v>
      </c>
      <c r="H1855" s="13">
        <v>36.0</v>
      </c>
      <c r="I1855" s="13">
        <v>8.0</v>
      </c>
      <c r="J1855" s="13">
        <v>7.0</v>
      </c>
      <c r="K1855" s="12" t="s">
        <v>21</v>
      </c>
      <c r="L1855" s="7">
        <v>40314.510601851856</v>
      </c>
      <c r="M1855" s="16"/>
      <c r="N1855" s="14" t="s">
        <v>6224</v>
      </c>
      <c r="O1855" s="11" t="str">
        <f t="shared" si="210"/>
        <v>View</v>
      </c>
      <c r="P1855" s="15"/>
    </row>
    <row r="1856">
      <c r="A1856" s="7">
        <v>42424.55268518519</v>
      </c>
      <c r="B1856" s="8" t="str">
        <f>HYPERLINK("https://twitter.com/datascienceplus","@datascienceplus")</f>
        <v>@datascienceplus</v>
      </c>
      <c r="C1856" s="10" t="s">
        <v>5948</v>
      </c>
      <c r="D1856" s="10" t="s">
        <v>9633</v>
      </c>
      <c r="E1856" s="11" t="str">
        <f>HYPERLINK("https://twitter.com/datascienceplus/status/702602871213264897","702602871213264897")</f>
        <v>702602871213264897</v>
      </c>
      <c r="F1856" s="12" t="s">
        <v>20</v>
      </c>
      <c r="G1856" s="13">
        <v>250.0</v>
      </c>
      <c r="H1856" s="13">
        <v>321.0</v>
      </c>
      <c r="I1856" s="13">
        <v>0.0</v>
      </c>
      <c r="J1856" s="13">
        <v>0.0</v>
      </c>
      <c r="K1856" s="12" t="s">
        <v>21</v>
      </c>
      <c r="L1856" s="7">
        <v>42225.01311342593</v>
      </c>
      <c r="M1856" s="14" t="s">
        <v>5950</v>
      </c>
      <c r="N1856" s="14" t="s">
        <v>5951</v>
      </c>
      <c r="O1856" s="11" t="str">
        <f>HYPERLINK("https://pbs.twimg.com/profile_images/630277871538278400/gEjxWtPD_normal.jpg","View")</f>
        <v>View</v>
      </c>
      <c r="P1856" s="15"/>
    </row>
    <row r="1857">
      <c r="A1857" s="7">
        <v>42424.55320601852</v>
      </c>
      <c r="B1857" s="8" t="str">
        <f>HYPERLINK("https://twitter.com/sppitt","@sppitt")</f>
        <v>@sppitt</v>
      </c>
      <c r="C1857" s="10" t="s">
        <v>9634</v>
      </c>
      <c r="D1857" s="10" t="s">
        <v>8987</v>
      </c>
      <c r="E1857" s="11" t="str">
        <f>HYPERLINK("https://twitter.com/sppitt/status/702603060225384450","702603060225384450")</f>
        <v>702603060225384450</v>
      </c>
      <c r="F1857" s="12" t="s">
        <v>20</v>
      </c>
      <c r="G1857" s="13">
        <v>631.0</v>
      </c>
      <c r="H1857" s="13">
        <v>392.0</v>
      </c>
      <c r="I1857" s="13">
        <v>15.0</v>
      </c>
      <c r="J1857" s="13">
        <v>0.0</v>
      </c>
      <c r="K1857" s="12" t="s">
        <v>21</v>
      </c>
      <c r="L1857" s="7">
        <v>39756.3293287037</v>
      </c>
      <c r="M1857" s="14" t="s">
        <v>1046</v>
      </c>
      <c r="N1857" s="14" t="s">
        <v>9635</v>
      </c>
      <c r="O1857" s="11" t="str">
        <f>HYPERLINK("https://pbs.twimg.com/profile_images/457921779655540736/223eRjPC_normal.jpeg","View")</f>
        <v>View</v>
      </c>
      <c r="P1857" s="15"/>
    </row>
    <row r="1858">
      <c r="A1858" s="7">
        <v>42424.55331018519</v>
      </c>
      <c r="B1858" s="8" t="str">
        <f>HYPERLINK("https://twitter.com/MorningstarCPA","@MorningstarCPA")</f>
        <v>@MorningstarCPA</v>
      </c>
      <c r="C1858" s="10" t="s">
        <v>9624</v>
      </c>
      <c r="D1858" s="10" t="s">
        <v>9636</v>
      </c>
      <c r="E1858" s="11" t="str">
        <f>HYPERLINK("https://twitter.com/MorningstarCPA/status/702603094715006976","702603094715006976")</f>
        <v>702603094715006976</v>
      </c>
      <c r="F1858" s="12" t="s">
        <v>20</v>
      </c>
      <c r="G1858" s="13">
        <v>236.0</v>
      </c>
      <c r="H1858" s="13">
        <v>249.0</v>
      </c>
      <c r="I1858" s="13">
        <v>8.0</v>
      </c>
      <c r="J1858" s="13">
        <v>0.0</v>
      </c>
      <c r="K1858" s="12" t="s">
        <v>21</v>
      </c>
      <c r="L1858" s="7">
        <v>39802.60084490741</v>
      </c>
      <c r="M1858" s="14" t="s">
        <v>9625</v>
      </c>
      <c r="N1858" s="14" t="s">
        <v>9626</v>
      </c>
      <c r="O1858" s="11" t="str">
        <f>HYPERLINK("https://pbs.twimg.com/profile_images/700700203309862913/-XiSshsX_normal.jpg","View")</f>
        <v>View</v>
      </c>
      <c r="P1858" s="15"/>
    </row>
    <row r="1859">
      <c r="A1859" s="7">
        <v>42424.55333333333</v>
      </c>
      <c r="B1859" s="8" t="str">
        <f>HYPERLINK("https://twitter.com/kyle_e_walker","@kyle_e_walker")</f>
        <v>@kyle_e_walker</v>
      </c>
      <c r="C1859" s="10" t="s">
        <v>7852</v>
      </c>
      <c r="D1859" s="10" t="s">
        <v>9581</v>
      </c>
      <c r="E1859" s="11" t="str">
        <f>HYPERLINK("https://twitter.com/kyle_e_walker/status/702603106190643200","702603106190643200")</f>
        <v>702603106190643200</v>
      </c>
      <c r="F1859" s="12" t="s">
        <v>20</v>
      </c>
      <c r="G1859" s="13">
        <v>704.0</v>
      </c>
      <c r="H1859" s="13">
        <v>455.0</v>
      </c>
      <c r="I1859" s="13">
        <v>3.0</v>
      </c>
      <c r="J1859" s="13">
        <v>0.0</v>
      </c>
      <c r="K1859" s="12" t="s">
        <v>21</v>
      </c>
      <c r="L1859" s="7">
        <v>40314.349594907406</v>
      </c>
      <c r="M1859" s="14" t="s">
        <v>7853</v>
      </c>
      <c r="N1859" s="14" t="s">
        <v>7854</v>
      </c>
      <c r="O1859" s="11" t="str">
        <f>HYPERLINK("https://pbs.twimg.com/profile_images/535539844479332354/CA9doTjY_normal.jpeg","View")</f>
        <v>View</v>
      </c>
      <c r="P1859" s="15"/>
    </row>
    <row r="1860">
      <c r="A1860" s="7">
        <v>42424.55405092593</v>
      </c>
      <c r="B1860" s="8" t="str">
        <f>HYPERLINK("https://twitter.com/fjalolop000","@fjalolop000")</f>
        <v>@fjalolop000</v>
      </c>
      <c r="C1860" s="10" t="s">
        <v>6576</v>
      </c>
      <c r="D1860" s="10" t="s">
        <v>9609</v>
      </c>
      <c r="E1860" s="11" t="str">
        <f>HYPERLINK("https://twitter.com/fjalolop000/status/702603364463411200","702603364463411200")</f>
        <v>702603364463411200</v>
      </c>
      <c r="F1860" s="12" t="s">
        <v>152</v>
      </c>
      <c r="G1860" s="13">
        <v>16.0</v>
      </c>
      <c r="H1860" s="13">
        <v>54.0</v>
      </c>
      <c r="I1860" s="13">
        <v>16.0</v>
      </c>
      <c r="J1860" s="13">
        <v>0.0</v>
      </c>
      <c r="K1860" s="12" t="s">
        <v>21</v>
      </c>
      <c r="L1860" s="7">
        <v>41617.3140625</v>
      </c>
      <c r="M1860" s="16"/>
      <c r="N1860" s="16"/>
      <c r="O1860" s="11" t="str">
        <f>HYPERLINK("https://pbs.twimg.com/profile_images/576799609873428480/V8akQ-mi_normal.jpeg","View")</f>
        <v>View</v>
      </c>
      <c r="P1860" s="15"/>
    </row>
    <row r="1861">
      <c r="A1861" s="7">
        <v>42424.55459490741</v>
      </c>
      <c r="B1861" s="8" t="str">
        <f t="shared" ref="B1861:B1862" si="211">HYPERLINK("https://twitter.com/renato_umeton","@renato_umeton")</f>
        <v>@renato_umeton</v>
      </c>
      <c r="C1861" s="10" t="s">
        <v>1659</v>
      </c>
      <c r="D1861" s="10" t="s">
        <v>9637</v>
      </c>
      <c r="E1861" s="11" t="str">
        <f>HYPERLINK("https://twitter.com/renato_umeton/status/702603559641202688","702603559641202688")</f>
        <v>702603559641202688</v>
      </c>
      <c r="F1861" s="12" t="s">
        <v>38</v>
      </c>
      <c r="G1861" s="13">
        <v>70.0</v>
      </c>
      <c r="H1861" s="13">
        <v>79.0</v>
      </c>
      <c r="I1861" s="13">
        <v>4.0</v>
      </c>
      <c r="J1861" s="13">
        <v>0.0</v>
      </c>
      <c r="K1861" s="12" t="s">
        <v>21</v>
      </c>
      <c r="L1861" s="7">
        <v>39918.052083333336</v>
      </c>
      <c r="M1861" s="14" t="s">
        <v>1660</v>
      </c>
      <c r="N1861" s="14" t="s">
        <v>1661</v>
      </c>
      <c r="O1861" s="11" t="str">
        <f t="shared" ref="O1861:O1862" si="212">HYPERLINK("https://pbs.twimg.com/profile_images/701553083537604608/nr8b38eG_normal.jpg","View")</f>
        <v>View</v>
      </c>
      <c r="P1861" s="15"/>
    </row>
    <row r="1862">
      <c r="A1862" s="7">
        <v>42424.55459490741</v>
      </c>
      <c r="B1862" s="8" t="str">
        <f t="shared" si="211"/>
        <v>@renato_umeton</v>
      </c>
      <c r="C1862" s="10" t="s">
        <v>1659</v>
      </c>
      <c r="D1862" s="10" t="s">
        <v>9638</v>
      </c>
      <c r="E1862" s="11" t="str">
        <f>HYPERLINK("https://twitter.com/renato_umeton/status/702603561243439104","702603561243439104")</f>
        <v>702603561243439104</v>
      </c>
      <c r="F1862" s="12" t="s">
        <v>38</v>
      </c>
      <c r="G1862" s="13">
        <v>70.0</v>
      </c>
      <c r="H1862" s="13">
        <v>79.0</v>
      </c>
      <c r="I1862" s="13">
        <v>6.0</v>
      </c>
      <c r="J1862" s="13">
        <v>0.0</v>
      </c>
      <c r="K1862" s="12" t="s">
        <v>21</v>
      </c>
      <c r="L1862" s="7">
        <v>39918.052083333336</v>
      </c>
      <c r="M1862" s="14" t="s">
        <v>1660</v>
      </c>
      <c r="N1862" s="14" t="s">
        <v>1661</v>
      </c>
      <c r="O1862" s="11" t="str">
        <f t="shared" si="212"/>
        <v>View</v>
      </c>
      <c r="P1862" s="15"/>
    </row>
    <row r="1863">
      <c r="A1863" s="7">
        <v>42424.554618055554</v>
      </c>
      <c r="B1863" s="8" t="str">
        <f>HYPERLINK("https://twitter.com/AntonioSabogal","@AntonioSabogal")</f>
        <v>@AntonioSabogal</v>
      </c>
      <c r="C1863" s="10" t="s">
        <v>9639</v>
      </c>
      <c r="D1863" s="10" t="s">
        <v>7352</v>
      </c>
      <c r="E1863" s="11" t="str">
        <f>HYPERLINK("https://twitter.com/AntonioSabogal/status/702603571192336384","702603571192336384")</f>
        <v>702603571192336384</v>
      </c>
      <c r="F1863" s="12" t="s">
        <v>20</v>
      </c>
      <c r="G1863" s="13">
        <v>75.0</v>
      </c>
      <c r="H1863" s="13">
        <v>174.0</v>
      </c>
      <c r="I1863" s="13">
        <v>48.0</v>
      </c>
      <c r="J1863" s="13">
        <v>0.0</v>
      </c>
      <c r="K1863" s="12" t="s">
        <v>21</v>
      </c>
      <c r="L1863" s="7">
        <v>40958.71601851852</v>
      </c>
      <c r="M1863" s="16"/>
      <c r="N1863" s="16"/>
      <c r="O1863" s="11" t="str">
        <f>HYPERLINK("https://pbs.twimg.com/profile_images/2225226950/image_normal.jpg","View")</f>
        <v>View</v>
      </c>
      <c r="P1863" s="15"/>
    </row>
    <row r="1864">
      <c r="A1864" s="7">
        <v>42424.55574074074</v>
      </c>
      <c r="B1864" s="8" t="str">
        <f>HYPERLINK("https://twitter.com/suryanarayandev","@suryanarayandev")</f>
        <v>@suryanarayandev</v>
      </c>
      <c r="C1864" s="10" t="s">
        <v>9640</v>
      </c>
      <c r="D1864" s="10" t="s">
        <v>9636</v>
      </c>
      <c r="E1864" s="11" t="str">
        <f>HYPERLINK("https://twitter.com/suryanarayandev/status/702603975929909248","702603975929909248")</f>
        <v>702603975929909248</v>
      </c>
      <c r="F1864" s="12" t="s">
        <v>52</v>
      </c>
      <c r="G1864" s="13">
        <v>431.0</v>
      </c>
      <c r="H1864" s="13">
        <v>2224.0</v>
      </c>
      <c r="I1864" s="13">
        <v>8.0</v>
      </c>
      <c r="J1864" s="13">
        <v>0.0</v>
      </c>
      <c r="K1864" s="12" t="s">
        <v>21</v>
      </c>
      <c r="L1864" s="7">
        <v>40674.563472222224</v>
      </c>
      <c r="M1864" s="14" t="s">
        <v>9641</v>
      </c>
      <c r="N1864" s="14" t="s">
        <v>9642</v>
      </c>
      <c r="O1864" s="11" t="str">
        <f>HYPERLINK("https://pbs.twimg.com/profile_images/646940036215128064/rfsQWRBR_normal.jpg","View")</f>
        <v>View</v>
      </c>
      <c r="P1864" s="15"/>
    </row>
    <row r="1865">
      <c r="A1865" s="7">
        <v>42424.555983796294</v>
      </c>
      <c r="B1865" s="8" t="str">
        <f>HYPERLINK("https://twitter.com/zsozdemir","@zsozdemir")</f>
        <v>@zsozdemir</v>
      </c>
      <c r="C1865" s="10" t="s">
        <v>6984</v>
      </c>
      <c r="D1865" s="10" t="s">
        <v>9617</v>
      </c>
      <c r="E1865" s="11" t="str">
        <f>HYPERLINK("https://twitter.com/zsozdemir/status/702604063762939904","702604063762939904")</f>
        <v>702604063762939904</v>
      </c>
      <c r="F1865" s="12" t="s">
        <v>52</v>
      </c>
      <c r="G1865" s="13">
        <v>148.0</v>
      </c>
      <c r="H1865" s="13">
        <v>277.0</v>
      </c>
      <c r="I1865" s="13">
        <v>16.0</v>
      </c>
      <c r="J1865" s="13">
        <v>0.0</v>
      </c>
      <c r="K1865" s="12" t="s">
        <v>21</v>
      </c>
      <c r="L1865" s="7">
        <v>40235.36565972222</v>
      </c>
      <c r="M1865" s="14" t="s">
        <v>6985</v>
      </c>
      <c r="N1865" s="14" t="s">
        <v>6986</v>
      </c>
      <c r="O1865" s="11" t="str">
        <f>HYPERLINK("https://pbs.twimg.com/profile_images/687380813172862976/xo2Yxv8Z_normal.jpg","View")</f>
        <v>View</v>
      </c>
      <c r="P1865" s="15"/>
    </row>
    <row r="1866">
      <c r="A1866" s="7">
        <v>42424.55641203704</v>
      </c>
      <c r="B1866" s="8" t="str">
        <f>HYPERLINK("https://twitter.com/tz33cu","@tz33cu")</f>
        <v>@tz33cu</v>
      </c>
      <c r="C1866" s="10" t="s">
        <v>7118</v>
      </c>
      <c r="D1866" s="10" t="s">
        <v>9643</v>
      </c>
      <c r="E1866" s="11" t="str">
        <f>HYPERLINK("https://twitter.com/tz33cu/status/702604220160208897","702604220160208897")</f>
        <v>702604220160208897</v>
      </c>
      <c r="F1866" s="12" t="s">
        <v>20</v>
      </c>
      <c r="G1866" s="13">
        <v>242.0</v>
      </c>
      <c r="H1866" s="13">
        <v>111.0</v>
      </c>
      <c r="I1866" s="13">
        <v>12.0</v>
      </c>
      <c r="J1866" s="13">
        <v>12.0</v>
      </c>
      <c r="K1866" s="12" t="s">
        <v>21</v>
      </c>
      <c r="L1866" s="7">
        <v>40625.59646990741</v>
      </c>
      <c r="M1866" s="16"/>
      <c r="N1866" s="14" t="s">
        <v>7120</v>
      </c>
      <c r="O1866" s="11" t="str">
        <f>HYPERLINK("https://pbs.twimg.com/profile_images/640243239388246016/yEAuMN4t_normal.jpg","View")</f>
        <v>View</v>
      </c>
      <c r="P1866" s="15"/>
    </row>
    <row r="1867">
      <c r="A1867" s="7">
        <v>42424.55668981481</v>
      </c>
      <c r="B1867" s="8" t="str">
        <f>HYPERLINK("https://twitter.com/najapliz","@najapliz")</f>
        <v>@najapliz</v>
      </c>
      <c r="C1867" s="10" t="s">
        <v>9644</v>
      </c>
      <c r="D1867" s="10" t="s">
        <v>9617</v>
      </c>
      <c r="E1867" s="11" t="str">
        <f>HYPERLINK("https://twitter.com/najapliz/status/702604319879733249","702604319879733249")</f>
        <v>702604319879733249</v>
      </c>
      <c r="F1867" s="12" t="s">
        <v>152</v>
      </c>
      <c r="G1867" s="13">
        <v>65.0</v>
      </c>
      <c r="H1867" s="13">
        <v>263.0</v>
      </c>
      <c r="I1867" s="13">
        <v>16.0</v>
      </c>
      <c r="J1867" s="13">
        <v>0.0</v>
      </c>
      <c r="K1867" s="12" t="s">
        <v>21</v>
      </c>
      <c r="L1867" s="7">
        <v>41753.00803240741</v>
      </c>
      <c r="M1867" s="14" t="s">
        <v>9645</v>
      </c>
      <c r="N1867" s="14" t="s">
        <v>9646</v>
      </c>
      <c r="O1867" s="11" t="str">
        <f>HYPERLINK("https://pbs.twimg.com/profile_images/662543769254932480/e5yAe3TL_normal.jpg","View")</f>
        <v>View</v>
      </c>
      <c r="P1867" s="15"/>
    </row>
    <row r="1868">
      <c r="A1868" s="7">
        <v>42424.55695601852</v>
      </c>
      <c r="B1868" s="8" t="str">
        <f>HYPERLINK("https://twitter.com/MineCastellanos","@MineCastellanos")</f>
        <v>@MineCastellanos</v>
      </c>
      <c r="C1868" s="10" t="s">
        <v>9647</v>
      </c>
      <c r="D1868" s="10" t="s">
        <v>7116</v>
      </c>
      <c r="E1868" s="11" t="str">
        <f>HYPERLINK("https://twitter.com/MineCastellanos/status/702604415543291904","702604415543291904")</f>
        <v>702604415543291904</v>
      </c>
      <c r="F1868" s="12" t="s">
        <v>152</v>
      </c>
      <c r="G1868" s="13">
        <v>202.0</v>
      </c>
      <c r="H1868" s="13">
        <v>610.0</v>
      </c>
      <c r="I1868" s="13">
        <v>16.0</v>
      </c>
      <c r="J1868" s="13">
        <v>0.0</v>
      </c>
      <c r="K1868" s="12" t="s">
        <v>21</v>
      </c>
      <c r="L1868" s="7">
        <v>40815.712905092594</v>
      </c>
      <c r="M1868" s="14" t="s">
        <v>9648</v>
      </c>
      <c r="N1868" s="16"/>
      <c r="O1868" s="11" t="str">
        <f>HYPERLINK("https://pbs.twimg.com/profile_images/643266527345573890/o9nTQOiC_normal.png","View")</f>
        <v>View</v>
      </c>
      <c r="P1868" s="15"/>
    </row>
    <row r="1869">
      <c r="A1869" s="7">
        <v>42424.55703703704</v>
      </c>
      <c r="B1869" s="8" t="str">
        <f>HYPERLINK("https://twitter.com/_SevillaR","@_SevillaR")</f>
        <v>@_SevillaR</v>
      </c>
      <c r="C1869" s="10" t="s">
        <v>7815</v>
      </c>
      <c r="D1869" s="10" t="s">
        <v>9649</v>
      </c>
      <c r="E1869" s="11" t="str">
        <f>HYPERLINK("https://twitter.com/_SevillaR/status/702604444861652992","702604444861652992")</f>
        <v>702604444861652992</v>
      </c>
      <c r="F1869" s="12" t="s">
        <v>446</v>
      </c>
      <c r="G1869" s="13">
        <v>89.0</v>
      </c>
      <c r="H1869" s="13">
        <v>12.0</v>
      </c>
      <c r="I1869" s="13">
        <v>1.0</v>
      </c>
      <c r="J1869" s="13">
        <v>0.0</v>
      </c>
      <c r="K1869" s="12" t="s">
        <v>21</v>
      </c>
      <c r="L1869" s="7">
        <v>42030.332604166666</v>
      </c>
      <c r="M1869" s="14" t="s">
        <v>7803</v>
      </c>
      <c r="N1869" s="14" t="s">
        <v>7816</v>
      </c>
      <c r="O1869" s="11" t="str">
        <f>HYPERLINK("https://pbs.twimg.com/profile_images/559743059789762561/0E4ssdxo_normal.jpeg","View")</f>
        <v>View</v>
      </c>
      <c r="P1869" s="15"/>
    </row>
    <row r="1870">
      <c r="A1870" s="7">
        <v>42424.55730324074</v>
      </c>
      <c r="B1870" s="8" t="str">
        <f>HYPERLINK("https://twitter.com/suryanarayandev","@suryanarayandev")</f>
        <v>@suryanarayandev</v>
      </c>
      <c r="C1870" s="10" t="s">
        <v>9640</v>
      </c>
      <c r="D1870" s="10" t="s">
        <v>9621</v>
      </c>
      <c r="E1870" s="11" t="str">
        <f>HYPERLINK("https://twitter.com/suryanarayandev/status/702604541854756864","702604541854756864")</f>
        <v>702604541854756864</v>
      </c>
      <c r="F1870" s="12" t="s">
        <v>52</v>
      </c>
      <c r="G1870" s="13">
        <v>431.0</v>
      </c>
      <c r="H1870" s="13">
        <v>2224.0</v>
      </c>
      <c r="I1870" s="13">
        <v>6.0</v>
      </c>
      <c r="J1870" s="13">
        <v>0.0</v>
      </c>
      <c r="K1870" s="12" t="s">
        <v>21</v>
      </c>
      <c r="L1870" s="7">
        <v>40674.563472222224</v>
      </c>
      <c r="M1870" s="14" t="s">
        <v>9641</v>
      </c>
      <c r="N1870" s="14" t="s">
        <v>9642</v>
      </c>
      <c r="O1870" s="11" t="str">
        <f>HYPERLINK("https://pbs.twimg.com/profile_images/646940036215128064/rfsQWRBR_normal.jpg","View")</f>
        <v>View</v>
      </c>
      <c r="P1870" s="15"/>
    </row>
    <row r="1871">
      <c r="A1871" s="7">
        <v>42424.55809027777</v>
      </c>
      <c r="B1871" s="8" t="str">
        <f>HYPERLINK("https://twitter.com/german_marin","@german_marin")</f>
        <v>@german_marin</v>
      </c>
      <c r="C1871" s="10" t="s">
        <v>9650</v>
      </c>
      <c r="D1871" s="10" t="s">
        <v>6319</v>
      </c>
      <c r="E1871" s="11" t="str">
        <f>HYPERLINK("https://twitter.com/german_marin/status/702604829990985729","702604829990985729")</f>
        <v>702604829990985729</v>
      </c>
      <c r="F1871" s="12" t="s">
        <v>152</v>
      </c>
      <c r="G1871" s="13">
        <v>17.0</v>
      </c>
      <c r="H1871" s="13">
        <v>67.0</v>
      </c>
      <c r="I1871" s="13">
        <v>106.0</v>
      </c>
      <c r="J1871" s="13">
        <v>0.0</v>
      </c>
      <c r="K1871" s="12" t="s">
        <v>21</v>
      </c>
      <c r="L1871" s="7">
        <v>40246.61550925926</v>
      </c>
      <c r="M1871" s="14" t="s">
        <v>9651</v>
      </c>
      <c r="N1871" s="14" t="s">
        <v>9652</v>
      </c>
      <c r="O1871" s="11" t="str">
        <f>HYPERLINK("https://pbs.twimg.com/profile_images/620270366917795840/_ohHhSNt_normal.jpg","View")</f>
        <v>View</v>
      </c>
      <c r="P1871" s="15"/>
    </row>
    <row r="1872">
      <c r="A1872" s="7">
        <v>42424.558692129634</v>
      </c>
      <c r="B1872" s="8" t="str">
        <f>HYPERLINK("https://twitter.com/Libardopez","@Libardopez")</f>
        <v>@Libardopez</v>
      </c>
      <c r="C1872" s="10" t="s">
        <v>9653</v>
      </c>
      <c r="D1872" s="10" t="s">
        <v>9621</v>
      </c>
      <c r="E1872" s="11" t="str">
        <f>HYPERLINK("https://twitter.com/Libardopez/status/702605046521925632","702605046521925632")</f>
        <v>702605046521925632</v>
      </c>
      <c r="F1872" s="12" t="s">
        <v>152</v>
      </c>
      <c r="G1872" s="13">
        <v>542.0</v>
      </c>
      <c r="H1872" s="13">
        <v>1503.0</v>
      </c>
      <c r="I1872" s="13">
        <v>6.0</v>
      </c>
      <c r="J1872" s="13">
        <v>0.0</v>
      </c>
      <c r="K1872" s="12" t="s">
        <v>21</v>
      </c>
      <c r="L1872" s="7">
        <v>41340.33980324074</v>
      </c>
      <c r="M1872" s="14" t="s">
        <v>9654</v>
      </c>
      <c r="N1872" s="14" t="s">
        <v>9655</v>
      </c>
      <c r="O1872" s="11" t="str">
        <f>HYPERLINK("https://pbs.twimg.com/profile_images/3350285193/ce39db4d30863e74cf9033c743a6e5b8_normal.jpeg","View")</f>
        <v>View</v>
      </c>
      <c r="P1872" s="15"/>
    </row>
    <row r="1873">
      <c r="A1873" s="7">
        <v>42424.558958333335</v>
      </c>
      <c r="B1873" s="8" t="str">
        <f>HYPERLINK("https://twitter.com/renato_umeton","@renato_umeton")</f>
        <v>@renato_umeton</v>
      </c>
      <c r="C1873" s="10" t="s">
        <v>1659</v>
      </c>
      <c r="D1873" s="10" t="s">
        <v>9636</v>
      </c>
      <c r="E1873" s="11" t="str">
        <f>HYPERLINK("https://twitter.com/renato_umeton/status/702605142307303424","702605142307303424")</f>
        <v>702605142307303424</v>
      </c>
      <c r="F1873" s="12" t="s">
        <v>38</v>
      </c>
      <c r="G1873" s="13">
        <v>70.0</v>
      </c>
      <c r="H1873" s="13">
        <v>79.0</v>
      </c>
      <c r="I1873" s="13">
        <v>8.0</v>
      </c>
      <c r="J1873" s="13">
        <v>0.0</v>
      </c>
      <c r="K1873" s="12" t="s">
        <v>21</v>
      </c>
      <c r="L1873" s="7">
        <v>39918.052083333336</v>
      </c>
      <c r="M1873" s="14" t="s">
        <v>1660</v>
      </c>
      <c r="N1873" s="14" t="s">
        <v>1661</v>
      </c>
      <c r="O1873" s="11" t="str">
        <f>HYPERLINK("https://pbs.twimg.com/profile_images/701553083537604608/nr8b38eG_normal.jpg","View")</f>
        <v>View</v>
      </c>
      <c r="P1873" s="15"/>
    </row>
    <row r="1874">
      <c r="A1874" s="7">
        <v>42424.56082175926</v>
      </c>
      <c r="B1874" s="8" t="str">
        <f>HYPERLINK("https://twitter.com/AlmeriaRUsers","@AlmeriaRUsers")</f>
        <v>@AlmeriaRUsers</v>
      </c>
      <c r="C1874" s="10" t="s">
        <v>9656</v>
      </c>
      <c r="D1874" s="10" t="s">
        <v>9657</v>
      </c>
      <c r="E1874" s="11" t="str">
        <f>HYPERLINK("https://twitter.com/AlmeriaRUsers/status/702605817145647104","702605817145647104")</f>
        <v>702605817145647104</v>
      </c>
      <c r="F1874" s="12" t="s">
        <v>52</v>
      </c>
      <c r="G1874" s="13">
        <v>71.0</v>
      </c>
      <c r="H1874" s="13">
        <v>22.0</v>
      </c>
      <c r="I1874" s="13">
        <v>1.0</v>
      </c>
      <c r="J1874" s="13">
        <v>2.0</v>
      </c>
      <c r="K1874" s="12" t="s">
        <v>21</v>
      </c>
      <c r="L1874" s="7">
        <v>42312.30076388889</v>
      </c>
      <c r="M1874" s="14" t="s">
        <v>6446</v>
      </c>
      <c r="N1874" s="16"/>
      <c r="O1874" s="11" t="str">
        <f>HYPERLINK("https://pbs.twimg.com/profile_images/690561216863997952/-sBridLF_normal.jpg","View")</f>
        <v>View</v>
      </c>
      <c r="P1874" s="15"/>
    </row>
    <row r="1875">
      <c r="A1875" s="7">
        <v>42424.56239583333</v>
      </c>
      <c r="B1875" s="8" t="str">
        <f>HYPERLINK("https://twitter.com/Pvalsfr","@Pvalsfr")</f>
        <v>@Pvalsfr</v>
      </c>
      <c r="C1875" s="10" t="s">
        <v>771</v>
      </c>
      <c r="D1875" s="10" t="s">
        <v>9609</v>
      </c>
      <c r="E1875" s="11" t="str">
        <f>HYPERLINK("https://twitter.com/Pvalsfr/status/702606388602793984","702606388602793984")</f>
        <v>702606388602793984</v>
      </c>
      <c r="F1875" s="12" t="s">
        <v>152</v>
      </c>
      <c r="G1875" s="13">
        <v>1043.0</v>
      </c>
      <c r="H1875" s="13">
        <v>1081.0</v>
      </c>
      <c r="I1875" s="13">
        <v>16.0</v>
      </c>
      <c r="J1875" s="13">
        <v>0.0</v>
      </c>
      <c r="K1875" s="12" t="s">
        <v>21</v>
      </c>
      <c r="L1875" s="7">
        <v>40867.68900462963</v>
      </c>
      <c r="M1875" s="16"/>
      <c r="N1875" s="16"/>
      <c r="O1875" s="11" t="str">
        <f>HYPERLINK("https://abs.twimg.com/sticky/default_profile_images/default_profile_4_normal.png","View")</f>
        <v>View</v>
      </c>
      <c r="P1875" s="15"/>
    </row>
    <row r="1876">
      <c r="A1876" s="7">
        <v>42424.562743055554</v>
      </c>
      <c r="B1876" s="8" t="str">
        <f>HYPERLINK("https://twitter.com/Sheffield_R_","@Sheffield_R_")</f>
        <v>@Sheffield_R_</v>
      </c>
      <c r="C1876" s="10" t="s">
        <v>6686</v>
      </c>
      <c r="D1876" s="10" t="s">
        <v>9609</v>
      </c>
      <c r="E1876" s="11" t="str">
        <f>HYPERLINK("https://twitter.com/Sheffield_R_/status/702606513857232896","702606513857232896")</f>
        <v>702606513857232896</v>
      </c>
      <c r="F1876" s="12" t="s">
        <v>1573</v>
      </c>
      <c r="G1876" s="13">
        <v>256.0</v>
      </c>
      <c r="H1876" s="13">
        <v>274.0</v>
      </c>
      <c r="I1876" s="13">
        <v>16.0</v>
      </c>
      <c r="J1876" s="13">
        <v>0.0</v>
      </c>
      <c r="K1876" s="12" t="s">
        <v>21</v>
      </c>
      <c r="L1876" s="7">
        <v>41773.27024305556</v>
      </c>
      <c r="M1876" s="14" t="s">
        <v>6688</v>
      </c>
      <c r="N1876" s="14" t="s">
        <v>6689</v>
      </c>
      <c r="O1876" s="11" t="str">
        <f>HYPERLINK("https://pbs.twimg.com/profile_images/526695509356838912/eSvsHAD7_normal.jpeg","View")</f>
        <v>View</v>
      </c>
      <c r="P1876" s="15"/>
    </row>
    <row r="1877">
      <c r="A1877" s="7">
        <v>42424.56381944445</v>
      </c>
      <c r="B1877" s="8" t="str">
        <f t="shared" ref="B1877:B1881" si="213">HYPERLINK("https://twitter.com/Pvalsfr","@Pvalsfr")</f>
        <v>@Pvalsfr</v>
      </c>
      <c r="C1877" s="10" t="s">
        <v>771</v>
      </c>
      <c r="D1877" s="10" t="s">
        <v>9617</v>
      </c>
      <c r="E1877" s="11" t="str">
        <f>HYPERLINK("https://twitter.com/Pvalsfr/status/702606906469257216","702606906469257216")</f>
        <v>702606906469257216</v>
      </c>
      <c r="F1877" s="12" t="s">
        <v>152</v>
      </c>
      <c r="G1877" s="13">
        <v>1043.0</v>
      </c>
      <c r="H1877" s="13">
        <v>1081.0</v>
      </c>
      <c r="I1877" s="13">
        <v>16.0</v>
      </c>
      <c r="J1877" s="13">
        <v>0.0</v>
      </c>
      <c r="K1877" s="12" t="s">
        <v>21</v>
      </c>
      <c r="L1877" s="7">
        <v>40867.68900462963</v>
      </c>
      <c r="M1877" s="16"/>
      <c r="N1877" s="16"/>
      <c r="O1877" s="11" t="str">
        <f t="shared" ref="O1877:O1881" si="214">HYPERLINK("https://abs.twimg.com/sticky/default_profile_images/default_profile_4_normal.png","View")</f>
        <v>View</v>
      </c>
      <c r="P1877" s="15"/>
    </row>
    <row r="1878">
      <c r="A1878" s="7">
        <v>42424.56387731481</v>
      </c>
      <c r="B1878" s="8" t="str">
        <f t="shared" si="213"/>
        <v>@Pvalsfr</v>
      </c>
      <c r="C1878" s="10" t="s">
        <v>771</v>
      </c>
      <c r="D1878" s="10" t="s">
        <v>9621</v>
      </c>
      <c r="E1878" s="11" t="str">
        <f>HYPERLINK("https://twitter.com/Pvalsfr/status/702606924991369216","702606924991369216")</f>
        <v>702606924991369216</v>
      </c>
      <c r="F1878" s="12" t="s">
        <v>152</v>
      </c>
      <c r="G1878" s="13">
        <v>1043.0</v>
      </c>
      <c r="H1878" s="13">
        <v>1081.0</v>
      </c>
      <c r="I1878" s="13">
        <v>6.0</v>
      </c>
      <c r="J1878" s="13">
        <v>0.0</v>
      </c>
      <c r="K1878" s="12" t="s">
        <v>21</v>
      </c>
      <c r="L1878" s="7">
        <v>40867.68900462963</v>
      </c>
      <c r="M1878" s="16"/>
      <c r="N1878" s="16"/>
      <c r="O1878" s="11" t="str">
        <f t="shared" si="214"/>
        <v>View</v>
      </c>
      <c r="P1878" s="15"/>
    </row>
    <row r="1879">
      <c r="A1879" s="7">
        <v>42424.56511574074</v>
      </c>
      <c r="B1879" s="8" t="str">
        <f t="shared" si="213"/>
        <v>@Pvalsfr</v>
      </c>
      <c r="C1879" s="10" t="s">
        <v>771</v>
      </c>
      <c r="D1879" s="10" t="s">
        <v>9637</v>
      </c>
      <c r="E1879" s="11" t="str">
        <f>HYPERLINK("https://twitter.com/Pvalsfr/status/702607375895756801","702607375895756801")</f>
        <v>702607375895756801</v>
      </c>
      <c r="F1879" s="12" t="s">
        <v>152</v>
      </c>
      <c r="G1879" s="13">
        <v>1043.0</v>
      </c>
      <c r="H1879" s="13">
        <v>1081.0</v>
      </c>
      <c r="I1879" s="13">
        <v>4.0</v>
      </c>
      <c r="J1879" s="13">
        <v>0.0</v>
      </c>
      <c r="K1879" s="12" t="s">
        <v>21</v>
      </c>
      <c r="L1879" s="7">
        <v>40867.68900462963</v>
      </c>
      <c r="M1879" s="16"/>
      <c r="N1879" s="16"/>
      <c r="O1879" s="11" t="str">
        <f t="shared" si="214"/>
        <v>View</v>
      </c>
      <c r="P1879" s="15"/>
    </row>
    <row r="1880">
      <c r="A1880" s="7">
        <v>42424.565150462964</v>
      </c>
      <c r="B1880" s="8" t="str">
        <f t="shared" si="213"/>
        <v>@Pvalsfr</v>
      </c>
      <c r="C1880" s="10" t="s">
        <v>771</v>
      </c>
      <c r="D1880" s="10" t="s">
        <v>9638</v>
      </c>
      <c r="E1880" s="11" t="str">
        <f>HYPERLINK("https://twitter.com/Pvalsfr/status/702607385056120832","702607385056120832")</f>
        <v>702607385056120832</v>
      </c>
      <c r="F1880" s="12" t="s">
        <v>152</v>
      </c>
      <c r="G1880" s="13">
        <v>1043.0</v>
      </c>
      <c r="H1880" s="13">
        <v>1081.0</v>
      </c>
      <c r="I1880" s="13">
        <v>6.0</v>
      </c>
      <c r="J1880" s="13">
        <v>0.0</v>
      </c>
      <c r="K1880" s="12" t="s">
        <v>21</v>
      </c>
      <c r="L1880" s="7">
        <v>40867.68900462963</v>
      </c>
      <c r="M1880" s="16"/>
      <c r="N1880" s="16"/>
      <c r="O1880" s="11" t="str">
        <f t="shared" si="214"/>
        <v>View</v>
      </c>
      <c r="P1880" s="15"/>
    </row>
    <row r="1881">
      <c r="A1881" s="7">
        <v>42424.5652662037</v>
      </c>
      <c r="B1881" s="8" t="str">
        <f t="shared" si="213"/>
        <v>@Pvalsfr</v>
      </c>
      <c r="C1881" s="10" t="s">
        <v>771</v>
      </c>
      <c r="D1881" s="10" t="s">
        <v>9636</v>
      </c>
      <c r="E1881" s="11" t="str">
        <f>HYPERLINK("https://twitter.com/Pvalsfr/status/702607426948886528","702607426948886528")</f>
        <v>702607426948886528</v>
      </c>
      <c r="F1881" s="12" t="s">
        <v>152</v>
      </c>
      <c r="G1881" s="13">
        <v>1043.0</v>
      </c>
      <c r="H1881" s="13">
        <v>1081.0</v>
      </c>
      <c r="I1881" s="13">
        <v>8.0</v>
      </c>
      <c r="J1881" s="13">
        <v>0.0</v>
      </c>
      <c r="K1881" s="12" t="s">
        <v>21</v>
      </c>
      <c r="L1881" s="7">
        <v>40867.68900462963</v>
      </c>
      <c r="M1881" s="16"/>
      <c r="N1881" s="16"/>
      <c r="O1881" s="11" t="str">
        <f t="shared" si="214"/>
        <v>View</v>
      </c>
      <c r="P1881" s="15"/>
    </row>
    <row r="1882">
      <c r="A1882" s="7">
        <v>42424.566516203704</v>
      </c>
      <c r="B1882" s="8" t="str">
        <f>HYPERLINK("https://twitter.com/ShermanDistin","@ShermanDistin")</f>
        <v>@ShermanDistin</v>
      </c>
      <c r="C1882" s="10" t="s">
        <v>9658</v>
      </c>
      <c r="D1882" s="10" t="s">
        <v>9659</v>
      </c>
      <c r="E1882" s="11" t="str">
        <f>HYPERLINK("https://twitter.com/ShermanDistin/status/702607881787600896","702607881787600896")</f>
        <v>702607881787600896</v>
      </c>
      <c r="F1882" s="12" t="s">
        <v>152</v>
      </c>
      <c r="G1882" s="13">
        <v>1138.0</v>
      </c>
      <c r="H1882" s="13">
        <v>768.0</v>
      </c>
      <c r="I1882" s="13">
        <v>2.0</v>
      </c>
      <c r="J1882" s="13">
        <v>1.0</v>
      </c>
      <c r="K1882" s="12" t="s">
        <v>21</v>
      </c>
      <c r="L1882" s="7">
        <v>40432.72603009259</v>
      </c>
      <c r="M1882" s="14" t="s">
        <v>828</v>
      </c>
      <c r="N1882" s="14" t="s">
        <v>9660</v>
      </c>
      <c r="O1882" s="11" t="str">
        <f>HYPERLINK("https://pbs.twimg.com/profile_images/613144271382781956/5kJGyePe_normal.png","View")</f>
        <v>View</v>
      </c>
      <c r="P1882" s="15"/>
    </row>
    <row r="1883">
      <c r="A1883" s="7">
        <v>42424.56744212963</v>
      </c>
      <c r="B1883" s="8" t="str">
        <f>HYPERLINK("https://twitter.com/daniel_storage","@daniel_storage")</f>
        <v>@daniel_storage</v>
      </c>
      <c r="C1883" s="10" t="s">
        <v>8392</v>
      </c>
      <c r="D1883" s="10" t="s">
        <v>9609</v>
      </c>
      <c r="E1883" s="11" t="str">
        <f>HYPERLINK("https://twitter.com/daniel_storage/status/702608219127083012","702608219127083012")</f>
        <v>702608219127083012</v>
      </c>
      <c r="F1883" s="12" t="s">
        <v>52</v>
      </c>
      <c r="G1883" s="13">
        <v>56.0</v>
      </c>
      <c r="H1883" s="13">
        <v>60.0</v>
      </c>
      <c r="I1883" s="13">
        <v>16.0</v>
      </c>
      <c r="J1883" s="13">
        <v>0.0</v>
      </c>
      <c r="K1883" s="12" t="s">
        <v>21</v>
      </c>
      <c r="L1883" s="7">
        <v>41593.352731481486</v>
      </c>
      <c r="M1883" s="14" t="s">
        <v>8393</v>
      </c>
      <c r="N1883" s="14" t="s">
        <v>8394</v>
      </c>
      <c r="O1883" s="11" t="str">
        <f>HYPERLINK("https://pbs.twimg.com/profile_images/700379606008905728/nB8LK_HN_normal.jpg","View")</f>
        <v>View</v>
      </c>
      <c r="P1883" s="15"/>
    </row>
    <row r="1884">
      <c r="A1884" s="7">
        <v>42424.56793981481</v>
      </c>
      <c r="B1884" s="8" t="str">
        <f>HYPERLINK("https://twitter.com/homeAIinfo","@homeAIinfo")</f>
        <v>@homeAIinfo</v>
      </c>
      <c r="C1884" s="10" t="s">
        <v>36</v>
      </c>
      <c r="D1884" s="10" t="s">
        <v>9609</v>
      </c>
      <c r="E1884" s="11" t="str">
        <f>HYPERLINK("https://twitter.com/homeAIinfo/status/702608398567743488","702608398567743488")</f>
        <v>702608398567743488</v>
      </c>
      <c r="F1884" s="12" t="s">
        <v>38</v>
      </c>
      <c r="G1884" s="13">
        <v>52868.0</v>
      </c>
      <c r="H1884" s="13">
        <v>1328.0</v>
      </c>
      <c r="I1884" s="13">
        <v>16.0</v>
      </c>
      <c r="J1884" s="13">
        <v>0.0</v>
      </c>
      <c r="K1884" s="12" t="s">
        <v>21</v>
      </c>
      <c r="L1884" s="7">
        <v>42133.34662037037</v>
      </c>
      <c r="M1884" s="14" t="s">
        <v>39</v>
      </c>
      <c r="N1884" s="14" t="s">
        <v>40</v>
      </c>
      <c r="O1884" s="11" t="str">
        <f>HYPERLINK("https://pbs.twimg.com/profile_images/645650110374936580/-oQakt8x_normal.png","View")</f>
        <v>View</v>
      </c>
      <c r="P1884" s="15"/>
    </row>
    <row r="1885">
      <c r="A1885" s="7">
        <v>42424.56836805555</v>
      </c>
      <c r="B1885" s="8" t="str">
        <f>HYPERLINK("https://twitter.com/rortizdu","@rortizdu")</f>
        <v>@rortizdu</v>
      </c>
      <c r="C1885" s="10" t="s">
        <v>9661</v>
      </c>
      <c r="D1885" s="10" t="s">
        <v>9662</v>
      </c>
      <c r="E1885" s="11" t="str">
        <f>HYPERLINK("https://twitter.com/rortizdu/status/702608553853460480","702608553853460480")</f>
        <v>702608553853460480</v>
      </c>
      <c r="F1885" s="12" t="s">
        <v>152</v>
      </c>
      <c r="G1885" s="13">
        <v>79.0</v>
      </c>
      <c r="H1885" s="13">
        <v>147.0</v>
      </c>
      <c r="I1885" s="13">
        <v>1.0</v>
      </c>
      <c r="J1885" s="13">
        <v>0.0</v>
      </c>
      <c r="K1885" s="12" t="s">
        <v>21</v>
      </c>
      <c r="L1885" s="7">
        <v>40916.60590277778</v>
      </c>
      <c r="M1885" s="14" t="s">
        <v>9663</v>
      </c>
      <c r="N1885" s="14" t="s">
        <v>9664</v>
      </c>
      <c r="O1885" s="11" t="str">
        <f>HYPERLINK("https://pbs.twimg.com/profile_images/3341331124/b4ce06fa39afa24317907359dea50e7b_normal.jpeg","View")</f>
        <v>View</v>
      </c>
      <c r="P1885" s="15"/>
    </row>
    <row r="1886">
      <c r="A1886" s="7">
        <v>42424.570127314815</v>
      </c>
      <c r="B1886" s="8" t="str">
        <f>HYPERLINK("https://twitter.com/LovedeepSG","@LovedeepSG")</f>
        <v>@LovedeepSG</v>
      </c>
      <c r="C1886" s="10" t="s">
        <v>6501</v>
      </c>
      <c r="D1886" s="10" t="s">
        <v>9638</v>
      </c>
      <c r="E1886" s="11" t="str">
        <f>HYPERLINK("https://twitter.com/LovedeepSG/status/702609190066397184","702609190066397184")</f>
        <v>702609190066397184</v>
      </c>
      <c r="F1886" s="12" t="s">
        <v>152</v>
      </c>
      <c r="G1886" s="13">
        <v>46.0</v>
      </c>
      <c r="H1886" s="13">
        <v>85.0</v>
      </c>
      <c r="I1886" s="13">
        <v>6.0</v>
      </c>
      <c r="J1886" s="13">
        <v>0.0</v>
      </c>
      <c r="K1886" s="12" t="s">
        <v>21</v>
      </c>
      <c r="L1886" s="7">
        <v>41453.381203703706</v>
      </c>
      <c r="M1886" s="14" t="s">
        <v>4138</v>
      </c>
      <c r="N1886" s="14" t="s">
        <v>6502</v>
      </c>
      <c r="O1886" s="11" t="str">
        <f>HYPERLINK("https://pbs.twimg.com/profile_images/378800000059126288/17d4fa184bbd13c1e64465a3cc234efc_normal.jpeg","View")</f>
        <v>View</v>
      </c>
      <c r="P1886" s="15"/>
    </row>
    <row r="1887">
      <c r="A1887" s="7">
        <v>42424.570497685185</v>
      </c>
      <c r="B1887" s="8" t="str">
        <f>HYPERLINK("https://twitter.com/Harding_Derek","@Harding_Derek")</f>
        <v>@Harding_Derek</v>
      </c>
      <c r="C1887" s="10" t="s">
        <v>9665</v>
      </c>
      <c r="D1887" s="10" t="s">
        <v>9666</v>
      </c>
      <c r="E1887" s="11" t="str">
        <f>HYPERLINK("https://twitter.com/Harding_Derek/status/702609325089386496","702609325089386496")</f>
        <v>702609325089386496</v>
      </c>
      <c r="F1887" s="12" t="s">
        <v>446</v>
      </c>
      <c r="G1887" s="13">
        <v>311.0</v>
      </c>
      <c r="H1887" s="13">
        <v>877.0</v>
      </c>
      <c r="I1887" s="13">
        <v>2.0</v>
      </c>
      <c r="J1887" s="13">
        <v>0.0</v>
      </c>
      <c r="K1887" s="12" t="s">
        <v>21</v>
      </c>
      <c r="L1887" s="7">
        <v>40558.56984953704</v>
      </c>
      <c r="M1887" s="14" t="s">
        <v>9667</v>
      </c>
      <c r="N1887" s="14" t="s">
        <v>9668</v>
      </c>
      <c r="O1887" s="11" t="str">
        <f>HYPERLINK("https://pbs.twimg.com/profile_images/638941071062528000/2wsOPmQH_normal.jpg","View")</f>
        <v>View</v>
      </c>
      <c r="P1887" s="15"/>
    </row>
    <row r="1888">
      <c r="A1888" s="7">
        <v>42424.57074074074</v>
      </c>
      <c r="B1888" s="8" t="str">
        <f>HYPERLINK("https://twitter.com/ONeillMB1","@ONeillMB1")</f>
        <v>@ONeillMB1</v>
      </c>
      <c r="C1888" s="10" t="s">
        <v>9669</v>
      </c>
      <c r="D1888" s="10" t="s">
        <v>9637</v>
      </c>
      <c r="E1888" s="11" t="str">
        <f>HYPERLINK("https://twitter.com/ONeillMB1/status/702609414373543936","702609414373543936")</f>
        <v>702609414373543936</v>
      </c>
      <c r="F1888" s="12" t="s">
        <v>20</v>
      </c>
      <c r="G1888" s="13">
        <v>48.0</v>
      </c>
      <c r="H1888" s="13">
        <v>161.0</v>
      </c>
      <c r="I1888" s="13">
        <v>4.0</v>
      </c>
      <c r="J1888" s="13">
        <v>0.0</v>
      </c>
      <c r="K1888" s="12" t="s">
        <v>21</v>
      </c>
      <c r="L1888" s="7">
        <v>41800.643425925926</v>
      </c>
      <c r="M1888" s="14" t="s">
        <v>7780</v>
      </c>
      <c r="N1888" s="14" t="s">
        <v>9670</v>
      </c>
      <c r="O1888" s="11" t="str">
        <f>HYPERLINK("https://pbs.twimg.com/profile_images/668552427667193856/VKYWr9Mo_normal.jpg","View")</f>
        <v>View</v>
      </c>
      <c r="P1888" s="15"/>
    </row>
    <row r="1889">
      <c r="A1889" s="7">
        <v>42424.57299768519</v>
      </c>
      <c r="B1889" s="8" t="str">
        <f>HYPERLINK("https://twitter.com/komakusaryama","@komakusaryama")</f>
        <v>@komakusaryama</v>
      </c>
      <c r="C1889" s="10" t="s">
        <v>6792</v>
      </c>
      <c r="D1889" s="10" t="s">
        <v>9617</v>
      </c>
      <c r="E1889" s="11" t="str">
        <f>HYPERLINK("https://twitter.com/komakusaryama/status/702610231948218368","702610231948218368")</f>
        <v>702610231948218368</v>
      </c>
      <c r="F1889" s="12" t="s">
        <v>20</v>
      </c>
      <c r="G1889" s="13">
        <v>605.0</v>
      </c>
      <c r="H1889" s="13">
        <v>198.0</v>
      </c>
      <c r="I1889" s="13">
        <v>16.0</v>
      </c>
      <c r="J1889" s="13">
        <v>0.0</v>
      </c>
      <c r="K1889" s="12" t="s">
        <v>21</v>
      </c>
      <c r="L1889" s="7">
        <v>40073.12278935185</v>
      </c>
      <c r="M1889" s="14" t="s">
        <v>6793</v>
      </c>
      <c r="N1889" s="14" t="s">
        <v>6794</v>
      </c>
      <c r="O1889" s="11" t="str">
        <f>HYPERLINK("https://pbs.twimg.com/profile_images/3553053117/984554eeaf69e22dde9037f3e0fc2bd4_normal.jpeg","View")</f>
        <v>View</v>
      </c>
      <c r="P1889" s="15"/>
    </row>
    <row r="1890">
      <c r="A1890" s="7">
        <v>42424.57302083333</v>
      </c>
      <c r="B1890" s="8" t="str">
        <f>HYPERLINK("https://twitter.com/DataScienceMA","@DataScienceMA")</f>
        <v>@DataScienceMA</v>
      </c>
      <c r="C1890" s="10" t="s">
        <v>9671</v>
      </c>
      <c r="D1890" s="10" t="s">
        <v>9484</v>
      </c>
      <c r="E1890" s="11" t="str">
        <f>HYPERLINK("https://twitter.com/DataScienceMA/status/702610240857047041","702610240857047041")</f>
        <v>702610240857047041</v>
      </c>
      <c r="F1890" s="12" t="s">
        <v>52</v>
      </c>
      <c r="G1890" s="13">
        <v>23.0</v>
      </c>
      <c r="H1890" s="13">
        <v>88.0</v>
      </c>
      <c r="I1890" s="13">
        <v>22.0</v>
      </c>
      <c r="J1890" s="13">
        <v>0.0</v>
      </c>
      <c r="K1890" s="12" t="s">
        <v>21</v>
      </c>
      <c r="L1890" s="7">
        <v>42363.10814814815</v>
      </c>
      <c r="M1890" s="14" t="s">
        <v>9672</v>
      </c>
      <c r="N1890" s="14" t="s">
        <v>9673</v>
      </c>
      <c r="O1890" s="11" t="str">
        <f>HYPERLINK("https://pbs.twimg.com/profile_images/680413727695499268/gF7xtWDZ_normal.png","View")</f>
        <v>View</v>
      </c>
      <c r="P1890" s="15"/>
    </row>
    <row r="1891">
      <c r="A1891" s="7">
        <v>42424.57652777778</v>
      </c>
      <c r="B1891" s="8" t="str">
        <f>HYPERLINK("https://twitter.com/jesus_leal","@jesus_leal")</f>
        <v>@jesus_leal</v>
      </c>
      <c r="C1891" s="10" t="s">
        <v>9674</v>
      </c>
      <c r="D1891" s="10" t="s">
        <v>9675</v>
      </c>
      <c r="E1891" s="11" t="str">
        <f>HYPERLINK("https://twitter.com/jesus_leal/status/702611509445316609","702611509445316609")</f>
        <v>702611509445316609</v>
      </c>
      <c r="F1891" s="12" t="s">
        <v>20</v>
      </c>
      <c r="G1891" s="13">
        <v>235.0</v>
      </c>
      <c r="H1891" s="13">
        <v>506.0</v>
      </c>
      <c r="I1891" s="13">
        <v>0.0</v>
      </c>
      <c r="J1891" s="13">
        <v>2.0</v>
      </c>
      <c r="K1891" s="12" t="s">
        <v>21</v>
      </c>
      <c r="L1891" s="7">
        <v>39869.640335648146</v>
      </c>
      <c r="M1891" s="14" t="s">
        <v>9676</v>
      </c>
      <c r="N1891" s="14" t="s">
        <v>9677</v>
      </c>
      <c r="O1891" s="11" t="str">
        <f>HYPERLINK("https://pbs.twimg.com/profile_images/378800000382563900/3ef97031f8de17c7a8a3272660e9ebeb_normal.jpeg","View")</f>
        <v>View</v>
      </c>
      <c r="P1891" s="15"/>
    </row>
    <row r="1892">
      <c r="A1892" s="7">
        <v>42424.576631944445</v>
      </c>
      <c r="B1892" s="8" t="str">
        <f>HYPERLINK("https://twitter.com/Rbloggers","@Rbloggers")</f>
        <v>@Rbloggers</v>
      </c>
      <c r="C1892" s="10" t="s">
        <v>6221</v>
      </c>
      <c r="D1892" s="10" t="s">
        <v>9678</v>
      </c>
      <c r="E1892" s="11" t="str">
        <f>HYPERLINK("https://twitter.com/Rbloggers/status/702611548104060928","702611548104060928")</f>
        <v>702611548104060928</v>
      </c>
      <c r="F1892" s="17" t="s">
        <v>6223</v>
      </c>
      <c r="G1892" s="13">
        <v>28572.0</v>
      </c>
      <c r="H1892" s="13">
        <v>36.0</v>
      </c>
      <c r="I1892" s="13">
        <v>7.0</v>
      </c>
      <c r="J1892" s="13">
        <v>15.0</v>
      </c>
      <c r="K1892" s="12" t="s">
        <v>21</v>
      </c>
      <c r="L1892" s="7">
        <v>40314.510601851856</v>
      </c>
      <c r="M1892" s="16"/>
      <c r="N1892" s="14" t="s">
        <v>6224</v>
      </c>
      <c r="O1892" s="11" t="str">
        <f>HYPERLINK("https://pbs.twimg.com/profile_images/502185985786916864/gkdFh-q7_normal.png","View")</f>
        <v>View</v>
      </c>
      <c r="P1892" s="15"/>
    </row>
    <row r="1893">
      <c r="A1893" s="7">
        <v>42424.57677083333</v>
      </c>
      <c r="B1893" s="8" t="str">
        <f>HYPERLINK("https://twitter.com/emayfarris","@emayfarris")</f>
        <v>@emayfarris</v>
      </c>
      <c r="C1893" s="10" t="s">
        <v>9679</v>
      </c>
      <c r="D1893" s="10" t="s">
        <v>9680</v>
      </c>
      <c r="E1893" s="11" t="str">
        <f>HYPERLINK("https://twitter.com/emayfarris/status/702611596137267201","702611596137267201")</f>
        <v>702611596137267201</v>
      </c>
      <c r="F1893" s="12" t="s">
        <v>52</v>
      </c>
      <c r="G1893" s="13">
        <v>1252.0</v>
      </c>
      <c r="H1893" s="13">
        <v>796.0</v>
      </c>
      <c r="I1893" s="13">
        <v>2.0</v>
      </c>
      <c r="J1893" s="13">
        <v>0.0</v>
      </c>
      <c r="K1893" s="12" t="s">
        <v>21</v>
      </c>
      <c r="L1893" s="7">
        <v>40690.70920138889</v>
      </c>
      <c r="M1893" s="14" t="s">
        <v>7853</v>
      </c>
      <c r="N1893" s="14" t="s">
        <v>9681</v>
      </c>
      <c r="O1893" s="11" t="str">
        <f>HYPERLINK("https://pbs.twimg.com/profile_images/599338657166692352/7NAECLwE_normal.jpg","View")</f>
        <v>View</v>
      </c>
      <c r="P1893" s="15"/>
    </row>
    <row r="1894">
      <c r="A1894" s="7">
        <v>42424.57853009259</v>
      </c>
      <c r="B1894" s="8" t="str">
        <f>HYPERLINK("https://twitter.com/MBarakso","@MBarakso")</f>
        <v>@MBarakso</v>
      </c>
      <c r="C1894" s="10" t="s">
        <v>9682</v>
      </c>
      <c r="D1894" s="10" t="s">
        <v>9680</v>
      </c>
      <c r="E1894" s="11" t="str">
        <f>HYPERLINK("https://twitter.com/MBarakso/status/702612233528975360","702612233528975360")</f>
        <v>702612233528975360</v>
      </c>
      <c r="F1894" s="12" t="s">
        <v>20</v>
      </c>
      <c r="G1894" s="13">
        <v>800.0</v>
      </c>
      <c r="H1894" s="13">
        <v>1988.0</v>
      </c>
      <c r="I1894" s="13">
        <v>2.0</v>
      </c>
      <c r="J1894" s="13">
        <v>0.0</v>
      </c>
      <c r="K1894" s="12" t="s">
        <v>21</v>
      </c>
      <c r="L1894" s="7">
        <v>40787.35737268518</v>
      </c>
      <c r="M1894" s="14" t="s">
        <v>9683</v>
      </c>
      <c r="N1894" s="14" t="s">
        <v>9684</v>
      </c>
      <c r="O1894" s="11" t="str">
        <f>HYPERLINK("https://pbs.twimg.com/profile_images/692802823277248512/62Y-LTYq_normal.jpg","View")</f>
        <v>View</v>
      </c>
      <c r="P1894" s="15"/>
    </row>
    <row r="1895">
      <c r="A1895" s="7">
        <v>42424.578622685185</v>
      </c>
      <c r="B1895" s="8" t="str">
        <f>HYPERLINK("https://twitter.com/CjMrcamiel","@CjMrcamiel")</f>
        <v>@CjMrcamiel</v>
      </c>
      <c r="C1895" s="10" t="s">
        <v>7701</v>
      </c>
      <c r="D1895" s="10" t="s">
        <v>9638</v>
      </c>
      <c r="E1895" s="11" t="str">
        <f>HYPERLINK("https://twitter.com/CjMrcamiel/status/702612267943133184","702612267943133184")</f>
        <v>702612267943133184</v>
      </c>
      <c r="F1895" s="12" t="s">
        <v>52</v>
      </c>
      <c r="G1895" s="13">
        <v>11.0</v>
      </c>
      <c r="H1895" s="13">
        <v>24.0</v>
      </c>
      <c r="I1895" s="13">
        <v>6.0</v>
      </c>
      <c r="J1895" s="13">
        <v>0.0</v>
      </c>
      <c r="K1895" s="12" t="s">
        <v>21</v>
      </c>
      <c r="L1895" s="7">
        <v>41455.6708912037</v>
      </c>
      <c r="M1895" s="16"/>
      <c r="N1895" s="16"/>
      <c r="O1895" s="11" t="str">
        <f>HYPERLINK("https://pbs.twimg.com/profile_images/378800000254021542/887553be439db2d83c346af322b2e8ec_normal.jpeg","View")</f>
        <v>View</v>
      </c>
      <c r="P1895" s="15"/>
    </row>
    <row r="1896">
      <c r="A1896" s="7">
        <v>42424.57898148148</v>
      </c>
      <c r="B1896" s="8" t="str">
        <f>HYPERLINK("https://twitter.com/renato_umeton","@renato_umeton")</f>
        <v>@renato_umeton</v>
      </c>
      <c r="C1896" s="10" t="s">
        <v>1659</v>
      </c>
      <c r="D1896" s="10" t="s">
        <v>9685</v>
      </c>
      <c r="E1896" s="11" t="str">
        <f>HYPERLINK("https://twitter.com/renato_umeton/status/702612397165572097","702612397165572097")</f>
        <v>702612397165572097</v>
      </c>
      <c r="F1896" s="12" t="s">
        <v>38</v>
      </c>
      <c r="G1896" s="13">
        <v>70.0</v>
      </c>
      <c r="H1896" s="13">
        <v>79.0</v>
      </c>
      <c r="I1896" s="13">
        <v>7.0</v>
      </c>
      <c r="J1896" s="13">
        <v>0.0</v>
      </c>
      <c r="K1896" s="12" t="s">
        <v>21</v>
      </c>
      <c r="L1896" s="7">
        <v>39918.052083333336</v>
      </c>
      <c r="M1896" s="14" t="s">
        <v>1660</v>
      </c>
      <c r="N1896" s="14" t="s">
        <v>1661</v>
      </c>
      <c r="O1896" s="11" t="str">
        <f>HYPERLINK("https://pbs.twimg.com/profile_images/701553083537604608/nr8b38eG_normal.jpg","View")</f>
        <v>View</v>
      </c>
      <c r="P1896" s="15"/>
    </row>
    <row r="1897">
      <c r="A1897" s="7">
        <v>42424.583391203705</v>
      </c>
      <c r="B1897" s="8" t="str">
        <f>HYPERLINK("https://twitter.com/LoveStats","@LoveStats")</f>
        <v>@LoveStats</v>
      </c>
      <c r="C1897" s="10" t="s">
        <v>9686</v>
      </c>
      <c r="D1897" s="10" t="s">
        <v>9568</v>
      </c>
      <c r="E1897" s="11" t="str">
        <f>HYPERLINK("https://twitter.com/LoveStats/status/702613997460140032","702613997460140032")</f>
        <v>702613997460140032</v>
      </c>
      <c r="F1897" s="12" t="s">
        <v>52</v>
      </c>
      <c r="G1897" s="13">
        <v>10414.0</v>
      </c>
      <c r="H1897" s="13">
        <v>3584.0</v>
      </c>
      <c r="I1897" s="13">
        <v>10.0</v>
      </c>
      <c r="J1897" s="13">
        <v>0.0</v>
      </c>
      <c r="K1897" s="12" t="s">
        <v>21</v>
      </c>
      <c r="L1897" s="7">
        <v>39841.670810185184</v>
      </c>
      <c r="M1897" s="14" t="s">
        <v>9687</v>
      </c>
      <c r="N1897" s="14" t="s">
        <v>9688</v>
      </c>
      <c r="O1897" s="11" t="str">
        <f>HYPERLINK("https://pbs.twimg.com/profile_images/558715936320933888/H8yYFJIV_normal.png","View")</f>
        <v>View</v>
      </c>
      <c r="P1897" s="15"/>
    </row>
    <row r="1898">
      <c r="A1898" s="7">
        <v>42424.5850462963</v>
      </c>
      <c r="B1898" s="8" t="str">
        <f>HYPERLINK("https://twitter.com/cbahlai","@cbahlai")</f>
        <v>@cbahlai</v>
      </c>
      <c r="C1898" s="10" t="s">
        <v>9689</v>
      </c>
      <c r="D1898" s="10" t="s">
        <v>9568</v>
      </c>
      <c r="E1898" s="11" t="str">
        <f>HYPERLINK("https://twitter.com/cbahlai/status/702614596004270081","702614596004270081")</f>
        <v>702614596004270081</v>
      </c>
      <c r="F1898" s="12" t="s">
        <v>152</v>
      </c>
      <c r="G1898" s="13">
        <v>1274.0</v>
      </c>
      <c r="H1898" s="13">
        <v>602.0</v>
      </c>
      <c r="I1898" s="13">
        <v>10.0</v>
      </c>
      <c r="J1898" s="13">
        <v>0.0</v>
      </c>
      <c r="K1898" s="12" t="s">
        <v>21</v>
      </c>
      <c r="L1898" s="7">
        <v>41232.57628472222</v>
      </c>
      <c r="M1898" s="14" t="s">
        <v>9690</v>
      </c>
      <c r="N1898" s="14" t="s">
        <v>9691</v>
      </c>
      <c r="O1898" s="11" t="str">
        <f>HYPERLINK("https://pbs.twimg.com/profile_images/656893794302849024/VksKEbZm_normal.jpg","View")</f>
        <v>View</v>
      </c>
      <c r="P1898" s="15"/>
    </row>
    <row r="1899">
      <c r="A1899" s="7">
        <v>42424.58633101852</v>
      </c>
      <c r="B1899" s="8" t="str">
        <f t="shared" ref="B1899:B1900" si="215">HYPERLINK("https://twitter.com/segalop","@segalop")</f>
        <v>@segalop</v>
      </c>
      <c r="C1899" s="10" t="s">
        <v>6448</v>
      </c>
      <c r="D1899" s="10" t="s">
        <v>9692</v>
      </c>
      <c r="E1899" s="11" t="str">
        <f>HYPERLINK("https://twitter.com/segalop/status/702615061660082177","702615061660082177")</f>
        <v>702615061660082177</v>
      </c>
      <c r="F1899" s="12" t="s">
        <v>3154</v>
      </c>
      <c r="G1899" s="13">
        <v>172.0</v>
      </c>
      <c r="H1899" s="13">
        <v>378.0</v>
      </c>
      <c r="I1899" s="13">
        <v>0.0</v>
      </c>
      <c r="J1899" s="13">
        <v>0.0</v>
      </c>
      <c r="K1899" s="12" t="s">
        <v>21</v>
      </c>
      <c r="L1899" s="7">
        <v>41328.53219907408</v>
      </c>
      <c r="M1899" s="16"/>
      <c r="N1899" s="14" t="s">
        <v>6449</v>
      </c>
      <c r="O1899" s="11" t="str">
        <f t="shared" ref="O1899:O1900" si="216">HYPERLINK("https://pbs.twimg.com/profile_images/470626645083037696/FicOo9YX_normal.jpeg","View")</f>
        <v>View</v>
      </c>
      <c r="P1899" s="15"/>
    </row>
    <row r="1900">
      <c r="A1900" s="7">
        <v>42424.59040509259</v>
      </c>
      <c r="B1900" s="8" t="str">
        <f t="shared" si="215"/>
        <v>@segalop</v>
      </c>
      <c r="C1900" s="10" t="s">
        <v>6448</v>
      </c>
      <c r="D1900" s="10" t="s">
        <v>9693</v>
      </c>
      <c r="E1900" s="11" t="str">
        <f>HYPERLINK("https://twitter.com/segalop/status/702616539703463936","702616539703463936")</f>
        <v>702616539703463936</v>
      </c>
      <c r="F1900" s="12" t="s">
        <v>3154</v>
      </c>
      <c r="G1900" s="13">
        <v>172.0</v>
      </c>
      <c r="H1900" s="13">
        <v>378.0</v>
      </c>
      <c r="I1900" s="13">
        <v>0.0</v>
      </c>
      <c r="J1900" s="13">
        <v>0.0</v>
      </c>
      <c r="K1900" s="12" t="s">
        <v>21</v>
      </c>
      <c r="L1900" s="7">
        <v>41328.53219907408</v>
      </c>
      <c r="M1900" s="16"/>
      <c r="N1900" s="14" t="s">
        <v>6449</v>
      </c>
      <c r="O1900" s="11" t="str">
        <f t="shared" si="216"/>
        <v>View</v>
      </c>
      <c r="P1900" s="15"/>
    </row>
    <row r="1901">
      <c r="A1901" s="7">
        <v>42424.59064814815</v>
      </c>
      <c r="B1901" s="8" t="str">
        <f>HYPERLINK("https://twitter.com/Pvalsfr","@Pvalsfr")</f>
        <v>@Pvalsfr</v>
      </c>
      <c r="C1901" s="10" t="s">
        <v>771</v>
      </c>
      <c r="D1901" s="10" t="s">
        <v>9685</v>
      </c>
      <c r="E1901" s="11" t="str">
        <f>HYPERLINK("https://twitter.com/Pvalsfr/status/702616628836618240","702616628836618240")</f>
        <v>702616628836618240</v>
      </c>
      <c r="F1901" s="12" t="s">
        <v>152</v>
      </c>
      <c r="G1901" s="13">
        <v>1043.0</v>
      </c>
      <c r="H1901" s="13">
        <v>1081.0</v>
      </c>
      <c r="I1901" s="13">
        <v>7.0</v>
      </c>
      <c r="J1901" s="13">
        <v>0.0</v>
      </c>
      <c r="K1901" s="12" t="s">
        <v>21</v>
      </c>
      <c r="L1901" s="7">
        <v>40867.68900462963</v>
      </c>
      <c r="M1901" s="16"/>
      <c r="N1901" s="16"/>
      <c r="O1901" s="11" t="str">
        <f>HYPERLINK("https://abs.twimg.com/sticky/default_profile_images/default_profile_4_normal.png","View")</f>
        <v>View</v>
      </c>
      <c r="P1901" s="15"/>
    </row>
    <row r="1902">
      <c r="A1902" s="7">
        <v>42424.591956018514</v>
      </c>
      <c r="B1902" s="8" t="str">
        <f>HYPERLINK("https://twitter.com/bigboardsio","@bigboardsio")</f>
        <v>@bigboardsio</v>
      </c>
      <c r="C1902" s="10" t="s">
        <v>5651</v>
      </c>
      <c r="D1902" s="10" t="s">
        <v>9685</v>
      </c>
      <c r="E1902" s="11" t="str">
        <f>HYPERLINK("https://twitter.com/bigboardsio/status/702617098808369153","702617098808369153")</f>
        <v>702617098808369153</v>
      </c>
      <c r="F1902" s="12" t="s">
        <v>38</v>
      </c>
      <c r="G1902" s="13">
        <v>3089.0</v>
      </c>
      <c r="H1902" s="13">
        <v>2635.0</v>
      </c>
      <c r="I1902" s="13">
        <v>7.0</v>
      </c>
      <c r="J1902" s="13">
        <v>0.0</v>
      </c>
      <c r="K1902" s="12" t="s">
        <v>21</v>
      </c>
      <c r="L1902" s="7">
        <v>41449.67438657407</v>
      </c>
      <c r="M1902" s="14" t="s">
        <v>5652</v>
      </c>
      <c r="N1902" s="14" t="s">
        <v>5653</v>
      </c>
      <c r="O1902" s="11" t="str">
        <f>HYPERLINK("https://pbs.twimg.com/profile_images/489375332743409664/P4sYDY1__normal.png","View")</f>
        <v>View</v>
      </c>
      <c r="P1902" s="15"/>
    </row>
    <row r="1903">
      <c r="A1903" s="7">
        <v>42424.59378472222</v>
      </c>
      <c r="B1903" s="8" t="str">
        <f>HYPERLINK("https://twitter.com/HunterRatliff1","@HunterRatliff1")</f>
        <v>@HunterRatliff1</v>
      </c>
      <c r="C1903" s="10" t="s">
        <v>9694</v>
      </c>
      <c r="D1903" s="10" t="s">
        <v>9695</v>
      </c>
      <c r="E1903" s="11" t="str">
        <f>HYPERLINK("https://twitter.com/HunterRatliff1/status/702617765320990720","702617765320990720")</f>
        <v>702617765320990720</v>
      </c>
      <c r="F1903" s="12" t="s">
        <v>52</v>
      </c>
      <c r="G1903" s="13">
        <v>245.0</v>
      </c>
      <c r="H1903" s="13">
        <v>288.0</v>
      </c>
      <c r="I1903" s="13">
        <v>0.0</v>
      </c>
      <c r="J1903" s="13">
        <v>1.0</v>
      </c>
      <c r="K1903" s="12" t="s">
        <v>21</v>
      </c>
      <c r="L1903" s="7">
        <v>40269.91248842592</v>
      </c>
      <c r="M1903" s="14" t="s">
        <v>2022</v>
      </c>
      <c r="N1903" s="14" t="s">
        <v>9696</v>
      </c>
      <c r="O1903" s="11" t="str">
        <f>HYPERLINK("https://pbs.twimg.com/profile_images/629100002393108480/Tsus6Sd6_normal.jpg","View")</f>
        <v>View</v>
      </c>
      <c r="P1903" s="15"/>
    </row>
    <row r="1904">
      <c r="A1904" s="7">
        <v>42424.59385416667</v>
      </c>
      <c r="B1904" s="8" t="str">
        <f>HYPERLINK("https://twitter.com/lihyin","@lihyin")</f>
        <v>@lihyin</v>
      </c>
      <c r="C1904" s="10" t="s">
        <v>9697</v>
      </c>
      <c r="D1904" s="10" t="s">
        <v>9698</v>
      </c>
      <c r="E1904" s="11" t="str">
        <f>HYPERLINK("https://twitter.com/lihyin/status/702617789941460992","702617789941460992")</f>
        <v>702617789941460992</v>
      </c>
      <c r="F1904" s="12" t="s">
        <v>20</v>
      </c>
      <c r="G1904" s="13">
        <v>147.0</v>
      </c>
      <c r="H1904" s="13">
        <v>423.0</v>
      </c>
      <c r="I1904" s="13">
        <v>0.0</v>
      </c>
      <c r="J1904" s="13">
        <v>0.0</v>
      </c>
      <c r="K1904" s="12" t="s">
        <v>21</v>
      </c>
      <c r="L1904" s="7">
        <v>40193.63415509259</v>
      </c>
      <c r="M1904" s="14" t="s">
        <v>9699</v>
      </c>
      <c r="N1904" s="14" t="s">
        <v>9700</v>
      </c>
      <c r="O1904" s="11" t="str">
        <f>HYPERLINK("https://pbs.twimg.com/profile_images/683470753/n837165014_5513_normal.jpg","View")</f>
        <v>View</v>
      </c>
      <c r="P1904" s="15"/>
    </row>
    <row r="1905">
      <c r="A1905" s="7">
        <v>42424.59416666666</v>
      </c>
      <c r="B1905" s="8" t="str">
        <f>HYPERLINK("https://twitter.com/jrdnmdhl","@jrdnmdhl")</f>
        <v>@jrdnmdhl</v>
      </c>
      <c r="C1905" s="10" t="s">
        <v>8749</v>
      </c>
      <c r="D1905" s="10" t="s">
        <v>9568</v>
      </c>
      <c r="E1905" s="11" t="str">
        <f>HYPERLINK("https://twitter.com/jrdnmdhl/status/702617900134354946","702617900134354946")</f>
        <v>702617900134354946</v>
      </c>
      <c r="F1905" s="12" t="s">
        <v>20</v>
      </c>
      <c r="G1905" s="13">
        <v>47.0</v>
      </c>
      <c r="H1905" s="13">
        <v>226.0</v>
      </c>
      <c r="I1905" s="13">
        <v>10.0</v>
      </c>
      <c r="J1905" s="13">
        <v>0.0</v>
      </c>
      <c r="K1905" s="12" t="s">
        <v>21</v>
      </c>
      <c r="L1905" s="7">
        <v>42378.92321759259</v>
      </c>
      <c r="M1905" s="14" t="s">
        <v>8751</v>
      </c>
      <c r="N1905" s="14" t="s">
        <v>8752</v>
      </c>
      <c r="O1905" s="11" t="str">
        <f>HYPERLINK("https://pbs.twimg.com/profile_images/686829356220608512/Xvuztyrm_normal.jpg","View")</f>
        <v>View</v>
      </c>
      <c r="P1905" s="15"/>
    </row>
    <row r="1906">
      <c r="A1906" s="7">
        <v>42424.59471064815</v>
      </c>
      <c r="B1906" s="8" t="str">
        <f>HYPERLINK("https://twitter.com/BioMickWatson","@BioMickWatson")</f>
        <v>@BioMickWatson</v>
      </c>
      <c r="C1906" s="10" t="s">
        <v>6719</v>
      </c>
      <c r="D1906" s="10" t="s">
        <v>9701</v>
      </c>
      <c r="E1906" s="11" t="str">
        <f>HYPERLINK("https://twitter.com/BioMickWatson/status/702618097421836288","702618097421836288")</f>
        <v>702618097421836288</v>
      </c>
      <c r="F1906" s="12" t="s">
        <v>152</v>
      </c>
      <c r="G1906" s="13">
        <v>8237.0</v>
      </c>
      <c r="H1906" s="13">
        <v>1435.0</v>
      </c>
      <c r="I1906" s="13">
        <v>10.0</v>
      </c>
      <c r="J1906" s="13">
        <v>0.0</v>
      </c>
      <c r="K1906" s="12" t="s">
        <v>21</v>
      </c>
      <c r="L1906" s="7">
        <v>40531.84478009259</v>
      </c>
      <c r="M1906" s="14" t="s">
        <v>6720</v>
      </c>
      <c r="N1906" s="14" t="s">
        <v>6721</v>
      </c>
      <c r="O1906" s="11" t="str">
        <f>HYPERLINK("https://pbs.twimg.com/profile_images/686361651730223104/sxB0jUTq_normal.jpg","View")</f>
        <v>View</v>
      </c>
      <c r="P1906" s="15"/>
    </row>
    <row r="1907">
      <c r="A1907" s="7">
        <v>42424.595196759255</v>
      </c>
      <c r="B1907" s="8" t="str">
        <f>HYPERLINK("https://twitter.com/dataandme","@dataandme")</f>
        <v>@dataandme</v>
      </c>
      <c r="C1907" s="10" t="s">
        <v>6648</v>
      </c>
      <c r="D1907" s="10" t="s">
        <v>9702</v>
      </c>
      <c r="E1907" s="11" t="str">
        <f>HYPERLINK("https://twitter.com/dataandme/status/702618273523830784","702618273523830784")</f>
        <v>702618273523830784</v>
      </c>
      <c r="F1907" s="12" t="s">
        <v>294</v>
      </c>
      <c r="G1907" s="13">
        <v>2501.0</v>
      </c>
      <c r="H1907" s="13">
        <v>1940.0</v>
      </c>
      <c r="I1907" s="13">
        <v>0.0</v>
      </c>
      <c r="J1907" s="13">
        <v>6.0</v>
      </c>
      <c r="K1907" s="12" t="s">
        <v>21</v>
      </c>
      <c r="L1907" s="7">
        <v>42127.19739583333</v>
      </c>
      <c r="M1907" s="14" t="s">
        <v>332</v>
      </c>
      <c r="N1907" s="14" t="s">
        <v>6650</v>
      </c>
      <c r="O1907" s="11" t="str">
        <f>HYPERLINK("https://pbs.twimg.com/profile_images/598126722920361984/HdS1NWXJ_normal.png","View")</f>
        <v>View</v>
      </c>
      <c r="P1907" s="15"/>
    </row>
    <row r="1908">
      <c r="A1908" s="7">
        <v>42424.596238425926</v>
      </c>
      <c r="B1908" s="8" t="str">
        <f>HYPERLINK("https://twitter.com/sjackman","@sjackman")</f>
        <v>@sjackman</v>
      </c>
      <c r="C1908" s="10" t="s">
        <v>7786</v>
      </c>
      <c r="D1908" s="10" t="s">
        <v>9701</v>
      </c>
      <c r="E1908" s="11" t="str">
        <f>HYPERLINK("https://twitter.com/sjackman/status/702618651111718912","702618651111718912")</f>
        <v>702618651111718912</v>
      </c>
      <c r="F1908" s="12" t="s">
        <v>240</v>
      </c>
      <c r="G1908" s="13">
        <v>1252.0</v>
      </c>
      <c r="H1908" s="13">
        <v>177.0</v>
      </c>
      <c r="I1908" s="13">
        <v>10.0</v>
      </c>
      <c r="J1908" s="13">
        <v>0.0</v>
      </c>
      <c r="K1908" s="12" t="s">
        <v>21</v>
      </c>
      <c r="L1908" s="7">
        <v>39334.926469907405</v>
      </c>
      <c r="M1908" s="14" t="s">
        <v>4608</v>
      </c>
      <c r="N1908" s="14" t="s">
        <v>7787</v>
      </c>
      <c r="O1908" s="11" t="str">
        <f>HYPERLINK("https://pbs.twimg.com/profile_images/1477813716/sdj-headshot-square_normal.jpg","View")</f>
        <v>View</v>
      </c>
      <c r="P1908" s="15"/>
    </row>
    <row r="1909">
      <c r="A1909" s="7">
        <v>42424.597557870366</v>
      </c>
      <c r="B1909" s="8" t="str">
        <f>HYPERLINK("https://twitter.com/danmaclean","@danmaclean")</f>
        <v>@danmaclean</v>
      </c>
      <c r="C1909" s="10" t="s">
        <v>9703</v>
      </c>
      <c r="D1909" s="10" t="s">
        <v>9701</v>
      </c>
      <c r="E1909" s="11" t="str">
        <f>HYPERLINK("https://twitter.com/danmaclean/status/702619130873180161","702619130873180161")</f>
        <v>702619130873180161</v>
      </c>
      <c r="F1909" s="12" t="s">
        <v>1573</v>
      </c>
      <c r="G1909" s="13">
        <v>851.0</v>
      </c>
      <c r="H1909" s="13">
        <v>413.0</v>
      </c>
      <c r="I1909" s="13">
        <v>10.0</v>
      </c>
      <c r="J1909" s="13">
        <v>0.0</v>
      </c>
      <c r="K1909" s="12" t="s">
        <v>21</v>
      </c>
      <c r="L1909" s="7">
        <v>39755.45255787037</v>
      </c>
      <c r="M1909" s="14" t="s">
        <v>9704</v>
      </c>
      <c r="N1909" s="14" t="s">
        <v>9705</v>
      </c>
      <c r="O1909" s="11" t="str">
        <f>HYPERLINK("https://pbs.twimg.com/profile_images/577840273356554241/qiVBgjfh_normal.jpeg","View")</f>
        <v>View</v>
      </c>
      <c r="P1909" s="15"/>
    </row>
    <row r="1910">
      <c r="A1910" s="7">
        <v>42424.5984375</v>
      </c>
      <c r="B1910" s="8" t="str">
        <f>HYPERLINK("https://twitter.com/le_feufollet","@le_feufollet")</f>
        <v>@le_feufollet</v>
      </c>
      <c r="C1910" s="10" t="s">
        <v>9706</v>
      </c>
      <c r="D1910" s="10" t="s">
        <v>9701</v>
      </c>
      <c r="E1910" s="11" t="str">
        <f>HYPERLINK("https://twitter.com/le_feufollet/status/702619451464650753","702619451464650753")</f>
        <v>702619451464650753</v>
      </c>
      <c r="F1910" s="12" t="s">
        <v>20</v>
      </c>
      <c r="G1910" s="13">
        <v>1256.0</v>
      </c>
      <c r="H1910" s="13">
        <v>543.0</v>
      </c>
      <c r="I1910" s="13">
        <v>10.0</v>
      </c>
      <c r="J1910" s="13">
        <v>0.0</v>
      </c>
      <c r="K1910" s="12" t="s">
        <v>21</v>
      </c>
      <c r="L1910" s="7">
        <v>41157.50222222222</v>
      </c>
      <c r="M1910" s="14" t="s">
        <v>2181</v>
      </c>
      <c r="N1910" s="14" t="s">
        <v>9707</v>
      </c>
      <c r="O1910" s="11" t="str">
        <f>HYPERLINK("https://pbs.twimg.com/profile_images/378800000156144685/0952d52c6be1b79459909c5cafbb5421_normal.jpeg","View")</f>
        <v>View</v>
      </c>
      <c r="P1910" s="15"/>
    </row>
    <row r="1911">
      <c r="A1911" s="7">
        <v>42424.59894675926</v>
      </c>
      <c r="B1911" s="8" t="str">
        <f>HYPERLINK("https://twitter.com/segalop","@segalop")</f>
        <v>@segalop</v>
      </c>
      <c r="C1911" s="10" t="s">
        <v>6448</v>
      </c>
      <c r="D1911" s="10" t="s">
        <v>9708</v>
      </c>
      <c r="E1911" s="11" t="str">
        <f>HYPERLINK("https://twitter.com/segalop/status/702619636270026754","702619636270026754")</f>
        <v>702619636270026754</v>
      </c>
      <c r="F1911" s="12" t="s">
        <v>3154</v>
      </c>
      <c r="G1911" s="13">
        <v>172.0</v>
      </c>
      <c r="H1911" s="13">
        <v>378.0</v>
      </c>
      <c r="I1911" s="13">
        <v>0.0</v>
      </c>
      <c r="J1911" s="13">
        <v>1.0</v>
      </c>
      <c r="K1911" s="12" t="s">
        <v>21</v>
      </c>
      <c r="L1911" s="7">
        <v>41328.53219907408</v>
      </c>
      <c r="M1911" s="16"/>
      <c r="N1911" s="14" t="s">
        <v>6449</v>
      </c>
      <c r="O1911" s="11" t="str">
        <f>HYPERLINK("https://pbs.twimg.com/profile_images/470626645083037696/FicOo9YX_normal.jpeg","View")</f>
        <v>View</v>
      </c>
      <c r="P1911" s="15"/>
    </row>
    <row r="1912">
      <c r="A1912" s="7">
        <v>42424.59929398148</v>
      </c>
      <c r="B1912" s="8" t="str">
        <f>HYPERLINK("https://twitter.com/JamieLarsH","@JamieLarsH")</f>
        <v>@JamieLarsH</v>
      </c>
      <c r="C1912" s="10" t="s">
        <v>9709</v>
      </c>
      <c r="D1912" s="10" t="s">
        <v>9701</v>
      </c>
      <c r="E1912" s="11" t="str">
        <f>HYPERLINK("https://twitter.com/JamieLarsH/status/702619762119970816","702619762119970816")</f>
        <v>702619762119970816</v>
      </c>
      <c r="F1912" s="12" t="s">
        <v>20</v>
      </c>
      <c r="G1912" s="13">
        <v>1896.0</v>
      </c>
      <c r="H1912" s="13">
        <v>1904.0</v>
      </c>
      <c r="I1912" s="13">
        <v>10.0</v>
      </c>
      <c r="J1912" s="13">
        <v>0.0</v>
      </c>
      <c r="K1912" s="12" t="s">
        <v>21</v>
      </c>
      <c r="L1912" s="7">
        <v>41900.4677662037</v>
      </c>
      <c r="M1912" s="14" t="s">
        <v>9710</v>
      </c>
      <c r="N1912" s="14" t="s">
        <v>9711</v>
      </c>
      <c r="O1912" s="11" t="str">
        <f>HYPERLINK("https://pbs.twimg.com/profile_images/564500461340749824/CkspJzJj_normal.jpeg","View")</f>
        <v>View</v>
      </c>
      <c r="P1912" s="15"/>
    </row>
    <row r="1913">
      <c r="A1913" s="7">
        <v>42424.601122685184</v>
      </c>
      <c r="B1913" s="8" t="str">
        <f>HYPERLINK("https://twitter.com/fjalolop000","@fjalolop000")</f>
        <v>@fjalolop000</v>
      </c>
      <c r="C1913" s="10" t="s">
        <v>6576</v>
      </c>
      <c r="D1913" s="10" t="s">
        <v>9685</v>
      </c>
      <c r="E1913" s="11" t="str">
        <f>HYPERLINK("https://twitter.com/fjalolop000/status/702620422584532993","702620422584532993")</f>
        <v>702620422584532993</v>
      </c>
      <c r="F1913" s="12" t="s">
        <v>152</v>
      </c>
      <c r="G1913" s="13">
        <v>16.0</v>
      </c>
      <c r="H1913" s="13">
        <v>54.0</v>
      </c>
      <c r="I1913" s="13">
        <v>7.0</v>
      </c>
      <c r="J1913" s="13">
        <v>0.0</v>
      </c>
      <c r="K1913" s="12" t="s">
        <v>21</v>
      </c>
      <c r="L1913" s="7">
        <v>41617.3140625</v>
      </c>
      <c r="M1913" s="16"/>
      <c r="N1913" s="16"/>
      <c r="O1913" s="11" t="str">
        <f>HYPERLINK("https://pbs.twimg.com/profile_images/576799609873428480/V8akQ-mi_normal.jpeg","View")</f>
        <v>View</v>
      </c>
      <c r="P1913" s="15"/>
    </row>
    <row r="1914">
      <c r="A1914" s="7">
        <v>42424.60114583334</v>
      </c>
      <c r="B1914" s="8" t="str">
        <f>HYPERLINK("https://twitter.com/jpeelle","@jpeelle")</f>
        <v>@jpeelle</v>
      </c>
      <c r="C1914" s="10" t="s">
        <v>9712</v>
      </c>
      <c r="D1914" s="10" t="s">
        <v>9701</v>
      </c>
      <c r="E1914" s="11" t="str">
        <f>HYPERLINK("https://twitter.com/jpeelle/status/702620431119831042","702620431119831042")</f>
        <v>702620431119831042</v>
      </c>
      <c r="F1914" s="12" t="s">
        <v>1082</v>
      </c>
      <c r="G1914" s="13">
        <v>2399.0</v>
      </c>
      <c r="H1914" s="13">
        <v>1494.0</v>
      </c>
      <c r="I1914" s="13">
        <v>10.0</v>
      </c>
      <c r="J1914" s="13">
        <v>0.0</v>
      </c>
      <c r="K1914" s="12" t="s">
        <v>21</v>
      </c>
      <c r="L1914" s="7">
        <v>39053.48446759259</v>
      </c>
      <c r="M1914" s="14" t="s">
        <v>9713</v>
      </c>
      <c r="N1914" s="14" t="s">
        <v>9714</v>
      </c>
      <c r="O1914" s="11" t="str">
        <f>HYPERLINK("https://pbs.twimg.com/profile_images/1649546185/photo_small_normal.jpg","View")</f>
        <v>View</v>
      </c>
      <c r="P1914" s="15"/>
    </row>
    <row r="1915">
      <c r="A1915" s="7">
        <v>42424.60145833333</v>
      </c>
      <c r="B1915" s="8" t="str">
        <f>HYPERLINK("https://twitter.com/Herr_T_Punkt","@Herr_T_Punkt")</f>
        <v>@Herr_T_Punkt</v>
      </c>
      <c r="C1915" s="10" t="s">
        <v>9715</v>
      </c>
      <c r="D1915" s="10" t="s">
        <v>9685</v>
      </c>
      <c r="E1915" s="11" t="str">
        <f>HYPERLINK("https://twitter.com/Herr_T_Punkt/status/702620543871279104","702620543871279104")</f>
        <v>702620543871279104</v>
      </c>
      <c r="F1915" s="12" t="s">
        <v>4867</v>
      </c>
      <c r="G1915" s="13">
        <v>50.0</v>
      </c>
      <c r="H1915" s="13">
        <v>193.0</v>
      </c>
      <c r="I1915" s="13">
        <v>7.0</v>
      </c>
      <c r="J1915" s="13">
        <v>0.0</v>
      </c>
      <c r="K1915" s="12" t="s">
        <v>21</v>
      </c>
      <c r="L1915" s="7">
        <v>41698.57638888889</v>
      </c>
      <c r="M1915" s="16"/>
      <c r="N1915" s="14" t="s">
        <v>9716</v>
      </c>
      <c r="O1915" s="11" t="str">
        <f>HYPERLINK("https://pbs.twimg.com/profile_images/494577347996041216/86N3E1P6_normal.jpeg","View")</f>
        <v>View</v>
      </c>
      <c r="P1915" s="15"/>
    </row>
    <row r="1916">
      <c r="A1916" s="7">
        <v>42424.60179398148</v>
      </c>
      <c r="B1916" s="8" t="str">
        <f>HYPERLINK("https://twitter.com/segalop","@segalop")</f>
        <v>@segalop</v>
      </c>
      <c r="C1916" s="10" t="s">
        <v>6448</v>
      </c>
      <c r="D1916" s="10" t="s">
        <v>9717</v>
      </c>
      <c r="E1916" s="11" t="str">
        <f>HYPERLINK("https://twitter.com/segalop/status/702620667448000512","702620667448000512")</f>
        <v>702620667448000512</v>
      </c>
      <c r="F1916" s="12" t="s">
        <v>3154</v>
      </c>
      <c r="G1916" s="13">
        <v>172.0</v>
      </c>
      <c r="H1916" s="13">
        <v>378.0</v>
      </c>
      <c r="I1916" s="13">
        <v>0.0</v>
      </c>
      <c r="J1916" s="13">
        <v>0.0</v>
      </c>
      <c r="K1916" s="12" t="s">
        <v>21</v>
      </c>
      <c r="L1916" s="7">
        <v>41328.53219907408</v>
      </c>
      <c r="M1916" s="16"/>
      <c r="N1916" s="14" t="s">
        <v>6449</v>
      </c>
      <c r="O1916" s="11" t="str">
        <f>HYPERLINK("https://pbs.twimg.com/profile_images/470626645083037696/FicOo9YX_normal.jpeg","View")</f>
        <v>View</v>
      </c>
      <c r="P1916" s="15"/>
    </row>
    <row r="1917">
      <c r="A1917" s="7">
        <v>42424.60319444444</v>
      </c>
      <c r="B1917" s="8" t="str">
        <f>HYPERLINK("https://twitter.com/StatsbyLopez","@StatsbyLopez")</f>
        <v>@StatsbyLopez</v>
      </c>
      <c r="C1917" s="10" t="s">
        <v>9718</v>
      </c>
      <c r="D1917" s="10" t="s">
        <v>9719</v>
      </c>
      <c r="E1917" s="11" t="str">
        <f>HYPERLINK("https://twitter.com/StatsbyLopez/status/702621172391804929","702621172391804929")</f>
        <v>702621172391804929</v>
      </c>
      <c r="F1917" s="12" t="s">
        <v>20</v>
      </c>
      <c r="G1917" s="13">
        <v>4037.0</v>
      </c>
      <c r="H1917" s="13">
        <v>395.0</v>
      </c>
      <c r="I1917" s="13">
        <v>4.0</v>
      </c>
      <c r="J1917" s="13">
        <v>15.0</v>
      </c>
      <c r="K1917" s="12" t="s">
        <v>21</v>
      </c>
      <c r="L1917" s="7">
        <v>40989.80640046296</v>
      </c>
      <c r="M1917" s="14" t="s">
        <v>9720</v>
      </c>
      <c r="N1917" s="14" t="s">
        <v>9721</v>
      </c>
      <c r="O1917" s="11" t="str">
        <f>HYPERLINK("https://pbs.twimg.com/profile_images/3565865204/5f0c13bd6309acbde3016cd6d641179e_normal.jpeg","View")</f>
        <v>View</v>
      </c>
      <c r="P1917" s="15"/>
    </row>
    <row r="1918">
      <c r="A1918" s="7">
        <v>42424.60320601852</v>
      </c>
      <c r="B1918" s="8" t="str">
        <f>HYPERLINK("https://twitter.com/mluebbecke","@mluebbecke")</f>
        <v>@mluebbecke</v>
      </c>
      <c r="C1918" s="10" t="s">
        <v>9722</v>
      </c>
      <c r="D1918" s="10" t="s">
        <v>9723</v>
      </c>
      <c r="E1918" s="11" t="str">
        <f>HYPERLINK("https://twitter.com/mluebbecke/status/702621176011616256","702621176011616256")</f>
        <v>702621176011616256</v>
      </c>
      <c r="F1918" s="12" t="s">
        <v>152</v>
      </c>
      <c r="G1918" s="13">
        <v>2459.0</v>
      </c>
      <c r="H1918" s="13">
        <v>546.0</v>
      </c>
      <c r="I1918" s="13">
        <v>3.0</v>
      </c>
      <c r="J1918" s="13">
        <v>0.0</v>
      </c>
      <c r="K1918" s="12" t="s">
        <v>21</v>
      </c>
      <c r="L1918" s="7">
        <v>39981.51273148148</v>
      </c>
      <c r="M1918" s="14" t="s">
        <v>9724</v>
      </c>
      <c r="N1918" s="14" t="s">
        <v>9725</v>
      </c>
      <c r="O1918" s="11" t="str">
        <f>HYPERLINK("https://pbs.twimg.com/profile_images/648632901307867136/wbuESpIn_normal.jpg","View")</f>
        <v>View</v>
      </c>
      <c r="P1918" s="15"/>
    </row>
    <row r="1919">
      <c r="A1919" s="7">
        <v>42424.60351851852</v>
      </c>
      <c r="B1919" s="8" t="str">
        <f>HYPERLINK("https://twitter.com/DownIsTheNewUp_","@DownIsTheNewUp_")</f>
        <v>@DownIsTheNewUp_</v>
      </c>
      <c r="C1919" s="10" t="s">
        <v>9726</v>
      </c>
      <c r="D1919" s="10" t="s">
        <v>9727</v>
      </c>
      <c r="E1919" s="11" t="str">
        <f>HYPERLINK("https://twitter.com/DownIsTheNewUp_/status/702621288989261824","702621288989261824")</f>
        <v>702621288989261824</v>
      </c>
      <c r="F1919" s="12" t="s">
        <v>446</v>
      </c>
      <c r="G1919" s="13">
        <v>2017.0</v>
      </c>
      <c r="H1919" s="13">
        <v>173.0</v>
      </c>
      <c r="I1919" s="13">
        <v>4.0</v>
      </c>
      <c r="J1919" s="13">
        <v>0.0</v>
      </c>
      <c r="K1919" s="12" t="s">
        <v>21</v>
      </c>
      <c r="L1919" s="7">
        <v>40245.69327546297</v>
      </c>
      <c r="M1919" s="14" t="s">
        <v>9728</v>
      </c>
      <c r="N1919" s="14" t="s">
        <v>9729</v>
      </c>
      <c r="O1919" s="11" t="str">
        <f>HYPERLINK("https://pbs.twimg.com/profile_images/699091394032377856/_0QqmfZr_normal.jpg","View")</f>
        <v>View</v>
      </c>
      <c r="P1919" s="15"/>
    </row>
    <row r="1920">
      <c r="A1920" s="7">
        <v>42424.603854166664</v>
      </c>
      <c r="B1920" s="8" t="str">
        <f>HYPERLINK("https://twitter.com/ParkvilleGeek","@ParkvilleGeek")</f>
        <v>@ParkvilleGeek</v>
      </c>
      <c r="C1920" s="10" t="s">
        <v>9730</v>
      </c>
      <c r="D1920" s="10" t="s">
        <v>9701</v>
      </c>
      <c r="E1920" s="11" t="str">
        <f>HYPERLINK("https://twitter.com/ParkvilleGeek/status/702621413102870528","702621413102870528")</f>
        <v>702621413102870528</v>
      </c>
      <c r="F1920" s="12" t="s">
        <v>52</v>
      </c>
      <c r="G1920" s="13">
        <v>283.0</v>
      </c>
      <c r="H1920" s="13">
        <v>526.0</v>
      </c>
      <c r="I1920" s="13">
        <v>10.0</v>
      </c>
      <c r="J1920" s="13">
        <v>0.0</v>
      </c>
      <c r="K1920" s="12" t="s">
        <v>21</v>
      </c>
      <c r="L1920" s="7">
        <v>41430.92706018519</v>
      </c>
      <c r="M1920" s="14" t="s">
        <v>9731</v>
      </c>
      <c r="N1920" s="14" t="s">
        <v>9732</v>
      </c>
      <c r="O1920" s="11" t="str">
        <f>HYPERLINK("https://pbs.twimg.com/profile_images/601623719031615488/QCrg1lW8_normal.jpg","View")</f>
        <v>View</v>
      </c>
      <c r="P1920" s="15"/>
    </row>
    <row r="1921">
      <c r="A1921" s="7">
        <v>42424.60440972222</v>
      </c>
      <c r="B1921" s="8" t="str">
        <f>HYPERLINK("https://twitter.com/AnalyticsVidhya","@AnalyticsVidhya")</f>
        <v>@AnalyticsVidhya</v>
      </c>
      <c r="C1921" s="10" t="s">
        <v>2998</v>
      </c>
      <c r="D1921" s="10" t="s">
        <v>9733</v>
      </c>
      <c r="E1921" s="11" t="str">
        <f>HYPERLINK("https://twitter.com/AnalyticsVidhya/status/702621612206649344","702621612206649344")</f>
        <v>702621612206649344</v>
      </c>
      <c r="F1921" s="12" t="s">
        <v>294</v>
      </c>
      <c r="G1921" s="13">
        <v>4133.0</v>
      </c>
      <c r="H1921" s="13">
        <v>250.0</v>
      </c>
      <c r="I1921" s="13">
        <v>0.0</v>
      </c>
      <c r="J1921" s="13">
        <v>1.0</v>
      </c>
      <c r="K1921" s="12" t="s">
        <v>21</v>
      </c>
      <c r="L1921" s="7">
        <v>41665.11702546296</v>
      </c>
      <c r="M1921" s="16"/>
      <c r="N1921" s="14" t="s">
        <v>3000</v>
      </c>
      <c r="O1921" s="11" t="str">
        <f>HYPERLINK("https://pbs.twimg.com/profile_images/457775762108448768/XmO2C1-E_normal.png","View")</f>
        <v>View</v>
      </c>
      <c r="P1921" s="15"/>
    </row>
    <row r="1922">
      <c r="A1922" s="7">
        <v>42424.60460648148</v>
      </c>
      <c r="B1922" s="8" t="str">
        <f>HYPERLINK("https://twitter.com/FantasyDouche","@FantasyDouche")</f>
        <v>@FantasyDouche</v>
      </c>
      <c r="C1922" s="10" t="s">
        <v>9734</v>
      </c>
      <c r="D1922" s="10" t="s">
        <v>9727</v>
      </c>
      <c r="E1922" s="11" t="str">
        <f>HYPERLINK("https://twitter.com/FantasyDouche/status/702621683534802944","702621683534802944")</f>
        <v>702621683534802944</v>
      </c>
      <c r="F1922" s="12" t="s">
        <v>446</v>
      </c>
      <c r="G1922" s="13">
        <v>38453.0</v>
      </c>
      <c r="H1922" s="13">
        <v>1191.0</v>
      </c>
      <c r="I1922" s="13">
        <v>4.0</v>
      </c>
      <c r="J1922" s="13">
        <v>0.0</v>
      </c>
      <c r="K1922" s="12" t="s">
        <v>21</v>
      </c>
      <c r="L1922" s="7">
        <v>40669.34947916667</v>
      </c>
      <c r="M1922" s="14" t="s">
        <v>1264</v>
      </c>
      <c r="N1922" s="14" t="s">
        <v>9735</v>
      </c>
      <c r="O1922" s="11" t="str">
        <f>HYPERLINK("https://pbs.twimg.com/profile_images/1454378226/fd-head_normal.jpg","View")</f>
        <v>View</v>
      </c>
      <c r="P1922" s="15"/>
    </row>
    <row r="1923">
      <c r="A1923" s="7">
        <v>42424.60569444444</v>
      </c>
      <c r="B1923" s="8" t="str">
        <f>HYPERLINK("https://twitter.com/dasaptaerwin","@dasaptaerwin")</f>
        <v>@dasaptaerwin</v>
      </c>
      <c r="C1923" s="10" t="s">
        <v>1040</v>
      </c>
      <c r="D1923" s="10" t="s">
        <v>9736</v>
      </c>
      <c r="E1923" s="11" t="str">
        <f>HYPERLINK("https://twitter.com/dasaptaerwin/status/702622078558715908","702622078558715908")</f>
        <v>702622078558715908</v>
      </c>
      <c r="F1923" s="12" t="s">
        <v>20</v>
      </c>
      <c r="G1923" s="13">
        <v>502.0</v>
      </c>
      <c r="H1923" s="13">
        <v>347.0</v>
      </c>
      <c r="I1923" s="13">
        <v>0.0</v>
      </c>
      <c r="J1923" s="13">
        <v>1.0</v>
      </c>
      <c r="K1923" s="12" t="s">
        <v>21</v>
      </c>
      <c r="L1923" s="7">
        <v>40522.75613425926</v>
      </c>
      <c r="M1923" s="18" t="s">
        <v>1042</v>
      </c>
      <c r="N1923" s="14" t="s">
        <v>1043</v>
      </c>
      <c r="O1923" s="11" t="str">
        <f>HYPERLINK("https://pbs.twimg.com/profile_images/695959239957688320/MJ4p8POC_normal.jpg","View")</f>
        <v>View</v>
      </c>
      <c r="P1923" s="15"/>
    </row>
    <row r="1924">
      <c r="A1924" s="7">
        <v>42424.60706018518</v>
      </c>
      <c r="B1924" s="8" t="str">
        <f>HYPERLINK("https://twitter.com/aartfranken","@aartfranken")</f>
        <v>@aartfranken</v>
      </c>
      <c r="C1924" s="10" t="s">
        <v>9737</v>
      </c>
      <c r="D1924" s="10" t="s">
        <v>9701</v>
      </c>
      <c r="E1924" s="11" t="str">
        <f>HYPERLINK("https://twitter.com/aartfranken/status/702622574128328705","702622574128328705")</f>
        <v>702622574128328705</v>
      </c>
      <c r="F1924" s="12" t="s">
        <v>20</v>
      </c>
      <c r="G1924" s="13">
        <v>225.0</v>
      </c>
      <c r="H1924" s="13">
        <v>152.0</v>
      </c>
      <c r="I1924" s="13">
        <v>10.0</v>
      </c>
      <c r="J1924" s="13">
        <v>0.0</v>
      </c>
      <c r="K1924" s="12" t="s">
        <v>21</v>
      </c>
      <c r="L1924" s="7">
        <v>40524.48133101852</v>
      </c>
      <c r="M1924" s="14" t="s">
        <v>9738</v>
      </c>
      <c r="N1924" s="14" t="s">
        <v>9739</v>
      </c>
      <c r="O1924" s="11" t="str">
        <f>HYPERLINK("https://pbs.twimg.com/profile_images/640891009627516928/qYOcdcJn_normal.png","View")</f>
        <v>View</v>
      </c>
      <c r="P1924" s="15"/>
    </row>
    <row r="1925">
      <c r="A1925" s="7">
        <v>42424.60822916667</v>
      </c>
      <c r="B1925" s="8" t="str">
        <f>HYPERLINK("https://twitter.com/IQuantNY","@IQuantNY")</f>
        <v>@IQuantNY</v>
      </c>
      <c r="C1925" s="10" t="s">
        <v>9740</v>
      </c>
      <c r="D1925" s="10" t="s">
        <v>9741</v>
      </c>
      <c r="E1925" s="11" t="str">
        <f>HYPERLINK("https://twitter.com/IQuantNY/status/702622997786599429","702622997786599429")</f>
        <v>702622997786599429</v>
      </c>
      <c r="F1925" s="12" t="s">
        <v>52</v>
      </c>
      <c r="G1925" s="13">
        <v>4996.0</v>
      </c>
      <c r="H1925" s="13">
        <v>358.0</v>
      </c>
      <c r="I1925" s="13">
        <v>12.0</v>
      </c>
      <c r="J1925" s="13">
        <v>0.0</v>
      </c>
      <c r="K1925" s="12" t="s">
        <v>21</v>
      </c>
      <c r="L1925" s="7">
        <v>41688.80908564815</v>
      </c>
      <c r="M1925" s="14" t="s">
        <v>695</v>
      </c>
      <c r="N1925" s="14" t="s">
        <v>9742</v>
      </c>
      <c r="O1925" s="11" t="str">
        <f>HYPERLINK("https://pbs.twimg.com/profile_images/557000965329412096/16jjVGRp_normal.jpeg","View")</f>
        <v>View</v>
      </c>
      <c r="P1925" s="15"/>
    </row>
    <row r="1926">
      <c r="A1926" s="7">
        <v>42424.60967592592</v>
      </c>
      <c r="B1926" s="8" t="str">
        <f>HYPERLINK("https://twitter.com/calli993","@calli993")</f>
        <v>@calli993</v>
      </c>
      <c r="C1926" s="10" t="s">
        <v>9102</v>
      </c>
      <c r="D1926" s="10" t="s">
        <v>9743</v>
      </c>
      <c r="E1926" s="11" t="str">
        <f>HYPERLINK("https://twitter.com/calli993/status/702623521931923458","702623521931923458")</f>
        <v>702623521931923458</v>
      </c>
      <c r="F1926" s="12" t="s">
        <v>20</v>
      </c>
      <c r="G1926" s="13">
        <v>50.0</v>
      </c>
      <c r="H1926" s="13">
        <v>144.0</v>
      </c>
      <c r="I1926" s="13">
        <v>0.0</v>
      </c>
      <c r="J1926" s="13">
        <v>0.0</v>
      </c>
      <c r="K1926" s="12" t="s">
        <v>21</v>
      </c>
      <c r="L1926" s="7">
        <v>39639.24077546296</v>
      </c>
      <c r="M1926" s="14" t="s">
        <v>9104</v>
      </c>
      <c r="N1926" s="14" t="s">
        <v>9105</v>
      </c>
      <c r="O1926" s="11" t="str">
        <f>HYPERLINK("https://pbs.twimg.com/profile_images/1698849697/9911-225_normal.JPG","View")</f>
        <v>View</v>
      </c>
      <c r="P1926" s="15"/>
    </row>
    <row r="1927">
      <c r="A1927" s="7">
        <v>42424.61</v>
      </c>
      <c r="B1927" s="8" t="str">
        <f>HYPERLINK("https://twitter.com/segalop","@segalop")</f>
        <v>@segalop</v>
      </c>
      <c r="C1927" s="10" t="s">
        <v>6448</v>
      </c>
      <c r="D1927" s="10" t="s">
        <v>9744</v>
      </c>
      <c r="E1927" s="11" t="str">
        <f>HYPERLINK("https://twitter.com/segalop/status/702623639313715200","702623639313715200")</f>
        <v>702623639313715200</v>
      </c>
      <c r="F1927" s="12" t="s">
        <v>3154</v>
      </c>
      <c r="G1927" s="13">
        <v>172.0</v>
      </c>
      <c r="H1927" s="13">
        <v>378.0</v>
      </c>
      <c r="I1927" s="13">
        <v>0.0</v>
      </c>
      <c r="J1927" s="13">
        <v>0.0</v>
      </c>
      <c r="K1927" s="12" t="s">
        <v>21</v>
      </c>
      <c r="L1927" s="7">
        <v>41328.53219907408</v>
      </c>
      <c r="M1927" s="16"/>
      <c r="N1927" s="14" t="s">
        <v>6449</v>
      </c>
      <c r="O1927" s="11" t="str">
        <f>HYPERLINK("https://pbs.twimg.com/profile_images/470626645083037696/FicOo9YX_normal.jpeg","View")</f>
        <v>View</v>
      </c>
      <c r="P1927" s="15"/>
    </row>
    <row r="1928">
      <c r="A1928" s="7">
        <v>42424.61057870371</v>
      </c>
      <c r="B1928" s="8" t="str">
        <f>HYPERLINK("https://twitter.com/nyhackr","@nyhackr")</f>
        <v>@nyhackr</v>
      </c>
      <c r="C1928" s="10" t="s">
        <v>8455</v>
      </c>
      <c r="D1928" s="10" t="s">
        <v>9745</v>
      </c>
      <c r="E1928" s="11" t="str">
        <f>HYPERLINK("https://twitter.com/nyhackr/status/702623850295595008","702623850295595008")</f>
        <v>702623850295595008</v>
      </c>
      <c r="F1928" s="12" t="s">
        <v>446</v>
      </c>
      <c r="G1928" s="13">
        <v>1020.0</v>
      </c>
      <c r="H1928" s="13">
        <v>69.0</v>
      </c>
      <c r="I1928" s="13">
        <v>7.0</v>
      </c>
      <c r="J1928" s="13">
        <v>5.0</v>
      </c>
      <c r="K1928" s="12" t="s">
        <v>21</v>
      </c>
      <c r="L1928" s="7">
        <v>40437.41012731481</v>
      </c>
      <c r="M1928" s="14" t="s">
        <v>8457</v>
      </c>
      <c r="N1928" s="14" t="s">
        <v>8458</v>
      </c>
      <c r="O1928" s="11" t="str">
        <f>HYPERLINK("https://pbs.twimg.com/profile_images/1125070699/nyc_stats_normal.jpeg","View")</f>
        <v>View</v>
      </c>
      <c r="P1928" s="15"/>
    </row>
    <row r="1929">
      <c r="A1929" s="7">
        <v>42424.61063657407</v>
      </c>
      <c r="B1929" s="8" t="str">
        <f>HYPERLINK("https://twitter.com/EduardSzoecs","@EduardSzoecs")</f>
        <v>@EduardSzoecs</v>
      </c>
      <c r="C1929" s="10" t="s">
        <v>9746</v>
      </c>
      <c r="D1929" s="10" t="s">
        <v>9484</v>
      </c>
      <c r="E1929" s="11" t="str">
        <f>HYPERLINK("https://twitter.com/EduardSzoecs/status/702623872441585664","702623872441585664")</f>
        <v>702623872441585664</v>
      </c>
      <c r="F1929" s="12" t="s">
        <v>20</v>
      </c>
      <c r="G1929" s="13">
        <v>63.0</v>
      </c>
      <c r="H1929" s="13">
        <v>107.0</v>
      </c>
      <c r="I1929" s="13">
        <v>22.0</v>
      </c>
      <c r="J1929" s="13">
        <v>0.0</v>
      </c>
      <c r="K1929" s="12" t="s">
        <v>21</v>
      </c>
      <c r="L1929" s="7">
        <v>42069.1003125</v>
      </c>
      <c r="M1929" s="14" t="s">
        <v>9747</v>
      </c>
      <c r="N1929" s="14" t="s">
        <v>9748</v>
      </c>
      <c r="O1929" s="11" t="str">
        <f>HYPERLINK("https://pbs.twimg.com/profile_images/623431520901025792/-JsTBXyb_normal.jpg","View")</f>
        <v>View</v>
      </c>
      <c r="P1929" s="15"/>
    </row>
    <row r="1930">
      <c r="A1930" s="7">
        <v>42424.611168981486</v>
      </c>
      <c r="B1930" s="8" t="str">
        <f>HYPERLINK("https://twitter.com/Work_Bench","@Work_Bench")</f>
        <v>@Work_Bench</v>
      </c>
      <c r="C1930" s="10" t="s">
        <v>9749</v>
      </c>
      <c r="D1930" s="10" t="s">
        <v>9750</v>
      </c>
      <c r="E1930" s="11" t="str">
        <f>HYPERLINK("https://twitter.com/Work_Bench/status/702624061743112192","702624061743112192")</f>
        <v>702624061743112192</v>
      </c>
      <c r="F1930" s="12" t="s">
        <v>52</v>
      </c>
      <c r="G1930" s="13">
        <v>2660.0</v>
      </c>
      <c r="H1930" s="13">
        <v>908.0</v>
      </c>
      <c r="I1930" s="13">
        <v>7.0</v>
      </c>
      <c r="J1930" s="13">
        <v>0.0</v>
      </c>
      <c r="K1930" s="12" t="s">
        <v>21</v>
      </c>
      <c r="L1930" s="7">
        <v>41226.574791666666</v>
      </c>
      <c r="M1930" s="14" t="s">
        <v>1090</v>
      </c>
      <c r="N1930" s="14" t="s">
        <v>9751</v>
      </c>
      <c r="O1930" s="11" t="str">
        <f>HYPERLINK("https://pbs.twimg.com/profile_images/344513261578151878/c55583ddc53197527f82fd937e5a5c68_normal.png","View")</f>
        <v>View</v>
      </c>
      <c r="P1930" s="15"/>
    </row>
    <row r="1931">
      <c r="A1931" s="7">
        <v>42424.611493055556</v>
      </c>
      <c r="B1931" s="8" t="str">
        <f>HYPERLINK("https://twitter.com/mickey_graham","@mickey_graham")</f>
        <v>@mickey_graham</v>
      </c>
      <c r="C1931" s="10" t="s">
        <v>9752</v>
      </c>
      <c r="D1931" s="10" t="s">
        <v>9750</v>
      </c>
      <c r="E1931" s="11" t="str">
        <f>HYPERLINK("https://twitter.com/mickey_graham/status/702624181448478721","702624181448478721")</f>
        <v>702624181448478721</v>
      </c>
      <c r="F1931" s="12" t="s">
        <v>52</v>
      </c>
      <c r="G1931" s="13">
        <v>2667.0</v>
      </c>
      <c r="H1931" s="13">
        <v>2200.0</v>
      </c>
      <c r="I1931" s="13">
        <v>7.0</v>
      </c>
      <c r="J1931" s="13">
        <v>0.0</v>
      </c>
      <c r="K1931" s="12" t="s">
        <v>21</v>
      </c>
      <c r="L1931" s="7">
        <v>40273.61777777778</v>
      </c>
      <c r="M1931" s="14" t="s">
        <v>4787</v>
      </c>
      <c r="N1931" s="14" t="s">
        <v>9753</v>
      </c>
      <c r="O1931" s="11" t="str">
        <f>HYPERLINK("https://pbs.twimg.com/profile_images/574977005273272320/3FYbgJH1_normal.jpeg","View")</f>
        <v>View</v>
      </c>
      <c r="P1931" s="15"/>
    </row>
    <row r="1932">
      <c r="A1932" s="7">
        <v>42424.61170138889</v>
      </c>
      <c r="B1932" s="8" t="str">
        <f>HYPERLINK("https://twitter.com/wxybox211","@wxybox211")</f>
        <v>@wxybox211</v>
      </c>
      <c r="C1932" s="10" t="s">
        <v>9754</v>
      </c>
      <c r="D1932" s="10" t="s">
        <v>9741</v>
      </c>
      <c r="E1932" s="11" t="str">
        <f>HYPERLINK("https://twitter.com/wxybox211/status/702624256186847232","702624256186847232")</f>
        <v>702624256186847232</v>
      </c>
      <c r="F1932" s="12" t="s">
        <v>20</v>
      </c>
      <c r="G1932" s="13">
        <v>1.0</v>
      </c>
      <c r="H1932" s="13">
        <v>7.0</v>
      </c>
      <c r="I1932" s="13">
        <v>12.0</v>
      </c>
      <c r="J1932" s="13">
        <v>0.0</v>
      </c>
      <c r="K1932" s="12" t="s">
        <v>21</v>
      </c>
      <c r="L1932" s="7">
        <v>41948.05273148148</v>
      </c>
      <c r="M1932" s="16"/>
      <c r="N1932" s="16"/>
      <c r="O1932" s="11" t="str">
        <f>HYPERLINK("https://pbs.twimg.com/profile_images/702600815912087553/ATZE5x1l_normal.jpg","View")</f>
        <v>View</v>
      </c>
      <c r="P1932" s="15"/>
    </row>
    <row r="1933">
      <c r="A1933" s="7">
        <v>42424.61206018519</v>
      </c>
      <c r="B1933" s="8" t="str">
        <f>HYPERLINK("https://twitter.com/IanDworkin","@IanDworkin")</f>
        <v>@IanDworkin</v>
      </c>
      <c r="C1933" s="10" t="s">
        <v>9755</v>
      </c>
      <c r="D1933" s="10" t="s">
        <v>9617</v>
      </c>
      <c r="E1933" s="11" t="str">
        <f>HYPERLINK("https://twitter.com/IanDworkin/status/702624387070107649","702624387070107649")</f>
        <v>702624387070107649</v>
      </c>
      <c r="F1933" s="12" t="s">
        <v>52</v>
      </c>
      <c r="G1933" s="13">
        <v>1278.0</v>
      </c>
      <c r="H1933" s="13">
        <v>600.0</v>
      </c>
      <c r="I1933" s="13">
        <v>16.0</v>
      </c>
      <c r="J1933" s="13">
        <v>0.0</v>
      </c>
      <c r="K1933" s="12" t="s">
        <v>21</v>
      </c>
      <c r="L1933" s="7">
        <v>41297.571284722224</v>
      </c>
      <c r="M1933" s="14" t="s">
        <v>9756</v>
      </c>
      <c r="N1933" s="14" t="s">
        <v>9757</v>
      </c>
      <c r="O1933" s="11" t="str">
        <f>HYPERLINK("https://pbs.twimg.com/profile_images/3154151095/3788d5de7a75dafb33d17c6108456cbc_normal.jpeg","View")</f>
        <v>View</v>
      </c>
      <c r="P1933" s="15"/>
    </row>
    <row r="1934">
      <c r="A1934" s="7">
        <v>42424.6124074074</v>
      </c>
      <c r="B1934" s="8" t="str">
        <f>HYPERLINK("https://twitter.com/graemehein","@graemehein")</f>
        <v>@graemehein</v>
      </c>
      <c r="C1934" s="10" t="s">
        <v>9758</v>
      </c>
      <c r="D1934" s="10" t="s">
        <v>9750</v>
      </c>
      <c r="E1934" s="11" t="str">
        <f>HYPERLINK("https://twitter.com/graemehein/status/702624510579646464","702624510579646464")</f>
        <v>702624510579646464</v>
      </c>
      <c r="F1934" s="12" t="s">
        <v>152</v>
      </c>
      <c r="G1934" s="13">
        <v>1213.0</v>
      </c>
      <c r="H1934" s="13">
        <v>2171.0</v>
      </c>
      <c r="I1934" s="13">
        <v>7.0</v>
      </c>
      <c r="J1934" s="13">
        <v>0.0</v>
      </c>
      <c r="K1934" s="12" t="s">
        <v>21</v>
      </c>
      <c r="L1934" s="7">
        <v>39959.55726851852</v>
      </c>
      <c r="M1934" s="16"/>
      <c r="N1934" s="14" t="s">
        <v>9759</v>
      </c>
      <c r="O1934" s="11" t="str">
        <f>HYPERLINK("https://pbs.twimg.com/profile_images/552173650137198592/r-gaEEc-_normal.jpeg","View")</f>
        <v>View</v>
      </c>
      <c r="P1934" s="15"/>
    </row>
    <row r="1935">
      <c r="A1935" s="7">
        <v>42424.61300925926</v>
      </c>
      <c r="B1935" s="8" t="str">
        <f>HYPERLINK("https://twitter.com/JJHall20","@JJHall20")</f>
        <v>@JJHall20</v>
      </c>
      <c r="C1935" s="10" t="s">
        <v>9760</v>
      </c>
      <c r="D1935" s="10" t="s">
        <v>9741</v>
      </c>
      <c r="E1935" s="11" t="str">
        <f>HYPERLINK("https://twitter.com/JJHall20/status/702624731460182016","702624731460182016")</f>
        <v>702624731460182016</v>
      </c>
      <c r="F1935" s="12" t="s">
        <v>20</v>
      </c>
      <c r="G1935" s="13">
        <v>34.0</v>
      </c>
      <c r="H1935" s="13">
        <v>65.0</v>
      </c>
      <c r="I1935" s="13">
        <v>12.0</v>
      </c>
      <c r="J1935" s="13">
        <v>0.0</v>
      </c>
      <c r="K1935" s="12" t="s">
        <v>21</v>
      </c>
      <c r="L1935" s="7">
        <v>42287.3993287037</v>
      </c>
      <c r="M1935" s="14" t="s">
        <v>2994</v>
      </c>
      <c r="N1935" s="14" t="s">
        <v>9761</v>
      </c>
      <c r="O1935" s="11" t="str">
        <f>HYPERLINK("https://pbs.twimg.com/profile_images/682937004049305600/pohdL7mw_normal.jpg","View")</f>
        <v>View</v>
      </c>
      <c r="P1935" s="15"/>
    </row>
    <row r="1936">
      <c r="A1936" s="7">
        <v>42424.613078703704</v>
      </c>
      <c r="B1936" s="8" t="str">
        <f>HYPERLINK("https://twitter.com/kyle_e_walker","@kyle_e_walker")</f>
        <v>@kyle_e_walker</v>
      </c>
      <c r="C1936" s="10" t="s">
        <v>7852</v>
      </c>
      <c r="D1936" s="10" t="s">
        <v>9762</v>
      </c>
      <c r="E1936" s="11" t="str">
        <f>HYPERLINK("https://twitter.com/kyle_e_walker/status/702624755069775872","702624755069775872")</f>
        <v>702624755069775872</v>
      </c>
      <c r="F1936" s="12" t="s">
        <v>52</v>
      </c>
      <c r="G1936" s="13">
        <v>704.0</v>
      </c>
      <c r="H1936" s="13">
        <v>455.0</v>
      </c>
      <c r="I1936" s="13">
        <v>1.0</v>
      </c>
      <c r="J1936" s="13">
        <v>1.0</v>
      </c>
      <c r="K1936" s="12" t="s">
        <v>21</v>
      </c>
      <c r="L1936" s="7">
        <v>40314.349594907406</v>
      </c>
      <c r="M1936" s="14" t="s">
        <v>7853</v>
      </c>
      <c r="N1936" s="14" t="s">
        <v>7854</v>
      </c>
      <c r="O1936" s="11" t="str">
        <f>HYPERLINK("https://pbs.twimg.com/profile_images/535539844479332354/CA9doTjY_normal.jpeg","View")</f>
        <v>View</v>
      </c>
      <c r="P1936" s="15"/>
    </row>
    <row r="1937">
      <c r="A1937" s="7">
        <v>42424.615000000005</v>
      </c>
      <c r="B1937" s="8" t="str">
        <f>HYPERLINK("https://twitter.com/mathiaspicker","@mathiaspicker")</f>
        <v>@mathiaspicker</v>
      </c>
      <c r="C1937" s="10" t="s">
        <v>6742</v>
      </c>
      <c r="D1937" s="10" t="s">
        <v>9723</v>
      </c>
      <c r="E1937" s="11" t="str">
        <f>HYPERLINK("https://twitter.com/mathiaspicker/status/702625452989550593","702625452989550593")</f>
        <v>702625452989550593</v>
      </c>
      <c r="F1937" s="12" t="s">
        <v>152</v>
      </c>
      <c r="G1937" s="13">
        <v>334.0</v>
      </c>
      <c r="H1937" s="13">
        <v>1251.0</v>
      </c>
      <c r="I1937" s="13">
        <v>3.0</v>
      </c>
      <c r="J1937" s="13">
        <v>0.0</v>
      </c>
      <c r="K1937" s="12" t="s">
        <v>21</v>
      </c>
      <c r="L1937" s="7">
        <v>39905.57471064815</v>
      </c>
      <c r="M1937" s="14" t="s">
        <v>6743</v>
      </c>
      <c r="N1937" s="14" t="s">
        <v>6744</v>
      </c>
      <c r="O1937" s="11" t="str">
        <f>HYPERLINK("https://pbs.twimg.com/profile_images/121126854/OpenID_normal.jpg","View")</f>
        <v>View</v>
      </c>
      <c r="P1937" s="15"/>
    </row>
    <row r="1938">
      <c r="A1938" s="7">
        <v>42424.61876157408</v>
      </c>
      <c r="B1938" s="8" t="str">
        <f>HYPERLINK("https://twitter.com/AriLamstein","@AriLamstein")</f>
        <v>@AriLamstein</v>
      </c>
      <c r="C1938" s="10" t="s">
        <v>6680</v>
      </c>
      <c r="D1938" s="10" t="s">
        <v>9484</v>
      </c>
      <c r="E1938" s="11" t="str">
        <f>HYPERLINK("https://twitter.com/AriLamstein/status/702626815219634176","702626815219634176")</f>
        <v>702626815219634176</v>
      </c>
      <c r="F1938" s="12" t="s">
        <v>20</v>
      </c>
      <c r="G1938" s="13">
        <v>577.0</v>
      </c>
      <c r="H1938" s="13">
        <v>254.0</v>
      </c>
      <c r="I1938" s="13">
        <v>22.0</v>
      </c>
      <c r="J1938" s="13">
        <v>0.0</v>
      </c>
      <c r="K1938" s="12" t="s">
        <v>21</v>
      </c>
      <c r="L1938" s="7">
        <v>41654.58315972222</v>
      </c>
      <c r="M1938" s="14" t="s">
        <v>69</v>
      </c>
      <c r="N1938" s="14" t="s">
        <v>6682</v>
      </c>
      <c r="O1938" s="11" t="str">
        <f>HYPERLINK("https://pbs.twimg.com/profile_images/424265489666162688/OSt8nLEe_normal.jpeg","View")</f>
        <v>View</v>
      </c>
      <c r="P1938" s="15"/>
    </row>
    <row r="1939">
      <c r="A1939" s="7">
        <v>42424.619305555556</v>
      </c>
      <c r="B1939" s="8" t="str">
        <f>HYPERLINK("https://twitter.com/MKrzywinski","@MKrzywinski")</f>
        <v>@MKrzywinski</v>
      </c>
      <c r="C1939" s="10" t="s">
        <v>8646</v>
      </c>
      <c r="D1939" s="10" t="s">
        <v>9179</v>
      </c>
      <c r="E1939" s="11" t="str">
        <f>HYPERLINK("https://twitter.com/MKrzywinski/status/702627011672432640","702627011672432640")</f>
        <v>702627011672432640</v>
      </c>
      <c r="F1939" s="12" t="s">
        <v>52</v>
      </c>
      <c r="G1939" s="13">
        <v>1060.0</v>
      </c>
      <c r="H1939" s="13">
        <v>27.0</v>
      </c>
      <c r="I1939" s="13">
        <v>12.0</v>
      </c>
      <c r="J1939" s="13">
        <v>0.0</v>
      </c>
      <c r="K1939" s="12" t="s">
        <v>21</v>
      </c>
      <c r="L1939" s="7">
        <v>40898.62636574074</v>
      </c>
      <c r="M1939" s="14" t="s">
        <v>2216</v>
      </c>
      <c r="N1939" s="14" t="s">
        <v>8648</v>
      </c>
      <c r="O1939" s="11" t="str">
        <f>HYPERLINK("https://pbs.twimg.com/profile_images/1706909550/mk_normal.jpg","View")</f>
        <v>View</v>
      </c>
      <c r="P1939" s="15"/>
    </row>
    <row r="1940">
      <c r="A1940" s="7">
        <v>42424.62133101852</v>
      </c>
      <c r="B1940" s="8" t="str">
        <f>HYPERLINK("https://twitter.com/0ttlngr","@0ttlngr")</f>
        <v>@0ttlngr</v>
      </c>
      <c r="C1940" s="10" t="s">
        <v>9089</v>
      </c>
      <c r="D1940" s="10" t="s">
        <v>9763</v>
      </c>
      <c r="E1940" s="11" t="str">
        <f>HYPERLINK("https://twitter.com/0ttlngr/status/702627744987914240","702627744987914240")</f>
        <v>702627744987914240</v>
      </c>
      <c r="F1940" s="12" t="s">
        <v>20</v>
      </c>
      <c r="G1940" s="13">
        <v>10.0</v>
      </c>
      <c r="H1940" s="13">
        <v>209.0</v>
      </c>
      <c r="I1940" s="13">
        <v>3.0</v>
      </c>
      <c r="J1940" s="13">
        <v>8.0</v>
      </c>
      <c r="K1940" s="12" t="s">
        <v>21</v>
      </c>
      <c r="L1940" s="7">
        <v>42408.70351851852</v>
      </c>
      <c r="M1940" s="14" t="s">
        <v>9091</v>
      </c>
      <c r="N1940" s="14" t="s">
        <v>9092</v>
      </c>
      <c r="O1940" s="11" t="str">
        <f>HYPERLINK("https://pbs.twimg.com/profile_images/697103122162962434/vXqoolw3_normal.png","View")</f>
        <v>View</v>
      </c>
      <c r="P1940" s="15"/>
    </row>
    <row r="1941">
      <c r="A1941" s="7">
        <v>42424.62224537037</v>
      </c>
      <c r="B1941" s="8" t="str">
        <f>HYPERLINK("https://twitter.com/AriLamstein","@AriLamstein")</f>
        <v>@AriLamstein</v>
      </c>
      <c r="C1941" s="10" t="s">
        <v>6680</v>
      </c>
      <c r="D1941" s="10" t="s">
        <v>9764</v>
      </c>
      <c r="E1941" s="11" t="str">
        <f>HYPERLINK("https://twitter.com/AriLamstein/status/702628075599585281","702628075599585281")</f>
        <v>702628075599585281</v>
      </c>
      <c r="F1941" s="12" t="s">
        <v>20</v>
      </c>
      <c r="G1941" s="13">
        <v>577.0</v>
      </c>
      <c r="H1941" s="13">
        <v>254.0</v>
      </c>
      <c r="I1941" s="13">
        <v>0.0</v>
      </c>
      <c r="J1941" s="13">
        <v>0.0</v>
      </c>
      <c r="K1941" s="12" t="s">
        <v>21</v>
      </c>
      <c r="L1941" s="7">
        <v>41654.58315972222</v>
      </c>
      <c r="M1941" s="14" t="s">
        <v>69</v>
      </c>
      <c r="N1941" s="14" t="s">
        <v>6682</v>
      </c>
      <c r="O1941" s="11" t="str">
        <f>HYPERLINK("https://pbs.twimg.com/profile_images/424265489666162688/OSt8nLEe_normal.jpeg","View")</f>
        <v>View</v>
      </c>
      <c r="P1941" s="15"/>
    </row>
    <row r="1942">
      <c r="A1942" s="7">
        <v>42424.62267361111</v>
      </c>
      <c r="B1942" s="8" t="str">
        <f>HYPERLINK("https://twitter.com/steeljawpanda","@steeljawpanda")</f>
        <v>@steeljawpanda</v>
      </c>
      <c r="C1942" s="10" t="s">
        <v>9765</v>
      </c>
      <c r="D1942" s="10" t="s">
        <v>9617</v>
      </c>
      <c r="E1942" s="11" t="str">
        <f>HYPERLINK("https://twitter.com/steeljawpanda/status/702628231170682880","702628231170682880")</f>
        <v>702628231170682880</v>
      </c>
      <c r="F1942" s="12" t="s">
        <v>446</v>
      </c>
      <c r="G1942" s="13">
        <v>88.0</v>
      </c>
      <c r="H1942" s="13">
        <v>124.0</v>
      </c>
      <c r="I1942" s="13">
        <v>16.0</v>
      </c>
      <c r="J1942" s="13">
        <v>0.0</v>
      </c>
      <c r="K1942" s="12" t="s">
        <v>21</v>
      </c>
      <c r="L1942" s="7">
        <v>40255.25418981482</v>
      </c>
      <c r="M1942" s="16"/>
      <c r="N1942" s="14" t="s">
        <v>9766</v>
      </c>
      <c r="O1942" s="11" t="str">
        <f>HYPERLINK("https://pbs.twimg.com/profile_images/378800000855920045/2e74a6f56d99d7681fd5ea635628dbb2_normal.jpeg","View")</f>
        <v>View</v>
      </c>
      <c r="P1942" s="15"/>
    </row>
    <row r="1943">
      <c r="A1943" s="7">
        <v>42424.6268287037</v>
      </c>
      <c r="B1943" s="8" t="str">
        <f>HYPERLINK("https://twitter.com/MarsRafique","@MarsRafique")</f>
        <v>@MarsRafique</v>
      </c>
      <c r="C1943" s="10" t="s">
        <v>9767</v>
      </c>
      <c r="D1943" s="10" t="s">
        <v>9741</v>
      </c>
      <c r="E1943" s="11" t="str">
        <f>HYPERLINK("https://twitter.com/MarsRafique/status/702629736632090624","702629736632090624")</f>
        <v>702629736632090624</v>
      </c>
      <c r="F1943" s="12" t="s">
        <v>20</v>
      </c>
      <c r="G1943" s="13">
        <v>75.0</v>
      </c>
      <c r="H1943" s="13">
        <v>257.0</v>
      </c>
      <c r="I1943" s="13">
        <v>12.0</v>
      </c>
      <c r="J1943" s="13">
        <v>0.0</v>
      </c>
      <c r="K1943" s="12" t="s">
        <v>21</v>
      </c>
      <c r="L1943" s="7">
        <v>40286.32790509259</v>
      </c>
      <c r="M1943" s="16"/>
      <c r="N1943" s="14" t="s">
        <v>9768</v>
      </c>
      <c r="O1943" s="11" t="str">
        <f>HYPERLINK("https://pbs.twimg.com/profile_images/652283639653343233/k1KtM8h8_normal.jpg","View")</f>
        <v>View</v>
      </c>
      <c r="P1943" s="15"/>
    </row>
    <row r="1944">
      <c r="A1944" s="7">
        <v>42424.62789351852</v>
      </c>
      <c r="B1944" s="8" t="str">
        <f>HYPERLINK("https://twitter.com/DataRobot","@DataRobot")</f>
        <v>@DataRobot</v>
      </c>
      <c r="C1944" s="10" t="s">
        <v>987</v>
      </c>
      <c r="D1944" s="10" t="s">
        <v>9769</v>
      </c>
      <c r="E1944" s="11" t="str">
        <f>HYPERLINK("https://twitter.com/DataRobot/status/702630122780753920","702630122780753920")</f>
        <v>702630122780753920</v>
      </c>
      <c r="F1944" s="12" t="s">
        <v>294</v>
      </c>
      <c r="G1944" s="13">
        <v>4334.0</v>
      </c>
      <c r="H1944" s="13">
        <v>894.0</v>
      </c>
      <c r="I1944" s="13">
        <v>3.0</v>
      </c>
      <c r="J1944" s="13">
        <v>13.0</v>
      </c>
      <c r="K1944" s="12" t="s">
        <v>21</v>
      </c>
      <c r="L1944" s="7">
        <v>41089.823900462965</v>
      </c>
      <c r="M1944" s="14" t="s">
        <v>332</v>
      </c>
      <c r="N1944" s="14" t="s">
        <v>989</v>
      </c>
      <c r="O1944" s="11" t="str">
        <f>HYPERLINK("https://pbs.twimg.com/profile_images/703235203922272256/eZEm66_z_normal.jpg","View")</f>
        <v>View</v>
      </c>
      <c r="P1944" s="15"/>
    </row>
    <row r="1945">
      <c r="A1945" s="7">
        <v>42424.62789351852</v>
      </c>
      <c r="B1945" s="8" t="str">
        <f>HYPERLINK("https://twitter.com/sentiwire","@sentiwire")</f>
        <v>@sentiwire</v>
      </c>
      <c r="C1945" s="10" t="s">
        <v>381</v>
      </c>
      <c r="D1945" s="10" t="s">
        <v>9770</v>
      </c>
      <c r="E1945" s="11" t="str">
        <f>HYPERLINK("https://twitter.com/sentiwire/status/702630126144491521","702630126144491521")</f>
        <v>702630126144491521</v>
      </c>
      <c r="F1945" s="12" t="s">
        <v>383</v>
      </c>
      <c r="G1945" s="13">
        <v>515.0</v>
      </c>
      <c r="H1945" s="13">
        <v>1716.0</v>
      </c>
      <c r="I1945" s="13">
        <v>3.0</v>
      </c>
      <c r="J1945" s="13">
        <v>0.0</v>
      </c>
      <c r="K1945" s="12" t="s">
        <v>21</v>
      </c>
      <c r="L1945" s="7">
        <v>41422.629641203705</v>
      </c>
      <c r="M1945" s="16"/>
      <c r="N1945" s="14" t="s">
        <v>384</v>
      </c>
      <c r="O1945" s="11" t="str">
        <f>HYPERLINK("https://pbs.twimg.com/profile_images/686965105473396736/B9V5UtGS_normal.jpg","View")</f>
        <v>View</v>
      </c>
      <c r="P1945" s="15"/>
    </row>
    <row r="1946">
      <c r="A1946" s="7">
        <v>42424.62944444444</v>
      </c>
      <c r="B1946" s="8" t="str">
        <f>HYPERLINK("https://twitter.com/Emaasit","@Emaasit")</f>
        <v>@Emaasit</v>
      </c>
      <c r="C1946" s="10" t="s">
        <v>7313</v>
      </c>
      <c r="D1946" s="10" t="s">
        <v>9459</v>
      </c>
      <c r="E1946" s="11" t="str">
        <f>HYPERLINK("https://twitter.com/Emaasit/status/702630687623360512","702630687623360512")</f>
        <v>702630687623360512</v>
      </c>
      <c r="F1946" s="12" t="s">
        <v>20</v>
      </c>
      <c r="G1946" s="13">
        <v>1025.0</v>
      </c>
      <c r="H1946" s="13">
        <v>2909.0</v>
      </c>
      <c r="I1946" s="13">
        <v>11.0</v>
      </c>
      <c r="J1946" s="13">
        <v>0.0</v>
      </c>
      <c r="K1946" s="12" t="s">
        <v>21</v>
      </c>
      <c r="L1946" s="7">
        <v>39981.148981481485</v>
      </c>
      <c r="M1946" s="14" t="s">
        <v>7315</v>
      </c>
      <c r="N1946" s="14" t="s">
        <v>7316</v>
      </c>
      <c r="O1946" s="11" t="str">
        <f>HYPERLINK("https://pbs.twimg.com/profile_images/567588045927354370/NN8xp_M5_normal.jpeg","View")</f>
        <v>View</v>
      </c>
      <c r="P1946" s="15"/>
    </row>
    <row r="1947">
      <c r="A1947" s="7">
        <v>42424.6297337963</v>
      </c>
      <c r="B1947" s="8" t="str">
        <f>HYPERLINK("https://twitter.com/DerFredo","@DerFredo")</f>
        <v>@DerFredo</v>
      </c>
      <c r="C1947" s="10" t="s">
        <v>9771</v>
      </c>
      <c r="D1947" s="10" t="s">
        <v>9772</v>
      </c>
      <c r="E1947" s="11" t="str">
        <f>HYPERLINK("https://twitter.com/DerFredo/status/702630789620568064","702630789620568064")</f>
        <v>702630789620568064</v>
      </c>
      <c r="F1947" s="12" t="s">
        <v>446</v>
      </c>
      <c r="G1947" s="13">
        <v>432.0</v>
      </c>
      <c r="H1947" s="13">
        <v>547.0</v>
      </c>
      <c r="I1947" s="13">
        <v>0.0</v>
      </c>
      <c r="J1947" s="13">
        <v>0.0</v>
      </c>
      <c r="K1947" s="12" t="s">
        <v>21</v>
      </c>
      <c r="L1947" s="7">
        <v>39801.08034722222</v>
      </c>
      <c r="M1947" s="14" t="s">
        <v>9773</v>
      </c>
      <c r="N1947" s="14" t="s">
        <v>9774</v>
      </c>
      <c r="O1947" s="11" t="str">
        <f>HYPERLINK("https://pbs.twimg.com/profile_images/702262401882718208/LQ3N9NUM_normal.png","View")</f>
        <v>View</v>
      </c>
      <c r="P1947" s="15"/>
    </row>
    <row r="1948">
      <c r="A1948" s="7">
        <v>42424.62982638889</v>
      </c>
      <c r="B1948" s="8" t="str">
        <f>HYPERLINK("https://twitter.com/BillPetti","@BillPetti")</f>
        <v>@BillPetti</v>
      </c>
      <c r="C1948" s="10" t="s">
        <v>7229</v>
      </c>
      <c r="D1948" s="10" t="s">
        <v>9775</v>
      </c>
      <c r="E1948" s="11" t="str">
        <f>HYPERLINK("https://twitter.com/BillPetti/status/702630826677301248","702630826677301248")</f>
        <v>702630826677301248</v>
      </c>
      <c r="F1948" s="12" t="s">
        <v>52</v>
      </c>
      <c r="G1948" s="13">
        <v>2350.0</v>
      </c>
      <c r="H1948" s="13">
        <v>978.0</v>
      </c>
      <c r="I1948" s="13">
        <v>0.0</v>
      </c>
      <c r="J1948" s="13">
        <v>0.0</v>
      </c>
      <c r="K1948" s="12" t="s">
        <v>21</v>
      </c>
      <c r="L1948" s="7">
        <v>39909.537997685184</v>
      </c>
      <c r="M1948" s="14" t="s">
        <v>7231</v>
      </c>
      <c r="N1948" s="14" t="s">
        <v>7232</v>
      </c>
      <c r="O1948" s="11" t="str">
        <f>HYPERLINK("https://pbs.twimg.com/profile_images/378800000666016370/4659ea1cf77b789e488e4c6888419315_normal.png","View")</f>
        <v>View</v>
      </c>
      <c r="P1948" s="15"/>
    </row>
    <row r="1949">
      <c r="A1949" s="7">
        <v>42424.63111111111</v>
      </c>
      <c r="B1949" s="8" t="str">
        <f>HYPERLINK("https://twitter.com/lustyandlewd","@lustyandlewd")</f>
        <v>@lustyandlewd</v>
      </c>
      <c r="C1949" s="10" t="s">
        <v>9776</v>
      </c>
      <c r="D1949" s="10" t="s">
        <v>9727</v>
      </c>
      <c r="E1949" s="11" t="str">
        <f>HYPERLINK("https://twitter.com/lustyandlewd/status/702631288428171264","702631288428171264")</f>
        <v>702631288428171264</v>
      </c>
      <c r="F1949" s="12" t="s">
        <v>20</v>
      </c>
      <c r="G1949" s="13">
        <v>130.0</v>
      </c>
      <c r="H1949" s="13">
        <v>152.0</v>
      </c>
      <c r="I1949" s="13">
        <v>4.0</v>
      </c>
      <c r="J1949" s="13">
        <v>0.0</v>
      </c>
      <c r="K1949" s="12" t="s">
        <v>21</v>
      </c>
      <c r="L1949" s="7">
        <v>40046.82045138889</v>
      </c>
      <c r="M1949" s="14" t="s">
        <v>1693</v>
      </c>
      <c r="N1949" s="14" t="s">
        <v>9777</v>
      </c>
      <c r="O1949" s="11" t="str">
        <f>HYPERLINK("https://pbs.twimg.com/profile_images/1771582928/wind_tunnel_trimmed_normal.jpg","View")</f>
        <v>View</v>
      </c>
      <c r="P1949" s="15"/>
    </row>
    <row r="1950">
      <c r="A1950" s="7">
        <v>42424.63145833333</v>
      </c>
      <c r="B1950" s="8" t="str">
        <f>HYPERLINK("https://twitter.com/bartonpoulson","@bartonpoulson")</f>
        <v>@bartonpoulson</v>
      </c>
      <c r="C1950" s="10" t="s">
        <v>7744</v>
      </c>
      <c r="D1950" s="10" t="s">
        <v>9778</v>
      </c>
      <c r="E1950" s="11" t="str">
        <f>HYPERLINK("https://twitter.com/bartonpoulson/status/702631415410782209","702631415410782209")</f>
        <v>702631415410782209</v>
      </c>
      <c r="F1950" s="12" t="s">
        <v>294</v>
      </c>
      <c r="G1950" s="13">
        <v>53.0</v>
      </c>
      <c r="H1950" s="13">
        <v>39.0</v>
      </c>
      <c r="I1950" s="13">
        <v>0.0</v>
      </c>
      <c r="J1950" s="13">
        <v>1.0</v>
      </c>
      <c r="K1950" s="12" t="s">
        <v>21</v>
      </c>
      <c r="L1950" s="7">
        <v>41841.396099537036</v>
      </c>
      <c r="M1950" s="14" t="s">
        <v>7746</v>
      </c>
      <c r="N1950" s="14" t="s">
        <v>7747</v>
      </c>
      <c r="O1950" s="11" t="str">
        <f>HYPERLINK("https://pbs.twimg.com/profile_images/695090864083701760/T-xRoICU_normal.jpg","View")</f>
        <v>View</v>
      </c>
      <c r="P1950" s="15"/>
    </row>
    <row r="1951">
      <c r="A1951" s="7">
        <v>42424.631840277776</v>
      </c>
      <c r="B1951" s="8" t="str">
        <f>HYPERLINK("https://twitter.com/andyteucher","@andyteucher")</f>
        <v>@andyteucher</v>
      </c>
      <c r="C1951" s="10" t="s">
        <v>7758</v>
      </c>
      <c r="D1951" s="10" t="s">
        <v>9433</v>
      </c>
      <c r="E1951" s="11" t="str">
        <f>HYPERLINK("https://twitter.com/andyteucher/status/702631553717829632","702631553717829632")</f>
        <v>702631553717829632</v>
      </c>
      <c r="F1951" s="12" t="s">
        <v>446</v>
      </c>
      <c r="G1951" s="13">
        <v>236.0</v>
      </c>
      <c r="H1951" s="13">
        <v>530.0</v>
      </c>
      <c r="I1951" s="13">
        <v>3.0</v>
      </c>
      <c r="J1951" s="13">
        <v>0.0</v>
      </c>
      <c r="K1951" s="12" t="s">
        <v>21</v>
      </c>
      <c r="L1951" s="7">
        <v>40340.96523148148</v>
      </c>
      <c r="M1951" s="14" t="s">
        <v>7759</v>
      </c>
      <c r="N1951" s="14" t="s">
        <v>7760</v>
      </c>
      <c r="O1951" s="11" t="str">
        <f>HYPERLINK("https://pbs.twimg.com/profile_images/509021766979579904/lAjlpu7x_normal.jpeg","View")</f>
        <v>View</v>
      </c>
      <c r="P1951" s="15"/>
    </row>
    <row r="1952">
      <c r="A1952" s="7">
        <v>42424.63221064815</v>
      </c>
      <c r="B1952" s="8" t="str">
        <f>HYPERLINK("https://twitter.com/SparkIQ_Labs","@SparkIQ_Labs")</f>
        <v>@SparkIQ_Labs</v>
      </c>
      <c r="C1952" s="10" t="s">
        <v>8631</v>
      </c>
      <c r="D1952" s="10" t="s">
        <v>9779</v>
      </c>
      <c r="E1952" s="11" t="str">
        <f>HYPERLINK("https://twitter.com/SparkIQ_Labs/status/702631689223168000","702631689223168000")</f>
        <v>702631689223168000</v>
      </c>
      <c r="F1952" s="12" t="s">
        <v>20</v>
      </c>
      <c r="G1952" s="13">
        <v>542.0</v>
      </c>
      <c r="H1952" s="13">
        <v>1516.0</v>
      </c>
      <c r="I1952" s="13">
        <v>0.0</v>
      </c>
      <c r="J1952" s="13">
        <v>0.0</v>
      </c>
      <c r="K1952" s="12" t="s">
        <v>21</v>
      </c>
      <c r="L1952" s="7">
        <v>42283.45340277778</v>
      </c>
      <c r="M1952" s="14" t="s">
        <v>7315</v>
      </c>
      <c r="N1952" s="14" t="s">
        <v>8633</v>
      </c>
      <c r="O1952" s="11" t="str">
        <f>HYPERLINK("https://pbs.twimg.com/profile_images/651885368279568384/JY9VXNaJ_normal.jpg","View")</f>
        <v>View</v>
      </c>
      <c r="P1952" s="15"/>
    </row>
    <row r="1953">
      <c r="A1953" s="7">
        <v>42424.6331712963</v>
      </c>
      <c r="B1953" s="8" t="str">
        <f>HYPERLINK("https://twitter.com/jebyrnes","@jebyrnes")</f>
        <v>@jebyrnes</v>
      </c>
      <c r="C1953" s="10" t="s">
        <v>9189</v>
      </c>
      <c r="D1953" s="10" t="s">
        <v>9780</v>
      </c>
      <c r="E1953" s="11" t="str">
        <f>HYPERLINK("https://twitter.com/jebyrnes/status/702632037845504000","702632037845504000")</f>
        <v>702632037845504000</v>
      </c>
      <c r="F1953" s="12" t="s">
        <v>20</v>
      </c>
      <c r="G1953" s="13">
        <v>3188.0</v>
      </c>
      <c r="H1953" s="13">
        <v>2368.0</v>
      </c>
      <c r="I1953" s="13">
        <v>0.0</v>
      </c>
      <c r="J1953" s="13">
        <v>2.0</v>
      </c>
      <c r="K1953" s="12" t="s">
        <v>21</v>
      </c>
      <c r="L1953" s="7">
        <v>39867.62258101852</v>
      </c>
      <c r="M1953" s="14" t="s">
        <v>332</v>
      </c>
      <c r="N1953" s="14" t="s">
        <v>9191</v>
      </c>
      <c r="O1953" s="11" t="str">
        <f>HYPERLINK("https://pbs.twimg.com/profile_images/1278324526/Screen_shot_2011-03-18_at_11.05.13_AM_normal.png","View")</f>
        <v>View</v>
      </c>
      <c r="P1953" s="15"/>
    </row>
    <row r="1954">
      <c r="A1954" s="7">
        <v>42424.63391203704</v>
      </c>
      <c r="B1954" s="8" t="str">
        <f>HYPERLINK("https://twitter.com/WebScraperDB","@WebScraperDB")</f>
        <v>@WebScraperDB</v>
      </c>
      <c r="C1954" s="10" t="s">
        <v>2743</v>
      </c>
      <c r="D1954" s="10" t="s">
        <v>9781</v>
      </c>
      <c r="E1954" s="11" t="str">
        <f>HYPERLINK("https://twitter.com/WebScraperDB/status/702632304666091520","702632304666091520")</f>
        <v>702632304666091520</v>
      </c>
      <c r="F1954" s="12" t="s">
        <v>2743</v>
      </c>
      <c r="G1954" s="13">
        <v>298.0</v>
      </c>
      <c r="H1954" s="13">
        <v>927.0</v>
      </c>
      <c r="I1954" s="13">
        <v>0.0</v>
      </c>
      <c r="J1954" s="13">
        <v>0.0</v>
      </c>
      <c r="K1954" s="12" t="s">
        <v>21</v>
      </c>
      <c r="L1954" s="7">
        <v>42410.33493055556</v>
      </c>
      <c r="M1954" s="14" t="s">
        <v>2745</v>
      </c>
      <c r="N1954" s="14" t="s">
        <v>2746</v>
      </c>
      <c r="O1954" s="11" t="str">
        <f>HYPERLINK("https://pbs.twimg.com/profile_images/699545598450606080/s8CU8cVg_normal.png","View")</f>
        <v>View</v>
      </c>
      <c r="P1954" s="15"/>
    </row>
    <row r="1955">
      <c r="A1955" s="7">
        <v>42424.635833333334</v>
      </c>
      <c r="B1955" s="8" t="str">
        <f>HYPERLINK("https://twitter.com/datalabcc","@datalabcc")</f>
        <v>@datalabcc</v>
      </c>
      <c r="C1955" s="9" t="s">
        <v>9782</v>
      </c>
      <c r="D1955" s="10" t="s">
        <v>7777</v>
      </c>
      <c r="E1955" s="11" t="str">
        <f>HYPERLINK("https://twitter.com/datalabcc/status/702633000656363520","702633000656363520")</f>
        <v>702633000656363520</v>
      </c>
      <c r="F1955" s="12" t="s">
        <v>294</v>
      </c>
      <c r="G1955" s="13">
        <v>235.0</v>
      </c>
      <c r="H1955" s="13">
        <v>499.0</v>
      </c>
      <c r="I1955" s="13">
        <v>2.0</v>
      </c>
      <c r="J1955" s="13">
        <v>0.0</v>
      </c>
      <c r="K1955" s="12" t="s">
        <v>21</v>
      </c>
      <c r="L1955" s="7">
        <v>39661.61927083333</v>
      </c>
      <c r="M1955" s="14" t="s">
        <v>9783</v>
      </c>
      <c r="N1955" s="14" t="s">
        <v>9784</v>
      </c>
      <c r="O1955" s="11" t="str">
        <f>HYPERLINK("https://pbs.twimg.com/profile_images/500029963387408384/w3aCs2eI_normal.png","View")</f>
        <v>View</v>
      </c>
      <c r="P1955" s="15"/>
    </row>
    <row r="1956">
      <c r="A1956" s="7">
        <v>42424.63949074074</v>
      </c>
      <c r="B1956" s="8" t="str">
        <f>HYPERLINK("https://twitter.com/SeqAnalysis","@SeqAnalysis")</f>
        <v>@SeqAnalysis</v>
      </c>
      <c r="C1956" s="10" t="s">
        <v>9785</v>
      </c>
      <c r="D1956" s="10" t="s">
        <v>9701</v>
      </c>
      <c r="E1956" s="11" t="str">
        <f>HYPERLINK("https://twitter.com/SeqAnalysis/status/702634327855734784","702634327855734784")</f>
        <v>702634327855734784</v>
      </c>
      <c r="F1956" s="12" t="s">
        <v>152</v>
      </c>
      <c r="G1956" s="13">
        <v>150.0</v>
      </c>
      <c r="H1956" s="13">
        <v>254.0</v>
      </c>
      <c r="I1956" s="13">
        <v>10.0</v>
      </c>
      <c r="J1956" s="13">
        <v>0.0</v>
      </c>
      <c r="K1956" s="12" t="s">
        <v>21</v>
      </c>
      <c r="L1956" s="7">
        <v>40952.59212962963</v>
      </c>
      <c r="M1956" s="14" t="s">
        <v>9786</v>
      </c>
      <c r="N1956" s="14" t="s">
        <v>9787</v>
      </c>
      <c r="O1956" s="11" t="str">
        <f>HYPERLINK("https://pbs.twimg.com/profile_images/463416449986347008/_7EjxgJN_normal.jpeg","View")</f>
        <v>View</v>
      </c>
      <c r="P1956" s="15"/>
    </row>
    <row r="1957">
      <c r="A1957" s="7">
        <v>42424.64141203703</v>
      </c>
      <c r="B1957" s="8" t="str">
        <f>HYPERLINK("https://twitter.com/ricphd","@ricphd")</f>
        <v>@ricphd</v>
      </c>
      <c r="C1957" s="10" t="s">
        <v>9788</v>
      </c>
      <c r="D1957" s="10" t="s">
        <v>9459</v>
      </c>
      <c r="E1957" s="11" t="str">
        <f>HYPERLINK("https://twitter.com/ricphd/status/702635024730951680","702635024730951680")</f>
        <v>702635024730951680</v>
      </c>
      <c r="F1957" s="12" t="s">
        <v>52</v>
      </c>
      <c r="G1957" s="13">
        <v>70.0</v>
      </c>
      <c r="H1957" s="13">
        <v>46.0</v>
      </c>
      <c r="I1957" s="13">
        <v>11.0</v>
      </c>
      <c r="J1957" s="13">
        <v>0.0</v>
      </c>
      <c r="K1957" s="12" t="s">
        <v>21</v>
      </c>
      <c r="L1957" s="7">
        <v>40570.19416666667</v>
      </c>
      <c r="M1957" s="16"/>
      <c r="N1957" s="16"/>
      <c r="O1957" s="11" t="str">
        <f>HYPERLINK("https://pbs.twimg.com/profile_images/378800000069653636/0f35849ccb4ae9e9e1fa50059d4c39df_normal.jpeg","View")</f>
        <v>View</v>
      </c>
      <c r="P1957" s="15"/>
    </row>
    <row r="1958">
      <c r="A1958" s="7">
        <v>42424.64569444444</v>
      </c>
      <c r="B1958" s="8" t="str">
        <f>HYPERLINK("https://twitter.com/FrederikAust","@FrederikAust")</f>
        <v>@FrederikAust</v>
      </c>
      <c r="C1958" s="10" t="s">
        <v>9789</v>
      </c>
      <c r="D1958" s="10" t="s">
        <v>6636</v>
      </c>
      <c r="E1958" s="11" t="str">
        <f>HYPERLINK("https://twitter.com/FrederikAust/status/702636573129621504","702636573129621504")</f>
        <v>702636573129621504</v>
      </c>
      <c r="F1958" s="12" t="s">
        <v>8691</v>
      </c>
      <c r="G1958" s="13">
        <v>112.0</v>
      </c>
      <c r="H1958" s="13">
        <v>107.0</v>
      </c>
      <c r="I1958" s="13">
        <v>3.0</v>
      </c>
      <c r="J1958" s="13">
        <v>0.0</v>
      </c>
      <c r="K1958" s="12" t="s">
        <v>21</v>
      </c>
      <c r="L1958" s="7">
        <v>41654.02853009259</v>
      </c>
      <c r="M1958" s="14" t="s">
        <v>9790</v>
      </c>
      <c r="N1958" s="14" t="s">
        <v>9791</v>
      </c>
      <c r="O1958" s="11" t="str">
        <f>HYPERLINK("https://pbs.twimg.com/profile_images/530465194451804160/N18Hg1Gl_normal.jpeg","View")</f>
        <v>View</v>
      </c>
      <c r="P1958" s="15"/>
    </row>
    <row r="1959">
      <c r="A1959" s="7">
        <v>42424.6462962963</v>
      </c>
      <c r="B1959" s="8" t="str">
        <f>HYPERLINK("https://twitter.com/AnalyticsVidhya","@AnalyticsVidhya")</f>
        <v>@AnalyticsVidhya</v>
      </c>
      <c r="C1959" s="10" t="s">
        <v>2998</v>
      </c>
      <c r="D1959" s="10" t="s">
        <v>9792</v>
      </c>
      <c r="E1959" s="11" t="str">
        <f>HYPERLINK("https://twitter.com/AnalyticsVidhya/status/702636794941202432","702636794941202432")</f>
        <v>702636794941202432</v>
      </c>
      <c r="F1959" s="12" t="s">
        <v>294</v>
      </c>
      <c r="G1959" s="13">
        <v>4133.0</v>
      </c>
      <c r="H1959" s="13">
        <v>250.0</v>
      </c>
      <c r="I1959" s="13">
        <v>1.0</v>
      </c>
      <c r="J1959" s="13">
        <v>2.0</v>
      </c>
      <c r="K1959" s="12" t="s">
        <v>21</v>
      </c>
      <c r="L1959" s="7">
        <v>41665.11702546296</v>
      </c>
      <c r="M1959" s="16"/>
      <c r="N1959" s="14" t="s">
        <v>3000</v>
      </c>
      <c r="O1959" s="11" t="str">
        <f>HYPERLINK("https://pbs.twimg.com/profile_images/457775762108448768/XmO2C1-E_normal.png","View")</f>
        <v>View</v>
      </c>
      <c r="P1959" s="15"/>
    </row>
    <row r="1960">
      <c r="A1960" s="7">
        <v>42424.64709490741</v>
      </c>
      <c r="B1960" s="8" t="str">
        <f>HYPERLINK("https://twitter.com/RemiDaigle","@RemiDaigle")</f>
        <v>@RemiDaigle</v>
      </c>
      <c r="C1960" s="10" t="s">
        <v>9793</v>
      </c>
      <c r="D1960" s="10" t="s">
        <v>9794</v>
      </c>
      <c r="E1960" s="11" t="str">
        <f>HYPERLINK("https://twitter.com/RemiDaigle/status/702637082208960513","702637082208960513")</f>
        <v>702637082208960513</v>
      </c>
      <c r="F1960" s="12" t="s">
        <v>20</v>
      </c>
      <c r="G1960" s="13">
        <v>376.0</v>
      </c>
      <c r="H1960" s="13">
        <v>390.0</v>
      </c>
      <c r="I1960" s="13">
        <v>2.0</v>
      </c>
      <c r="J1960" s="13">
        <v>1.0</v>
      </c>
      <c r="K1960" s="12" t="s">
        <v>21</v>
      </c>
      <c r="L1960" s="7">
        <v>41054.266168981485</v>
      </c>
      <c r="M1960" s="14" t="s">
        <v>9795</v>
      </c>
      <c r="N1960" s="14" t="s">
        <v>9796</v>
      </c>
      <c r="O1960" s="11" t="str">
        <f>HYPERLINK("https://pbs.twimg.com/profile_images/2741510716/f8de7b95a276c50d5b8e900ff0d760c4_normal.jpeg","View")</f>
        <v>View</v>
      </c>
      <c r="P1960" s="15"/>
    </row>
    <row r="1961">
      <c r="A1961" s="7">
        <v>42424.64730324074</v>
      </c>
      <c r="B1961" s="8" t="str">
        <f>HYPERLINK("https://twitter.com/alexchubaty","@alexchubaty")</f>
        <v>@alexchubaty</v>
      </c>
      <c r="C1961" s="10" t="s">
        <v>9797</v>
      </c>
      <c r="D1961" s="10" t="s">
        <v>9798</v>
      </c>
      <c r="E1961" s="11" t="str">
        <f>HYPERLINK("https://twitter.com/alexchubaty/status/702637157110796288","702637157110796288")</f>
        <v>702637157110796288</v>
      </c>
      <c r="F1961" s="12" t="s">
        <v>20</v>
      </c>
      <c r="G1961" s="13">
        <v>228.0</v>
      </c>
      <c r="H1961" s="13">
        <v>224.0</v>
      </c>
      <c r="I1961" s="13">
        <v>0.0</v>
      </c>
      <c r="J1961" s="13">
        <v>0.0</v>
      </c>
      <c r="K1961" s="12" t="s">
        <v>21</v>
      </c>
      <c r="L1961" s="7">
        <v>40324.72336805556</v>
      </c>
      <c r="M1961" s="14" t="s">
        <v>9799</v>
      </c>
      <c r="N1961" s="14" t="s">
        <v>9800</v>
      </c>
      <c r="O1961" s="11" t="str">
        <f>HYPERLINK("https://pbs.twimg.com/profile_images/3445541159/00d0e89334b847732c3378d257f9353a_normal.jpeg","View")</f>
        <v>View</v>
      </c>
      <c r="P1961" s="15"/>
    </row>
    <row r="1962">
      <c r="A1962" s="7">
        <v>42424.64806712963</v>
      </c>
      <c r="B1962" s="8" t="str">
        <f>HYPERLINK("https://twitter.com/AriBFriedman","@AriBFriedman")</f>
        <v>@AriBFriedman</v>
      </c>
      <c r="C1962" s="10" t="s">
        <v>9801</v>
      </c>
      <c r="D1962" s="10" t="s">
        <v>9484</v>
      </c>
      <c r="E1962" s="11" t="str">
        <f>HYPERLINK("https://twitter.com/AriBFriedman/status/702637436455747584","702637436455747584")</f>
        <v>702637436455747584</v>
      </c>
      <c r="F1962" s="12" t="s">
        <v>152</v>
      </c>
      <c r="G1962" s="13">
        <v>1124.0</v>
      </c>
      <c r="H1962" s="13">
        <v>1104.0</v>
      </c>
      <c r="I1962" s="13">
        <v>22.0</v>
      </c>
      <c r="J1962" s="13">
        <v>0.0</v>
      </c>
      <c r="K1962" s="12" t="s">
        <v>21</v>
      </c>
      <c r="L1962" s="7">
        <v>41530.32574074074</v>
      </c>
      <c r="M1962" s="14" t="s">
        <v>1099</v>
      </c>
      <c r="N1962" s="14" t="s">
        <v>9802</v>
      </c>
      <c r="O1962" s="11" t="str">
        <f>HYPERLINK("https://pbs.twimg.com/profile_images/378800000506419090/7334033f4b84df6547c6b38121f77636_normal.png","View")</f>
        <v>View</v>
      </c>
      <c r="P1962" s="15"/>
    </row>
    <row r="1963">
      <c r="A1963" s="7">
        <v>42424.648252314815</v>
      </c>
      <c r="B1963" s="8" t="str">
        <f>HYPERLINK("https://twitter.com/CornellMBA_IC","@CornellMBA_IC")</f>
        <v>@CornellMBA_IC</v>
      </c>
      <c r="C1963" s="10" t="s">
        <v>9803</v>
      </c>
      <c r="D1963" s="10" t="s">
        <v>9804</v>
      </c>
      <c r="E1963" s="11" t="str">
        <f>HYPERLINK("https://twitter.com/CornellMBA_IC/status/702637503623331841","702637503623331841")</f>
        <v>702637503623331841</v>
      </c>
      <c r="F1963" s="12" t="s">
        <v>20</v>
      </c>
      <c r="G1963" s="13">
        <v>354.0</v>
      </c>
      <c r="H1963" s="13">
        <v>1368.0</v>
      </c>
      <c r="I1963" s="13">
        <v>1.0</v>
      </c>
      <c r="J1963" s="13">
        <v>0.0</v>
      </c>
      <c r="K1963" s="12" t="s">
        <v>21</v>
      </c>
      <c r="L1963" s="7">
        <v>41888.84122685185</v>
      </c>
      <c r="M1963" s="14" t="s">
        <v>1099</v>
      </c>
      <c r="N1963" s="14" t="s">
        <v>9805</v>
      </c>
      <c r="O1963" s="11" t="str">
        <f>HYPERLINK("https://pbs.twimg.com/profile_images/650770387479973888/hcmaWqHC_normal.jpg","View")</f>
        <v>View</v>
      </c>
      <c r="P1963" s="15"/>
    </row>
    <row r="1964">
      <c r="A1964" s="7">
        <v>42424.649189814816</v>
      </c>
      <c r="B1964" s="8" t="str">
        <f>HYPERLINK("https://twitter.com/TiffanyTimbers","@TiffanyTimbers")</f>
        <v>@TiffanyTimbers</v>
      </c>
      <c r="C1964" s="10" t="s">
        <v>8596</v>
      </c>
      <c r="D1964" s="10" t="s">
        <v>9806</v>
      </c>
      <c r="E1964" s="11" t="str">
        <f>HYPERLINK("https://twitter.com/TiffanyTimbers/status/702637843475070976","702637843475070976")</f>
        <v>702637843475070976</v>
      </c>
      <c r="F1964" s="12" t="s">
        <v>152</v>
      </c>
      <c r="G1964" s="13">
        <v>447.0</v>
      </c>
      <c r="H1964" s="13">
        <v>581.0</v>
      </c>
      <c r="I1964" s="13">
        <v>2.0</v>
      </c>
      <c r="J1964" s="13">
        <v>0.0</v>
      </c>
      <c r="K1964" s="12" t="s">
        <v>21</v>
      </c>
      <c r="L1964" s="7">
        <v>41744.80986111111</v>
      </c>
      <c r="M1964" s="14" t="s">
        <v>1855</v>
      </c>
      <c r="N1964" s="14" t="s">
        <v>8598</v>
      </c>
      <c r="O1964" s="11" t="str">
        <f>HYPERLINK("https://pbs.twimg.com/profile_images/555037927210614786/h0Xxb-Vr_normal.jpeg","View")</f>
        <v>View</v>
      </c>
      <c r="P1964" s="15"/>
    </row>
    <row r="1965">
      <c r="A1965" s="7">
        <v>42424.66203703704</v>
      </c>
      <c r="B1965" s="8" t="str">
        <f>HYPERLINK("https://twitter.com/law_wu","@law_wu")</f>
        <v>@law_wu</v>
      </c>
      <c r="C1965" s="10" t="s">
        <v>9807</v>
      </c>
      <c r="D1965" s="10" t="s">
        <v>9808</v>
      </c>
      <c r="E1965" s="11" t="str">
        <f>HYPERLINK("https://twitter.com/law_wu/status/702642495792939008","702642495792939008")</f>
        <v>702642495792939008</v>
      </c>
      <c r="F1965" s="12" t="s">
        <v>20</v>
      </c>
      <c r="G1965" s="13">
        <v>38.0</v>
      </c>
      <c r="H1965" s="13">
        <v>152.0</v>
      </c>
      <c r="I1965" s="13">
        <v>0.0</v>
      </c>
      <c r="J1965" s="13">
        <v>1.0</v>
      </c>
      <c r="K1965" s="12" t="s">
        <v>21</v>
      </c>
      <c r="L1965" s="7">
        <v>41870.42482638889</v>
      </c>
      <c r="M1965" s="16"/>
      <c r="N1965" s="14" t="s">
        <v>9809</v>
      </c>
      <c r="O1965" s="11" t="str">
        <f>HYPERLINK("https://pbs.twimg.com/profile_images/660492535484125184/aOaAGZNx_normal.jpg","View")</f>
        <v>View</v>
      </c>
      <c r="P1965" s="15"/>
    </row>
    <row r="1966">
      <c r="A1966" s="7">
        <v>42424.662094907406</v>
      </c>
      <c r="B1966" s="8" t="str">
        <f>HYPERLINK("https://twitter.com/TexAgJosh","@TexAgJosh")</f>
        <v>@TexAgJosh</v>
      </c>
      <c r="C1966" s="10" t="s">
        <v>6891</v>
      </c>
      <c r="D1966" s="10" t="s">
        <v>9727</v>
      </c>
      <c r="E1966" s="11" t="str">
        <f>HYPERLINK("https://twitter.com/TexAgJosh/status/702642516328222720","702642516328222720")</f>
        <v>702642516328222720</v>
      </c>
      <c r="F1966" s="12" t="s">
        <v>152</v>
      </c>
      <c r="G1966" s="13">
        <v>170.0</v>
      </c>
      <c r="H1966" s="13">
        <v>404.0</v>
      </c>
      <c r="I1966" s="13">
        <v>4.0</v>
      </c>
      <c r="J1966" s="13">
        <v>0.0</v>
      </c>
      <c r="K1966" s="12" t="s">
        <v>21</v>
      </c>
      <c r="L1966" s="7">
        <v>39923.80861111111</v>
      </c>
      <c r="M1966" s="14" t="s">
        <v>9810</v>
      </c>
      <c r="N1966" s="14" t="s">
        <v>9811</v>
      </c>
      <c r="O1966" s="11" t="str">
        <f>HYPERLINK("https://pbs.twimg.com/profile_images/685611155608358912/WL_54nQj_normal.jpg","View")</f>
        <v>View</v>
      </c>
      <c r="P1966" s="15"/>
    </row>
    <row r="1967">
      <c r="A1967" s="7">
        <v>42424.66434027778</v>
      </c>
      <c r="B1967" s="8" t="str">
        <f>HYPERLINK("https://twitter.com/nhcooper123","@nhcooper123")</f>
        <v>@nhcooper123</v>
      </c>
      <c r="C1967" s="10" t="s">
        <v>9812</v>
      </c>
      <c r="D1967" s="10" t="s">
        <v>9813</v>
      </c>
      <c r="E1967" s="11" t="str">
        <f>HYPERLINK("https://twitter.com/nhcooper123/status/702643332355395585","702643332355395585")</f>
        <v>702643332355395585</v>
      </c>
      <c r="F1967" s="12" t="s">
        <v>52</v>
      </c>
      <c r="G1967" s="13">
        <v>1977.0</v>
      </c>
      <c r="H1967" s="13">
        <v>1028.0</v>
      </c>
      <c r="I1967" s="13">
        <v>10.0</v>
      </c>
      <c r="J1967" s="13">
        <v>0.0</v>
      </c>
      <c r="K1967" s="12" t="s">
        <v>21</v>
      </c>
      <c r="L1967" s="7">
        <v>41149.550671296296</v>
      </c>
      <c r="M1967" s="14" t="s">
        <v>2034</v>
      </c>
      <c r="N1967" s="14" t="s">
        <v>9814</v>
      </c>
      <c r="O1967" s="11" t="str">
        <f>HYPERLINK("https://pbs.twimg.com/profile_images/2553384847/image_normal.jpg","View")</f>
        <v>View</v>
      </c>
      <c r="P1967" s="15"/>
    </row>
    <row r="1968">
      <c r="A1968" s="7">
        <v>42424.667766203704</v>
      </c>
      <c r="B1968" s="8" t="str">
        <f>HYPERLINK("https://twitter.com/DataMic","@DataMic")</f>
        <v>@DataMic</v>
      </c>
      <c r="C1968" s="10" t="s">
        <v>9815</v>
      </c>
      <c r="D1968" s="10" t="s">
        <v>9816</v>
      </c>
      <c r="E1968" s="11" t="str">
        <f>HYPERLINK("https://twitter.com/DataMic/status/702644575421202433","702644575421202433")</f>
        <v>702644575421202433</v>
      </c>
      <c r="F1968" s="12" t="s">
        <v>20</v>
      </c>
      <c r="G1968" s="13">
        <v>132.0</v>
      </c>
      <c r="H1968" s="13">
        <v>153.0</v>
      </c>
      <c r="I1968" s="13">
        <v>1.0</v>
      </c>
      <c r="J1968" s="13">
        <v>1.0</v>
      </c>
      <c r="K1968" s="12" t="s">
        <v>21</v>
      </c>
      <c r="L1968" s="7">
        <v>39924.181134259255</v>
      </c>
      <c r="M1968" s="14" t="s">
        <v>9817</v>
      </c>
      <c r="N1968" s="14" t="s">
        <v>9818</v>
      </c>
      <c r="O1968" s="11" t="str">
        <f>HYPERLINK("https://pbs.twimg.com/profile_images/512064177997766656/z-hrO5_Q_normal.jpeg","View")</f>
        <v>View</v>
      </c>
      <c r="P1968" s="15"/>
    </row>
    <row r="1969">
      <c r="A1969" s="7">
        <v>42424.66956018518</v>
      </c>
      <c r="B1969" s="8" t="str">
        <f>HYPERLINK("https://twitter.com/dr_eldersveld","@dr_eldersveld")</f>
        <v>@dr_eldersveld</v>
      </c>
      <c r="C1969" s="10" t="s">
        <v>9819</v>
      </c>
      <c r="D1969" s="10" t="s">
        <v>9820</v>
      </c>
      <c r="E1969" s="11" t="str">
        <f>HYPERLINK("https://twitter.com/dr_eldersveld/status/702645222786863104","702645222786863104")</f>
        <v>702645222786863104</v>
      </c>
      <c r="F1969" s="12" t="s">
        <v>20</v>
      </c>
      <c r="G1969" s="13">
        <v>237.0</v>
      </c>
      <c r="H1969" s="13">
        <v>376.0</v>
      </c>
      <c r="I1969" s="13">
        <v>1.0</v>
      </c>
      <c r="J1969" s="13">
        <v>0.0</v>
      </c>
      <c r="K1969" s="12" t="s">
        <v>21</v>
      </c>
      <c r="L1969" s="7">
        <v>41565.423680555556</v>
      </c>
      <c r="M1969" s="14" t="s">
        <v>6416</v>
      </c>
      <c r="N1969" s="14" t="s">
        <v>9821</v>
      </c>
      <c r="O1969" s="11" t="str">
        <f>HYPERLINK("https://pbs.twimg.com/profile_images/622068124599238656/7mJZq698_normal.png","View")</f>
        <v>View</v>
      </c>
      <c r="P1969" s="15"/>
    </row>
    <row r="1970">
      <c r="A1970" s="7">
        <v>42424.670706018514</v>
      </c>
      <c r="B1970" s="8" t="str">
        <f>HYPERLINK("https://twitter.com/kobriendublin","@kobriendublin")</f>
        <v>@kobriendublin</v>
      </c>
      <c r="C1970" s="10" t="s">
        <v>7344</v>
      </c>
      <c r="D1970" s="10" t="s">
        <v>9813</v>
      </c>
      <c r="E1970" s="11" t="str">
        <f>HYPERLINK("https://twitter.com/kobriendublin/status/702645640078233600","702645640078233600")</f>
        <v>702645640078233600</v>
      </c>
      <c r="F1970" s="12" t="s">
        <v>20</v>
      </c>
      <c r="G1970" s="13">
        <v>798.0</v>
      </c>
      <c r="H1970" s="13">
        <v>699.0</v>
      </c>
      <c r="I1970" s="13">
        <v>10.0</v>
      </c>
      <c r="J1970" s="13">
        <v>0.0</v>
      </c>
      <c r="K1970" s="12" t="s">
        <v>21</v>
      </c>
      <c r="L1970" s="7">
        <v>39986.10335648148</v>
      </c>
      <c r="M1970" s="14" t="s">
        <v>765</v>
      </c>
      <c r="N1970" s="14" t="s">
        <v>9822</v>
      </c>
      <c r="O1970" s="11" t="str">
        <f>HYPERLINK("https://pbs.twimg.com/profile_images/2570097271/iyno9oc7bspqo32qiby5_normal.jpeg","View")</f>
        <v>View</v>
      </c>
      <c r="P1970" s="15"/>
    </row>
    <row r="1971">
      <c r="A1971" s="7">
        <v>42424.67144675926</v>
      </c>
      <c r="B1971" s="8" t="str">
        <f>HYPERLINK("https://twitter.com/pierreroudier","@pierreroudier")</f>
        <v>@pierreroudier</v>
      </c>
      <c r="C1971" s="10" t="s">
        <v>9823</v>
      </c>
      <c r="D1971" s="10" t="s">
        <v>9813</v>
      </c>
      <c r="E1971" s="11" t="str">
        <f>HYPERLINK("https://twitter.com/pierreroudier/status/702645908857442304","702645908857442304")</f>
        <v>702645908857442304</v>
      </c>
      <c r="F1971" s="12" t="s">
        <v>152</v>
      </c>
      <c r="G1971" s="13">
        <v>706.0</v>
      </c>
      <c r="H1971" s="13">
        <v>847.0</v>
      </c>
      <c r="I1971" s="13">
        <v>10.0</v>
      </c>
      <c r="J1971" s="13">
        <v>0.0</v>
      </c>
      <c r="K1971" s="12" t="s">
        <v>21</v>
      </c>
      <c r="L1971" s="7">
        <v>40351.90420138889</v>
      </c>
      <c r="M1971" s="14" t="s">
        <v>9824</v>
      </c>
      <c r="N1971" s="14" t="s">
        <v>9825</v>
      </c>
      <c r="O1971" s="11" t="str">
        <f>HYPERLINK("https://pbs.twimg.com/profile_images/701587780929921024/6_FMRHuk_normal.jpg","View")</f>
        <v>View</v>
      </c>
      <c r="P1971" s="15"/>
    </row>
    <row r="1972">
      <c r="A1972" s="7">
        <v>42424.67451388889</v>
      </c>
      <c r="B1972" s="8" t="str">
        <f t="shared" ref="B1972:B1973" si="217">HYPERLINK("https://twitter.com/askdrstats","@askdrstats")</f>
        <v>@askdrstats</v>
      </c>
      <c r="C1972" s="10" t="s">
        <v>6485</v>
      </c>
      <c r="D1972" s="10" t="s">
        <v>9685</v>
      </c>
      <c r="E1972" s="11" t="str">
        <f>HYPERLINK("https://twitter.com/askdrstats/status/702647018586394624","702647018586394624")</f>
        <v>702647018586394624</v>
      </c>
      <c r="F1972" s="12" t="s">
        <v>20</v>
      </c>
      <c r="G1972" s="13">
        <v>1024.0</v>
      </c>
      <c r="H1972" s="13">
        <v>592.0</v>
      </c>
      <c r="I1972" s="13">
        <v>7.0</v>
      </c>
      <c r="J1972" s="13">
        <v>0.0</v>
      </c>
      <c r="K1972" s="12" t="s">
        <v>21</v>
      </c>
      <c r="L1972" s="7">
        <v>40681.195069444446</v>
      </c>
      <c r="M1972" s="14" t="s">
        <v>6486</v>
      </c>
      <c r="N1972" s="14" t="s">
        <v>6487</v>
      </c>
      <c r="O1972" s="11" t="str">
        <f t="shared" ref="O1972:O1973" si="218">HYPERLINK("https://pbs.twimg.com/profile_images/421032203703701504/tKrivgxy_normal.jpeg","View")</f>
        <v>View</v>
      </c>
      <c r="P1972" s="15"/>
    </row>
    <row r="1973">
      <c r="A1973" s="7">
        <v>42424.67458333333</v>
      </c>
      <c r="B1973" s="8" t="str">
        <f t="shared" si="217"/>
        <v>@askdrstats</v>
      </c>
      <c r="C1973" s="10" t="s">
        <v>6485</v>
      </c>
      <c r="D1973" s="10" t="s">
        <v>9617</v>
      </c>
      <c r="E1973" s="11" t="str">
        <f>HYPERLINK("https://twitter.com/askdrstats/status/702647045086060544","702647045086060544")</f>
        <v>702647045086060544</v>
      </c>
      <c r="F1973" s="12" t="s">
        <v>20</v>
      </c>
      <c r="G1973" s="13">
        <v>1024.0</v>
      </c>
      <c r="H1973" s="13">
        <v>592.0</v>
      </c>
      <c r="I1973" s="13">
        <v>16.0</v>
      </c>
      <c r="J1973" s="13">
        <v>0.0</v>
      </c>
      <c r="K1973" s="12" t="s">
        <v>21</v>
      </c>
      <c r="L1973" s="7">
        <v>40681.195069444446</v>
      </c>
      <c r="M1973" s="14" t="s">
        <v>6486</v>
      </c>
      <c r="N1973" s="14" t="s">
        <v>6487</v>
      </c>
      <c r="O1973" s="11" t="str">
        <f t="shared" si="218"/>
        <v>View</v>
      </c>
      <c r="P1973" s="15"/>
    </row>
    <row r="1974">
      <c r="A1974" s="7">
        <v>42424.67611111111</v>
      </c>
      <c r="B1974" s="8" t="str">
        <f t="shared" ref="B1974:B1976" si="219">HYPERLINK("https://twitter.com/CRANberriesFeed","@CRANberriesFeed")</f>
        <v>@CRANberriesFeed</v>
      </c>
      <c r="C1974" s="10" t="s">
        <v>6282</v>
      </c>
      <c r="D1974" s="10" t="s">
        <v>9826</v>
      </c>
      <c r="E1974" s="11" t="str">
        <f>HYPERLINK("https://twitter.com/CRANberriesFeed/status/702647598243569665","702647598243569665")</f>
        <v>702647598243569665</v>
      </c>
      <c r="F1974" s="12" t="s">
        <v>6284</v>
      </c>
      <c r="G1974" s="13">
        <v>657.0</v>
      </c>
      <c r="H1974" s="13">
        <v>0.0</v>
      </c>
      <c r="I1974" s="13">
        <v>0.0</v>
      </c>
      <c r="J1974" s="13">
        <v>1.0</v>
      </c>
      <c r="K1974" s="12" t="s">
        <v>21</v>
      </c>
      <c r="L1974" s="7">
        <v>40546.353425925925</v>
      </c>
      <c r="M1974" s="14" t="s">
        <v>1158</v>
      </c>
      <c r="N1974" s="16"/>
      <c r="O1974" s="11" t="str">
        <f t="shared" ref="O1974:O1976" si="220">HYPERLINK("https://pbs.twimg.com/profile_images/1222779560/cran1_normal.jpg","View")</f>
        <v>View</v>
      </c>
      <c r="P1974" s="15"/>
    </row>
    <row r="1975">
      <c r="A1975" s="7">
        <v>42424.67633101852</v>
      </c>
      <c r="B1975" s="8" t="str">
        <f t="shared" si="219"/>
        <v>@CRANberriesFeed</v>
      </c>
      <c r="C1975" s="10" t="s">
        <v>6282</v>
      </c>
      <c r="D1975" s="10" t="s">
        <v>9827</v>
      </c>
      <c r="E1975" s="11" t="str">
        <f>HYPERLINK("https://twitter.com/CRANberriesFeed/status/702647676542820352","702647676542820352")</f>
        <v>702647676542820352</v>
      </c>
      <c r="F1975" s="12" t="s">
        <v>6284</v>
      </c>
      <c r="G1975" s="13">
        <v>657.0</v>
      </c>
      <c r="H1975" s="13">
        <v>0.0</v>
      </c>
      <c r="I1975" s="13">
        <v>0.0</v>
      </c>
      <c r="J1975" s="13">
        <v>0.0</v>
      </c>
      <c r="K1975" s="12" t="s">
        <v>21</v>
      </c>
      <c r="L1975" s="7">
        <v>40546.353425925925</v>
      </c>
      <c r="M1975" s="14" t="s">
        <v>1158</v>
      </c>
      <c r="N1975" s="16"/>
      <c r="O1975" s="11" t="str">
        <f t="shared" si="220"/>
        <v>View</v>
      </c>
      <c r="P1975" s="15"/>
    </row>
    <row r="1976">
      <c r="A1976" s="7">
        <v>42424.67634259259</v>
      </c>
      <c r="B1976" s="8" t="str">
        <f t="shared" si="219"/>
        <v>@CRANberriesFeed</v>
      </c>
      <c r="C1976" s="10" t="s">
        <v>6282</v>
      </c>
      <c r="D1976" s="10" t="s">
        <v>9828</v>
      </c>
      <c r="E1976" s="11" t="str">
        <f>HYPERLINK("https://twitter.com/CRANberriesFeed/status/702647680154079233","702647680154079233")</f>
        <v>702647680154079233</v>
      </c>
      <c r="F1976" s="12" t="s">
        <v>6284</v>
      </c>
      <c r="G1976" s="13">
        <v>657.0</v>
      </c>
      <c r="H1976" s="13">
        <v>0.0</v>
      </c>
      <c r="I1976" s="13">
        <v>0.0</v>
      </c>
      <c r="J1976" s="13">
        <v>0.0</v>
      </c>
      <c r="K1976" s="12" t="s">
        <v>21</v>
      </c>
      <c r="L1976" s="7">
        <v>40546.353425925925</v>
      </c>
      <c r="M1976" s="14" t="s">
        <v>1158</v>
      </c>
      <c r="N1976" s="16"/>
      <c r="O1976" s="11" t="str">
        <f t="shared" si="220"/>
        <v>View</v>
      </c>
      <c r="P1976" s="15"/>
    </row>
    <row r="1977">
      <c r="A1977" s="7">
        <v>42424.678391203706</v>
      </c>
      <c r="B1977" s="8" t="str">
        <f>HYPERLINK("https://twitter.com/monkmanmh","@monkmanmh")</f>
        <v>@monkmanmh</v>
      </c>
      <c r="C1977" s="10" t="s">
        <v>7951</v>
      </c>
      <c r="D1977" s="10" t="s">
        <v>9813</v>
      </c>
      <c r="E1977" s="11" t="str">
        <f>HYPERLINK("https://twitter.com/monkmanmh/status/702648423103598592","702648423103598592")</f>
        <v>702648423103598592</v>
      </c>
      <c r="F1977" s="12" t="s">
        <v>20</v>
      </c>
      <c r="G1977" s="13">
        <v>257.0</v>
      </c>
      <c r="H1977" s="13">
        <v>821.0</v>
      </c>
      <c r="I1977" s="13">
        <v>10.0</v>
      </c>
      <c r="J1977" s="13">
        <v>0.0</v>
      </c>
      <c r="K1977" s="12" t="s">
        <v>21</v>
      </c>
      <c r="L1977" s="7">
        <v>40456.45587962963</v>
      </c>
      <c r="M1977" s="14" t="s">
        <v>7544</v>
      </c>
      <c r="N1977" s="14" t="s">
        <v>7952</v>
      </c>
      <c r="O1977" s="11" t="str">
        <f>HYPERLINK("https://pbs.twimg.com/profile_images/378800000326851690/31a53679fad3e2366222d213ad196573_normal.jpeg","View")</f>
        <v>View</v>
      </c>
      <c r="P1977" s="15"/>
    </row>
    <row r="1978">
      <c r="A1978" s="7">
        <v>42424.68108796296</v>
      </c>
      <c r="B1978" s="8" t="str">
        <f>HYPERLINK("https://twitter.com/pureblissofsun","@pureblissofsun")</f>
        <v>@pureblissofsun</v>
      </c>
      <c r="C1978" s="10" t="s">
        <v>9829</v>
      </c>
      <c r="D1978" s="10" t="s">
        <v>9830</v>
      </c>
      <c r="E1978" s="11" t="str">
        <f>HYPERLINK("https://twitter.com/pureblissofsun/status/702649402394017793","702649402394017793")</f>
        <v>702649402394017793</v>
      </c>
      <c r="F1978" s="12" t="s">
        <v>20</v>
      </c>
      <c r="G1978" s="13">
        <v>93.0</v>
      </c>
      <c r="H1978" s="13">
        <v>217.0</v>
      </c>
      <c r="I1978" s="13">
        <v>0.0</v>
      </c>
      <c r="J1978" s="13">
        <v>0.0</v>
      </c>
      <c r="K1978" s="12" t="s">
        <v>21</v>
      </c>
      <c r="L1978" s="7">
        <v>41032.25042824074</v>
      </c>
      <c r="M1978" s="14" t="s">
        <v>9831</v>
      </c>
      <c r="N1978" s="14" t="s">
        <v>9832</v>
      </c>
      <c r="O1978" s="11" t="str">
        <f>HYPERLINK("https://pbs.twimg.com/profile_images/701868333377961984/HsCOMTSx_normal.jpg","View")</f>
        <v>View</v>
      </c>
      <c r="P1978" s="15"/>
    </row>
    <row r="1979">
      <c r="A1979" s="7">
        <v>42424.681504629625</v>
      </c>
      <c r="B1979" s="8" t="str">
        <f>HYPERLINK("https://twitter.com/fishR_ogle","@fishR_ogle")</f>
        <v>@fishR_ogle</v>
      </c>
      <c r="C1979" s="10" t="s">
        <v>9833</v>
      </c>
      <c r="D1979" s="10" t="s">
        <v>9806</v>
      </c>
      <c r="E1979" s="11" t="str">
        <f>HYPERLINK("https://twitter.com/fishR_ogle/status/702649550385909761","702649550385909761")</f>
        <v>702649550385909761</v>
      </c>
      <c r="F1979" s="12" t="s">
        <v>446</v>
      </c>
      <c r="G1979" s="13">
        <v>214.0</v>
      </c>
      <c r="H1979" s="13">
        <v>209.0</v>
      </c>
      <c r="I1979" s="13">
        <v>2.0</v>
      </c>
      <c r="J1979" s="13">
        <v>0.0</v>
      </c>
      <c r="K1979" s="12" t="s">
        <v>21</v>
      </c>
      <c r="L1979" s="7">
        <v>42219.853217592594</v>
      </c>
      <c r="M1979" s="16"/>
      <c r="N1979" s="14" t="s">
        <v>9834</v>
      </c>
      <c r="O1979" s="11" t="str">
        <f>HYPERLINK("https://pbs.twimg.com/profile_images/629729383750602752/vgCVgRW-_normal.png","View")</f>
        <v>View</v>
      </c>
      <c r="P1979" s="15"/>
    </row>
    <row r="1980">
      <c r="A1980" s="7">
        <v>42424.68327546296</v>
      </c>
      <c r="B1980" s="8" t="str">
        <f>HYPERLINK("https://twitter.com/WebScraperDB","@WebScraperDB")</f>
        <v>@WebScraperDB</v>
      </c>
      <c r="C1980" s="10" t="s">
        <v>2743</v>
      </c>
      <c r="D1980" s="10" t="s">
        <v>9835</v>
      </c>
      <c r="E1980" s="11" t="str">
        <f>HYPERLINK("https://twitter.com/WebScraperDB/status/702650195222405120","702650195222405120")</f>
        <v>702650195222405120</v>
      </c>
      <c r="F1980" s="12" t="s">
        <v>2743</v>
      </c>
      <c r="G1980" s="13">
        <v>298.0</v>
      </c>
      <c r="H1980" s="13">
        <v>927.0</v>
      </c>
      <c r="I1980" s="13">
        <v>0.0</v>
      </c>
      <c r="J1980" s="13">
        <v>0.0</v>
      </c>
      <c r="K1980" s="12" t="s">
        <v>21</v>
      </c>
      <c r="L1980" s="7">
        <v>42410.33493055556</v>
      </c>
      <c r="M1980" s="14" t="s">
        <v>2745</v>
      </c>
      <c r="N1980" s="14" t="s">
        <v>2746</v>
      </c>
      <c r="O1980" s="11" t="str">
        <f>HYPERLINK("https://pbs.twimg.com/profile_images/699545598450606080/s8CU8cVg_normal.png","View")</f>
        <v>View</v>
      </c>
      <c r="P1980" s="15"/>
    </row>
    <row r="1981">
      <c r="A1981" s="7">
        <v>42424.68761574074</v>
      </c>
      <c r="B1981" s="8" t="str">
        <f>HYPERLINK("https://twitter.com/AnalyticsVidhya","@AnalyticsVidhya")</f>
        <v>@AnalyticsVidhya</v>
      </c>
      <c r="C1981" s="10" t="s">
        <v>2998</v>
      </c>
      <c r="D1981" s="10" t="s">
        <v>9836</v>
      </c>
      <c r="E1981" s="11" t="str">
        <f>HYPERLINK("https://twitter.com/AnalyticsVidhya/status/702651768824586240","702651768824586240")</f>
        <v>702651768824586240</v>
      </c>
      <c r="F1981" s="12" t="s">
        <v>294</v>
      </c>
      <c r="G1981" s="13">
        <v>4133.0</v>
      </c>
      <c r="H1981" s="13">
        <v>250.0</v>
      </c>
      <c r="I1981" s="13">
        <v>0.0</v>
      </c>
      <c r="J1981" s="13">
        <v>1.0</v>
      </c>
      <c r="K1981" s="12" t="s">
        <v>21</v>
      </c>
      <c r="L1981" s="7">
        <v>41665.11702546296</v>
      </c>
      <c r="M1981" s="16"/>
      <c r="N1981" s="14" t="s">
        <v>3000</v>
      </c>
      <c r="O1981" s="11" t="str">
        <f>HYPERLINK("https://pbs.twimg.com/profile_images/457775762108448768/XmO2C1-E_normal.png","View")</f>
        <v>View</v>
      </c>
      <c r="P1981" s="15"/>
    </row>
    <row r="1982">
      <c r="A1982" s="7">
        <v>42424.690509259264</v>
      </c>
      <c r="B1982" s="8" t="str">
        <f>HYPERLINK("https://twitter.com/ajwnewkirk","@ajwnewkirk")</f>
        <v>@ajwnewkirk</v>
      </c>
      <c r="C1982" s="10" t="s">
        <v>9837</v>
      </c>
      <c r="D1982" s="10" t="s">
        <v>9838</v>
      </c>
      <c r="E1982" s="11" t="str">
        <f>HYPERLINK("https://twitter.com/ajwnewkirk/status/702652816972779520","702652816972779520")</f>
        <v>702652816972779520</v>
      </c>
      <c r="F1982" s="12" t="s">
        <v>20</v>
      </c>
      <c r="G1982" s="13">
        <v>40.0</v>
      </c>
      <c r="H1982" s="13">
        <v>60.0</v>
      </c>
      <c r="I1982" s="13">
        <v>0.0</v>
      </c>
      <c r="J1982" s="13">
        <v>0.0</v>
      </c>
      <c r="K1982" s="12" t="s">
        <v>21</v>
      </c>
      <c r="L1982" s="7">
        <v>42249.623807870375</v>
      </c>
      <c r="M1982" s="14" t="s">
        <v>7834</v>
      </c>
      <c r="N1982" s="14" t="s">
        <v>9839</v>
      </c>
      <c r="O1982" s="11" t="str">
        <f>HYPERLINK("https://pbs.twimg.com/profile_images/639961543958892544/kDdXqWqM_normal.jpg","View")</f>
        <v>View</v>
      </c>
      <c r="P1982" s="15"/>
    </row>
    <row r="1983">
      <c r="A1983" s="7">
        <v>42424.69131944445</v>
      </c>
      <c r="B1983" s="8" t="str">
        <f>HYPERLINK("https://twitter.com/ARTbio_IBPS","@ARTbio_IBPS")</f>
        <v>@ARTbio_IBPS</v>
      </c>
      <c r="C1983" s="10" t="s">
        <v>8718</v>
      </c>
      <c r="D1983" s="10" t="s">
        <v>9445</v>
      </c>
      <c r="E1983" s="11" t="str">
        <f>HYPERLINK("https://twitter.com/ARTbio_IBPS/status/702653107986108416","702653107986108416")</f>
        <v>702653107986108416</v>
      </c>
      <c r="F1983" s="12" t="s">
        <v>52</v>
      </c>
      <c r="G1983" s="13">
        <v>66.0</v>
      </c>
      <c r="H1983" s="13">
        <v>92.0</v>
      </c>
      <c r="I1983" s="13">
        <v>6.0</v>
      </c>
      <c r="J1983" s="13">
        <v>0.0</v>
      </c>
      <c r="K1983" s="12" t="s">
        <v>21</v>
      </c>
      <c r="L1983" s="7">
        <v>42208.27431712963</v>
      </c>
      <c r="M1983" s="14" t="s">
        <v>2002</v>
      </c>
      <c r="N1983" s="14" t="s">
        <v>8719</v>
      </c>
      <c r="O1983" s="11" t="str">
        <f>HYPERLINK("https://pbs.twimg.com/profile_images/624213374545592320/Jd0fTL6e_normal.jpg","View")</f>
        <v>View</v>
      </c>
      <c r="P1983" s="15"/>
    </row>
    <row r="1984">
      <c r="A1984" s="7">
        <v>42424.692766203705</v>
      </c>
      <c r="B1984" s="8" t="str">
        <f t="shared" ref="B1984:B1987" si="221">HYPERLINK("https://twitter.com/YeiCascia","@YeiCascia")</f>
        <v>@YeiCascia</v>
      </c>
      <c r="C1984" s="10" t="s">
        <v>9840</v>
      </c>
      <c r="D1984" s="10" t="s">
        <v>8104</v>
      </c>
      <c r="E1984" s="11" t="str">
        <f>HYPERLINK("https://twitter.com/YeiCascia/status/702653634044157952","702653634044157952")</f>
        <v>702653634044157952</v>
      </c>
      <c r="F1984" s="12" t="s">
        <v>152</v>
      </c>
      <c r="G1984" s="13">
        <v>36.0</v>
      </c>
      <c r="H1984" s="13">
        <v>148.0</v>
      </c>
      <c r="I1984" s="13">
        <v>2.0</v>
      </c>
      <c r="J1984" s="13">
        <v>0.0</v>
      </c>
      <c r="K1984" s="12" t="s">
        <v>21</v>
      </c>
      <c r="L1984" s="7">
        <v>42350.37096064815</v>
      </c>
      <c r="M1984" s="16"/>
      <c r="N1984" s="16"/>
      <c r="O1984" s="11" t="str">
        <f t="shared" ref="O1984:O1987" si="222">HYPERLINK("https://pbs.twimg.com/profile_images/677482738631499776/Co67DiMj_normal.jpg","View")</f>
        <v>View</v>
      </c>
      <c r="P1984" s="15"/>
    </row>
    <row r="1985">
      <c r="A1985" s="7">
        <v>42424.69346064815</v>
      </c>
      <c r="B1985" s="8" t="str">
        <f t="shared" si="221"/>
        <v>@YeiCascia</v>
      </c>
      <c r="C1985" s="10" t="s">
        <v>9840</v>
      </c>
      <c r="D1985" s="10" t="s">
        <v>9617</v>
      </c>
      <c r="E1985" s="11" t="str">
        <f>HYPERLINK("https://twitter.com/YeiCascia/status/702653884389572608","702653884389572608")</f>
        <v>702653884389572608</v>
      </c>
      <c r="F1985" s="12" t="s">
        <v>152</v>
      </c>
      <c r="G1985" s="13">
        <v>36.0</v>
      </c>
      <c r="H1985" s="13">
        <v>148.0</v>
      </c>
      <c r="I1985" s="13">
        <v>16.0</v>
      </c>
      <c r="J1985" s="13">
        <v>0.0</v>
      </c>
      <c r="K1985" s="12" t="s">
        <v>21</v>
      </c>
      <c r="L1985" s="7">
        <v>42350.37096064815</v>
      </c>
      <c r="M1985" s="16"/>
      <c r="N1985" s="16"/>
      <c r="O1985" s="11" t="str">
        <f t="shared" si="222"/>
        <v>View</v>
      </c>
      <c r="P1985" s="15"/>
    </row>
    <row r="1986">
      <c r="A1986" s="7">
        <v>42424.69354166667</v>
      </c>
      <c r="B1986" s="8" t="str">
        <f t="shared" si="221"/>
        <v>@YeiCascia</v>
      </c>
      <c r="C1986" s="10" t="s">
        <v>9840</v>
      </c>
      <c r="D1986" s="10" t="s">
        <v>9609</v>
      </c>
      <c r="E1986" s="11" t="str">
        <f>HYPERLINK("https://twitter.com/YeiCascia/status/702653914718543872","702653914718543872")</f>
        <v>702653914718543872</v>
      </c>
      <c r="F1986" s="12" t="s">
        <v>152</v>
      </c>
      <c r="G1986" s="13">
        <v>36.0</v>
      </c>
      <c r="H1986" s="13">
        <v>148.0</v>
      </c>
      <c r="I1986" s="13">
        <v>16.0</v>
      </c>
      <c r="J1986" s="13">
        <v>0.0</v>
      </c>
      <c r="K1986" s="12" t="s">
        <v>21</v>
      </c>
      <c r="L1986" s="7">
        <v>42350.37096064815</v>
      </c>
      <c r="M1986" s="16"/>
      <c r="N1986" s="16"/>
      <c r="O1986" s="11" t="str">
        <f t="shared" si="222"/>
        <v>View</v>
      </c>
      <c r="P1986" s="15"/>
    </row>
    <row r="1987">
      <c r="A1987" s="7">
        <v>42424.694016203706</v>
      </c>
      <c r="B1987" s="8" t="str">
        <f t="shared" si="221"/>
        <v>@YeiCascia</v>
      </c>
      <c r="C1987" s="10" t="s">
        <v>9840</v>
      </c>
      <c r="D1987" s="10" t="s">
        <v>9484</v>
      </c>
      <c r="E1987" s="11" t="str">
        <f>HYPERLINK("https://twitter.com/YeiCascia/status/702654088199196672","702654088199196672")</f>
        <v>702654088199196672</v>
      </c>
      <c r="F1987" s="12" t="s">
        <v>152</v>
      </c>
      <c r="G1987" s="13">
        <v>36.0</v>
      </c>
      <c r="H1987" s="13">
        <v>148.0</v>
      </c>
      <c r="I1987" s="13">
        <v>22.0</v>
      </c>
      <c r="J1987" s="13">
        <v>0.0</v>
      </c>
      <c r="K1987" s="12" t="s">
        <v>21</v>
      </c>
      <c r="L1987" s="7">
        <v>42350.37096064815</v>
      </c>
      <c r="M1987" s="16"/>
      <c r="N1987" s="16"/>
      <c r="O1987" s="11" t="str">
        <f t="shared" si="222"/>
        <v>View</v>
      </c>
      <c r="P1987" s="15"/>
    </row>
    <row r="1988">
      <c r="A1988" s="7">
        <v>42424.694027777776</v>
      </c>
      <c r="B1988" s="8" t="str">
        <f>HYPERLINK("https://twitter.com/juliasilge","@juliasilge")</f>
        <v>@juliasilge</v>
      </c>
      <c r="C1988" s="10" t="s">
        <v>9841</v>
      </c>
      <c r="D1988" s="10" t="s">
        <v>9813</v>
      </c>
      <c r="E1988" s="11" t="str">
        <f>HYPERLINK("https://twitter.com/juliasilge/status/702654089612566528","702654089612566528")</f>
        <v>702654089612566528</v>
      </c>
      <c r="F1988" s="12" t="s">
        <v>52</v>
      </c>
      <c r="G1988" s="13">
        <v>412.0</v>
      </c>
      <c r="H1988" s="13">
        <v>295.0</v>
      </c>
      <c r="I1988" s="13">
        <v>10.0</v>
      </c>
      <c r="J1988" s="13">
        <v>0.0</v>
      </c>
      <c r="K1988" s="12" t="s">
        <v>21</v>
      </c>
      <c r="L1988" s="7">
        <v>39482.69938657407</v>
      </c>
      <c r="M1988" s="14" t="s">
        <v>7790</v>
      </c>
      <c r="N1988" s="14" t="s">
        <v>9842</v>
      </c>
      <c r="O1988" s="11" t="str">
        <f>HYPERLINK("https://pbs.twimg.com/profile_images/645691413779255296/SSa_IRvc_normal.jpg","View")</f>
        <v>View</v>
      </c>
      <c r="P1988" s="15"/>
    </row>
    <row r="1989">
      <c r="A1989" s="7">
        <v>42424.69462962963</v>
      </c>
      <c r="B1989" s="8" t="str">
        <f t="shared" ref="B1989:B1992" si="223">HYPERLINK("https://twitter.com/YeiCascia","@YeiCascia")</f>
        <v>@YeiCascia</v>
      </c>
      <c r="C1989" s="10" t="s">
        <v>9840</v>
      </c>
      <c r="D1989" s="10" t="s">
        <v>9843</v>
      </c>
      <c r="E1989" s="11" t="str">
        <f>HYPERLINK("https://twitter.com/YeiCascia/status/702654306755944449","702654306755944449")</f>
        <v>702654306755944449</v>
      </c>
      <c r="F1989" s="12" t="s">
        <v>152</v>
      </c>
      <c r="G1989" s="13">
        <v>36.0</v>
      </c>
      <c r="H1989" s="13">
        <v>148.0</v>
      </c>
      <c r="I1989" s="13">
        <v>1.0</v>
      </c>
      <c r="J1989" s="13">
        <v>0.0</v>
      </c>
      <c r="K1989" s="12" t="s">
        <v>21</v>
      </c>
      <c r="L1989" s="7">
        <v>42350.37096064815</v>
      </c>
      <c r="M1989" s="16"/>
      <c r="N1989" s="16"/>
      <c r="O1989" s="11" t="str">
        <f t="shared" ref="O1989:O1992" si="224">HYPERLINK("https://pbs.twimg.com/profile_images/677482738631499776/Co67DiMj_normal.jpg","View")</f>
        <v>View</v>
      </c>
      <c r="P1989" s="15"/>
    </row>
    <row r="1990">
      <c r="A1990" s="7">
        <v>42424.6946875</v>
      </c>
      <c r="B1990" s="8" t="str">
        <f t="shared" si="223"/>
        <v>@YeiCascia</v>
      </c>
      <c r="C1990" s="10" t="s">
        <v>9840</v>
      </c>
      <c r="D1990" s="10" t="s">
        <v>9844</v>
      </c>
      <c r="E1990" s="11" t="str">
        <f>HYPERLINK("https://twitter.com/YeiCascia/status/702654329728196608","702654329728196608")</f>
        <v>702654329728196608</v>
      </c>
      <c r="F1990" s="12" t="s">
        <v>152</v>
      </c>
      <c r="G1990" s="13">
        <v>36.0</v>
      </c>
      <c r="H1990" s="13">
        <v>148.0</v>
      </c>
      <c r="I1990" s="13">
        <v>4.0</v>
      </c>
      <c r="J1990" s="13">
        <v>0.0</v>
      </c>
      <c r="K1990" s="12" t="s">
        <v>21</v>
      </c>
      <c r="L1990" s="7">
        <v>42350.37096064815</v>
      </c>
      <c r="M1990" s="16"/>
      <c r="N1990" s="16"/>
      <c r="O1990" s="11" t="str">
        <f t="shared" si="224"/>
        <v>View</v>
      </c>
      <c r="P1990" s="15"/>
    </row>
    <row r="1991">
      <c r="A1991" s="7">
        <v>42424.69479166667</v>
      </c>
      <c r="B1991" s="8" t="str">
        <f t="shared" si="223"/>
        <v>@YeiCascia</v>
      </c>
      <c r="C1991" s="10" t="s">
        <v>9840</v>
      </c>
      <c r="D1991" s="10" t="s">
        <v>9845</v>
      </c>
      <c r="E1991" s="11" t="str">
        <f>HYPERLINK("https://twitter.com/YeiCascia/status/702654368307400704","702654368307400704")</f>
        <v>702654368307400704</v>
      </c>
      <c r="F1991" s="12" t="s">
        <v>152</v>
      </c>
      <c r="G1991" s="13">
        <v>36.0</v>
      </c>
      <c r="H1991" s="13">
        <v>148.0</v>
      </c>
      <c r="I1991" s="13">
        <v>3.0</v>
      </c>
      <c r="J1991" s="13">
        <v>0.0</v>
      </c>
      <c r="K1991" s="12" t="s">
        <v>21</v>
      </c>
      <c r="L1991" s="7">
        <v>42350.37096064815</v>
      </c>
      <c r="M1991" s="16"/>
      <c r="N1991" s="16"/>
      <c r="O1991" s="11" t="str">
        <f t="shared" si="224"/>
        <v>View</v>
      </c>
      <c r="P1991" s="15"/>
    </row>
    <row r="1992">
      <c r="A1992" s="7">
        <v>42424.69516203704</v>
      </c>
      <c r="B1992" s="8" t="str">
        <f t="shared" si="223"/>
        <v>@YeiCascia</v>
      </c>
      <c r="C1992" s="10" t="s">
        <v>9840</v>
      </c>
      <c r="D1992" s="10" t="s">
        <v>8251</v>
      </c>
      <c r="E1992" s="11" t="str">
        <f>HYPERLINK("https://twitter.com/YeiCascia/status/702654502432804865","702654502432804865")</f>
        <v>702654502432804865</v>
      </c>
      <c r="F1992" s="12" t="s">
        <v>152</v>
      </c>
      <c r="G1992" s="13">
        <v>36.0</v>
      </c>
      <c r="H1992" s="13">
        <v>148.0</v>
      </c>
      <c r="I1992" s="13">
        <v>28.0</v>
      </c>
      <c r="J1992" s="13">
        <v>0.0</v>
      </c>
      <c r="K1992" s="12" t="s">
        <v>21</v>
      </c>
      <c r="L1992" s="7">
        <v>42350.37096064815</v>
      </c>
      <c r="M1992" s="16"/>
      <c r="N1992" s="16"/>
      <c r="O1992" s="11" t="str">
        <f t="shared" si="224"/>
        <v>View</v>
      </c>
      <c r="P1992" s="15"/>
    </row>
    <row r="1993">
      <c r="A1993" s="7">
        <v>42424.69725694445</v>
      </c>
      <c r="B1993" s="8" t="str">
        <f>HYPERLINK("https://twitter.com/sudarshan_v1","@sudarshan_v1")</f>
        <v>@sudarshan_v1</v>
      </c>
      <c r="C1993" s="10" t="s">
        <v>9846</v>
      </c>
      <c r="D1993" s="10" t="s">
        <v>9813</v>
      </c>
      <c r="E1993" s="11" t="str">
        <f>HYPERLINK("https://twitter.com/sudarshan_v1/status/702655260683214848","702655260683214848")</f>
        <v>702655260683214848</v>
      </c>
      <c r="F1993" s="12" t="s">
        <v>20</v>
      </c>
      <c r="G1993" s="13">
        <v>658.0</v>
      </c>
      <c r="H1993" s="13">
        <v>893.0</v>
      </c>
      <c r="I1993" s="13">
        <v>10.0</v>
      </c>
      <c r="J1993" s="13">
        <v>0.0</v>
      </c>
      <c r="K1993" s="12" t="s">
        <v>21</v>
      </c>
      <c r="L1993" s="7">
        <v>40178.794270833336</v>
      </c>
      <c r="M1993" s="14" t="s">
        <v>9847</v>
      </c>
      <c r="N1993" s="14" t="s">
        <v>9848</v>
      </c>
      <c r="O1993" s="11" t="str">
        <f>HYPERLINK("https://pbs.twimg.com/profile_images/2997906188/b2b41b7d1a6fd1ffa2d562af27f0993b_normal.jpeg","View")</f>
        <v>View</v>
      </c>
      <c r="P1993" s="15"/>
    </row>
    <row r="1994">
      <c r="A1994" s="7">
        <v>42424.70002314815</v>
      </c>
      <c r="B1994" s="8" t="str">
        <f>HYPERLINK("https://twitter.com/ecoscope_ubc","@ecoscope_ubc")</f>
        <v>@ecoscope_ubc</v>
      </c>
      <c r="C1994" s="10" t="s">
        <v>9849</v>
      </c>
      <c r="D1994" s="10" t="s">
        <v>9850</v>
      </c>
      <c r="E1994" s="11" t="str">
        <f>HYPERLINK("https://twitter.com/ecoscope_ubc/status/702656262840844288","702656262840844288")</f>
        <v>702656262840844288</v>
      </c>
      <c r="F1994" s="12" t="s">
        <v>20</v>
      </c>
      <c r="G1994" s="13">
        <v>123.0</v>
      </c>
      <c r="H1994" s="13">
        <v>820.0</v>
      </c>
      <c r="I1994" s="13">
        <v>1.0</v>
      </c>
      <c r="J1994" s="13">
        <v>2.0</v>
      </c>
      <c r="K1994" s="12" t="s">
        <v>21</v>
      </c>
      <c r="L1994" s="7">
        <v>42357.55991898148</v>
      </c>
      <c r="M1994" s="14" t="s">
        <v>4138</v>
      </c>
      <c r="N1994" s="14" t="s">
        <v>9851</v>
      </c>
      <c r="O1994" s="11" t="str">
        <f>HYPERLINK("https://pbs.twimg.com/profile_images/678328868986482688/aoS_RwYT_normal.jpg","View")</f>
        <v>View</v>
      </c>
      <c r="P1994" s="15"/>
    </row>
    <row r="1995">
      <c r="A1995" s="7">
        <v>42424.70003472222</v>
      </c>
      <c r="B1995" s="8" t="str">
        <f>HYPERLINK("https://twitter.com/sentiwire","@sentiwire")</f>
        <v>@sentiwire</v>
      </c>
      <c r="C1995" s="10" t="s">
        <v>381</v>
      </c>
      <c r="D1995" s="10" t="s">
        <v>9852</v>
      </c>
      <c r="E1995" s="11" t="str">
        <f>HYPERLINK("https://twitter.com/sentiwire/status/702656269270659072","702656269270659072")</f>
        <v>702656269270659072</v>
      </c>
      <c r="F1995" s="12" t="s">
        <v>383</v>
      </c>
      <c r="G1995" s="13">
        <v>515.0</v>
      </c>
      <c r="H1995" s="13">
        <v>1716.0</v>
      </c>
      <c r="I1995" s="13">
        <v>1.0</v>
      </c>
      <c r="J1995" s="13">
        <v>0.0</v>
      </c>
      <c r="K1995" s="12" t="s">
        <v>21</v>
      </c>
      <c r="L1995" s="7">
        <v>41422.629641203705</v>
      </c>
      <c r="M1995" s="16"/>
      <c r="N1995" s="14" t="s">
        <v>384</v>
      </c>
      <c r="O1995" s="11" t="str">
        <f>HYPERLINK("https://pbs.twimg.com/profile_images/686965105473396736/B9V5UtGS_normal.jpg","View")</f>
        <v>View</v>
      </c>
      <c r="P1995" s="15"/>
    </row>
    <row r="1996">
      <c r="A1996" s="7">
        <v>42424.70894675926</v>
      </c>
      <c r="B1996" s="8" t="str">
        <f>HYPERLINK("https://twitter.com/AnalyticsVidhya","@AnalyticsVidhya")</f>
        <v>@AnalyticsVidhya</v>
      </c>
      <c r="C1996" s="10" t="s">
        <v>2998</v>
      </c>
      <c r="D1996" s="10" t="s">
        <v>9853</v>
      </c>
      <c r="E1996" s="11" t="str">
        <f>HYPERLINK("https://twitter.com/AnalyticsVidhya/status/702659495542038529","702659495542038529")</f>
        <v>702659495542038529</v>
      </c>
      <c r="F1996" s="12" t="s">
        <v>294</v>
      </c>
      <c r="G1996" s="13">
        <v>4133.0</v>
      </c>
      <c r="H1996" s="13">
        <v>250.0</v>
      </c>
      <c r="I1996" s="13">
        <v>1.0</v>
      </c>
      <c r="J1996" s="13">
        <v>6.0</v>
      </c>
      <c r="K1996" s="12" t="s">
        <v>21</v>
      </c>
      <c r="L1996" s="7">
        <v>41665.11702546296</v>
      </c>
      <c r="M1996" s="16"/>
      <c r="N1996" s="14" t="s">
        <v>3000</v>
      </c>
      <c r="O1996" s="11" t="str">
        <f>HYPERLINK("https://pbs.twimg.com/profile_images/457775762108448768/XmO2C1-E_normal.png","View")</f>
        <v>View</v>
      </c>
      <c r="P1996" s="15"/>
    </row>
    <row r="1997">
      <c r="A1997" s="7">
        <v>42424.709386574075</v>
      </c>
      <c r="B1997" s="8" t="str">
        <f>HYPERLINK("https://twitter.com/MaryELennon","@MaryELennon")</f>
        <v>@MaryELennon</v>
      </c>
      <c r="C1997" s="10" t="s">
        <v>9854</v>
      </c>
      <c r="D1997" s="10" t="s">
        <v>9855</v>
      </c>
      <c r="E1997" s="11" t="str">
        <f>HYPERLINK("https://twitter.com/MaryELennon/status/702659655734984704","702659655734984704")</f>
        <v>702659655734984704</v>
      </c>
      <c r="F1997" s="12" t="s">
        <v>152</v>
      </c>
      <c r="G1997" s="13">
        <v>180.0</v>
      </c>
      <c r="H1997" s="13">
        <v>307.0</v>
      </c>
      <c r="I1997" s="13">
        <v>0.0</v>
      </c>
      <c r="J1997" s="13">
        <v>0.0</v>
      </c>
      <c r="K1997" s="12" t="s">
        <v>21</v>
      </c>
      <c r="L1997" s="7">
        <v>42044.75938657408</v>
      </c>
      <c r="M1997" s="14" t="s">
        <v>9856</v>
      </c>
      <c r="N1997" s="14" t="s">
        <v>9857</v>
      </c>
      <c r="O1997" s="11" t="str">
        <f>HYPERLINK("https://pbs.twimg.com/profile_images/586220640492990464/IKyhaMLb_normal.jpg","View")</f>
        <v>View</v>
      </c>
      <c r="P1997" s="15"/>
    </row>
    <row r="1998">
      <c r="A1998" s="7">
        <v>42424.71025462963</v>
      </c>
      <c r="B1998" s="8" t="str">
        <f>HYPERLINK("https://twitter.com/3bdalla__","@3bdalla__")</f>
        <v>@3bdalla__</v>
      </c>
      <c r="C1998" s="10" t="s">
        <v>9858</v>
      </c>
      <c r="D1998" s="10" t="s">
        <v>9859</v>
      </c>
      <c r="E1998" s="11" t="str">
        <f>HYPERLINK("https://twitter.com/3bdalla__/status/702659969905102849","702659969905102849")</f>
        <v>702659969905102849</v>
      </c>
      <c r="F1998" s="12" t="s">
        <v>152</v>
      </c>
      <c r="G1998" s="13">
        <v>122.0</v>
      </c>
      <c r="H1998" s="13">
        <v>110.0</v>
      </c>
      <c r="I1998" s="13">
        <v>0.0</v>
      </c>
      <c r="J1998" s="13">
        <v>0.0</v>
      </c>
      <c r="K1998" s="12" t="s">
        <v>21</v>
      </c>
      <c r="L1998" s="7">
        <v>39879.84100694444</v>
      </c>
      <c r="M1998" s="14" t="s">
        <v>3689</v>
      </c>
      <c r="N1998" s="14" t="s">
        <v>9860</v>
      </c>
      <c r="O1998" s="11" t="str">
        <f>HYPERLINK("https://pbs.twimg.com/profile_images/2356376575/go5yeu2tyxp4q4o96rap_normal.jpeg","View")</f>
        <v>View</v>
      </c>
      <c r="P1998" s="15"/>
    </row>
    <row r="1999">
      <c r="A1999" s="7">
        <v>42424.71417824074</v>
      </c>
      <c r="B1999" s="8" t="str">
        <f>HYPERLINK("https://twitter.com/kevlbass1024","@kevlbass1024")</f>
        <v>@kevlbass1024</v>
      </c>
      <c r="C1999" s="10" t="s">
        <v>3851</v>
      </c>
      <c r="D1999" s="10" t="s">
        <v>9861</v>
      </c>
      <c r="E1999" s="11" t="str">
        <f>HYPERLINK("https://twitter.com/kevlbass1024/status/702661394781573120","702661394781573120")</f>
        <v>702661394781573120</v>
      </c>
      <c r="F1999" s="12" t="s">
        <v>20</v>
      </c>
      <c r="G1999" s="13">
        <v>530.0</v>
      </c>
      <c r="H1999" s="13">
        <v>830.0</v>
      </c>
      <c r="I1999" s="13">
        <v>3.0</v>
      </c>
      <c r="J1999" s="13">
        <v>4.0</v>
      </c>
      <c r="K1999" s="12" t="s">
        <v>21</v>
      </c>
      <c r="L1999" s="7">
        <v>42369.77342592593</v>
      </c>
      <c r="M1999" s="16"/>
      <c r="N1999" s="14" t="s">
        <v>3853</v>
      </c>
      <c r="O1999" s="11" t="str">
        <f>HYPERLINK("https://pbs.twimg.com/profile_images/682757887261818880/Q5--Prn6_normal.jpg","View")</f>
        <v>View</v>
      </c>
      <c r="P1999" s="15"/>
    </row>
    <row r="2000">
      <c r="A2000" s="7">
        <v>42424.71530092593</v>
      </c>
      <c r="B2000" s="8" t="str">
        <f>HYPERLINK("https://twitter.com/SuaJorge","@SuaJorge")</f>
        <v>@SuaJorge</v>
      </c>
      <c r="C2000" s="10" t="s">
        <v>9862</v>
      </c>
      <c r="D2000" s="10" t="s">
        <v>9863</v>
      </c>
      <c r="E2000" s="11" t="str">
        <f>HYPERLINK("https://twitter.com/SuaJorge/status/702661799003496448","702661799003496448")</f>
        <v>702661799003496448</v>
      </c>
      <c r="F2000" s="12" t="s">
        <v>152</v>
      </c>
      <c r="G2000" s="13">
        <v>143.0</v>
      </c>
      <c r="H2000" s="13">
        <v>508.0</v>
      </c>
      <c r="I2000" s="13">
        <v>1.0</v>
      </c>
      <c r="J2000" s="13">
        <v>0.0</v>
      </c>
      <c r="K2000" s="12" t="s">
        <v>21</v>
      </c>
      <c r="L2000" s="7">
        <v>40933.82329861111</v>
      </c>
      <c r="M2000" s="14" t="s">
        <v>1183</v>
      </c>
      <c r="N2000" s="14" t="s">
        <v>9864</v>
      </c>
      <c r="O2000" s="11" t="str">
        <f>HYPERLINK("https://pbs.twimg.com/profile_images/3579478848/d21d05d0b1a1a517e269f11746f6016a_normal.jpeg","View")</f>
        <v>View</v>
      </c>
      <c r="P2000" s="15"/>
    </row>
    <row r="2001">
      <c r="A2001" s="7">
        <v>42424.71637731481</v>
      </c>
      <c r="B2001" s="8" t="str">
        <f>HYPERLINK("https://twitter.com/nyhackr","@nyhackr")</f>
        <v>@nyhackr</v>
      </c>
      <c r="C2001" s="10" t="s">
        <v>8455</v>
      </c>
      <c r="D2001" s="10" t="s">
        <v>9865</v>
      </c>
      <c r="E2001" s="11" t="str">
        <f>HYPERLINK("https://twitter.com/nyhackr/status/702662191208636417","702662191208636417")</f>
        <v>702662191208636417</v>
      </c>
      <c r="F2001" s="12" t="s">
        <v>152</v>
      </c>
      <c r="G2001" s="13">
        <v>1020.0</v>
      </c>
      <c r="H2001" s="13">
        <v>69.0</v>
      </c>
      <c r="I2001" s="13">
        <v>0.0</v>
      </c>
      <c r="J2001" s="13">
        <v>2.0</v>
      </c>
      <c r="K2001" s="12" t="s">
        <v>21</v>
      </c>
      <c r="L2001" s="7">
        <v>40437.41012731481</v>
      </c>
      <c r="M2001" s="14" t="s">
        <v>8457</v>
      </c>
      <c r="N2001" s="14" t="s">
        <v>8458</v>
      </c>
      <c r="O2001" s="11" t="str">
        <f>HYPERLINK("https://pbs.twimg.com/profile_images/1125070699/nyc_stats_normal.jpeg","View")</f>
        <v>View</v>
      </c>
      <c r="P2001" s="15"/>
    </row>
    <row r="2002">
      <c r="A2002" s="7">
        <v>42424.71668981481</v>
      </c>
      <c r="B2002" s="8" t="str">
        <f>HYPERLINK("https://twitter.com/bluecology","@bluecology")</f>
        <v>@bluecology</v>
      </c>
      <c r="C2002" s="10" t="s">
        <v>8849</v>
      </c>
      <c r="D2002" s="10" t="s">
        <v>9866</v>
      </c>
      <c r="E2002" s="11" t="str">
        <f>HYPERLINK("https://twitter.com/bluecology/status/702662301401239553","702662301401239553")</f>
        <v>702662301401239553</v>
      </c>
      <c r="F2002" s="12" t="s">
        <v>152</v>
      </c>
      <c r="G2002" s="13">
        <v>852.0</v>
      </c>
      <c r="H2002" s="13">
        <v>737.0</v>
      </c>
      <c r="I2002" s="13">
        <v>0.0</v>
      </c>
      <c r="J2002" s="13">
        <v>3.0</v>
      </c>
      <c r="K2002" s="12" t="s">
        <v>21</v>
      </c>
      <c r="L2002" s="7">
        <v>40620.42215277778</v>
      </c>
      <c r="M2002" s="14" t="s">
        <v>3780</v>
      </c>
      <c r="N2002" s="14" t="s">
        <v>8851</v>
      </c>
      <c r="O2002" s="11" t="str">
        <f>HYPERLINK("https://pbs.twimg.com/profile_images/624399902261403648/-I8q7-JD_normal.jpg","View")</f>
        <v>View</v>
      </c>
      <c r="P2002" s="15"/>
    </row>
    <row r="2003">
      <c r="A2003" s="7">
        <v>42424.718877314815</v>
      </c>
      <c r="B2003" s="8" t="str">
        <f>HYPERLINK("https://twitter.com/rleisti","@rleisti")</f>
        <v>@rleisti</v>
      </c>
      <c r="C2003" s="10" t="s">
        <v>9867</v>
      </c>
      <c r="D2003" s="10" t="s">
        <v>9868</v>
      </c>
      <c r="E2003" s="11" t="str">
        <f>HYPERLINK("https://twitter.com/rleisti/status/702663093927571457","702663093927571457")</f>
        <v>702663093927571457</v>
      </c>
      <c r="F2003" s="12" t="s">
        <v>152</v>
      </c>
      <c r="G2003" s="13">
        <v>361.0</v>
      </c>
      <c r="H2003" s="13">
        <v>782.0</v>
      </c>
      <c r="I2003" s="13">
        <v>3.0</v>
      </c>
      <c r="J2003" s="13">
        <v>0.0</v>
      </c>
      <c r="K2003" s="12" t="s">
        <v>21</v>
      </c>
      <c r="L2003" s="7">
        <v>39917.389502314814</v>
      </c>
      <c r="M2003" s="14" t="s">
        <v>9869</v>
      </c>
      <c r="N2003" s="14" t="s">
        <v>9870</v>
      </c>
      <c r="O2003" s="11" t="str">
        <f>HYPERLINK("https://pbs.twimg.com/profile_images/1176881695/n554040867_1892_normal.jpg","View")</f>
        <v>View</v>
      </c>
      <c r="P2003" s="15"/>
    </row>
    <row r="2004">
      <c r="A2004" s="7">
        <v>42424.72122685185</v>
      </c>
      <c r="B2004" s="8" t="str">
        <f>HYPERLINK("https://twitter.com/Barkerjas","@Barkerjas")</f>
        <v>@Barkerjas</v>
      </c>
      <c r="C2004" s="10" t="s">
        <v>9871</v>
      </c>
      <c r="D2004" s="10" t="s">
        <v>9214</v>
      </c>
      <c r="E2004" s="11" t="str">
        <f>HYPERLINK("https://twitter.com/Barkerjas/status/702663945966919680","702663945966919680")</f>
        <v>702663945966919680</v>
      </c>
      <c r="F2004" s="12" t="s">
        <v>20</v>
      </c>
      <c r="G2004" s="13">
        <v>239.0</v>
      </c>
      <c r="H2004" s="13">
        <v>692.0</v>
      </c>
      <c r="I2004" s="13">
        <v>3.0</v>
      </c>
      <c r="J2004" s="13">
        <v>0.0</v>
      </c>
      <c r="K2004" s="12" t="s">
        <v>21</v>
      </c>
      <c r="L2004" s="7">
        <v>41087.42030092592</v>
      </c>
      <c r="M2004" s="14" t="s">
        <v>9872</v>
      </c>
      <c r="N2004" s="14" t="s">
        <v>9873</v>
      </c>
      <c r="O2004" s="11" t="str">
        <f>HYPERLINK("https://pbs.twimg.com/profile_images/643803597218541568/3og7H0Xq_normal.jpg","View")</f>
        <v>View</v>
      </c>
      <c r="P2004" s="15"/>
    </row>
    <row r="2005">
      <c r="A2005" s="7">
        <v>42424.72300925926</v>
      </c>
      <c r="B2005" s="8" t="str">
        <f>HYPERLINK("https://twitter.com/millerdl","@millerdl")</f>
        <v>@millerdl</v>
      </c>
      <c r="C2005" s="10" t="s">
        <v>8553</v>
      </c>
      <c r="D2005" s="10" t="s">
        <v>9813</v>
      </c>
      <c r="E2005" s="11" t="str">
        <f>HYPERLINK("https://twitter.com/millerdl/status/702664593152348160","702664593152348160")</f>
        <v>702664593152348160</v>
      </c>
      <c r="F2005" s="12" t="s">
        <v>240</v>
      </c>
      <c r="G2005" s="13">
        <v>647.0</v>
      </c>
      <c r="H2005" s="13">
        <v>348.0</v>
      </c>
      <c r="I2005" s="13">
        <v>10.0</v>
      </c>
      <c r="J2005" s="13">
        <v>0.0</v>
      </c>
      <c r="K2005" s="12" t="s">
        <v>21</v>
      </c>
      <c r="L2005" s="7">
        <v>39517.686377314814</v>
      </c>
      <c r="M2005" s="14" t="s">
        <v>8555</v>
      </c>
      <c r="N2005" s="14" t="s">
        <v>8556</v>
      </c>
      <c r="O2005" s="11" t="str">
        <f>HYPERLINK("https://pbs.twimg.com/profile_images/683731282497552384/a0zG5d-P_normal.jpg","View")</f>
        <v>View</v>
      </c>
      <c r="P2005" s="15"/>
    </row>
    <row r="2006">
      <c r="A2006" s="7">
        <v>42424.725590277776</v>
      </c>
      <c r="B2006" s="8" t="str">
        <f>HYPERLINK("https://twitter.com/deividfsf","@deividfsf")</f>
        <v>@deividfsf</v>
      </c>
      <c r="C2006" s="10" t="s">
        <v>9874</v>
      </c>
      <c r="D2006" s="10" t="s">
        <v>9875</v>
      </c>
      <c r="E2006" s="11" t="str">
        <f>HYPERLINK("https://twitter.com/deividfsf/status/702665526657548289","702665526657548289")</f>
        <v>702665526657548289</v>
      </c>
      <c r="F2006" s="12" t="s">
        <v>20</v>
      </c>
      <c r="G2006" s="13">
        <v>2.0</v>
      </c>
      <c r="H2006" s="13">
        <v>13.0</v>
      </c>
      <c r="I2006" s="13">
        <v>6.0</v>
      </c>
      <c r="J2006" s="13">
        <v>0.0</v>
      </c>
      <c r="K2006" s="12" t="s">
        <v>21</v>
      </c>
      <c r="L2006" s="7">
        <v>42422.798692129625</v>
      </c>
      <c r="M2006" s="16"/>
      <c r="N2006" s="16"/>
      <c r="O2006" s="11" t="str">
        <f>HYPERLINK("https://pbs.twimg.com/profile_images/701968916009107456/VNboPcRU_normal.png","View")</f>
        <v>View</v>
      </c>
      <c r="P2006" s="15"/>
    </row>
    <row r="2007">
      <c r="A2007" s="7">
        <v>42424.73234953704</v>
      </c>
      <c r="B2007" s="8" t="str">
        <f>HYPERLINK("https://twitter.com/Richard_Weber","@Richard_Weber")</f>
        <v>@Richard_Weber</v>
      </c>
      <c r="C2007" s="10" t="s">
        <v>9876</v>
      </c>
      <c r="D2007" s="10" t="s">
        <v>9536</v>
      </c>
      <c r="E2007" s="11" t="str">
        <f>HYPERLINK("https://twitter.com/Richard_Weber/status/702667978572210176","702667978572210176")</f>
        <v>702667978572210176</v>
      </c>
      <c r="F2007" s="12" t="s">
        <v>152</v>
      </c>
      <c r="G2007" s="13">
        <v>514.0</v>
      </c>
      <c r="H2007" s="13">
        <v>17.0</v>
      </c>
      <c r="I2007" s="13">
        <v>9.0</v>
      </c>
      <c r="J2007" s="13">
        <v>0.0</v>
      </c>
      <c r="K2007" s="12" t="s">
        <v>21</v>
      </c>
      <c r="L2007" s="7">
        <v>40029.628796296296</v>
      </c>
      <c r="M2007" s="16"/>
      <c r="N2007" s="16"/>
      <c r="O2007" s="11" t="str">
        <f>HYPERLINK("https://pbs.twimg.com/profile_images/1850154280/rweber_normal.jpg","View")</f>
        <v>View</v>
      </c>
      <c r="P2007" s="15"/>
    </row>
    <row r="2008">
      <c r="A2008" s="7">
        <v>42424.733506944445</v>
      </c>
      <c r="B2008" s="8" t="str">
        <f>HYPERLINK("https://twitter.com/aksingh1985","@aksingh1985")</f>
        <v>@aksingh1985</v>
      </c>
      <c r="C2008" s="10" t="s">
        <v>9877</v>
      </c>
      <c r="D2008" s="10" t="s">
        <v>9878</v>
      </c>
      <c r="E2008" s="11" t="str">
        <f>HYPERLINK("https://twitter.com/aksingh1985/status/702668398329630721","702668398329630721")</f>
        <v>702668398329630721</v>
      </c>
      <c r="F2008" s="12" t="s">
        <v>20</v>
      </c>
      <c r="G2008" s="13">
        <v>23.0</v>
      </c>
      <c r="H2008" s="13">
        <v>64.0</v>
      </c>
      <c r="I2008" s="13">
        <v>0.0</v>
      </c>
      <c r="J2008" s="13">
        <v>0.0</v>
      </c>
      <c r="K2008" s="12" t="s">
        <v>21</v>
      </c>
      <c r="L2008" s="7">
        <v>41128.849375</v>
      </c>
      <c r="M2008" s="14" t="s">
        <v>9879</v>
      </c>
      <c r="N2008" s="14" t="s">
        <v>9880</v>
      </c>
      <c r="O2008" s="11" t="str">
        <f>HYPERLINK("https://pbs.twimg.com/profile_images/603841641254760448/h8G2brJw_normal.jpg","View")</f>
        <v>View</v>
      </c>
      <c r="P2008" s="15"/>
    </row>
    <row r="2009">
      <c r="A2009" s="7">
        <v>42424.746666666666</v>
      </c>
      <c r="B2009" s="8" t="str">
        <f>HYPERLINK("https://twitter.com/homeAIinfo","@homeAIinfo")</f>
        <v>@homeAIinfo</v>
      </c>
      <c r="C2009" s="10" t="s">
        <v>36</v>
      </c>
      <c r="D2009" s="10" t="s">
        <v>9868</v>
      </c>
      <c r="E2009" s="11" t="str">
        <f>HYPERLINK("https://twitter.com/homeAIinfo/status/702673167362478081","702673167362478081")</f>
        <v>702673167362478081</v>
      </c>
      <c r="F2009" s="12" t="s">
        <v>38</v>
      </c>
      <c r="G2009" s="13">
        <v>52868.0</v>
      </c>
      <c r="H2009" s="13">
        <v>1328.0</v>
      </c>
      <c r="I2009" s="13">
        <v>3.0</v>
      </c>
      <c r="J2009" s="13">
        <v>0.0</v>
      </c>
      <c r="K2009" s="12" t="s">
        <v>21</v>
      </c>
      <c r="L2009" s="7">
        <v>42133.34662037037</v>
      </c>
      <c r="M2009" s="14" t="s">
        <v>39</v>
      </c>
      <c r="N2009" s="14" t="s">
        <v>40</v>
      </c>
      <c r="O2009" s="11" t="str">
        <f>HYPERLINK("https://pbs.twimg.com/profile_images/645650110374936580/-oQakt8x_normal.png","View")</f>
        <v>View</v>
      </c>
      <c r="P2009" s="15"/>
    </row>
    <row r="2010">
      <c r="A2010" s="7">
        <v>42424.752013888894</v>
      </c>
      <c r="B2010" s="8" t="str">
        <f>HYPERLINK("https://twitter.com/franjofernandez","@franjofernandez")</f>
        <v>@franjofernandez</v>
      </c>
      <c r="C2010" s="10" t="s">
        <v>9881</v>
      </c>
      <c r="D2010" s="10" t="s">
        <v>9609</v>
      </c>
      <c r="E2010" s="11" t="str">
        <f>HYPERLINK("https://twitter.com/franjofernandez/status/702675103600009217","702675103600009217")</f>
        <v>702675103600009217</v>
      </c>
      <c r="F2010" s="12" t="s">
        <v>152</v>
      </c>
      <c r="G2010" s="13">
        <v>136.0</v>
      </c>
      <c r="H2010" s="13">
        <v>314.0</v>
      </c>
      <c r="I2010" s="13">
        <v>16.0</v>
      </c>
      <c r="J2010" s="13">
        <v>0.0</v>
      </c>
      <c r="K2010" s="12" t="s">
        <v>21</v>
      </c>
      <c r="L2010" s="7">
        <v>39968.86325231481</v>
      </c>
      <c r="M2010" s="14" t="s">
        <v>9882</v>
      </c>
      <c r="N2010" s="14" t="s">
        <v>9883</v>
      </c>
      <c r="O2010" s="11" t="str">
        <f>HYPERLINK("https://pbs.twimg.com/profile_images/1145384343/9dd123e8-3d2e-4482-9973-ca5176c8f735_normal.png","View")</f>
        <v>View</v>
      </c>
      <c r="P2010" s="15"/>
    </row>
    <row r="2011">
      <c r="A2011" s="7">
        <v>42424.75219907408</v>
      </c>
      <c r="B2011" s="8" t="str">
        <f>HYPERLINK("https://twitter.com/BestCoursesEver","@BestCoursesEver")</f>
        <v>@BestCoursesEver</v>
      </c>
      <c r="C2011" s="10" t="s">
        <v>6869</v>
      </c>
      <c r="D2011" s="10" t="s">
        <v>6870</v>
      </c>
      <c r="E2011" s="11" t="str">
        <f>HYPERLINK("https://twitter.com/BestCoursesEver/status/702675170339790848","702675170339790848")</f>
        <v>702675170339790848</v>
      </c>
      <c r="F2011" s="12" t="s">
        <v>103</v>
      </c>
      <c r="G2011" s="13">
        <v>245.0</v>
      </c>
      <c r="H2011" s="13">
        <v>40.0</v>
      </c>
      <c r="I2011" s="13">
        <v>0.0</v>
      </c>
      <c r="J2011" s="13">
        <v>0.0</v>
      </c>
      <c r="K2011" s="12" t="s">
        <v>21</v>
      </c>
      <c r="L2011" s="7">
        <v>42328.607256944444</v>
      </c>
      <c r="M2011" s="16"/>
      <c r="N2011" s="16"/>
      <c r="O2011" s="11" t="str">
        <f>HYPERLINK("https://pbs.twimg.com/profile_images/667834531123208192/UStoYX_o_normal.jpg","View")</f>
        <v>View</v>
      </c>
      <c r="P2011" s="15"/>
    </row>
    <row r="2012">
      <c r="A2012" s="7">
        <v>42424.75802083334</v>
      </c>
      <c r="B2012" s="8" t="str">
        <f>HYPERLINK("https://twitter.com/nygreenguy","@nygreenguy")</f>
        <v>@nygreenguy</v>
      </c>
      <c r="C2012" s="10" t="s">
        <v>9884</v>
      </c>
      <c r="D2012" s="10" t="s">
        <v>9885</v>
      </c>
      <c r="E2012" s="11" t="str">
        <f>HYPERLINK("https://twitter.com/nygreenguy/status/702677282176016385","702677282176016385")</f>
        <v>702677282176016385</v>
      </c>
      <c r="F2012" s="12" t="s">
        <v>152</v>
      </c>
      <c r="G2012" s="13">
        <v>75.0</v>
      </c>
      <c r="H2012" s="13">
        <v>257.0</v>
      </c>
      <c r="I2012" s="13">
        <v>1.0</v>
      </c>
      <c r="J2012" s="13">
        <v>1.0</v>
      </c>
      <c r="K2012" s="12" t="s">
        <v>21</v>
      </c>
      <c r="L2012" s="7">
        <v>39913.21740740741</v>
      </c>
      <c r="M2012" s="14" t="s">
        <v>1693</v>
      </c>
      <c r="N2012" s="14" t="s">
        <v>9886</v>
      </c>
      <c r="O2012" s="11" t="str">
        <f>HYPERLINK("https://pbs.twimg.com/profile_images/3333104467/a2bb01432221609da135ea7b64e772f8_normal.jpeg","View")</f>
        <v>View</v>
      </c>
      <c r="P2012" s="15"/>
    </row>
    <row r="2013">
      <c r="A2013" s="7">
        <v>42424.78203703703</v>
      </c>
      <c r="B2013" s="8" t="str">
        <f>HYPERLINK("https://twitter.com/Hrishi_kesh","@Hrishi_kesh")</f>
        <v>@Hrishi_kesh</v>
      </c>
      <c r="C2013" s="10" t="s">
        <v>8431</v>
      </c>
      <c r="D2013" s="10" t="s">
        <v>9770</v>
      </c>
      <c r="E2013" s="11" t="str">
        <f>HYPERLINK("https://twitter.com/Hrishi_kesh/status/702685982332551168","702685982332551168")</f>
        <v>702685982332551168</v>
      </c>
      <c r="F2013" s="12" t="s">
        <v>152</v>
      </c>
      <c r="G2013" s="13">
        <v>130.0</v>
      </c>
      <c r="H2013" s="13">
        <v>262.0</v>
      </c>
      <c r="I2013" s="13">
        <v>3.0</v>
      </c>
      <c r="J2013" s="13">
        <v>0.0</v>
      </c>
      <c r="K2013" s="12" t="s">
        <v>21</v>
      </c>
      <c r="L2013" s="7">
        <v>40547.38091435185</v>
      </c>
      <c r="M2013" s="14" t="s">
        <v>639</v>
      </c>
      <c r="N2013" s="14" t="s">
        <v>8432</v>
      </c>
      <c r="O2013" s="11" t="str">
        <f>HYPERLINK("https://pbs.twimg.com/profile_images/584640941308256257/J8P9dJjq_normal.jpg","View")</f>
        <v>View</v>
      </c>
      <c r="P2013" s="15"/>
    </row>
    <row r="2014">
      <c r="A2014" s="7">
        <v>42424.78496527778</v>
      </c>
      <c r="B2014" s="8" t="str">
        <f>HYPERLINK("https://twitter.com/VMuraliKRaju","@VMuraliKRaju")</f>
        <v>@VMuraliKRaju</v>
      </c>
      <c r="C2014" s="10" t="s">
        <v>6481</v>
      </c>
      <c r="D2014" s="10" t="s">
        <v>9868</v>
      </c>
      <c r="E2014" s="11" t="str">
        <f>HYPERLINK("https://twitter.com/VMuraliKRaju/status/702687043885756416","702687043885756416")</f>
        <v>702687043885756416</v>
      </c>
      <c r="F2014" s="12" t="s">
        <v>152</v>
      </c>
      <c r="G2014" s="13">
        <v>81.0</v>
      </c>
      <c r="H2014" s="13">
        <v>305.0</v>
      </c>
      <c r="I2014" s="13">
        <v>3.0</v>
      </c>
      <c r="J2014" s="13">
        <v>0.0</v>
      </c>
      <c r="K2014" s="12" t="s">
        <v>21</v>
      </c>
      <c r="L2014" s="7">
        <v>41483.425462962965</v>
      </c>
      <c r="M2014" s="16"/>
      <c r="N2014" s="16"/>
      <c r="O2014" s="11" t="str">
        <f>HYPERLINK("https://abs.twimg.com/sticky/default_profile_images/default_profile_2_normal.png","View")</f>
        <v>View</v>
      </c>
      <c r="P2014" s="15"/>
    </row>
    <row r="2015">
      <c r="A2015" s="7">
        <v>42424.78982638889</v>
      </c>
      <c r="B2015" s="8" t="str">
        <f>HYPERLINK("https://twitter.com/kentien93","@kentien93")</f>
        <v>@kentien93</v>
      </c>
      <c r="C2015" s="10" t="s">
        <v>9887</v>
      </c>
      <c r="D2015" s="10" t="s">
        <v>9888</v>
      </c>
      <c r="E2015" s="11" t="str">
        <f>HYPERLINK("https://twitter.com/kentien93/status/702688805594099712","702688805594099712")</f>
        <v>702688805594099712</v>
      </c>
      <c r="F2015" s="12" t="s">
        <v>20</v>
      </c>
      <c r="G2015" s="13">
        <v>3180.0</v>
      </c>
      <c r="H2015" s="13">
        <v>2227.0</v>
      </c>
      <c r="I2015" s="13">
        <v>552.0</v>
      </c>
      <c r="J2015" s="13">
        <v>0.0</v>
      </c>
      <c r="K2015" s="12" t="s">
        <v>21</v>
      </c>
      <c r="L2015" s="7">
        <v>41036.62552083333</v>
      </c>
      <c r="M2015" s="14" t="s">
        <v>69</v>
      </c>
      <c r="N2015" s="14" t="s">
        <v>9889</v>
      </c>
      <c r="O2015" s="11" t="str">
        <f>HYPERLINK("https://pbs.twimg.com/profile_images/685960068920000512/O2ZAhrdC_normal.png","View")</f>
        <v>View</v>
      </c>
      <c r="P2015" s="15"/>
    </row>
    <row r="2016">
      <c r="A2016" s="7">
        <v>42424.797743055555</v>
      </c>
      <c r="B2016" s="8" t="str">
        <f>HYPERLINK("https://twitter.com/polesasunder","@polesasunder")</f>
        <v>@polesasunder</v>
      </c>
      <c r="C2016" s="10" t="s">
        <v>7496</v>
      </c>
      <c r="D2016" s="10" t="s">
        <v>9890</v>
      </c>
      <c r="E2016" s="11" t="str">
        <f>HYPERLINK("https://twitter.com/polesasunder/status/702691674477064193","702691674477064193")</f>
        <v>702691674477064193</v>
      </c>
      <c r="F2016" s="12" t="s">
        <v>152</v>
      </c>
      <c r="G2016" s="13">
        <v>1560.0</v>
      </c>
      <c r="H2016" s="13">
        <v>1353.0</v>
      </c>
      <c r="I2016" s="13">
        <v>2.0</v>
      </c>
      <c r="J2016" s="13">
        <v>0.0</v>
      </c>
      <c r="K2016" s="12" t="s">
        <v>21</v>
      </c>
      <c r="L2016" s="7">
        <v>40268.41755787037</v>
      </c>
      <c r="M2016" s="14" t="s">
        <v>2216</v>
      </c>
      <c r="N2016" s="14" t="s">
        <v>7498</v>
      </c>
      <c r="O2016" s="11" t="str">
        <f>HYPERLINK("https://pbs.twimg.com/profile_images/499358811564425216/jiX57F1h_normal.jpeg","View")</f>
        <v>View</v>
      </c>
      <c r="P2016" s="15"/>
    </row>
    <row r="2017">
      <c r="A2017" s="7">
        <v>42424.798159722224</v>
      </c>
      <c r="B2017" s="8" t="str">
        <f>HYPERLINK("https://twitter.com/jrdnmdhl","@jrdnmdhl")</f>
        <v>@jrdnmdhl</v>
      </c>
      <c r="C2017" s="10" t="s">
        <v>8749</v>
      </c>
      <c r="D2017" s="10" t="s">
        <v>9685</v>
      </c>
      <c r="E2017" s="11" t="str">
        <f>HYPERLINK("https://twitter.com/jrdnmdhl/status/702691825560252416","702691825560252416")</f>
        <v>702691825560252416</v>
      </c>
      <c r="F2017" s="12" t="s">
        <v>20</v>
      </c>
      <c r="G2017" s="13">
        <v>47.0</v>
      </c>
      <c r="H2017" s="13">
        <v>226.0</v>
      </c>
      <c r="I2017" s="13">
        <v>7.0</v>
      </c>
      <c r="J2017" s="13">
        <v>0.0</v>
      </c>
      <c r="K2017" s="12" t="s">
        <v>21</v>
      </c>
      <c r="L2017" s="7">
        <v>42378.92321759259</v>
      </c>
      <c r="M2017" s="14" t="s">
        <v>8751</v>
      </c>
      <c r="N2017" s="14" t="s">
        <v>8752</v>
      </c>
      <c r="O2017" s="11" t="str">
        <f>HYPERLINK("https://pbs.twimg.com/profile_images/686829356220608512/Xvuztyrm_normal.jpg","View")</f>
        <v>View</v>
      </c>
      <c r="P2017" s="15"/>
    </row>
    <row r="2018">
      <c r="A2018" s="7">
        <v>42424.801828703705</v>
      </c>
      <c r="B2018" s="8" t="str">
        <f>HYPERLINK("https://twitter.com/RallidaeRule","@RallidaeRule")</f>
        <v>@RallidaeRule</v>
      </c>
      <c r="C2018" s="10" t="s">
        <v>8665</v>
      </c>
      <c r="D2018" s="10" t="s">
        <v>9891</v>
      </c>
      <c r="E2018" s="11" t="str">
        <f>HYPERLINK("https://twitter.com/RallidaeRule/status/702693154261114880","702693154261114880")</f>
        <v>702693154261114880</v>
      </c>
      <c r="F2018" s="12" t="s">
        <v>152</v>
      </c>
      <c r="G2018" s="13">
        <v>2627.0</v>
      </c>
      <c r="H2018" s="13">
        <v>1200.0</v>
      </c>
      <c r="I2018" s="13">
        <v>2.0</v>
      </c>
      <c r="J2018" s="13">
        <v>0.0</v>
      </c>
      <c r="K2018" s="12" t="s">
        <v>21</v>
      </c>
      <c r="L2018" s="7">
        <v>40057.58322916667</v>
      </c>
      <c r="M2018" s="14" t="s">
        <v>8667</v>
      </c>
      <c r="N2018" s="14" t="s">
        <v>8668</v>
      </c>
      <c r="O2018" s="11" t="str">
        <f>HYPERLINK("https://pbs.twimg.com/profile_images/472088432374579201/pTx9F7zb_normal.jpeg","View")</f>
        <v>View</v>
      </c>
      <c r="P2018" s="15"/>
    </row>
    <row r="2019">
      <c r="A2019" s="7">
        <v>42424.80708333333</v>
      </c>
      <c r="B2019" s="8" t="str">
        <f>HYPERLINK("https://twitter.com/dabernathy","@dabernathy")</f>
        <v>@dabernathy</v>
      </c>
      <c r="C2019" s="10" t="s">
        <v>9892</v>
      </c>
      <c r="D2019" s="10" t="s">
        <v>9893</v>
      </c>
      <c r="E2019" s="11" t="str">
        <f>HYPERLINK("https://twitter.com/dabernathy/status/702695060425609216","702695060425609216")</f>
        <v>702695060425609216</v>
      </c>
      <c r="F2019" s="12" t="s">
        <v>152</v>
      </c>
      <c r="G2019" s="13">
        <v>816.0</v>
      </c>
      <c r="H2019" s="13">
        <v>2162.0</v>
      </c>
      <c r="I2019" s="13">
        <v>0.0</v>
      </c>
      <c r="J2019" s="13">
        <v>0.0</v>
      </c>
      <c r="K2019" s="12" t="s">
        <v>21</v>
      </c>
      <c r="L2019" s="7">
        <v>39262.530625</v>
      </c>
      <c r="M2019" s="14" t="s">
        <v>1103</v>
      </c>
      <c r="N2019" s="14" t="s">
        <v>9894</v>
      </c>
      <c r="O2019" s="11" t="str">
        <f>HYPERLINK("https://pbs.twimg.com/profile_images/849272253/abernathy_sign_1__normal.JPG","View")</f>
        <v>View</v>
      </c>
      <c r="P2019" s="15"/>
    </row>
    <row r="2020">
      <c r="A2020" s="7">
        <v>42424.808020833334</v>
      </c>
      <c r="B2020" s="8" t="str">
        <f>HYPERLINK("https://twitter.com/DataAndDataViz","@DataAndDataViz")</f>
        <v>@DataAndDataViz</v>
      </c>
      <c r="C2020" s="10" t="s">
        <v>5145</v>
      </c>
      <c r="D2020" s="10" t="s">
        <v>9568</v>
      </c>
      <c r="E2020" s="11" t="str">
        <f>HYPERLINK("https://twitter.com/DataAndDataViz/status/702695398712987649","702695398712987649")</f>
        <v>702695398712987649</v>
      </c>
      <c r="F2020" s="12" t="s">
        <v>5146</v>
      </c>
      <c r="G2020" s="13">
        <v>473.0</v>
      </c>
      <c r="H2020" s="13">
        <v>140.0</v>
      </c>
      <c r="I2020" s="13">
        <v>10.0</v>
      </c>
      <c r="J2020" s="13">
        <v>0.0</v>
      </c>
      <c r="K2020" s="12" t="s">
        <v>21</v>
      </c>
      <c r="L2020" s="7">
        <v>41603.30427083334</v>
      </c>
      <c r="M2020" s="16"/>
      <c r="N2020" s="14" t="s">
        <v>5147</v>
      </c>
      <c r="O2020" s="11" t="str">
        <f>HYPERLINK("https://pbs.twimg.com/profile_images/412249095110008832/J_K4--iQ_normal.png","View")</f>
        <v>View</v>
      </c>
      <c r="P2020" s="15"/>
    </row>
    <row r="2021">
      <c r="A2021" s="7">
        <v>42424.80876157407</v>
      </c>
      <c r="B2021" s="8" t="str">
        <f>HYPERLINK("https://twitter.com/herdcats","@herdcats")</f>
        <v>@herdcats</v>
      </c>
      <c r="C2021" s="10" t="s">
        <v>9895</v>
      </c>
      <c r="D2021" s="10" t="s">
        <v>6580</v>
      </c>
      <c r="E2021" s="11" t="str">
        <f>HYPERLINK("https://twitter.com/herdcats/status/702695667110539265","702695667110539265")</f>
        <v>702695667110539265</v>
      </c>
      <c r="F2021" s="12" t="s">
        <v>20</v>
      </c>
      <c r="G2021" s="13">
        <v>287.0</v>
      </c>
      <c r="H2021" s="13">
        <v>145.0</v>
      </c>
      <c r="I2021" s="13">
        <v>7.0</v>
      </c>
      <c r="J2021" s="13">
        <v>0.0</v>
      </c>
      <c r="K2021" s="12" t="s">
        <v>21</v>
      </c>
      <c r="L2021" s="7">
        <v>40650.45606481482</v>
      </c>
      <c r="M2021" s="14" t="s">
        <v>3114</v>
      </c>
      <c r="N2021" s="14" t="s">
        <v>9896</v>
      </c>
      <c r="O2021" s="11" t="str">
        <f>HYPERLINK("https://pbs.twimg.com/profile_images/2297337180/to5qd8xl4yr4vciu69ed_normal.jpeg","View")</f>
        <v>View</v>
      </c>
      <c r="P2021" s="15"/>
    </row>
    <row r="2022">
      <c r="A2022" s="7">
        <v>42424.8121875</v>
      </c>
      <c r="B2022" s="8" t="str">
        <f>HYPERLINK("https://twitter.com/fendien","@fendien")</f>
        <v>@fendien</v>
      </c>
      <c r="C2022" s="10" t="s">
        <v>9897</v>
      </c>
      <c r="D2022" s="10" t="s">
        <v>9750</v>
      </c>
      <c r="E2022" s="11" t="str">
        <f>HYPERLINK("https://twitter.com/fendien/status/702696910189162496","702696910189162496")</f>
        <v>702696910189162496</v>
      </c>
      <c r="F2022" s="12" t="s">
        <v>152</v>
      </c>
      <c r="G2022" s="13">
        <v>2425.0</v>
      </c>
      <c r="H2022" s="13">
        <v>779.0</v>
      </c>
      <c r="I2022" s="13">
        <v>7.0</v>
      </c>
      <c r="J2022" s="13">
        <v>0.0</v>
      </c>
      <c r="K2022" s="12" t="s">
        <v>21</v>
      </c>
      <c r="L2022" s="7">
        <v>39514.659537037034</v>
      </c>
      <c r="M2022" s="14" t="s">
        <v>1939</v>
      </c>
      <c r="N2022" s="14" t="s">
        <v>9898</v>
      </c>
      <c r="O2022" s="11" t="str">
        <f>HYPERLINK("https://pbs.twimg.com/profile_images/702263082576293888/fGDTLN3b_normal.jpg","View")</f>
        <v>View</v>
      </c>
      <c r="P2022" s="15"/>
    </row>
    <row r="2023">
      <c r="A2023" s="7">
        <v>42424.82546296297</v>
      </c>
      <c r="B2023" s="8" t="str">
        <f>HYPERLINK("https://twitter.com/KirkDBorne","@KirkDBorne")</f>
        <v>@KirkDBorne</v>
      </c>
      <c r="C2023" s="10" t="s">
        <v>4099</v>
      </c>
      <c r="D2023" s="10" t="s">
        <v>9899</v>
      </c>
      <c r="E2023" s="11" t="str">
        <f>HYPERLINK("https://twitter.com/KirkDBorne/status/702701720460206081","702701720460206081")</f>
        <v>702701720460206081</v>
      </c>
      <c r="F2023" s="12" t="s">
        <v>52</v>
      </c>
      <c r="G2023" s="13">
        <v>64191.0</v>
      </c>
      <c r="H2023" s="13">
        <v>62659.0</v>
      </c>
      <c r="I2023" s="13">
        <v>25.0</v>
      </c>
      <c r="J2023" s="13">
        <v>32.0</v>
      </c>
      <c r="K2023" s="12" t="s">
        <v>21</v>
      </c>
      <c r="L2023" s="7">
        <v>40991.399502314816</v>
      </c>
      <c r="M2023" s="14" t="s">
        <v>4101</v>
      </c>
      <c r="N2023" s="14" t="s">
        <v>4102</v>
      </c>
      <c r="O2023" s="11" t="str">
        <f>HYPERLINK("https://pbs.twimg.com/profile_images/680246148762828801/flXTNSKT_normal.jpg","View")</f>
        <v>View</v>
      </c>
      <c r="P2023" s="15"/>
    </row>
    <row r="2024">
      <c r="A2024" s="7">
        <v>42424.82603009259</v>
      </c>
      <c r="B2024" s="8" t="str">
        <f>HYPERLINK("https://twitter.com/hernangraffe","@hernangraffe")</f>
        <v>@hernangraffe</v>
      </c>
      <c r="C2024" s="10" t="s">
        <v>9497</v>
      </c>
      <c r="D2024" s="10" t="s">
        <v>9900</v>
      </c>
      <c r="E2024" s="11" t="str">
        <f>HYPERLINK("https://twitter.com/hernangraffe/status/702701924454428672","702701924454428672")</f>
        <v>702701924454428672</v>
      </c>
      <c r="F2024" s="12" t="s">
        <v>52</v>
      </c>
      <c r="G2024" s="13">
        <v>766.0</v>
      </c>
      <c r="H2024" s="13">
        <v>2954.0</v>
      </c>
      <c r="I2024" s="13">
        <v>25.0</v>
      </c>
      <c r="J2024" s="13">
        <v>0.0</v>
      </c>
      <c r="K2024" s="12" t="s">
        <v>21</v>
      </c>
      <c r="L2024" s="7">
        <v>41863.666493055556</v>
      </c>
      <c r="M2024" s="14" t="s">
        <v>9498</v>
      </c>
      <c r="N2024" s="14" t="s">
        <v>9499</v>
      </c>
      <c r="O2024" s="11" t="str">
        <f>HYPERLINK("https://pbs.twimg.com/profile_images/545739425934606336/BfYP_1F7_normal.jpeg","View")</f>
        <v>View</v>
      </c>
      <c r="P2024" s="15"/>
    </row>
    <row r="2025">
      <c r="A2025" s="7">
        <v>42424.83020833333</v>
      </c>
      <c r="B2025" s="8" t="str">
        <f>HYPERLINK("https://twitter.com/ashwinswarup","@ashwinswarup")</f>
        <v>@ashwinswarup</v>
      </c>
      <c r="C2025" s="10" t="s">
        <v>6440</v>
      </c>
      <c r="D2025" s="10" t="s">
        <v>9900</v>
      </c>
      <c r="E2025" s="11" t="str">
        <f>HYPERLINK("https://twitter.com/ashwinswarup/status/702703441831989248","702703441831989248")</f>
        <v>702703441831989248</v>
      </c>
      <c r="F2025" s="12" t="s">
        <v>38</v>
      </c>
      <c r="G2025" s="13">
        <v>50.0</v>
      </c>
      <c r="H2025" s="13">
        <v>144.0</v>
      </c>
      <c r="I2025" s="13">
        <v>25.0</v>
      </c>
      <c r="J2025" s="13">
        <v>0.0</v>
      </c>
      <c r="K2025" s="12" t="s">
        <v>21</v>
      </c>
      <c r="L2025" s="7">
        <v>40174.95818287037</v>
      </c>
      <c r="M2025" s="14" t="s">
        <v>1148</v>
      </c>
      <c r="N2025" s="16"/>
      <c r="O2025" s="11" t="str">
        <f>HYPERLINK("https://pbs.twimg.com/profile_images/690624026616553472/Jrtvx19B_normal.jpg","View")</f>
        <v>View</v>
      </c>
      <c r="P2025" s="15"/>
    </row>
    <row r="2026">
      <c r="A2026" s="7">
        <v>42424.83222222222</v>
      </c>
      <c r="B2026" s="8" t="str">
        <f>HYPERLINK("https://twitter.com/Hal4","@Hal4")</f>
        <v>@Hal4</v>
      </c>
      <c r="C2026" s="10" t="s">
        <v>9901</v>
      </c>
      <c r="D2026" s="10" t="s">
        <v>9900</v>
      </c>
      <c r="E2026" s="11" t="str">
        <f>HYPERLINK("https://twitter.com/Hal4/status/702704170785120256","702704170785120256")</f>
        <v>702704170785120256</v>
      </c>
      <c r="F2026" s="12" t="s">
        <v>20</v>
      </c>
      <c r="G2026" s="13">
        <v>930.0</v>
      </c>
      <c r="H2026" s="13">
        <v>1884.0</v>
      </c>
      <c r="I2026" s="13">
        <v>25.0</v>
      </c>
      <c r="J2026" s="13">
        <v>0.0</v>
      </c>
      <c r="K2026" s="12" t="s">
        <v>21</v>
      </c>
      <c r="L2026" s="7">
        <v>39673.610034722224</v>
      </c>
      <c r="M2026" s="14" t="s">
        <v>784</v>
      </c>
      <c r="N2026" s="14" t="s">
        <v>9902</v>
      </c>
      <c r="O2026" s="11" t="str">
        <f>HYPERLINK("https://pbs.twimg.com/profile_images/213611399/Tetragrammaton_rebalanced2despeckled_normal.png","View")</f>
        <v>View</v>
      </c>
      <c r="P2026" s="15"/>
    </row>
    <row r="2027">
      <c r="A2027" s="7">
        <v>42424.83334490741</v>
      </c>
      <c r="B2027" s="8" t="str">
        <f>HYPERLINK("https://twitter.com/sfrechette","@sfrechette")</f>
        <v>@sfrechette</v>
      </c>
      <c r="C2027" s="10" t="s">
        <v>6564</v>
      </c>
      <c r="D2027" s="10" t="s">
        <v>9903</v>
      </c>
      <c r="E2027" s="11" t="str">
        <f>HYPERLINK("https://twitter.com/sfrechette/status/702704576957431808","702704576957431808")</f>
        <v>702704576957431808</v>
      </c>
      <c r="F2027" s="12" t="s">
        <v>6566</v>
      </c>
      <c r="G2027" s="13">
        <v>1352.0</v>
      </c>
      <c r="H2027" s="13">
        <v>1178.0</v>
      </c>
      <c r="I2027" s="13">
        <v>0.0</v>
      </c>
      <c r="J2027" s="13">
        <v>0.0</v>
      </c>
      <c r="K2027" s="12" t="s">
        <v>21</v>
      </c>
      <c r="L2027" s="7">
        <v>39873.53702546297</v>
      </c>
      <c r="M2027" s="14" t="s">
        <v>6567</v>
      </c>
      <c r="N2027" s="14" t="s">
        <v>6568</v>
      </c>
      <c r="O2027" s="11" t="str">
        <f>HYPERLINK("https://pbs.twimg.com/profile_images/662342111799304192/Xtv8MZ-P_normal.jpg","View")</f>
        <v>View</v>
      </c>
      <c r="P2027" s="15"/>
    </row>
    <row r="2028">
      <c r="A2028" s="7">
        <v>42424.83358796296</v>
      </c>
      <c r="B2028" s="8" t="str">
        <f>HYPERLINK("https://twitter.com/renato_umeton","@renato_umeton")</f>
        <v>@renato_umeton</v>
      </c>
      <c r="C2028" s="10" t="s">
        <v>1659</v>
      </c>
      <c r="D2028" s="10" t="s">
        <v>9900</v>
      </c>
      <c r="E2028" s="11" t="str">
        <f>HYPERLINK("https://twitter.com/renato_umeton/status/702704666967195648","702704666967195648")</f>
        <v>702704666967195648</v>
      </c>
      <c r="F2028" s="12" t="s">
        <v>38</v>
      </c>
      <c r="G2028" s="13">
        <v>70.0</v>
      </c>
      <c r="H2028" s="13">
        <v>79.0</v>
      </c>
      <c r="I2028" s="13">
        <v>25.0</v>
      </c>
      <c r="J2028" s="13">
        <v>0.0</v>
      </c>
      <c r="K2028" s="12" t="s">
        <v>21</v>
      </c>
      <c r="L2028" s="7">
        <v>39918.052083333336</v>
      </c>
      <c r="M2028" s="14" t="s">
        <v>1660</v>
      </c>
      <c r="N2028" s="14" t="s">
        <v>1661</v>
      </c>
      <c r="O2028" s="11" t="str">
        <f>HYPERLINK("https://pbs.twimg.com/profile_images/701553083537604608/nr8b38eG_normal.jpg","View")</f>
        <v>View</v>
      </c>
      <c r="P2028" s="15"/>
    </row>
    <row r="2029">
      <c r="A2029" s="7">
        <v>42424.83429398148</v>
      </c>
      <c r="B2029" s="8" t="str">
        <f>HYPERLINK("https://twitter.com/johnrboles","@johnrboles")</f>
        <v>@johnrboles</v>
      </c>
      <c r="C2029" s="10" t="s">
        <v>9904</v>
      </c>
      <c r="D2029" s="10" t="s">
        <v>9900</v>
      </c>
      <c r="E2029" s="11" t="str">
        <f>HYPERLINK("https://twitter.com/johnrboles/status/702704922026975232","702704922026975232")</f>
        <v>702704922026975232</v>
      </c>
      <c r="F2029" s="12" t="s">
        <v>152</v>
      </c>
      <c r="G2029" s="13">
        <v>96.0</v>
      </c>
      <c r="H2029" s="13">
        <v>185.0</v>
      </c>
      <c r="I2029" s="13">
        <v>25.0</v>
      </c>
      <c r="J2029" s="13">
        <v>0.0</v>
      </c>
      <c r="K2029" s="12" t="s">
        <v>21</v>
      </c>
      <c r="L2029" s="7">
        <v>40623.78002314815</v>
      </c>
      <c r="M2029" s="16"/>
      <c r="N2029" s="14" t="s">
        <v>9905</v>
      </c>
      <c r="O2029" s="11" t="str">
        <f>HYPERLINK("https://pbs.twimg.com/profile_images/1630625652/De_moivre-laplace_normal.gif","View")</f>
        <v>View</v>
      </c>
      <c r="P2029" s="15"/>
    </row>
    <row r="2030">
      <c r="A2030" s="7">
        <v>42424.836134259254</v>
      </c>
      <c r="B2030" s="8" t="str">
        <f>HYPERLINK("https://twitter.com/IvanikSaglietti","@IvanikSaglietti")</f>
        <v>@IvanikSaglietti</v>
      </c>
      <c r="C2030" s="10" t="s">
        <v>9906</v>
      </c>
      <c r="D2030" s="10" t="s">
        <v>9900</v>
      </c>
      <c r="E2030" s="11" t="str">
        <f>HYPERLINK("https://twitter.com/IvanikSaglietti/status/702705587197493248","702705587197493248")</f>
        <v>702705587197493248</v>
      </c>
      <c r="F2030" s="12" t="s">
        <v>52</v>
      </c>
      <c r="G2030" s="13">
        <v>126.0</v>
      </c>
      <c r="H2030" s="13">
        <v>545.0</v>
      </c>
      <c r="I2030" s="13">
        <v>25.0</v>
      </c>
      <c r="J2030" s="13">
        <v>0.0</v>
      </c>
      <c r="K2030" s="12" t="s">
        <v>21</v>
      </c>
      <c r="L2030" s="7">
        <v>41402.28579861111</v>
      </c>
      <c r="M2030" s="14" t="s">
        <v>9907</v>
      </c>
      <c r="N2030" s="14" t="s">
        <v>9908</v>
      </c>
      <c r="O2030" s="11" t="str">
        <f>HYPERLINK("https://pbs.twimg.com/profile_images/378800000824703702/f1a4651981a6b5da181840ceb3570159_normal.jpeg","View")</f>
        <v>View</v>
      </c>
      <c r="P2030" s="15"/>
    </row>
    <row r="2031">
      <c r="A2031" s="7">
        <v>42424.83841435185</v>
      </c>
      <c r="B2031" s="8" t="str">
        <f>HYPERLINK("https://twitter.com/DataToValue","@DataToValue")</f>
        <v>@DataToValue</v>
      </c>
      <c r="C2031" s="10" t="s">
        <v>5522</v>
      </c>
      <c r="D2031" s="10" t="s">
        <v>9900</v>
      </c>
      <c r="E2031" s="11" t="str">
        <f>HYPERLINK("https://twitter.com/DataToValue/status/702706413710266368","702706413710266368")</f>
        <v>702706413710266368</v>
      </c>
      <c r="F2031" s="12" t="s">
        <v>38</v>
      </c>
      <c r="G2031" s="13">
        <v>439.0</v>
      </c>
      <c r="H2031" s="13">
        <v>364.0</v>
      </c>
      <c r="I2031" s="13">
        <v>25.0</v>
      </c>
      <c r="J2031" s="13">
        <v>0.0</v>
      </c>
      <c r="K2031" s="12" t="s">
        <v>21</v>
      </c>
      <c r="L2031" s="7">
        <v>41388.221979166665</v>
      </c>
      <c r="M2031" s="14" t="s">
        <v>1093</v>
      </c>
      <c r="N2031" s="14" t="s">
        <v>5523</v>
      </c>
      <c r="O2031" s="11" t="str">
        <f>HYPERLINK("https://pbs.twimg.com/profile_images/562555701734547456/mIBOZbQA_normal.jpeg","View")</f>
        <v>View</v>
      </c>
      <c r="P2031" s="15"/>
    </row>
    <row r="2032">
      <c r="A2032" s="7">
        <v>42424.83944444444</v>
      </c>
      <c r="B2032" s="8" t="str">
        <f>HYPERLINK("https://twitter.com/japalaciosg","@japalaciosg")</f>
        <v>@japalaciosg</v>
      </c>
      <c r="C2032" s="10" t="s">
        <v>6951</v>
      </c>
      <c r="D2032" s="10" t="s">
        <v>9900</v>
      </c>
      <c r="E2032" s="11" t="str">
        <f>HYPERLINK("https://twitter.com/japalaciosg/status/702706785631805441","702706785631805441")</f>
        <v>702706785631805441</v>
      </c>
      <c r="F2032" s="12" t="s">
        <v>152</v>
      </c>
      <c r="G2032" s="13">
        <v>310.0</v>
      </c>
      <c r="H2032" s="13">
        <v>663.0</v>
      </c>
      <c r="I2032" s="13">
        <v>25.0</v>
      </c>
      <c r="J2032" s="13">
        <v>0.0</v>
      </c>
      <c r="K2032" s="12" t="s">
        <v>21</v>
      </c>
      <c r="L2032" s="7">
        <v>41391.16357638889</v>
      </c>
      <c r="M2032" s="16"/>
      <c r="N2032" s="16"/>
      <c r="O2032" s="11" t="str">
        <f>HYPERLINK("https://pbs.twimg.com/profile_images/596724230449930240/Fg3wVDMe_normal.jpg","View")</f>
        <v>View</v>
      </c>
      <c r="P2032" s="15"/>
    </row>
    <row r="2033">
      <c r="A2033" s="7">
        <v>42424.84127314815</v>
      </c>
      <c r="B2033" s="8" t="str">
        <f>HYPERLINK("https://twitter.com/InsectEcology","@InsectEcology")</f>
        <v>@InsectEcology</v>
      </c>
      <c r="C2033" s="10" t="s">
        <v>9909</v>
      </c>
      <c r="D2033" s="10" t="s">
        <v>9910</v>
      </c>
      <c r="E2033" s="11" t="str">
        <f>HYPERLINK("https://twitter.com/InsectEcology/status/702707449250213889","702707449250213889")</f>
        <v>702707449250213889</v>
      </c>
      <c r="F2033" s="12" t="s">
        <v>20</v>
      </c>
      <c r="G2033" s="13">
        <v>1472.0</v>
      </c>
      <c r="H2033" s="13">
        <v>783.0</v>
      </c>
      <c r="I2033" s="13">
        <v>0.0</v>
      </c>
      <c r="J2033" s="13">
        <v>2.0</v>
      </c>
      <c r="K2033" s="12" t="s">
        <v>21</v>
      </c>
      <c r="L2033" s="7">
        <v>40995.01420138889</v>
      </c>
      <c r="M2033" s="14" t="s">
        <v>5596</v>
      </c>
      <c r="N2033" s="14" t="s">
        <v>9911</v>
      </c>
      <c r="O2033" s="11" t="str">
        <f>HYPERLINK("https://pbs.twimg.com/profile_images/651739925629562880/nRD4e0St_normal.jpg","View")</f>
        <v>View</v>
      </c>
      <c r="P2033" s="15"/>
    </row>
    <row r="2034">
      <c r="A2034" s="7">
        <v>42424.84212962963</v>
      </c>
      <c r="B2034" s="8" t="str">
        <f>HYPERLINK("https://twitter.com/AnalyticsVidhya","@AnalyticsVidhya")</f>
        <v>@AnalyticsVidhya</v>
      </c>
      <c r="C2034" s="10" t="s">
        <v>2998</v>
      </c>
      <c r="D2034" s="10" t="s">
        <v>9912</v>
      </c>
      <c r="E2034" s="11" t="str">
        <f>HYPERLINK("https://twitter.com/AnalyticsVidhya/status/702707760543219712","702707760543219712")</f>
        <v>702707760543219712</v>
      </c>
      <c r="F2034" s="12" t="s">
        <v>294</v>
      </c>
      <c r="G2034" s="13">
        <v>4133.0</v>
      </c>
      <c r="H2034" s="13">
        <v>250.0</v>
      </c>
      <c r="I2034" s="13">
        <v>4.0</v>
      </c>
      <c r="J2034" s="13">
        <v>9.0</v>
      </c>
      <c r="K2034" s="12" t="s">
        <v>21</v>
      </c>
      <c r="L2034" s="7">
        <v>41665.11702546296</v>
      </c>
      <c r="M2034" s="16"/>
      <c r="N2034" s="14" t="s">
        <v>3000</v>
      </c>
      <c r="O2034" s="11" t="str">
        <f>HYPERLINK("https://pbs.twimg.com/profile_images/457775762108448768/XmO2C1-E_normal.png","View")</f>
        <v>View</v>
      </c>
      <c r="P2034" s="15"/>
    </row>
    <row r="2035">
      <c r="A2035" s="7">
        <v>42424.84318287037</v>
      </c>
      <c r="B2035" s="8" t="str">
        <f>HYPERLINK("https://twitter.com/jletteboer","@jletteboer")</f>
        <v>@jletteboer</v>
      </c>
      <c r="C2035" s="10" t="s">
        <v>3886</v>
      </c>
      <c r="D2035" s="10" t="s">
        <v>9913</v>
      </c>
      <c r="E2035" s="11" t="str">
        <f>HYPERLINK("https://twitter.com/jletteboer/status/702708142044520448","702708142044520448")</f>
        <v>702708142044520448</v>
      </c>
      <c r="F2035" s="17" t="s">
        <v>718</v>
      </c>
      <c r="G2035" s="13">
        <v>818.0</v>
      </c>
      <c r="H2035" s="13">
        <v>786.0</v>
      </c>
      <c r="I2035" s="13">
        <v>0.0</v>
      </c>
      <c r="J2035" s="13">
        <v>0.0</v>
      </c>
      <c r="K2035" s="12" t="s">
        <v>21</v>
      </c>
      <c r="L2035" s="7">
        <v>40142.24915509259</v>
      </c>
      <c r="M2035" s="14" t="s">
        <v>1007</v>
      </c>
      <c r="N2035" s="14" t="s">
        <v>3888</v>
      </c>
      <c r="O2035" s="11" t="str">
        <f>HYPERLINK("https://pbs.twimg.com/profile_images/524199331365015552/O94t9yIe_normal.jpeg","View")</f>
        <v>View</v>
      </c>
      <c r="P2035" s="15"/>
    </row>
    <row r="2036">
      <c r="A2036" s="7">
        <v>42424.8471412037</v>
      </c>
      <c r="B2036" s="8" t="str">
        <f>HYPERLINK("https://twitter.com/datagrokker","@datagrokker")</f>
        <v>@datagrokker</v>
      </c>
      <c r="C2036" s="10" t="s">
        <v>9914</v>
      </c>
      <c r="D2036" s="10" t="s">
        <v>9900</v>
      </c>
      <c r="E2036" s="11" t="str">
        <f>HYPERLINK("https://twitter.com/datagrokker/status/702709577637240833","702709577637240833")</f>
        <v>702709577637240833</v>
      </c>
      <c r="F2036" s="12" t="s">
        <v>152</v>
      </c>
      <c r="G2036" s="13">
        <v>82.0</v>
      </c>
      <c r="H2036" s="13">
        <v>106.0</v>
      </c>
      <c r="I2036" s="13">
        <v>25.0</v>
      </c>
      <c r="J2036" s="13">
        <v>0.0</v>
      </c>
      <c r="K2036" s="12" t="s">
        <v>21</v>
      </c>
      <c r="L2036" s="7">
        <v>42372.098495370374</v>
      </c>
      <c r="M2036" s="16"/>
      <c r="N2036" s="14" t="s">
        <v>9915</v>
      </c>
      <c r="O2036" s="11" t="str">
        <f>HYPERLINK("https://pbs.twimg.com/profile_images/683596582420258816/pBOaeItU_normal.jpg","View")</f>
        <v>View</v>
      </c>
      <c r="P2036" s="15"/>
    </row>
    <row r="2037">
      <c r="A2037" s="7">
        <v>42424.84736111111</v>
      </c>
      <c r="B2037" s="8" t="str">
        <f>HYPERLINK("https://twitter.com/the_real_pdf","@the_real_pdf")</f>
        <v>@the_real_pdf</v>
      </c>
      <c r="C2037" s="10" t="s">
        <v>1229</v>
      </c>
      <c r="D2037" s="10" t="s">
        <v>9770</v>
      </c>
      <c r="E2037" s="11" t="str">
        <f>HYPERLINK("https://twitter.com/the_real_pdf/status/702709655978549248","702709655978549248")</f>
        <v>702709655978549248</v>
      </c>
      <c r="F2037" s="12" t="s">
        <v>52</v>
      </c>
      <c r="G2037" s="13">
        <v>141.0</v>
      </c>
      <c r="H2037" s="13">
        <v>300.0</v>
      </c>
      <c r="I2037" s="13">
        <v>3.0</v>
      </c>
      <c r="J2037" s="13">
        <v>0.0</v>
      </c>
      <c r="K2037" s="12" t="s">
        <v>21</v>
      </c>
      <c r="L2037" s="7">
        <v>39860.824224537035</v>
      </c>
      <c r="M2037" s="14" t="s">
        <v>379</v>
      </c>
      <c r="N2037" s="14" t="s">
        <v>1230</v>
      </c>
      <c r="O2037" s="11" t="str">
        <f>HYPERLINK("https://pbs.twimg.com/profile_images/430148297462775808/m6ZMrd9a_normal.jpeg","View")</f>
        <v>View</v>
      </c>
      <c r="P2037" s="15"/>
    </row>
    <row r="2038">
      <c r="A2038" s="7">
        <v>42424.84769675926</v>
      </c>
      <c r="B2038" s="8" t="str">
        <f t="shared" ref="B2038:B2039" si="225">HYPERLINK("https://twitter.com/timelyportfolio","@timelyportfolio")</f>
        <v>@timelyportfolio</v>
      </c>
      <c r="C2038" s="10" t="s">
        <v>3698</v>
      </c>
      <c r="D2038" s="10" t="s">
        <v>9916</v>
      </c>
      <c r="E2038" s="11" t="str">
        <f>HYPERLINK("https://twitter.com/timelyportfolio/status/702709776988426240","702709776988426240")</f>
        <v>702709776988426240</v>
      </c>
      <c r="F2038" s="12" t="s">
        <v>20</v>
      </c>
      <c r="G2038" s="13">
        <v>1875.0</v>
      </c>
      <c r="H2038" s="13">
        <v>2248.0</v>
      </c>
      <c r="I2038" s="13">
        <v>3.0</v>
      </c>
      <c r="J2038" s="13">
        <v>0.0</v>
      </c>
      <c r="K2038" s="12" t="s">
        <v>21</v>
      </c>
      <c r="L2038" s="7">
        <v>40573.86280092593</v>
      </c>
      <c r="M2038" s="14" t="s">
        <v>3700</v>
      </c>
      <c r="N2038" s="14" t="s">
        <v>3701</v>
      </c>
      <c r="O2038" s="11" t="str">
        <f t="shared" ref="O2038:O2039" si="226">HYPERLINK("https://pbs.twimg.com/profile_images/2198946077/image_normal.jpg","View")</f>
        <v>View</v>
      </c>
      <c r="P2038" s="15"/>
    </row>
    <row r="2039">
      <c r="A2039" s="7">
        <v>42424.847905092596</v>
      </c>
      <c r="B2039" s="8" t="str">
        <f t="shared" si="225"/>
        <v>@timelyportfolio</v>
      </c>
      <c r="C2039" s="10" t="s">
        <v>3698</v>
      </c>
      <c r="D2039" s="10" t="s">
        <v>9750</v>
      </c>
      <c r="E2039" s="11" t="str">
        <f>HYPERLINK("https://twitter.com/timelyportfolio/status/702709853941338112","702709853941338112")</f>
        <v>702709853941338112</v>
      </c>
      <c r="F2039" s="12" t="s">
        <v>20</v>
      </c>
      <c r="G2039" s="13">
        <v>1875.0</v>
      </c>
      <c r="H2039" s="13">
        <v>2248.0</v>
      </c>
      <c r="I2039" s="13">
        <v>7.0</v>
      </c>
      <c r="J2039" s="13">
        <v>0.0</v>
      </c>
      <c r="K2039" s="12" t="s">
        <v>21</v>
      </c>
      <c r="L2039" s="7">
        <v>40573.86280092593</v>
      </c>
      <c r="M2039" s="14" t="s">
        <v>3700</v>
      </c>
      <c r="N2039" s="14" t="s">
        <v>3701</v>
      </c>
      <c r="O2039" s="11" t="str">
        <f t="shared" si="226"/>
        <v>View</v>
      </c>
      <c r="P2039" s="15"/>
    </row>
    <row r="2040">
      <c r="A2040" s="7">
        <v>42424.84952546297</v>
      </c>
      <c r="B2040" s="8" t="str">
        <f>HYPERLINK("https://twitter.com/dmbcanada","@dmbcanada")</f>
        <v>@dmbcanada</v>
      </c>
      <c r="C2040" s="10" t="s">
        <v>9917</v>
      </c>
      <c r="D2040" s="10" t="s">
        <v>9900</v>
      </c>
      <c r="E2040" s="11" t="str">
        <f>HYPERLINK("https://twitter.com/dmbcanada/status/702710440107704320","702710440107704320")</f>
        <v>702710440107704320</v>
      </c>
      <c r="F2040" s="12" t="s">
        <v>52</v>
      </c>
      <c r="G2040" s="13">
        <v>137.0</v>
      </c>
      <c r="H2040" s="13">
        <v>406.0</v>
      </c>
      <c r="I2040" s="13">
        <v>25.0</v>
      </c>
      <c r="J2040" s="13">
        <v>0.0</v>
      </c>
      <c r="K2040" s="12" t="s">
        <v>21</v>
      </c>
      <c r="L2040" s="7">
        <v>41247.47849537037</v>
      </c>
      <c r="M2040" s="14" t="s">
        <v>9918</v>
      </c>
      <c r="N2040" s="14" t="s">
        <v>9919</v>
      </c>
      <c r="O2040" s="11" t="str">
        <f>HYPERLINK("https://pbs.twimg.com/profile_images/2932936172/bc261dba53a5a9804b18e9518f8ae0ff_normal.jpeg","View")</f>
        <v>View</v>
      </c>
      <c r="P2040" s="15"/>
    </row>
    <row r="2041">
      <c r="A2041" s="7">
        <v>42424.85165509259</v>
      </c>
      <c r="B2041" s="8" t="str">
        <f>HYPERLINK("https://twitter.com/timelyportfolio","@timelyportfolio")</f>
        <v>@timelyportfolio</v>
      </c>
      <c r="C2041" s="10" t="s">
        <v>3698</v>
      </c>
      <c r="D2041" s="10" t="s">
        <v>9920</v>
      </c>
      <c r="E2041" s="11" t="str">
        <f>HYPERLINK("https://twitter.com/timelyportfolio/status/702711213109723136","702711213109723136")</f>
        <v>702711213109723136</v>
      </c>
      <c r="F2041" s="12" t="s">
        <v>20</v>
      </c>
      <c r="G2041" s="13">
        <v>1875.0</v>
      </c>
      <c r="H2041" s="13">
        <v>2248.0</v>
      </c>
      <c r="I2041" s="13">
        <v>2.0</v>
      </c>
      <c r="J2041" s="13">
        <v>0.0</v>
      </c>
      <c r="K2041" s="12" t="s">
        <v>21</v>
      </c>
      <c r="L2041" s="7">
        <v>40573.86280092593</v>
      </c>
      <c r="M2041" s="14" t="s">
        <v>3700</v>
      </c>
      <c r="N2041" s="14" t="s">
        <v>3701</v>
      </c>
      <c r="O2041" s="11" t="str">
        <f>HYPERLINK("https://pbs.twimg.com/profile_images/2198946077/image_normal.jpg","View")</f>
        <v>View</v>
      </c>
      <c r="P2041" s="15"/>
    </row>
    <row r="2042">
      <c r="A2042" s="7">
        <v>42424.854097222225</v>
      </c>
      <c r="B2042" s="8" t="str">
        <f t="shared" ref="B2042:B2044" si="227">HYPERLINK("https://twitter.com/atthinks","@atthinks")</f>
        <v>@atthinks</v>
      </c>
      <c r="C2042" s="10" t="s">
        <v>6934</v>
      </c>
      <c r="D2042" s="10" t="s">
        <v>9636</v>
      </c>
      <c r="E2042" s="11" t="str">
        <f>HYPERLINK("https://twitter.com/atthinks/status/702712095771643904","702712095771643904")</f>
        <v>702712095771643904</v>
      </c>
      <c r="F2042" s="12" t="s">
        <v>52</v>
      </c>
      <c r="G2042" s="13">
        <v>167.0</v>
      </c>
      <c r="H2042" s="13">
        <v>379.0</v>
      </c>
      <c r="I2042" s="13">
        <v>8.0</v>
      </c>
      <c r="J2042" s="13">
        <v>0.0</v>
      </c>
      <c r="K2042" s="12" t="s">
        <v>21</v>
      </c>
      <c r="L2042" s="7">
        <v>40509.65456018518</v>
      </c>
      <c r="M2042" s="16"/>
      <c r="N2042" s="14" t="s">
        <v>6935</v>
      </c>
      <c r="O2042" s="11" t="str">
        <f t="shared" ref="O2042:O2044" si="228">HYPERLINK("https://pbs.twimg.com/profile_images/2138752377/TwittPic_normal.jpg","View")</f>
        <v>View</v>
      </c>
      <c r="P2042" s="15"/>
    </row>
    <row r="2043">
      <c r="A2043" s="7">
        <v>42424.85424768519</v>
      </c>
      <c r="B2043" s="8" t="str">
        <f t="shared" si="227"/>
        <v>@atthinks</v>
      </c>
      <c r="C2043" s="10" t="s">
        <v>6934</v>
      </c>
      <c r="D2043" s="10" t="s">
        <v>9617</v>
      </c>
      <c r="E2043" s="11" t="str">
        <f>HYPERLINK("https://twitter.com/atthinks/status/702712153049059329","702712153049059329")</f>
        <v>702712153049059329</v>
      </c>
      <c r="F2043" s="12" t="s">
        <v>52</v>
      </c>
      <c r="G2043" s="13">
        <v>167.0</v>
      </c>
      <c r="H2043" s="13">
        <v>379.0</v>
      </c>
      <c r="I2043" s="13">
        <v>16.0</v>
      </c>
      <c r="J2043" s="13">
        <v>0.0</v>
      </c>
      <c r="K2043" s="12" t="s">
        <v>21</v>
      </c>
      <c r="L2043" s="7">
        <v>40509.65456018518</v>
      </c>
      <c r="M2043" s="16"/>
      <c r="N2043" s="14" t="s">
        <v>6935</v>
      </c>
      <c r="O2043" s="11" t="str">
        <f t="shared" si="228"/>
        <v>View</v>
      </c>
      <c r="P2043" s="15"/>
    </row>
    <row r="2044">
      <c r="A2044" s="7">
        <v>42424.85428240741</v>
      </c>
      <c r="B2044" s="8" t="str">
        <f t="shared" si="227"/>
        <v>@atthinks</v>
      </c>
      <c r="C2044" s="10" t="s">
        <v>6934</v>
      </c>
      <c r="D2044" s="10" t="s">
        <v>9609</v>
      </c>
      <c r="E2044" s="11" t="str">
        <f>HYPERLINK("https://twitter.com/atthinks/status/702712166089138176","702712166089138176")</f>
        <v>702712166089138176</v>
      </c>
      <c r="F2044" s="12" t="s">
        <v>52</v>
      </c>
      <c r="G2044" s="13">
        <v>167.0</v>
      </c>
      <c r="H2044" s="13">
        <v>379.0</v>
      </c>
      <c r="I2044" s="13">
        <v>16.0</v>
      </c>
      <c r="J2044" s="13">
        <v>0.0</v>
      </c>
      <c r="K2044" s="12" t="s">
        <v>21</v>
      </c>
      <c r="L2044" s="7">
        <v>40509.65456018518</v>
      </c>
      <c r="M2044" s="16"/>
      <c r="N2044" s="14" t="s">
        <v>6935</v>
      </c>
      <c r="O2044" s="11" t="str">
        <f t="shared" si="228"/>
        <v>View</v>
      </c>
      <c r="P2044" s="15"/>
    </row>
    <row r="2045">
      <c r="A2045" s="7">
        <v>42424.855578703704</v>
      </c>
      <c r="B2045" s="8" t="str">
        <f>HYPERLINK("https://twitter.com/aofarre","@aofarre")</f>
        <v>@aofarre</v>
      </c>
      <c r="C2045" s="10" t="s">
        <v>9921</v>
      </c>
      <c r="D2045" s="10" t="s">
        <v>9200</v>
      </c>
      <c r="E2045" s="11" t="str">
        <f>HYPERLINK("https://twitter.com/aofarre/status/702712633519165442","702712633519165442")</f>
        <v>702712633519165442</v>
      </c>
      <c r="F2045" s="12" t="s">
        <v>152</v>
      </c>
      <c r="G2045" s="13">
        <v>544.0</v>
      </c>
      <c r="H2045" s="13">
        <v>455.0</v>
      </c>
      <c r="I2045" s="13">
        <v>13.0</v>
      </c>
      <c r="J2045" s="13">
        <v>0.0</v>
      </c>
      <c r="K2045" s="12" t="s">
        <v>21</v>
      </c>
      <c r="L2045" s="7">
        <v>40301.2246875</v>
      </c>
      <c r="M2045" s="14" t="s">
        <v>1357</v>
      </c>
      <c r="N2045" s="14" t="s">
        <v>9922</v>
      </c>
      <c r="O2045" s="11" t="str">
        <f>HYPERLINK("https://pbs.twimg.com/profile_images/661510280980119552/orCUoi2g_normal.jpg","View")</f>
        <v>View</v>
      </c>
      <c r="P2045" s="15"/>
    </row>
    <row r="2046">
      <c r="A2046" s="7">
        <v>42424.85587962963</v>
      </c>
      <c r="B2046" s="8" t="str">
        <f>HYPERLINK("https://twitter.com/jrdnmdhl","@jrdnmdhl")</f>
        <v>@jrdnmdhl</v>
      </c>
      <c r="C2046" s="10" t="s">
        <v>8749</v>
      </c>
      <c r="D2046" s="10" t="s">
        <v>9916</v>
      </c>
      <c r="E2046" s="11" t="str">
        <f>HYPERLINK("https://twitter.com/jrdnmdhl/status/702712743263117312","702712743263117312")</f>
        <v>702712743263117312</v>
      </c>
      <c r="F2046" s="12" t="s">
        <v>20</v>
      </c>
      <c r="G2046" s="13">
        <v>47.0</v>
      </c>
      <c r="H2046" s="13">
        <v>226.0</v>
      </c>
      <c r="I2046" s="13">
        <v>3.0</v>
      </c>
      <c r="J2046" s="13">
        <v>0.0</v>
      </c>
      <c r="K2046" s="12" t="s">
        <v>21</v>
      </c>
      <c r="L2046" s="7">
        <v>42378.92321759259</v>
      </c>
      <c r="M2046" s="14" t="s">
        <v>8751</v>
      </c>
      <c r="N2046" s="14" t="s">
        <v>8752</v>
      </c>
      <c r="O2046" s="11" t="str">
        <f>HYPERLINK("https://pbs.twimg.com/profile_images/686829356220608512/Xvuztyrm_normal.jpg","View")</f>
        <v>View</v>
      </c>
      <c r="P2046" s="15"/>
    </row>
    <row r="2047">
      <c r="A2047" s="7">
        <v>42424.85653935185</v>
      </c>
      <c r="B2047" s="8" t="str">
        <f>HYPERLINK("https://twitter.com/amang17","@amang17")</f>
        <v>@amang17</v>
      </c>
      <c r="C2047" s="10" t="s">
        <v>9923</v>
      </c>
      <c r="D2047" s="10" t="s">
        <v>9924</v>
      </c>
      <c r="E2047" s="11" t="str">
        <f>HYPERLINK("https://twitter.com/amang17/status/702712984129314816","702712984129314816")</f>
        <v>702712984129314816</v>
      </c>
      <c r="F2047" s="12" t="s">
        <v>152</v>
      </c>
      <c r="G2047" s="13">
        <v>53.0</v>
      </c>
      <c r="H2047" s="13">
        <v>382.0</v>
      </c>
      <c r="I2047" s="13">
        <v>4.0</v>
      </c>
      <c r="J2047" s="13">
        <v>0.0</v>
      </c>
      <c r="K2047" s="12" t="s">
        <v>21</v>
      </c>
      <c r="L2047" s="7">
        <v>40111.91777777778</v>
      </c>
      <c r="M2047" s="14" t="s">
        <v>9925</v>
      </c>
      <c r="N2047" s="14" t="s">
        <v>9926</v>
      </c>
      <c r="O2047" s="11" t="str">
        <f>HYPERLINK("https://pbs.twimg.com/profile_images/700045661882830848/xmZtV-MI_normal.jpg","View")</f>
        <v>View</v>
      </c>
      <c r="P2047" s="15"/>
    </row>
    <row r="2048">
      <c r="A2048" s="7">
        <v>42424.8647800926</v>
      </c>
      <c r="B2048" s="8" t="str">
        <f>HYPERLINK("https://twitter.com/WebScraperDB","@WebScraperDB")</f>
        <v>@WebScraperDB</v>
      </c>
      <c r="C2048" s="10" t="s">
        <v>2743</v>
      </c>
      <c r="D2048" s="10" t="s">
        <v>9927</v>
      </c>
      <c r="E2048" s="11" t="str">
        <f>HYPERLINK("https://twitter.com/WebScraperDB/status/702715970842992641","702715970842992641")</f>
        <v>702715970842992641</v>
      </c>
      <c r="F2048" s="12" t="s">
        <v>2743</v>
      </c>
      <c r="G2048" s="13">
        <v>298.0</v>
      </c>
      <c r="H2048" s="13">
        <v>927.0</v>
      </c>
      <c r="I2048" s="13">
        <v>0.0</v>
      </c>
      <c r="J2048" s="13">
        <v>1.0</v>
      </c>
      <c r="K2048" s="12" t="s">
        <v>21</v>
      </c>
      <c r="L2048" s="7">
        <v>42410.33493055556</v>
      </c>
      <c r="M2048" s="14" t="s">
        <v>2745</v>
      </c>
      <c r="N2048" s="14" t="s">
        <v>2746</v>
      </c>
      <c r="O2048" s="11" t="str">
        <f>HYPERLINK("https://pbs.twimg.com/profile_images/699545598450606080/s8CU8cVg_normal.png","View")</f>
        <v>View</v>
      </c>
      <c r="P2048" s="15"/>
    </row>
    <row r="2049">
      <c r="A2049" s="7">
        <v>42424.87540509259</v>
      </c>
      <c r="B2049" s="8" t="str">
        <f>HYPERLINK("https://twitter.com/DataAndDataViz","@DataAndDataViz")</f>
        <v>@DataAndDataViz</v>
      </c>
      <c r="C2049" s="10" t="s">
        <v>5145</v>
      </c>
      <c r="D2049" s="10" t="s">
        <v>9916</v>
      </c>
      <c r="E2049" s="11" t="str">
        <f>HYPERLINK("https://twitter.com/DataAndDataViz/status/702719820933021696","702719820933021696")</f>
        <v>702719820933021696</v>
      </c>
      <c r="F2049" s="12" t="s">
        <v>5146</v>
      </c>
      <c r="G2049" s="13">
        <v>473.0</v>
      </c>
      <c r="H2049" s="13">
        <v>140.0</v>
      </c>
      <c r="I2049" s="13">
        <v>3.0</v>
      </c>
      <c r="J2049" s="13">
        <v>0.0</v>
      </c>
      <c r="K2049" s="12" t="s">
        <v>21</v>
      </c>
      <c r="L2049" s="7">
        <v>41603.30427083334</v>
      </c>
      <c r="M2049" s="16"/>
      <c r="N2049" s="14" t="s">
        <v>5147</v>
      </c>
      <c r="O2049" s="11" t="str">
        <f>HYPERLINK("https://pbs.twimg.com/profile_images/412249095110008832/J_K4--iQ_normal.png","View")</f>
        <v>View</v>
      </c>
      <c r="P2049" s="15"/>
    </row>
    <row r="2050">
      <c r="A2050" s="7">
        <v>42424.8777662037</v>
      </c>
      <c r="B2050" s="8" t="str">
        <f>HYPERLINK("https://twitter.com/souravc83","@souravc83")</f>
        <v>@souravc83</v>
      </c>
      <c r="C2050" s="10" t="s">
        <v>6278</v>
      </c>
      <c r="D2050" s="10" t="s">
        <v>9928</v>
      </c>
      <c r="E2050" s="11" t="str">
        <f>HYPERLINK("https://twitter.com/souravc83/status/702720673462943745","702720673462943745")</f>
        <v>702720673462943745</v>
      </c>
      <c r="F2050" s="12" t="s">
        <v>20</v>
      </c>
      <c r="G2050" s="13">
        <v>39.0</v>
      </c>
      <c r="H2050" s="13">
        <v>148.0</v>
      </c>
      <c r="I2050" s="13">
        <v>0.0</v>
      </c>
      <c r="J2050" s="13">
        <v>0.0</v>
      </c>
      <c r="K2050" s="12" t="s">
        <v>21</v>
      </c>
      <c r="L2050" s="7">
        <v>39942.4037962963</v>
      </c>
      <c r="M2050" s="14" t="s">
        <v>6280</v>
      </c>
      <c r="N2050" s="14" t="s">
        <v>6281</v>
      </c>
      <c r="O2050" s="11" t="str">
        <f>HYPERLINK("https://pbs.twimg.com/profile_images/658511161034326016/RaFwgtT6_normal.jpg","View")</f>
        <v>View</v>
      </c>
      <c r="P2050" s="15"/>
    </row>
    <row r="2051">
      <c r="A2051" s="7">
        <v>42424.88605324074</v>
      </c>
      <c r="B2051" s="8" t="str">
        <f t="shared" ref="B2051:B2052" si="229">HYPERLINK("https://twitter.com/ClarkGRichards","@ClarkGRichards")</f>
        <v>@ClarkGRichards</v>
      </c>
      <c r="C2051" s="10" t="s">
        <v>8874</v>
      </c>
      <c r="D2051" s="10" t="s">
        <v>9929</v>
      </c>
      <c r="E2051" s="11" t="str">
        <f>HYPERLINK("https://twitter.com/ClarkGRichards/status/702723679596077056","702723679596077056")</f>
        <v>702723679596077056</v>
      </c>
      <c r="F2051" s="12" t="s">
        <v>20</v>
      </c>
      <c r="G2051" s="13">
        <v>228.0</v>
      </c>
      <c r="H2051" s="13">
        <v>483.0</v>
      </c>
      <c r="I2051" s="13">
        <v>2.0</v>
      </c>
      <c r="J2051" s="13">
        <v>1.0</v>
      </c>
      <c r="K2051" s="12" t="s">
        <v>21</v>
      </c>
      <c r="L2051" s="7">
        <v>40892.252962962964</v>
      </c>
      <c r="M2051" s="14" t="s">
        <v>8876</v>
      </c>
      <c r="N2051" s="14" t="s">
        <v>8877</v>
      </c>
      <c r="O2051" s="11" t="str">
        <f t="shared" ref="O2051:O2052" si="230">HYPERLINK("https://pbs.twimg.com/profile_images/571506248055398400/NlgYe8s8_normal.jpeg","View")</f>
        <v>View</v>
      </c>
      <c r="P2051" s="15"/>
    </row>
    <row r="2052">
      <c r="A2052" s="7">
        <v>42424.88644675926</v>
      </c>
      <c r="B2052" s="8" t="str">
        <f t="shared" si="229"/>
        <v>@ClarkGRichards</v>
      </c>
      <c r="C2052" s="10" t="s">
        <v>8874</v>
      </c>
      <c r="D2052" s="10" t="s">
        <v>9930</v>
      </c>
      <c r="E2052" s="11" t="str">
        <f>HYPERLINK("https://twitter.com/ClarkGRichards/status/702723820143005696","702723820143005696")</f>
        <v>702723820143005696</v>
      </c>
      <c r="F2052" s="12" t="s">
        <v>20</v>
      </c>
      <c r="G2052" s="13">
        <v>228.0</v>
      </c>
      <c r="H2052" s="13">
        <v>483.0</v>
      </c>
      <c r="I2052" s="13">
        <v>0.0</v>
      </c>
      <c r="J2052" s="13">
        <v>1.0</v>
      </c>
      <c r="K2052" s="12" t="s">
        <v>21</v>
      </c>
      <c r="L2052" s="7">
        <v>40892.252962962964</v>
      </c>
      <c r="M2052" s="14" t="s">
        <v>8876</v>
      </c>
      <c r="N2052" s="14" t="s">
        <v>8877</v>
      </c>
      <c r="O2052" s="11" t="str">
        <f t="shared" si="230"/>
        <v>View</v>
      </c>
      <c r="P2052" s="15"/>
    </row>
    <row r="2053">
      <c r="A2053" s="7">
        <v>42424.89246527778</v>
      </c>
      <c r="B2053" s="8" t="str">
        <f>HYPERLINK("https://twitter.com/Rbloggers","@Rbloggers")</f>
        <v>@Rbloggers</v>
      </c>
      <c r="C2053" s="10" t="s">
        <v>6221</v>
      </c>
      <c r="D2053" s="10" t="s">
        <v>9931</v>
      </c>
      <c r="E2053" s="11" t="str">
        <f>HYPERLINK("https://twitter.com/Rbloggers/status/702726001713741824","702726001713741824")</f>
        <v>702726001713741824</v>
      </c>
      <c r="F2053" s="17" t="s">
        <v>6223</v>
      </c>
      <c r="G2053" s="13">
        <v>28572.0</v>
      </c>
      <c r="H2053" s="13">
        <v>36.0</v>
      </c>
      <c r="I2053" s="13">
        <v>7.0</v>
      </c>
      <c r="J2053" s="13">
        <v>16.0</v>
      </c>
      <c r="K2053" s="12" t="s">
        <v>21</v>
      </c>
      <c r="L2053" s="7">
        <v>40314.510601851856</v>
      </c>
      <c r="M2053" s="16"/>
      <c r="N2053" s="14" t="s">
        <v>6224</v>
      </c>
      <c r="O2053" s="11" t="str">
        <f>HYPERLINK("https://pbs.twimg.com/profile_images/502185985786916864/gkdFh-q7_normal.png","View")</f>
        <v>View</v>
      </c>
      <c r="P2053" s="15"/>
    </row>
    <row r="2054">
      <c r="A2054" s="7">
        <v>42424.89247685185</v>
      </c>
      <c r="B2054" s="8" t="str">
        <f>HYPERLINK("https://twitter.com/itknowingness","@itknowingness")</f>
        <v>@itknowingness</v>
      </c>
      <c r="C2054" s="10" t="s">
        <v>3465</v>
      </c>
      <c r="D2054" s="10" t="s">
        <v>9932</v>
      </c>
      <c r="E2054" s="11" t="str">
        <f>HYPERLINK("https://twitter.com/itknowingness/status/702726004314349569","702726004314349569")</f>
        <v>702726004314349569</v>
      </c>
      <c r="F2054" s="12" t="s">
        <v>3467</v>
      </c>
      <c r="G2054" s="13">
        <v>6904.0</v>
      </c>
      <c r="H2054" s="13">
        <v>3191.0</v>
      </c>
      <c r="I2054" s="13">
        <v>7.0</v>
      </c>
      <c r="J2054" s="13">
        <v>0.0</v>
      </c>
      <c r="K2054" s="12" t="s">
        <v>21</v>
      </c>
      <c r="L2054" s="7">
        <v>40490.39297453704</v>
      </c>
      <c r="M2054" s="14" t="s">
        <v>269</v>
      </c>
      <c r="N2054" s="14" t="s">
        <v>3468</v>
      </c>
      <c r="O2054" s="11" t="str">
        <f>HYPERLINK("https://pbs.twimg.com/profile_images/1164716874/favicon-triada-azul_normal.png","View")</f>
        <v>View</v>
      </c>
      <c r="P2054" s="15"/>
    </row>
    <row r="2055">
      <c r="A2055" s="7">
        <v>42424.894895833335</v>
      </c>
      <c r="B2055" s="8" t="str">
        <f>HYPERLINK("https://twitter.com/renato_umeton","@renato_umeton")</f>
        <v>@renato_umeton</v>
      </c>
      <c r="C2055" s="10" t="s">
        <v>1659</v>
      </c>
      <c r="D2055" s="10" t="s">
        <v>9932</v>
      </c>
      <c r="E2055" s="11" t="str">
        <f>HYPERLINK("https://twitter.com/renato_umeton/status/702726884568780800","702726884568780800")</f>
        <v>702726884568780800</v>
      </c>
      <c r="F2055" s="12" t="s">
        <v>38</v>
      </c>
      <c r="G2055" s="13">
        <v>70.0</v>
      </c>
      <c r="H2055" s="13">
        <v>79.0</v>
      </c>
      <c r="I2055" s="13">
        <v>7.0</v>
      </c>
      <c r="J2055" s="13">
        <v>0.0</v>
      </c>
      <c r="K2055" s="12" t="s">
        <v>21</v>
      </c>
      <c r="L2055" s="7">
        <v>39918.052083333336</v>
      </c>
      <c r="M2055" s="14" t="s">
        <v>1660</v>
      </c>
      <c r="N2055" s="14" t="s">
        <v>1661</v>
      </c>
      <c r="O2055" s="11" t="str">
        <f>HYPERLINK("https://pbs.twimg.com/profile_images/701553083537604608/nr8b38eG_normal.jpg","View")</f>
        <v>View</v>
      </c>
      <c r="P2055" s="15"/>
    </row>
    <row r="2056">
      <c r="A2056" s="7">
        <v>42424.90142361111</v>
      </c>
      <c r="B2056" s="8" t="str">
        <f t="shared" ref="B2056:B2057" si="231">HYPERLINK("https://twitter.com/DataWookie","@DataWookie")</f>
        <v>@DataWookie</v>
      </c>
      <c r="C2056" s="10" t="s">
        <v>6231</v>
      </c>
      <c r="D2056" s="10" t="s">
        <v>9933</v>
      </c>
      <c r="E2056" s="11" t="str">
        <f>HYPERLINK("https://twitter.com/DataWookie/status/702729248306429952","702729248306429952")</f>
        <v>702729248306429952</v>
      </c>
      <c r="F2056" s="12" t="s">
        <v>6233</v>
      </c>
      <c r="G2056" s="13">
        <v>426.0</v>
      </c>
      <c r="H2056" s="13">
        <v>296.0</v>
      </c>
      <c r="I2056" s="13">
        <v>0.0</v>
      </c>
      <c r="J2056" s="13">
        <v>0.0</v>
      </c>
      <c r="K2056" s="12" t="s">
        <v>21</v>
      </c>
      <c r="L2056" s="7">
        <v>42166.966678240744</v>
      </c>
      <c r="M2056" s="14" t="s">
        <v>6234</v>
      </c>
      <c r="N2056" s="14" t="s">
        <v>6235</v>
      </c>
      <c r="O2056" s="11" t="str">
        <f t="shared" ref="O2056:O2057" si="232">HYPERLINK("https://pbs.twimg.com/profile_images/612471608725213184/eXKo2Kmo_normal.jpg","View")</f>
        <v>View</v>
      </c>
      <c r="P2056" s="15"/>
    </row>
    <row r="2057">
      <c r="A2057" s="7">
        <v>42424.90225694445</v>
      </c>
      <c r="B2057" s="8" t="str">
        <f t="shared" si="231"/>
        <v>@DataWookie</v>
      </c>
      <c r="C2057" s="10" t="s">
        <v>6231</v>
      </c>
      <c r="D2057" s="10" t="s">
        <v>9934</v>
      </c>
      <c r="E2057" s="11" t="str">
        <f>HYPERLINK("https://twitter.com/DataWookie/status/702729550724091904","702729550724091904")</f>
        <v>702729550724091904</v>
      </c>
      <c r="F2057" s="12" t="s">
        <v>6233</v>
      </c>
      <c r="G2057" s="13">
        <v>426.0</v>
      </c>
      <c r="H2057" s="13">
        <v>296.0</v>
      </c>
      <c r="I2057" s="13">
        <v>0.0</v>
      </c>
      <c r="J2057" s="13">
        <v>0.0</v>
      </c>
      <c r="K2057" s="12" t="s">
        <v>21</v>
      </c>
      <c r="L2057" s="7">
        <v>42166.966678240744</v>
      </c>
      <c r="M2057" s="14" t="s">
        <v>6234</v>
      </c>
      <c r="N2057" s="14" t="s">
        <v>6235</v>
      </c>
      <c r="O2057" s="11" t="str">
        <f t="shared" si="232"/>
        <v>View</v>
      </c>
      <c r="P2057" s="15"/>
    </row>
    <row r="2058">
      <c r="A2058" s="7">
        <v>42424.91173611111</v>
      </c>
      <c r="B2058" s="8" t="str">
        <f>HYPERLINK("https://twitter.com/gvillejoubert","@gvillejoubert")</f>
        <v>@gvillejoubert</v>
      </c>
      <c r="C2058" s="10" t="s">
        <v>9935</v>
      </c>
      <c r="D2058" s="10" t="s">
        <v>9936</v>
      </c>
      <c r="E2058" s="11" t="str">
        <f>HYPERLINK("https://twitter.com/gvillejoubert/status/702732984521195520","702732984521195520")</f>
        <v>702732984521195520</v>
      </c>
      <c r="F2058" s="12" t="s">
        <v>52</v>
      </c>
      <c r="G2058" s="13">
        <v>264.0</v>
      </c>
      <c r="H2058" s="13">
        <v>444.0</v>
      </c>
      <c r="I2058" s="13">
        <v>19.0</v>
      </c>
      <c r="J2058" s="13">
        <v>0.0</v>
      </c>
      <c r="K2058" s="12" t="s">
        <v>21</v>
      </c>
      <c r="L2058" s="7">
        <v>39888.03571759259</v>
      </c>
      <c r="M2058" s="14" t="s">
        <v>9937</v>
      </c>
      <c r="N2058" s="14" t="s">
        <v>9938</v>
      </c>
      <c r="O2058" s="11" t="str">
        <f>HYPERLINK("https://pbs.twimg.com/profile_images/505411254538608640/7Lho30gO_normal.jpeg","View")</f>
        <v>View</v>
      </c>
      <c r="P2058" s="15"/>
    </row>
    <row r="2059">
      <c r="A2059" s="7">
        <v>42424.91636574074</v>
      </c>
      <c r="B2059" s="8" t="str">
        <f>HYPERLINK("https://twitter.com/hwu76","@hwu76")</f>
        <v>@hwu76</v>
      </c>
      <c r="C2059" s="10" t="s">
        <v>9939</v>
      </c>
      <c r="D2059" s="10" t="s">
        <v>9940</v>
      </c>
      <c r="E2059" s="11" t="str">
        <f>HYPERLINK("https://twitter.com/hwu76/status/702734662007828483","702734662007828483")</f>
        <v>702734662007828483</v>
      </c>
      <c r="F2059" s="12" t="s">
        <v>152</v>
      </c>
      <c r="G2059" s="13">
        <v>125.0</v>
      </c>
      <c r="H2059" s="13">
        <v>806.0</v>
      </c>
      <c r="I2059" s="13">
        <v>6.0</v>
      </c>
      <c r="J2059" s="13">
        <v>0.0</v>
      </c>
      <c r="K2059" s="12" t="s">
        <v>21</v>
      </c>
      <c r="L2059" s="7">
        <v>39992.686261574076</v>
      </c>
      <c r="M2059" s="14" t="s">
        <v>9941</v>
      </c>
      <c r="N2059" s="14" t="s">
        <v>9942</v>
      </c>
      <c r="O2059" s="11" t="str">
        <f>HYPERLINK("https://pbs.twimg.com/profile_images/606270191744352256/Kkr2vXBj_normal.jpg","View")</f>
        <v>View</v>
      </c>
      <c r="P2059" s="15"/>
    </row>
    <row r="2060">
      <c r="A2060" s="7">
        <v>42424.91931712963</v>
      </c>
      <c r="B2060" s="8" t="str">
        <f>HYPERLINK("https://twitter.com/cadastreng","@cadastreng")</f>
        <v>@cadastreng</v>
      </c>
      <c r="C2060" s="10" t="s">
        <v>9943</v>
      </c>
      <c r="D2060" s="10" t="s">
        <v>9944</v>
      </c>
      <c r="E2060" s="11" t="str">
        <f>HYPERLINK("https://twitter.com/cadastreng/status/702735731614228480","702735731614228480")</f>
        <v>702735731614228480</v>
      </c>
      <c r="F2060" s="12" t="s">
        <v>20</v>
      </c>
      <c r="G2060" s="13">
        <v>277.0</v>
      </c>
      <c r="H2060" s="13">
        <v>630.0</v>
      </c>
      <c r="I2060" s="13">
        <v>0.0</v>
      </c>
      <c r="J2060" s="13">
        <v>1.0</v>
      </c>
      <c r="K2060" s="12" t="s">
        <v>21</v>
      </c>
      <c r="L2060" s="7">
        <v>40544.52315972222</v>
      </c>
      <c r="M2060" s="14" t="s">
        <v>9945</v>
      </c>
      <c r="N2060" s="14" t="s">
        <v>9946</v>
      </c>
      <c r="O2060" s="11" t="str">
        <f>HYPERLINK("https://pbs.twimg.com/profile_images/674300933216542721/4T1urMcw_normal.png","View")</f>
        <v>View</v>
      </c>
      <c r="P2060" s="15"/>
    </row>
    <row r="2061">
      <c r="A2061" s="7">
        <v>42424.926157407404</v>
      </c>
      <c r="B2061" s="8" t="str">
        <f>HYPERLINK("https://twitter.com/CRANberriesFeed","@CRANberriesFeed")</f>
        <v>@CRANberriesFeed</v>
      </c>
      <c r="C2061" s="10" t="s">
        <v>6282</v>
      </c>
      <c r="D2061" s="10" t="s">
        <v>9947</v>
      </c>
      <c r="E2061" s="11" t="str">
        <f>HYPERLINK("https://twitter.com/CRANberriesFeed/status/702738210301022208","702738210301022208")</f>
        <v>702738210301022208</v>
      </c>
      <c r="F2061" s="12" t="s">
        <v>6284</v>
      </c>
      <c r="G2061" s="13">
        <v>657.0</v>
      </c>
      <c r="H2061" s="13">
        <v>0.0</v>
      </c>
      <c r="I2061" s="13">
        <v>0.0</v>
      </c>
      <c r="J2061" s="13">
        <v>0.0</v>
      </c>
      <c r="K2061" s="12" t="s">
        <v>21</v>
      </c>
      <c r="L2061" s="7">
        <v>40546.353425925925</v>
      </c>
      <c r="M2061" s="14" t="s">
        <v>1158</v>
      </c>
      <c r="N2061" s="16"/>
      <c r="O2061" s="11" t="str">
        <f>HYPERLINK("https://pbs.twimg.com/profile_images/1222779560/cran1_normal.jpg","View")</f>
        <v>View</v>
      </c>
      <c r="P2061" s="15"/>
    </row>
    <row r="2062">
      <c r="A2062" s="7">
        <v>42424.93751157407</v>
      </c>
      <c r="B2062" s="8" t="str">
        <f>HYPERLINK("https://twitter.com/DailyRpackage","@DailyRpackage")</f>
        <v>@DailyRpackage</v>
      </c>
      <c r="C2062" s="10" t="s">
        <v>6240</v>
      </c>
      <c r="D2062" s="10" t="s">
        <v>9948</v>
      </c>
      <c r="E2062" s="11" t="str">
        <f>HYPERLINK("https://twitter.com/DailyRpackage/status/702742327337590784","702742327337590784")</f>
        <v>702742327337590784</v>
      </c>
      <c r="F2062" s="12" t="s">
        <v>6240</v>
      </c>
      <c r="G2062" s="13">
        <v>495.0</v>
      </c>
      <c r="H2062" s="13">
        <v>3.0</v>
      </c>
      <c r="I2062" s="13">
        <v>1.0</v>
      </c>
      <c r="J2062" s="13">
        <v>1.0</v>
      </c>
      <c r="K2062" s="12" t="s">
        <v>21</v>
      </c>
      <c r="L2062" s="7">
        <v>41360.287141203706</v>
      </c>
      <c r="M2062" s="16"/>
      <c r="N2062" s="14" t="s">
        <v>6242</v>
      </c>
      <c r="O2062" s="11" t="str">
        <f>HYPERLINK("https://pbs.twimg.com/profile_images/3438004205/66da7270714af4309d185b958c4bb8be_normal.jpeg","View")</f>
        <v>View</v>
      </c>
      <c r="P2062" s="15"/>
    </row>
    <row r="2063">
      <c r="A2063" s="7">
        <v>42424.94225694444</v>
      </c>
      <c r="B2063" s="8" t="str">
        <f>HYPERLINK("https://twitter.com/BigBetAnalytics","@BigBetAnalytics")</f>
        <v>@BigBetAnalytics</v>
      </c>
      <c r="C2063" s="10" t="s">
        <v>9949</v>
      </c>
      <c r="D2063" s="10" t="s">
        <v>9900</v>
      </c>
      <c r="E2063" s="11" t="str">
        <f>HYPERLINK("https://twitter.com/BigBetAnalytics/status/702744045995462657","702744045995462657")</f>
        <v>702744045995462657</v>
      </c>
      <c r="F2063" s="12" t="s">
        <v>20</v>
      </c>
      <c r="G2063" s="13">
        <v>93.0</v>
      </c>
      <c r="H2063" s="13">
        <v>0.0</v>
      </c>
      <c r="I2063" s="13">
        <v>25.0</v>
      </c>
      <c r="J2063" s="13">
        <v>0.0</v>
      </c>
      <c r="K2063" s="12" t="s">
        <v>21</v>
      </c>
      <c r="L2063" s="7">
        <v>41590.56219907408</v>
      </c>
      <c r="M2063" s="14" t="s">
        <v>3391</v>
      </c>
      <c r="N2063" s="16"/>
      <c r="O2063" s="11" t="str">
        <f>HYPERLINK("https://pbs.twimg.com/profile_images/378800000737229616/91a31fe7b5ffbd53051b8cc210b0f6ac_normal.jpeg","View")</f>
        <v>View</v>
      </c>
      <c r="P2063" s="15"/>
    </row>
    <row r="2064">
      <c r="A2064" s="7">
        <v>42424.945127314815</v>
      </c>
      <c r="B2064" s="8" t="str">
        <f>HYPERLINK("https://twitter.com/paulpeton","@paulpeton")</f>
        <v>@paulpeton</v>
      </c>
      <c r="C2064" s="10" t="s">
        <v>9950</v>
      </c>
      <c r="D2064" s="10" t="s">
        <v>9951</v>
      </c>
      <c r="E2064" s="11" t="str">
        <f>HYPERLINK("https://twitter.com/paulpeton/status/702745086522744832","702745086522744832")</f>
        <v>702745086522744832</v>
      </c>
      <c r="F2064" s="12" t="s">
        <v>20</v>
      </c>
      <c r="G2064" s="13">
        <v>153.0</v>
      </c>
      <c r="H2064" s="13">
        <v>192.0</v>
      </c>
      <c r="I2064" s="13">
        <v>1.0</v>
      </c>
      <c r="J2064" s="13">
        <v>0.0</v>
      </c>
      <c r="K2064" s="12" t="s">
        <v>21</v>
      </c>
      <c r="L2064" s="7">
        <v>40547.90590277778</v>
      </c>
      <c r="M2064" s="14" t="s">
        <v>241</v>
      </c>
      <c r="N2064" s="14" t="s">
        <v>9952</v>
      </c>
      <c r="O2064" s="11" t="str">
        <f>HYPERLINK("https://pbs.twimg.com/profile_images/2804660822/49b0136cb3e64480fd5a80a2b41da086_normal.jpeg","View")</f>
        <v>View</v>
      </c>
      <c r="P2064" s="15"/>
    </row>
    <row r="2065">
      <c r="A2065" s="7">
        <v>42424.945138888885</v>
      </c>
      <c r="B2065" s="8" t="str">
        <f>HYPERLINK("https://twitter.com/himlohiya","@himlohiya")</f>
        <v>@himlohiya</v>
      </c>
      <c r="C2065" s="10" t="s">
        <v>9953</v>
      </c>
      <c r="D2065" s="10" t="s">
        <v>9932</v>
      </c>
      <c r="E2065" s="11" t="str">
        <f>HYPERLINK("https://twitter.com/himlohiya/status/702745089756430337","702745089756430337")</f>
        <v>702745089756430337</v>
      </c>
      <c r="F2065" s="12" t="s">
        <v>52</v>
      </c>
      <c r="G2065" s="13">
        <v>165.0</v>
      </c>
      <c r="H2065" s="13">
        <v>909.0</v>
      </c>
      <c r="I2065" s="13">
        <v>7.0</v>
      </c>
      <c r="J2065" s="13">
        <v>0.0</v>
      </c>
      <c r="K2065" s="12" t="s">
        <v>21</v>
      </c>
      <c r="L2065" s="7">
        <v>40741.164930555555</v>
      </c>
      <c r="M2065" s="14" t="s">
        <v>9954</v>
      </c>
      <c r="N2065" s="16"/>
      <c r="O2065" s="11" t="str">
        <f>HYPERLINK("https://pbs.twimg.com/profile_images/378800000642732779/09bae8f45b0f3e65799dddf1e8d7b350_normal.jpeg","View")</f>
        <v>View</v>
      </c>
      <c r="P2065" s="15"/>
    </row>
    <row r="2066">
      <c r="A2066" s="7">
        <v>42424.948171296295</v>
      </c>
      <c r="B2066" s="8" t="str">
        <f>HYPERLINK("https://twitter.com/Flowfields_","@Flowfields_")</f>
        <v>@Flowfields_</v>
      </c>
      <c r="C2066" s="10" t="s">
        <v>7985</v>
      </c>
      <c r="D2066" s="10" t="s">
        <v>9955</v>
      </c>
      <c r="E2066" s="11" t="str">
        <f>HYPERLINK("https://twitter.com/Flowfields_/status/702746190488723456","702746190488723456")</f>
        <v>702746190488723456</v>
      </c>
      <c r="F2066" s="12" t="s">
        <v>38</v>
      </c>
      <c r="G2066" s="13">
        <v>449.0</v>
      </c>
      <c r="H2066" s="13">
        <v>352.0</v>
      </c>
      <c r="I2066" s="13">
        <v>1.0</v>
      </c>
      <c r="J2066" s="13">
        <v>0.0</v>
      </c>
      <c r="K2066" s="12" t="s">
        <v>21</v>
      </c>
      <c r="L2066" s="7">
        <v>41606.35060185185</v>
      </c>
      <c r="M2066" s="14" t="s">
        <v>5954</v>
      </c>
      <c r="N2066" s="14" t="s">
        <v>7986</v>
      </c>
      <c r="O2066" s="11" t="str">
        <f>HYPERLINK("https://pbs.twimg.com/profile_images/378800000809810536/f245ca2d284ae20da862971ef93ecc6b_normal.png","View")</f>
        <v>View</v>
      </c>
      <c r="P2066" s="15"/>
    </row>
    <row r="2067">
      <c r="A2067" s="7">
        <v>42424.949942129635</v>
      </c>
      <c r="B2067" s="8" t="str">
        <f>HYPERLINK("https://twitter.com/UURSAH","@UURSAH")</f>
        <v>@UURSAH</v>
      </c>
      <c r="C2067" s="10" t="s">
        <v>9956</v>
      </c>
      <c r="D2067" s="10" t="s">
        <v>9900</v>
      </c>
      <c r="E2067" s="11" t="str">
        <f>HYPERLINK("https://twitter.com/UURSAH/status/702746829268475904","702746829268475904")</f>
        <v>702746829268475904</v>
      </c>
      <c r="F2067" s="12" t="s">
        <v>20</v>
      </c>
      <c r="G2067" s="13">
        <v>1079.0</v>
      </c>
      <c r="H2067" s="13">
        <v>1948.0</v>
      </c>
      <c r="I2067" s="13">
        <v>25.0</v>
      </c>
      <c r="J2067" s="13">
        <v>0.0</v>
      </c>
      <c r="K2067" s="12" t="s">
        <v>21</v>
      </c>
      <c r="L2067" s="7">
        <v>41183.43851851852</v>
      </c>
      <c r="M2067" s="16"/>
      <c r="N2067" s="14" t="s">
        <v>9957</v>
      </c>
      <c r="O2067" s="11" t="str">
        <f>HYPERLINK("https://pbs.twimg.com/profile_images/344513261584675227/5f91a38a8407c38a1f4bf3068498cdda_normal.jpeg","View")</f>
        <v>View</v>
      </c>
      <c r="P2067" s="15"/>
    </row>
    <row r="2068">
      <c r="A2068" s="7">
        <v>42424.95165509259</v>
      </c>
      <c r="B2068" s="8" t="str">
        <f>HYPERLINK("https://twitter.com/pacehrb","@pacehrb")</f>
        <v>@pacehrb</v>
      </c>
      <c r="C2068" s="10" t="s">
        <v>4103</v>
      </c>
      <c r="D2068" s="10" t="s">
        <v>9900</v>
      </c>
      <c r="E2068" s="11" t="str">
        <f>HYPERLINK("https://twitter.com/pacehrb/status/702747450847592448","702747450847592448")</f>
        <v>702747450847592448</v>
      </c>
      <c r="F2068" s="12" t="s">
        <v>152</v>
      </c>
      <c r="G2068" s="13">
        <v>938.0</v>
      </c>
      <c r="H2068" s="13">
        <v>2382.0</v>
      </c>
      <c r="I2068" s="13">
        <v>25.0</v>
      </c>
      <c r="J2068" s="13">
        <v>0.0</v>
      </c>
      <c r="K2068" s="12" t="s">
        <v>21</v>
      </c>
      <c r="L2068" s="7">
        <v>40316.03534722222</v>
      </c>
      <c r="M2068" s="14" t="s">
        <v>34</v>
      </c>
      <c r="N2068" s="14" t="s">
        <v>4105</v>
      </c>
      <c r="O2068" s="11" t="str">
        <f>HYPERLINK("https://pbs.twimg.com/profile_images/1144625930/hanmant_normal.jpg","View")</f>
        <v>View</v>
      </c>
      <c r="P2068" s="15"/>
    </row>
    <row r="2069">
      <c r="A2069" s="7">
        <v>42424.953668981485</v>
      </c>
      <c r="B2069" s="8" t="str">
        <f>HYPERLINK("https://twitter.com/kstate_bigdata","@kstate_bigdata")</f>
        <v>@kstate_bigdata</v>
      </c>
      <c r="C2069" s="10" t="s">
        <v>9958</v>
      </c>
      <c r="D2069" s="10" t="s">
        <v>9900</v>
      </c>
      <c r="E2069" s="11" t="str">
        <f>HYPERLINK("https://twitter.com/kstate_bigdata/status/702748181113626624","702748181113626624")</f>
        <v>702748181113626624</v>
      </c>
      <c r="F2069" s="12" t="s">
        <v>20</v>
      </c>
      <c r="G2069" s="13">
        <v>588.0</v>
      </c>
      <c r="H2069" s="13">
        <v>63.0</v>
      </c>
      <c r="I2069" s="13">
        <v>25.0</v>
      </c>
      <c r="J2069" s="13">
        <v>0.0</v>
      </c>
      <c r="K2069" s="12" t="s">
        <v>21</v>
      </c>
      <c r="L2069" s="7">
        <v>41757.503159722226</v>
      </c>
      <c r="M2069" s="14" t="s">
        <v>9959</v>
      </c>
      <c r="N2069" s="14" t="s">
        <v>9960</v>
      </c>
      <c r="O2069" s="11" t="str">
        <f>HYPERLINK("https://pbs.twimg.com/profile_images/461406200110665728/u6qzKhIg_normal.png","View")</f>
        <v>View</v>
      </c>
      <c r="P2069" s="15"/>
    </row>
    <row r="2070">
      <c r="A2070" s="7">
        <v>42424.95502314815</v>
      </c>
      <c r="B2070" s="8" t="str">
        <f>HYPERLINK("https://twitter.com/iPredictt","@iPredictt")</f>
        <v>@iPredictt</v>
      </c>
      <c r="C2070" s="10" t="s">
        <v>4351</v>
      </c>
      <c r="D2070" s="10" t="s">
        <v>9900</v>
      </c>
      <c r="E2070" s="11" t="str">
        <f>HYPERLINK("https://twitter.com/iPredictt/status/702748670786191360","702748670786191360")</f>
        <v>702748670786191360</v>
      </c>
      <c r="F2070" s="12" t="s">
        <v>20</v>
      </c>
      <c r="G2070" s="13">
        <v>474.0</v>
      </c>
      <c r="H2070" s="13">
        <v>1665.0</v>
      </c>
      <c r="I2070" s="13">
        <v>25.0</v>
      </c>
      <c r="J2070" s="13">
        <v>0.0</v>
      </c>
      <c r="K2070" s="12" t="s">
        <v>21</v>
      </c>
      <c r="L2070" s="7">
        <v>42257.100636574076</v>
      </c>
      <c r="M2070" s="14" t="s">
        <v>34</v>
      </c>
      <c r="N2070" s="14" t="s">
        <v>4352</v>
      </c>
      <c r="O2070" s="11" t="str">
        <f>HYPERLINK("https://pbs.twimg.com/profile_images/664998127364128768/8m1nUusT_normal.jpg","View")</f>
        <v>View</v>
      </c>
      <c r="P2070" s="15"/>
    </row>
    <row r="2071">
      <c r="A2071" s="7">
        <v>42424.95658564815</v>
      </c>
      <c r="B2071" s="8" t="str">
        <f>HYPERLINK("https://twitter.com/DataJunkie","@DataJunkie")</f>
        <v>@DataJunkie</v>
      </c>
      <c r="C2071" s="10" t="s">
        <v>9961</v>
      </c>
      <c r="D2071" s="10" t="s">
        <v>9962</v>
      </c>
      <c r="E2071" s="11" t="str">
        <f>HYPERLINK("https://twitter.com/DataJunkie/status/702749239537831936","702749239537831936")</f>
        <v>702749239537831936</v>
      </c>
      <c r="F2071" s="12" t="s">
        <v>446</v>
      </c>
      <c r="G2071" s="13">
        <v>13416.0</v>
      </c>
      <c r="H2071" s="13">
        <v>825.0</v>
      </c>
      <c r="I2071" s="13">
        <v>0.0</v>
      </c>
      <c r="J2071" s="13">
        <v>2.0</v>
      </c>
      <c r="K2071" s="12" t="s">
        <v>21</v>
      </c>
      <c r="L2071" s="7">
        <v>39444.023310185185</v>
      </c>
      <c r="M2071" s="14" t="s">
        <v>9963</v>
      </c>
      <c r="N2071" s="14" t="s">
        <v>9964</v>
      </c>
      <c r="O2071" s="11" t="str">
        <f>HYPERLINK("https://pbs.twimg.com/profile_images/2880816053/94de58e88a685464e3a7936b1f5288e7_normal.jpeg","View")</f>
        <v>View</v>
      </c>
      <c r="P2071" s="15"/>
    </row>
    <row r="2072">
      <c r="A2072" s="7">
        <v>42424.95833333333</v>
      </c>
      <c r="B2072" s="8" t="str">
        <f>HYPERLINK("https://twitter.com/mattmcd","@mattmcd")</f>
        <v>@mattmcd</v>
      </c>
      <c r="C2072" s="10" t="s">
        <v>2668</v>
      </c>
      <c r="D2072" s="10" t="s">
        <v>9965</v>
      </c>
      <c r="E2072" s="11" t="str">
        <f>HYPERLINK("https://twitter.com/mattmcd/status/702749871040831488","702749871040831488")</f>
        <v>702749871040831488</v>
      </c>
      <c r="F2072" s="12" t="s">
        <v>20</v>
      </c>
      <c r="G2072" s="13">
        <v>539.0</v>
      </c>
      <c r="H2072" s="13">
        <v>639.0</v>
      </c>
      <c r="I2072" s="13">
        <v>0.0</v>
      </c>
      <c r="J2072" s="13">
        <v>1.0</v>
      </c>
      <c r="K2072" s="12" t="s">
        <v>21</v>
      </c>
      <c r="L2072" s="7">
        <v>39249.37799768519</v>
      </c>
      <c r="M2072" s="14" t="s">
        <v>519</v>
      </c>
      <c r="N2072" s="14" t="s">
        <v>2670</v>
      </c>
      <c r="O2072" s="11" t="str">
        <f>HYPERLINK("https://pbs.twimg.com/profile_images/1401189383/me_skecth_no2_dark_800x800_normal.jpg","View")</f>
        <v>View</v>
      </c>
      <c r="P2072" s="15"/>
    </row>
    <row r="2073">
      <c r="A2073" s="7">
        <v>42424.959745370375</v>
      </c>
      <c r="B2073" s="8" t="str">
        <f>HYPERLINK("https://twitter.com/AntoViral","@AntoViral")</f>
        <v>@AntoViral</v>
      </c>
      <c r="C2073" s="10" t="s">
        <v>7805</v>
      </c>
      <c r="D2073" s="10" t="s">
        <v>9966</v>
      </c>
      <c r="E2073" s="11" t="str">
        <f>HYPERLINK("https://twitter.com/AntoViral/status/702750382787858432","702750382787858432")</f>
        <v>702750382787858432</v>
      </c>
      <c r="F2073" s="12" t="s">
        <v>152</v>
      </c>
      <c r="G2073" s="13">
        <v>220.0</v>
      </c>
      <c r="H2073" s="13">
        <v>295.0</v>
      </c>
      <c r="I2073" s="13">
        <v>1.0</v>
      </c>
      <c r="J2073" s="13">
        <v>0.0</v>
      </c>
      <c r="K2073" s="12" t="s">
        <v>21</v>
      </c>
      <c r="L2073" s="7">
        <v>41604.57907407408</v>
      </c>
      <c r="M2073" s="16"/>
      <c r="N2073" s="14" t="s">
        <v>7806</v>
      </c>
      <c r="O2073" s="11" t="str">
        <f>HYPERLINK("https://pbs.twimg.com/profile_images/378800000794889152/545ea4ed01fbb17969822e1ee9b0f3fa_normal.jpeg","View")</f>
        <v>View</v>
      </c>
      <c r="P2073" s="15"/>
    </row>
    <row r="2074">
      <c r="A2074" s="7">
        <v>42424.96253472222</v>
      </c>
      <c r="B2074" s="8" t="str">
        <f>HYPERLINK("https://twitter.com/kudzaka","@kudzaka")</f>
        <v>@kudzaka</v>
      </c>
      <c r="C2074" s="10" t="s">
        <v>7013</v>
      </c>
      <c r="D2074" s="10" t="s">
        <v>9900</v>
      </c>
      <c r="E2074" s="11" t="str">
        <f>HYPERLINK("https://twitter.com/kudzaka/status/702751394890125312","702751394890125312")</f>
        <v>702751394890125312</v>
      </c>
      <c r="F2074" s="12" t="s">
        <v>52</v>
      </c>
      <c r="G2074" s="13">
        <v>38.0</v>
      </c>
      <c r="H2074" s="13">
        <v>253.0</v>
      </c>
      <c r="I2074" s="13">
        <v>25.0</v>
      </c>
      <c r="J2074" s="13">
        <v>0.0</v>
      </c>
      <c r="K2074" s="12" t="s">
        <v>21</v>
      </c>
      <c r="L2074" s="7">
        <v>41759.57109953704</v>
      </c>
      <c r="M2074" s="14" t="s">
        <v>7014</v>
      </c>
      <c r="N2074" s="14" t="s">
        <v>7015</v>
      </c>
      <c r="O2074" s="11" t="str">
        <f>HYPERLINK("https://abs.twimg.com/sticky/default_profile_images/default_profile_1_normal.png","View")</f>
        <v>View</v>
      </c>
      <c r="P2074" s="15"/>
    </row>
    <row r="2075">
      <c r="A2075" s="7">
        <v>42424.966782407406</v>
      </c>
      <c r="B2075" s="8" t="str">
        <f>HYPERLINK("https://twitter.com/souravc83","@souravc83")</f>
        <v>@souravc83</v>
      </c>
      <c r="C2075" s="10" t="s">
        <v>6278</v>
      </c>
      <c r="D2075" s="10" t="s">
        <v>9967</v>
      </c>
      <c r="E2075" s="11" t="str">
        <f>HYPERLINK("https://twitter.com/souravc83/status/702752931523596288","702752931523596288")</f>
        <v>702752931523596288</v>
      </c>
      <c r="F2075" s="12" t="s">
        <v>20</v>
      </c>
      <c r="G2075" s="13">
        <v>39.0</v>
      </c>
      <c r="H2075" s="13">
        <v>148.0</v>
      </c>
      <c r="I2075" s="13">
        <v>0.0</v>
      </c>
      <c r="J2075" s="13">
        <v>4.0</v>
      </c>
      <c r="K2075" s="12" t="s">
        <v>21</v>
      </c>
      <c r="L2075" s="7">
        <v>39942.4037962963</v>
      </c>
      <c r="M2075" s="14" t="s">
        <v>6280</v>
      </c>
      <c r="N2075" s="14" t="s">
        <v>6281</v>
      </c>
      <c r="O2075" s="11" t="str">
        <f>HYPERLINK("https://pbs.twimg.com/profile_images/658511161034326016/RaFwgtT6_normal.jpg","View")</f>
        <v>View</v>
      </c>
      <c r="P2075" s="15"/>
    </row>
    <row r="2076">
      <c r="A2076" s="7">
        <v>42424.97020833333</v>
      </c>
      <c r="B2076" s="8" t="str">
        <f>HYPERLINK("https://twitter.com/avifreedman","@avifreedman")</f>
        <v>@avifreedman</v>
      </c>
      <c r="C2076" s="10" t="s">
        <v>223</v>
      </c>
      <c r="D2076" s="10" t="s">
        <v>9750</v>
      </c>
      <c r="E2076" s="11" t="str">
        <f>HYPERLINK("https://twitter.com/avifreedman/status/702754175961018368","702754175961018368")</f>
        <v>702754175961018368</v>
      </c>
      <c r="F2076" s="12" t="s">
        <v>446</v>
      </c>
      <c r="G2076" s="13">
        <v>647.0</v>
      </c>
      <c r="H2076" s="13">
        <v>423.0</v>
      </c>
      <c r="I2076" s="13">
        <v>7.0</v>
      </c>
      <c r="J2076" s="13">
        <v>0.0</v>
      </c>
      <c r="K2076" s="12" t="s">
        <v>21</v>
      </c>
      <c r="L2076" s="7">
        <v>39780.39068287037</v>
      </c>
      <c r="M2076" s="14" t="s">
        <v>69</v>
      </c>
      <c r="N2076" s="14" t="s">
        <v>225</v>
      </c>
      <c r="O2076" s="11" t="str">
        <f>HYPERLINK("https://pbs.twimg.com/profile_images/1610221178/recent-avigail_normal.jpg","View")</f>
        <v>View</v>
      </c>
      <c r="P2076" s="15"/>
    </row>
    <row r="2077">
      <c r="A2077" s="7">
        <v>42424.97278935185</v>
      </c>
      <c r="B2077" s="8" t="str">
        <f>HYPERLINK("https://twitter.com/strengejacke","@strengejacke")</f>
        <v>@strengejacke</v>
      </c>
      <c r="C2077" s="10" t="s">
        <v>9968</v>
      </c>
      <c r="D2077" s="10" t="s">
        <v>9969</v>
      </c>
      <c r="E2077" s="11" t="str">
        <f>HYPERLINK("https://twitter.com/strengejacke/status/702755110695407616","702755110695407616")</f>
        <v>702755110695407616</v>
      </c>
      <c r="F2077" s="12" t="s">
        <v>20</v>
      </c>
      <c r="G2077" s="13">
        <v>146.0</v>
      </c>
      <c r="H2077" s="13">
        <v>43.0</v>
      </c>
      <c r="I2077" s="13">
        <v>0.0</v>
      </c>
      <c r="J2077" s="13">
        <v>0.0</v>
      </c>
      <c r="K2077" s="12" t="s">
        <v>21</v>
      </c>
      <c r="L2077" s="7">
        <v>40136.55431712963</v>
      </c>
      <c r="M2077" s="16"/>
      <c r="N2077" s="14" t="s">
        <v>9970</v>
      </c>
      <c r="O2077" s="11" t="str">
        <f>HYPERLINK("https://pbs.twimg.com/profile_images/761729803/sj_logo_normal.png","View")</f>
        <v>View</v>
      </c>
      <c r="P2077" s="15"/>
    </row>
    <row r="2078">
      <c r="A2078" s="7">
        <v>42424.973125000004</v>
      </c>
      <c r="B2078" s="8" t="str">
        <f>HYPERLINK("https://twitter.com/Ibrahim_Alsayed","@Ibrahim_Alsayed")</f>
        <v>@Ibrahim_Alsayed</v>
      </c>
      <c r="C2078" s="10" t="s">
        <v>6459</v>
      </c>
      <c r="D2078" s="10" t="s">
        <v>9900</v>
      </c>
      <c r="E2078" s="11" t="str">
        <f>HYPERLINK("https://twitter.com/Ibrahim_Alsayed/status/702755233248776193","702755233248776193")</f>
        <v>702755233248776193</v>
      </c>
      <c r="F2078" s="12" t="s">
        <v>152</v>
      </c>
      <c r="G2078" s="13">
        <v>158.0</v>
      </c>
      <c r="H2078" s="13">
        <v>384.0</v>
      </c>
      <c r="I2078" s="13">
        <v>25.0</v>
      </c>
      <c r="J2078" s="13">
        <v>0.0</v>
      </c>
      <c r="K2078" s="12" t="s">
        <v>21</v>
      </c>
      <c r="L2078" s="7">
        <v>40247.45174768518</v>
      </c>
      <c r="M2078" s="14" t="s">
        <v>6460</v>
      </c>
      <c r="N2078" s="14" t="s">
        <v>6461</v>
      </c>
      <c r="O2078" s="11" t="str">
        <f>HYPERLINK("https://pbs.twimg.com/profile_images/2388625148/7dd7c4ec-146a-4a1c-a537-8aa40ae2fa63_normal.png","View")</f>
        <v>View</v>
      </c>
      <c r="P2078" s="15"/>
    </row>
    <row r="2079">
      <c r="A2079" s="7">
        <v>42424.97579861111</v>
      </c>
      <c r="B2079" s="8" t="str">
        <f t="shared" ref="B2079:B2082" si="233">HYPERLINK("https://twitter.com/Rbloggers","@Rbloggers")</f>
        <v>@Rbloggers</v>
      </c>
      <c r="C2079" s="10" t="s">
        <v>6221</v>
      </c>
      <c r="D2079" s="10" t="s">
        <v>9971</v>
      </c>
      <c r="E2079" s="11" t="str">
        <f>HYPERLINK("https://twitter.com/Rbloggers/status/702756201474322432","702756201474322432")</f>
        <v>702756201474322432</v>
      </c>
      <c r="F2079" s="17" t="s">
        <v>6223</v>
      </c>
      <c r="G2079" s="13">
        <v>28572.0</v>
      </c>
      <c r="H2079" s="13">
        <v>36.0</v>
      </c>
      <c r="I2079" s="13">
        <v>8.0</v>
      </c>
      <c r="J2079" s="13">
        <v>11.0</v>
      </c>
      <c r="K2079" s="12" t="s">
        <v>21</v>
      </c>
      <c r="L2079" s="7">
        <v>40314.510601851856</v>
      </c>
      <c r="M2079" s="16"/>
      <c r="N2079" s="14" t="s">
        <v>6224</v>
      </c>
      <c r="O2079" s="11" t="str">
        <f t="shared" ref="O2079:O2082" si="234">HYPERLINK("https://pbs.twimg.com/profile_images/502185985786916864/gkdFh-q7_normal.png","View")</f>
        <v>View</v>
      </c>
      <c r="P2079" s="15"/>
    </row>
    <row r="2080">
      <c r="A2080" s="7">
        <v>42424.975856481484</v>
      </c>
      <c r="B2080" s="8" t="str">
        <f t="shared" si="233"/>
        <v>@Rbloggers</v>
      </c>
      <c r="C2080" s="10" t="s">
        <v>6221</v>
      </c>
      <c r="D2080" s="10" t="s">
        <v>9972</v>
      </c>
      <c r="E2080" s="11" t="str">
        <f>HYPERLINK("https://twitter.com/Rbloggers/status/702756222189985793","702756222189985793")</f>
        <v>702756222189985793</v>
      </c>
      <c r="F2080" s="17" t="s">
        <v>6223</v>
      </c>
      <c r="G2080" s="13">
        <v>28572.0</v>
      </c>
      <c r="H2080" s="13">
        <v>36.0</v>
      </c>
      <c r="I2080" s="13">
        <v>8.0</v>
      </c>
      <c r="J2080" s="13">
        <v>22.0</v>
      </c>
      <c r="K2080" s="12" t="s">
        <v>21</v>
      </c>
      <c r="L2080" s="7">
        <v>40314.510601851856</v>
      </c>
      <c r="M2080" s="16"/>
      <c r="N2080" s="14" t="s">
        <v>6224</v>
      </c>
      <c r="O2080" s="11" t="str">
        <f t="shared" si="234"/>
        <v>View</v>
      </c>
      <c r="P2080" s="15"/>
    </row>
    <row r="2081">
      <c r="A2081" s="7">
        <v>42424.97597222222</v>
      </c>
      <c r="B2081" s="8" t="str">
        <f t="shared" si="233"/>
        <v>@Rbloggers</v>
      </c>
      <c r="C2081" s="10" t="s">
        <v>6221</v>
      </c>
      <c r="D2081" s="10" t="s">
        <v>9973</v>
      </c>
      <c r="E2081" s="11" t="str">
        <f>HYPERLINK("https://twitter.com/Rbloggers/status/702756262946017281","702756262946017281")</f>
        <v>702756262946017281</v>
      </c>
      <c r="F2081" s="17" t="s">
        <v>6223</v>
      </c>
      <c r="G2081" s="13">
        <v>28572.0</v>
      </c>
      <c r="H2081" s="13">
        <v>36.0</v>
      </c>
      <c r="I2081" s="13">
        <v>3.0</v>
      </c>
      <c r="J2081" s="13">
        <v>5.0</v>
      </c>
      <c r="K2081" s="12" t="s">
        <v>21</v>
      </c>
      <c r="L2081" s="7">
        <v>40314.510601851856</v>
      </c>
      <c r="M2081" s="16"/>
      <c r="N2081" s="14" t="s">
        <v>6224</v>
      </c>
      <c r="O2081" s="11" t="str">
        <f t="shared" si="234"/>
        <v>View</v>
      </c>
      <c r="P2081" s="15"/>
    </row>
    <row r="2082">
      <c r="A2082" s="7">
        <v>42424.97607638889</v>
      </c>
      <c r="B2082" s="8" t="str">
        <f t="shared" si="233"/>
        <v>@Rbloggers</v>
      </c>
      <c r="C2082" s="10" t="s">
        <v>6221</v>
      </c>
      <c r="D2082" s="10" t="s">
        <v>9974</v>
      </c>
      <c r="E2082" s="11" t="str">
        <f>HYPERLINK("https://twitter.com/Rbloggers/status/702756299457454081","702756299457454081")</f>
        <v>702756299457454081</v>
      </c>
      <c r="F2082" s="17" t="s">
        <v>6223</v>
      </c>
      <c r="G2082" s="13">
        <v>28572.0</v>
      </c>
      <c r="H2082" s="13">
        <v>36.0</v>
      </c>
      <c r="I2082" s="13">
        <v>8.0</v>
      </c>
      <c r="J2082" s="13">
        <v>6.0</v>
      </c>
      <c r="K2082" s="12" t="s">
        <v>21</v>
      </c>
      <c r="L2082" s="7">
        <v>40314.510601851856</v>
      </c>
      <c r="M2082" s="16"/>
      <c r="N2082" s="14" t="s">
        <v>6224</v>
      </c>
      <c r="O2082" s="11" t="str">
        <f t="shared" si="234"/>
        <v>View</v>
      </c>
      <c r="P2082" s="15"/>
    </row>
    <row r="2083">
      <c r="A2083" s="7">
        <v>42424.976481481484</v>
      </c>
      <c r="B2083" s="8" t="str">
        <f>HYPERLINK("https://twitter.com/datennutzen","@datennutzen")</f>
        <v>@datennutzen</v>
      </c>
      <c r="C2083" s="10" t="s">
        <v>8625</v>
      </c>
      <c r="D2083" s="10" t="s">
        <v>9975</v>
      </c>
      <c r="E2083" s="11" t="str">
        <f>HYPERLINK("https://twitter.com/datennutzen/status/702756450293125120","702756450293125120")</f>
        <v>702756450293125120</v>
      </c>
      <c r="F2083" s="12" t="s">
        <v>20</v>
      </c>
      <c r="G2083" s="13">
        <v>171.0</v>
      </c>
      <c r="H2083" s="13">
        <v>301.0</v>
      </c>
      <c r="I2083" s="13">
        <v>0.0</v>
      </c>
      <c r="J2083" s="13">
        <v>0.0</v>
      </c>
      <c r="K2083" s="12" t="s">
        <v>21</v>
      </c>
      <c r="L2083" s="7">
        <v>40918.36751157408</v>
      </c>
      <c r="M2083" s="16"/>
      <c r="N2083" s="14" t="s">
        <v>8627</v>
      </c>
      <c r="O2083" s="11" t="str">
        <f>HYPERLINK("https://pbs.twimg.com/profile_images/1746090001/Logo_bullet_normal.jpg","View")</f>
        <v>View</v>
      </c>
      <c r="P2083" s="15"/>
    </row>
    <row r="2084">
      <c r="A2084" s="7">
        <v>42424.97792824074</v>
      </c>
      <c r="B2084" s="8" t="str">
        <f>HYPERLINK("https://twitter.com/kholy","@kholy")</f>
        <v>@kholy</v>
      </c>
      <c r="C2084" s="10" t="s">
        <v>9976</v>
      </c>
      <c r="D2084" s="10" t="s">
        <v>9977</v>
      </c>
      <c r="E2084" s="11" t="str">
        <f>HYPERLINK("https://twitter.com/kholy/status/702756974413398016","702756974413398016")</f>
        <v>702756974413398016</v>
      </c>
      <c r="F2084" s="12" t="s">
        <v>52</v>
      </c>
      <c r="G2084" s="13">
        <v>2308.0</v>
      </c>
      <c r="H2084" s="13">
        <v>1464.0</v>
      </c>
      <c r="I2084" s="13">
        <v>8.0</v>
      </c>
      <c r="J2084" s="13">
        <v>0.0</v>
      </c>
      <c r="K2084" s="12" t="s">
        <v>21</v>
      </c>
      <c r="L2084" s="7">
        <v>39167.19292824074</v>
      </c>
      <c r="M2084" s="16"/>
      <c r="N2084" s="21" t="s">
        <v>9978</v>
      </c>
      <c r="O2084" s="11" t="str">
        <f>HYPERLINK("https://pbs.twimg.com/profile_images/630780248389369856/N7l87r-V_normal.png","View")</f>
        <v>View</v>
      </c>
      <c r="P2084" s="15"/>
    </row>
    <row r="2085">
      <c r="A2085" s="7">
        <v>42424.97844907407</v>
      </c>
      <c r="B2085" s="8" t="str">
        <f>HYPERLINK("https://twitter.com/DMR_Rosaria","@DMR_Rosaria")</f>
        <v>@DMR_Rosaria</v>
      </c>
      <c r="C2085" s="10" t="s">
        <v>9979</v>
      </c>
      <c r="D2085" s="10" t="s">
        <v>8298</v>
      </c>
      <c r="E2085" s="11" t="str">
        <f>HYPERLINK("https://twitter.com/DMR_Rosaria/status/702757160053243904","702757160053243904")</f>
        <v>702757160053243904</v>
      </c>
      <c r="F2085" s="12" t="s">
        <v>20</v>
      </c>
      <c r="G2085" s="13">
        <v>348.0</v>
      </c>
      <c r="H2085" s="13">
        <v>226.0</v>
      </c>
      <c r="I2085" s="13">
        <v>2.0</v>
      </c>
      <c r="J2085" s="13">
        <v>0.0</v>
      </c>
      <c r="K2085" s="12" t="s">
        <v>21</v>
      </c>
      <c r="L2085" s="7">
        <v>40976.104849537034</v>
      </c>
      <c r="M2085" s="14" t="s">
        <v>9980</v>
      </c>
      <c r="N2085" s="14" t="s">
        <v>9981</v>
      </c>
      <c r="O2085" s="11" t="str">
        <f>HYPERLINK("https://pbs.twimg.com/profile_images/627012655769878528/LbxxuM6F_normal.jpg","View")</f>
        <v>View</v>
      </c>
      <c r="P2085" s="15"/>
    </row>
    <row r="2086">
      <c r="A2086" s="7">
        <v>42424.97971064815</v>
      </c>
      <c r="B2086" s="8" t="str">
        <f t="shared" ref="B2086:B2089" si="235">HYPERLINK("https://twitter.com/renato_umeton","@renato_umeton")</f>
        <v>@renato_umeton</v>
      </c>
      <c r="C2086" s="10" t="s">
        <v>1659</v>
      </c>
      <c r="D2086" s="10" t="s">
        <v>9982</v>
      </c>
      <c r="E2086" s="11" t="str">
        <f>HYPERLINK("https://twitter.com/renato_umeton/status/702757618335481856","702757618335481856")</f>
        <v>702757618335481856</v>
      </c>
      <c r="F2086" s="12" t="s">
        <v>38</v>
      </c>
      <c r="G2086" s="13">
        <v>70.0</v>
      </c>
      <c r="H2086" s="13">
        <v>79.0</v>
      </c>
      <c r="I2086" s="13">
        <v>8.0</v>
      </c>
      <c r="J2086" s="13">
        <v>0.0</v>
      </c>
      <c r="K2086" s="12" t="s">
        <v>21</v>
      </c>
      <c r="L2086" s="7">
        <v>39918.052083333336</v>
      </c>
      <c r="M2086" s="14" t="s">
        <v>1660</v>
      </c>
      <c r="N2086" s="14" t="s">
        <v>1661</v>
      </c>
      <c r="O2086" s="11" t="str">
        <f t="shared" ref="O2086:O2089" si="236">HYPERLINK("https://pbs.twimg.com/profile_images/701553083537604608/nr8b38eG_normal.jpg","View")</f>
        <v>View</v>
      </c>
      <c r="P2086" s="15"/>
    </row>
    <row r="2087">
      <c r="A2087" s="7">
        <v>42424.97971064815</v>
      </c>
      <c r="B2087" s="8" t="str">
        <f t="shared" si="235"/>
        <v>@renato_umeton</v>
      </c>
      <c r="C2087" s="10" t="s">
        <v>1659</v>
      </c>
      <c r="D2087" s="10" t="s">
        <v>9983</v>
      </c>
      <c r="E2087" s="11" t="str">
        <f>HYPERLINK("https://twitter.com/renato_umeton/status/702757619220553728","702757619220553728")</f>
        <v>702757619220553728</v>
      </c>
      <c r="F2087" s="12" t="s">
        <v>38</v>
      </c>
      <c r="G2087" s="13">
        <v>70.0</v>
      </c>
      <c r="H2087" s="13">
        <v>79.0</v>
      </c>
      <c r="I2087" s="13">
        <v>8.0</v>
      </c>
      <c r="J2087" s="13">
        <v>0.0</v>
      </c>
      <c r="K2087" s="12" t="s">
        <v>21</v>
      </c>
      <c r="L2087" s="7">
        <v>39918.052083333336</v>
      </c>
      <c r="M2087" s="14" t="s">
        <v>1660</v>
      </c>
      <c r="N2087" s="14" t="s">
        <v>1661</v>
      </c>
      <c r="O2087" s="11" t="str">
        <f t="shared" si="236"/>
        <v>View</v>
      </c>
      <c r="P2087" s="15"/>
    </row>
    <row r="2088">
      <c r="A2088" s="7">
        <v>42424.97971064815</v>
      </c>
      <c r="B2088" s="8" t="str">
        <f t="shared" si="235"/>
        <v>@renato_umeton</v>
      </c>
      <c r="C2088" s="10" t="s">
        <v>1659</v>
      </c>
      <c r="D2088" s="10" t="s">
        <v>9984</v>
      </c>
      <c r="E2088" s="11" t="str">
        <f>HYPERLINK("https://twitter.com/renato_umeton/status/702757619950358528","702757619950358528")</f>
        <v>702757619950358528</v>
      </c>
      <c r="F2088" s="12" t="s">
        <v>38</v>
      </c>
      <c r="G2088" s="13">
        <v>70.0</v>
      </c>
      <c r="H2088" s="13">
        <v>79.0</v>
      </c>
      <c r="I2088" s="13">
        <v>3.0</v>
      </c>
      <c r="J2088" s="13">
        <v>0.0</v>
      </c>
      <c r="K2088" s="12" t="s">
        <v>21</v>
      </c>
      <c r="L2088" s="7">
        <v>39918.052083333336</v>
      </c>
      <c r="M2088" s="14" t="s">
        <v>1660</v>
      </c>
      <c r="N2088" s="14" t="s">
        <v>1661</v>
      </c>
      <c r="O2088" s="11" t="str">
        <f t="shared" si="236"/>
        <v>View</v>
      </c>
      <c r="P2088" s="15"/>
    </row>
    <row r="2089">
      <c r="A2089" s="7">
        <v>42424.979722222226</v>
      </c>
      <c r="B2089" s="8" t="str">
        <f t="shared" si="235"/>
        <v>@renato_umeton</v>
      </c>
      <c r="C2089" s="10" t="s">
        <v>1659</v>
      </c>
      <c r="D2089" s="10" t="s">
        <v>9977</v>
      </c>
      <c r="E2089" s="11" t="str">
        <f>HYPERLINK("https://twitter.com/renato_umeton/status/702757620747206657","702757620747206657")</f>
        <v>702757620747206657</v>
      </c>
      <c r="F2089" s="12" t="s">
        <v>38</v>
      </c>
      <c r="G2089" s="13">
        <v>70.0</v>
      </c>
      <c r="H2089" s="13">
        <v>79.0</v>
      </c>
      <c r="I2089" s="13">
        <v>8.0</v>
      </c>
      <c r="J2089" s="13">
        <v>0.0</v>
      </c>
      <c r="K2089" s="12" t="s">
        <v>21</v>
      </c>
      <c r="L2089" s="7">
        <v>39918.052083333336</v>
      </c>
      <c r="M2089" s="14" t="s">
        <v>1660</v>
      </c>
      <c r="N2089" s="14" t="s">
        <v>1661</v>
      </c>
      <c r="O2089" s="11" t="str">
        <f t="shared" si="236"/>
        <v>View</v>
      </c>
      <c r="P2089" s="15"/>
    </row>
    <row r="2090">
      <c r="A2090" s="7">
        <v>42424.98075231482</v>
      </c>
      <c r="B2090" s="8" t="str">
        <f>HYPERLINK("https://twitter.com/polesasunder","@polesasunder")</f>
        <v>@polesasunder</v>
      </c>
      <c r="C2090" s="10" t="s">
        <v>7496</v>
      </c>
      <c r="D2090" s="10" t="s">
        <v>9985</v>
      </c>
      <c r="E2090" s="11" t="str">
        <f>HYPERLINK("https://twitter.com/polesasunder/status/702757994270838786","702757994270838786")</f>
        <v>702757994270838786</v>
      </c>
      <c r="F2090" s="12" t="s">
        <v>446</v>
      </c>
      <c r="G2090" s="13">
        <v>1560.0</v>
      </c>
      <c r="H2090" s="13">
        <v>1353.0</v>
      </c>
      <c r="I2090" s="13">
        <v>0.0</v>
      </c>
      <c r="J2090" s="13">
        <v>2.0</v>
      </c>
      <c r="K2090" s="12" t="s">
        <v>21</v>
      </c>
      <c r="L2090" s="7">
        <v>40268.41755787037</v>
      </c>
      <c r="M2090" s="14" t="s">
        <v>2216</v>
      </c>
      <c r="N2090" s="14" t="s">
        <v>7498</v>
      </c>
      <c r="O2090" s="11" t="str">
        <f>HYPERLINK("https://pbs.twimg.com/profile_images/499358811564425216/jiX57F1h_normal.jpeg","View")</f>
        <v>View</v>
      </c>
      <c r="P2090" s="15"/>
    </row>
    <row r="2091">
      <c r="A2091" s="7">
        <v>42424.98159722222</v>
      </c>
      <c r="B2091" s="8" t="str">
        <f>HYPERLINK("https://twitter.com/MrLinearAlgebra","@MrLinearAlgebra")</f>
        <v>@MrLinearAlgebra</v>
      </c>
      <c r="C2091" s="10" t="s">
        <v>9986</v>
      </c>
      <c r="D2091" s="10" t="s">
        <v>9977</v>
      </c>
      <c r="E2091" s="11" t="str">
        <f>HYPERLINK("https://twitter.com/MrLinearAlgebra/status/702758302464282624","702758302464282624")</f>
        <v>702758302464282624</v>
      </c>
      <c r="F2091" s="12" t="s">
        <v>124</v>
      </c>
      <c r="G2091" s="13">
        <v>32.0</v>
      </c>
      <c r="H2091" s="13">
        <v>319.0</v>
      </c>
      <c r="I2091" s="13">
        <v>8.0</v>
      </c>
      <c r="J2091" s="13">
        <v>0.0</v>
      </c>
      <c r="K2091" s="12" t="s">
        <v>21</v>
      </c>
      <c r="L2091" s="7">
        <v>40629.320497685185</v>
      </c>
      <c r="M2091" s="14" t="s">
        <v>9987</v>
      </c>
      <c r="N2091" s="14" t="s">
        <v>9988</v>
      </c>
      <c r="O2091" s="11" t="str">
        <f>HYPERLINK("https://pbs.twimg.com/profile_images/660145982345187329/qTMLkv-v_normal.png","View")</f>
        <v>View</v>
      </c>
      <c r="P2091" s="15"/>
    </row>
    <row r="2092">
      <c r="A2092" s="7">
        <v>42424.982256944444</v>
      </c>
      <c r="B2092" s="8" t="str">
        <f>HYPERLINK("https://twitter.com/Victpir","@Victpir")</f>
        <v>@Victpir</v>
      </c>
      <c r="C2092" s="10" t="s">
        <v>6327</v>
      </c>
      <c r="D2092" s="10" t="s">
        <v>9989</v>
      </c>
      <c r="E2092" s="11" t="str">
        <f>HYPERLINK("https://twitter.com/Victpir/status/702758541942251520","702758541942251520")</f>
        <v>702758541942251520</v>
      </c>
      <c r="F2092" s="12" t="s">
        <v>152</v>
      </c>
      <c r="G2092" s="13">
        <v>28.0</v>
      </c>
      <c r="H2092" s="13">
        <v>262.0</v>
      </c>
      <c r="I2092" s="13">
        <v>3.0</v>
      </c>
      <c r="J2092" s="13">
        <v>0.0</v>
      </c>
      <c r="K2092" s="12" t="s">
        <v>21</v>
      </c>
      <c r="L2092" s="7">
        <v>41393.19766203704</v>
      </c>
      <c r="M2092" s="16"/>
      <c r="N2092" s="16"/>
      <c r="O2092" s="11" t="str">
        <f>HYPERLINK("https://pbs.twimg.com/profile_images/699148850829905920/G-7CEPSg_normal.jpg","View")</f>
        <v>View</v>
      </c>
      <c r="P2092" s="15"/>
    </row>
    <row r="2093">
      <c r="A2093" s="7">
        <v>42424.98533564815</v>
      </c>
      <c r="B2093" s="8" t="str">
        <f>HYPERLINK("https://twitter.com/jrdnmdhl","@jrdnmdhl")</f>
        <v>@jrdnmdhl</v>
      </c>
      <c r="C2093" s="10" t="s">
        <v>8749</v>
      </c>
      <c r="D2093" s="10" t="s">
        <v>9983</v>
      </c>
      <c r="E2093" s="11" t="str">
        <f>HYPERLINK("https://twitter.com/jrdnmdhl/status/702759655395749888","702759655395749888")</f>
        <v>702759655395749888</v>
      </c>
      <c r="F2093" s="12" t="s">
        <v>52</v>
      </c>
      <c r="G2093" s="13">
        <v>47.0</v>
      </c>
      <c r="H2093" s="13">
        <v>226.0</v>
      </c>
      <c r="I2093" s="13">
        <v>8.0</v>
      </c>
      <c r="J2093" s="13">
        <v>0.0</v>
      </c>
      <c r="K2093" s="12" t="s">
        <v>21</v>
      </c>
      <c r="L2093" s="7">
        <v>42378.92321759259</v>
      </c>
      <c r="M2093" s="14" t="s">
        <v>8751</v>
      </c>
      <c r="N2093" s="14" t="s">
        <v>8752</v>
      </c>
      <c r="O2093" s="11" t="str">
        <f>HYPERLINK("https://pbs.twimg.com/profile_images/686829356220608512/Xvuztyrm_normal.jpg","View")</f>
        <v>View</v>
      </c>
      <c r="P2093" s="15"/>
    </row>
    <row r="2094">
      <c r="A2094" s="7">
        <v>42424.98799768518</v>
      </c>
      <c r="B2094" s="8" t="str">
        <f>HYPERLINK("https://twitter.com/Victpir","@Victpir")</f>
        <v>@Victpir</v>
      </c>
      <c r="C2094" s="10" t="s">
        <v>6327</v>
      </c>
      <c r="D2094" s="10" t="s">
        <v>9990</v>
      </c>
      <c r="E2094" s="11" t="str">
        <f>HYPERLINK("https://twitter.com/Victpir/status/702760622824493057","702760622824493057")</f>
        <v>702760622824493057</v>
      </c>
      <c r="F2094" s="12" t="s">
        <v>152</v>
      </c>
      <c r="G2094" s="13">
        <v>28.0</v>
      </c>
      <c r="H2094" s="13">
        <v>262.0</v>
      </c>
      <c r="I2094" s="13">
        <v>2.0</v>
      </c>
      <c r="J2094" s="13">
        <v>0.0</v>
      </c>
      <c r="K2094" s="12" t="s">
        <v>21</v>
      </c>
      <c r="L2094" s="7">
        <v>41393.19766203704</v>
      </c>
      <c r="M2094" s="16"/>
      <c r="N2094" s="16"/>
      <c r="O2094" s="11" t="str">
        <f>HYPERLINK("https://pbs.twimg.com/profile_images/699148850829905920/G-7CEPSg_normal.jpg","View")</f>
        <v>View</v>
      </c>
      <c r="P2094" s="15"/>
    </row>
    <row r="2095">
      <c r="A2095" s="7">
        <v>42424.98862268518</v>
      </c>
      <c r="B2095" s="8" t="str">
        <f t="shared" ref="B2095:B2098" si="237">HYPERLINK("https://twitter.com/Pvalsfr","@Pvalsfr")</f>
        <v>@Pvalsfr</v>
      </c>
      <c r="C2095" s="10" t="s">
        <v>771</v>
      </c>
      <c r="D2095" s="10" t="s">
        <v>9977</v>
      </c>
      <c r="E2095" s="11" t="str">
        <f>HYPERLINK("https://twitter.com/Pvalsfr/status/702760846468972544","702760846468972544")</f>
        <v>702760846468972544</v>
      </c>
      <c r="F2095" s="12" t="s">
        <v>152</v>
      </c>
      <c r="G2095" s="13">
        <v>1043.0</v>
      </c>
      <c r="H2095" s="13">
        <v>1081.0</v>
      </c>
      <c r="I2095" s="13">
        <v>8.0</v>
      </c>
      <c r="J2095" s="13">
        <v>0.0</v>
      </c>
      <c r="K2095" s="12" t="s">
        <v>21</v>
      </c>
      <c r="L2095" s="7">
        <v>40867.68900462963</v>
      </c>
      <c r="M2095" s="16"/>
      <c r="N2095" s="16"/>
      <c r="O2095" s="11" t="str">
        <f t="shared" ref="O2095:O2098" si="238">HYPERLINK("https://abs.twimg.com/sticky/default_profile_images/default_profile_4_normal.png","View")</f>
        <v>View</v>
      </c>
      <c r="P2095" s="15"/>
    </row>
    <row r="2096">
      <c r="A2096" s="7">
        <v>42424.988645833335</v>
      </c>
      <c r="B2096" s="8" t="str">
        <f t="shared" si="237"/>
        <v>@Pvalsfr</v>
      </c>
      <c r="C2096" s="10" t="s">
        <v>771</v>
      </c>
      <c r="D2096" s="10" t="s">
        <v>9984</v>
      </c>
      <c r="E2096" s="11" t="str">
        <f>HYPERLINK("https://twitter.com/Pvalsfr/status/702760854660517888","702760854660517888")</f>
        <v>702760854660517888</v>
      </c>
      <c r="F2096" s="12" t="s">
        <v>152</v>
      </c>
      <c r="G2096" s="13">
        <v>1043.0</v>
      </c>
      <c r="H2096" s="13">
        <v>1081.0</v>
      </c>
      <c r="I2096" s="13">
        <v>3.0</v>
      </c>
      <c r="J2096" s="13">
        <v>0.0</v>
      </c>
      <c r="K2096" s="12" t="s">
        <v>21</v>
      </c>
      <c r="L2096" s="7">
        <v>40867.68900462963</v>
      </c>
      <c r="M2096" s="16"/>
      <c r="N2096" s="16"/>
      <c r="O2096" s="11" t="str">
        <f t="shared" si="238"/>
        <v>View</v>
      </c>
      <c r="P2096" s="15"/>
    </row>
    <row r="2097">
      <c r="A2097" s="7">
        <v>42424.98866898148</v>
      </c>
      <c r="B2097" s="8" t="str">
        <f t="shared" si="237"/>
        <v>@Pvalsfr</v>
      </c>
      <c r="C2097" s="10" t="s">
        <v>771</v>
      </c>
      <c r="D2097" s="10" t="s">
        <v>9983</v>
      </c>
      <c r="E2097" s="11" t="str">
        <f>HYPERLINK("https://twitter.com/Pvalsfr/status/702760863724412928","702760863724412928")</f>
        <v>702760863724412928</v>
      </c>
      <c r="F2097" s="12" t="s">
        <v>152</v>
      </c>
      <c r="G2097" s="13">
        <v>1043.0</v>
      </c>
      <c r="H2097" s="13">
        <v>1081.0</v>
      </c>
      <c r="I2097" s="13">
        <v>8.0</v>
      </c>
      <c r="J2097" s="13">
        <v>0.0</v>
      </c>
      <c r="K2097" s="12" t="s">
        <v>21</v>
      </c>
      <c r="L2097" s="7">
        <v>40867.68900462963</v>
      </c>
      <c r="M2097" s="16"/>
      <c r="N2097" s="16"/>
      <c r="O2097" s="11" t="str">
        <f t="shared" si="238"/>
        <v>View</v>
      </c>
      <c r="P2097" s="15"/>
    </row>
    <row r="2098">
      <c r="A2098" s="7">
        <v>42424.98869212963</v>
      </c>
      <c r="B2098" s="8" t="str">
        <f t="shared" si="237"/>
        <v>@Pvalsfr</v>
      </c>
      <c r="C2098" s="10" t="s">
        <v>771</v>
      </c>
      <c r="D2098" s="10" t="s">
        <v>9982</v>
      </c>
      <c r="E2098" s="11" t="str">
        <f>HYPERLINK("https://twitter.com/Pvalsfr/status/702760872444354560","702760872444354560")</f>
        <v>702760872444354560</v>
      </c>
      <c r="F2098" s="12" t="s">
        <v>152</v>
      </c>
      <c r="G2098" s="13">
        <v>1043.0</v>
      </c>
      <c r="H2098" s="13">
        <v>1081.0</v>
      </c>
      <c r="I2098" s="13">
        <v>8.0</v>
      </c>
      <c r="J2098" s="13">
        <v>0.0</v>
      </c>
      <c r="K2098" s="12" t="s">
        <v>21</v>
      </c>
      <c r="L2098" s="7">
        <v>40867.68900462963</v>
      </c>
      <c r="M2098" s="16"/>
      <c r="N2098" s="16"/>
      <c r="O2098" s="11" t="str">
        <f t="shared" si="238"/>
        <v>View</v>
      </c>
      <c r="P2098" s="15"/>
    </row>
    <row r="2099">
      <c r="A2099" s="7">
        <v>42424.99019675926</v>
      </c>
      <c r="B2099" s="8" t="str">
        <f>HYPERLINK("https://twitter.com/michcampbell_","@michcampbell_")</f>
        <v>@michcampbell_</v>
      </c>
      <c r="C2099" s="10" t="s">
        <v>9991</v>
      </c>
      <c r="D2099" s="10" t="s">
        <v>9992</v>
      </c>
      <c r="E2099" s="11" t="str">
        <f>HYPERLINK("https://twitter.com/michcampbell_/status/702761420438446082","702761420438446082")</f>
        <v>702761420438446082</v>
      </c>
      <c r="F2099" s="12" t="s">
        <v>20</v>
      </c>
      <c r="G2099" s="13">
        <v>193.0</v>
      </c>
      <c r="H2099" s="13">
        <v>392.0</v>
      </c>
      <c r="I2099" s="13">
        <v>0.0</v>
      </c>
      <c r="J2099" s="13">
        <v>1.0</v>
      </c>
      <c r="K2099" s="12" t="s">
        <v>21</v>
      </c>
      <c r="L2099" s="7">
        <v>41977.963379629626</v>
      </c>
      <c r="M2099" s="14" t="s">
        <v>8716</v>
      </c>
      <c r="N2099" s="14" t="s">
        <v>9993</v>
      </c>
      <c r="O2099" s="11" t="str">
        <f>HYPERLINK("https://pbs.twimg.com/profile_images/646858441659518976/-7pEtinV_normal.jpg","View")</f>
        <v>View</v>
      </c>
      <c r="P2099" s="15"/>
    </row>
    <row r="2100">
      <c r="A2100" s="7">
        <v>42424.9949537037</v>
      </c>
      <c r="B2100" s="8" t="str">
        <f>HYPERLINK("https://twitter.com/WebScraperDB","@WebScraperDB")</f>
        <v>@WebScraperDB</v>
      </c>
      <c r="C2100" s="10" t="s">
        <v>2743</v>
      </c>
      <c r="D2100" s="10" t="s">
        <v>9994</v>
      </c>
      <c r="E2100" s="11" t="str">
        <f>HYPERLINK("https://twitter.com/WebScraperDB/status/702763141365637120","702763141365637120")</f>
        <v>702763141365637120</v>
      </c>
      <c r="F2100" s="12" t="s">
        <v>2743</v>
      </c>
      <c r="G2100" s="13">
        <v>298.0</v>
      </c>
      <c r="H2100" s="13">
        <v>927.0</v>
      </c>
      <c r="I2100" s="13">
        <v>0.0</v>
      </c>
      <c r="J2100" s="13">
        <v>4.0</v>
      </c>
      <c r="K2100" s="12" t="s">
        <v>21</v>
      </c>
      <c r="L2100" s="7">
        <v>42410.33493055556</v>
      </c>
      <c r="M2100" s="14" t="s">
        <v>2745</v>
      </c>
      <c r="N2100" s="14" t="s">
        <v>2746</v>
      </c>
      <c r="O2100" s="11" t="str">
        <f>HYPERLINK("https://pbs.twimg.com/profile_images/699545598450606080/s8CU8cVg_normal.png","View")</f>
        <v>View</v>
      </c>
      <c r="P2100" s="15"/>
    </row>
    <row r="2101">
      <c r="A2101" s="7">
        <v>42425.00057870371</v>
      </c>
      <c r="B2101" s="8" t="str">
        <f>HYPERLINK("https://twitter.com/desertnaut","@desertnaut")</f>
        <v>@desertnaut</v>
      </c>
      <c r="C2101" s="10" t="s">
        <v>9995</v>
      </c>
      <c r="D2101" s="10" t="s">
        <v>9982</v>
      </c>
      <c r="E2101" s="11" t="str">
        <f>HYPERLINK("https://twitter.com/desertnaut/status/702765181672284160","702765181672284160")</f>
        <v>702765181672284160</v>
      </c>
      <c r="F2101" s="12" t="s">
        <v>52</v>
      </c>
      <c r="G2101" s="13">
        <v>659.0</v>
      </c>
      <c r="H2101" s="13">
        <v>1530.0</v>
      </c>
      <c r="I2101" s="13">
        <v>8.0</v>
      </c>
      <c r="J2101" s="13">
        <v>0.0</v>
      </c>
      <c r="K2101" s="12" t="s">
        <v>21</v>
      </c>
      <c r="L2101" s="7">
        <v>40904.13864583333</v>
      </c>
      <c r="M2101" s="14" t="s">
        <v>4764</v>
      </c>
      <c r="N2101" s="14" t="s">
        <v>9996</v>
      </c>
      <c r="O2101" s="11" t="str">
        <f>HYPERLINK("https://pbs.twimg.com/profile_images/3515263408/4dcca0278120c97c765cd0a80806d091_normal.jpeg","View")</f>
        <v>View</v>
      </c>
      <c r="P2101" s="15"/>
    </row>
    <row r="2102">
      <c r="A2102" s="7">
        <v>42425.00444444444</v>
      </c>
      <c r="B2102" s="8" t="str">
        <f>HYPERLINK("https://twitter.com/_xiiik","@_xiiik")</f>
        <v>@_xiiik</v>
      </c>
      <c r="C2102" s="10" t="s">
        <v>9997</v>
      </c>
      <c r="D2102" s="10" t="s">
        <v>9998</v>
      </c>
      <c r="E2102" s="11" t="str">
        <f>HYPERLINK("https://twitter.com/_xiiik/status/702766583085543426","702766583085543426")</f>
        <v>702766583085543426</v>
      </c>
      <c r="F2102" s="12" t="s">
        <v>1082</v>
      </c>
      <c r="G2102" s="13">
        <v>25.0</v>
      </c>
      <c r="H2102" s="13">
        <v>191.0</v>
      </c>
      <c r="I2102" s="13">
        <v>0.0</v>
      </c>
      <c r="J2102" s="13">
        <v>0.0</v>
      </c>
      <c r="K2102" s="12" t="s">
        <v>21</v>
      </c>
      <c r="L2102" s="7">
        <v>41197.94204861111</v>
      </c>
      <c r="M2102" s="14" t="s">
        <v>9999</v>
      </c>
      <c r="N2102" s="14" t="s">
        <v>10000</v>
      </c>
      <c r="O2102" s="11" t="str">
        <f>HYPERLINK("https://pbs.twimg.com/profile_images/587858415327641603/Gk5KqIhH_normal.jpg","View")</f>
        <v>View</v>
      </c>
      <c r="P2102" s="15"/>
    </row>
    <row r="2103">
      <c r="A2103" s="7">
        <v>42425.00568287037</v>
      </c>
      <c r="B2103" s="8" t="str">
        <f>HYPERLINK("https://twitter.com/nicolascantu8","@nicolascantu8")</f>
        <v>@nicolascantu8</v>
      </c>
      <c r="C2103" s="10" t="s">
        <v>10001</v>
      </c>
      <c r="D2103" s="10" t="s">
        <v>10002</v>
      </c>
      <c r="E2103" s="11" t="str">
        <f>HYPERLINK("https://twitter.com/nicolascantu8/status/702767031343570944","702767031343570944")</f>
        <v>702767031343570944</v>
      </c>
      <c r="F2103" s="12" t="s">
        <v>659</v>
      </c>
      <c r="G2103" s="13">
        <v>109.0</v>
      </c>
      <c r="H2103" s="13">
        <v>323.0</v>
      </c>
      <c r="I2103" s="13">
        <v>1.0</v>
      </c>
      <c r="J2103" s="13">
        <v>3.0</v>
      </c>
      <c r="K2103" s="12" t="s">
        <v>21</v>
      </c>
      <c r="L2103" s="7">
        <v>42410.2503125</v>
      </c>
      <c r="M2103" s="14" t="s">
        <v>10003</v>
      </c>
      <c r="N2103" s="14" t="s">
        <v>10004</v>
      </c>
      <c r="O2103" s="11" t="str">
        <f>HYPERLINK("https://pbs.twimg.com/profile_images/698151797924499456/CjOZZWoA_normal.png","View")</f>
        <v>View</v>
      </c>
      <c r="P2103" s="15"/>
    </row>
    <row r="2104">
      <c r="A2104" s="7">
        <v>42425.00568287037</v>
      </c>
      <c r="B2104" s="8" t="str">
        <f>HYPERLINK("https://twitter.com/localstories1","@localstories1")</f>
        <v>@localstories1</v>
      </c>
      <c r="C2104" s="10" t="s">
        <v>10001</v>
      </c>
      <c r="D2104" s="10" t="s">
        <v>10005</v>
      </c>
      <c r="E2104" s="11" t="str">
        <f>HYPERLINK("https://twitter.com/localstories1/status/702767031611953152","702767031611953152")</f>
        <v>702767031611953152</v>
      </c>
      <c r="F2104" s="12" t="s">
        <v>659</v>
      </c>
      <c r="G2104" s="13">
        <v>1731.0</v>
      </c>
      <c r="H2104" s="13">
        <v>1618.0</v>
      </c>
      <c r="I2104" s="13">
        <v>1.0</v>
      </c>
      <c r="J2104" s="13">
        <v>2.0</v>
      </c>
      <c r="K2104" s="12" t="s">
        <v>21</v>
      </c>
      <c r="L2104" s="7">
        <v>41093.784479166665</v>
      </c>
      <c r="M2104" s="14" t="s">
        <v>10006</v>
      </c>
      <c r="N2104" s="14" t="s">
        <v>10007</v>
      </c>
      <c r="O2104" s="11" t="str">
        <f>HYPERLINK("https://pbs.twimg.com/profile_images/698169470431469569/DGWdZVTA_normal.png","View")</f>
        <v>View</v>
      </c>
      <c r="P2104" s="15"/>
    </row>
    <row r="2105">
      <c r="A2105" s="7">
        <v>42425.0060300926</v>
      </c>
      <c r="B2105" s="8" t="str">
        <f>HYPERLINK("https://twitter.com/thomasp85","@thomasp85")</f>
        <v>@thomasp85</v>
      </c>
      <c r="C2105" s="10" t="s">
        <v>7089</v>
      </c>
      <c r="D2105" s="10" t="s">
        <v>10008</v>
      </c>
      <c r="E2105" s="11" t="str">
        <f>HYPERLINK("https://twitter.com/thomasp85/status/702767154341519360","702767154341519360")</f>
        <v>702767154341519360</v>
      </c>
      <c r="F2105" s="12" t="s">
        <v>20</v>
      </c>
      <c r="G2105" s="13">
        <v>166.0</v>
      </c>
      <c r="H2105" s="13">
        <v>45.0</v>
      </c>
      <c r="I2105" s="13">
        <v>0.0</v>
      </c>
      <c r="J2105" s="13">
        <v>1.0</v>
      </c>
      <c r="K2105" s="12" t="s">
        <v>21</v>
      </c>
      <c r="L2105" s="7">
        <v>41078.1696875</v>
      </c>
      <c r="M2105" s="14" t="s">
        <v>7091</v>
      </c>
      <c r="N2105" s="14" t="s">
        <v>7092</v>
      </c>
      <c r="O2105" s="11" t="str">
        <f>HYPERLINK("https://pbs.twimg.com/profile_images/685178010962505728/m0D-Pvwg_normal.jpg","View")</f>
        <v>View</v>
      </c>
      <c r="P2105" s="15"/>
    </row>
    <row r="2106">
      <c r="A2106" s="7">
        <v>42425.011712962965</v>
      </c>
      <c r="B2106" s="8" t="str">
        <f>HYPERLINK("https://twitter.com/pasandriani","@pasandriani")</f>
        <v>@pasandriani</v>
      </c>
      <c r="C2106" s="10" t="s">
        <v>10009</v>
      </c>
      <c r="D2106" s="10" t="s">
        <v>9983</v>
      </c>
      <c r="E2106" s="11" t="str">
        <f>HYPERLINK("https://twitter.com/pasandriani/status/702769213732212737","702769213732212737")</f>
        <v>702769213732212737</v>
      </c>
      <c r="F2106" s="12" t="s">
        <v>152</v>
      </c>
      <c r="G2106" s="13">
        <v>114.0</v>
      </c>
      <c r="H2106" s="13">
        <v>304.0</v>
      </c>
      <c r="I2106" s="13">
        <v>8.0</v>
      </c>
      <c r="J2106" s="13">
        <v>0.0</v>
      </c>
      <c r="K2106" s="12" t="s">
        <v>21</v>
      </c>
      <c r="L2106" s="7">
        <v>40067.49361111111</v>
      </c>
      <c r="M2106" s="14" t="s">
        <v>10010</v>
      </c>
      <c r="N2106" s="16"/>
      <c r="O2106" s="11" t="str">
        <f>HYPERLINK("https://pbs.twimg.com/profile_images/1965488997/309704_2354624192218_1448605327_2658004_1640680099_n_normal.jpg","View")</f>
        <v>View</v>
      </c>
      <c r="P2106" s="15"/>
    </row>
    <row r="2107">
      <c r="A2107" s="7">
        <v>42425.01201388889</v>
      </c>
      <c r="B2107" s="8" t="str">
        <f>HYPERLINK("https://twitter.com/zaticwu","@zaticwu")</f>
        <v>@zaticwu</v>
      </c>
      <c r="C2107" s="10" t="s">
        <v>7021</v>
      </c>
      <c r="D2107" s="10" t="s">
        <v>9982</v>
      </c>
      <c r="E2107" s="11" t="str">
        <f>HYPERLINK("https://twitter.com/zaticwu/status/702769325996789760","702769325996789760")</f>
        <v>702769325996789760</v>
      </c>
      <c r="F2107" s="12" t="s">
        <v>152</v>
      </c>
      <c r="G2107" s="13">
        <v>126.0</v>
      </c>
      <c r="H2107" s="13">
        <v>353.0</v>
      </c>
      <c r="I2107" s="13">
        <v>8.0</v>
      </c>
      <c r="J2107" s="13">
        <v>0.0</v>
      </c>
      <c r="K2107" s="12" t="s">
        <v>21</v>
      </c>
      <c r="L2107" s="7">
        <v>40668.12063657407</v>
      </c>
      <c r="M2107" s="14" t="s">
        <v>7022</v>
      </c>
      <c r="N2107" s="14" t="s">
        <v>7023</v>
      </c>
      <c r="O2107" s="11" t="str">
        <f>HYPERLINK("https://pbs.twimg.com/profile_images/509100899063439361/1xdR38oG_normal.jpeg","View")</f>
        <v>View</v>
      </c>
      <c r="P2107" s="15"/>
    </row>
    <row r="2108">
      <c r="A2108" s="7">
        <v>42425.01231481481</v>
      </c>
      <c r="B2108" s="8" t="str">
        <f>HYPERLINK("https://twitter.com/pasandriani","@pasandriani")</f>
        <v>@pasandriani</v>
      </c>
      <c r="C2108" s="10" t="s">
        <v>10009</v>
      </c>
      <c r="D2108" s="10" t="s">
        <v>9982</v>
      </c>
      <c r="E2108" s="11" t="str">
        <f>HYPERLINK("https://twitter.com/pasandriani/status/702769434121920512","702769434121920512")</f>
        <v>702769434121920512</v>
      </c>
      <c r="F2108" s="12" t="s">
        <v>152</v>
      </c>
      <c r="G2108" s="13">
        <v>114.0</v>
      </c>
      <c r="H2108" s="13">
        <v>304.0</v>
      </c>
      <c r="I2108" s="13">
        <v>8.0</v>
      </c>
      <c r="J2108" s="13">
        <v>0.0</v>
      </c>
      <c r="K2108" s="12" t="s">
        <v>21</v>
      </c>
      <c r="L2108" s="7">
        <v>40067.49361111111</v>
      </c>
      <c r="M2108" s="14" t="s">
        <v>10010</v>
      </c>
      <c r="N2108" s="16"/>
      <c r="O2108" s="11" t="str">
        <f>HYPERLINK("https://pbs.twimg.com/profile_images/1965488997/309704_2354624192218_1448605327_2658004_1640680099_n_normal.jpg","View")</f>
        <v>View</v>
      </c>
      <c r="P2108" s="15"/>
    </row>
    <row r="2109">
      <c r="A2109" s="7">
        <v>42425.012337962966</v>
      </c>
      <c r="B2109" s="8" t="str">
        <f>HYPERLINK("https://twitter.com/zaticwu","@zaticwu")</f>
        <v>@zaticwu</v>
      </c>
      <c r="C2109" s="10" t="s">
        <v>7021</v>
      </c>
      <c r="D2109" s="10" t="s">
        <v>9977</v>
      </c>
      <c r="E2109" s="11" t="str">
        <f>HYPERLINK("https://twitter.com/zaticwu/status/702769443999330304","702769443999330304")</f>
        <v>702769443999330304</v>
      </c>
      <c r="F2109" s="12" t="s">
        <v>152</v>
      </c>
      <c r="G2109" s="13">
        <v>126.0</v>
      </c>
      <c r="H2109" s="13">
        <v>353.0</v>
      </c>
      <c r="I2109" s="13">
        <v>8.0</v>
      </c>
      <c r="J2109" s="13">
        <v>0.0</v>
      </c>
      <c r="K2109" s="12" t="s">
        <v>21</v>
      </c>
      <c r="L2109" s="7">
        <v>40668.12063657407</v>
      </c>
      <c r="M2109" s="14" t="s">
        <v>7022</v>
      </c>
      <c r="N2109" s="14" t="s">
        <v>7023</v>
      </c>
      <c r="O2109" s="11" t="str">
        <f>HYPERLINK("https://pbs.twimg.com/profile_images/509100899063439361/1xdR38oG_normal.jpeg","View")</f>
        <v>View</v>
      </c>
      <c r="P2109" s="15"/>
    </row>
    <row r="2110">
      <c r="A2110" s="7">
        <v>42425.013391203705</v>
      </c>
      <c r="B2110" s="8" t="str">
        <f t="shared" ref="B2110:B2111" si="239">HYPERLINK("https://twitter.com/zsozdemir","@zsozdemir")</f>
        <v>@zsozdemir</v>
      </c>
      <c r="C2110" s="10" t="s">
        <v>6984</v>
      </c>
      <c r="D2110" s="10" t="s">
        <v>9932</v>
      </c>
      <c r="E2110" s="11" t="str">
        <f>HYPERLINK("https://twitter.com/zsozdemir/status/702769824204759040","702769824204759040")</f>
        <v>702769824204759040</v>
      </c>
      <c r="F2110" s="12" t="s">
        <v>52</v>
      </c>
      <c r="G2110" s="13">
        <v>148.0</v>
      </c>
      <c r="H2110" s="13">
        <v>277.0</v>
      </c>
      <c r="I2110" s="13">
        <v>7.0</v>
      </c>
      <c r="J2110" s="13">
        <v>0.0</v>
      </c>
      <c r="K2110" s="12" t="s">
        <v>21</v>
      </c>
      <c r="L2110" s="7">
        <v>40235.36565972222</v>
      </c>
      <c r="M2110" s="14" t="s">
        <v>6985</v>
      </c>
      <c r="N2110" s="14" t="s">
        <v>6986</v>
      </c>
      <c r="O2110" s="11" t="str">
        <f t="shared" ref="O2110:O2111" si="240">HYPERLINK("https://pbs.twimg.com/profile_images/687380813172862976/xo2Yxv8Z_normal.jpg","View")</f>
        <v>View</v>
      </c>
      <c r="P2110" s="15"/>
    </row>
    <row r="2111">
      <c r="A2111" s="7">
        <v>42425.013449074075</v>
      </c>
      <c r="B2111" s="8" t="str">
        <f t="shared" si="239"/>
        <v>@zsozdemir</v>
      </c>
      <c r="C2111" s="10" t="s">
        <v>6984</v>
      </c>
      <c r="D2111" s="10" t="s">
        <v>9900</v>
      </c>
      <c r="E2111" s="11" t="str">
        <f>HYPERLINK("https://twitter.com/zsozdemir/status/702769846589726720","702769846589726720")</f>
        <v>702769846589726720</v>
      </c>
      <c r="F2111" s="12" t="s">
        <v>52</v>
      </c>
      <c r="G2111" s="13">
        <v>148.0</v>
      </c>
      <c r="H2111" s="13">
        <v>277.0</v>
      </c>
      <c r="I2111" s="13">
        <v>25.0</v>
      </c>
      <c r="J2111" s="13">
        <v>0.0</v>
      </c>
      <c r="K2111" s="12" t="s">
        <v>21</v>
      </c>
      <c r="L2111" s="7">
        <v>40235.36565972222</v>
      </c>
      <c r="M2111" s="14" t="s">
        <v>6985</v>
      </c>
      <c r="N2111" s="14" t="s">
        <v>6986</v>
      </c>
      <c r="O2111" s="11" t="str">
        <f t="shared" si="240"/>
        <v>View</v>
      </c>
      <c r="P2111" s="15"/>
    </row>
    <row r="2112">
      <c r="A2112" s="7">
        <v>42425.01409722222</v>
      </c>
      <c r="B2112" s="8" t="str">
        <f>HYPERLINK("https://twitter.com/mattmcd","@mattmcd")</f>
        <v>@mattmcd</v>
      </c>
      <c r="C2112" s="10" t="s">
        <v>2668</v>
      </c>
      <c r="D2112" s="10" t="s">
        <v>10011</v>
      </c>
      <c r="E2112" s="11" t="str">
        <f>HYPERLINK("https://twitter.com/mattmcd/status/702770079688224768","702770079688224768")</f>
        <v>702770079688224768</v>
      </c>
      <c r="F2112" s="12" t="s">
        <v>6180</v>
      </c>
      <c r="G2112" s="13">
        <v>539.0</v>
      </c>
      <c r="H2112" s="13">
        <v>639.0</v>
      </c>
      <c r="I2112" s="13">
        <v>0.0</v>
      </c>
      <c r="J2112" s="13">
        <v>2.0</v>
      </c>
      <c r="K2112" s="12" t="s">
        <v>21</v>
      </c>
      <c r="L2112" s="7">
        <v>39249.37799768519</v>
      </c>
      <c r="M2112" s="14" t="s">
        <v>519</v>
      </c>
      <c r="N2112" s="14" t="s">
        <v>2670</v>
      </c>
      <c r="O2112" s="11" t="str">
        <f>HYPERLINK("https://pbs.twimg.com/profile_images/1401189383/me_skecth_no2_dark_800x800_normal.jpg","View")</f>
        <v>View</v>
      </c>
      <c r="P2112" s="15"/>
    </row>
    <row r="2113">
      <c r="A2113" s="7">
        <v>42425.01415509259</v>
      </c>
      <c r="B2113" s="8" t="str">
        <f>HYPERLINK("https://twitter.com/fjalolop000","@fjalolop000")</f>
        <v>@fjalolop000</v>
      </c>
      <c r="C2113" s="10" t="s">
        <v>6576</v>
      </c>
      <c r="D2113" s="10" t="s">
        <v>9983</v>
      </c>
      <c r="E2113" s="11" t="str">
        <f>HYPERLINK("https://twitter.com/fjalolop000/status/702770101037219840","702770101037219840")</f>
        <v>702770101037219840</v>
      </c>
      <c r="F2113" s="12" t="s">
        <v>152</v>
      </c>
      <c r="G2113" s="13">
        <v>16.0</v>
      </c>
      <c r="H2113" s="13">
        <v>54.0</v>
      </c>
      <c r="I2113" s="13">
        <v>8.0</v>
      </c>
      <c r="J2113" s="13">
        <v>0.0</v>
      </c>
      <c r="K2113" s="12" t="s">
        <v>21</v>
      </c>
      <c r="L2113" s="7">
        <v>41617.3140625</v>
      </c>
      <c r="M2113" s="16"/>
      <c r="N2113" s="16"/>
      <c r="O2113" s="11" t="str">
        <f>HYPERLINK("https://pbs.twimg.com/profile_images/576799609873428480/V8akQ-mi_normal.jpeg","View")</f>
        <v>View</v>
      </c>
      <c r="P2113" s="15"/>
    </row>
    <row r="2114">
      <c r="A2114" s="7">
        <v>42425.024884259255</v>
      </c>
      <c r="B2114" s="8" t="str">
        <f>HYPERLINK("https://twitter.com/Daniero_Pink","@Daniero_Pink")</f>
        <v>@Daniero_Pink</v>
      </c>
      <c r="C2114" s="10" t="s">
        <v>10012</v>
      </c>
      <c r="D2114" s="10" t="s">
        <v>9536</v>
      </c>
      <c r="E2114" s="11" t="str">
        <f>HYPERLINK("https://twitter.com/Daniero_Pink/status/702773988422844416","702773988422844416")</f>
        <v>702773988422844416</v>
      </c>
      <c r="F2114" s="12" t="s">
        <v>52</v>
      </c>
      <c r="G2114" s="13">
        <v>39.0</v>
      </c>
      <c r="H2114" s="13">
        <v>46.0</v>
      </c>
      <c r="I2114" s="13">
        <v>9.0</v>
      </c>
      <c r="J2114" s="13">
        <v>0.0</v>
      </c>
      <c r="K2114" s="12" t="s">
        <v>21</v>
      </c>
      <c r="L2114" s="7">
        <v>40523.623460648145</v>
      </c>
      <c r="M2114" s="16"/>
      <c r="N2114" s="16"/>
      <c r="O2114" s="11" t="str">
        <f>HYPERLINK("https://pbs.twimg.com/profile_images/670787809049907200/nIOAaZJZ_normal.jpg","View")</f>
        <v>View</v>
      </c>
      <c r="P2114" s="15"/>
    </row>
    <row r="2115">
      <c r="A2115" s="7">
        <v>42425.0252662037</v>
      </c>
      <c r="B2115" s="8" t="str">
        <f>HYPERLINK("https://twitter.com/aksingh1985","@aksingh1985")</f>
        <v>@aksingh1985</v>
      </c>
      <c r="C2115" s="10" t="s">
        <v>9877</v>
      </c>
      <c r="D2115" s="10" t="s">
        <v>10013</v>
      </c>
      <c r="E2115" s="11" t="str">
        <f>HYPERLINK("https://twitter.com/aksingh1985/status/702774129074679810","702774129074679810")</f>
        <v>702774129074679810</v>
      </c>
      <c r="F2115" s="12" t="s">
        <v>20</v>
      </c>
      <c r="G2115" s="13">
        <v>23.0</v>
      </c>
      <c r="H2115" s="13">
        <v>64.0</v>
      </c>
      <c r="I2115" s="13">
        <v>0.0</v>
      </c>
      <c r="J2115" s="13">
        <v>0.0</v>
      </c>
      <c r="K2115" s="12" t="s">
        <v>21</v>
      </c>
      <c r="L2115" s="7">
        <v>41128.849375</v>
      </c>
      <c r="M2115" s="14" t="s">
        <v>9879</v>
      </c>
      <c r="N2115" s="14" t="s">
        <v>9880</v>
      </c>
      <c r="O2115" s="11" t="str">
        <f>HYPERLINK("https://pbs.twimg.com/profile_images/603841641254760448/h8G2brJw_normal.jpg","View")</f>
        <v>View</v>
      </c>
      <c r="P2115" s="15"/>
    </row>
    <row r="2116">
      <c r="A2116" s="7">
        <v>42425.02850694444</v>
      </c>
      <c r="B2116" s="8" t="str">
        <f>HYPERLINK("https://twitter.com/mgto_org","@mgto_org")</f>
        <v>@mgto_org</v>
      </c>
      <c r="C2116" s="10" t="s">
        <v>10014</v>
      </c>
      <c r="D2116" s="10" t="s">
        <v>9936</v>
      </c>
      <c r="E2116" s="11" t="str">
        <f>HYPERLINK("https://twitter.com/mgto_org/status/702775300636155904","702775300636155904")</f>
        <v>702775300636155904</v>
      </c>
      <c r="F2116" s="12" t="s">
        <v>659</v>
      </c>
      <c r="G2116" s="13">
        <v>614.0</v>
      </c>
      <c r="H2116" s="13">
        <v>664.0</v>
      </c>
      <c r="I2116" s="13">
        <v>19.0</v>
      </c>
      <c r="J2116" s="13">
        <v>0.0</v>
      </c>
      <c r="K2116" s="12" t="s">
        <v>21</v>
      </c>
      <c r="L2116" s="7">
        <v>40928.140011574076</v>
      </c>
      <c r="M2116" s="14" t="s">
        <v>10015</v>
      </c>
      <c r="N2116" s="14" t="s">
        <v>10016</v>
      </c>
      <c r="O2116" s="11" t="str">
        <f>HYPERLINK("https://pbs.twimg.com/profile_images/688713141010706433/Mg9-4pvA_normal.jpg","View")</f>
        <v>View</v>
      </c>
      <c r="P2116" s="15"/>
    </row>
    <row r="2117">
      <c r="A2117" s="7">
        <v>42425.03024305556</v>
      </c>
      <c r="B2117" s="8" t="str">
        <f>HYPERLINK("https://twitter.com/DamianWidera","@DamianWidera")</f>
        <v>@DamianWidera</v>
      </c>
      <c r="C2117" s="10" t="s">
        <v>10017</v>
      </c>
      <c r="D2117" s="10" t="s">
        <v>9977</v>
      </c>
      <c r="E2117" s="11" t="str">
        <f>HYPERLINK("https://twitter.com/DamianWidera/status/702775931971244032","702775931971244032")</f>
        <v>702775931971244032</v>
      </c>
      <c r="F2117" s="12" t="s">
        <v>20</v>
      </c>
      <c r="G2117" s="13">
        <v>219.0</v>
      </c>
      <c r="H2117" s="13">
        <v>342.0</v>
      </c>
      <c r="I2117" s="13">
        <v>8.0</v>
      </c>
      <c r="J2117" s="13">
        <v>0.0</v>
      </c>
      <c r="K2117" s="12" t="s">
        <v>21</v>
      </c>
      <c r="L2117" s="7">
        <v>40979.64396990741</v>
      </c>
      <c r="M2117" s="14" t="s">
        <v>10018</v>
      </c>
      <c r="N2117" s="14" t="s">
        <v>10019</v>
      </c>
      <c r="O2117" s="11" t="str">
        <f>HYPERLINK("https://pbs.twimg.com/profile_images/378800000600197280/7d5ef3de3cddcb7631d582e175cfd132_normal.jpeg","View")</f>
        <v>View</v>
      </c>
      <c r="P2117" s="15"/>
    </row>
    <row r="2118">
      <c r="A2118" s="7">
        <v>42425.03082175926</v>
      </c>
      <c r="B2118" s="8" t="str">
        <f>HYPERLINK("https://twitter.com/Altons","@Altons")</f>
        <v>@Altons</v>
      </c>
      <c r="C2118" s="10" t="s">
        <v>8032</v>
      </c>
      <c r="D2118" s="10" t="s">
        <v>10020</v>
      </c>
      <c r="E2118" s="11" t="str">
        <f>HYPERLINK("https://twitter.com/Altons/status/702776141564747776","702776141564747776")</f>
        <v>702776141564747776</v>
      </c>
      <c r="F2118" s="12" t="s">
        <v>52</v>
      </c>
      <c r="G2118" s="13">
        <v>819.0</v>
      </c>
      <c r="H2118" s="13">
        <v>1085.0</v>
      </c>
      <c r="I2118" s="13">
        <v>1.0</v>
      </c>
      <c r="J2118" s="13">
        <v>0.0</v>
      </c>
      <c r="K2118" s="12" t="s">
        <v>21</v>
      </c>
      <c r="L2118" s="7">
        <v>39884.441099537034</v>
      </c>
      <c r="M2118" s="14" t="s">
        <v>5004</v>
      </c>
      <c r="N2118" s="14" t="s">
        <v>8033</v>
      </c>
      <c r="O2118" s="11" t="str">
        <f>HYPERLINK("https://pbs.twimg.com/profile_images/472026224416407553/ekVld1IG_normal.jpeg","View")</f>
        <v>View</v>
      </c>
      <c r="P2118" s="15"/>
    </row>
    <row r="2119">
      <c r="A2119" s="7">
        <v>42425.03157407408</v>
      </c>
      <c r="B2119" s="8" t="str">
        <f>HYPERLINK("https://twitter.com/sjgknight","@sjgknight")</f>
        <v>@sjgknight</v>
      </c>
      <c r="C2119" s="10" t="s">
        <v>6818</v>
      </c>
      <c r="D2119" s="10" t="s">
        <v>10021</v>
      </c>
      <c r="E2119" s="11" t="str">
        <f>HYPERLINK("https://twitter.com/sjgknight/status/702776414743822336","702776414743822336")</f>
        <v>702776414743822336</v>
      </c>
      <c r="F2119" s="12" t="s">
        <v>446</v>
      </c>
      <c r="G2119" s="13">
        <v>995.0</v>
      </c>
      <c r="H2119" s="13">
        <v>417.0</v>
      </c>
      <c r="I2119" s="13">
        <v>1.0</v>
      </c>
      <c r="J2119" s="13">
        <v>1.0</v>
      </c>
      <c r="K2119" s="12" t="s">
        <v>21</v>
      </c>
      <c r="L2119" s="7">
        <v>40256.00451388889</v>
      </c>
      <c r="M2119" s="14" t="s">
        <v>2913</v>
      </c>
      <c r="N2119" s="14" t="s">
        <v>6820</v>
      </c>
      <c r="O2119" s="11" t="str">
        <f>HYPERLINK("https://pbs.twimg.com/profile_images/3544413654/17524180a3b5476b3614c7e3cfaa79ca_normal.jpeg","View")</f>
        <v>View</v>
      </c>
      <c r="P2119" s="15"/>
    </row>
    <row r="2120">
      <c r="A2120" s="7">
        <v>42425.03384259259</v>
      </c>
      <c r="B2120" s="8" t="str">
        <f>HYPERLINK("https://twitter.com/HoloMarkeD","@HoloMarkeD")</f>
        <v>@HoloMarkeD</v>
      </c>
      <c r="C2120" s="10" t="s">
        <v>8940</v>
      </c>
      <c r="D2120" s="10" t="s">
        <v>9484</v>
      </c>
      <c r="E2120" s="11" t="str">
        <f>HYPERLINK("https://twitter.com/HoloMarkeD/status/702777233757364224","702777233757364224")</f>
        <v>702777233757364224</v>
      </c>
      <c r="F2120" s="12" t="s">
        <v>52</v>
      </c>
      <c r="G2120" s="13">
        <v>2624.0</v>
      </c>
      <c r="H2120" s="13">
        <v>1700.0</v>
      </c>
      <c r="I2120" s="13">
        <v>22.0</v>
      </c>
      <c r="J2120" s="13">
        <v>0.0</v>
      </c>
      <c r="K2120" s="12" t="s">
        <v>21</v>
      </c>
      <c r="L2120" s="7">
        <v>39394.127430555556</v>
      </c>
      <c r="M2120" s="14" t="s">
        <v>371</v>
      </c>
      <c r="N2120" s="14" t="s">
        <v>8941</v>
      </c>
      <c r="O2120" s="11" t="str">
        <f>HYPERLINK("https://pbs.twimg.com/profile_images/477837951309979649/_Cc9fYWM_normal.jpeg","View")</f>
        <v>View</v>
      </c>
      <c r="P2120" s="15"/>
    </row>
    <row r="2121">
      <c r="A2121" s="7">
        <v>42425.037141203706</v>
      </c>
      <c r="B2121" s="8" t="str">
        <f>HYPERLINK("https://twitter.com/Corvirtus","@Corvirtus")</f>
        <v>@Corvirtus</v>
      </c>
      <c r="C2121" s="10" t="s">
        <v>10022</v>
      </c>
      <c r="D2121" s="10" t="s">
        <v>10023</v>
      </c>
      <c r="E2121" s="11" t="str">
        <f>HYPERLINK("https://twitter.com/Corvirtus/status/702778432086786048","702778432086786048")</f>
        <v>702778432086786048</v>
      </c>
      <c r="F2121" s="12" t="s">
        <v>38</v>
      </c>
      <c r="G2121" s="13">
        <v>212.0</v>
      </c>
      <c r="H2121" s="13">
        <v>237.0</v>
      </c>
      <c r="I2121" s="13">
        <v>1.0</v>
      </c>
      <c r="J2121" s="13">
        <v>0.0</v>
      </c>
      <c r="K2121" s="12" t="s">
        <v>21</v>
      </c>
      <c r="L2121" s="7">
        <v>40645.435578703706</v>
      </c>
      <c r="M2121" s="14" t="s">
        <v>10024</v>
      </c>
      <c r="N2121" s="14" t="s">
        <v>10025</v>
      </c>
      <c r="O2121" s="11" t="str">
        <f>HYPERLINK("https://pbs.twimg.com/profile_images/664846447695691776/ViHr4HZI_normal.png","View")</f>
        <v>View</v>
      </c>
      <c r="P2121" s="15"/>
    </row>
    <row r="2122">
      <c r="A2122" s="7">
        <v>42425.04114583333</v>
      </c>
      <c r="B2122" s="8" t="str">
        <f>HYPERLINK("https://twitter.com/nickholway","@nickholway")</f>
        <v>@nickholway</v>
      </c>
      <c r="C2122" s="10" t="s">
        <v>10026</v>
      </c>
      <c r="D2122" s="10" t="s">
        <v>10027</v>
      </c>
      <c r="E2122" s="11" t="str">
        <f>HYPERLINK("https://twitter.com/nickholway/status/702779881227210752","702779881227210752")</f>
        <v>702779881227210752</v>
      </c>
      <c r="F2122" s="12" t="s">
        <v>20</v>
      </c>
      <c r="G2122" s="13">
        <v>287.0</v>
      </c>
      <c r="H2122" s="13">
        <v>945.0</v>
      </c>
      <c r="I2122" s="13">
        <v>1.0</v>
      </c>
      <c r="J2122" s="13">
        <v>0.0</v>
      </c>
      <c r="K2122" s="12" t="s">
        <v>21</v>
      </c>
      <c r="L2122" s="7">
        <v>39442.113530092596</v>
      </c>
      <c r="M2122" s="14" t="s">
        <v>10028</v>
      </c>
      <c r="N2122" s="16"/>
      <c r="O2122" s="11" t="str">
        <f>HYPERLINK("https://pbs.twimg.com/profile_images/41647132/cornishflag_normal.png","View")</f>
        <v>View</v>
      </c>
      <c r="P2122" s="15"/>
    </row>
    <row r="2123">
      <c r="A2123" s="7">
        <v>42425.04237268519</v>
      </c>
      <c r="B2123" s="8" t="str">
        <f>HYPERLINK("https://twitter.com/HackathonLovers","@HackathonLovers")</f>
        <v>@HackathonLovers</v>
      </c>
      <c r="C2123" s="10" t="s">
        <v>10029</v>
      </c>
      <c r="D2123" s="10" t="s">
        <v>7151</v>
      </c>
      <c r="E2123" s="11" t="str">
        <f>HYPERLINK("https://twitter.com/HackathonLovers/status/702780324510617601","702780324510617601")</f>
        <v>702780324510617601</v>
      </c>
      <c r="F2123" s="12" t="s">
        <v>294</v>
      </c>
      <c r="G2123" s="13">
        <v>2812.0</v>
      </c>
      <c r="H2123" s="13">
        <v>823.0</v>
      </c>
      <c r="I2123" s="13">
        <v>11.0</v>
      </c>
      <c r="J2123" s="13">
        <v>0.0</v>
      </c>
      <c r="K2123" s="12" t="s">
        <v>21</v>
      </c>
      <c r="L2123" s="7">
        <v>41550.602060185185</v>
      </c>
      <c r="M2123" s="16"/>
      <c r="N2123" s="14" t="s">
        <v>10030</v>
      </c>
      <c r="O2123" s="11" t="str">
        <f>HYPERLINK("https://pbs.twimg.com/profile_images/473788630830301184/MlZnwZ9q_normal.png","View")</f>
        <v>View</v>
      </c>
      <c r="P2123" s="15"/>
    </row>
    <row r="2124">
      <c r="A2124" s="7">
        <v>42425.04413194444</v>
      </c>
      <c r="B2124" s="8" t="str">
        <f>HYPERLINK("https://twitter.com/IanCroos","@IanCroos")</f>
        <v>@IanCroos</v>
      </c>
      <c r="C2124" s="10" t="s">
        <v>10031</v>
      </c>
      <c r="D2124" s="10" t="s">
        <v>7151</v>
      </c>
      <c r="E2124" s="11" t="str">
        <f>HYPERLINK("https://twitter.com/IanCroos/status/702780965345751041","702780965345751041")</f>
        <v>702780965345751041</v>
      </c>
      <c r="F2124" s="12" t="s">
        <v>52</v>
      </c>
      <c r="G2124" s="13">
        <v>528.0</v>
      </c>
      <c r="H2124" s="13">
        <v>1476.0</v>
      </c>
      <c r="I2124" s="13">
        <v>11.0</v>
      </c>
      <c r="J2124" s="13">
        <v>0.0</v>
      </c>
      <c r="K2124" s="12" t="s">
        <v>21</v>
      </c>
      <c r="L2124" s="7">
        <v>40683.41784722223</v>
      </c>
      <c r="M2124" s="14" t="s">
        <v>10032</v>
      </c>
      <c r="N2124" s="14" t="s">
        <v>10033</v>
      </c>
      <c r="O2124" s="11" t="str">
        <f>HYPERLINK("https://pbs.twimg.com/profile_images/586952830503759872/wqAJlxDf_normal.jpg","View")</f>
        <v>View</v>
      </c>
      <c r="P2124" s="15"/>
    </row>
    <row r="2125">
      <c r="A2125" s="7">
        <v>42425.04461805556</v>
      </c>
      <c r="B2125" s="8" t="str">
        <f>HYPERLINK("https://twitter.com/jeborsel","@jeborsel")</f>
        <v>@jeborsel</v>
      </c>
      <c r="C2125" s="10" t="s">
        <v>10034</v>
      </c>
      <c r="D2125" s="10" t="s">
        <v>10035</v>
      </c>
      <c r="E2125" s="11" t="str">
        <f>HYPERLINK("https://twitter.com/jeborsel/status/702781138188763136","702781138188763136")</f>
        <v>702781138188763136</v>
      </c>
      <c r="F2125" s="12" t="s">
        <v>20</v>
      </c>
      <c r="G2125" s="13">
        <v>91.0</v>
      </c>
      <c r="H2125" s="13">
        <v>381.0</v>
      </c>
      <c r="I2125" s="13">
        <v>0.0</v>
      </c>
      <c r="J2125" s="13">
        <v>1.0</v>
      </c>
      <c r="K2125" s="12" t="s">
        <v>21</v>
      </c>
      <c r="L2125" s="7">
        <v>42055.03773148148</v>
      </c>
      <c r="M2125" s="14" t="s">
        <v>10036</v>
      </c>
      <c r="N2125" s="14" t="s">
        <v>10037</v>
      </c>
      <c r="O2125" s="11" t="str">
        <f>HYPERLINK("https://pbs.twimg.com/profile_images/572890250758717440/_YeK0l7U_normal.jpeg","View")</f>
        <v>View</v>
      </c>
      <c r="P2125" s="15"/>
    </row>
    <row r="2126">
      <c r="A2126" s="7">
        <v>42425.0483912037</v>
      </c>
      <c r="B2126" s="8" t="str">
        <f>HYPERLINK("https://twitter.com/DataAndDataViz","@DataAndDataViz")</f>
        <v>@DataAndDataViz</v>
      </c>
      <c r="C2126" s="10" t="s">
        <v>5145</v>
      </c>
      <c r="D2126" s="10" t="s">
        <v>9920</v>
      </c>
      <c r="E2126" s="11" t="str">
        <f>HYPERLINK("https://twitter.com/DataAndDataViz/status/702782506093973506","702782506093973506")</f>
        <v>702782506093973506</v>
      </c>
      <c r="F2126" s="12" t="s">
        <v>5146</v>
      </c>
      <c r="G2126" s="13">
        <v>473.0</v>
      </c>
      <c r="H2126" s="13">
        <v>140.0</v>
      </c>
      <c r="I2126" s="13">
        <v>2.0</v>
      </c>
      <c r="J2126" s="13">
        <v>0.0</v>
      </c>
      <c r="K2126" s="12" t="s">
        <v>21</v>
      </c>
      <c r="L2126" s="7">
        <v>41603.30427083334</v>
      </c>
      <c r="M2126" s="16"/>
      <c r="N2126" s="14" t="s">
        <v>5147</v>
      </c>
      <c r="O2126" s="11" t="str">
        <f>HYPERLINK("https://pbs.twimg.com/profile_images/412249095110008832/J_K4--iQ_normal.png","View")</f>
        <v>View</v>
      </c>
      <c r="P2126" s="15"/>
    </row>
    <row r="2127">
      <c r="A2127" s="7">
        <v>42425.05262731481</v>
      </c>
      <c r="B2127" s="8" t="str">
        <f>HYPERLINK("https://twitter.com/HeidiBaya","@HeidiBaya")</f>
        <v>@HeidiBaya</v>
      </c>
      <c r="C2127" s="10" t="s">
        <v>10038</v>
      </c>
      <c r="D2127" s="10" t="s">
        <v>10039</v>
      </c>
      <c r="E2127" s="11" t="str">
        <f>HYPERLINK("https://twitter.com/HeidiBaya/status/702784043826466816","702784043826466816")</f>
        <v>702784043826466816</v>
      </c>
      <c r="F2127" s="12" t="s">
        <v>20</v>
      </c>
      <c r="G2127" s="13">
        <v>39.0</v>
      </c>
      <c r="H2127" s="13">
        <v>74.0</v>
      </c>
      <c r="I2127" s="13">
        <v>2.0</v>
      </c>
      <c r="J2127" s="13">
        <v>1.0</v>
      </c>
      <c r="K2127" s="12" t="s">
        <v>21</v>
      </c>
      <c r="L2127" s="7">
        <v>40989.148368055554</v>
      </c>
      <c r="M2127" s="16"/>
      <c r="N2127" s="14" t="s">
        <v>10040</v>
      </c>
      <c r="O2127" s="11" t="str">
        <f>HYPERLINK("https://pbs.twimg.com/profile_images/618312466934575104/NaFte4jy_normal.jpg","View")</f>
        <v>View</v>
      </c>
      <c r="P2127" s="15"/>
    </row>
    <row r="2128">
      <c r="A2128" s="7">
        <v>42425.053125</v>
      </c>
      <c r="B2128" s="8" t="str">
        <f>HYPERLINK("https://twitter.com/grssnbchr","@grssnbchr")</f>
        <v>@grssnbchr</v>
      </c>
      <c r="C2128" s="10" t="s">
        <v>10041</v>
      </c>
      <c r="D2128" s="10" t="s">
        <v>10042</v>
      </c>
      <c r="E2128" s="11" t="str">
        <f>HYPERLINK("https://twitter.com/grssnbchr/status/702784224991039488","702784224991039488")</f>
        <v>702784224991039488</v>
      </c>
      <c r="F2128" s="12" t="s">
        <v>446</v>
      </c>
      <c r="G2128" s="13">
        <v>1120.0</v>
      </c>
      <c r="H2128" s="13">
        <v>688.0</v>
      </c>
      <c r="I2128" s="13">
        <v>2.0</v>
      </c>
      <c r="J2128" s="13">
        <v>0.0</v>
      </c>
      <c r="K2128" s="12" t="s">
        <v>21</v>
      </c>
      <c r="L2128" s="7">
        <v>40839.474282407406</v>
      </c>
      <c r="M2128" s="14" t="s">
        <v>6341</v>
      </c>
      <c r="N2128" s="14" t="s">
        <v>10043</v>
      </c>
      <c r="O2128" s="11" t="str">
        <f>HYPERLINK("https://pbs.twimg.com/profile_images/495190467550519297/-v5Dqzwc_normal.jpeg","View")</f>
        <v>View</v>
      </c>
      <c r="P2128" s="15"/>
    </row>
    <row r="2129">
      <c r="A2129" s="7">
        <v>42425.05694444444</v>
      </c>
      <c r="B2129" s="8" t="str">
        <f>HYPERLINK("https://twitter.com/MangoTheCat","@MangoTheCat")</f>
        <v>@MangoTheCat</v>
      </c>
      <c r="C2129" s="10" t="s">
        <v>6321</v>
      </c>
      <c r="D2129" s="10" t="s">
        <v>10044</v>
      </c>
      <c r="E2129" s="11" t="str">
        <f>HYPERLINK("https://twitter.com/MangoTheCat/status/702785609081888768","702785609081888768")</f>
        <v>702785609081888768</v>
      </c>
      <c r="F2129" s="12" t="s">
        <v>47</v>
      </c>
      <c r="G2129" s="13">
        <v>2041.0</v>
      </c>
      <c r="H2129" s="13">
        <v>2855.0</v>
      </c>
      <c r="I2129" s="13">
        <v>0.0</v>
      </c>
      <c r="J2129" s="13">
        <v>0.0</v>
      </c>
      <c r="K2129" s="12" t="s">
        <v>21</v>
      </c>
      <c r="L2129" s="7">
        <v>39854.3178587963</v>
      </c>
      <c r="M2129" s="14" t="s">
        <v>6323</v>
      </c>
      <c r="N2129" s="14" t="s">
        <v>6324</v>
      </c>
      <c r="O2129" s="11" t="str">
        <f>HYPERLINK("https://pbs.twimg.com/profile_images/641183991077445633/V7VcBpJI_normal.png","View")</f>
        <v>View</v>
      </c>
      <c r="P2129" s="15"/>
    </row>
    <row r="2130">
      <c r="A2130" s="7">
        <v>42425.05710648149</v>
      </c>
      <c r="B2130" s="8" t="str">
        <f>HYPERLINK("https://twitter.com/ilapros","@ilapros")</f>
        <v>@ilapros</v>
      </c>
      <c r="C2130" s="10" t="s">
        <v>10045</v>
      </c>
      <c r="D2130" s="10" t="s">
        <v>9813</v>
      </c>
      <c r="E2130" s="11" t="str">
        <f>HYPERLINK("https://twitter.com/ilapros/status/702785665998659584","702785665998659584")</f>
        <v>702785665998659584</v>
      </c>
      <c r="F2130" s="12" t="s">
        <v>20</v>
      </c>
      <c r="G2130" s="13">
        <v>186.0</v>
      </c>
      <c r="H2130" s="13">
        <v>396.0</v>
      </c>
      <c r="I2130" s="13">
        <v>10.0</v>
      </c>
      <c r="J2130" s="13">
        <v>0.0</v>
      </c>
      <c r="K2130" s="12" t="s">
        <v>21</v>
      </c>
      <c r="L2130" s="7">
        <v>41765.62043981481</v>
      </c>
      <c r="M2130" s="14" t="s">
        <v>10046</v>
      </c>
      <c r="N2130" s="14" t="s">
        <v>10047</v>
      </c>
      <c r="O2130" s="11" t="str">
        <f>HYPERLINK("https://pbs.twimg.com/profile_images/524865213846155264/mHlzoYhn_normal.jpeg","View")</f>
        <v>View</v>
      </c>
      <c r="P2130" s="15"/>
    </row>
    <row r="2131">
      <c r="A2131" s="7">
        <v>42425.05917824074</v>
      </c>
      <c r="B2131" s="8" t="str">
        <f>HYPERLINK("https://twitter.com/mathz_aragao","@mathz_aragao")</f>
        <v>@mathz_aragao</v>
      </c>
      <c r="C2131" s="10" t="s">
        <v>9566</v>
      </c>
      <c r="D2131" s="10" t="s">
        <v>9900</v>
      </c>
      <c r="E2131" s="11" t="str">
        <f>HYPERLINK("https://twitter.com/mathz_aragao/status/702786416204488705","702786416204488705")</f>
        <v>702786416204488705</v>
      </c>
      <c r="F2131" s="12" t="s">
        <v>52</v>
      </c>
      <c r="G2131" s="13">
        <v>57.0</v>
      </c>
      <c r="H2131" s="13">
        <v>109.0</v>
      </c>
      <c r="I2131" s="13">
        <v>25.0</v>
      </c>
      <c r="J2131" s="13">
        <v>0.0</v>
      </c>
      <c r="K2131" s="12" t="s">
        <v>21</v>
      </c>
      <c r="L2131" s="7">
        <v>40493.68712962963</v>
      </c>
      <c r="M2131" s="14" t="s">
        <v>1386</v>
      </c>
      <c r="N2131" s="14" t="s">
        <v>9567</v>
      </c>
      <c r="O2131" s="11" t="str">
        <f>HYPERLINK("https://pbs.twimg.com/profile_images/3425614549/e33550c5911ecf735e54b37550ee6903_normal.jpeg","View")</f>
        <v>View</v>
      </c>
      <c r="P2131" s="15"/>
    </row>
    <row r="2132">
      <c r="A2132" s="7">
        <v>42425.06318287037</v>
      </c>
      <c r="B2132" s="8" t="str">
        <f>HYPERLINK("https://twitter.com/takeshou","@takeshou")</f>
        <v>@takeshou</v>
      </c>
      <c r="C2132" s="10" t="s">
        <v>10048</v>
      </c>
      <c r="D2132" s="10" t="s">
        <v>10049</v>
      </c>
      <c r="E2132" s="11" t="str">
        <f>HYPERLINK("https://twitter.com/takeshou/status/702787866737250305","702787866737250305")</f>
        <v>702787866737250305</v>
      </c>
      <c r="F2132" s="12" t="s">
        <v>20</v>
      </c>
      <c r="G2132" s="13">
        <v>323.0</v>
      </c>
      <c r="H2132" s="13">
        <v>672.0</v>
      </c>
      <c r="I2132" s="13">
        <v>36.0</v>
      </c>
      <c r="J2132" s="13">
        <v>0.0</v>
      </c>
      <c r="K2132" s="12" t="s">
        <v>21</v>
      </c>
      <c r="L2132" s="7">
        <v>39558.999444444446</v>
      </c>
      <c r="M2132" s="14" t="s">
        <v>10050</v>
      </c>
      <c r="N2132" s="14" t="s">
        <v>10051</v>
      </c>
      <c r="O2132" s="11" t="str">
        <f>HYPERLINK("https://pbs.twimg.com/profile_images/53084880/ultra_normal.jpg","View")</f>
        <v>View</v>
      </c>
      <c r="P2132" s="15"/>
    </row>
    <row r="2133">
      <c r="A2133" s="7">
        <v>42425.06326388889</v>
      </c>
      <c r="B2133" s="8" t="str">
        <f>HYPERLINK("https://twitter.com/yannabraham","@yannabraham")</f>
        <v>@yannabraham</v>
      </c>
      <c r="C2133" s="10" t="s">
        <v>10052</v>
      </c>
      <c r="D2133" s="10" t="s">
        <v>10053</v>
      </c>
      <c r="E2133" s="11" t="str">
        <f>HYPERLINK("https://twitter.com/yannabraham/status/702787895128690688","702787895128690688")</f>
        <v>702787895128690688</v>
      </c>
      <c r="F2133" s="12" t="s">
        <v>124</v>
      </c>
      <c r="G2133" s="13">
        <v>544.0</v>
      </c>
      <c r="H2133" s="13">
        <v>383.0</v>
      </c>
      <c r="I2133" s="13">
        <v>1.0</v>
      </c>
      <c r="J2133" s="13">
        <v>0.0</v>
      </c>
      <c r="K2133" s="12" t="s">
        <v>21</v>
      </c>
      <c r="L2133" s="7">
        <v>39585.56896990741</v>
      </c>
      <c r="M2133" s="14" t="s">
        <v>3939</v>
      </c>
      <c r="N2133" s="14" t="s">
        <v>10054</v>
      </c>
      <c r="O2133" s="11" t="str">
        <f>HYPERLINK("https://pbs.twimg.com/profile_images/54359750/spaceman_spiff_2_normal.jpg","View")</f>
        <v>View</v>
      </c>
      <c r="P2133" s="15"/>
    </row>
    <row r="2134">
      <c r="A2134" s="7">
        <v>42425.06390046296</v>
      </c>
      <c r="B2134" s="8" t="str">
        <f>HYPERLINK("https://twitter.com/MangoTheCat","@MangoTheCat")</f>
        <v>@MangoTheCat</v>
      </c>
      <c r="C2134" s="10" t="s">
        <v>6321</v>
      </c>
      <c r="D2134" s="10" t="s">
        <v>10055</v>
      </c>
      <c r="E2134" s="11" t="str">
        <f>HYPERLINK("https://twitter.com/MangoTheCat/status/702788127568502784","702788127568502784")</f>
        <v>702788127568502784</v>
      </c>
      <c r="F2134" s="12" t="s">
        <v>47</v>
      </c>
      <c r="G2134" s="13">
        <v>2041.0</v>
      </c>
      <c r="H2134" s="13">
        <v>2855.0</v>
      </c>
      <c r="I2134" s="13">
        <v>1.0</v>
      </c>
      <c r="J2134" s="13">
        <v>0.0</v>
      </c>
      <c r="K2134" s="12" t="s">
        <v>21</v>
      </c>
      <c r="L2134" s="7">
        <v>39854.3178587963</v>
      </c>
      <c r="M2134" s="14" t="s">
        <v>6323</v>
      </c>
      <c r="N2134" s="14" t="s">
        <v>6324</v>
      </c>
      <c r="O2134" s="11" t="str">
        <f>HYPERLINK("https://pbs.twimg.com/profile_images/641183991077445633/V7VcBpJI_normal.png","View")</f>
        <v>View</v>
      </c>
      <c r="P2134" s="15"/>
    </row>
    <row r="2135">
      <c r="A2135" s="7">
        <v>42425.06670138889</v>
      </c>
      <c r="B2135" s="8" t="str">
        <f>HYPERLINK("https://twitter.com/earlconf","@earlconf")</f>
        <v>@earlconf</v>
      </c>
      <c r="C2135" s="10" t="s">
        <v>7100</v>
      </c>
      <c r="D2135" s="10" t="s">
        <v>10056</v>
      </c>
      <c r="E2135" s="11" t="str">
        <f>HYPERLINK("https://twitter.com/earlconf/status/702789141369483264","702789141369483264")</f>
        <v>702789141369483264</v>
      </c>
      <c r="F2135" s="12" t="s">
        <v>47</v>
      </c>
      <c r="G2135" s="13">
        <v>1081.0</v>
      </c>
      <c r="H2135" s="13">
        <v>2351.0</v>
      </c>
      <c r="I2135" s="13">
        <v>0.0</v>
      </c>
      <c r="J2135" s="13">
        <v>1.0</v>
      </c>
      <c r="K2135" s="12" t="s">
        <v>21</v>
      </c>
      <c r="L2135" s="7">
        <v>41677.49930555555</v>
      </c>
      <c r="M2135" s="14" t="s">
        <v>7102</v>
      </c>
      <c r="N2135" s="14" t="s">
        <v>7103</v>
      </c>
      <c r="O2135" s="11" t="str">
        <f>HYPERLINK("https://pbs.twimg.com/profile_images/432298122203512833/YDXfWlI__normal.png","View")</f>
        <v>View</v>
      </c>
      <c r="P2135" s="15"/>
    </row>
    <row r="2136">
      <c r="A2136" s="7">
        <v>42425.06701388889</v>
      </c>
      <c r="B2136" s="8" t="str">
        <f>HYPERLINK("https://twitter.com/DataAnalyticss","@DataAnalyticss")</f>
        <v>@DataAnalyticss</v>
      </c>
      <c r="C2136" s="10" t="s">
        <v>2467</v>
      </c>
      <c r="D2136" s="10" t="s">
        <v>10057</v>
      </c>
      <c r="E2136" s="11" t="str">
        <f>HYPERLINK("https://twitter.com/DataAnalyticss/status/702789257866452992","702789257866452992")</f>
        <v>702789257866452992</v>
      </c>
      <c r="F2136" s="12" t="s">
        <v>38</v>
      </c>
      <c r="G2136" s="13">
        <v>718.0</v>
      </c>
      <c r="H2136" s="13">
        <v>456.0</v>
      </c>
      <c r="I2136" s="13">
        <v>1.0</v>
      </c>
      <c r="J2136" s="13">
        <v>0.0</v>
      </c>
      <c r="K2136" s="12" t="s">
        <v>21</v>
      </c>
      <c r="L2136" s="7">
        <v>41953.30762731482</v>
      </c>
      <c r="M2136" s="16"/>
      <c r="N2136" s="16"/>
      <c r="O2136" s="11" t="str">
        <f>HYPERLINK("https://pbs.twimg.com/profile_images/532798437897412608/flHdPUCx_normal.png","View")</f>
        <v>View</v>
      </c>
      <c r="P2136" s="15"/>
    </row>
    <row r="2137">
      <c r="A2137" s="7">
        <v>42425.06778935185</v>
      </c>
      <c r="B2137" s="8" t="str">
        <f>HYPERLINK("https://twitter.com/Jemus42","@Jemus42")</f>
        <v>@Jemus42</v>
      </c>
      <c r="C2137" s="10" t="s">
        <v>7905</v>
      </c>
      <c r="D2137" s="10" t="s">
        <v>10058</v>
      </c>
      <c r="E2137" s="11" t="str">
        <f>HYPERLINK("https://twitter.com/Jemus42/status/702789536959610880","702789536959610880")</f>
        <v>702789536959610880</v>
      </c>
      <c r="F2137" s="12" t="s">
        <v>240</v>
      </c>
      <c r="G2137" s="13">
        <v>589.0</v>
      </c>
      <c r="H2137" s="13">
        <v>549.0</v>
      </c>
      <c r="I2137" s="13">
        <v>0.0</v>
      </c>
      <c r="J2137" s="13">
        <v>0.0</v>
      </c>
      <c r="K2137" s="12" t="s">
        <v>21</v>
      </c>
      <c r="L2137" s="7">
        <v>39988.36329861111</v>
      </c>
      <c r="M2137" s="16"/>
      <c r="N2137" s="14" t="s">
        <v>7907</v>
      </c>
      <c r="O2137" s="11" t="str">
        <f>HYPERLINK("https://pbs.twimg.com/profile_images/2442155420/13fr1e3on4dzb9fn7i48_normal.jpeg","View")</f>
        <v>View</v>
      </c>
      <c r="P2137" s="15"/>
    </row>
    <row r="2138">
      <c r="A2138" s="7">
        <v>42425.06820601852</v>
      </c>
      <c r="B2138" s="8" t="str">
        <f>HYPERLINK("https://twitter.com/SteffLocke","@SteffLocke")</f>
        <v>@SteffLocke</v>
      </c>
      <c r="C2138" s="10" t="s">
        <v>9035</v>
      </c>
      <c r="D2138" s="10" t="s">
        <v>10059</v>
      </c>
      <c r="E2138" s="11" t="str">
        <f>HYPERLINK("https://twitter.com/SteffLocke/status/702789689506471936","702789689506471936")</f>
        <v>702789689506471936</v>
      </c>
      <c r="F2138" s="12" t="s">
        <v>20</v>
      </c>
      <c r="G2138" s="13">
        <v>951.0</v>
      </c>
      <c r="H2138" s="13">
        <v>700.0</v>
      </c>
      <c r="I2138" s="13">
        <v>0.0</v>
      </c>
      <c r="J2138" s="13">
        <v>0.0</v>
      </c>
      <c r="K2138" s="12" t="s">
        <v>21</v>
      </c>
      <c r="L2138" s="7">
        <v>41405.37332175926</v>
      </c>
      <c r="M2138" s="14" t="s">
        <v>9037</v>
      </c>
      <c r="N2138" s="14" t="s">
        <v>9038</v>
      </c>
      <c r="O2138" s="11" t="str">
        <f>HYPERLINK("https://pbs.twimg.com/profile_images/549872383104790528/GzfOw30g_normal.jpeg","View")</f>
        <v>View</v>
      </c>
      <c r="P2138" s="15"/>
    </row>
    <row r="2139">
      <c r="A2139" s="7">
        <v>42425.07015046296</v>
      </c>
      <c r="B2139" s="8" t="str">
        <f>HYPERLINK("https://twitter.com/earlconf","@earlconf")</f>
        <v>@earlconf</v>
      </c>
      <c r="C2139" s="10" t="s">
        <v>7100</v>
      </c>
      <c r="D2139" s="10" t="s">
        <v>10060</v>
      </c>
      <c r="E2139" s="11" t="str">
        <f>HYPERLINK("https://twitter.com/earlconf/status/702790392484200448","702790392484200448")</f>
        <v>702790392484200448</v>
      </c>
      <c r="F2139" s="12" t="s">
        <v>47</v>
      </c>
      <c r="G2139" s="13">
        <v>1081.0</v>
      </c>
      <c r="H2139" s="13">
        <v>2351.0</v>
      </c>
      <c r="I2139" s="13">
        <v>0.0</v>
      </c>
      <c r="J2139" s="13">
        <v>0.0</v>
      </c>
      <c r="K2139" s="12" t="s">
        <v>21</v>
      </c>
      <c r="L2139" s="7">
        <v>41677.49930555555</v>
      </c>
      <c r="M2139" s="14" t="s">
        <v>7102</v>
      </c>
      <c r="N2139" s="14" t="s">
        <v>7103</v>
      </c>
      <c r="O2139" s="11" t="str">
        <f>HYPERLINK("https://pbs.twimg.com/profile_images/432298122203512833/YDXfWlI__normal.png","View")</f>
        <v>View</v>
      </c>
      <c r="P2139" s="15"/>
    </row>
    <row r="2140">
      <c r="A2140" s="7">
        <v>42425.07152777778</v>
      </c>
      <c r="B2140" s="8" t="str">
        <f>HYPERLINK("https://twitter.com/MangoPharma","@MangoPharma")</f>
        <v>@MangoPharma</v>
      </c>
      <c r="C2140" s="10" t="s">
        <v>8443</v>
      </c>
      <c r="D2140" s="10" t="s">
        <v>10061</v>
      </c>
      <c r="E2140" s="11" t="str">
        <f>HYPERLINK("https://twitter.com/MangoPharma/status/702790893393174529","702790893393174529")</f>
        <v>702790893393174529</v>
      </c>
      <c r="F2140" s="12" t="s">
        <v>47</v>
      </c>
      <c r="G2140" s="13">
        <v>19.0</v>
      </c>
      <c r="H2140" s="13">
        <v>149.0</v>
      </c>
      <c r="I2140" s="13">
        <v>0.0</v>
      </c>
      <c r="J2140" s="13">
        <v>0.0</v>
      </c>
      <c r="K2140" s="12" t="s">
        <v>21</v>
      </c>
      <c r="L2140" s="7">
        <v>42421.48475694444</v>
      </c>
      <c r="M2140" s="14" t="s">
        <v>7439</v>
      </c>
      <c r="N2140" s="14" t="s">
        <v>8444</v>
      </c>
      <c r="O2140" s="11" t="str">
        <f>HYPERLINK("https://pbs.twimg.com/profile_images/702168871437017090/GncGcQIU_normal.png","View")</f>
        <v>View</v>
      </c>
      <c r="P2140" s="15"/>
    </row>
    <row r="2141">
      <c r="A2141" s="7">
        <v>42425.071608796294</v>
      </c>
      <c r="B2141" s="8" t="str">
        <f>HYPERLINK("https://twitter.com/ngamita","@ngamita")</f>
        <v>@ngamita</v>
      </c>
      <c r="C2141" s="10" t="s">
        <v>7560</v>
      </c>
      <c r="D2141" s="10" t="s">
        <v>10062</v>
      </c>
      <c r="E2141" s="11" t="str">
        <f>HYPERLINK("https://twitter.com/ngamita/status/702790919234428928","702790919234428928")</f>
        <v>702790919234428928</v>
      </c>
      <c r="F2141" s="12" t="s">
        <v>20</v>
      </c>
      <c r="G2141" s="13">
        <v>1298.0</v>
      </c>
      <c r="H2141" s="13">
        <v>1239.0</v>
      </c>
      <c r="I2141" s="13">
        <v>1.0</v>
      </c>
      <c r="J2141" s="13">
        <v>2.0</v>
      </c>
      <c r="K2141" s="12" t="s">
        <v>21</v>
      </c>
      <c r="L2141" s="7">
        <v>40066.2893287037</v>
      </c>
      <c r="M2141" s="14" t="s">
        <v>7562</v>
      </c>
      <c r="N2141" s="14" t="s">
        <v>7563</v>
      </c>
      <c r="O2141" s="11" t="str">
        <f>HYPERLINK("https://pbs.twimg.com/profile_images/538251729419001857/kIvht2bF_normal.jpeg","View")</f>
        <v>View</v>
      </c>
      <c r="P2141" s="15"/>
    </row>
    <row r="2142">
      <c r="A2142" s="7">
        <v>42425.07530092592</v>
      </c>
      <c r="B2142" s="8" t="str">
        <f>HYPERLINK("https://twitter.com/desertnaut","@desertnaut")</f>
        <v>@desertnaut</v>
      </c>
      <c r="C2142" s="10" t="s">
        <v>9995</v>
      </c>
      <c r="D2142" s="10" t="s">
        <v>10063</v>
      </c>
      <c r="E2142" s="11" t="str">
        <f>HYPERLINK("https://twitter.com/desertnaut/status/702792258685374465","702792258685374465")</f>
        <v>702792258685374465</v>
      </c>
      <c r="F2142" s="12" t="s">
        <v>20</v>
      </c>
      <c r="G2142" s="13">
        <v>659.0</v>
      </c>
      <c r="H2142" s="13">
        <v>1530.0</v>
      </c>
      <c r="I2142" s="13">
        <v>0.0</v>
      </c>
      <c r="J2142" s="13">
        <v>0.0</v>
      </c>
      <c r="K2142" s="12" t="s">
        <v>21</v>
      </c>
      <c r="L2142" s="7">
        <v>40904.13864583333</v>
      </c>
      <c r="M2142" s="14" t="s">
        <v>4764</v>
      </c>
      <c r="N2142" s="14" t="s">
        <v>9996</v>
      </c>
      <c r="O2142" s="11" t="str">
        <f>HYPERLINK("https://pbs.twimg.com/profile_images/3515263408/4dcca0278120c97c765cd0a80806d091_normal.jpeg","View")</f>
        <v>View</v>
      </c>
      <c r="P2142" s="15"/>
    </row>
    <row r="2143">
      <c r="A2143" s="7">
        <v>42425.07821759259</v>
      </c>
      <c r="B2143" s="8" t="str">
        <f>HYPERLINK("https://twitter.com/johannux","@johannux")</f>
        <v>@johannux</v>
      </c>
      <c r="C2143" s="10" t="s">
        <v>10064</v>
      </c>
      <c r="D2143" s="10" t="s">
        <v>6997</v>
      </c>
      <c r="E2143" s="11" t="str">
        <f>HYPERLINK("https://twitter.com/johannux/status/702793317168222208","702793317168222208")</f>
        <v>702793317168222208</v>
      </c>
      <c r="F2143" s="12" t="s">
        <v>152</v>
      </c>
      <c r="G2143" s="13">
        <v>976.0</v>
      </c>
      <c r="H2143" s="13">
        <v>2068.0</v>
      </c>
      <c r="I2143" s="13">
        <v>18.0</v>
      </c>
      <c r="J2143" s="13">
        <v>0.0</v>
      </c>
      <c r="K2143" s="12" t="s">
        <v>21</v>
      </c>
      <c r="L2143" s="7">
        <v>40380.73841435185</v>
      </c>
      <c r="M2143" s="14" t="s">
        <v>7892</v>
      </c>
      <c r="N2143" s="14" t="s">
        <v>10065</v>
      </c>
      <c r="O2143" s="11" t="str">
        <f>HYPERLINK("https://pbs.twimg.com/profile_images/1816525479/New_Picture_normal.jpg","View")</f>
        <v>View</v>
      </c>
      <c r="P2143" s="15"/>
    </row>
    <row r="2144">
      <c r="A2144" s="7">
        <v>42425.07980324074</v>
      </c>
      <c r="B2144" s="8" t="str">
        <f>HYPERLINK("https://twitter.com/rowlandm","@rowlandm")</f>
        <v>@rowlandm</v>
      </c>
      <c r="C2144" s="10" t="s">
        <v>10066</v>
      </c>
      <c r="D2144" s="10" t="s">
        <v>7151</v>
      </c>
      <c r="E2144" s="11" t="str">
        <f>HYPERLINK("https://twitter.com/rowlandm/status/702793889044832260","702793889044832260")</f>
        <v>702793889044832260</v>
      </c>
      <c r="F2144" s="12" t="s">
        <v>152</v>
      </c>
      <c r="G2144" s="13">
        <v>188.0</v>
      </c>
      <c r="H2144" s="13">
        <v>83.0</v>
      </c>
      <c r="I2144" s="13">
        <v>11.0</v>
      </c>
      <c r="J2144" s="13">
        <v>0.0</v>
      </c>
      <c r="K2144" s="12" t="s">
        <v>21</v>
      </c>
      <c r="L2144" s="7">
        <v>39254.63328703704</v>
      </c>
      <c r="M2144" s="14" t="s">
        <v>10067</v>
      </c>
      <c r="N2144" s="14" t="s">
        <v>10068</v>
      </c>
      <c r="O2144" s="11" t="str">
        <f>HYPERLINK("https://pbs.twimg.com/profile_images/1736419404/SAM_7610_normal.JPG","View")</f>
        <v>View</v>
      </c>
      <c r="P2144" s="15"/>
    </row>
    <row r="2145">
      <c r="A2145" s="7">
        <v>42425.08</v>
      </c>
      <c r="B2145" s="8" t="str">
        <f>HYPERLINK("https://twitter.com/Rbloggers","@Rbloggers")</f>
        <v>@Rbloggers</v>
      </c>
      <c r="C2145" s="10" t="s">
        <v>6221</v>
      </c>
      <c r="D2145" s="10" t="s">
        <v>10069</v>
      </c>
      <c r="E2145" s="11" t="str">
        <f>HYPERLINK("https://twitter.com/Rbloggers/status/702793962151505920","702793962151505920")</f>
        <v>702793962151505920</v>
      </c>
      <c r="F2145" s="17" t="s">
        <v>6223</v>
      </c>
      <c r="G2145" s="13">
        <v>28572.0</v>
      </c>
      <c r="H2145" s="13">
        <v>36.0</v>
      </c>
      <c r="I2145" s="13">
        <v>13.0</v>
      </c>
      <c r="J2145" s="13">
        <v>19.0</v>
      </c>
      <c r="K2145" s="12" t="s">
        <v>21</v>
      </c>
      <c r="L2145" s="7">
        <v>40314.510601851856</v>
      </c>
      <c r="M2145" s="16"/>
      <c r="N2145" s="14" t="s">
        <v>6224</v>
      </c>
      <c r="O2145" s="11" t="str">
        <f>HYPERLINK("https://pbs.twimg.com/profile_images/502185985786916864/gkdFh-q7_normal.png","View")</f>
        <v>View</v>
      </c>
      <c r="P2145" s="15"/>
    </row>
    <row r="2146">
      <c r="A2146" s="7">
        <v>42425.08001157407</v>
      </c>
      <c r="B2146" s="8" t="str">
        <f>HYPERLINK("https://twitter.com/itknowingness","@itknowingness")</f>
        <v>@itknowingness</v>
      </c>
      <c r="C2146" s="10" t="s">
        <v>3465</v>
      </c>
      <c r="D2146" s="10" t="s">
        <v>10070</v>
      </c>
      <c r="E2146" s="11" t="str">
        <f>HYPERLINK("https://twitter.com/itknowingness/status/702793964655656960","702793964655656960")</f>
        <v>702793964655656960</v>
      </c>
      <c r="F2146" s="12" t="s">
        <v>3467</v>
      </c>
      <c r="G2146" s="13">
        <v>6904.0</v>
      </c>
      <c r="H2146" s="13">
        <v>3191.0</v>
      </c>
      <c r="I2146" s="13">
        <v>13.0</v>
      </c>
      <c r="J2146" s="13">
        <v>0.0</v>
      </c>
      <c r="K2146" s="12" t="s">
        <v>21</v>
      </c>
      <c r="L2146" s="7">
        <v>40490.39297453704</v>
      </c>
      <c r="M2146" s="14" t="s">
        <v>269</v>
      </c>
      <c r="N2146" s="14" t="s">
        <v>3468</v>
      </c>
      <c r="O2146" s="11" t="str">
        <f>HYPERLINK("https://pbs.twimg.com/profile_images/1164716874/favicon-triada-azul_normal.png","View")</f>
        <v>View</v>
      </c>
      <c r="P2146" s="15"/>
    </row>
    <row r="2147">
      <c r="A2147" s="7">
        <v>42425.08300925926</v>
      </c>
      <c r="B2147" s="8" t="str">
        <f>HYPERLINK("https://twitter.com/openscience","@openscience")</f>
        <v>@openscience</v>
      </c>
      <c r="C2147" s="10" t="s">
        <v>10071</v>
      </c>
      <c r="D2147" s="10" t="s">
        <v>10072</v>
      </c>
      <c r="E2147" s="11" t="str">
        <f>HYPERLINK("https://twitter.com/openscience/status/702795054373597184","702795054373597184")</f>
        <v>702795054373597184</v>
      </c>
      <c r="F2147" s="12" t="s">
        <v>294</v>
      </c>
      <c r="G2147" s="13">
        <v>43659.0</v>
      </c>
      <c r="H2147" s="13">
        <v>12975.0</v>
      </c>
      <c r="I2147" s="13">
        <v>1.0</v>
      </c>
      <c r="J2147" s="13">
        <v>0.0</v>
      </c>
      <c r="K2147" s="12" t="s">
        <v>21</v>
      </c>
      <c r="L2147" s="7">
        <v>39997.77743055556</v>
      </c>
      <c r="M2147" s="14" t="s">
        <v>10073</v>
      </c>
      <c r="N2147" s="14" t="s">
        <v>10074</v>
      </c>
      <c r="O2147" s="11" t="str">
        <f>HYPERLINK("https://pbs.twimg.com/profile_images/459933268746317825/wrEyqxhT_normal.png","View")</f>
        <v>View</v>
      </c>
      <c r="P2147" s="15"/>
    </row>
    <row r="2148">
      <c r="A2148" s="7">
        <v>42425.08405092593</v>
      </c>
      <c r="B2148" s="8" t="str">
        <f>HYPERLINK("https://twitter.com/earlconf","@earlconf")</f>
        <v>@earlconf</v>
      </c>
      <c r="C2148" s="10" t="s">
        <v>7100</v>
      </c>
      <c r="D2148" s="10" t="s">
        <v>10075</v>
      </c>
      <c r="E2148" s="11" t="str">
        <f>HYPERLINK("https://twitter.com/earlconf/status/702795428350152704","702795428350152704")</f>
        <v>702795428350152704</v>
      </c>
      <c r="F2148" s="12" t="s">
        <v>47</v>
      </c>
      <c r="G2148" s="13">
        <v>1081.0</v>
      </c>
      <c r="H2148" s="13">
        <v>2351.0</v>
      </c>
      <c r="I2148" s="13">
        <v>0.0</v>
      </c>
      <c r="J2148" s="13">
        <v>1.0</v>
      </c>
      <c r="K2148" s="12" t="s">
        <v>21</v>
      </c>
      <c r="L2148" s="7">
        <v>41677.49930555555</v>
      </c>
      <c r="M2148" s="14" t="s">
        <v>7102</v>
      </c>
      <c r="N2148" s="14" t="s">
        <v>7103</v>
      </c>
      <c r="O2148" s="11" t="str">
        <f>HYPERLINK("https://pbs.twimg.com/profile_images/432298122203512833/YDXfWlI__normal.png","View")</f>
        <v>View</v>
      </c>
      <c r="P2148" s="15"/>
    </row>
    <row r="2149">
      <c r="A2149" s="7">
        <v>42425.08447916667</v>
      </c>
      <c r="B2149" s="8" t="str">
        <f>HYPERLINK("https://twitter.com/renato_umeton","@renato_umeton")</f>
        <v>@renato_umeton</v>
      </c>
      <c r="C2149" s="10" t="s">
        <v>1659</v>
      </c>
      <c r="D2149" s="10" t="s">
        <v>10070</v>
      </c>
      <c r="E2149" s="11" t="str">
        <f>HYPERLINK("https://twitter.com/renato_umeton/status/702795584462327808","702795584462327808")</f>
        <v>702795584462327808</v>
      </c>
      <c r="F2149" s="12" t="s">
        <v>38</v>
      </c>
      <c r="G2149" s="13">
        <v>70.0</v>
      </c>
      <c r="H2149" s="13">
        <v>79.0</v>
      </c>
      <c r="I2149" s="13">
        <v>13.0</v>
      </c>
      <c r="J2149" s="13">
        <v>0.0</v>
      </c>
      <c r="K2149" s="12" t="s">
        <v>21</v>
      </c>
      <c r="L2149" s="7">
        <v>39918.052083333336</v>
      </c>
      <c r="M2149" s="14" t="s">
        <v>1660</v>
      </c>
      <c r="N2149" s="14" t="s">
        <v>1661</v>
      </c>
      <c r="O2149" s="11" t="str">
        <f>HYPERLINK("https://pbs.twimg.com/profile_images/701553083537604608/nr8b38eG_normal.jpg","View")</f>
        <v>View</v>
      </c>
      <c r="P2149" s="15"/>
    </row>
    <row r="2150">
      <c r="A2150" s="7">
        <v>42425.08619212963</v>
      </c>
      <c r="B2150" s="8" t="str">
        <f>HYPERLINK("https://twitter.com/DrAndyPardoe","@DrAndyPardoe")</f>
        <v>@DrAndyPardoe</v>
      </c>
      <c r="C2150" s="10" t="s">
        <v>3351</v>
      </c>
      <c r="D2150" s="10" t="s">
        <v>10070</v>
      </c>
      <c r="E2150" s="11" t="str">
        <f>HYPERLINK("https://twitter.com/DrAndyPardoe/status/702796206951505920","702796206951505920")</f>
        <v>702796206951505920</v>
      </c>
      <c r="F2150" s="12" t="s">
        <v>38</v>
      </c>
      <c r="G2150" s="13">
        <v>3759.0</v>
      </c>
      <c r="H2150" s="13">
        <v>2473.0</v>
      </c>
      <c r="I2150" s="13">
        <v>13.0</v>
      </c>
      <c r="J2150" s="13">
        <v>0.0</v>
      </c>
      <c r="K2150" s="12" t="s">
        <v>21</v>
      </c>
      <c r="L2150" s="7">
        <v>41826.237280092595</v>
      </c>
      <c r="M2150" s="14" t="s">
        <v>1093</v>
      </c>
      <c r="N2150" s="14" t="s">
        <v>3352</v>
      </c>
      <c r="O2150" s="11" t="str">
        <f>HYPERLINK("https://pbs.twimg.com/profile_images/485766134268837889/t4PLhSfT_normal.jpeg","View")</f>
        <v>View</v>
      </c>
      <c r="P2150" s="15"/>
    </row>
    <row r="2151">
      <c r="A2151" s="7">
        <v>42425.08864583333</v>
      </c>
      <c r="B2151" s="8" t="str">
        <f>HYPERLINK("https://twitter.com/ApenasSandokhan","@ApenasSandokhan")</f>
        <v>@ApenasSandokhan</v>
      </c>
      <c r="C2151" s="10" t="s">
        <v>10076</v>
      </c>
      <c r="D2151" s="10" t="s">
        <v>8230</v>
      </c>
      <c r="E2151" s="11" t="str">
        <f>HYPERLINK("https://twitter.com/ApenasSandokhan/status/702797093656793088","702797093656793088")</f>
        <v>702797093656793088</v>
      </c>
      <c r="F2151" s="12" t="s">
        <v>152</v>
      </c>
      <c r="G2151" s="13">
        <v>307.0</v>
      </c>
      <c r="H2151" s="13">
        <v>1117.0</v>
      </c>
      <c r="I2151" s="13">
        <v>10.0</v>
      </c>
      <c r="J2151" s="13">
        <v>0.0</v>
      </c>
      <c r="K2151" s="12" t="s">
        <v>21</v>
      </c>
      <c r="L2151" s="7">
        <v>39839.22256944444</v>
      </c>
      <c r="M2151" s="14" t="s">
        <v>82</v>
      </c>
      <c r="N2151" s="14" t="s">
        <v>10077</v>
      </c>
      <c r="O2151" s="11" t="str">
        <f>HYPERLINK("https://pbs.twimg.com/profile_images/615706371481333760/m4H374S6_normal.jpg","View")</f>
        <v>View</v>
      </c>
      <c r="P2151" s="15"/>
    </row>
    <row r="2152">
      <c r="A2152" s="7">
        <v>42425.090787037036</v>
      </c>
      <c r="B2152" s="8" t="str">
        <f>HYPERLINK("https://twitter.com/FrederikAust","@FrederikAust")</f>
        <v>@FrederikAust</v>
      </c>
      <c r="C2152" s="10" t="s">
        <v>9789</v>
      </c>
      <c r="D2152" s="10" t="s">
        <v>10078</v>
      </c>
      <c r="E2152" s="11" t="str">
        <f>HYPERLINK("https://twitter.com/FrederikAust/status/702797872241233920","702797872241233920")</f>
        <v>702797872241233920</v>
      </c>
      <c r="F2152" s="12" t="s">
        <v>20</v>
      </c>
      <c r="G2152" s="13">
        <v>112.0</v>
      </c>
      <c r="H2152" s="13">
        <v>107.0</v>
      </c>
      <c r="I2152" s="13">
        <v>2.0</v>
      </c>
      <c r="J2152" s="13">
        <v>2.0</v>
      </c>
      <c r="K2152" s="12" t="s">
        <v>21</v>
      </c>
      <c r="L2152" s="7">
        <v>41654.02853009259</v>
      </c>
      <c r="M2152" s="14" t="s">
        <v>9790</v>
      </c>
      <c r="N2152" s="14" t="s">
        <v>9791</v>
      </c>
      <c r="O2152" s="11" t="str">
        <f>HYPERLINK("https://pbs.twimg.com/profile_images/530465194451804160/N18Hg1Gl_normal.jpeg","View")</f>
        <v>View</v>
      </c>
      <c r="P2152" s="15"/>
    </row>
    <row r="2153">
      <c r="A2153" s="7">
        <v>42425.09372685185</v>
      </c>
      <c r="B2153" s="8" t="str">
        <f>HYPERLINK("https://twitter.com/Tom_Hardwicke","@Tom_Hardwicke")</f>
        <v>@Tom_Hardwicke</v>
      </c>
      <c r="C2153" s="10" t="s">
        <v>10079</v>
      </c>
      <c r="D2153" s="10" t="s">
        <v>10080</v>
      </c>
      <c r="E2153" s="11" t="str">
        <f>HYPERLINK("https://twitter.com/Tom_Hardwicke/status/702798934981406720","702798934981406720")</f>
        <v>702798934981406720</v>
      </c>
      <c r="F2153" s="12" t="s">
        <v>446</v>
      </c>
      <c r="G2153" s="13">
        <v>298.0</v>
      </c>
      <c r="H2153" s="13">
        <v>184.0</v>
      </c>
      <c r="I2153" s="13">
        <v>2.0</v>
      </c>
      <c r="J2153" s="13">
        <v>0.0</v>
      </c>
      <c r="K2153" s="12" t="s">
        <v>21</v>
      </c>
      <c r="L2153" s="7">
        <v>41338.59570601852</v>
      </c>
      <c r="M2153" s="14" t="s">
        <v>489</v>
      </c>
      <c r="N2153" s="14" t="s">
        <v>10081</v>
      </c>
      <c r="O2153" s="11" t="str">
        <f>HYPERLINK("https://pbs.twimg.com/profile_images/601549552487825408/XOjzKYqp_normal.jpg","View")</f>
        <v>View</v>
      </c>
      <c r="P2153" s="15"/>
    </row>
    <row r="2154">
      <c r="A2154" s="7">
        <v>42425.094768518524</v>
      </c>
      <c r="B2154" s="8" t="str">
        <f>HYPERLINK("https://twitter.com/TierneyNicholas","@TierneyNicholas")</f>
        <v>@TierneyNicholas</v>
      </c>
      <c r="C2154" s="10" t="s">
        <v>6831</v>
      </c>
      <c r="D2154" s="10" t="s">
        <v>10082</v>
      </c>
      <c r="E2154" s="11" t="str">
        <f>HYPERLINK("https://twitter.com/TierneyNicholas/status/702799314230218756","702799314230218756")</f>
        <v>702799314230218756</v>
      </c>
      <c r="F2154" s="12" t="s">
        <v>20</v>
      </c>
      <c r="G2154" s="13">
        <v>47.0</v>
      </c>
      <c r="H2154" s="13">
        <v>75.0</v>
      </c>
      <c r="I2154" s="13">
        <v>1.0</v>
      </c>
      <c r="J2154" s="13">
        <v>1.0</v>
      </c>
      <c r="K2154" s="12" t="s">
        <v>21</v>
      </c>
      <c r="L2154" s="7">
        <v>41525.12138888889</v>
      </c>
      <c r="M2154" s="14" t="s">
        <v>6833</v>
      </c>
      <c r="N2154" s="14" t="s">
        <v>6834</v>
      </c>
      <c r="O2154" s="11" t="str">
        <f>HYPERLINK("https://pbs.twimg.com/profile_images/699501890866794497/SOjcv46W_normal.png","View")</f>
        <v>View</v>
      </c>
      <c r="P2154" s="15"/>
    </row>
    <row r="2155">
      <c r="A2155" s="7">
        <v>42425.094918981486</v>
      </c>
      <c r="B2155" s="8" t="str">
        <f>HYPERLINK("https://twitter.com/UKDSCensus","@UKDSCensus")</f>
        <v>@UKDSCensus</v>
      </c>
      <c r="C2155" s="10" t="s">
        <v>10083</v>
      </c>
      <c r="D2155" s="10" t="s">
        <v>10070</v>
      </c>
      <c r="E2155" s="11" t="str">
        <f>HYPERLINK("https://twitter.com/UKDSCensus/status/702799366747201536","702799366747201536")</f>
        <v>702799366747201536</v>
      </c>
      <c r="F2155" s="12" t="s">
        <v>20</v>
      </c>
      <c r="G2155" s="13">
        <v>681.0</v>
      </c>
      <c r="H2155" s="13">
        <v>944.0</v>
      </c>
      <c r="I2155" s="13">
        <v>13.0</v>
      </c>
      <c r="J2155" s="13">
        <v>0.0</v>
      </c>
      <c r="K2155" s="12" t="s">
        <v>21</v>
      </c>
      <c r="L2155" s="7">
        <v>41921.2280787037</v>
      </c>
      <c r="M2155" s="16"/>
      <c r="N2155" s="14" t="s">
        <v>10084</v>
      </c>
      <c r="O2155" s="11" t="str">
        <f>HYPERLINK("https://pbs.twimg.com/profile_images/520190599341699074/QHztj_dS_normal.png","View")</f>
        <v>View</v>
      </c>
      <c r="P2155" s="15"/>
    </row>
    <row r="2156">
      <c r="A2156" s="7">
        <v>42425.09515046296</v>
      </c>
      <c r="B2156" s="8" t="str">
        <f>HYPERLINK("https://twitter.com/earlconf","@earlconf")</f>
        <v>@earlconf</v>
      </c>
      <c r="C2156" s="10" t="s">
        <v>7100</v>
      </c>
      <c r="D2156" s="10" t="s">
        <v>10085</v>
      </c>
      <c r="E2156" s="11" t="str">
        <f>HYPERLINK("https://twitter.com/earlconf/status/702799450792525824","702799450792525824")</f>
        <v>702799450792525824</v>
      </c>
      <c r="F2156" s="12" t="s">
        <v>47</v>
      </c>
      <c r="G2156" s="13">
        <v>1081.0</v>
      </c>
      <c r="H2156" s="13">
        <v>2351.0</v>
      </c>
      <c r="I2156" s="13">
        <v>0.0</v>
      </c>
      <c r="J2156" s="13">
        <v>0.0</v>
      </c>
      <c r="K2156" s="12" t="s">
        <v>21</v>
      </c>
      <c r="L2156" s="7">
        <v>41677.49930555555</v>
      </c>
      <c r="M2156" s="14" t="s">
        <v>7102</v>
      </c>
      <c r="N2156" s="14" t="s">
        <v>7103</v>
      </c>
      <c r="O2156" s="11" t="str">
        <f>HYPERLINK("https://pbs.twimg.com/profile_images/432298122203512833/YDXfWlI__normal.png","View")</f>
        <v>View</v>
      </c>
      <c r="P2156" s="15"/>
    </row>
    <row r="2157">
      <c r="A2157" s="7">
        <v>42425.095405092594</v>
      </c>
      <c r="B2157" s="8" t="str">
        <f>HYPERLINK("https://twitter.com/rambujo","@rambujo")</f>
        <v>@rambujo</v>
      </c>
      <c r="C2157" s="10" t="s">
        <v>10086</v>
      </c>
      <c r="D2157" s="10" t="s">
        <v>10087</v>
      </c>
      <c r="E2157" s="11" t="str">
        <f>HYPERLINK("https://twitter.com/rambujo/status/702799546049568769","702799546049568769")</f>
        <v>702799546049568769</v>
      </c>
      <c r="F2157" s="12" t="s">
        <v>20</v>
      </c>
      <c r="G2157" s="13">
        <v>111.0</v>
      </c>
      <c r="H2157" s="13">
        <v>652.0</v>
      </c>
      <c r="I2157" s="13">
        <v>17.0</v>
      </c>
      <c r="J2157" s="13">
        <v>0.0</v>
      </c>
      <c r="K2157" s="12" t="s">
        <v>21</v>
      </c>
      <c r="L2157" s="7">
        <v>40402.58033564815</v>
      </c>
      <c r="M2157" s="14" t="s">
        <v>10088</v>
      </c>
      <c r="N2157" s="14" t="s">
        <v>10089</v>
      </c>
      <c r="O2157" s="11" t="str">
        <f>HYPERLINK("https://pbs.twimg.com/profile_images/672334616196444160/Rd5IWzpU_normal.jpg","View")</f>
        <v>View</v>
      </c>
      <c r="P2157" s="15"/>
    </row>
    <row r="2158">
      <c r="A2158" s="7">
        <v>42425.09630787037</v>
      </c>
      <c r="B2158" s="8" t="str">
        <f>HYPERLINK("https://twitter.com/expersso","@expersso")</f>
        <v>@expersso</v>
      </c>
      <c r="C2158" s="10" t="s">
        <v>10090</v>
      </c>
      <c r="D2158" s="10" t="s">
        <v>10091</v>
      </c>
      <c r="E2158" s="11" t="str">
        <f>HYPERLINK("https://twitter.com/expersso/status/702799873238810624","702799873238810624")</f>
        <v>702799873238810624</v>
      </c>
      <c r="F2158" s="12" t="s">
        <v>20</v>
      </c>
      <c r="G2158" s="13">
        <v>45.0</v>
      </c>
      <c r="H2158" s="13">
        <v>173.0</v>
      </c>
      <c r="I2158" s="13">
        <v>0.0</v>
      </c>
      <c r="J2158" s="13">
        <v>1.0</v>
      </c>
      <c r="K2158" s="12" t="s">
        <v>21</v>
      </c>
      <c r="L2158" s="7">
        <v>42010.054027777776</v>
      </c>
      <c r="M2158" s="14" t="s">
        <v>4364</v>
      </c>
      <c r="N2158" s="14" t="s">
        <v>10092</v>
      </c>
      <c r="O2158" s="11" t="str">
        <f>HYPERLINK("https://pbs.twimg.com/profile_images/601809990391865344/xThfMxAT_normal.png","View")</f>
        <v>View</v>
      </c>
      <c r="P2158" s="15"/>
    </row>
    <row r="2159">
      <c r="A2159" s="7">
        <v>42425.108402777776</v>
      </c>
      <c r="B2159" s="8" t="str">
        <f>HYPERLINK("https://twitter.com/homeAIinfo","@homeAIinfo")</f>
        <v>@homeAIinfo</v>
      </c>
      <c r="C2159" s="10" t="s">
        <v>36</v>
      </c>
      <c r="D2159" s="10" t="s">
        <v>10070</v>
      </c>
      <c r="E2159" s="11" t="str">
        <f>HYPERLINK("https://twitter.com/homeAIinfo/status/702804255535710208","702804255535710208")</f>
        <v>702804255535710208</v>
      </c>
      <c r="F2159" s="12" t="s">
        <v>38</v>
      </c>
      <c r="G2159" s="13">
        <v>52868.0</v>
      </c>
      <c r="H2159" s="13">
        <v>1328.0</v>
      </c>
      <c r="I2159" s="13">
        <v>13.0</v>
      </c>
      <c r="J2159" s="13">
        <v>0.0</v>
      </c>
      <c r="K2159" s="12" t="s">
        <v>21</v>
      </c>
      <c r="L2159" s="7">
        <v>42133.34662037037</v>
      </c>
      <c r="M2159" s="14" t="s">
        <v>39</v>
      </c>
      <c r="N2159" s="14" t="s">
        <v>40</v>
      </c>
      <c r="O2159" s="11" t="str">
        <f>HYPERLINK("https://pbs.twimg.com/profile_images/645650110374936580/-oQakt8x_normal.png","View")</f>
        <v>View</v>
      </c>
      <c r="P2159" s="15"/>
    </row>
    <row r="2160">
      <c r="A2160" s="7">
        <v>42425.10903935185</v>
      </c>
      <c r="B2160" s="8" t="str">
        <f>HYPERLINK("https://twitter.com/MangoTheCat","@MangoTheCat")</f>
        <v>@MangoTheCat</v>
      </c>
      <c r="C2160" s="10" t="s">
        <v>6321</v>
      </c>
      <c r="D2160" s="10" t="s">
        <v>10093</v>
      </c>
      <c r="E2160" s="11" t="str">
        <f>HYPERLINK("https://twitter.com/MangoTheCat/status/702804487182770176","702804487182770176")</f>
        <v>702804487182770176</v>
      </c>
      <c r="F2160" s="12" t="s">
        <v>47</v>
      </c>
      <c r="G2160" s="13">
        <v>2041.0</v>
      </c>
      <c r="H2160" s="13">
        <v>2855.0</v>
      </c>
      <c r="I2160" s="13">
        <v>0.0</v>
      </c>
      <c r="J2160" s="13">
        <v>0.0</v>
      </c>
      <c r="K2160" s="12" t="s">
        <v>21</v>
      </c>
      <c r="L2160" s="7">
        <v>39854.3178587963</v>
      </c>
      <c r="M2160" s="14" t="s">
        <v>6323</v>
      </c>
      <c r="N2160" s="14" t="s">
        <v>6324</v>
      </c>
      <c r="O2160" s="11" t="str">
        <f>HYPERLINK("https://pbs.twimg.com/profile_images/641183991077445633/V7VcBpJI_normal.png","View")</f>
        <v>View</v>
      </c>
      <c r="P2160" s="15"/>
    </row>
    <row r="2161">
      <c r="A2161" s="7">
        <v>42425.11057870371</v>
      </c>
      <c r="B2161" s="8" t="str">
        <f>HYPERLINK("https://twitter.com/AUS_2005","@AUS_2005")</f>
        <v>@AUS_2005</v>
      </c>
      <c r="C2161" s="20" t="s">
        <v>10094</v>
      </c>
      <c r="D2161" s="10" t="s">
        <v>10095</v>
      </c>
      <c r="E2161" s="11" t="str">
        <f>HYPERLINK("https://twitter.com/AUS_2005/status/702805044278591488","702805044278591488")</f>
        <v>702805044278591488</v>
      </c>
      <c r="F2161" s="12" t="s">
        <v>52</v>
      </c>
      <c r="G2161" s="13">
        <v>137.0</v>
      </c>
      <c r="H2161" s="13">
        <v>43.0</v>
      </c>
      <c r="I2161" s="13">
        <v>1.0</v>
      </c>
      <c r="J2161" s="13">
        <v>0.0</v>
      </c>
      <c r="K2161" s="12" t="s">
        <v>21</v>
      </c>
      <c r="L2161" s="7">
        <v>41812.408680555556</v>
      </c>
      <c r="M2161" s="14" t="s">
        <v>10096</v>
      </c>
      <c r="N2161" s="21" t="s">
        <v>10097</v>
      </c>
      <c r="O2161" s="11" t="str">
        <f>HYPERLINK("https://pbs.twimg.com/profile_images/698434154690523136/jnvUhsjI_normal.jpg","View")</f>
        <v>View</v>
      </c>
      <c r="P2161" s="15"/>
    </row>
    <row r="2162">
      <c r="A2162" s="7">
        <v>42425.11403935185</v>
      </c>
      <c r="B2162" s="8" t="str">
        <f>HYPERLINK("https://twitter.com/ErickLoomis","@ErickLoomis")</f>
        <v>@ErickLoomis</v>
      </c>
      <c r="C2162" s="10" t="s">
        <v>10098</v>
      </c>
      <c r="D2162" s="10" t="s">
        <v>10099</v>
      </c>
      <c r="E2162" s="11" t="str">
        <f>HYPERLINK("https://twitter.com/ErickLoomis/status/702806295481556992","702806295481556992")</f>
        <v>702806295481556992</v>
      </c>
      <c r="F2162" s="12" t="s">
        <v>20</v>
      </c>
      <c r="G2162" s="13">
        <v>158.0</v>
      </c>
      <c r="H2162" s="13">
        <v>138.0</v>
      </c>
      <c r="I2162" s="13">
        <v>0.0</v>
      </c>
      <c r="J2162" s="13">
        <v>0.0</v>
      </c>
      <c r="K2162" s="12" t="s">
        <v>21</v>
      </c>
      <c r="L2162" s="7">
        <v>41295.475115740745</v>
      </c>
      <c r="M2162" s="14" t="s">
        <v>1093</v>
      </c>
      <c r="N2162" s="14" t="s">
        <v>10100</v>
      </c>
      <c r="O2162" s="11" t="str">
        <f>HYPERLINK("https://pbs.twimg.com/profile_images/618835201846853632/iY9ALPCR_normal.jpg","View")</f>
        <v>View</v>
      </c>
      <c r="P2162" s="15"/>
    </row>
    <row r="2163">
      <c r="A2163" s="7">
        <v>42425.11854166667</v>
      </c>
      <c r="B2163" s="8" t="str">
        <f>HYPERLINK("https://twitter.com/neilcharles_uk","@neilcharles_uk")</f>
        <v>@neilcharles_uk</v>
      </c>
      <c r="C2163" s="10" t="s">
        <v>7066</v>
      </c>
      <c r="D2163" s="10" t="s">
        <v>10101</v>
      </c>
      <c r="E2163" s="11" t="str">
        <f>HYPERLINK("https://twitter.com/neilcharles_uk/status/702807927820840962","702807927820840962")</f>
        <v>702807927820840962</v>
      </c>
      <c r="F2163" s="12" t="s">
        <v>446</v>
      </c>
      <c r="G2163" s="13">
        <v>2419.0</v>
      </c>
      <c r="H2163" s="13">
        <v>1157.0</v>
      </c>
      <c r="I2163" s="13">
        <v>0.0</v>
      </c>
      <c r="J2163" s="13">
        <v>0.0</v>
      </c>
      <c r="K2163" s="12" t="s">
        <v>21</v>
      </c>
      <c r="L2163" s="7">
        <v>39868.21928240741</v>
      </c>
      <c r="M2163" s="14" t="s">
        <v>7068</v>
      </c>
      <c r="N2163" s="14" t="s">
        <v>7069</v>
      </c>
      <c r="O2163" s="11" t="str">
        <f>HYPERLINK("https://pbs.twimg.com/profile_images/1598054225/sunset_normal.jpg","View")</f>
        <v>View</v>
      </c>
      <c r="P2163" s="15"/>
    </row>
    <row r="2164">
      <c r="A2164" s="7">
        <v>42425.12152777778</v>
      </c>
      <c r="B2164" s="8" t="str">
        <f>HYPERLINK("https://twitter.com/ablazko","@ablazko")</f>
        <v>@ablazko</v>
      </c>
      <c r="C2164" s="10" t="s">
        <v>10102</v>
      </c>
      <c r="D2164" s="10" t="s">
        <v>9932</v>
      </c>
      <c r="E2164" s="11" t="str">
        <f>HYPERLINK("https://twitter.com/ablazko/status/702809009628303360","702809009628303360")</f>
        <v>702809009628303360</v>
      </c>
      <c r="F2164" s="12" t="s">
        <v>152</v>
      </c>
      <c r="G2164" s="13">
        <v>35.0</v>
      </c>
      <c r="H2164" s="13">
        <v>75.0</v>
      </c>
      <c r="I2164" s="13">
        <v>7.0</v>
      </c>
      <c r="J2164" s="13">
        <v>0.0</v>
      </c>
      <c r="K2164" s="12" t="s">
        <v>21</v>
      </c>
      <c r="L2164" s="7">
        <v>40209.49752314815</v>
      </c>
      <c r="M2164" s="14" t="s">
        <v>10103</v>
      </c>
      <c r="N2164" s="14" t="s">
        <v>10104</v>
      </c>
      <c r="O2164" s="11" t="str">
        <f>HYPERLINK("https://pbs.twimg.com/profile_images/691981405744541696/u1zmf0EY_normal.png","View")</f>
        <v>View</v>
      </c>
      <c r="P2164" s="15"/>
    </row>
    <row r="2165">
      <c r="A2165" s="7">
        <v>42425.12561342593</v>
      </c>
      <c r="B2165" s="8" t="str">
        <f>HYPERLINK("https://twitter.com/SebastianGeukes","@SebastianGeukes")</f>
        <v>@SebastianGeukes</v>
      </c>
      <c r="C2165" s="10" t="s">
        <v>10105</v>
      </c>
      <c r="D2165" s="10" t="s">
        <v>10106</v>
      </c>
      <c r="E2165" s="11" t="str">
        <f>HYPERLINK("https://twitter.com/SebastianGeukes/status/702810490150461440","702810490150461440")</f>
        <v>702810490150461440</v>
      </c>
      <c r="F2165" s="12" t="s">
        <v>20</v>
      </c>
      <c r="G2165" s="13">
        <v>45.0</v>
      </c>
      <c r="H2165" s="13">
        <v>245.0</v>
      </c>
      <c r="I2165" s="13">
        <v>0.0</v>
      </c>
      <c r="J2165" s="13">
        <v>0.0</v>
      </c>
      <c r="K2165" s="12" t="s">
        <v>21</v>
      </c>
      <c r="L2165" s="7">
        <v>39389.66232638889</v>
      </c>
      <c r="M2165" s="14" t="s">
        <v>10107</v>
      </c>
      <c r="N2165" s="14" t="s">
        <v>10108</v>
      </c>
      <c r="O2165" s="11" t="str">
        <f>HYPERLINK("https://pbs.twimg.com/profile_images/689233157510553600/U4Xd24FD_normal.jpg","View")</f>
        <v>View</v>
      </c>
      <c r="P2165" s="15"/>
    </row>
    <row r="2166">
      <c r="A2166" s="7">
        <v>42425.13019675926</v>
      </c>
      <c r="B2166" s="8" t="str">
        <f>HYPERLINK("https://twitter.com/ma_salmon","@ma_salmon")</f>
        <v>@ma_salmon</v>
      </c>
      <c r="C2166" s="10" t="s">
        <v>6494</v>
      </c>
      <c r="D2166" s="10" t="s">
        <v>10109</v>
      </c>
      <c r="E2166" s="11" t="str">
        <f>HYPERLINK("https://twitter.com/ma_salmon/status/702812153099788288","702812153099788288")</f>
        <v>702812153099788288</v>
      </c>
      <c r="F2166" s="12" t="s">
        <v>20</v>
      </c>
      <c r="G2166" s="13">
        <v>47.0</v>
      </c>
      <c r="H2166" s="13">
        <v>54.0</v>
      </c>
      <c r="I2166" s="13">
        <v>0.0</v>
      </c>
      <c r="J2166" s="13">
        <v>0.0</v>
      </c>
      <c r="K2166" s="12" t="s">
        <v>21</v>
      </c>
      <c r="L2166" s="7">
        <v>41950.10041666667</v>
      </c>
      <c r="M2166" s="14" t="s">
        <v>6496</v>
      </c>
      <c r="N2166" s="14" t="s">
        <v>6497</v>
      </c>
      <c r="O2166" s="11" t="str">
        <f>HYPERLINK("https://pbs.twimg.com/profile_images/630648570228666368/azCx-w8Z_normal.jpg","View")</f>
        <v>View</v>
      </c>
      <c r="P2166" s="15"/>
    </row>
    <row r="2167">
      <c r="A2167" s="7">
        <v>42425.133877314816</v>
      </c>
      <c r="B2167" s="8" t="str">
        <f>HYPERLINK("https://twitter.com/thelabandfield","@thelabandfield")</f>
        <v>@thelabandfield</v>
      </c>
      <c r="C2167" s="10" t="s">
        <v>9592</v>
      </c>
      <c r="D2167" s="10" t="s">
        <v>10110</v>
      </c>
      <c r="E2167" s="11" t="str">
        <f>HYPERLINK("https://twitter.com/thelabandfield/status/702813484854157313","702813484854157313")</f>
        <v>702813484854157313</v>
      </c>
      <c r="F2167" s="12" t="s">
        <v>20</v>
      </c>
      <c r="G2167" s="13">
        <v>2218.0</v>
      </c>
      <c r="H2167" s="13">
        <v>483.0</v>
      </c>
      <c r="I2167" s="13">
        <v>2.0</v>
      </c>
      <c r="J2167" s="13">
        <v>2.0</v>
      </c>
      <c r="K2167" s="12" t="s">
        <v>21</v>
      </c>
      <c r="L2167" s="7">
        <v>41278.25299768519</v>
      </c>
      <c r="M2167" s="14" t="s">
        <v>9594</v>
      </c>
      <c r="N2167" s="14" t="s">
        <v>9595</v>
      </c>
      <c r="O2167" s="11" t="str">
        <f>HYPERLINK("https://pbs.twimg.com/profile_images/679617176807059457/fqgt0Fjw_normal.jpg","View")</f>
        <v>View</v>
      </c>
      <c r="P2167" s="15"/>
    </row>
    <row r="2168">
      <c r="A2168" s="7">
        <v>42425.14376157407</v>
      </c>
      <c r="B2168" s="8" t="str">
        <f>HYPERLINK("https://twitter.com/MangoPharma","@MangoPharma")</f>
        <v>@MangoPharma</v>
      </c>
      <c r="C2168" s="10" t="s">
        <v>8443</v>
      </c>
      <c r="D2168" s="10" t="s">
        <v>10111</v>
      </c>
      <c r="E2168" s="11" t="str">
        <f>HYPERLINK("https://twitter.com/MangoPharma/status/702817067502694400","702817067502694400")</f>
        <v>702817067502694400</v>
      </c>
      <c r="F2168" s="12" t="s">
        <v>47</v>
      </c>
      <c r="G2168" s="13">
        <v>19.0</v>
      </c>
      <c r="H2168" s="13">
        <v>149.0</v>
      </c>
      <c r="I2168" s="13">
        <v>1.0</v>
      </c>
      <c r="J2168" s="13">
        <v>0.0</v>
      </c>
      <c r="K2168" s="12" t="s">
        <v>21</v>
      </c>
      <c r="L2168" s="7">
        <v>42421.48475694444</v>
      </c>
      <c r="M2168" s="14" t="s">
        <v>7439</v>
      </c>
      <c r="N2168" s="14" t="s">
        <v>8444</v>
      </c>
      <c r="O2168" s="11" t="str">
        <f>HYPERLINK("https://pbs.twimg.com/profile_images/702168871437017090/GncGcQIU_normal.png","View")</f>
        <v>View</v>
      </c>
      <c r="P2168" s="15"/>
    </row>
    <row r="2169">
      <c r="A2169" s="7">
        <v>42425.14730324074</v>
      </c>
      <c r="B2169" s="8" t="str">
        <f>HYPERLINK("https://twitter.com/BestCourses_","@BestCourses_")</f>
        <v>@BestCourses_</v>
      </c>
      <c r="C2169" s="10" t="s">
        <v>409</v>
      </c>
      <c r="D2169" s="10" t="s">
        <v>6351</v>
      </c>
      <c r="E2169" s="11" t="str">
        <f>HYPERLINK("https://twitter.com/BestCourses_/status/702818351643496448","702818351643496448")</f>
        <v>702818351643496448</v>
      </c>
      <c r="F2169" s="12" t="s">
        <v>103</v>
      </c>
      <c r="G2169" s="13">
        <v>528.0</v>
      </c>
      <c r="H2169" s="13">
        <v>40.0</v>
      </c>
      <c r="I2169" s="13">
        <v>0.0</v>
      </c>
      <c r="J2169" s="13">
        <v>0.0</v>
      </c>
      <c r="K2169" s="12" t="s">
        <v>21</v>
      </c>
      <c r="L2169" s="7">
        <v>42294.333125000005</v>
      </c>
      <c r="M2169" s="14" t="s">
        <v>411</v>
      </c>
      <c r="N2169" s="14" t="s">
        <v>412</v>
      </c>
      <c r="O2169" s="11" t="str">
        <f>HYPERLINK("https://pbs.twimg.com/profile_images/655401968802861056/yuPEMhy3_normal.jpg","View")</f>
        <v>View</v>
      </c>
      <c r="P2169" s="15"/>
    </row>
    <row r="2170">
      <c r="A2170" s="7">
        <v>42425.149305555555</v>
      </c>
      <c r="B2170" s="8" t="str">
        <f>HYPERLINK("https://twitter.com/robinlovelace","@robinlovelace")</f>
        <v>@robinlovelace</v>
      </c>
      <c r="C2170" s="10" t="s">
        <v>9351</v>
      </c>
      <c r="D2170" s="10" t="s">
        <v>10112</v>
      </c>
      <c r="E2170" s="11" t="str">
        <f>HYPERLINK("https://twitter.com/robinlovelace/status/702819077727850496","702819077727850496")</f>
        <v>702819077727850496</v>
      </c>
      <c r="F2170" s="12" t="s">
        <v>20</v>
      </c>
      <c r="G2170" s="13">
        <v>598.0</v>
      </c>
      <c r="H2170" s="13">
        <v>99.0</v>
      </c>
      <c r="I2170" s="13">
        <v>3.0</v>
      </c>
      <c r="J2170" s="13">
        <v>4.0</v>
      </c>
      <c r="K2170" s="12" t="s">
        <v>21</v>
      </c>
      <c r="L2170" s="7">
        <v>40092.0553125</v>
      </c>
      <c r="M2170" s="14" t="s">
        <v>7068</v>
      </c>
      <c r="N2170" s="14" t="s">
        <v>9353</v>
      </c>
      <c r="O2170" s="11" t="str">
        <f>HYPERLINK("https://pbs.twimg.com/profile_images/504036355307884545/43rPIK7f_normal.jpeg","View")</f>
        <v>View</v>
      </c>
      <c r="P2170" s="15"/>
    </row>
    <row r="2171">
      <c r="A2171" s="7">
        <v>42425.152442129634</v>
      </c>
      <c r="B2171" s="8" t="str">
        <f>HYPERLINK("https://twitter.com/ODILeeds","@ODILeeds")</f>
        <v>@ODILeeds</v>
      </c>
      <c r="C2171" s="10" t="s">
        <v>10113</v>
      </c>
      <c r="D2171" s="10" t="s">
        <v>10114</v>
      </c>
      <c r="E2171" s="11" t="str">
        <f>HYPERLINK("https://twitter.com/ODILeeds/status/702820212270301185","702820212270301185")</f>
        <v>702820212270301185</v>
      </c>
      <c r="F2171" s="12" t="s">
        <v>152</v>
      </c>
      <c r="G2171" s="13">
        <v>1927.0</v>
      </c>
      <c r="H2171" s="13">
        <v>1720.0</v>
      </c>
      <c r="I2171" s="13">
        <v>3.0</v>
      </c>
      <c r="J2171" s="13">
        <v>0.0</v>
      </c>
      <c r="K2171" s="12" t="s">
        <v>21</v>
      </c>
      <c r="L2171" s="7">
        <v>41575.0627662037</v>
      </c>
      <c r="M2171" s="14" t="s">
        <v>10115</v>
      </c>
      <c r="N2171" s="14" t="s">
        <v>10116</v>
      </c>
      <c r="O2171" s="11" t="str">
        <f>HYPERLINK("https://pbs.twimg.com/profile_images/613354597562851329/vI4ddYqG_normal.png","View")</f>
        <v>View</v>
      </c>
      <c r="P2171" s="15"/>
    </row>
    <row r="2172">
      <c r="A2172" s="7">
        <v>42425.158900462964</v>
      </c>
      <c r="B2172" s="8" t="str">
        <f>HYPERLINK("https://twitter.com/MangoMattGlover","@MangoMattGlover")</f>
        <v>@MangoMattGlover</v>
      </c>
      <c r="C2172" s="10" t="s">
        <v>7437</v>
      </c>
      <c r="D2172" s="10" t="s">
        <v>10117</v>
      </c>
      <c r="E2172" s="11" t="str">
        <f>HYPERLINK("https://twitter.com/MangoMattGlover/status/702822554059345920","702822554059345920")</f>
        <v>702822554059345920</v>
      </c>
      <c r="F2172" s="12" t="s">
        <v>20</v>
      </c>
      <c r="G2172" s="13">
        <v>27.0</v>
      </c>
      <c r="H2172" s="13">
        <v>40.0</v>
      </c>
      <c r="I2172" s="13">
        <v>1.0</v>
      </c>
      <c r="J2172" s="13">
        <v>0.0</v>
      </c>
      <c r="K2172" s="12" t="s">
        <v>21</v>
      </c>
      <c r="L2172" s="7">
        <v>42300.29976851852</v>
      </c>
      <c r="M2172" s="14" t="s">
        <v>7439</v>
      </c>
      <c r="N2172" s="16"/>
      <c r="O2172" s="11" t="str">
        <f>HYPERLINK("https://pbs.twimg.com/profile_images/658671552783896576/qahSiVSy_normal.jpg","View")</f>
        <v>View</v>
      </c>
      <c r="P2172" s="15"/>
    </row>
    <row r="2173">
      <c r="A2173" s="7">
        <v>42425.169016203705</v>
      </c>
      <c r="B2173" s="8" t="str">
        <f>HYPERLINK("https://twitter.com/atiretoo","@atiretoo")</f>
        <v>@atiretoo</v>
      </c>
      <c r="C2173" s="10" t="s">
        <v>8193</v>
      </c>
      <c r="D2173" s="10" t="s">
        <v>10118</v>
      </c>
      <c r="E2173" s="11" t="str">
        <f>HYPERLINK("https://twitter.com/atiretoo/status/702826220572930048","702826220572930048")</f>
        <v>702826220572930048</v>
      </c>
      <c r="F2173" s="12" t="s">
        <v>52</v>
      </c>
      <c r="G2173" s="13">
        <v>77.0</v>
      </c>
      <c r="H2173" s="13">
        <v>172.0</v>
      </c>
      <c r="I2173" s="13">
        <v>2.0</v>
      </c>
      <c r="J2173" s="13">
        <v>0.0</v>
      </c>
      <c r="K2173" s="12" t="s">
        <v>21</v>
      </c>
      <c r="L2173" s="7">
        <v>39794.534363425926</v>
      </c>
      <c r="M2173" s="14" t="s">
        <v>8194</v>
      </c>
      <c r="N2173" s="14" t="s">
        <v>8195</v>
      </c>
      <c r="O2173" s="11" t="str">
        <f>HYPERLINK("https://pbs.twimg.com/profile_images/591269568506531840/Xk6GaBN0_normal.jpg","View")</f>
        <v>View</v>
      </c>
      <c r="P2173" s="15"/>
    </row>
    <row r="2174">
      <c r="A2174" s="7">
        <v>42425.17118055555</v>
      </c>
      <c r="B2174" s="8" t="str">
        <f>HYPERLINK("https://twitter.com/nschaetti","@nschaetti")</f>
        <v>@nschaetti</v>
      </c>
      <c r="C2174" s="10" t="s">
        <v>10119</v>
      </c>
      <c r="D2174" s="10" t="s">
        <v>6296</v>
      </c>
      <c r="E2174" s="11" t="str">
        <f>HYPERLINK("https://twitter.com/nschaetti/status/702827006493396992","702827006493396992")</f>
        <v>702827006493396992</v>
      </c>
      <c r="F2174" s="12" t="s">
        <v>152</v>
      </c>
      <c r="G2174" s="13">
        <v>458.0</v>
      </c>
      <c r="H2174" s="13">
        <v>2452.0</v>
      </c>
      <c r="I2174" s="13">
        <v>49.0</v>
      </c>
      <c r="J2174" s="13">
        <v>0.0</v>
      </c>
      <c r="K2174" s="12" t="s">
        <v>21</v>
      </c>
      <c r="L2174" s="7">
        <v>39968.42356481482</v>
      </c>
      <c r="M2174" s="14" t="s">
        <v>8643</v>
      </c>
      <c r="N2174" s="14" t="s">
        <v>10120</v>
      </c>
      <c r="O2174" s="11" t="str">
        <f>HYPERLINK("https://pbs.twimg.com/profile_images/668504473069711360/uytAacUU_normal.jpg","View")</f>
        <v>View</v>
      </c>
      <c r="P2174" s="15"/>
    </row>
    <row r="2175">
      <c r="A2175" s="7">
        <v>42425.17333333333</v>
      </c>
      <c r="B2175" s="8" t="str">
        <f>HYPERLINK("https://twitter.com/withbioinformat","@withbioinformat")</f>
        <v>@withbioinformat</v>
      </c>
      <c r="C2175" s="10" t="s">
        <v>7514</v>
      </c>
      <c r="D2175" s="10" t="s">
        <v>9617</v>
      </c>
      <c r="E2175" s="11" t="str">
        <f>HYPERLINK("https://twitter.com/withbioinformat/status/702827785400819713","702827785400819713")</f>
        <v>702827785400819713</v>
      </c>
      <c r="F2175" s="12" t="s">
        <v>20</v>
      </c>
      <c r="G2175" s="13">
        <v>45.0</v>
      </c>
      <c r="H2175" s="13">
        <v>98.0</v>
      </c>
      <c r="I2175" s="13">
        <v>16.0</v>
      </c>
      <c r="J2175" s="13">
        <v>0.0</v>
      </c>
      <c r="K2175" s="12" t="s">
        <v>21</v>
      </c>
      <c r="L2175" s="7">
        <v>40886.47818287037</v>
      </c>
      <c r="M2175" s="14" t="s">
        <v>7515</v>
      </c>
      <c r="N2175" s="14" t="s">
        <v>7516</v>
      </c>
      <c r="O2175" s="11" t="str">
        <f>HYPERLINK("https://pbs.twimg.com/profile_images/1683660920/kres_normal.jpg","View")</f>
        <v>View</v>
      </c>
      <c r="P2175" s="15"/>
    </row>
    <row r="2176">
      <c r="A2176" s="7">
        <v>42425.17600694444</v>
      </c>
      <c r="B2176" s="8" t="str">
        <f>HYPERLINK("https://twitter.com/RookeAC","@RookeAC")</f>
        <v>@RookeAC</v>
      </c>
      <c r="C2176" s="10" t="s">
        <v>10121</v>
      </c>
      <c r="D2176" s="10" t="s">
        <v>10118</v>
      </c>
      <c r="E2176" s="11" t="str">
        <f>HYPERLINK("https://twitter.com/RookeAC/status/702828753769005056","702828753769005056")</f>
        <v>702828753769005056</v>
      </c>
      <c r="F2176" s="12" t="s">
        <v>6259</v>
      </c>
      <c r="G2176" s="13">
        <v>196.0</v>
      </c>
      <c r="H2176" s="13">
        <v>407.0</v>
      </c>
      <c r="I2176" s="13">
        <v>2.0</v>
      </c>
      <c r="J2176" s="13">
        <v>0.0</v>
      </c>
      <c r="K2176" s="12" t="s">
        <v>21</v>
      </c>
      <c r="L2176" s="7">
        <v>41756.745104166665</v>
      </c>
      <c r="M2176" s="14" t="s">
        <v>10122</v>
      </c>
      <c r="N2176" s="14" t="s">
        <v>10123</v>
      </c>
      <c r="O2176" s="11" t="str">
        <f>HYPERLINK("https://pbs.twimg.com/profile_images/482576861315489792/uQDyurgm_normal.png","View")</f>
        <v>View</v>
      </c>
      <c r="P2176" s="15"/>
    </row>
    <row r="2177">
      <c r="A2177" s="7">
        <v>42425.17710648148</v>
      </c>
      <c r="B2177" s="8" t="str">
        <f>HYPERLINK("https://twitter.com/datasciencefan","@datasciencefan")</f>
        <v>@datasciencefan</v>
      </c>
      <c r="C2177" s="10" t="s">
        <v>2069</v>
      </c>
      <c r="D2177" s="10" t="s">
        <v>10124</v>
      </c>
      <c r="E2177" s="11" t="str">
        <f>HYPERLINK("https://twitter.com/datasciencefan/status/702829154312454144","702829154312454144")</f>
        <v>702829154312454144</v>
      </c>
      <c r="F2177" s="12" t="s">
        <v>446</v>
      </c>
      <c r="G2177" s="13">
        <v>163.0</v>
      </c>
      <c r="H2177" s="13">
        <v>117.0</v>
      </c>
      <c r="I2177" s="13">
        <v>0.0</v>
      </c>
      <c r="J2177" s="13">
        <v>1.0</v>
      </c>
      <c r="K2177" s="12" t="s">
        <v>21</v>
      </c>
      <c r="L2177" s="7">
        <v>42362.194502314815</v>
      </c>
      <c r="M2177" s="14" t="s">
        <v>2072</v>
      </c>
      <c r="N2177" s="14" t="s">
        <v>2073</v>
      </c>
      <c r="O2177" s="11" t="str">
        <f>HYPERLINK("https://pbs.twimg.com/profile_images/680007215424618496/jKN3QBWT_normal.png","View")</f>
        <v>View</v>
      </c>
      <c r="P2177" s="15"/>
    </row>
    <row r="2178">
      <c r="A2178" s="7">
        <v>42425.18158564815</v>
      </c>
      <c r="B2178" s="8" t="str">
        <f>HYPERLINK("https://twitter.com/eFe_Gil","@eFe_Gil")</f>
        <v>@eFe_Gil</v>
      </c>
      <c r="C2178" s="10" t="s">
        <v>7601</v>
      </c>
      <c r="D2178" s="10" t="s">
        <v>9983</v>
      </c>
      <c r="E2178" s="11" t="str">
        <f>HYPERLINK("https://twitter.com/eFe_Gil/status/702830775226523648","702830775226523648")</f>
        <v>702830775226523648</v>
      </c>
      <c r="F2178" s="12" t="s">
        <v>1573</v>
      </c>
      <c r="G2178" s="13">
        <v>43.0</v>
      </c>
      <c r="H2178" s="13">
        <v>64.0</v>
      </c>
      <c r="I2178" s="13">
        <v>8.0</v>
      </c>
      <c r="J2178" s="13">
        <v>0.0</v>
      </c>
      <c r="K2178" s="12" t="s">
        <v>21</v>
      </c>
      <c r="L2178" s="7">
        <v>41283.50839120371</v>
      </c>
      <c r="M2178" s="16"/>
      <c r="N2178" s="14" t="s">
        <v>7602</v>
      </c>
      <c r="O2178" s="11" t="str">
        <f>HYPERLINK("https://pbs.twimg.com/profile_images/674700358166388736/pWBofWfu_normal.jpg","View")</f>
        <v>View</v>
      </c>
      <c r="P2178" s="15"/>
    </row>
    <row r="2179">
      <c r="A2179" s="7">
        <v>42425.18347222223</v>
      </c>
      <c r="B2179" s="8" t="str">
        <f>HYPERLINK("https://twitter.com/noticiasSobreR","@noticiasSobreR")</f>
        <v>@noticiasSobreR</v>
      </c>
      <c r="C2179" s="10" t="s">
        <v>8179</v>
      </c>
      <c r="D2179" s="10" t="s">
        <v>10125</v>
      </c>
      <c r="E2179" s="11" t="str">
        <f>HYPERLINK("https://twitter.com/noticiasSobreR/status/702831458868547584","702831458868547584")</f>
        <v>702831458868547584</v>
      </c>
      <c r="F2179" s="12" t="s">
        <v>1961</v>
      </c>
      <c r="G2179" s="13">
        <v>148.0</v>
      </c>
      <c r="H2179" s="13">
        <v>1.0</v>
      </c>
      <c r="I2179" s="13">
        <v>0.0</v>
      </c>
      <c r="J2179" s="13">
        <v>0.0</v>
      </c>
      <c r="K2179" s="12" t="s">
        <v>21</v>
      </c>
      <c r="L2179" s="7">
        <v>40590.68494212963</v>
      </c>
      <c r="M2179" s="16"/>
      <c r="N2179" s="16"/>
      <c r="O2179" s="11" t="str">
        <f>HYPERLINK("https://abs.twimg.com/sticky/default_profile_images/default_profile_3_normal.png","View")</f>
        <v>View</v>
      </c>
      <c r="P2179" s="15"/>
    </row>
    <row r="2180">
      <c r="A2180" s="7">
        <v>42425.18613425926</v>
      </c>
      <c r="B2180" s="8" t="str">
        <f>HYPERLINK("https://twitter.com/dataprix","@dataprix")</f>
        <v>@dataprix</v>
      </c>
      <c r="C2180" s="10" t="s">
        <v>2115</v>
      </c>
      <c r="D2180" s="10" t="s">
        <v>10126</v>
      </c>
      <c r="E2180" s="11" t="str">
        <f>HYPERLINK("https://twitter.com/dataprix/status/702832424208699393","702832424208699393")</f>
        <v>702832424208699393</v>
      </c>
      <c r="F2180" s="12" t="s">
        <v>103</v>
      </c>
      <c r="G2180" s="13">
        <v>4033.0</v>
      </c>
      <c r="H2180" s="13">
        <v>3956.0</v>
      </c>
      <c r="I2180" s="13">
        <v>0.0</v>
      </c>
      <c r="J2180" s="13">
        <v>0.0</v>
      </c>
      <c r="K2180" s="12" t="s">
        <v>21</v>
      </c>
      <c r="L2180" s="7">
        <v>39966.40350694444</v>
      </c>
      <c r="M2180" s="14" t="s">
        <v>901</v>
      </c>
      <c r="N2180" s="14" t="s">
        <v>2117</v>
      </c>
      <c r="O2180" s="11" t="str">
        <f>HYPERLINK("https://pbs.twimg.com/profile_images/701068875/isotipo_dataprix_screen_96_normal.jpg","View")</f>
        <v>View</v>
      </c>
      <c r="P2180" s="15"/>
    </row>
    <row r="2181">
      <c r="A2181" s="7">
        <v>42425.187569444446</v>
      </c>
      <c r="B2181" s="8" t="str">
        <f>HYPERLINK("https://twitter.com/sig_stats","@sig_stats")</f>
        <v>@sig_stats</v>
      </c>
      <c r="C2181" s="10" t="s">
        <v>6359</v>
      </c>
      <c r="D2181" s="10" t="s">
        <v>9609</v>
      </c>
      <c r="E2181" s="11" t="str">
        <f>HYPERLINK("https://twitter.com/sig_stats/status/702832942947672065","702832942947672065")</f>
        <v>702832942947672065</v>
      </c>
      <c r="F2181" s="12" t="s">
        <v>6360</v>
      </c>
      <c r="G2181" s="13">
        <v>26.0</v>
      </c>
      <c r="H2181" s="13">
        <v>9.0</v>
      </c>
      <c r="I2181" s="13">
        <v>16.0</v>
      </c>
      <c r="J2181" s="13">
        <v>0.0</v>
      </c>
      <c r="K2181" s="12" t="s">
        <v>21</v>
      </c>
      <c r="L2181" s="7">
        <v>42336.639606481476</v>
      </c>
      <c r="M2181" s="14" t="s">
        <v>765</v>
      </c>
      <c r="N2181" s="14" t="s">
        <v>6361</v>
      </c>
      <c r="O2181" s="11" t="str">
        <f>HYPERLINK("https://pbs.twimg.com/profile_images/672029237029793792/_qKmCzM8_normal.png","View")</f>
        <v>View</v>
      </c>
      <c r="P2181" s="15"/>
    </row>
    <row r="2182">
      <c r="A2182" s="7">
        <v>42425.191458333335</v>
      </c>
      <c r="B2182" s="8" t="str">
        <f>HYPERLINK("https://twitter.com/DogSandFishGirl","@DogSandFishGirl")</f>
        <v>@DogSandFishGirl</v>
      </c>
      <c r="C2182" s="10" t="s">
        <v>10127</v>
      </c>
      <c r="D2182" s="10" t="s">
        <v>10128</v>
      </c>
      <c r="E2182" s="11" t="str">
        <f>HYPERLINK("https://twitter.com/DogSandFishGirl/status/702834355274649600","702834355274649600")</f>
        <v>702834355274649600</v>
      </c>
      <c r="F2182" s="12" t="s">
        <v>152</v>
      </c>
      <c r="G2182" s="13">
        <v>184.0</v>
      </c>
      <c r="H2182" s="13">
        <v>175.0</v>
      </c>
      <c r="I2182" s="13">
        <v>2.0</v>
      </c>
      <c r="J2182" s="13">
        <v>0.0</v>
      </c>
      <c r="K2182" s="12" t="s">
        <v>21</v>
      </c>
      <c r="L2182" s="7">
        <v>40736.545069444444</v>
      </c>
      <c r="M2182" s="14" t="s">
        <v>10129</v>
      </c>
      <c r="N2182" s="14" t="s">
        <v>10130</v>
      </c>
      <c r="O2182" s="11" t="str">
        <f>HYPERLINK("https://pbs.twimg.com/profile_images/654842156708790272/yHG-pmtO_normal.jpg","View")</f>
        <v>View</v>
      </c>
      <c r="P2182" s="15"/>
    </row>
    <row r="2183">
      <c r="A2183" s="7">
        <v>42425.19158564815</v>
      </c>
      <c r="B2183" s="8" t="str">
        <f>HYPERLINK("https://twitter.com/atruskie","@atruskie")</f>
        <v>@atruskie</v>
      </c>
      <c r="C2183" s="10" t="s">
        <v>10131</v>
      </c>
      <c r="D2183" s="10" t="s">
        <v>7151</v>
      </c>
      <c r="E2183" s="11" t="str">
        <f>HYPERLINK("https://twitter.com/atruskie/status/702834398538780677","702834398538780677")</f>
        <v>702834398538780677</v>
      </c>
      <c r="F2183" s="12" t="s">
        <v>10132</v>
      </c>
      <c r="G2183" s="13">
        <v>43.0</v>
      </c>
      <c r="H2183" s="13">
        <v>186.0</v>
      </c>
      <c r="I2183" s="13">
        <v>11.0</v>
      </c>
      <c r="J2183" s="13">
        <v>0.0</v>
      </c>
      <c r="K2183" s="12" t="s">
        <v>21</v>
      </c>
      <c r="L2183" s="7">
        <v>41305.18195601852</v>
      </c>
      <c r="M2183" s="14" t="s">
        <v>3780</v>
      </c>
      <c r="N2183" s="14" t="s">
        <v>10133</v>
      </c>
      <c r="O2183" s="11" t="str">
        <f>HYPERLINK("https://pbs.twimg.com/profile_images/3187969768/4323ce211102bcd4b19afd94fd268b4e_normal.jpeg","View")</f>
        <v>View</v>
      </c>
      <c r="P2183" s="15"/>
    </row>
    <row r="2184">
      <c r="A2184" s="7">
        <v>42425.19342592593</v>
      </c>
      <c r="B2184" s="8" t="str">
        <f>HYPERLINK("https://twitter.com/AndrewBaidu","@AndrewBaidu")</f>
        <v>@AndrewBaidu</v>
      </c>
      <c r="C2184" s="10" t="s">
        <v>1704</v>
      </c>
      <c r="D2184" s="10" t="s">
        <v>9741</v>
      </c>
      <c r="E2184" s="11" t="str">
        <f>HYPERLINK("https://twitter.com/AndrewBaidu/status/702835066234347521","702835066234347521")</f>
        <v>702835066234347521</v>
      </c>
      <c r="F2184" s="12" t="s">
        <v>1705</v>
      </c>
      <c r="G2184" s="13">
        <v>362.0</v>
      </c>
      <c r="H2184" s="13">
        <v>92.0</v>
      </c>
      <c r="I2184" s="13">
        <v>12.0</v>
      </c>
      <c r="J2184" s="13">
        <v>0.0</v>
      </c>
      <c r="K2184" s="12" t="s">
        <v>21</v>
      </c>
      <c r="L2184" s="7">
        <v>42231.3446875</v>
      </c>
      <c r="M2184" s="14" t="s">
        <v>1706</v>
      </c>
      <c r="N2184" s="14" t="s">
        <v>1707</v>
      </c>
      <c r="O2184" s="11" t="str">
        <f>HYPERLINK("https://pbs.twimg.com/profile_images/632743976785735682/CfTy63Eb_normal.jpg","View")</f>
        <v>View</v>
      </c>
      <c r="P2184" s="15"/>
    </row>
    <row r="2185">
      <c r="A2185" s="7">
        <v>42425.19546296296</v>
      </c>
      <c r="B2185" s="8" t="str">
        <f t="shared" ref="B2185:B2186" si="241">HYPERLINK("https://twitter.com/asas_mimi","@asas_mimi")</f>
        <v>@asas_mimi</v>
      </c>
      <c r="C2185" s="10" t="s">
        <v>10134</v>
      </c>
      <c r="D2185" s="10" t="s">
        <v>10135</v>
      </c>
      <c r="E2185" s="11" t="str">
        <f>HYPERLINK("https://twitter.com/asas_mimi/status/702835805090246657","702835805090246657")</f>
        <v>702835805090246657</v>
      </c>
      <c r="F2185" s="12" t="s">
        <v>20</v>
      </c>
      <c r="G2185" s="13">
        <v>1473.0</v>
      </c>
      <c r="H2185" s="13">
        <v>1309.0</v>
      </c>
      <c r="I2185" s="13">
        <v>25.0</v>
      </c>
      <c r="J2185" s="13">
        <v>0.0</v>
      </c>
      <c r="K2185" s="12" t="s">
        <v>21</v>
      </c>
      <c r="L2185" s="7">
        <v>40194.354942129634</v>
      </c>
      <c r="M2185" s="14" t="s">
        <v>10136</v>
      </c>
      <c r="N2185" s="14" t="s">
        <v>10137</v>
      </c>
      <c r="O2185" s="11" t="str">
        <f t="shared" ref="O2185:O2186" si="242">HYPERLINK("https://pbs.twimg.com/profile_images/682787313106092033/qUXu40TM_normal.jpg","View")</f>
        <v>View</v>
      </c>
      <c r="P2185" s="15"/>
    </row>
    <row r="2186">
      <c r="A2186" s="7">
        <v>42425.19561342592</v>
      </c>
      <c r="B2186" s="8" t="str">
        <f t="shared" si="241"/>
        <v>@asas_mimi</v>
      </c>
      <c r="C2186" s="10" t="s">
        <v>10134</v>
      </c>
      <c r="D2186" s="10" t="s">
        <v>10138</v>
      </c>
      <c r="E2186" s="11" t="str">
        <f>HYPERLINK("https://twitter.com/asas_mimi/status/702835859679121408","702835859679121408")</f>
        <v>702835859679121408</v>
      </c>
      <c r="F2186" s="12" t="s">
        <v>20</v>
      </c>
      <c r="G2186" s="13">
        <v>1473.0</v>
      </c>
      <c r="H2186" s="13">
        <v>1309.0</v>
      </c>
      <c r="I2186" s="13">
        <v>5.0</v>
      </c>
      <c r="J2186" s="13">
        <v>0.0</v>
      </c>
      <c r="K2186" s="12" t="s">
        <v>21</v>
      </c>
      <c r="L2186" s="7">
        <v>40194.354942129634</v>
      </c>
      <c r="M2186" s="14" t="s">
        <v>10136</v>
      </c>
      <c r="N2186" s="14" t="s">
        <v>10137</v>
      </c>
      <c r="O2186" s="11" t="str">
        <f t="shared" si="242"/>
        <v>View</v>
      </c>
      <c r="P2186" s="15"/>
    </row>
    <row r="2187">
      <c r="A2187" s="7">
        <v>42425.196388888886</v>
      </c>
      <c r="B2187" s="8" t="str">
        <f>HYPERLINK("https://twitter.com/yamano357","@yamano357")</f>
        <v>@yamano357</v>
      </c>
      <c r="C2187" s="10" t="s">
        <v>6797</v>
      </c>
      <c r="D2187" s="10" t="s">
        <v>10135</v>
      </c>
      <c r="E2187" s="11" t="str">
        <f>HYPERLINK("https://twitter.com/yamano357/status/702836138390589442","702836138390589442")</f>
        <v>702836138390589442</v>
      </c>
      <c r="F2187" s="12" t="s">
        <v>20</v>
      </c>
      <c r="G2187" s="13">
        <v>554.0</v>
      </c>
      <c r="H2187" s="13">
        <v>341.0</v>
      </c>
      <c r="I2187" s="13">
        <v>25.0</v>
      </c>
      <c r="J2187" s="13">
        <v>0.0</v>
      </c>
      <c r="K2187" s="12" t="s">
        <v>21</v>
      </c>
      <c r="L2187" s="7">
        <v>41595.29126157407</v>
      </c>
      <c r="M2187" s="16"/>
      <c r="N2187" s="14" t="s">
        <v>6798</v>
      </c>
      <c r="O2187" s="11" t="str">
        <f>HYPERLINK("https://pbs.twimg.com/profile_images/603763620393025536/KBmiiFXC_normal.png","View")</f>
        <v>View</v>
      </c>
      <c r="P2187" s="15"/>
    </row>
    <row r="2188">
      <c r="A2188" s="7">
        <v>42425.19665509259</v>
      </c>
      <c r="B2188" s="8" t="str">
        <f>HYPERLINK("https://twitter.com/BrentBrewington","@BrentBrewington")</f>
        <v>@BrentBrewington</v>
      </c>
      <c r="C2188" s="10" t="s">
        <v>10139</v>
      </c>
      <c r="D2188" s="10" t="s">
        <v>9568</v>
      </c>
      <c r="E2188" s="11" t="str">
        <f>HYPERLINK("https://twitter.com/BrentBrewington/status/702836234528231424","702836234528231424")</f>
        <v>702836234528231424</v>
      </c>
      <c r="F2188" s="12" t="s">
        <v>52</v>
      </c>
      <c r="G2188" s="13">
        <v>832.0</v>
      </c>
      <c r="H2188" s="13">
        <v>1267.0</v>
      </c>
      <c r="I2188" s="13">
        <v>10.0</v>
      </c>
      <c r="J2188" s="13">
        <v>0.0</v>
      </c>
      <c r="K2188" s="12" t="s">
        <v>21</v>
      </c>
      <c r="L2188" s="7">
        <v>40745.540243055555</v>
      </c>
      <c r="M2188" s="14" t="s">
        <v>7834</v>
      </c>
      <c r="N2188" s="14" t="s">
        <v>10140</v>
      </c>
      <c r="O2188" s="11" t="str">
        <f>HYPERLINK("https://pbs.twimg.com/profile_images/480744429217538050/GbR8Piif_normal.jpeg","View")</f>
        <v>View</v>
      </c>
      <c r="P2188" s="15"/>
    </row>
    <row r="2189">
      <c r="A2189" s="7">
        <v>42425.19726851852</v>
      </c>
      <c r="B2189" s="8" t="str">
        <f>HYPERLINK("https://twitter.com/shakirdeen","@shakirdeen")</f>
        <v>@shakirdeen</v>
      </c>
      <c r="C2189" s="10" t="s">
        <v>6258</v>
      </c>
      <c r="D2189" s="10" t="s">
        <v>9900</v>
      </c>
      <c r="E2189" s="11" t="str">
        <f>HYPERLINK("https://twitter.com/shakirdeen/status/702836459296972800","702836459296972800")</f>
        <v>702836459296972800</v>
      </c>
      <c r="F2189" s="12" t="s">
        <v>6259</v>
      </c>
      <c r="G2189" s="13">
        <v>1251.0</v>
      </c>
      <c r="H2189" s="13">
        <v>2082.0</v>
      </c>
      <c r="I2189" s="13">
        <v>25.0</v>
      </c>
      <c r="J2189" s="13">
        <v>0.0</v>
      </c>
      <c r="K2189" s="12" t="s">
        <v>21</v>
      </c>
      <c r="L2189" s="7">
        <v>40927.900243055556</v>
      </c>
      <c r="M2189" s="16"/>
      <c r="N2189" s="14" t="s">
        <v>6260</v>
      </c>
      <c r="O2189" s="11" t="str">
        <f>HYPERLINK("https://pbs.twimg.com/profile_images/500535426642608128/erG8_uq1_normal.jpeg","View")</f>
        <v>View</v>
      </c>
      <c r="P2189" s="15"/>
    </row>
    <row r="2190">
      <c r="A2190" s="7">
        <v>42425.199687500004</v>
      </c>
      <c r="B2190" s="8" t="str">
        <f>HYPERLINK("https://twitter.com/southmapr","@southmapr")</f>
        <v>@southmapr</v>
      </c>
      <c r="C2190" s="10" t="s">
        <v>8482</v>
      </c>
      <c r="D2190" s="10" t="s">
        <v>10141</v>
      </c>
      <c r="E2190" s="11" t="str">
        <f>HYPERLINK("https://twitter.com/southmapr/status/702837334581108736","702837334581108736")</f>
        <v>702837334581108736</v>
      </c>
      <c r="F2190" s="12" t="s">
        <v>20</v>
      </c>
      <c r="G2190" s="13">
        <v>342.0</v>
      </c>
      <c r="H2190" s="13">
        <v>296.0</v>
      </c>
      <c r="I2190" s="13">
        <v>1.0</v>
      </c>
      <c r="J2190" s="13">
        <v>0.0</v>
      </c>
      <c r="K2190" s="12" t="s">
        <v>21</v>
      </c>
      <c r="L2190" s="7">
        <v>41302.16997685185</v>
      </c>
      <c r="M2190" s="14" t="s">
        <v>8484</v>
      </c>
      <c r="N2190" s="14" t="s">
        <v>8485</v>
      </c>
      <c r="O2190" s="11" t="str">
        <f>HYPERLINK("https://pbs.twimg.com/profile_images/411845409284161536/vhIg-rTL_normal.jpeg","View")</f>
        <v>View</v>
      </c>
      <c r="P2190" s="15"/>
    </row>
    <row r="2191">
      <c r="A2191" s="7">
        <v>42425.20076388889</v>
      </c>
      <c r="B2191" s="8" t="str">
        <f>HYPERLINK("https://twitter.com/R_Linux","@R_Linux")</f>
        <v>@R_Linux</v>
      </c>
      <c r="C2191" s="10" t="s">
        <v>10142</v>
      </c>
      <c r="D2191" s="10" t="s">
        <v>10135</v>
      </c>
      <c r="E2191" s="11" t="str">
        <f>HYPERLINK("https://twitter.com/R_Linux/status/702837724584112128","702837724584112128")</f>
        <v>702837724584112128</v>
      </c>
      <c r="F2191" s="12" t="s">
        <v>1573</v>
      </c>
      <c r="G2191" s="13">
        <v>625.0</v>
      </c>
      <c r="H2191" s="13">
        <v>249.0</v>
      </c>
      <c r="I2191" s="13">
        <v>25.0</v>
      </c>
      <c r="J2191" s="13">
        <v>0.0</v>
      </c>
      <c r="K2191" s="12" t="s">
        <v>21</v>
      </c>
      <c r="L2191" s="7">
        <v>40176.66961805556</v>
      </c>
      <c r="M2191" s="14" t="s">
        <v>6844</v>
      </c>
      <c r="N2191" s="14" t="s">
        <v>10143</v>
      </c>
      <c r="O2191" s="11" t="str">
        <f>HYPERLINK("https://pbs.twimg.com/profile_images/579164201576312833/fsAUfQne_normal.jpg","View")</f>
        <v>View</v>
      </c>
      <c r="P2191" s="15"/>
    </row>
    <row r="2192">
      <c r="A2192" s="7">
        <v>42425.204664351855</v>
      </c>
      <c r="B2192" s="8" t="str">
        <f>HYPERLINK("https://twitter.com/gaganbansal123","@gaganbansal123")</f>
        <v>@gaganbansal123</v>
      </c>
      <c r="C2192" s="10" t="s">
        <v>10144</v>
      </c>
      <c r="D2192" s="10" t="s">
        <v>9741</v>
      </c>
      <c r="E2192" s="11" t="str">
        <f>HYPERLINK("https://twitter.com/gaganbansal123/status/702839140870524928","702839140870524928")</f>
        <v>702839140870524928</v>
      </c>
      <c r="F2192" s="12" t="s">
        <v>152</v>
      </c>
      <c r="G2192" s="13">
        <v>47.0</v>
      </c>
      <c r="H2192" s="13">
        <v>227.0</v>
      </c>
      <c r="I2192" s="13">
        <v>12.0</v>
      </c>
      <c r="J2192" s="13">
        <v>0.0</v>
      </c>
      <c r="K2192" s="12" t="s">
        <v>21</v>
      </c>
      <c r="L2192" s="7">
        <v>41023.99266203704</v>
      </c>
      <c r="M2192" s="14" t="s">
        <v>1999</v>
      </c>
      <c r="N2192" s="16"/>
      <c r="O2192" s="11" t="str">
        <f>HYPERLINK("https://pbs.twimg.com/profile_images/378800000015034792/b27316ce0ff342e4c0825a9320a45339_normal.jpeg","View")</f>
        <v>View</v>
      </c>
      <c r="P2192" s="15"/>
    </row>
    <row r="2193">
      <c r="A2193" s="7">
        <v>42425.20533564815</v>
      </c>
      <c r="B2193" s="8" t="str">
        <f>HYPERLINK("https://twitter.com/MapOnBlackboard","@MapOnBlackboard")</f>
        <v>@MapOnBlackboard</v>
      </c>
      <c r="C2193" s="10" t="s">
        <v>10145</v>
      </c>
      <c r="D2193" s="10" t="s">
        <v>9741</v>
      </c>
      <c r="E2193" s="11" t="str">
        <f>HYPERLINK("https://twitter.com/MapOnBlackboard/status/702839382663770112","702839382663770112")</f>
        <v>702839382663770112</v>
      </c>
      <c r="F2193" s="12" t="s">
        <v>152</v>
      </c>
      <c r="G2193" s="13">
        <v>300.0</v>
      </c>
      <c r="H2193" s="13">
        <v>1204.0</v>
      </c>
      <c r="I2193" s="13">
        <v>12.0</v>
      </c>
      <c r="J2193" s="13">
        <v>0.0</v>
      </c>
      <c r="K2193" s="12" t="s">
        <v>21</v>
      </c>
      <c r="L2193" s="7">
        <v>42129.911828703705</v>
      </c>
      <c r="M2193" s="16"/>
      <c r="N2193" s="14" t="s">
        <v>10146</v>
      </c>
      <c r="O2193" s="11" t="str">
        <f>HYPERLINK("https://pbs.twimg.com/profile_images/632117607420661760/8Ju2GBWv_normal.png","View")</f>
        <v>View</v>
      </c>
      <c r="P2193" s="15"/>
    </row>
    <row r="2194">
      <c r="A2194" s="7">
        <v>42425.206284722226</v>
      </c>
      <c r="B2194" s="8" t="str">
        <f>HYPERLINK("https://twitter.com/HassellMichael","@HassellMichael")</f>
        <v>@HassellMichael</v>
      </c>
      <c r="C2194" s="10" t="s">
        <v>10147</v>
      </c>
      <c r="D2194" s="10" t="s">
        <v>9093</v>
      </c>
      <c r="E2194" s="11" t="str">
        <f>HYPERLINK("https://twitter.com/HassellMichael/status/702839728169689088","702839728169689088")</f>
        <v>702839728169689088</v>
      </c>
      <c r="F2194" s="12" t="s">
        <v>52</v>
      </c>
      <c r="G2194" s="13">
        <v>302.0</v>
      </c>
      <c r="H2194" s="13">
        <v>225.0</v>
      </c>
      <c r="I2194" s="13">
        <v>2.0</v>
      </c>
      <c r="J2194" s="13">
        <v>0.0</v>
      </c>
      <c r="K2194" s="12" t="s">
        <v>21</v>
      </c>
      <c r="L2194" s="7">
        <v>41503.40498842593</v>
      </c>
      <c r="M2194" s="14" t="s">
        <v>10148</v>
      </c>
      <c r="N2194" s="14" t="s">
        <v>10149</v>
      </c>
      <c r="O2194" s="11" t="str">
        <f>HYPERLINK("https://pbs.twimg.com/profile_images/378800000351818727/d32acff0d943bede4eb8c892c2546bd2_normal.jpeg","View")</f>
        <v>View</v>
      </c>
      <c r="P2194" s="15"/>
    </row>
    <row r="2195">
      <c r="A2195" s="7">
        <v>42425.20822916667</v>
      </c>
      <c r="B2195" s="8" t="str">
        <f>HYPERLINK("https://twitter.com/rile_crystal","@rile_crystal")</f>
        <v>@rile_crystal</v>
      </c>
      <c r="C2195" s="10" t="s">
        <v>10150</v>
      </c>
      <c r="D2195" s="10" t="s">
        <v>10135</v>
      </c>
      <c r="E2195" s="11" t="str">
        <f>HYPERLINK("https://twitter.com/rile_crystal/status/702840429830483969","702840429830483969")</f>
        <v>702840429830483969</v>
      </c>
      <c r="F2195" s="12" t="s">
        <v>152</v>
      </c>
      <c r="G2195" s="13">
        <v>64.0</v>
      </c>
      <c r="H2195" s="13">
        <v>71.0</v>
      </c>
      <c r="I2195" s="13">
        <v>25.0</v>
      </c>
      <c r="J2195" s="13">
        <v>0.0</v>
      </c>
      <c r="K2195" s="12" t="s">
        <v>21</v>
      </c>
      <c r="L2195" s="7">
        <v>40140.818136574075</v>
      </c>
      <c r="M2195" s="14" t="s">
        <v>10151</v>
      </c>
      <c r="N2195" s="14" t="s">
        <v>10152</v>
      </c>
      <c r="O2195" s="11" t="str">
        <f>HYPERLINK("https://pbs.twimg.com/profile_images/647087537127714816/rXgMORUL_normal.png","View")</f>
        <v>View</v>
      </c>
      <c r="P2195" s="15"/>
    </row>
    <row r="2196">
      <c r="A2196" s="7">
        <v>42425.20966435185</v>
      </c>
      <c r="B2196" s="8" t="str">
        <f>HYPERLINK("https://twitter.com/nekrum","@nekrum")</f>
        <v>@nekrum</v>
      </c>
      <c r="C2196" s="10" t="s">
        <v>6885</v>
      </c>
      <c r="D2196" s="10" t="s">
        <v>10070</v>
      </c>
      <c r="E2196" s="11" t="str">
        <f>HYPERLINK("https://twitter.com/nekrum/status/702840950045827072","702840950045827072")</f>
        <v>702840950045827072</v>
      </c>
      <c r="F2196" s="12" t="s">
        <v>152</v>
      </c>
      <c r="G2196" s="13">
        <v>116.0</v>
      </c>
      <c r="H2196" s="13">
        <v>307.0</v>
      </c>
      <c r="I2196" s="13">
        <v>13.0</v>
      </c>
      <c r="J2196" s="13">
        <v>0.0</v>
      </c>
      <c r="K2196" s="12" t="s">
        <v>21</v>
      </c>
      <c r="L2196" s="7">
        <v>39800.53101851852</v>
      </c>
      <c r="M2196" s="14" t="s">
        <v>6886</v>
      </c>
      <c r="N2196" s="14" t="s">
        <v>6887</v>
      </c>
      <c r="O2196" s="11" t="str">
        <f>HYPERLINK("https://pbs.twimg.com/profile_images/119769350/logo-azul-blanco_normal.png","View")</f>
        <v>View</v>
      </c>
      <c r="P2196" s="15"/>
    </row>
    <row r="2197">
      <c r="A2197" s="7">
        <v>42425.21150462963</v>
      </c>
      <c r="B2197" s="8" t="str">
        <f>HYPERLINK("https://twitter.com/SuaJorge","@SuaJorge")</f>
        <v>@SuaJorge</v>
      </c>
      <c r="C2197" s="10" t="s">
        <v>9862</v>
      </c>
      <c r="D2197" s="10" t="s">
        <v>9924</v>
      </c>
      <c r="E2197" s="11" t="str">
        <f>HYPERLINK("https://twitter.com/SuaJorge/status/702841618777432064","702841618777432064")</f>
        <v>702841618777432064</v>
      </c>
      <c r="F2197" s="12" t="s">
        <v>152</v>
      </c>
      <c r="G2197" s="13">
        <v>143.0</v>
      </c>
      <c r="H2197" s="13">
        <v>508.0</v>
      </c>
      <c r="I2197" s="13">
        <v>4.0</v>
      </c>
      <c r="J2197" s="13">
        <v>0.0</v>
      </c>
      <c r="K2197" s="12" t="s">
        <v>21</v>
      </c>
      <c r="L2197" s="7">
        <v>40933.82329861111</v>
      </c>
      <c r="M2197" s="14" t="s">
        <v>1183</v>
      </c>
      <c r="N2197" s="14" t="s">
        <v>9864</v>
      </c>
      <c r="O2197" s="11" t="str">
        <f>HYPERLINK("https://pbs.twimg.com/profile_images/3579478848/d21d05d0b1a1a517e269f11746f6016a_normal.jpeg","View")</f>
        <v>View</v>
      </c>
      <c r="P2197" s="15"/>
    </row>
    <row r="2198">
      <c r="A2198" s="7">
        <v>42425.217511574076</v>
      </c>
      <c r="B2198" s="8" t="str">
        <f>HYPERLINK("https://twitter.com/sensinum","@sensinum")</f>
        <v>@sensinum</v>
      </c>
      <c r="C2198" s="10" t="s">
        <v>821</v>
      </c>
      <c r="D2198" s="10" t="s">
        <v>10070</v>
      </c>
      <c r="E2198" s="11" t="str">
        <f>HYPERLINK("https://twitter.com/sensinum/status/702843793586962433","702843793586962433")</f>
        <v>702843793586962433</v>
      </c>
      <c r="F2198" s="12" t="s">
        <v>20</v>
      </c>
      <c r="G2198" s="13">
        <v>580.0</v>
      </c>
      <c r="H2198" s="13">
        <v>2784.0</v>
      </c>
      <c r="I2198" s="13">
        <v>13.0</v>
      </c>
      <c r="J2198" s="13">
        <v>0.0</v>
      </c>
      <c r="K2198" s="12" t="s">
        <v>21</v>
      </c>
      <c r="L2198" s="7">
        <v>42055.251296296294</v>
      </c>
      <c r="M2198" s="14" t="s">
        <v>822</v>
      </c>
      <c r="N2198" s="14" t="s">
        <v>823</v>
      </c>
      <c r="O2198" s="11" t="str">
        <f>HYPERLINK("https://pbs.twimg.com/profile_images/568832444233555968/ckatBsdG_normal.jpeg","View")</f>
        <v>View</v>
      </c>
      <c r="P2198" s="15"/>
    </row>
    <row r="2199">
      <c r="A2199" s="7">
        <v>42425.218090277776</v>
      </c>
      <c r="B2199" s="8" t="str">
        <f>HYPERLINK("https://twitter.com/EvoMellor","@EvoMellor")</f>
        <v>@EvoMellor</v>
      </c>
      <c r="C2199" s="10" t="s">
        <v>10153</v>
      </c>
      <c r="D2199" s="10" t="s">
        <v>10080</v>
      </c>
      <c r="E2199" s="11" t="str">
        <f>HYPERLINK("https://twitter.com/EvoMellor/status/702844003587334145","702844003587334145")</f>
        <v>702844003587334145</v>
      </c>
      <c r="F2199" s="12" t="s">
        <v>659</v>
      </c>
      <c r="G2199" s="13">
        <v>366.0</v>
      </c>
      <c r="H2199" s="13">
        <v>640.0</v>
      </c>
      <c r="I2199" s="13">
        <v>2.0</v>
      </c>
      <c r="J2199" s="13">
        <v>0.0</v>
      </c>
      <c r="K2199" s="12" t="s">
        <v>21</v>
      </c>
      <c r="L2199" s="7">
        <v>39874.60077546296</v>
      </c>
      <c r="M2199" s="14" t="s">
        <v>10154</v>
      </c>
      <c r="N2199" s="14" t="s">
        <v>10155</v>
      </c>
      <c r="O2199" s="11" t="str">
        <f>HYPERLINK("https://pbs.twimg.com/profile_images/673972563719102465/CE5h6NwN_normal.jpg","View")</f>
        <v>View</v>
      </c>
      <c r="P2199" s="15"/>
    </row>
    <row r="2200">
      <c r="A2200" s="7">
        <v>42425.219201388885</v>
      </c>
      <c r="B2200" s="8" t="str">
        <f>HYPERLINK("https://twitter.com/dprice_chile","@dprice_chile")</f>
        <v>@dprice_chile</v>
      </c>
      <c r="C2200" s="10" t="s">
        <v>10156</v>
      </c>
      <c r="D2200" s="10" t="s">
        <v>9581</v>
      </c>
      <c r="E2200" s="11" t="str">
        <f>HYPERLINK("https://twitter.com/dprice_chile/status/702844407494660096","702844407494660096")</f>
        <v>702844407494660096</v>
      </c>
      <c r="F2200" s="12" t="s">
        <v>20</v>
      </c>
      <c r="G2200" s="13">
        <v>46.0</v>
      </c>
      <c r="H2200" s="13">
        <v>83.0</v>
      </c>
      <c r="I2200" s="13">
        <v>3.0</v>
      </c>
      <c r="J2200" s="13">
        <v>0.0</v>
      </c>
      <c r="K2200" s="12" t="s">
        <v>21</v>
      </c>
      <c r="L2200" s="7">
        <v>41616.80131944444</v>
      </c>
      <c r="M2200" s="16"/>
      <c r="N2200" s="16"/>
      <c r="O2200" s="11" t="str">
        <f>HYPERLINK("https://pbs.twimg.com/profile_images/423821336545218561/etzqOu_o_normal.png","View")</f>
        <v>View</v>
      </c>
      <c r="P2200" s="15"/>
    </row>
    <row r="2201">
      <c r="A2201" s="7">
        <v>42425.222083333334</v>
      </c>
      <c r="B2201" s="8" t="str">
        <f>HYPERLINK("https://twitter.com/meyer_fanny","@meyer_fanny")</f>
        <v>@meyer_fanny</v>
      </c>
      <c r="C2201" s="10" t="s">
        <v>10157</v>
      </c>
      <c r="D2201" s="10" t="s">
        <v>10158</v>
      </c>
      <c r="E2201" s="11" t="str">
        <f>HYPERLINK("https://twitter.com/meyer_fanny/status/702845450882301952","702845450882301952")</f>
        <v>702845450882301952</v>
      </c>
      <c r="F2201" s="12" t="s">
        <v>20</v>
      </c>
      <c r="G2201" s="13">
        <v>17.0</v>
      </c>
      <c r="H2201" s="13">
        <v>32.0</v>
      </c>
      <c r="I2201" s="13">
        <v>6.0</v>
      </c>
      <c r="J2201" s="13">
        <v>0.0</v>
      </c>
      <c r="K2201" s="12" t="s">
        <v>21</v>
      </c>
      <c r="L2201" s="7">
        <v>41372.38318287037</v>
      </c>
      <c r="M2201" s="16"/>
      <c r="N2201" s="16"/>
      <c r="O2201" s="11" t="str">
        <f>HYPERLINK("https://pbs.twimg.com/profile_images/700679141541019649/a1fGezRk_normal.png","View")</f>
        <v>View</v>
      </c>
      <c r="P2201" s="15"/>
    </row>
    <row r="2202">
      <c r="A2202" s="7">
        <v>42425.224016203705</v>
      </c>
      <c r="B2202" s="8" t="str">
        <f>HYPERLINK("https://twitter.com/ChCariou","@ChCariou")</f>
        <v>@ChCariou</v>
      </c>
      <c r="C2202" s="10" t="s">
        <v>10159</v>
      </c>
      <c r="D2202" s="10" t="s">
        <v>10160</v>
      </c>
      <c r="E2202" s="11" t="str">
        <f>HYPERLINK("https://twitter.com/ChCariou/status/702846149959557120","702846149959557120")</f>
        <v>702846149959557120</v>
      </c>
      <c r="F2202" s="12" t="s">
        <v>20</v>
      </c>
      <c r="G2202" s="13">
        <v>402.0</v>
      </c>
      <c r="H2202" s="13">
        <v>442.0</v>
      </c>
      <c r="I2202" s="13">
        <v>0.0</v>
      </c>
      <c r="J2202" s="13">
        <v>0.0</v>
      </c>
      <c r="K2202" s="12" t="s">
        <v>21</v>
      </c>
      <c r="L2202" s="7">
        <v>40836.00261574074</v>
      </c>
      <c r="M2202" s="14" t="s">
        <v>10161</v>
      </c>
      <c r="N2202" s="14" t="s">
        <v>10162</v>
      </c>
      <c r="O2202" s="11" t="str">
        <f>HYPERLINK("https://pbs.twimg.com/profile_images/646034538691461121/EtcgHvoh_normal.jpg","View")</f>
        <v>View</v>
      </c>
      <c r="P2202" s="15"/>
    </row>
    <row r="2203">
      <c r="A2203" s="7">
        <v>42425.22516203704</v>
      </c>
      <c r="B2203" s="8" t="str">
        <f>HYPERLINK("https://twitter.com/meyer_fanny","@meyer_fanny")</f>
        <v>@meyer_fanny</v>
      </c>
      <c r="C2203" s="10" t="s">
        <v>10157</v>
      </c>
      <c r="D2203" s="10" t="s">
        <v>10163</v>
      </c>
      <c r="E2203" s="11" t="str">
        <f>HYPERLINK("https://twitter.com/meyer_fanny/status/702846566093221888","702846566093221888")</f>
        <v>702846566093221888</v>
      </c>
      <c r="F2203" s="12" t="s">
        <v>20</v>
      </c>
      <c r="G2203" s="13">
        <v>17.0</v>
      </c>
      <c r="H2203" s="13">
        <v>32.0</v>
      </c>
      <c r="I2203" s="13">
        <v>4.0</v>
      </c>
      <c r="J2203" s="13">
        <v>0.0</v>
      </c>
      <c r="K2203" s="12" t="s">
        <v>21</v>
      </c>
      <c r="L2203" s="7">
        <v>41372.38318287037</v>
      </c>
      <c r="M2203" s="16"/>
      <c r="N2203" s="16"/>
      <c r="O2203" s="11" t="str">
        <f>HYPERLINK("https://pbs.twimg.com/profile_images/700679141541019649/a1fGezRk_normal.png","View")</f>
        <v>View</v>
      </c>
      <c r="P2203" s="15"/>
    </row>
    <row r="2204">
      <c r="A2204" s="7">
        <v>42425.225625</v>
      </c>
      <c r="B2204" s="8" t="str">
        <f>HYPERLINK("https://twitter.com/ChCariou","@ChCariou")</f>
        <v>@ChCariou</v>
      </c>
      <c r="C2204" s="10" t="s">
        <v>10159</v>
      </c>
      <c r="D2204" s="10" t="s">
        <v>10164</v>
      </c>
      <c r="E2204" s="11" t="str">
        <f>HYPERLINK("https://twitter.com/ChCariou/status/702846735194963968","702846735194963968")</f>
        <v>702846735194963968</v>
      </c>
      <c r="F2204" s="12" t="s">
        <v>20</v>
      </c>
      <c r="G2204" s="13">
        <v>402.0</v>
      </c>
      <c r="H2204" s="13">
        <v>442.0</v>
      </c>
      <c r="I2204" s="13">
        <v>0.0</v>
      </c>
      <c r="J2204" s="13">
        <v>0.0</v>
      </c>
      <c r="K2204" s="12" t="s">
        <v>21</v>
      </c>
      <c r="L2204" s="7">
        <v>40836.00261574074</v>
      </c>
      <c r="M2204" s="14" t="s">
        <v>10161</v>
      </c>
      <c r="N2204" s="14" t="s">
        <v>10162</v>
      </c>
      <c r="O2204" s="11" t="str">
        <f>HYPERLINK("https://pbs.twimg.com/profile_images/646034538691461121/EtcgHvoh_normal.jpg","View")</f>
        <v>View</v>
      </c>
      <c r="P2204" s="15"/>
    </row>
    <row r="2205">
      <c r="A2205" s="7">
        <v>42425.22793981481</v>
      </c>
      <c r="B2205" s="8" t="str">
        <f t="shared" ref="B2205:B2206" si="243">HYPERLINK("https://twitter.com/StatistikInDD","@StatistikInDD")</f>
        <v>@StatistikInDD</v>
      </c>
      <c r="C2205" s="10" t="s">
        <v>10165</v>
      </c>
      <c r="D2205" s="10" t="s">
        <v>8638</v>
      </c>
      <c r="E2205" s="11" t="str">
        <f>HYPERLINK("https://twitter.com/StatistikInDD/status/702847573762011136","702847573762011136")</f>
        <v>702847573762011136</v>
      </c>
      <c r="F2205" s="12" t="s">
        <v>20</v>
      </c>
      <c r="G2205" s="13">
        <v>316.0</v>
      </c>
      <c r="H2205" s="13">
        <v>143.0</v>
      </c>
      <c r="I2205" s="13">
        <v>8.0</v>
      </c>
      <c r="J2205" s="13">
        <v>0.0</v>
      </c>
      <c r="K2205" s="12" t="s">
        <v>21</v>
      </c>
      <c r="L2205" s="7">
        <v>41060.040185185186</v>
      </c>
      <c r="M2205" s="14" t="s">
        <v>10166</v>
      </c>
      <c r="N2205" s="14" t="s">
        <v>10167</v>
      </c>
      <c r="O2205" s="11" t="str">
        <f t="shared" ref="O2205:O2206" si="244">HYPERLINK("https://pbs.twimg.com/profile_images/694618434664054785/VVZ0bwKg_normal.png","View")</f>
        <v>View</v>
      </c>
      <c r="P2205" s="15"/>
    </row>
    <row r="2206">
      <c r="A2206" s="7">
        <v>42425.229421296295</v>
      </c>
      <c r="B2206" s="8" t="str">
        <f t="shared" si="243"/>
        <v>@StatistikInDD</v>
      </c>
      <c r="C2206" s="10" t="s">
        <v>10165</v>
      </c>
      <c r="D2206" s="10" t="s">
        <v>10168</v>
      </c>
      <c r="E2206" s="11" t="str">
        <f>HYPERLINK("https://twitter.com/StatistikInDD/status/702848110226247681","702848110226247681")</f>
        <v>702848110226247681</v>
      </c>
      <c r="F2206" s="12" t="s">
        <v>20</v>
      </c>
      <c r="G2206" s="13">
        <v>316.0</v>
      </c>
      <c r="H2206" s="13">
        <v>143.0</v>
      </c>
      <c r="I2206" s="13">
        <v>0.0</v>
      </c>
      <c r="J2206" s="13">
        <v>0.0</v>
      </c>
      <c r="K2206" s="12" t="s">
        <v>21</v>
      </c>
      <c r="L2206" s="7">
        <v>41060.040185185186</v>
      </c>
      <c r="M2206" s="14" t="s">
        <v>10166</v>
      </c>
      <c r="N2206" s="14" t="s">
        <v>10167</v>
      </c>
      <c r="O2206" s="11" t="str">
        <f t="shared" si="244"/>
        <v>View</v>
      </c>
      <c r="P2206" s="15"/>
    </row>
    <row r="2207">
      <c r="A2207" s="7">
        <v>42425.230474537035</v>
      </c>
      <c r="B2207" s="8" t="str">
        <f>HYPERLINK("https://twitter.com/dr_eldersveld","@dr_eldersveld")</f>
        <v>@dr_eldersveld</v>
      </c>
      <c r="C2207" s="10" t="s">
        <v>9819</v>
      </c>
      <c r="D2207" s="10" t="s">
        <v>10169</v>
      </c>
      <c r="E2207" s="11" t="str">
        <f>HYPERLINK("https://twitter.com/dr_eldersveld/status/702848490460815360","702848490460815360")</f>
        <v>702848490460815360</v>
      </c>
      <c r="F2207" s="12" t="s">
        <v>20</v>
      </c>
      <c r="G2207" s="13">
        <v>237.0</v>
      </c>
      <c r="H2207" s="13">
        <v>376.0</v>
      </c>
      <c r="I2207" s="13">
        <v>5.0</v>
      </c>
      <c r="J2207" s="13">
        <v>5.0</v>
      </c>
      <c r="K2207" s="12" t="s">
        <v>21</v>
      </c>
      <c r="L2207" s="7">
        <v>41565.423680555556</v>
      </c>
      <c r="M2207" s="14" t="s">
        <v>6416</v>
      </c>
      <c r="N2207" s="14" t="s">
        <v>9821</v>
      </c>
      <c r="O2207" s="11" t="str">
        <f>HYPERLINK("https://pbs.twimg.com/profile_images/622068124599238656/7mJZq698_normal.png","View")</f>
        <v>View</v>
      </c>
      <c r="P2207" s="15"/>
    </row>
    <row r="2208">
      <c r="A2208" s="7">
        <v>42425.23273148148</v>
      </c>
      <c r="B2208" s="8" t="str">
        <f>HYPERLINK("https://twitter.com/timelyportfolio","@timelyportfolio")</f>
        <v>@timelyportfolio</v>
      </c>
      <c r="C2208" s="10" t="s">
        <v>3698</v>
      </c>
      <c r="D2208" s="10" t="s">
        <v>10114</v>
      </c>
      <c r="E2208" s="11" t="str">
        <f>HYPERLINK("https://twitter.com/timelyportfolio/status/702849309038002176","702849309038002176")</f>
        <v>702849309038002176</v>
      </c>
      <c r="F2208" s="12" t="s">
        <v>20</v>
      </c>
      <c r="G2208" s="13">
        <v>1875.0</v>
      </c>
      <c r="H2208" s="13">
        <v>2248.0</v>
      </c>
      <c r="I2208" s="13">
        <v>3.0</v>
      </c>
      <c r="J2208" s="13">
        <v>0.0</v>
      </c>
      <c r="K2208" s="12" t="s">
        <v>21</v>
      </c>
      <c r="L2208" s="7">
        <v>40573.86280092593</v>
      </c>
      <c r="M2208" s="14" t="s">
        <v>3700</v>
      </c>
      <c r="N2208" s="14" t="s">
        <v>3701</v>
      </c>
      <c r="O2208" s="11" t="str">
        <f>HYPERLINK("https://pbs.twimg.com/profile_images/2198946077/image_normal.jpg","View")</f>
        <v>View</v>
      </c>
      <c r="P2208" s="15"/>
    </row>
    <row r="2209">
      <c r="A2209" s="7">
        <v>42425.23799768518</v>
      </c>
      <c r="B2209" s="8" t="str">
        <f>HYPERLINK("https://twitter.com/hope_foley","@hope_foley")</f>
        <v>@hope_foley</v>
      </c>
      <c r="C2209" s="10" t="s">
        <v>10170</v>
      </c>
      <c r="D2209" s="10" t="s">
        <v>10171</v>
      </c>
      <c r="E2209" s="11" t="str">
        <f>HYPERLINK("https://twitter.com/hope_foley/status/702851216976445440","702851216976445440")</f>
        <v>702851216976445440</v>
      </c>
      <c r="F2209" s="12" t="s">
        <v>446</v>
      </c>
      <c r="G2209" s="13">
        <v>1499.0</v>
      </c>
      <c r="H2209" s="13">
        <v>611.0</v>
      </c>
      <c r="I2209" s="13">
        <v>5.0</v>
      </c>
      <c r="J2209" s="13">
        <v>0.0</v>
      </c>
      <c r="K2209" s="12" t="s">
        <v>21</v>
      </c>
      <c r="L2209" s="7">
        <v>40212.30621527778</v>
      </c>
      <c r="M2209" s="16"/>
      <c r="N2209" s="14" t="s">
        <v>10172</v>
      </c>
      <c r="O2209" s="11" t="str">
        <f>HYPERLINK("https://pbs.twimg.com/profile_images/3595255135/fb511fcbc07ba9c16803af7bc7180b0c_normal.jpeg","View")</f>
        <v>View</v>
      </c>
      <c r="P2209" s="15"/>
    </row>
    <row r="2210">
      <c r="A2210" s="7">
        <v>42425.2466087963</v>
      </c>
      <c r="B2210" s="8" t="str">
        <f>HYPERLINK("https://twitter.com/skilloak","@skilloak")</f>
        <v>@skilloak</v>
      </c>
      <c r="C2210" s="10" t="s">
        <v>5999</v>
      </c>
      <c r="D2210" s="10" t="s">
        <v>10173</v>
      </c>
      <c r="E2210" s="11" t="str">
        <f>HYPERLINK("https://twitter.com/skilloak/status/702854339144974336","702854339144974336")</f>
        <v>702854339144974336</v>
      </c>
      <c r="F2210" s="12" t="s">
        <v>446</v>
      </c>
      <c r="G2210" s="13">
        <v>2427.0</v>
      </c>
      <c r="H2210" s="13">
        <v>338.0</v>
      </c>
      <c r="I2210" s="13">
        <v>0.0</v>
      </c>
      <c r="J2210" s="13">
        <v>1.0</v>
      </c>
      <c r="K2210" s="12" t="s">
        <v>21</v>
      </c>
      <c r="L2210" s="7">
        <v>41308.39502314815</v>
      </c>
      <c r="M2210" s="16"/>
      <c r="N2210" s="14" t="s">
        <v>6001</v>
      </c>
      <c r="O2210" s="11" t="str">
        <f>HYPERLINK("https://pbs.twimg.com/profile_images/670315479517413376/Kkf5JA8s_normal.png","View")</f>
        <v>View</v>
      </c>
      <c r="P2210" s="15"/>
    </row>
    <row r="2211">
      <c r="A2211" s="7">
        <v>42425.24690972222</v>
      </c>
      <c r="B2211" s="8" t="str">
        <f>HYPERLINK("https://twitter.com/i_am_shadab","@i_am_shadab")</f>
        <v>@i_am_shadab</v>
      </c>
      <c r="C2211" s="10" t="s">
        <v>10174</v>
      </c>
      <c r="D2211" s="10" t="s">
        <v>10171</v>
      </c>
      <c r="E2211" s="11" t="str">
        <f>HYPERLINK("https://twitter.com/i_am_shadab/status/702854450029809664","702854450029809664")</f>
        <v>702854450029809664</v>
      </c>
      <c r="F2211" s="12" t="s">
        <v>152</v>
      </c>
      <c r="G2211" s="13">
        <v>49.0</v>
      </c>
      <c r="H2211" s="13">
        <v>229.0</v>
      </c>
      <c r="I2211" s="13">
        <v>5.0</v>
      </c>
      <c r="J2211" s="13">
        <v>0.0</v>
      </c>
      <c r="K2211" s="12" t="s">
        <v>21</v>
      </c>
      <c r="L2211" s="7">
        <v>40269.28695601852</v>
      </c>
      <c r="M2211" s="16"/>
      <c r="N2211" s="14" t="s">
        <v>10175</v>
      </c>
      <c r="O2211" s="11" t="str">
        <f>HYPERLINK("https://pbs.twimg.com/profile_images/378800000167191761/2cfb5965d7c041e8119e5d7e2519e975_normal.jpeg","View")</f>
        <v>View</v>
      </c>
      <c r="P2211" s="15"/>
    </row>
    <row r="2212">
      <c r="A2212" s="7">
        <v>42425.24884259259</v>
      </c>
      <c r="B2212" s="8" t="str">
        <f>HYPERLINK("https://twitter.com/mariacdangelo","@mariacdangelo")</f>
        <v>@mariacdangelo</v>
      </c>
      <c r="C2212" s="10" t="s">
        <v>7850</v>
      </c>
      <c r="D2212" s="10" t="s">
        <v>10176</v>
      </c>
      <c r="E2212" s="11" t="str">
        <f>HYPERLINK("https://twitter.com/mariacdangelo/status/702855147731292160","702855147731292160")</f>
        <v>702855147731292160</v>
      </c>
      <c r="F2212" s="12" t="s">
        <v>20</v>
      </c>
      <c r="G2212" s="13">
        <v>3.0</v>
      </c>
      <c r="H2212" s="13">
        <v>24.0</v>
      </c>
      <c r="I2212" s="13">
        <v>1.0</v>
      </c>
      <c r="J2212" s="13">
        <v>3.0</v>
      </c>
      <c r="K2212" s="12" t="s">
        <v>21</v>
      </c>
      <c r="L2212" s="7">
        <v>42403.75297453704</v>
      </c>
      <c r="M2212" s="14" t="s">
        <v>3278</v>
      </c>
      <c r="N2212" s="14" t="s">
        <v>7851</v>
      </c>
      <c r="O2212" s="11" t="str">
        <f>HYPERLINK("https://pbs.twimg.com/profile_images/697575915430268928/XyVBRxw4_normal.jpg","View")</f>
        <v>View</v>
      </c>
      <c r="P2212" s="15"/>
    </row>
    <row r="2213">
      <c r="A2213" s="7">
        <v>42425.249930555554</v>
      </c>
      <c r="B2213" s="8" t="str">
        <f>HYPERLINK("https://twitter.com/DerFredo","@DerFredo")</f>
        <v>@DerFredo</v>
      </c>
      <c r="C2213" s="10" t="s">
        <v>9771</v>
      </c>
      <c r="D2213" s="10" t="s">
        <v>10177</v>
      </c>
      <c r="E2213" s="11" t="str">
        <f>HYPERLINK("https://twitter.com/DerFredo/status/702855542641987584","702855542641987584")</f>
        <v>702855542641987584</v>
      </c>
      <c r="F2213" s="12" t="s">
        <v>152</v>
      </c>
      <c r="G2213" s="13">
        <v>432.0</v>
      </c>
      <c r="H2213" s="13">
        <v>547.0</v>
      </c>
      <c r="I2213" s="13">
        <v>3.0</v>
      </c>
      <c r="J2213" s="13">
        <v>1.0</v>
      </c>
      <c r="K2213" s="12" t="s">
        <v>21</v>
      </c>
      <c r="L2213" s="7">
        <v>39801.08034722222</v>
      </c>
      <c r="M2213" s="14" t="s">
        <v>9773</v>
      </c>
      <c r="N2213" s="14" t="s">
        <v>9774</v>
      </c>
      <c r="O2213" s="11" t="str">
        <f>HYPERLINK("https://pbs.twimg.com/profile_images/702262401882718208/LQ3N9NUM_normal.png","View")</f>
        <v>View</v>
      </c>
      <c r="P2213" s="15"/>
    </row>
    <row r="2214">
      <c r="A2214" s="7">
        <v>42425.25405092593</v>
      </c>
      <c r="B2214" s="8" t="str">
        <f>HYPERLINK("https://twitter.com/vitoaguiar","@vitoaguiar")</f>
        <v>@vitoaguiar</v>
      </c>
      <c r="C2214" s="10" t="s">
        <v>10178</v>
      </c>
      <c r="D2214" s="10" t="s">
        <v>10179</v>
      </c>
      <c r="E2214" s="11" t="str">
        <f>HYPERLINK("https://twitter.com/vitoaguiar/status/702857036162273280","702857036162273280")</f>
        <v>702857036162273280</v>
      </c>
      <c r="F2214" s="12" t="s">
        <v>20</v>
      </c>
      <c r="G2214" s="13">
        <v>136.0</v>
      </c>
      <c r="H2214" s="13">
        <v>236.0</v>
      </c>
      <c r="I2214" s="13">
        <v>0.0</v>
      </c>
      <c r="J2214" s="13">
        <v>2.0</v>
      </c>
      <c r="K2214" s="12" t="s">
        <v>21</v>
      </c>
      <c r="L2214" s="7">
        <v>40340.47454861111</v>
      </c>
      <c r="M2214" s="14" t="s">
        <v>3319</v>
      </c>
      <c r="N2214" s="14" t="s">
        <v>10180</v>
      </c>
      <c r="O2214" s="11" t="str">
        <f>HYPERLINK("https://pbs.twimg.com/profile_images/538141097692631040/h8Vps5Is_normal.jpeg","View")</f>
        <v>View</v>
      </c>
      <c r="P2214" s="15"/>
    </row>
    <row r="2215">
      <c r="A2215" s="7">
        <v>42425.25439814814</v>
      </c>
      <c r="B2215" s="8" t="str">
        <f>HYPERLINK("https://twitter.com/lwjohnst","@lwjohnst")</f>
        <v>@lwjohnst</v>
      </c>
      <c r="C2215" s="10" t="s">
        <v>6594</v>
      </c>
      <c r="D2215" s="10" t="s">
        <v>9813</v>
      </c>
      <c r="E2215" s="11" t="str">
        <f>HYPERLINK("https://twitter.com/lwjohnst/status/702857162545090560","702857162545090560")</f>
        <v>702857162545090560</v>
      </c>
      <c r="F2215" s="12" t="s">
        <v>6596</v>
      </c>
      <c r="G2215" s="13">
        <v>23.0</v>
      </c>
      <c r="H2215" s="13">
        <v>96.0</v>
      </c>
      <c r="I2215" s="13">
        <v>10.0</v>
      </c>
      <c r="J2215" s="13">
        <v>0.0</v>
      </c>
      <c r="K2215" s="12" t="s">
        <v>21</v>
      </c>
      <c r="L2215" s="7">
        <v>41292.84607638889</v>
      </c>
      <c r="M2215" s="14" t="s">
        <v>3278</v>
      </c>
      <c r="N2215" s="14" t="s">
        <v>6597</v>
      </c>
      <c r="O2215" s="11" t="str">
        <f>HYPERLINK("https://pbs.twimg.com/profile_images/656158193920282624/ziZx2OUQ_normal.jpg","View")</f>
        <v>View</v>
      </c>
      <c r="P2215" s="15"/>
    </row>
    <row r="2216">
      <c r="A2216" s="7">
        <v>42425.25614583334</v>
      </c>
      <c r="B2216" s="8" t="str">
        <f>HYPERLINK("https://twitter.com/JackkStat","@JackkStat")</f>
        <v>@JackkStat</v>
      </c>
      <c r="C2216" s="10" t="s">
        <v>10181</v>
      </c>
      <c r="D2216" s="10" t="s">
        <v>9983</v>
      </c>
      <c r="E2216" s="11" t="str">
        <f>HYPERLINK("https://twitter.com/JackkStat/status/702857797164118017","702857797164118017")</f>
        <v>702857797164118017</v>
      </c>
      <c r="F2216" s="12" t="s">
        <v>152</v>
      </c>
      <c r="G2216" s="13">
        <v>42.0</v>
      </c>
      <c r="H2216" s="13">
        <v>73.0</v>
      </c>
      <c r="I2216" s="13">
        <v>8.0</v>
      </c>
      <c r="J2216" s="13">
        <v>0.0</v>
      </c>
      <c r="K2216" s="12" t="s">
        <v>21</v>
      </c>
      <c r="L2216" s="7">
        <v>41428.697233796294</v>
      </c>
      <c r="M2216" s="14" t="s">
        <v>10182</v>
      </c>
      <c r="N2216" s="14" t="s">
        <v>10183</v>
      </c>
      <c r="O2216" s="11" t="str">
        <f>HYPERLINK("https://pbs.twimg.com/profile_images/378800000390483857/cc12f079276669c75efe2d29039d6163_normal.jpeg","View")</f>
        <v>View</v>
      </c>
      <c r="P2216" s="15"/>
    </row>
    <row r="2217">
      <c r="A2217" s="7">
        <v>42425.256516203706</v>
      </c>
      <c r="B2217" s="8" t="str">
        <f>HYPERLINK("https://twitter.com/steph_manning07","@steph_manning07")</f>
        <v>@steph_manning07</v>
      </c>
      <c r="C2217" s="10" t="s">
        <v>10184</v>
      </c>
      <c r="D2217" s="10" t="s">
        <v>9750</v>
      </c>
      <c r="E2217" s="11" t="str">
        <f>HYPERLINK("https://twitter.com/steph_manning07/status/702857928395649024","702857928395649024")</f>
        <v>702857928395649024</v>
      </c>
      <c r="F2217" s="12" t="s">
        <v>52</v>
      </c>
      <c r="G2217" s="13">
        <v>212.0</v>
      </c>
      <c r="H2217" s="13">
        <v>179.0</v>
      </c>
      <c r="I2217" s="13">
        <v>7.0</v>
      </c>
      <c r="J2217" s="13">
        <v>0.0</v>
      </c>
      <c r="K2217" s="12" t="s">
        <v>21</v>
      </c>
      <c r="L2217" s="7">
        <v>42332.54445601851</v>
      </c>
      <c r="M2217" s="14" t="s">
        <v>1018</v>
      </c>
      <c r="N2217" s="14" t="s">
        <v>10185</v>
      </c>
      <c r="O2217" s="11" t="str">
        <f>HYPERLINK("https://pbs.twimg.com/profile_images/669261937016836096/gxfawBCq_normal.jpg","View")</f>
        <v>View</v>
      </c>
      <c r="P2217" s="15"/>
    </row>
    <row r="2218">
      <c r="A2218" s="7">
        <v>42425.25797453704</v>
      </c>
      <c r="B2218" s="8" t="str">
        <f>HYPERLINK("https://twitter.com/exaptive","@exaptive")</f>
        <v>@exaptive</v>
      </c>
      <c r="C2218" s="10" t="s">
        <v>7410</v>
      </c>
      <c r="D2218" s="10" t="s">
        <v>10186</v>
      </c>
      <c r="E2218" s="11" t="str">
        <f>HYPERLINK("https://twitter.com/exaptive/status/702858457154719745","702858457154719745")</f>
        <v>702858457154719745</v>
      </c>
      <c r="F2218" s="12" t="s">
        <v>2737</v>
      </c>
      <c r="G2218" s="13">
        <v>379.0</v>
      </c>
      <c r="H2218" s="13">
        <v>301.0</v>
      </c>
      <c r="I2218" s="13">
        <v>4.0</v>
      </c>
      <c r="J2218" s="13">
        <v>5.0</v>
      </c>
      <c r="K2218" s="12" t="s">
        <v>21</v>
      </c>
      <c r="L2218" s="7">
        <v>41727.46494212963</v>
      </c>
      <c r="M2218" s="14" t="s">
        <v>1660</v>
      </c>
      <c r="N2218" s="14" t="s">
        <v>7412</v>
      </c>
      <c r="O2218" s="11" t="str">
        <f>HYPERLINK("https://pbs.twimg.com/profile_images/449982291742183424/FExvLFdl_normal.png","View")</f>
        <v>View</v>
      </c>
      <c r="P2218" s="15"/>
    </row>
    <row r="2219">
      <c r="A2219" s="7">
        <v>42425.257986111115</v>
      </c>
      <c r="B2219" s="8" t="str">
        <f>HYPERLINK("https://twitter.com/sentiwire","@sentiwire")</f>
        <v>@sentiwire</v>
      </c>
      <c r="C2219" s="10" t="s">
        <v>381</v>
      </c>
      <c r="D2219" s="10" t="s">
        <v>10187</v>
      </c>
      <c r="E2219" s="11" t="str">
        <f>HYPERLINK("https://twitter.com/sentiwire/status/702858461613166592","702858461613166592")</f>
        <v>702858461613166592</v>
      </c>
      <c r="F2219" s="12" t="s">
        <v>383</v>
      </c>
      <c r="G2219" s="13">
        <v>515.0</v>
      </c>
      <c r="H2219" s="13">
        <v>1716.0</v>
      </c>
      <c r="I2219" s="13">
        <v>4.0</v>
      </c>
      <c r="J2219" s="13">
        <v>0.0</v>
      </c>
      <c r="K2219" s="12" t="s">
        <v>21</v>
      </c>
      <c r="L2219" s="7">
        <v>41422.629641203705</v>
      </c>
      <c r="M2219" s="16"/>
      <c r="N2219" s="14" t="s">
        <v>384</v>
      </c>
      <c r="O2219" s="11" t="str">
        <f>HYPERLINK("https://pbs.twimg.com/profile_images/686965105473396736/B9V5UtGS_normal.jpg","View")</f>
        <v>View</v>
      </c>
      <c r="P2219" s="15"/>
    </row>
    <row r="2220">
      <c r="A2220" s="7">
        <v>42425.25975694445</v>
      </c>
      <c r="B2220" s="8" t="str">
        <f>HYPERLINK("https://twitter.com/NikoNeugebauer","@NikoNeugebauer")</f>
        <v>@NikoNeugebauer</v>
      </c>
      <c r="C2220" s="10" t="s">
        <v>10188</v>
      </c>
      <c r="D2220" s="10" t="s">
        <v>10189</v>
      </c>
      <c r="E2220" s="11" t="str">
        <f>HYPERLINK("https://twitter.com/NikoNeugebauer/status/702859102448435200","702859102448435200")</f>
        <v>702859102448435200</v>
      </c>
      <c r="F2220" s="12" t="s">
        <v>446</v>
      </c>
      <c r="G2220" s="13">
        <v>1630.0</v>
      </c>
      <c r="H2220" s="13">
        <v>483.0</v>
      </c>
      <c r="I2220" s="13">
        <v>3.0</v>
      </c>
      <c r="J2220" s="13">
        <v>0.0</v>
      </c>
      <c r="K2220" s="12" t="s">
        <v>21</v>
      </c>
      <c r="L2220" s="7">
        <v>40366.13046296296</v>
      </c>
      <c r="M2220" s="14" t="s">
        <v>10190</v>
      </c>
      <c r="N2220" s="14" t="s">
        <v>10191</v>
      </c>
      <c r="O2220" s="11" t="str">
        <f>HYPERLINK("https://pbs.twimg.com/profile_images/663717519581122560/hVXqWdXV_normal.png","View")</f>
        <v>View</v>
      </c>
      <c r="P2220" s="15"/>
    </row>
    <row r="2221">
      <c r="A2221" s="7">
        <v>42425.263090277775</v>
      </c>
      <c r="B2221" s="8" t="str">
        <f>HYPERLINK("https://twitter.com/enterpreiss_de","@enterpreiss_de")</f>
        <v>@enterpreiss_de</v>
      </c>
      <c r="C2221" s="10" t="s">
        <v>10192</v>
      </c>
      <c r="D2221" s="10" t="s">
        <v>10189</v>
      </c>
      <c r="E2221" s="11" t="str">
        <f>HYPERLINK("https://twitter.com/enterpreiss_de/status/702860309741043715","702860309741043715")</f>
        <v>702860309741043715</v>
      </c>
      <c r="F2221" s="12" t="s">
        <v>52</v>
      </c>
      <c r="G2221" s="13">
        <v>7.0</v>
      </c>
      <c r="H2221" s="13">
        <v>37.0</v>
      </c>
      <c r="I2221" s="13">
        <v>3.0</v>
      </c>
      <c r="J2221" s="13">
        <v>0.0</v>
      </c>
      <c r="K2221" s="12" t="s">
        <v>21</v>
      </c>
      <c r="L2221" s="7">
        <v>41192.21444444444</v>
      </c>
      <c r="M2221" s="16"/>
      <c r="N2221" s="16"/>
      <c r="O2221" s="11" t="str">
        <f>HYPERLINK("https://abs.twimg.com/sticky/default_profile_images/default_profile_1_normal.png","View")</f>
        <v>View</v>
      </c>
      <c r="P2221" s="15"/>
    </row>
    <row r="2222">
      <c r="A2222" s="7">
        <v>42425.26459490741</v>
      </c>
      <c r="B2222" s="8" t="str">
        <f>HYPERLINK("https://twitter.com/MangoTheCat","@MangoTheCat")</f>
        <v>@MangoTheCat</v>
      </c>
      <c r="C2222" s="10" t="s">
        <v>6321</v>
      </c>
      <c r="D2222" s="10" t="s">
        <v>10193</v>
      </c>
      <c r="E2222" s="11" t="str">
        <f>HYPERLINK("https://twitter.com/MangoTheCat/status/702860858745970688","702860858745970688")</f>
        <v>702860858745970688</v>
      </c>
      <c r="F2222" s="12" t="s">
        <v>47</v>
      </c>
      <c r="G2222" s="13">
        <v>2041.0</v>
      </c>
      <c r="H2222" s="13">
        <v>2855.0</v>
      </c>
      <c r="I2222" s="13">
        <v>0.0</v>
      </c>
      <c r="J2222" s="13">
        <v>0.0</v>
      </c>
      <c r="K2222" s="12" t="s">
        <v>21</v>
      </c>
      <c r="L2222" s="7">
        <v>39854.3178587963</v>
      </c>
      <c r="M2222" s="14" t="s">
        <v>6323</v>
      </c>
      <c r="N2222" s="14" t="s">
        <v>6324</v>
      </c>
      <c r="O2222" s="11" t="str">
        <f>HYPERLINK("https://pbs.twimg.com/profile_images/641183991077445633/V7VcBpJI_normal.png","View")</f>
        <v>View</v>
      </c>
      <c r="P2222" s="15"/>
    </row>
    <row r="2223">
      <c r="A2223" s="7">
        <v>42425.26488425926</v>
      </c>
      <c r="B2223" s="8" t="str">
        <f>HYPERLINK("https://twitter.com/rozran00","@rozran00")</f>
        <v>@rozran00</v>
      </c>
      <c r="C2223" s="10" t="s">
        <v>9441</v>
      </c>
      <c r="D2223" s="10" t="s">
        <v>10194</v>
      </c>
      <c r="E2223" s="11" t="str">
        <f>HYPERLINK("https://twitter.com/rozran00/status/702860960512536576","702860960512536576")</f>
        <v>702860960512536576</v>
      </c>
      <c r="F2223" s="12" t="s">
        <v>20</v>
      </c>
      <c r="G2223" s="13">
        <v>120.0</v>
      </c>
      <c r="H2223" s="13">
        <v>534.0</v>
      </c>
      <c r="I2223" s="13">
        <v>0.0</v>
      </c>
      <c r="J2223" s="13">
        <v>1.0</v>
      </c>
      <c r="K2223" s="12" t="s">
        <v>21</v>
      </c>
      <c r="L2223" s="7">
        <v>40511.25271990741</v>
      </c>
      <c r="M2223" s="16"/>
      <c r="N2223" s="14" t="s">
        <v>9443</v>
      </c>
      <c r="O2223" s="11" t="str">
        <f>HYPERLINK("https://pbs.twimg.com/profile_images/2361292355/gf9ajbec7ejo7zkf58hl_normal.jpeg","View")</f>
        <v>View</v>
      </c>
      <c r="P2223" s="15"/>
    </row>
    <row r="2224">
      <c r="A2224" s="7">
        <v>42425.2659837963</v>
      </c>
      <c r="B2224" s="8" t="str">
        <f>HYPERLINK("https://twitter.com/MangoTheCat","@MangoTheCat")</f>
        <v>@MangoTheCat</v>
      </c>
      <c r="C2224" s="10" t="s">
        <v>6321</v>
      </c>
      <c r="D2224" s="10" t="s">
        <v>10195</v>
      </c>
      <c r="E2224" s="11" t="str">
        <f>HYPERLINK("https://twitter.com/MangoTheCat/status/702861360078565376","702861360078565376")</f>
        <v>702861360078565376</v>
      </c>
      <c r="F2224" s="12" t="s">
        <v>47</v>
      </c>
      <c r="G2224" s="13">
        <v>2041.0</v>
      </c>
      <c r="H2224" s="13">
        <v>2855.0</v>
      </c>
      <c r="I2224" s="13">
        <v>0.0</v>
      </c>
      <c r="J2224" s="13">
        <v>2.0</v>
      </c>
      <c r="K2224" s="12" t="s">
        <v>21</v>
      </c>
      <c r="L2224" s="7">
        <v>39854.3178587963</v>
      </c>
      <c r="M2224" s="14" t="s">
        <v>6323</v>
      </c>
      <c r="N2224" s="14" t="s">
        <v>6324</v>
      </c>
      <c r="O2224" s="11" t="str">
        <f>HYPERLINK("https://pbs.twimg.com/profile_images/641183991077445633/V7VcBpJI_normal.png","View")</f>
        <v>View</v>
      </c>
      <c r="P2224" s="15"/>
    </row>
    <row r="2225">
      <c r="A2225" s="7">
        <v>42425.2665625</v>
      </c>
      <c r="B2225" s="8" t="str">
        <f>HYPERLINK("https://twitter.com/HBorisUITP","@HBorisUITP")</f>
        <v>@HBorisUITP</v>
      </c>
      <c r="C2225" s="10" t="s">
        <v>10196</v>
      </c>
      <c r="D2225" s="10" t="s">
        <v>8334</v>
      </c>
      <c r="E2225" s="11" t="str">
        <f>HYPERLINK("https://twitter.com/HBorisUITP/status/702861571060531200","702861571060531200")</f>
        <v>702861571060531200</v>
      </c>
      <c r="F2225" s="12" t="s">
        <v>20</v>
      </c>
      <c r="G2225" s="13">
        <v>504.0</v>
      </c>
      <c r="H2225" s="13">
        <v>1141.0</v>
      </c>
      <c r="I2225" s="13">
        <v>33.0</v>
      </c>
      <c r="J2225" s="13">
        <v>0.0</v>
      </c>
      <c r="K2225" s="12" t="s">
        <v>21</v>
      </c>
      <c r="L2225" s="7">
        <v>41415.70516203703</v>
      </c>
      <c r="M2225" s="14" t="s">
        <v>10197</v>
      </c>
      <c r="N2225" s="14" t="s">
        <v>10198</v>
      </c>
      <c r="O2225" s="11" t="str">
        <f>HYPERLINK("https://pbs.twimg.com/profile_images/540144624690401282/Xo7OpJ6u_normal.jpeg","View")</f>
        <v>View</v>
      </c>
      <c r="P2225" s="15"/>
    </row>
    <row r="2226">
      <c r="A2226" s="7">
        <v>42425.270902777775</v>
      </c>
      <c r="B2226" s="8" t="str">
        <f>HYPERLINK("https://twitter.com/sig_stats","@sig_stats")</f>
        <v>@sig_stats</v>
      </c>
      <c r="C2226" s="10" t="s">
        <v>6359</v>
      </c>
      <c r="D2226" s="10" t="s">
        <v>8666</v>
      </c>
      <c r="E2226" s="11" t="str">
        <f>HYPERLINK("https://twitter.com/sig_stats/status/702863144729907200","702863144729907200")</f>
        <v>702863144729907200</v>
      </c>
      <c r="F2226" s="12" t="s">
        <v>6360</v>
      </c>
      <c r="G2226" s="13">
        <v>26.0</v>
      </c>
      <c r="H2226" s="13">
        <v>9.0</v>
      </c>
      <c r="I2226" s="13">
        <v>50.0</v>
      </c>
      <c r="J2226" s="13">
        <v>0.0</v>
      </c>
      <c r="K2226" s="12" t="s">
        <v>21</v>
      </c>
      <c r="L2226" s="7">
        <v>42336.639606481476</v>
      </c>
      <c r="M2226" s="14" t="s">
        <v>765</v>
      </c>
      <c r="N2226" s="14" t="s">
        <v>6361</v>
      </c>
      <c r="O2226" s="11" t="str">
        <f>HYPERLINK("https://pbs.twimg.com/profile_images/672029237029793792/_qKmCzM8_normal.png","View")</f>
        <v>View</v>
      </c>
      <c r="P2226" s="15"/>
    </row>
    <row r="2227">
      <c r="A2227" s="7">
        <v>42425.27153935185</v>
      </c>
      <c r="B2227" s="8" t="str">
        <f>HYPERLINK("https://twitter.com/MangoTheCat","@MangoTheCat")</f>
        <v>@MangoTheCat</v>
      </c>
      <c r="C2227" s="10" t="s">
        <v>6321</v>
      </c>
      <c r="D2227" s="10" t="s">
        <v>10199</v>
      </c>
      <c r="E2227" s="11" t="str">
        <f>HYPERLINK("https://twitter.com/MangoTheCat/status/702863373315080193","702863373315080193")</f>
        <v>702863373315080193</v>
      </c>
      <c r="F2227" s="12" t="s">
        <v>47</v>
      </c>
      <c r="G2227" s="13">
        <v>2041.0</v>
      </c>
      <c r="H2227" s="13">
        <v>2855.0</v>
      </c>
      <c r="I2227" s="13">
        <v>3.0</v>
      </c>
      <c r="J2227" s="13">
        <v>2.0</v>
      </c>
      <c r="K2227" s="12" t="s">
        <v>21</v>
      </c>
      <c r="L2227" s="7">
        <v>39854.3178587963</v>
      </c>
      <c r="M2227" s="14" t="s">
        <v>6323</v>
      </c>
      <c r="N2227" s="14" t="s">
        <v>6324</v>
      </c>
      <c r="O2227" s="11" t="str">
        <f>HYPERLINK("https://pbs.twimg.com/profile_images/641183991077445633/V7VcBpJI_normal.png","View")</f>
        <v>View</v>
      </c>
      <c r="P2227" s="15"/>
    </row>
    <row r="2228">
      <c r="A2228" s="7">
        <v>42425.272685185184</v>
      </c>
      <c r="B2228" s="8" t="str">
        <f>HYPERLINK("https://twitter.com/arun_sriniv","@arun_sriniv")</f>
        <v>@arun_sriniv</v>
      </c>
      <c r="C2228" s="10" t="s">
        <v>7528</v>
      </c>
      <c r="D2228" s="10" t="s">
        <v>10200</v>
      </c>
      <c r="E2228" s="11" t="str">
        <f>HYPERLINK("https://twitter.com/arun_sriniv/status/702863789281157120","702863789281157120")</f>
        <v>702863789281157120</v>
      </c>
      <c r="F2228" s="12" t="s">
        <v>20</v>
      </c>
      <c r="G2228" s="13">
        <v>600.0</v>
      </c>
      <c r="H2228" s="13">
        <v>92.0</v>
      </c>
      <c r="I2228" s="13">
        <v>3.0</v>
      </c>
      <c r="J2228" s="13">
        <v>5.0</v>
      </c>
      <c r="K2228" s="12" t="s">
        <v>21</v>
      </c>
      <c r="L2228" s="7">
        <v>41119.671689814815</v>
      </c>
      <c r="M2228" s="16"/>
      <c r="N2228" s="14" t="s">
        <v>7530</v>
      </c>
      <c r="O2228" s="11" t="str">
        <f>HYPERLINK("https://pbs.twimg.com/profile_images/590247580040212481/-empRtvH_normal.png","View")</f>
        <v>View</v>
      </c>
      <c r="P2228" s="15"/>
    </row>
    <row r="2229">
      <c r="A2229" s="7">
        <v>42425.2734375</v>
      </c>
      <c r="B2229" s="8" t="str">
        <f>HYPERLINK("https://twitter.com/tomdireill","@tomdireill")</f>
        <v>@tomdireill</v>
      </c>
      <c r="C2229" s="10" t="s">
        <v>10201</v>
      </c>
      <c r="D2229" s="10" t="s">
        <v>10202</v>
      </c>
      <c r="E2229" s="11" t="str">
        <f>HYPERLINK("https://twitter.com/tomdireill/status/702864062884007936","702864062884007936")</f>
        <v>702864062884007936</v>
      </c>
      <c r="F2229" s="12" t="s">
        <v>20</v>
      </c>
      <c r="G2229" s="13">
        <v>65.0</v>
      </c>
      <c r="H2229" s="13">
        <v>153.0</v>
      </c>
      <c r="I2229" s="13">
        <v>2.0</v>
      </c>
      <c r="J2229" s="13">
        <v>4.0</v>
      </c>
      <c r="K2229" s="12" t="s">
        <v>21</v>
      </c>
      <c r="L2229" s="7">
        <v>40059.54369212963</v>
      </c>
      <c r="M2229" s="14" t="s">
        <v>8572</v>
      </c>
      <c r="N2229" s="14" t="s">
        <v>10203</v>
      </c>
      <c r="O2229" s="11" t="str">
        <f>HYPERLINK("https://pbs.twimg.com/profile_images/554695176203927552/P3UNAnps_normal.png","View")</f>
        <v>View</v>
      </c>
      <c r="P2229" s="15"/>
    </row>
    <row r="2230">
      <c r="A2230" s="7">
        <v>42425.27753472222</v>
      </c>
      <c r="B2230" s="8" t="str">
        <f>HYPERLINK("https://twitter.com/datasciencenote","@datasciencenote")</f>
        <v>@datasciencenote</v>
      </c>
      <c r="C2230" s="10" t="s">
        <v>9383</v>
      </c>
      <c r="D2230" s="10" t="s">
        <v>10204</v>
      </c>
      <c r="E2230" s="11" t="str">
        <f>HYPERLINK("https://twitter.com/datasciencenote/status/702865548263043072","702865548263043072")</f>
        <v>702865548263043072</v>
      </c>
      <c r="F2230" s="12" t="s">
        <v>20</v>
      </c>
      <c r="G2230" s="13">
        <v>107.0</v>
      </c>
      <c r="H2230" s="13">
        <v>86.0</v>
      </c>
      <c r="I2230" s="13">
        <v>0.0</v>
      </c>
      <c r="J2230" s="13">
        <v>0.0</v>
      </c>
      <c r="K2230" s="12" t="s">
        <v>21</v>
      </c>
      <c r="L2230" s="7">
        <v>42145.33075231481</v>
      </c>
      <c r="M2230" s="14" t="s">
        <v>9385</v>
      </c>
      <c r="N2230" s="14" t="s">
        <v>9386</v>
      </c>
      <c r="O2230" s="11" t="str">
        <f>HYPERLINK("https://pbs.twimg.com/profile_images/601401378854965248/GQrs3iKd_normal.jpg","View")</f>
        <v>View</v>
      </c>
      <c r="P2230" s="15"/>
    </row>
    <row r="2231">
      <c r="A2231" s="7">
        <v>42425.27869212963</v>
      </c>
      <c r="B2231" s="8" t="str">
        <f>HYPERLINK("https://twitter.com/sturgeon_mb","@sturgeon_mb")</f>
        <v>@sturgeon_mb</v>
      </c>
      <c r="C2231" s="10" t="s">
        <v>10205</v>
      </c>
      <c r="D2231" s="10" t="s">
        <v>10128</v>
      </c>
      <c r="E2231" s="11" t="str">
        <f>HYPERLINK("https://twitter.com/sturgeon_mb/status/702865967387291648","702865967387291648")</f>
        <v>702865967387291648</v>
      </c>
      <c r="F2231" s="12" t="s">
        <v>152</v>
      </c>
      <c r="G2231" s="13">
        <v>23.0</v>
      </c>
      <c r="H2231" s="13">
        <v>37.0</v>
      </c>
      <c r="I2231" s="13">
        <v>2.0</v>
      </c>
      <c r="J2231" s="13">
        <v>0.0</v>
      </c>
      <c r="K2231" s="12" t="s">
        <v>21</v>
      </c>
      <c r="L2231" s="7">
        <v>42423.41274305555</v>
      </c>
      <c r="M2231" s="16"/>
      <c r="N2231" s="16"/>
      <c r="O2231" s="11" t="str">
        <f>HYPERLINK("https://pbs.twimg.com/profile_images/702236239307493376/OqfQBJ0-_normal.jpg","View")</f>
        <v>View</v>
      </c>
      <c r="P2231" s="15"/>
    </row>
    <row r="2232">
      <c r="A2232" s="7">
        <v>42425.278807870374</v>
      </c>
      <c r="B2232" s="8" t="str">
        <f>HYPERLINK("https://twitter.com/alexip","@alexip")</f>
        <v>@alexip</v>
      </c>
      <c r="C2232" s="10" t="s">
        <v>10206</v>
      </c>
      <c r="D2232" s="10" t="s">
        <v>10187</v>
      </c>
      <c r="E2232" s="11" t="str">
        <f>HYPERLINK("https://twitter.com/alexip/status/702866005777883136","702866005777883136")</f>
        <v>702866005777883136</v>
      </c>
      <c r="F2232" s="12" t="s">
        <v>20</v>
      </c>
      <c r="G2232" s="13">
        <v>1124.0</v>
      </c>
      <c r="H2232" s="13">
        <v>695.0</v>
      </c>
      <c r="I2232" s="13">
        <v>4.0</v>
      </c>
      <c r="J2232" s="13">
        <v>0.0</v>
      </c>
      <c r="K2232" s="12" t="s">
        <v>21</v>
      </c>
      <c r="L2232" s="7">
        <v>39576.080983796295</v>
      </c>
      <c r="M2232" s="14" t="s">
        <v>10207</v>
      </c>
      <c r="N2232" s="14" t="s">
        <v>10208</v>
      </c>
      <c r="O2232" s="11" t="str">
        <f>HYPERLINK("https://pbs.twimg.com/profile_images/499307912825565184/nm1zZ9Yl_normal.jpeg","View")</f>
        <v>View</v>
      </c>
      <c r="P2232" s="15"/>
    </row>
    <row r="2233">
      <c r="A2233" s="7">
        <v>42425.281319444446</v>
      </c>
      <c r="B2233" s="8" t="str">
        <f>HYPERLINK("https://twitter.com/eyebraineugenie","@eyebraineugenie")</f>
        <v>@eyebraineugenie</v>
      </c>
      <c r="C2233" s="10" t="s">
        <v>10209</v>
      </c>
      <c r="D2233" s="10" t="s">
        <v>8629</v>
      </c>
      <c r="E2233" s="11" t="str">
        <f>HYPERLINK("https://twitter.com/eyebraineugenie/status/702866915786625024","702866915786625024")</f>
        <v>702866915786625024</v>
      </c>
      <c r="F2233" s="12" t="s">
        <v>152</v>
      </c>
      <c r="G2233" s="13">
        <v>37.0</v>
      </c>
      <c r="H2233" s="13">
        <v>133.0</v>
      </c>
      <c r="I2233" s="13">
        <v>6.0</v>
      </c>
      <c r="J2233" s="13">
        <v>0.0</v>
      </c>
      <c r="K2233" s="12" t="s">
        <v>21</v>
      </c>
      <c r="L2233" s="7">
        <v>41955.64203703703</v>
      </c>
      <c r="M2233" s="16"/>
      <c r="N2233" s="16"/>
      <c r="O2233" s="11" t="str">
        <f>HYPERLINK("https://pbs.twimg.com/profile_images/532675949586690048/f1VQnb5Q_normal.jpeg","View")</f>
        <v>View</v>
      </c>
      <c r="P2233" s="15"/>
    </row>
    <row r="2234">
      <c r="A2234" s="7">
        <v>42425.28351851852</v>
      </c>
      <c r="B2234" s="8" t="str">
        <f>HYPERLINK("https://twitter.com/zenrhino","@zenrhino")</f>
        <v>@zenrhino</v>
      </c>
      <c r="C2234" s="10" t="s">
        <v>10210</v>
      </c>
      <c r="D2234" s="10" t="s">
        <v>10211</v>
      </c>
      <c r="E2234" s="11" t="str">
        <f>HYPERLINK("https://twitter.com/zenrhino/status/702867715644477440","702867715644477440")</f>
        <v>702867715644477440</v>
      </c>
      <c r="F2234" s="12" t="s">
        <v>446</v>
      </c>
      <c r="G2234" s="13">
        <v>679.0</v>
      </c>
      <c r="H2234" s="13">
        <v>797.0</v>
      </c>
      <c r="I2234" s="13">
        <v>0.0</v>
      </c>
      <c r="J2234" s="13">
        <v>0.0</v>
      </c>
      <c r="K2234" s="12" t="s">
        <v>21</v>
      </c>
      <c r="L2234" s="7">
        <v>39789.796793981484</v>
      </c>
      <c r="M2234" s="14" t="s">
        <v>10212</v>
      </c>
      <c r="N2234" s="14" t="s">
        <v>10213</v>
      </c>
      <c r="O2234" s="11" t="str">
        <f>HYPERLINK("https://pbs.twimg.com/profile_images/679575511354478592/66QphBZB_normal.jpg","View")</f>
        <v>View</v>
      </c>
      <c r="P2234" s="15"/>
    </row>
    <row r="2235">
      <c r="A2235" s="7">
        <v>42425.289502314816</v>
      </c>
      <c r="B2235" s="8" t="str">
        <f>HYPERLINK("https://twitter.com/robertstats","@robertstats")</f>
        <v>@robertstats</v>
      </c>
      <c r="C2235" s="10" t="s">
        <v>8437</v>
      </c>
      <c r="D2235" s="10" t="s">
        <v>10214</v>
      </c>
      <c r="E2235" s="11" t="str">
        <f>HYPERLINK("https://twitter.com/robertstats/status/702869881323184129","702869881323184129")</f>
        <v>702869881323184129</v>
      </c>
      <c r="F2235" s="12" t="s">
        <v>20</v>
      </c>
      <c r="G2235" s="13">
        <v>568.0</v>
      </c>
      <c r="H2235" s="13">
        <v>348.0</v>
      </c>
      <c r="I2235" s="13">
        <v>3.0</v>
      </c>
      <c r="J2235" s="13">
        <v>0.0</v>
      </c>
      <c r="K2235" s="12" t="s">
        <v>21</v>
      </c>
      <c r="L2235" s="7">
        <v>41729.47409722222</v>
      </c>
      <c r="M2235" s="14" t="s">
        <v>1093</v>
      </c>
      <c r="N2235" s="14" t="s">
        <v>8439</v>
      </c>
      <c r="O2235" s="11" t="str">
        <f>HYPERLINK("https://pbs.twimg.com/profile_images/685147968874373121/r_V2hRhj_normal.jpg","View")</f>
        <v>View</v>
      </c>
      <c r="P2235" s="15"/>
    </row>
    <row r="2236">
      <c r="A2236" s="7">
        <v>42425.29325231482</v>
      </c>
      <c r="B2236" s="8" t="str">
        <f>HYPERLINK("https://twitter.com/giocante","@giocante")</f>
        <v>@giocante</v>
      </c>
      <c r="C2236" s="10" t="s">
        <v>4300</v>
      </c>
      <c r="D2236" s="10" t="s">
        <v>10214</v>
      </c>
      <c r="E2236" s="11" t="str">
        <f>HYPERLINK("https://twitter.com/giocante/status/702871240126697473","702871240126697473")</f>
        <v>702871240126697473</v>
      </c>
      <c r="F2236" s="12" t="s">
        <v>38</v>
      </c>
      <c r="G2236" s="13">
        <v>513.0</v>
      </c>
      <c r="H2236" s="13">
        <v>68.0</v>
      </c>
      <c r="I2236" s="13">
        <v>3.0</v>
      </c>
      <c r="J2236" s="13">
        <v>0.0</v>
      </c>
      <c r="K2236" s="12" t="s">
        <v>21</v>
      </c>
      <c r="L2236" s="7">
        <v>41996.103472222225</v>
      </c>
      <c r="M2236" s="14" t="s">
        <v>4302</v>
      </c>
      <c r="N2236" s="14" t="s">
        <v>4303</v>
      </c>
      <c r="O2236" s="11" t="str">
        <f>HYPERLINK("https://pbs.twimg.com/profile_images/547338209684758528/Kb9MNrJR_normal.png","View")</f>
        <v>View</v>
      </c>
      <c r="P2236" s="15"/>
    </row>
    <row r="2237">
      <c r="A2237" s="7">
        <v>42425.295682870375</v>
      </c>
      <c r="B2237" s="8" t="str">
        <f>HYPERLINK("https://twitter.com/sdpenaloza","@sdpenaloza")</f>
        <v>@sdpenaloza</v>
      </c>
      <c r="C2237" s="10" t="s">
        <v>10215</v>
      </c>
      <c r="D2237" s="10" t="s">
        <v>10070</v>
      </c>
      <c r="E2237" s="11" t="str">
        <f>HYPERLINK("https://twitter.com/sdpenaloza/status/702872123090432001","702872123090432001")</f>
        <v>702872123090432001</v>
      </c>
      <c r="F2237" s="12" t="s">
        <v>152</v>
      </c>
      <c r="G2237" s="13">
        <v>2107.0</v>
      </c>
      <c r="H2237" s="13">
        <v>1825.0</v>
      </c>
      <c r="I2237" s="13">
        <v>13.0</v>
      </c>
      <c r="J2237" s="13">
        <v>0.0</v>
      </c>
      <c r="K2237" s="12" t="s">
        <v>21</v>
      </c>
      <c r="L2237" s="7">
        <v>40136.01149305556</v>
      </c>
      <c r="M2237" s="14" t="s">
        <v>3175</v>
      </c>
      <c r="N2237" s="14" t="s">
        <v>10216</v>
      </c>
      <c r="O2237" s="11" t="str">
        <f>HYPERLINK("https://pbs.twimg.com/profile_images/500493826364956672/SJHJOpOs_normal.jpeg","View")</f>
        <v>View</v>
      </c>
      <c r="P2237" s="15"/>
    </row>
    <row r="2238">
      <c r="A2238" s="7">
        <v>42425.30526620371</v>
      </c>
      <c r="B2238" s="8" t="str">
        <f>HYPERLINK("https://twitter.com/tankofvines","@tankofvines")</f>
        <v>@tankofvines</v>
      </c>
      <c r="C2238" s="10" t="s">
        <v>10217</v>
      </c>
      <c r="D2238" s="10" t="s">
        <v>9982</v>
      </c>
      <c r="E2238" s="11" t="str">
        <f>HYPERLINK("https://twitter.com/tankofvines/status/702875597475815424","702875597475815424")</f>
        <v>702875597475815424</v>
      </c>
      <c r="F2238" s="12" t="s">
        <v>152</v>
      </c>
      <c r="G2238" s="13">
        <v>34.0</v>
      </c>
      <c r="H2238" s="13">
        <v>50.0</v>
      </c>
      <c r="I2238" s="13">
        <v>8.0</v>
      </c>
      <c r="J2238" s="13">
        <v>0.0</v>
      </c>
      <c r="K2238" s="12" t="s">
        <v>21</v>
      </c>
      <c r="L2238" s="7">
        <v>41631.45515046296</v>
      </c>
      <c r="M2238" s="16"/>
      <c r="N2238" s="16"/>
      <c r="O2238" s="11" t="str">
        <f>HYPERLINK("https://pbs.twimg.com/profile_images/596416632580341762/TCcjl6P8_normal.jpg","View")</f>
        <v>View</v>
      </c>
      <c r="P2238" s="15"/>
    </row>
    <row r="2239">
      <c r="A2239" s="7">
        <v>42425.31085648148</v>
      </c>
      <c r="B2239" s="8" t="str">
        <f>HYPERLINK("https://twitter.com/DianeBELDAME","@DianeBELDAME")</f>
        <v>@DianeBELDAME</v>
      </c>
      <c r="C2239" s="10" t="s">
        <v>10218</v>
      </c>
      <c r="D2239" s="10" t="s">
        <v>9405</v>
      </c>
      <c r="E2239" s="11" t="str">
        <f>HYPERLINK("https://twitter.com/DianeBELDAME/status/702877620296400896","702877620296400896")</f>
        <v>702877620296400896</v>
      </c>
      <c r="F2239" s="12" t="s">
        <v>20</v>
      </c>
      <c r="G2239" s="13">
        <v>18.0</v>
      </c>
      <c r="H2239" s="13">
        <v>83.0</v>
      </c>
      <c r="I2239" s="13">
        <v>4.0</v>
      </c>
      <c r="J2239" s="13">
        <v>0.0</v>
      </c>
      <c r="K2239" s="12" t="s">
        <v>21</v>
      </c>
      <c r="L2239" s="7">
        <v>41757.285532407404</v>
      </c>
      <c r="M2239" s="14" t="s">
        <v>462</v>
      </c>
      <c r="N2239" s="14" t="s">
        <v>10219</v>
      </c>
      <c r="O2239" s="11" t="str">
        <f>HYPERLINK("https://pbs.twimg.com/profile_images/690523114342633472/RV8KSlcf_normal.jpg","View")</f>
        <v>View</v>
      </c>
      <c r="P2239" s="15"/>
    </row>
    <row r="2240">
      <c r="A2240" s="7">
        <v>42425.312789351854</v>
      </c>
      <c r="B2240" s="8" t="str">
        <f>HYPERLINK("https://twitter.com/Rbloggers","@Rbloggers")</f>
        <v>@Rbloggers</v>
      </c>
      <c r="C2240" s="10" t="s">
        <v>6221</v>
      </c>
      <c r="D2240" s="10" t="s">
        <v>10220</v>
      </c>
      <c r="E2240" s="11" t="str">
        <f>HYPERLINK("https://twitter.com/Rbloggers/status/702878323085455360","702878323085455360")</f>
        <v>702878323085455360</v>
      </c>
      <c r="F2240" s="17" t="s">
        <v>6223</v>
      </c>
      <c r="G2240" s="13">
        <v>28572.0</v>
      </c>
      <c r="H2240" s="13">
        <v>36.0</v>
      </c>
      <c r="I2240" s="13">
        <v>7.0</v>
      </c>
      <c r="J2240" s="13">
        <v>7.0</v>
      </c>
      <c r="K2240" s="12" t="s">
        <v>21</v>
      </c>
      <c r="L2240" s="7">
        <v>40314.510601851856</v>
      </c>
      <c r="M2240" s="16"/>
      <c r="N2240" s="14" t="s">
        <v>6224</v>
      </c>
      <c r="O2240" s="11" t="str">
        <f>HYPERLINK("https://pbs.twimg.com/profile_images/502185985786916864/gkdFh-q7_normal.png","View")</f>
        <v>View</v>
      </c>
      <c r="P2240" s="15"/>
    </row>
    <row r="2241">
      <c r="A2241" s="7">
        <v>42425.31334490741</v>
      </c>
      <c r="B2241" s="8" t="str">
        <f>HYPERLINK("https://twitter.com/renato_umeton","@renato_umeton")</f>
        <v>@renato_umeton</v>
      </c>
      <c r="C2241" s="10" t="s">
        <v>1659</v>
      </c>
      <c r="D2241" s="10" t="s">
        <v>10221</v>
      </c>
      <c r="E2241" s="11" t="str">
        <f>HYPERLINK("https://twitter.com/renato_umeton/status/702878523011239936","702878523011239936")</f>
        <v>702878523011239936</v>
      </c>
      <c r="F2241" s="12" t="s">
        <v>38</v>
      </c>
      <c r="G2241" s="13">
        <v>70.0</v>
      </c>
      <c r="H2241" s="13">
        <v>79.0</v>
      </c>
      <c r="I2241" s="13">
        <v>7.0</v>
      </c>
      <c r="J2241" s="13">
        <v>0.0</v>
      </c>
      <c r="K2241" s="12" t="s">
        <v>21</v>
      </c>
      <c r="L2241" s="7">
        <v>39918.052083333336</v>
      </c>
      <c r="M2241" s="14" t="s">
        <v>1660</v>
      </c>
      <c r="N2241" s="14" t="s">
        <v>1661</v>
      </c>
      <c r="O2241" s="11" t="str">
        <f>HYPERLINK("https://pbs.twimg.com/profile_images/701553083537604608/nr8b38eG_normal.jpg","View")</f>
        <v>View</v>
      </c>
      <c r="P2241" s="15"/>
    </row>
    <row r="2242">
      <c r="A2242" s="7">
        <v>42425.31517361111</v>
      </c>
      <c r="B2242" s="8" t="str">
        <f>HYPERLINK("https://twitter.com/LovedeepSG","@LovedeepSG")</f>
        <v>@LovedeepSG</v>
      </c>
      <c r="C2242" s="10" t="s">
        <v>6501</v>
      </c>
      <c r="D2242" s="10" t="s">
        <v>10070</v>
      </c>
      <c r="E2242" s="11" t="str">
        <f>HYPERLINK("https://twitter.com/LovedeepSG/status/702879187640545280","702879187640545280")</f>
        <v>702879187640545280</v>
      </c>
      <c r="F2242" s="12" t="s">
        <v>152</v>
      </c>
      <c r="G2242" s="13">
        <v>46.0</v>
      </c>
      <c r="H2242" s="13">
        <v>85.0</v>
      </c>
      <c r="I2242" s="13">
        <v>13.0</v>
      </c>
      <c r="J2242" s="13">
        <v>0.0</v>
      </c>
      <c r="K2242" s="12" t="s">
        <v>21</v>
      </c>
      <c r="L2242" s="7">
        <v>41453.381203703706</v>
      </c>
      <c r="M2242" s="14" t="s">
        <v>4138</v>
      </c>
      <c r="N2242" s="14" t="s">
        <v>6502</v>
      </c>
      <c r="O2242" s="11" t="str">
        <f>HYPERLINK("https://pbs.twimg.com/profile_images/378800000059126288/17d4fa184bbd13c1e64465a3cc234efc_normal.jpeg","View")</f>
        <v>View</v>
      </c>
      <c r="P2242" s="15"/>
    </row>
    <row r="2243">
      <c r="A2243" s="7">
        <v>42425.31554398148</v>
      </c>
      <c r="B2243" s="8" t="str">
        <f>HYPERLINK("https://twitter.com/paulpeton","@paulpeton")</f>
        <v>@paulpeton</v>
      </c>
      <c r="C2243" s="10" t="s">
        <v>9950</v>
      </c>
      <c r="D2243" s="10" t="s">
        <v>10222</v>
      </c>
      <c r="E2243" s="11" t="str">
        <f>HYPERLINK("https://twitter.com/paulpeton/status/702879319492829185","702879319492829185")</f>
        <v>702879319492829185</v>
      </c>
      <c r="F2243" s="12" t="s">
        <v>20</v>
      </c>
      <c r="G2243" s="13">
        <v>153.0</v>
      </c>
      <c r="H2243" s="13">
        <v>192.0</v>
      </c>
      <c r="I2243" s="13">
        <v>0.0</v>
      </c>
      <c r="J2243" s="13">
        <v>0.0</v>
      </c>
      <c r="K2243" s="12" t="s">
        <v>21</v>
      </c>
      <c r="L2243" s="7">
        <v>40547.90590277778</v>
      </c>
      <c r="M2243" s="14" t="s">
        <v>241</v>
      </c>
      <c r="N2243" s="14" t="s">
        <v>9952</v>
      </c>
      <c r="O2243" s="11" t="str">
        <f>HYPERLINK("https://pbs.twimg.com/profile_images/2804660822/49b0136cb3e64480fd5a80a2b41da086_normal.jpeg","View")</f>
        <v>View</v>
      </c>
      <c r="P2243" s="15"/>
    </row>
    <row r="2244">
      <c r="A2244" s="7">
        <v>42425.321122685185</v>
      </c>
      <c r="B2244" s="8" t="str">
        <f>HYPERLINK("https://twitter.com/Pvalsfr","@Pvalsfr")</f>
        <v>@Pvalsfr</v>
      </c>
      <c r="C2244" s="10" t="s">
        <v>771</v>
      </c>
      <c r="D2244" s="10" t="s">
        <v>10221</v>
      </c>
      <c r="E2244" s="11" t="str">
        <f>HYPERLINK("https://twitter.com/Pvalsfr/status/702881342242103296","702881342242103296")</f>
        <v>702881342242103296</v>
      </c>
      <c r="F2244" s="12" t="s">
        <v>152</v>
      </c>
      <c r="G2244" s="13">
        <v>1043.0</v>
      </c>
      <c r="H2244" s="13">
        <v>1081.0</v>
      </c>
      <c r="I2244" s="13">
        <v>7.0</v>
      </c>
      <c r="J2244" s="13">
        <v>0.0</v>
      </c>
      <c r="K2244" s="12" t="s">
        <v>21</v>
      </c>
      <c r="L2244" s="7">
        <v>40867.68900462963</v>
      </c>
      <c r="M2244" s="16"/>
      <c r="N2244" s="16"/>
      <c r="O2244" s="11" t="str">
        <f>HYPERLINK("https://abs.twimg.com/sticky/default_profile_images/default_profile_4_normal.png","View")</f>
        <v>View</v>
      </c>
      <c r="P2244" s="15"/>
    </row>
    <row r="2245">
      <c r="A2245" s="7">
        <v>42425.322962962964</v>
      </c>
      <c r="B2245" s="8" t="str">
        <f>HYPERLINK("https://twitter.com/big_data_flow","@big_data_flow")</f>
        <v>@big_data_flow</v>
      </c>
      <c r="C2245" s="10" t="s">
        <v>5874</v>
      </c>
      <c r="D2245" s="10" t="s">
        <v>10070</v>
      </c>
      <c r="E2245" s="11" t="str">
        <f>HYPERLINK("https://twitter.com/big_data_flow/status/702882007643267072","702882007643267072")</f>
        <v>702882007643267072</v>
      </c>
      <c r="F2245" s="12" t="s">
        <v>5875</v>
      </c>
      <c r="G2245" s="13">
        <v>368.0</v>
      </c>
      <c r="H2245" s="13">
        <v>23.0</v>
      </c>
      <c r="I2245" s="13">
        <v>13.0</v>
      </c>
      <c r="J2245" s="13">
        <v>0.0</v>
      </c>
      <c r="K2245" s="12" t="s">
        <v>21</v>
      </c>
      <c r="L2245" s="7">
        <v>42365.02858796297</v>
      </c>
      <c r="M2245" s="14" t="s">
        <v>2002</v>
      </c>
      <c r="N2245" s="14" t="s">
        <v>5876</v>
      </c>
      <c r="O2245" s="11" t="str">
        <f>HYPERLINK("https://pbs.twimg.com/profile_images/681034665923317761/G4LHHc1n_normal.jpg","View")</f>
        <v>View</v>
      </c>
      <c r="P2245" s="15"/>
    </row>
    <row r="2246">
      <c r="A2246" s="7">
        <v>42425.323749999996</v>
      </c>
      <c r="B2246" s="8" t="str">
        <f>HYPERLINK("https://twitter.com/paulpeton","@paulpeton")</f>
        <v>@paulpeton</v>
      </c>
      <c r="C2246" s="10" t="s">
        <v>9950</v>
      </c>
      <c r="D2246" s="10" t="s">
        <v>10223</v>
      </c>
      <c r="E2246" s="11" t="str">
        <f>HYPERLINK("https://twitter.com/paulpeton/status/702882293413765120","702882293413765120")</f>
        <v>702882293413765120</v>
      </c>
      <c r="F2246" s="12" t="s">
        <v>20</v>
      </c>
      <c r="G2246" s="13">
        <v>153.0</v>
      </c>
      <c r="H2246" s="13">
        <v>192.0</v>
      </c>
      <c r="I2246" s="13">
        <v>1.0</v>
      </c>
      <c r="J2246" s="13">
        <v>0.0</v>
      </c>
      <c r="K2246" s="12" t="s">
        <v>21</v>
      </c>
      <c r="L2246" s="7">
        <v>40547.90590277778</v>
      </c>
      <c r="M2246" s="14" t="s">
        <v>241</v>
      </c>
      <c r="N2246" s="14" t="s">
        <v>9952</v>
      </c>
      <c r="O2246" s="11" t="str">
        <f>HYPERLINK("https://pbs.twimg.com/profile_images/2804660822/49b0136cb3e64480fd5a80a2b41da086_normal.jpeg","View")</f>
        <v>View</v>
      </c>
      <c r="P2246" s="15"/>
    </row>
    <row r="2247">
      <c r="A2247" s="7">
        <v>42425.32576388889</v>
      </c>
      <c r="B2247" s="8" t="str">
        <f>HYPERLINK("https://twitter.com/odsc","@odsc")</f>
        <v>@odsc</v>
      </c>
      <c r="C2247" s="10" t="s">
        <v>3212</v>
      </c>
      <c r="D2247" s="10" t="s">
        <v>10221</v>
      </c>
      <c r="E2247" s="11" t="str">
        <f>HYPERLINK("https://twitter.com/odsc/status/702883024464175104","702883024464175104")</f>
        <v>702883024464175104</v>
      </c>
      <c r="F2247" s="12" t="s">
        <v>20</v>
      </c>
      <c r="G2247" s="13">
        <v>13823.0</v>
      </c>
      <c r="H2247" s="13">
        <v>6657.0</v>
      </c>
      <c r="I2247" s="13">
        <v>7.0</v>
      </c>
      <c r="J2247" s="13">
        <v>0.0</v>
      </c>
      <c r="K2247" s="12" t="s">
        <v>21</v>
      </c>
      <c r="L2247" s="7">
        <v>42039.6077662037</v>
      </c>
      <c r="M2247" s="14" t="s">
        <v>3214</v>
      </c>
      <c r="N2247" s="14" t="s">
        <v>3215</v>
      </c>
      <c r="O2247" s="11" t="str">
        <f>HYPERLINK("https://pbs.twimg.com/profile_images/623923923441348612/HxO7gaZZ_normal.png","View")</f>
        <v>View</v>
      </c>
      <c r="P2247" s="15"/>
    </row>
    <row r="2248">
      <c r="A2248" s="7">
        <v>42425.32898148148</v>
      </c>
      <c r="B2248" s="8" t="str">
        <f>HYPERLINK("https://twitter.com/thanhtungmilan","@thanhtungmilan")</f>
        <v>@thanhtungmilan</v>
      </c>
      <c r="C2248" s="10" t="s">
        <v>8087</v>
      </c>
      <c r="D2248" s="10" t="s">
        <v>10114</v>
      </c>
      <c r="E2248" s="11" t="str">
        <f>HYPERLINK("https://twitter.com/thanhtungmilan/status/702884188505001985","702884188505001985")</f>
        <v>702884188505001985</v>
      </c>
      <c r="F2248" s="12" t="s">
        <v>152</v>
      </c>
      <c r="G2248" s="13">
        <v>60.0</v>
      </c>
      <c r="H2248" s="13">
        <v>152.0</v>
      </c>
      <c r="I2248" s="13">
        <v>3.0</v>
      </c>
      <c r="J2248" s="13">
        <v>0.0</v>
      </c>
      <c r="K2248" s="12" t="s">
        <v>21</v>
      </c>
      <c r="L2248" s="7">
        <v>40006.24966435185</v>
      </c>
      <c r="M2248" s="14" t="s">
        <v>8088</v>
      </c>
      <c r="N2248" s="14" t="s">
        <v>8089</v>
      </c>
      <c r="O2248" s="11" t="str">
        <f>HYPERLINK("https://pbs.twimg.com/profile_images/561301462399979521/20njf5kj_normal.jpeg","View")</f>
        <v>View</v>
      </c>
      <c r="P2248" s="15"/>
    </row>
    <row r="2249">
      <c r="A2249" s="7">
        <v>42425.33020833333</v>
      </c>
      <c r="B2249" s="8" t="str">
        <f>HYPERLINK("https://twitter.com/EduardSzoecs","@EduardSzoecs")</f>
        <v>@EduardSzoecs</v>
      </c>
      <c r="C2249" s="10" t="s">
        <v>9746</v>
      </c>
      <c r="D2249" s="10" t="s">
        <v>10224</v>
      </c>
      <c r="E2249" s="11" t="str">
        <f>HYPERLINK("https://twitter.com/EduardSzoecs/status/702884635064270848","702884635064270848")</f>
        <v>702884635064270848</v>
      </c>
      <c r="F2249" s="12" t="s">
        <v>20</v>
      </c>
      <c r="G2249" s="13">
        <v>63.0</v>
      </c>
      <c r="H2249" s="13">
        <v>107.0</v>
      </c>
      <c r="I2249" s="13">
        <v>0.0</v>
      </c>
      <c r="J2249" s="13">
        <v>0.0</v>
      </c>
      <c r="K2249" s="12" t="s">
        <v>21</v>
      </c>
      <c r="L2249" s="7">
        <v>42069.1003125</v>
      </c>
      <c r="M2249" s="14" t="s">
        <v>9747</v>
      </c>
      <c r="N2249" s="14" t="s">
        <v>9748</v>
      </c>
      <c r="O2249" s="11" t="str">
        <f>HYPERLINK("https://pbs.twimg.com/profile_images/623431520901025792/-JsTBXyb_normal.jpg","View")</f>
        <v>View</v>
      </c>
      <c r="P2249" s="15"/>
    </row>
    <row r="2250">
      <c r="A2250" s="7">
        <v>42425.333391203705</v>
      </c>
      <c r="B2250" s="8" t="str">
        <f>HYPERLINK("https://twitter.com/Flowfields_","@Flowfields_")</f>
        <v>@Flowfields_</v>
      </c>
      <c r="C2250" s="10" t="s">
        <v>7985</v>
      </c>
      <c r="D2250" s="10" t="s">
        <v>10225</v>
      </c>
      <c r="E2250" s="11" t="str">
        <f>HYPERLINK("https://twitter.com/Flowfields_/status/702885786266509313","702885786266509313")</f>
        <v>702885786266509313</v>
      </c>
      <c r="F2250" s="12" t="s">
        <v>38</v>
      </c>
      <c r="G2250" s="13">
        <v>449.0</v>
      </c>
      <c r="H2250" s="13">
        <v>352.0</v>
      </c>
      <c r="I2250" s="13">
        <v>1.0</v>
      </c>
      <c r="J2250" s="13">
        <v>0.0</v>
      </c>
      <c r="K2250" s="12" t="s">
        <v>21</v>
      </c>
      <c r="L2250" s="7">
        <v>41606.35060185185</v>
      </c>
      <c r="M2250" s="14" t="s">
        <v>5954</v>
      </c>
      <c r="N2250" s="14" t="s">
        <v>7986</v>
      </c>
      <c r="O2250" s="11" t="str">
        <f>HYPERLINK("https://pbs.twimg.com/profile_images/378800000809810536/f245ca2d284ae20da862971ef93ecc6b_normal.png","View")</f>
        <v>View</v>
      </c>
      <c r="P2250" s="15"/>
    </row>
    <row r="2251">
      <c r="A2251" s="7">
        <v>42425.33399305555</v>
      </c>
      <c r="B2251" s="8" t="str">
        <f>HYPERLINK("https://twitter.com/neo_microkid","@neo_microkid")</f>
        <v>@neo_microkid</v>
      </c>
      <c r="C2251" s="10" t="s">
        <v>10226</v>
      </c>
      <c r="D2251" s="10" t="s">
        <v>9900</v>
      </c>
      <c r="E2251" s="11" t="str">
        <f>HYPERLINK("https://twitter.com/neo_microkid/status/702886006152769536","702886006152769536")</f>
        <v>702886006152769536</v>
      </c>
      <c r="F2251" s="12" t="s">
        <v>152</v>
      </c>
      <c r="G2251" s="13">
        <v>40.0</v>
      </c>
      <c r="H2251" s="13">
        <v>188.0</v>
      </c>
      <c r="I2251" s="13">
        <v>25.0</v>
      </c>
      <c r="J2251" s="13">
        <v>0.0</v>
      </c>
      <c r="K2251" s="12" t="s">
        <v>21</v>
      </c>
      <c r="L2251" s="7">
        <v>40834.06586805556</v>
      </c>
      <c r="M2251" s="14" t="s">
        <v>1072</v>
      </c>
      <c r="N2251" s="16"/>
      <c r="O2251" s="11" t="str">
        <f>HYPERLINK("https://abs.twimg.com/sticky/default_profile_images/default_profile_3_normal.png","View")</f>
        <v>View</v>
      </c>
      <c r="P2251" s="15"/>
    </row>
    <row r="2252">
      <c r="A2252" s="7">
        <v>42425.33508101852</v>
      </c>
      <c r="B2252" s="8" t="str">
        <f>HYPERLINK("https://twitter.com/datalabcc","@datalabcc")</f>
        <v>@datalabcc</v>
      </c>
      <c r="C2252" s="9" t="s">
        <v>9782</v>
      </c>
      <c r="D2252" s="10" t="s">
        <v>10227</v>
      </c>
      <c r="E2252" s="11" t="str">
        <f>HYPERLINK("https://twitter.com/datalabcc/status/702886400681713664","702886400681713664")</f>
        <v>702886400681713664</v>
      </c>
      <c r="F2252" s="12" t="s">
        <v>294</v>
      </c>
      <c r="G2252" s="13">
        <v>235.0</v>
      </c>
      <c r="H2252" s="13">
        <v>499.0</v>
      </c>
      <c r="I2252" s="13">
        <v>1.0</v>
      </c>
      <c r="J2252" s="13">
        <v>0.0</v>
      </c>
      <c r="K2252" s="12" t="s">
        <v>21</v>
      </c>
      <c r="L2252" s="7">
        <v>39661.61927083333</v>
      </c>
      <c r="M2252" s="14" t="s">
        <v>9783</v>
      </c>
      <c r="N2252" s="14" t="s">
        <v>9784</v>
      </c>
      <c r="O2252" s="11" t="str">
        <f>HYPERLINK("https://pbs.twimg.com/profile_images/500029963387408384/w3aCs2eI_normal.png","View")</f>
        <v>View</v>
      </c>
      <c r="P2252" s="15"/>
    </row>
    <row r="2253">
      <c r="A2253" s="7">
        <v>42425.33689814815</v>
      </c>
      <c r="B2253" s="8" t="str">
        <f>HYPERLINK("https://twitter.com/manuelpachon","@manuelpachon")</f>
        <v>@manuelpachon</v>
      </c>
      <c r="C2253" s="10" t="s">
        <v>10228</v>
      </c>
      <c r="D2253" s="10" t="s">
        <v>10070</v>
      </c>
      <c r="E2253" s="11" t="str">
        <f>HYPERLINK("https://twitter.com/manuelpachon/status/702887059208454145","702887059208454145")</f>
        <v>702887059208454145</v>
      </c>
      <c r="F2253" s="12" t="s">
        <v>152</v>
      </c>
      <c r="G2253" s="13">
        <v>1151.0</v>
      </c>
      <c r="H2253" s="13">
        <v>634.0</v>
      </c>
      <c r="I2253" s="13">
        <v>13.0</v>
      </c>
      <c r="J2253" s="13">
        <v>0.0</v>
      </c>
      <c r="K2253" s="12" t="s">
        <v>21</v>
      </c>
      <c r="L2253" s="7">
        <v>40117.87671296296</v>
      </c>
      <c r="M2253" s="14" t="s">
        <v>1183</v>
      </c>
      <c r="N2253" s="14" t="s">
        <v>10229</v>
      </c>
      <c r="O2253" s="11" t="str">
        <f>HYPERLINK("https://pbs.twimg.com/profile_images/502904260/Manuel_Medellin_-_copia_normal.JPG","View")</f>
        <v>View</v>
      </c>
      <c r="P2253" s="15"/>
    </row>
    <row r="2254">
      <c r="A2254" s="7">
        <v>42425.33868055556</v>
      </c>
      <c r="B2254" s="8" t="str">
        <f>HYPERLINK("https://twitter.com/datennutzen","@datennutzen")</f>
        <v>@datennutzen</v>
      </c>
      <c r="C2254" s="10" t="s">
        <v>8625</v>
      </c>
      <c r="D2254" s="10" t="s">
        <v>10230</v>
      </c>
      <c r="E2254" s="11" t="str">
        <f>HYPERLINK("https://twitter.com/datennutzen/status/702887703814209536","702887703814209536")</f>
        <v>702887703814209536</v>
      </c>
      <c r="F2254" s="12" t="s">
        <v>20</v>
      </c>
      <c r="G2254" s="13">
        <v>171.0</v>
      </c>
      <c r="H2254" s="13">
        <v>301.0</v>
      </c>
      <c r="I2254" s="13">
        <v>0.0</v>
      </c>
      <c r="J2254" s="13">
        <v>0.0</v>
      </c>
      <c r="K2254" s="12" t="s">
        <v>21</v>
      </c>
      <c r="L2254" s="7">
        <v>40918.36751157408</v>
      </c>
      <c r="M2254" s="16"/>
      <c r="N2254" s="14" t="s">
        <v>8627</v>
      </c>
      <c r="O2254" s="11" t="str">
        <f>HYPERLINK("https://pbs.twimg.com/profile_images/1746090001/Logo_bullet_normal.jpg","View")</f>
        <v>View</v>
      </c>
      <c r="P2254" s="15"/>
    </row>
    <row r="2255">
      <c r="A2255" s="7">
        <v>42425.3387037037</v>
      </c>
      <c r="B2255" s="8" t="str">
        <f>HYPERLINK("https://twitter.com/Ecoexplore","@Ecoexplore")</f>
        <v>@Ecoexplore</v>
      </c>
      <c r="C2255" s="10" t="s">
        <v>10231</v>
      </c>
      <c r="D2255" s="10" t="s">
        <v>10232</v>
      </c>
      <c r="E2255" s="11" t="str">
        <f>HYPERLINK("https://twitter.com/Ecoexplore/status/702887711879929860","702887711879929860")</f>
        <v>702887711879929860</v>
      </c>
      <c r="F2255" s="12" t="s">
        <v>20</v>
      </c>
      <c r="G2255" s="13">
        <v>1028.0</v>
      </c>
      <c r="H2255" s="13">
        <v>1126.0</v>
      </c>
      <c r="I2255" s="13">
        <v>2.0</v>
      </c>
      <c r="J2255" s="13">
        <v>1.0</v>
      </c>
      <c r="K2255" s="12" t="s">
        <v>21</v>
      </c>
      <c r="L2255" s="7">
        <v>40351.10959490741</v>
      </c>
      <c r="M2255" s="14" t="s">
        <v>10233</v>
      </c>
      <c r="N2255" s="14" t="s">
        <v>10234</v>
      </c>
      <c r="O2255" s="11" t="str">
        <f>HYPERLINK("https://pbs.twimg.com/profile_images/1013406803/small_eco_normal.JPG","View")</f>
        <v>View</v>
      </c>
      <c r="P2255" s="15"/>
    </row>
    <row r="2256">
      <c r="A2256" s="7">
        <v>42425.33907407407</v>
      </c>
      <c r="B2256" s="8" t="str">
        <f>HYPERLINK("https://twitter.com/RobThomas14","@RobThomas14")</f>
        <v>@RobThomas14</v>
      </c>
      <c r="C2256" s="10" t="s">
        <v>10235</v>
      </c>
      <c r="D2256" s="10" t="s">
        <v>10236</v>
      </c>
      <c r="E2256" s="11" t="str">
        <f>HYPERLINK("https://twitter.com/RobThomas14/status/702887845699178496","702887845699178496")</f>
        <v>702887845699178496</v>
      </c>
      <c r="F2256" s="12" t="s">
        <v>20</v>
      </c>
      <c r="G2256" s="13">
        <v>364.0</v>
      </c>
      <c r="H2256" s="13">
        <v>311.0</v>
      </c>
      <c r="I2256" s="13">
        <v>2.0</v>
      </c>
      <c r="J2256" s="13">
        <v>0.0</v>
      </c>
      <c r="K2256" s="12" t="s">
        <v>21</v>
      </c>
      <c r="L2256" s="7">
        <v>40684.718576388885</v>
      </c>
      <c r="M2256" s="14" t="s">
        <v>10237</v>
      </c>
      <c r="N2256" s="14" t="s">
        <v>10238</v>
      </c>
      <c r="O2256" s="11" t="str">
        <f>HYPERLINK("https://pbs.twimg.com/profile_images/378800000414184426/78a569696661f3ca1cdae3df3595c3f2_normal.jpeg","View")</f>
        <v>View</v>
      </c>
      <c r="P2256" s="15"/>
    </row>
    <row r="2257">
      <c r="A2257" s="7">
        <v>42425.33987268519</v>
      </c>
      <c r="B2257" s="8" t="str">
        <f>HYPERLINK("https://twitter.com/jorgefabrega","@jorgefabrega")</f>
        <v>@jorgefabrega</v>
      </c>
      <c r="C2257" s="10" t="s">
        <v>10239</v>
      </c>
      <c r="D2257" s="10" t="s">
        <v>10240</v>
      </c>
      <c r="E2257" s="11" t="str">
        <f>HYPERLINK("https://twitter.com/jorgefabrega/status/702888138813915136","702888138813915136")</f>
        <v>702888138813915136</v>
      </c>
      <c r="F2257" s="12" t="s">
        <v>20</v>
      </c>
      <c r="G2257" s="13">
        <v>1855.0</v>
      </c>
      <c r="H2257" s="13">
        <v>655.0</v>
      </c>
      <c r="I2257" s="13">
        <v>2.0</v>
      </c>
      <c r="J2257" s="13">
        <v>2.0</v>
      </c>
      <c r="K2257" s="12" t="s">
        <v>21</v>
      </c>
      <c r="L2257" s="7">
        <v>40243.87027777778</v>
      </c>
      <c r="M2257" s="16"/>
      <c r="N2257" s="14" t="s">
        <v>10241</v>
      </c>
      <c r="O2257" s="11" t="str">
        <f>HYPERLINK("https://pbs.twimg.com/profile_images/752772184/nodos1_normal.jpg","View")</f>
        <v>View</v>
      </c>
      <c r="P2257" s="15"/>
    </row>
    <row r="2258">
      <c r="A2258" s="7">
        <v>42425.33988425926</v>
      </c>
      <c r="B2258" s="8" t="str">
        <f>HYPERLINK("https://twitter.com/faceyrj","@faceyrj")</f>
        <v>@faceyrj</v>
      </c>
      <c r="C2258" s="10" t="s">
        <v>10242</v>
      </c>
      <c r="D2258" s="10" t="s">
        <v>10236</v>
      </c>
      <c r="E2258" s="11" t="str">
        <f>HYPERLINK("https://twitter.com/faceyrj/status/702888142907580420","702888142907580420")</f>
        <v>702888142907580420</v>
      </c>
      <c r="F2258" s="12" t="s">
        <v>152</v>
      </c>
      <c r="G2258" s="13">
        <v>826.0</v>
      </c>
      <c r="H2258" s="13">
        <v>901.0</v>
      </c>
      <c r="I2258" s="13">
        <v>2.0</v>
      </c>
      <c r="J2258" s="13">
        <v>0.0</v>
      </c>
      <c r="K2258" s="12" t="s">
        <v>21</v>
      </c>
      <c r="L2258" s="7">
        <v>41135.20642361111</v>
      </c>
      <c r="M2258" s="14" t="s">
        <v>10237</v>
      </c>
      <c r="N2258" s="14" t="s">
        <v>10243</v>
      </c>
      <c r="O2258" s="11" t="str">
        <f>HYPERLINK("https://pbs.twimg.com/profile_images/3394663314/8d2359d17aee087ebdd7a96066192e03_normal.jpeg","View")</f>
        <v>View</v>
      </c>
      <c r="P2258" s="15"/>
    </row>
    <row r="2259">
      <c r="A2259" s="7">
        <v>42425.34136574074</v>
      </c>
      <c r="B2259" s="8" t="str">
        <f>HYPERLINK("https://twitter.com/zevross","@zevross")</f>
        <v>@zevross</v>
      </c>
      <c r="C2259" s="10" t="s">
        <v>10244</v>
      </c>
      <c r="D2259" s="10" t="s">
        <v>10245</v>
      </c>
      <c r="E2259" s="11" t="str">
        <f>HYPERLINK("https://twitter.com/zevross/status/702888677383376896","702888677383376896")</f>
        <v>702888677383376896</v>
      </c>
      <c r="F2259" s="12" t="s">
        <v>20</v>
      </c>
      <c r="G2259" s="13">
        <v>1057.0</v>
      </c>
      <c r="H2259" s="13">
        <v>252.0</v>
      </c>
      <c r="I2259" s="13">
        <v>4.0</v>
      </c>
      <c r="J2259" s="13">
        <v>10.0</v>
      </c>
      <c r="K2259" s="12" t="s">
        <v>21</v>
      </c>
      <c r="L2259" s="7">
        <v>41543.571747685186</v>
      </c>
      <c r="M2259" s="14" t="s">
        <v>10246</v>
      </c>
      <c r="N2259" s="14" t="s">
        <v>10247</v>
      </c>
      <c r="O2259" s="11" t="str">
        <f>HYPERLINK("https://pbs.twimg.com/profile_images/573919346117861376/NGSVIgr__normal.png","View")</f>
        <v>View</v>
      </c>
      <c r="P2259" s="15"/>
    </row>
    <row r="2260">
      <c r="A2260" s="7">
        <v>42425.342569444445</v>
      </c>
      <c r="B2260" s="8" t="str">
        <f>HYPERLINK("https://twitter.com/TheShubhanshu","@TheShubhanshu")</f>
        <v>@TheShubhanshu</v>
      </c>
      <c r="C2260" s="10" t="s">
        <v>10248</v>
      </c>
      <c r="D2260" s="10" t="s">
        <v>10187</v>
      </c>
      <c r="E2260" s="11" t="str">
        <f>HYPERLINK("https://twitter.com/TheShubhanshu/status/702889115881046016","702889115881046016")</f>
        <v>702889115881046016</v>
      </c>
      <c r="F2260" s="12" t="s">
        <v>152</v>
      </c>
      <c r="G2260" s="13">
        <v>453.0</v>
      </c>
      <c r="H2260" s="13">
        <v>208.0</v>
      </c>
      <c r="I2260" s="13">
        <v>4.0</v>
      </c>
      <c r="J2260" s="13">
        <v>0.0</v>
      </c>
      <c r="K2260" s="12" t="s">
        <v>21</v>
      </c>
      <c r="L2260" s="7">
        <v>39727.644062499996</v>
      </c>
      <c r="M2260" s="14" t="s">
        <v>10249</v>
      </c>
      <c r="N2260" s="14" t="s">
        <v>10250</v>
      </c>
      <c r="O2260" s="11" t="str">
        <f>HYPERLINK("https://pbs.twimg.com/profile_images/482000571210031104/CdTuSt_7_normal.jpeg","View")</f>
        <v>View</v>
      </c>
      <c r="P2260" s="15"/>
    </row>
    <row r="2261">
      <c r="A2261" s="7">
        <v>42425.34291666667</v>
      </c>
      <c r="B2261" s="8" t="str">
        <f>HYPERLINK("https://twitter.com/nlp_stories","@nlp_stories")</f>
        <v>@nlp_stories</v>
      </c>
      <c r="C2261" s="10" t="s">
        <v>10251</v>
      </c>
      <c r="D2261" s="10" t="s">
        <v>10187</v>
      </c>
      <c r="E2261" s="11" t="str">
        <f>HYPERLINK("https://twitter.com/nlp_stories/status/702889239176998912","702889239176998912")</f>
        <v>702889239176998912</v>
      </c>
      <c r="F2261" s="12" t="s">
        <v>10252</v>
      </c>
      <c r="G2261" s="13">
        <v>322.0</v>
      </c>
      <c r="H2261" s="13">
        <v>1.0</v>
      </c>
      <c r="I2261" s="13">
        <v>4.0</v>
      </c>
      <c r="J2261" s="13">
        <v>0.0</v>
      </c>
      <c r="K2261" s="12" t="s">
        <v>21</v>
      </c>
      <c r="L2261" s="7">
        <v>42338.64795138889</v>
      </c>
      <c r="M2261" s="14" t="s">
        <v>1628</v>
      </c>
      <c r="N2261" s="14" t="s">
        <v>10253</v>
      </c>
      <c r="O2261" s="11" t="str">
        <f>HYPERLINK("https://pbs.twimg.com/profile_images/675784786321891329/PVScaDr-_normal.jpg","View")</f>
        <v>View</v>
      </c>
      <c r="P2261" s="15"/>
    </row>
    <row r="2262">
      <c r="A2262" s="7">
        <v>42425.34298611111</v>
      </c>
      <c r="B2262" s="8" t="str">
        <f>HYPERLINK("https://twitter.com/dericklungaho","@dericklungaho")</f>
        <v>@dericklungaho</v>
      </c>
      <c r="C2262" s="10" t="s">
        <v>10254</v>
      </c>
      <c r="D2262" s="10" t="s">
        <v>10255</v>
      </c>
      <c r="E2262" s="11" t="str">
        <f>HYPERLINK("https://twitter.com/dericklungaho/status/702889264330252289","702889264330252289")</f>
        <v>702889264330252289</v>
      </c>
      <c r="F2262" s="12" t="s">
        <v>240</v>
      </c>
      <c r="G2262" s="13">
        <v>156.0</v>
      </c>
      <c r="H2262" s="13">
        <v>68.0</v>
      </c>
      <c r="I2262" s="13">
        <v>1.0</v>
      </c>
      <c r="J2262" s="13">
        <v>0.0</v>
      </c>
      <c r="K2262" s="12" t="s">
        <v>21</v>
      </c>
      <c r="L2262" s="7">
        <v>40906.894224537034</v>
      </c>
      <c r="M2262" s="16"/>
      <c r="N2262" s="16"/>
      <c r="O2262" s="11" t="str">
        <f>HYPERLINK("https://pbs.twimg.com/profile_images/378800000846046227/8e68e1ba289ca331ba6b793df913d27d_normal.jpeg","View")</f>
        <v>View</v>
      </c>
      <c r="P2262" s="15"/>
    </row>
    <row r="2263">
      <c r="A2263" s="7">
        <v>42425.34606481482</v>
      </c>
      <c r="B2263" s="8" t="str">
        <f>HYPERLINK("https://twitter.com/wrathematics","@wrathematics")</f>
        <v>@wrathematics</v>
      </c>
      <c r="C2263" s="10" t="s">
        <v>7921</v>
      </c>
      <c r="D2263" s="10" t="s">
        <v>10256</v>
      </c>
      <c r="E2263" s="11" t="str">
        <f>HYPERLINK("https://twitter.com/wrathematics/status/702890381499895808","702890381499895808")</f>
        <v>702890381499895808</v>
      </c>
      <c r="F2263" s="12" t="s">
        <v>20</v>
      </c>
      <c r="G2263" s="13">
        <v>268.0</v>
      </c>
      <c r="H2263" s="13">
        <v>153.0</v>
      </c>
      <c r="I2263" s="13">
        <v>3.0</v>
      </c>
      <c r="J2263" s="13">
        <v>0.0</v>
      </c>
      <c r="K2263" s="12" t="s">
        <v>21</v>
      </c>
      <c r="L2263" s="7">
        <v>41331.447060185186</v>
      </c>
      <c r="M2263" s="16"/>
      <c r="N2263" s="14" t="s">
        <v>7922</v>
      </c>
      <c r="O2263" s="11" t="str">
        <f>HYPERLINK("https://pbs.twimg.com/profile_images/3311838112/cd20c9b2a8069d726a60ba97bfd75a61_normal.png","View")</f>
        <v>View</v>
      </c>
      <c r="P2263" s="15"/>
    </row>
    <row r="2264">
      <c r="A2264" s="7">
        <v>42425.34663194444</v>
      </c>
      <c r="B2264" s="8" t="str">
        <f>HYPERLINK("https://twitter.com/DataMinerX","@DataMinerX")</f>
        <v>@DataMinerX</v>
      </c>
      <c r="C2264" s="10" t="s">
        <v>7238</v>
      </c>
      <c r="D2264" s="10" t="s">
        <v>10257</v>
      </c>
      <c r="E2264" s="11" t="str">
        <f>HYPERLINK("https://twitter.com/DataMinerX/status/702890585892495360","702890585892495360")</f>
        <v>702890585892495360</v>
      </c>
      <c r="F2264" s="12" t="s">
        <v>152</v>
      </c>
      <c r="G2264" s="13">
        <v>33.0</v>
      </c>
      <c r="H2264" s="13">
        <v>39.0</v>
      </c>
      <c r="I2264" s="13">
        <v>0.0</v>
      </c>
      <c r="J2264" s="13">
        <v>0.0</v>
      </c>
      <c r="K2264" s="12" t="s">
        <v>21</v>
      </c>
      <c r="L2264" s="7">
        <v>42036.756886574076</v>
      </c>
      <c r="M2264" s="14" t="s">
        <v>7240</v>
      </c>
      <c r="N2264" s="14" t="s">
        <v>7241</v>
      </c>
      <c r="O2264" s="11" t="str">
        <f>HYPERLINK("https://pbs.twimg.com/profile_images/678987422475018240/zOKqetJt_normal.jpg","View")</f>
        <v>View</v>
      </c>
      <c r="P2264" s="15"/>
    </row>
    <row r="2265">
      <c r="A2265" s="7">
        <v>42425.35084490741</v>
      </c>
      <c r="B2265" s="8" t="str">
        <f>HYPERLINK("https://twitter.com/felixhaass","@felixhaass")</f>
        <v>@felixhaass</v>
      </c>
      <c r="C2265" s="10" t="s">
        <v>9065</v>
      </c>
      <c r="D2265" s="10" t="s">
        <v>10258</v>
      </c>
      <c r="E2265" s="11" t="str">
        <f>HYPERLINK("https://twitter.com/felixhaass/status/702892114032644098","702892114032644098")</f>
        <v>702892114032644098</v>
      </c>
      <c r="F2265" s="12" t="s">
        <v>446</v>
      </c>
      <c r="G2265" s="13">
        <v>632.0</v>
      </c>
      <c r="H2265" s="13">
        <v>1130.0</v>
      </c>
      <c r="I2265" s="13">
        <v>4.0</v>
      </c>
      <c r="J2265" s="13">
        <v>0.0</v>
      </c>
      <c r="K2265" s="12" t="s">
        <v>21</v>
      </c>
      <c r="L2265" s="7">
        <v>40141.91601851852</v>
      </c>
      <c r="M2265" s="14" t="s">
        <v>9067</v>
      </c>
      <c r="N2265" s="14" t="s">
        <v>9068</v>
      </c>
      <c r="O2265" s="11" t="str">
        <f>HYPERLINK("https://pbs.twimg.com/profile_images/673446393097383936/uAq5-GBS_normal.jpg","View")</f>
        <v>View</v>
      </c>
      <c r="P2265" s="15"/>
    </row>
    <row r="2266">
      <c r="A2266" s="7">
        <v>42425.35165509259</v>
      </c>
      <c r="B2266" s="8" t="str">
        <f>HYPERLINK("https://twitter.com/kfuku0502","@kfuku0502")</f>
        <v>@kfuku0502</v>
      </c>
      <c r="C2266" s="10" t="s">
        <v>10259</v>
      </c>
      <c r="D2266" s="10" t="s">
        <v>10135</v>
      </c>
      <c r="E2266" s="11" t="str">
        <f>HYPERLINK("https://twitter.com/kfuku0502/status/702892406941724676","702892406941724676")</f>
        <v>702892406941724676</v>
      </c>
      <c r="F2266" s="12" t="s">
        <v>20</v>
      </c>
      <c r="G2266" s="13">
        <v>88.0</v>
      </c>
      <c r="H2266" s="13">
        <v>170.0</v>
      </c>
      <c r="I2266" s="13">
        <v>25.0</v>
      </c>
      <c r="J2266" s="13">
        <v>0.0</v>
      </c>
      <c r="K2266" s="12" t="s">
        <v>21</v>
      </c>
      <c r="L2266" s="7">
        <v>42347.88234953704</v>
      </c>
      <c r="M2266" s="14" t="s">
        <v>91</v>
      </c>
      <c r="N2266" s="14" t="s">
        <v>10260</v>
      </c>
      <c r="O2266" s="11" t="str">
        <f>HYPERLINK("https://pbs.twimg.com/profile_images/680526560340754434/J0MkNk7u_normal.jpg","View")</f>
        <v>View</v>
      </c>
      <c r="P2266" s="15"/>
    </row>
    <row r="2267">
      <c r="A2267" s="7">
        <v>42425.355729166666</v>
      </c>
      <c r="B2267" s="8" t="str">
        <f>HYPERLINK("https://twitter.com/dasaptaerwin","@dasaptaerwin")</f>
        <v>@dasaptaerwin</v>
      </c>
      <c r="C2267" s="10" t="s">
        <v>1040</v>
      </c>
      <c r="D2267" s="10" t="s">
        <v>10261</v>
      </c>
      <c r="E2267" s="11" t="str">
        <f>HYPERLINK("https://twitter.com/dasaptaerwin/status/702893882883842049","702893882883842049")</f>
        <v>702893882883842049</v>
      </c>
      <c r="F2267" s="12" t="s">
        <v>20</v>
      </c>
      <c r="G2267" s="13">
        <v>502.0</v>
      </c>
      <c r="H2267" s="13">
        <v>347.0</v>
      </c>
      <c r="I2267" s="13">
        <v>0.0</v>
      </c>
      <c r="J2267" s="13">
        <v>0.0</v>
      </c>
      <c r="K2267" s="12" t="s">
        <v>21</v>
      </c>
      <c r="L2267" s="7">
        <v>40522.75613425926</v>
      </c>
      <c r="M2267" s="18" t="s">
        <v>1042</v>
      </c>
      <c r="N2267" s="14" t="s">
        <v>1043</v>
      </c>
      <c r="O2267" s="11" t="str">
        <f>HYPERLINK("https://pbs.twimg.com/profile_images/695959239957688320/MJ4p8POC_normal.jpg","View")</f>
        <v>View</v>
      </c>
      <c r="P2267" s="15"/>
    </row>
    <row r="2268">
      <c r="A2268" s="7">
        <v>42425.35795138888</v>
      </c>
      <c r="B2268" s="8" t="str">
        <f>HYPERLINK("https://twitter.com/scripterAnon","@scripterAnon")</f>
        <v>@scripterAnon</v>
      </c>
      <c r="C2268" s="10" t="s">
        <v>7583</v>
      </c>
      <c r="D2268" s="10" t="s">
        <v>10221</v>
      </c>
      <c r="E2268" s="11" t="str">
        <f>HYPERLINK("https://twitter.com/scripterAnon/status/702894687573696512","702894687573696512")</f>
        <v>702894687573696512</v>
      </c>
      <c r="F2268" s="12" t="s">
        <v>1573</v>
      </c>
      <c r="G2268" s="13">
        <v>130.0</v>
      </c>
      <c r="H2268" s="13">
        <v>256.0</v>
      </c>
      <c r="I2268" s="13">
        <v>7.0</v>
      </c>
      <c r="J2268" s="13">
        <v>0.0</v>
      </c>
      <c r="K2268" s="12" t="s">
        <v>21</v>
      </c>
      <c r="L2268" s="7">
        <v>40161.40619212963</v>
      </c>
      <c r="M2268" s="14" t="s">
        <v>7585</v>
      </c>
      <c r="N2268" s="16"/>
      <c r="O2268" s="11" t="str">
        <f>HYPERLINK("https://pbs.twimg.com/profile_images/594801770414518272/4LKsLLI2_normal.jpg","View")</f>
        <v>View</v>
      </c>
      <c r="P2268" s="15"/>
    </row>
    <row r="2269">
      <c r="A2269" s="7">
        <v>42425.35833333334</v>
      </c>
      <c r="B2269" s="8" t="str">
        <f>HYPERLINK("https://twitter.com/awhstin","@awhstin")</f>
        <v>@awhstin</v>
      </c>
      <c r="C2269" s="10" t="s">
        <v>7888</v>
      </c>
      <c r="D2269" s="10" t="s">
        <v>10262</v>
      </c>
      <c r="E2269" s="11" t="str">
        <f>HYPERLINK("https://twitter.com/awhstin/status/702894828091265028","702894828091265028")</f>
        <v>702894828091265028</v>
      </c>
      <c r="F2269" s="12" t="s">
        <v>20</v>
      </c>
      <c r="G2269" s="13">
        <v>315.0</v>
      </c>
      <c r="H2269" s="13">
        <v>147.0</v>
      </c>
      <c r="I2269" s="13">
        <v>1.0</v>
      </c>
      <c r="J2269" s="13">
        <v>1.0</v>
      </c>
      <c r="K2269" s="12" t="s">
        <v>21</v>
      </c>
      <c r="L2269" s="7">
        <v>40024.33385416667</v>
      </c>
      <c r="M2269" s="14" t="s">
        <v>1158</v>
      </c>
      <c r="N2269" s="14" t="s">
        <v>7889</v>
      </c>
      <c r="O2269" s="11" t="str">
        <f>HYPERLINK("https://pbs.twimg.com/profile_images/378800000488404131/ae37bb586ccba5916378953890cfa516_normal.jpeg","View")</f>
        <v>View</v>
      </c>
      <c r="P2269" s="15"/>
    </row>
    <row r="2270">
      <c r="A2270" s="7">
        <v>42425.35912037037</v>
      </c>
      <c r="B2270" s="8" t="str">
        <f>HYPERLINK("https://twitter.com/MarlonRibunal","@MarlonRibunal")</f>
        <v>@MarlonRibunal</v>
      </c>
      <c r="C2270" s="10" t="s">
        <v>10263</v>
      </c>
      <c r="D2270" s="10" t="s">
        <v>10171</v>
      </c>
      <c r="E2270" s="11" t="str">
        <f>HYPERLINK("https://twitter.com/MarlonRibunal/status/702895110296465409","702895110296465409")</f>
        <v>702895110296465409</v>
      </c>
      <c r="F2270" s="12" t="s">
        <v>152</v>
      </c>
      <c r="G2270" s="13">
        <v>1807.0</v>
      </c>
      <c r="H2270" s="13">
        <v>782.0</v>
      </c>
      <c r="I2270" s="13">
        <v>5.0</v>
      </c>
      <c r="J2270" s="13">
        <v>0.0</v>
      </c>
      <c r="K2270" s="12" t="s">
        <v>21</v>
      </c>
      <c r="L2270" s="7">
        <v>39548.98621527778</v>
      </c>
      <c r="M2270" s="16"/>
      <c r="N2270" s="14" t="s">
        <v>10264</v>
      </c>
      <c r="O2270" s="11" t="str">
        <f>HYPERLINK("https://pbs.twimg.com/profile_images/629182152056279045/IXevOGTp_normal.jpg","View")</f>
        <v>View</v>
      </c>
      <c r="P2270" s="15"/>
    </row>
    <row r="2271">
      <c r="A2271" s="7">
        <v>42425.359560185185</v>
      </c>
      <c r="B2271" s="8" t="str">
        <f>HYPERLINK("https://twitter.com/CapeRUser","@CapeRUser")</f>
        <v>@CapeRUser</v>
      </c>
      <c r="C2271" s="10" t="s">
        <v>7051</v>
      </c>
      <c r="D2271" s="10" t="s">
        <v>10265</v>
      </c>
      <c r="E2271" s="11" t="str">
        <f>HYPERLINK("https://twitter.com/CapeRUser/status/702895272641368066","702895272641368066")</f>
        <v>702895272641368066</v>
      </c>
      <c r="F2271" s="12" t="s">
        <v>20</v>
      </c>
      <c r="G2271" s="13">
        <v>128.0</v>
      </c>
      <c r="H2271" s="13">
        <v>277.0</v>
      </c>
      <c r="I2271" s="13">
        <v>0.0</v>
      </c>
      <c r="J2271" s="13">
        <v>1.0</v>
      </c>
      <c r="K2271" s="12" t="s">
        <v>21</v>
      </c>
      <c r="L2271" s="7">
        <v>41982.46293981481</v>
      </c>
      <c r="M2271" s="14" t="s">
        <v>7052</v>
      </c>
      <c r="N2271" s="14" t="s">
        <v>7053</v>
      </c>
      <c r="O2271" s="11" t="str">
        <f>HYPERLINK("https://pbs.twimg.com/profile_images/542639398081138689/XxKn1Cmu_normal.png","View")</f>
        <v>View</v>
      </c>
      <c r="P2271" s="15"/>
    </row>
    <row r="2272">
      <c r="A2272" s="7">
        <v>42425.36148148148</v>
      </c>
      <c r="B2272" s="8" t="str">
        <f>HYPERLINK("https://twitter.com/codepedia_info","@codepedia_info")</f>
        <v>@codepedia_info</v>
      </c>
      <c r="C2272" s="10" t="s">
        <v>6579</v>
      </c>
      <c r="D2272" s="10" t="s">
        <v>10171</v>
      </c>
      <c r="E2272" s="11" t="str">
        <f>HYPERLINK("https://twitter.com/codepedia_info/status/702895969508200448","702895969508200448")</f>
        <v>702895969508200448</v>
      </c>
      <c r="F2272" s="12" t="s">
        <v>6581</v>
      </c>
      <c r="G2272" s="13">
        <v>790.0</v>
      </c>
      <c r="H2272" s="13">
        <v>489.0</v>
      </c>
      <c r="I2272" s="13">
        <v>5.0</v>
      </c>
      <c r="J2272" s="13">
        <v>0.0</v>
      </c>
      <c r="K2272" s="12" t="s">
        <v>21</v>
      </c>
      <c r="L2272" s="7">
        <v>42292.92140046296</v>
      </c>
      <c r="M2272" s="16"/>
      <c r="N2272" s="14" t="s">
        <v>6582</v>
      </c>
      <c r="O2272" s="11" t="str">
        <f>HYPERLINK("https://pbs.twimg.com/profile_images/655054050832969728/3mJGHxhS_normal.jpg","View")</f>
        <v>View</v>
      </c>
      <c r="P2272" s="15"/>
    </row>
    <row r="2273">
      <c r="A2273" s="7">
        <v>42425.36162037037</v>
      </c>
      <c r="B2273" s="8" t="str">
        <f>HYPERLINK("https://twitter.com/Ko_Ver","@Ko_Ver")</f>
        <v>@Ko_Ver</v>
      </c>
      <c r="C2273" s="10" t="s">
        <v>10266</v>
      </c>
      <c r="D2273" s="10" t="s">
        <v>10171</v>
      </c>
      <c r="E2273" s="11" t="str">
        <f>HYPERLINK("https://twitter.com/Ko_Ver/status/702896018300542977","702896018300542977")</f>
        <v>702896018300542977</v>
      </c>
      <c r="F2273" s="12" t="s">
        <v>52</v>
      </c>
      <c r="G2273" s="13">
        <v>1223.0</v>
      </c>
      <c r="H2273" s="13">
        <v>636.0</v>
      </c>
      <c r="I2273" s="13">
        <v>5.0</v>
      </c>
      <c r="J2273" s="13">
        <v>0.0</v>
      </c>
      <c r="K2273" s="12" t="s">
        <v>21</v>
      </c>
      <c r="L2273" s="7">
        <v>40623.106041666666</v>
      </c>
      <c r="M2273" s="14" t="s">
        <v>3939</v>
      </c>
      <c r="N2273" s="14" t="s">
        <v>10267</v>
      </c>
      <c r="O2273" s="11" t="str">
        <f>HYPERLINK("https://pbs.twimg.com/profile_images/2455171227/dykea0dqyn88n7hskr8x_normal.jpeg","View")</f>
        <v>View</v>
      </c>
      <c r="P2273" s="15"/>
    </row>
    <row r="2274">
      <c r="A2274" s="7">
        <v>42425.36568287037</v>
      </c>
      <c r="B2274" s="8" t="str">
        <f>HYPERLINK("https://twitter.com/gvegayon","@gvegayon")</f>
        <v>@gvegayon</v>
      </c>
      <c r="C2274" s="10" t="s">
        <v>10268</v>
      </c>
      <c r="D2274" s="10" t="s">
        <v>10269</v>
      </c>
      <c r="E2274" s="11" t="str">
        <f>HYPERLINK("https://twitter.com/gvegayon/status/702897489536364544","702897489536364544")</f>
        <v>702897489536364544</v>
      </c>
      <c r="F2274" s="12" t="s">
        <v>152</v>
      </c>
      <c r="G2274" s="13">
        <v>412.0</v>
      </c>
      <c r="H2274" s="13">
        <v>630.0</v>
      </c>
      <c r="I2274" s="13">
        <v>2.0</v>
      </c>
      <c r="J2274" s="13">
        <v>0.0</v>
      </c>
      <c r="K2274" s="12" t="s">
        <v>21</v>
      </c>
      <c r="L2274" s="7">
        <v>40065.78707175926</v>
      </c>
      <c r="M2274" s="14" t="s">
        <v>10270</v>
      </c>
      <c r="N2274" s="14" t="s">
        <v>10271</v>
      </c>
      <c r="O2274" s="11" t="str">
        <f>HYPERLINK("https://pbs.twimg.com/profile_images/598373285944889345/TqwFURoT_normal.jpg","View")</f>
        <v>View</v>
      </c>
      <c r="P2274" s="15"/>
    </row>
    <row r="2275">
      <c r="A2275" s="7">
        <v>42425.36597222222</v>
      </c>
      <c r="B2275" s="8" t="str">
        <f t="shared" ref="B2275:B2276" si="245">HYPERLINK("https://twitter.com/MangoTheCat","@MangoTheCat")</f>
        <v>@MangoTheCat</v>
      </c>
      <c r="C2275" s="10" t="s">
        <v>6321</v>
      </c>
      <c r="D2275" s="10" t="s">
        <v>9484</v>
      </c>
      <c r="E2275" s="11" t="str">
        <f>HYPERLINK("https://twitter.com/MangoTheCat/status/702897596663205890","702897596663205890")</f>
        <v>702897596663205890</v>
      </c>
      <c r="F2275" s="12" t="s">
        <v>20</v>
      </c>
      <c r="G2275" s="13">
        <v>2041.0</v>
      </c>
      <c r="H2275" s="13">
        <v>2855.0</v>
      </c>
      <c r="I2275" s="13">
        <v>22.0</v>
      </c>
      <c r="J2275" s="13">
        <v>0.0</v>
      </c>
      <c r="K2275" s="12" t="s">
        <v>21</v>
      </c>
      <c r="L2275" s="7">
        <v>39854.3178587963</v>
      </c>
      <c r="M2275" s="14" t="s">
        <v>6323</v>
      </c>
      <c r="N2275" s="14" t="s">
        <v>6324</v>
      </c>
      <c r="O2275" s="11" t="str">
        <f t="shared" ref="O2275:O2276" si="246">HYPERLINK("https://pbs.twimg.com/profile_images/641183991077445633/V7VcBpJI_normal.png","View")</f>
        <v>View</v>
      </c>
      <c r="P2275" s="15"/>
    </row>
    <row r="2276">
      <c r="A2276" s="7">
        <v>42425.36732638889</v>
      </c>
      <c r="B2276" s="8" t="str">
        <f t="shared" si="245"/>
        <v>@MangoTheCat</v>
      </c>
      <c r="C2276" s="10" t="s">
        <v>6321</v>
      </c>
      <c r="D2276" s="10" t="s">
        <v>9244</v>
      </c>
      <c r="E2276" s="11" t="str">
        <f>HYPERLINK("https://twitter.com/MangoTheCat/status/702898084955754496","702898084955754496")</f>
        <v>702898084955754496</v>
      </c>
      <c r="F2276" s="12" t="s">
        <v>20</v>
      </c>
      <c r="G2276" s="13">
        <v>2041.0</v>
      </c>
      <c r="H2276" s="13">
        <v>2855.0</v>
      </c>
      <c r="I2276" s="13">
        <v>14.0</v>
      </c>
      <c r="J2276" s="13">
        <v>0.0</v>
      </c>
      <c r="K2276" s="12" t="s">
        <v>21</v>
      </c>
      <c r="L2276" s="7">
        <v>39854.3178587963</v>
      </c>
      <c r="M2276" s="14" t="s">
        <v>6323</v>
      </c>
      <c r="N2276" s="14" t="s">
        <v>6324</v>
      </c>
      <c r="O2276" s="11" t="str">
        <f t="shared" si="246"/>
        <v>View</v>
      </c>
      <c r="P2276" s="15"/>
    </row>
    <row r="2277">
      <c r="A2277" s="7">
        <v>42425.368379629625</v>
      </c>
      <c r="B2277" s="8" t="str">
        <f>HYPERLINK("https://twitter.com/kouame006","@kouame006")</f>
        <v>@kouame006</v>
      </c>
      <c r="C2277" s="10" t="s">
        <v>10272</v>
      </c>
      <c r="D2277" s="10" t="s">
        <v>10258</v>
      </c>
      <c r="E2277" s="11" t="str">
        <f>HYPERLINK("https://twitter.com/kouame006/status/702898468063453184","702898468063453184")</f>
        <v>702898468063453184</v>
      </c>
      <c r="F2277" s="12" t="s">
        <v>52</v>
      </c>
      <c r="G2277" s="13">
        <v>18.0</v>
      </c>
      <c r="H2277" s="13">
        <v>77.0</v>
      </c>
      <c r="I2277" s="13">
        <v>4.0</v>
      </c>
      <c r="J2277" s="13">
        <v>0.0</v>
      </c>
      <c r="K2277" s="12" t="s">
        <v>21</v>
      </c>
      <c r="L2277" s="7">
        <v>39577.659108796295</v>
      </c>
      <c r="M2277" s="16"/>
      <c r="N2277" s="16"/>
      <c r="O2277" s="11" t="str">
        <f>HYPERLINK("https://pbs.twimg.com/profile_images/415268271794180096/aTqe4J1y_normal.jpeg","View")</f>
        <v>View</v>
      </c>
      <c r="P2277" s="15"/>
    </row>
    <row r="2278">
      <c r="A2278" s="7">
        <v>42425.36891203704</v>
      </c>
      <c r="B2278" s="8" t="str">
        <f>HYPERLINK("https://twitter.com/DataFinest","@DataFinest")</f>
        <v>@DataFinest</v>
      </c>
      <c r="C2278" s="10" t="s">
        <v>6990</v>
      </c>
      <c r="D2278" s="10" t="s">
        <v>9244</v>
      </c>
      <c r="E2278" s="11" t="str">
        <f>HYPERLINK("https://twitter.com/DataFinest/status/702898659399176193","702898659399176193")</f>
        <v>702898659399176193</v>
      </c>
      <c r="F2278" s="12" t="s">
        <v>52</v>
      </c>
      <c r="G2278" s="13">
        <v>74.0</v>
      </c>
      <c r="H2278" s="13">
        <v>172.0</v>
      </c>
      <c r="I2278" s="13">
        <v>14.0</v>
      </c>
      <c r="J2278" s="13">
        <v>0.0</v>
      </c>
      <c r="K2278" s="12" t="s">
        <v>21</v>
      </c>
      <c r="L2278" s="7">
        <v>42347.028761574074</v>
      </c>
      <c r="M2278" s="14" t="s">
        <v>121</v>
      </c>
      <c r="N2278" s="14" t="s">
        <v>6991</v>
      </c>
      <c r="O2278" s="11" t="str">
        <f>HYPERLINK("https://pbs.twimg.com/profile_images/675225906173124609/xPlpeuKw_normal.png","View")</f>
        <v>View</v>
      </c>
      <c r="P2278" s="15"/>
    </row>
    <row r="2279">
      <c r="A2279" s="7">
        <v>42425.36913194445</v>
      </c>
      <c r="B2279" s="8" t="str">
        <f>HYPERLINK("https://twitter.com/nekrum","@nekrum")</f>
        <v>@nekrum</v>
      </c>
      <c r="C2279" s="10" t="s">
        <v>6885</v>
      </c>
      <c r="D2279" s="10" t="s">
        <v>10214</v>
      </c>
      <c r="E2279" s="11" t="str">
        <f>HYPERLINK("https://twitter.com/nekrum/status/702898739996798977","702898739996798977")</f>
        <v>702898739996798977</v>
      </c>
      <c r="F2279" s="12" t="s">
        <v>152</v>
      </c>
      <c r="G2279" s="13">
        <v>116.0</v>
      </c>
      <c r="H2279" s="13">
        <v>307.0</v>
      </c>
      <c r="I2279" s="13">
        <v>3.0</v>
      </c>
      <c r="J2279" s="13">
        <v>0.0</v>
      </c>
      <c r="K2279" s="12" t="s">
        <v>21</v>
      </c>
      <c r="L2279" s="7">
        <v>39800.53101851852</v>
      </c>
      <c r="M2279" s="14" t="s">
        <v>6886</v>
      </c>
      <c r="N2279" s="14" t="s">
        <v>6887</v>
      </c>
      <c r="O2279" s="11" t="str">
        <f>HYPERLINK("https://pbs.twimg.com/profile_images/119769350/logo-azul-blanco_normal.png","View")</f>
        <v>View</v>
      </c>
      <c r="P2279" s="15"/>
    </row>
    <row r="2280">
      <c r="A2280" s="7">
        <v>42425.36913194445</v>
      </c>
      <c r="B2280" s="8" t="str">
        <f>HYPERLINK("https://twitter.com/openmylab","@openmylab")</f>
        <v>@openmylab</v>
      </c>
      <c r="C2280" s="10" t="s">
        <v>5852</v>
      </c>
      <c r="D2280" s="10" t="s">
        <v>9484</v>
      </c>
      <c r="E2280" s="11" t="str">
        <f>HYPERLINK("https://twitter.com/openmylab/status/702898741192175616","702898741192175616")</f>
        <v>702898741192175616</v>
      </c>
      <c r="F2280" s="12" t="s">
        <v>2063</v>
      </c>
      <c r="G2280" s="13">
        <v>1017.0</v>
      </c>
      <c r="H2280" s="13">
        <v>974.0</v>
      </c>
      <c r="I2280" s="13">
        <v>22.0</v>
      </c>
      <c r="J2280" s="13">
        <v>0.0</v>
      </c>
      <c r="K2280" s="12" t="s">
        <v>21</v>
      </c>
      <c r="L2280" s="7">
        <v>42283.33546296296</v>
      </c>
      <c r="M2280" s="14" t="s">
        <v>5854</v>
      </c>
      <c r="N2280" s="14" t="s">
        <v>5855</v>
      </c>
      <c r="O2280" s="11" t="str">
        <f>HYPERLINK("https://pbs.twimg.com/profile_images/696226577386852352/yseUYL_3_normal.jpg","View")</f>
        <v>View</v>
      </c>
      <c r="P2280" s="15"/>
    </row>
    <row r="2281">
      <c r="A2281" s="7">
        <v>42425.36938657408</v>
      </c>
      <c r="B2281" s="8" t="str">
        <f>HYPERLINK("https://twitter.com/dapostolopoylos","@dapostolopoylos")</f>
        <v>@dapostolopoylos</v>
      </c>
      <c r="C2281" s="10" t="s">
        <v>10273</v>
      </c>
      <c r="D2281" s="10" t="s">
        <v>10274</v>
      </c>
      <c r="E2281" s="11" t="str">
        <f>HYPERLINK("https://twitter.com/dapostolopoylos/status/702898830388404225","702898830388404225")</f>
        <v>702898830388404225</v>
      </c>
      <c r="F2281" s="12" t="s">
        <v>20</v>
      </c>
      <c r="G2281" s="13">
        <v>168.0</v>
      </c>
      <c r="H2281" s="13">
        <v>194.0</v>
      </c>
      <c r="I2281" s="13">
        <v>0.0</v>
      </c>
      <c r="J2281" s="13">
        <v>0.0</v>
      </c>
      <c r="K2281" s="12" t="s">
        <v>21</v>
      </c>
      <c r="L2281" s="7">
        <v>41360.492002314815</v>
      </c>
      <c r="M2281" s="14" t="s">
        <v>10275</v>
      </c>
      <c r="N2281" s="14" t="s">
        <v>10276</v>
      </c>
      <c r="O2281" s="11" t="str">
        <f>HYPERLINK("https://pbs.twimg.com/profile_images/689459179585597440/Lqol6hY6_normal.jpg","View")</f>
        <v>View</v>
      </c>
      <c r="P2281" s="15"/>
    </row>
    <row r="2282">
      <c r="A2282" s="7">
        <v>42425.37078703704</v>
      </c>
      <c r="B2282" s="8" t="str">
        <f>HYPERLINK("https://twitter.com/nekrum","@nekrum")</f>
        <v>@nekrum</v>
      </c>
      <c r="C2282" s="10" t="s">
        <v>6885</v>
      </c>
      <c r="D2282" s="10" t="s">
        <v>9244</v>
      </c>
      <c r="E2282" s="11" t="str">
        <f>HYPERLINK("https://twitter.com/nekrum/status/702899341187424258","702899341187424258")</f>
        <v>702899341187424258</v>
      </c>
      <c r="F2282" s="12" t="s">
        <v>152</v>
      </c>
      <c r="G2282" s="13">
        <v>116.0</v>
      </c>
      <c r="H2282" s="13">
        <v>307.0</v>
      </c>
      <c r="I2282" s="13">
        <v>14.0</v>
      </c>
      <c r="J2282" s="13">
        <v>0.0</v>
      </c>
      <c r="K2282" s="12" t="s">
        <v>21</v>
      </c>
      <c r="L2282" s="7">
        <v>39800.53101851852</v>
      </c>
      <c r="M2282" s="14" t="s">
        <v>6886</v>
      </c>
      <c r="N2282" s="14" t="s">
        <v>6887</v>
      </c>
      <c r="O2282" s="11" t="str">
        <f>HYPERLINK("https://pbs.twimg.com/profile_images/119769350/logo-azul-blanco_normal.png","View")</f>
        <v>View</v>
      </c>
      <c r="P2282" s="15"/>
    </row>
    <row r="2283">
      <c r="A2283" s="7">
        <v>42425.37168981481</v>
      </c>
      <c r="B2283" s="8" t="str">
        <f>HYPERLINK("https://twitter.com/sjackman","@sjackman")</f>
        <v>@sjackman</v>
      </c>
      <c r="C2283" s="10" t="s">
        <v>7786</v>
      </c>
      <c r="D2283" s="10" t="s">
        <v>9891</v>
      </c>
      <c r="E2283" s="11" t="str">
        <f>HYPERLINK("https://twitter.com/sjackman/status/702899667550339073","702899667550339073")</f>
        <v>702899667550339073</v>
      </c>
      <c r="F2283" s="12" t="s">
        <v>240</v>
      </c>
      <c r="G2283" s="13">
        <v>1252.0</v>
      </c>
      <c r="H2283" s="13">
        <v>177.0</v>
      </c>
      <c r="I2283" s="13">
        <v>2.0</v>
      </c>
      <c r="J2283" s="13">
        <v>0.0</v>
      </c>
      <c r="K2283" s="12" t="s">
        <v>21</v>
      </c>
      <c r="L2283" s="7">
        <v>39334.926469907405</v>
      </c>
      <c r="M2283" s="14" t="s">
        <v>4608</v>
      </c>
      <c r="N2283" s="14" t="s">
        <v>7787</v>
      </c>
      <c r="O2283" s="11" t="str">
        <f>HYPERLINK("https://pbs.twimg.com/profile_images/1477813716/sdj-headshot-square_normal.jpg","View")</f>
        <v>View</v>
      </c>
      <c r="P2283" s="15"/>
    </row>
    <row r="2284">
      <c r="A2284" s="7">
        <v>42425.37361111111</v>
      </c>
      <c r="B2284" s="8" t="str">
        <f>HYPERLINK("https://twitter.com/nekrum","@nekrum")</f>
        <v>@nekrum</v>
      </c>
      <c r="C2284" s="10" t="s">
        <v>6885</v>
      </c>
      <c r="D2284" s="10" t="s">
        <v>9484</v>
      </c>
      <c r="E2284" s="11" t="str">
        <f>HYPERLINK("https://twitter.com/nekrum/status/702900362718478337","702900362718478337")</f>
        <v>702900362718478337</v>
      </c>
      <c r="F2284" s="12" t="s">
        <v>152</v>
      </c>
      <c r="G2284" s="13">
        <v>116.0</v>
      </c>
      <c r="H2284" s="13">
        <v>307.0</v>
      </c>
      <c r="I2284" s="13">
        <v>22.0</v>
      </c>
      <c r="J2284" s="13">
        <v>0.0</v>
      </c>
      <c r="K2284" s="12" t="s">
        <v>21</v>
      </c>
      <c r="L2284" s="7">
        <v>39800.53101851852</v>
      </c>
      <c r="M2284" s="14" t="s">
        <v>6886</v>
      </c>
      <c r="N2284" s="14" t="s">
        <v>6887</v>
      </c>
      <c r="O2284" s="11" t="str">
        <f>HYPERLINK("https://pbs.twimg.com/profile_images/119769350/logo-azul-blanco_normal.png","View")</f>
        <v>View</v>
      </c>
      <c r="P2284" s="15"/>
    </row>
    <row r="2285">
      <c r="A2285" s="7">
        <v>42425.37428240741</v>
      </c>
      <c r="B2285" s="8" t="str">
        <f>HYPERLINK("https://twitter.com/BenBondLamberty","@BenBondLamberty")</f>
        <v>@BenBondLamberty</v>
      </c>
      <c r="C2285" s="10" t="s">
        <v>8359</v>
      </c>
      <c r="D2285" s="10" t="s">
        <v>10277</v>
      </c>
      <c r="E2285" s="11" t="str">
        <f>HYPERLINK("https://twitter.com/BenBondLamberty/status/702900605862473728","702900605862473728")</f>
        <v>702900605862473728</v>
      </c>
      <c r="F2285" s="12" t="s">
        <v>20</v>
      </c>
      <c r="G2285" s="13">
        <v>723.0</v>
      </c>
      <c r="H2285" s="13">
        <v>134.0</v>
      </c>
      <c r="I2285" s="13">
        <v>0.0</v>
      </c>
      <c r="J2285" s="13">
        <v>4.0</v>
      </c>
      <c r="K2285" s="12" t="s">
        <v>21</v>
      </c>
      <c r="L2285" s="7">
        <v>41498.918275462966</v>
      </c>
      <c r="M2285" s="14" t="s">
        <v>8361</v>
      </c>
      <c r="N2285" s="14" t="s">
        <v>8362</v>
      </c>
      <c r="O2285" s="11" t="str">
        <f>HYPERLINK("https://pbs.twimg.com/profile_images/378800000379904772/a5a32945f329f35a345b28adfa8fe081_normal.png","View")</f>
        <v>View</v>
      </c>
      <c r="P2285" s="15"/>
    </row>
    <row r="2286">
      <c r="A2286" s="7">
        <v>42425.375081018516</v>
      </c>
      <c r="B2286" s="8" t="str">
        <f>HYPERLINK("https://twitter.com/DominoDataLab","@DominoDataLab")</f>
        <v>@DominoDataLab</v>
      </c>
      <c r="C2286" s="10" t="s">
        <v>9367</v>
      </c>
      <c r="D2286" s="10" t="s">
        <v>10278</v>
      </c>
      <c r="E2286" s="11" t="str">
        <f>HYPERLINK("https://twitter.com/DominoDataLab/status/702900896531771393","702900896531771393")</f>
        <v>702900896531771393</v>
      </c>
      <c r="F2286" s="12" t="s">
        <v>47</v>
      </c>
      <c r="G2286" s="13">
        <v>4951.0</v>
      </c>
      <c r="H2286" s="13">
        <v>1636.0</v>
      </c>
      <c r="I2286" s="13">
        <v>0.0</v>
      </c>
      <c r="J2286" s="13">
        <v>1.0</v>
      </c>
      <c r="K2286" s="12" t="s">
        <v>21</v>
      </c>
      <c r="L2286" s="7">
        <v>41521.31863425926</v>
      </c>
      <c r="M2286" s="14" t="s">
        <v>69</v>
      </c>
      <c r="N2286" s="14" t="s">
        <v>9368</v>
      </c>
      <c r="O2286" s="11" t="str">
        <f>HYPERLINK("https://pbs.twimg.com/profile_images/671154942380400641/ySYpd-P3_normal.jpg","View")</f>
        <v>View</v>
      </c>
      <c r="P2286" s="15"/>
    </row>
    <row r="2287">
      <c r="A2287" s="7">
        <v>42425.37667824074</v>
      </c>
      <c r="B2287" s="8" t="str">
        <f>HYPERLINK("https://twitter.com/DataCamp","@DataCamp")</f>
        <v>@DataCamp</v>
      </c>
      <c r="C2287" s="10" t="s">
        <v>8635</v>
      </c>
      <c r="D2287" s="10" t="s">
        <v>10279</v>
      </c>
      <c r="E2287" s="11" t="str">
        <f>HYPERLINK("https://twitter.com/DataCamp/status/702901474221752320","702901474221752320")</f>
        <v>702901474221752320</v>
      </c>
      <c r="F2287" s="12" t="s">
        <v>294</v>
      </c>
      <c r="G2287" s="13">
        <v>5559.0</v>
      </c>
      <c r="H2287" s="13">
        <v>354.0</v>
      </c>
      <c r="I2287" s="13">
        <v>1.0</v>
      </c>
      <c r="J2287" s="13">
        <v>2.0</v>
      </c>
      <c r="K2287" s="12" t="s">
        <v>21</v>
      </c>
      <c r="L2287" s="7">
        <v>41459.42351851852</v>
      </c>
      <c r="M2287" s="16"/>
      <c r="N2287" s="14" t="s">
        <v>8637</v>
      </c>
      <c r="O2287" s="11" t="str">
        <f>HYPERLINK("https://pbs.twimg.com/profile_images/676442777018834944/Bk-dJvoN_normal.png","View")</f>
        <v>View</v>
      </c>
      <c r="P2287" s="15"/>
    </row>
    <row r="2288">
      <c r="A2288" s="7">
        <v>42425.37925925926</v>
      </c>
      <c r="B2288" s="8" t="str">
        <f>HYPERLINK("https://twitter.com/RLangTip","@RLangTip")</f>
        <v>@RLangTip</v>
      </c>
      <c r="C2288" s="10" t="s">
        <v>7460</v>
      </c>
      <c r="D2288" s="10" t="s">
        <v>10280</v>
      </c>
      <c r="E2288" s="11" t="str">
        <f>HYPERLINK("https://twitter.com/RLangTip/status/702902411598422017","702902411598422017")</f>
        <v>702902411598422017</v>
      </c>
      <c r="F2288" s="12" t="s">
        <v>659</v>
      </c>
      <c r="G2288" s="13">
        <v>30041.0</v>
      </c>
      <c r="H2288" s="13">
        <v>11.0</v>
      </c>
      <c r="I2288" s="13">
        <v>9.0</v>
      </c>
      <c r="J2288" s="13">
        <v>8.0</v>
      </c>
      <c r="K2288" s="12" t="s">
        <v>21</v>
      </c>
      <c r="L2288" s="7">
        <v>40671.57754629629</v>
      </c>
      <c r="M2288" s="16"/>
      <c r="N2288" s="14" t="s">
        <v>7462</v>
      </c>
      <c r="O2288" s="11" t="str">
        <f>HYPERLINK("https://pbs.twimg.com/profile_images/1344530309/RLangTip_normal.png","View")</f>
        <v>View</v>
      </c>
      <c r="P2288" s="15"/>
    </row>
    <row r="2289">
      <c r="A2289" s="7">
        <v>42425.37934027778</v>
      </c>
      <c r="B2289" s="8" t="str">
        <f>HYPERLINK("https://twitter.com/natalyk159","@natalyk159")</f>
        <v>@natalyk159</v>
      </c>
      <c r="C2289" s="10" t="s">
        <v>10281</v>
      </c>
      <c r="D2289" s="10" t="s">
        <v>10282</v>
      </c>
      <c r="E2289" s="11" t="str">
        <f>HYPERLINK("https://twitter.com/natalyk159/status/702902441222668288","702902441222668288")</f>
        <v>702902441222668288</v>
      </c>
      <c r="F2289" s="12" t="s">
        <v>20</v>
      </c>
      <c r="G2289" s="13">
        <v>42.0</v>
      </c>
      <c r="H2289" s="13">
        <v>219.0</v>
      </c>
      <c r="I2289" s="13">
        <v>0.0</v>
      </c>
      <c r="J2289" s="13">
        <v>0.0</v>
      </c>
      <c r="K2289" s="12" t="s">
        <v>21</v>
      </c>
      <c r="L2289" s="7">
        <v>41961.74715277778</v>
      </c>
      <c r="M2289" s="14" t="s">
        <v>7780</v>
      </c>
      <c r="N2289" s="14" t="s">
        <v>10283</v>
      </c>
      <c r="O2289" s="11" t="str">
        <f>HYPERLINK("https://pbs.twimg.com/profile_images/534891136272195584/z8Fp8dAL_normal.jpeg","View")</f>
        <v>View</v>
      </c>
      <c r="P2289" s="15"/>
    </row>
    <row r="2290">
      <c r="A2290" s="7">
        <v>42425.38025462963</v>
      </c>
      <c r="B2290" s="8" t="str">
        <f>HYPERLINK("https://twitter.com/LewisSpurgin","@LewisSpurgin")</f>
        <v>@LewisSpurgin</v>
      </c>
      <c r="C2290" s="10" t="s">
        <v>7133</v>
      </c>
      <c r="D2290" s="10" t="s">
        <v>10284</v>
      </c>
      <c r="E2290" s="11" t="str">
        <f>HYPERLINK("https://twitter.com/LewisSpurgin/status/702902771721310209","702902771721310209")</f>
        <v>702902771721310209</v>
      </c>
      <c r="F2290" s="12" t="s">
        <v>20</v>
      </c>
      <c r="G2290" s="13">
        <v>588.0</v>
      </c>
      <c r="H2290" s="13">
        <v>390.0</v>
      </c>
      <c r="I2290" s="13">
        <v>9.0</v>
      </c>
      <c r="J2290" s="13">
        <v>0.0</v>
      </c>
      <c r="K2290" s="12" t="s">
        <v>21</v>
      </c>
      <c r="L2290" s="7">
        <v>40801.28638888889</v>
      </c>
      <c r="M2290" s="14" t="s">
        <v>2941</v>
      </c>
      <c r="N2290" s="14" t="s">
        <v>7134</v>
      </c>
      <c r="O2290" s="11" t="str">
        <f>HYPERLINK("https://pbs.twimg.com/profile_images/697055714603372544/5_eawi5a_normal.png","View")</f>
        <v>View</v>
      </c>
      <c r="P2290" s="15"/>
    </row>
    <row r="2291">
      <c r="A2291" s="7">
        <v>42425.38111111111</v>
      </c>
      <c r="B2291" s="8" t="str">
        <f>HYPERLINK("https://twitter.com/IamLord_Zico","@IamLord_Zico")</f>
        <v>@IamLord_Zico</v>
      </c>
      <c r="C2291" s="10" t="s">
        <v>8433</v>
      </c>
      <c r="D2291" s="10" t="s">
        <v>10284</v>
      </c>
      <c r="E2291" s="11" t="str">
        <f>HYPERLINK("https://twitter.com/IamLord_Zico/status/702903082229874688","702903082229874688")</f>
        <v>702903082229874688</v>
      </c>
      <c r="F2291" s="12" t="s">
        <v>152</v>
      </c>
      <c r="G2291" s="13">
        <v>377.0</v>
      </c>
      <c r="H2291" s="13">
        <v>794.0</v>
      </c>
      <c r="I2291" s="13">
        <v>9.0</v>
      </c>
      <c r="J2291" s="13">
        <v>0.0</v>
      </c>
      <c r="K2291" s="12" t="s">
        <v>21</v>
      </c>
      <c r="L2291" s="7">
        <v>40448.19819444444</v>
      </c>
      <c r="M2291" s="14" t="s">
        <v>8435</v>
      </c>
      <c r="N2291" s="14" t="s">
        <v>8436</v>
      </c>
      <c r="O2291" s="11" t="str">
        <f>HYPERLINK("https://pbs.twimg.com/profile_images/695428125383995393/AHgGbV7f_normal.jpg","View")</f>
        <v>View</v>
      </c>
      <c r="P2291" s="15"/>
    </row>
    <row r="2292">
      <c r="A2292" s="7">
        <v>42425.38350694445</v>
      </c>
      <c r="B2292" s="8" t="str">
        <f t="shared" ref="B2292:B2293" si="247">HYPERLINK("https://twitter.com/desertnaut","@desertnaut")</f>
        <v>@desertnaut</v>
      </c>
      <c r="C2292" s="10" t="s">
        <v>9995</v>
      </c>
      <c r="D2292" s="10" t="s">
        <v>10285</v>
      </c>
      <c r="E2292" s="11" t="str">
        <f>HYPERLINK("https://twitter.com/desertnaut/status/702903948643049472","702903948643049472")</f>
        <v>702903948643049472</v>
      </c>
      <c r="F2292" s="12" t="s">
        <v>20</v>
      </c>
      <c r="G2292" s="13">
        <v>659.0</v>
      </c>
      <c r="H2292" s="13">
        <v>1530.0</v>
      </c>
      <c r="I2292" s="13">
        <v>1.0</v>
      </c>
      <c r="J2292" s="13">
        <v>2.0</v>
      </c>
      <c r="K2292" s="12" t="s">
        <v>21</v>
      </c>
      <c r="L2292" s="7">
        <v>40904.13864583333</v>
      </c>
      <c r="M2292" s="14" t="s">
        <v>4764</v>
      </c>
      <c r="N2292" s="14" t="s">
        <v>9996</v>
      </c>
      <c r="O2292" s="11" t="str">
        <f t="shared" ref="O2292:O2293" si="248">HYPERLINK("https://pbs.twimg.com/profile_images/3515263408/4dcca0278120c97c765cd0a80806d091_normal.jpeg","View")</f>
        <v>View</v>
      </c>
      <c r="P2292" s="15"/>
    </row>
    <row r="2293">
      <c r="A2293" s="7">
        <v>42425.38475694445</v>
      </c>
      <c r="B2293" s="8" t="str">
        <f t="shared" si="247"/>
        <v>@desertnaut</v>
      </c>
      <c r="C2293" s="10" t="s">
        <v>9995</v>
      </c>
      <c r="D2293" s="10" t="s">
        <v>10286</v>
      </c>
      <c r="E2293" s="11" t="str">
        <f>HYPERLINK("https://twitter.com/desertnaut/status/702904403351699456","702904403351699456")</f>
        <v>702904403351699456</v>
      </c>
      <c r="F2293" s="12" t="s">
        <v>20</v>
      </c>
      <c r="G2293" s="13">
        <v>659.0</v>
      </c>
      <c r="H2293" s="13">
        <v>1530.0</v>
      </c>
      <c r="I2293" s="13">
        <v>0.0</v>
      </c>
      <c r="J2293" s="13">
        <v>0.0</v>
      </c>
      <c r="K2293" s="12" t="s">
        <v>21</v>
      </c>
      <c r="L2293" s="7">
        <v>40904.13864583333</v>
      </c>
      <c r="M2293" s="14" t="s">
        <v>4764</v>
      </c>
      <c r="N2293" s="14" t="s">
        <v>9996</v>
      </c>
      <c r="O2293" s="11" t="str">
        <f t="shared" si="248"/>
        <v>View</v>
      </c>
      <c r="P2293" s="15"/>
    </row>
    <row r="2294">
      <c r="A2294" s="7">
        <v>42425.385995370365</v>
      </c>
      <c r="B2294" s="8" t="str">
        <f>HYPERLINK("https://twitter.com/polesasunder","@polesasunder")</f>
        <v>@polesasunder</v>
      </c>
      <c r="C2294" s="10" t="s">
        <v>7496</v>
      </c>
      <c r="D2294" s="10" t="s">
        <v>10287</v>
      </c>
      <c r="E2294" s="11" t="str">
        <f>HYPERLINK("https://twitter.com/polesasunder/status/702904850216947712","702904850216947712")</f>
        <v>702904850216947712</v>
      </c>
      <c r="F2294" s="12" t="s">
        <v>446</v>
      </c>
      <c r="G2294" s="13">
        <v>1560.0</v>
      </c>
      <c r="H2294" s="13">
        <v>1353.0</v>
      </c>
      <c r="I2294" s="13">
        <v>0.0</v>
      </c>
      <c r="J2294" s="13">
        <v>1.0</v>
      </c>
      <c r="K2294" s="12" t="s">
        <v>21</v>
      </c>
      <c r="L2294" s="7">
        <v>40268.41755787037</v>
      </c>
      <c r="M2294" s="14" t="s">
        <v>2216</v>
      </c>
      <c r="N2294" s="14" t="s">
        <v>7498</v>
      </c>
      <c r="O2294" s="11" t="str">
        <f>HYPERLINK("https://pbs.twimg.com/profile_images/499358811564425216/jiX57F1h_normal.jpeg","View")</f>
        <v>View</v>
      </c>
      <c r="P2294" s="15"/>
    </row>
    <row r="2295">
      <c r="A2295" s="7">
        <v>42425.3875462963</v>
      </c>
      <c r="B2295" s="8" t="str">
        <f>HYPERLINK("https://twitter.com/flexiodata","@flexiodata")</f>
        <v>@flexiodata</v>
      </c>
      <c r="C2295" s="9" t="s">
        <v>3570</v>
      </c>
      <c r="D2295" s="10" t="s">
        <v>6296</v>
      </c>
      <c r="E2295" s="11" t="str">
        <f>HYPERLINK("https://twitter.com/flexiodata/status/702905414887849984","702905414887849984")</f>
        <v>702905414887849984</v>
      </c>
      <c r="F2295" s="12" t="s">
        <v>294</v>
      </c>
      <c r="G2295" s="13">
        <v>5516.0</v>
      </c>
      <c r="H2295" s="13">
        <v>4912.0</v>
      </c>
      <c r="I2295" s="13">
        <v>49.0</v>
      </c>
      <c r="J2295" s="13">
        <v>0.0</v>
      </c>
      <c r="K2295" s="12" t="s">
        <v>21</v>
      </c>
      <c r="L2295" s="7">
        <v>41808.5715162037</v>
      </c>
      <c r="M2295" s="14" t="s">
        <v>2544</v>
      </c>
      <c r="N2295" s="14" t="s">
        <v>3572</v>
      </c>
      <c r="O2295" s="11" t="str">
        <f>HYPERLINK("https://pbs.twimg.com/profile_images/494612417981067265/EBSDgGf4_normal.png","View")</f>
        <v>View</v>
      </c>
      <c r="P2295" s="15"/>
    </row>
    <row r="2296">
      <c r="A2296" s="7">
        <v>42425.388078703705</v>
      </c>
      <c r="B2296" s="8" t="str">
        <f>HYPERLINK("https://twitter.com/mcxfrank","@mcxfrank")</f>
        <v>@mcxfrank</v>
      </c>
      <c r="C2296" s="10" t="s">
        <v>10288</v>
      </c>
      <c r="D2296" s="10" t="s">
        <v>10289</v>
      </c>
      <c r="E2296" s="11" t="str">
        <f>HYPERLINK("https://twitter.com/mcxfrank/status/702905607557230592","702905607557230592")</f>
        <v>702905607557230592</v>
      </c>
      <c r="F2296" s="12" t="s">
        <v>446</v>
      </c>
      <c r="G2296" s="13">
        <v>1937.0</v>
      </c>
      <c r="H2296" s="13">
        <v>784.0</v>
      </c>
      <c r="I2296" s="13">
        <v>11.0</v>
      </c>
      <c r="J2296" s="13">
        <v>4.0</v>
      </c>
      <c r="K2296" s="12" t="s">
        <v>21</v>
      </c>
      <c r="L2296" s="7">
        <v>41063.86261574074</v>
      </c>
      <c r="M2296" s="14" t="s">
        <v>10290</v>
      </c>
      <c r="N2296" s="14" t="s">
        <v>10291</v>
      </c>
      <c r="O2296" s="11" t="str">
        <f>HYPERLINK("https://pbs.twimg.com/profile_images/378800000187409356/046dbee52b6e61587b41e4ecbbd4a4cf_normal.jpeg","View")</f>
        <v>View</v>
      </c>
      <c r="P2296" s="15"/>
    </row>
    <row r="2297">
      <c r="A2297" s="7">
        <v>42425.388611111106</v>
      </c>
      <c r="B2297" s="8" t="str">
        <f>HYPERLINK("https://twitter.com/patrickshafto","@patrickshafto")</f>
        <v>@patrickshafto</v>
      </c>
      <c r="C2297" s="10" t="s">
        <v>10292</v>
      </c>
      <c r="D2297" s="10" t="s">
        <v>10293</v>
      </c>
      <c r="E2297" s="11" t="str">
        <f>HYPERLINK("https://twitter.com/patrickshafto/status/702905799799152640","702905799799152640")</f>
        <v>702905799799152640</v>
      </c>
      <c r="F2297" s="12" t="s">
        <v>20</v>
      </c>
      <c r="G2297" s="13">
        <v>443.0</v>
      </c>
      <c r="H2297" s="13">
        <v>400.0</v>
      </c>
      <c r="I2297" s="13">
        <v>11.0</v>
      </c>
      <c r="J2297" s="13">
        <v>0.0</v>
      </c>
      <c r="K2297" s="12" t="s">
        <v>21</v>
      </c>
      <c r="L2297" s="7">
        <v>41338.21800925926</v>
      </c>
      <c r="M2297" s="14" t="s">
        <v>10294</v>
      </c>
      <c r="N2297" s="14" t="s">
        <v>10295</v>
      </c>
      <c r="O2297" s="11" t="str">
        <f>HYPERLINK("https://pbs.twimg.com/profile_images/378800000006571392/4cd81e259ef75bf4b58fe177b8461af0_normal.jpeg","View")</f>
        <v>View</v>
      </c>
      <c r="P2297" s="15"/>
    </row>
    <row r="2298">
      <c r="A2298" s="7">
        <v>42425.38925925926</v>
      </c>
      <c r="B2298" s="8" t="str">
        <f>HYPERLINK("https://twitter.com/jackiefloyd","@jackiefloyd")</f>
        <v>@jackiefloyd</v>
      </c>
      <c r="C2298" s="10" t="s">
        <v>10296</v>
      </c>
      <c r="D2298" s="10" t="s">
        <v>10293</v>
      </c>
      <c r="E2298" s="11" t="str">
        <f>HYPERLINK("https://twitter.com/jackiefloyd/status/702906032591282178","702906032591282178")</f>
        <v>702906032591282178</v>
      </c>
      <c r="F2298" s="12" t="s">
        <v>52</v>
      </c>
      <c r="G2298" s="13">
        <v>486.0</v>
      </c>
      <c r="H2298" s="13">
        <v>1391.0</v>
      </c>
      <c r="I2298" s="13">
        <v>11.0</v>
      </c>
      <c r="J2298" s="13">
        <v>0.0</v>
      </c>
      <c r="K2298" s="12" t="s">
        <v>21</v>
      </c>
      <c r="L2298" s="7">
        <v>39608.28600694444</v>
      </c>
      <c r="M2298" s="14" t="s">
        <v>10297</v>
      </c>
      <c r="N2298" s="14" t="s">
        <v>10298</v>
      </c>
      <c r="O2298" s="11" t="str">
        <f>HYPERLINK("https://pbs.twimg.com/profile_images/597049552244330496/mLaqm1Qf_normal.jpg","View")</f>
        <v>View</v>
      </c>
      <c r="P2298" s="15"/>
    </row>
    <row r="2299">
      <c r="A2299" s="7">
        <v>42425.389375</v>
      </c>
      <c r="B2299" s="8" t="str">
        <f>HYPERLINK("https://twitter.com/BigDataTweetBot","@BigDataTweetBot")</f>
        <v>@BigDataTweetBot</v>
      </c>
      <c r="C2299" s="10" t="s">
        <v>1440</v>
      </c>
      <c r="D2299" s="10" t="s">
        <v>10299</v>
      </c>
      <c r="E2299" s="11" t="str">
        <f>HYPERLINK("https://twitter.com/BigDataTweetBot/status/702906077311016960","702906077311016960")</f>
        <v>702906077311016960</v>
      </c>
      <c r="F2299" s="12" t="s">
        <v>1442</v>
      </c>
      <c r="G2299" s="13">
        <v>8622.0</v>
      </c>
      <c r="H2299" s="13">
        <v>243.0</v>
      </c>
      <c r="I2299" s="13">
        <v>1.0</v>
      </c>
      <c r="J2299" s="13">
        <v>0.0</v>
      </c>
      <c r="K2299" s="12" t="s">
        <v>21</v>
      </c>
      <c r="L2299" s="7">
        <v>42187.77106481481</v>
      </c>
      <c r="M2299" s="16"/>
      <c r="N2299" s="14" t="s">
        <v>1443</v>
      </c>
      <c r="O2299" s="11" t="str">
        <f>HYPERLINK("https://pbs.twimg.com/profile_images/616793252524650496/bQbxJqmz_normal.jpg","View")</f>
        <v>View</v>
      </c>
      <c r="P2299" s="15"/>
    </row>
    <row r="2300">
      <c r="A2300" s="7">
        <v>42425.38951388889</v>
      </c>
      <c r="B2300" s="8" t="str">
        <f t="shared" ref="B2300:B2301" si="249">HYPERLINK("https://twitter.com/Emineomer2","@Emineomer2")</f>
        <v>@Emineomer2</v>
      </c>
      <c r="C2300" s="10" t="s">
        <v>10300</v>
      </c>
      <c r="D2300" s="10" t="s">
        <v>8100</v>
      </c>
      <c r="E2300" s="11" t="str">
        <f>HYPERLINK("https://twitter.com/Emineomer2/status/702906124576673792","702906124576673792")</f>
        <v>702906124576673792</v>
      </c>
      <c r="F2300" s="12" t="s">
        <v>52</v>
      </c>
      <c r="G2300" s="13">
        <v>55.0</v>
      </c>
      <c r="H2300" s="13">
        <v>150.0</v>
      </c>
      <c r="I2300" s="13">
        <v>6.0</v>
      </c>
      <c r="J2300" s="13">
        <v>0.0</v>
      </c>
      <c r="K2300" s="12" t="s">
        <v>21</v>
      </c>
      <c r="L2300" s="7">
        <v>42348.17917824074</v>
      </c>
      <c r="M2300" s="14" t="s">
        <v>2034</v>
      </c>
      <c r="N2300" s="16"/>
      <c r="O2300" s="11" t="str">
        <f t="shared" ref="O2300:O2301" si="250">HYPERLINK("https://pbs.twimg.com/profile_images/677566553253142528/_HPA3OpB_normal.jpg","View")</f>
        <v>View</v>
      </c>
      <c r="P2300" s="15"/>
    </row>
    <row r="2301">
      <c r="A2301" s="7">
        <v>42425.38966435185</v>
      </c>
      <c r="B2301" s="8" t="str">
        <f t="shared" si="249"/>
        <v>@Emineomer2</v>
      </c>
      <c r="C2301" s="10" t="s">
        <v>10300</v>
      </c>
      <c r="D2301" s="10" t="s">
        <v>10301</v>
      </c>
      <c r="E2301" s="11" t="str">
        <f>HYPERLINK("https://twitter.com/Emineomer2/status/702906180335702016","702906180335702016")</f>
        <v>702906180335702016</v>
      </c>
      <c r="F2301" s="12" t="s">
        <v>52</v>
      </c>
      <c r="G2301" s="13">
        <v>55.0</v>
      </c>
      <c r="H2301" s="13">
        <v>150.0</v>
      </c>
      <c r="I2301" s="13">
        <v>1.0</v>
      </c>
      <c r="J2301" s="13">
        <v>0.0</v>
      </c>
      <c r="K2301" s="12" t="s">
        <v>21</v>
      </c>
      <c r="L2301" s="7">
        <v>42348.17917824074</v>
      </c>
      <c r="M2301" s="14" t="s">
        <v>2034</v>
      </c>
      <c r="N2301" s="16"/>
      <c r="O2301" s="11" t="str">
        <f t="shared" si="250"/>
        <v>View</v>
      </c>
      <c r="P2301" s="15"/>
    </row>
    <row r="2302">
      <c r="A2302" s="7">
        <v>42425.39265046296</v>
      </c>
      <c r="B2302" s="8" t="str">
        <f>HYPERLINK("https://twitter.com/sjackman","@sjackman")</f>
        <v>@sjackman</v>
      </c>
      <c r="C2302" s="10" t="s">
        <v>7786</v>
      </c>
      <c r="D2302" s="10" t="s">
        <v>10284</v>
      </c>
      <c r="E2302" s="11" t="str">
        <f>HYPERLINK("https://twitter.com/sjackman/status/702907263292313600","702907263292313600")</f>
        <v>702907263292313600</v>
      </c>
      <c r="F2302" s="12" t="s">
        <v>240</v>
      </c>
      <c r="G2302" s="13">
        <v>1252.0</v>
      </c>
      <c r="H2302" s="13">
        <v>177.0</v>
      </c>
      <c r="I2302" s="13">
        <v>9.0</v>
      </c>
      <c r="J2302" s="13">
        <v>0.0</v>
      </c>
      <c r="K2302" s="12" t="s">
        <v>21</v>
      </c>
      <c r="L2302" s="7">
        <v>39334.926469907405</v>
      </c>
      <c r="M2302" s="14" t="s">
        <v>4608</v>
      </c>
      <c r="N2302" s="14" t="s">
        <v>7787</v>
      </c>
      <c r="O2302" s="11" t="str">
        <f>HYPERLINK("https://pbs.twimg.com/profile_images/1477813716/sdj-headshot-square_normal.jpg","View")</f>
        <v>View</v>
      </c>
      <c r="P2302" s="15"/>
    </row>
    <row r="2303">
      <c r="A2303" s="7">
        <v>42425.39362268518</v>
      </c>
      <c r="B2303" s="8" t="str">
        <f>HYPERLINK("https://twitter.com/sckottie","@sckottie")</f>
        <v>@sckottie</v>
      </c>
      <c r="C2303" s="10" t="s">
        <v>7836</v>
      </c>
      <c r="D2303" s="10" t="s">
        <v>10302</v>
      </c>
      <c r="E2303" s="11" t="str">
        <f>HYPERLINK("https://twitter.com/sckottie/status/702907615089545216","702907615089545216")</f>
        <v>702907615089545216</v>
      </c>
      <c r="F2303" s="12" t="s">
        <v>446</v>
      </c>
      <c r="G2303" s="13">
        <v>3140.0</v>
      </c>
      <c r="H2303" s="13">
        <v>990.0</v>
      </c>
      <c r="I2303" s="13">
        <v>0.0</v>
      </c>
      <c r="J2303" s="13">
        <v>0.0</v>
      </c>
      <c r="K2303" s="12" t="s">
        <v>21</v>
      </c>
      <c r="L2303" s="7">
        <v>40186.2953587963</v>
      </c>
      <c r="M2303" s="14" t="s">
        <v>7838</v>
      </c>
      <c r="N2303" s="14" t="s">
        <v>7839</v>
      </c>
      <c r="O2303" s="11" t="str">
        <f>HYPERLINK("https://pbs.twimg.com/profile_images/628062474491670529/KOOABG9v_normal.jpg","View")</f>
        <v>View</v>
      </c>
      <c r="P2303" s="15"/>
    </row>
    <row r="2304">
      <c r="A2304" s="7">
        <v>42425.39362268518</v>
      </c>
      <c r="B2304" s="8" t="str">
        <f>HYPERLINK("https://twitter.com/pdxrlang","@pdxrlang")</f>
        <v>@pdxrlang</v>
      </c>
      <c r="C2304" s="10" t="s">
        <v>8755</v>
      </c>
      <c r="D2304" s="10" t="s">
        <v>10303</v>
      </c>
      <c r="E2304" s="11" t="str">
        <f>HYPERLINK("https://twitter.com/pdxrlang/status/702907615114711040","702907615114711040")</f>
        <v>702907615114711040</v>
      </c>
      <c r="F2304" s="12" t="s">
        <v>446</v>
      </c>
      <c r="G2304" s="13">
        <v>73.0</v>
      </c>
      <c r="H2304" s="13">
        <v>2.0</v>
      </c>
      <c r="I2304" s="13">
        <v>0.0</v>
      </c>
      <c r="J2304" s="13">
        <v>0.0</v>
      </c>
      <c r="K2304" s="12" t="s">
        <v>21</v>
      </c>
      <c r="L2304" s="7">
        <v>42102.461851851855</v>
      </c>
      <c r="M2304" s="14" t="s">
        <v>2181</v>
      </c>
      <c r="N2304" s="14" t="s">
        <v>8757</v>
      </c>
      <c r="O2304" s="11" t="str">
        <f>HYPERLINK("https://pbs.twimg.com/profile_images/585868440440700928/i6zV-hSn_normal.png","View")</f>
        <v>View</v>
      </c>
      <c r="P2304" s="15"/>
    </row>
    <row r="2305">
      <c r="A2305" s="7">
        <v>42425.394432870366</v>
      </c>
      <c r="B2305" s="8" t="str">
        <f>HYPERLINK("https://twitter.com/csgillespie","@csgillespie")</f>
        <v>@csgillespie</v>
      </c>
      <c r="C2305" s="10" t="s">
        <v>8114</v>
      </c>
      <c r="D2305" s="10" t="s">
        <v>10304</v>
      </c>
      <c r="E2305" s="11" t="str">
        <f>HYPERLINK("https://twitter.com/csgillespie/status/702907909781463041","702907909781463041")</f>
        <v>702907909781463041</v>
      </c>
      <c r="F2305" s="12" t="s">
        <v>20</v>
      </c>
      <c r="G2305" s="13">
        <v>184.0</v>
      </c>
      <c r="H2305" s="13">
        <v>205.0</v>
      </c>
      <c r="I2305" s="13">
        <v>1.0</v>
      </c>
      <c r="J2305" s="13">
        <v>1.0</v>
      </c>
      <c r="K2305" s="12" t="s">
        <v>21</v>
      </c>
      <c r="L2305" s="7">
        <v>40006.61159722222</v>
      </c>
      <c r="M2305" s="14" t="s">
        <v>8116</v>
      </c>
      <c r="N2305" s="16"/>
      <c r="O2305" s="11" t="str">
        <f>HYPERLINK("https://pbs.twimg.com/profile_images/642263873/P8070026a_normal.JPG","View")</f>
        <v>View</v>
      </c>
      <c r="P2305" s="15"/>
    </row>
    <row r="2306">
      <c r="A2306" s="7">
        <v>42425.395625000005</v>
      </c>
      <c r="B2306" s="8" t="str">
        <f>HYPERLINK("https://twitter.com/JorgeACenturion","@JorgeACenturion")</f>
        <v>@JorgeACenturion</v>
      </c>
      <c r="C2306" s="10" t="s">
        <v>10305</v>
      </c>
      <c r="D2306" s="10" t="s">
        <v>9924</v>
      </c>
      <c r="E2306" s="11" t="str">
        <f>HYPERLINK("https://twitter.com/JorgeACenturion/status/702908340326834176","702908340326834176")</f>
        <v>702908340326834176</v>
      </c>
      <c r="F2306" s="12" t="s">
        <v>152</v>
      </c>
      <c r="G2306" s="13">
        <v>212.0</v>
      </c>
      <c r="H2306" s="13">
        <v>453.0</v>
      </c>
      <c r="I2306" s="13">
        <v>4.0</v>
      </c>
      <c r="J2306" s="13">
        <v>0.0</v>
      </c>
      <c r="K2306" s="12" t="s">
        <v>21</v>
      </c>
      <c r="L2306" s="7">
        <v>40058.23267361111</v>
      </c>
      <c r="M2306" s="14" t="s">
        <v>10306</v>
      </c>
      <c r="N2306" s="14" t="s">
        <v>10307</v>
      </c>
      <c r="O2306" s="11" t="str">
        <f>HYPERLINK("https://pbs.twimg.com/profile_images/443006870257545217/C4CqbPh1_normal.jpeg","View")</f>
        <v>View</v>
      </c>
      <c r="P2306" s="15"/>
    </row>
    <row r="2307">
      <c r="A2307" s="7">
        <v>42425.396319444444</v>
      </c>
      <c r="B2307" s="8" t="str">
        <f>HYPERLINK("https://twitter.com/AnalyticsVidhya","@AnalyticsVidhya")</f>
        <v>@AnalyticsVidhya</v>
      </c>
      <c r="C2307" s="10" t="s">
        <v>2998</v>
      </c>
      <c r="D2307" s="10" t="s">
        <v>10308</v>
      </c>
      <c r="E2307" s="11" t="str">
        <f>HYPERLINK("https://twitter.com/AnalyticsVidhya/status/702908593713115137","702908593713115137")</f>
        <v>702908593713115137</v>
      </c>
      <c r="F2307" s="12" t="s">
        <v>294</v>
      </c>
      <c r="G2307" s="13">
        <v>4133.0</v>
      </c>
      <c r="H2307" s="13">
        <v>250.0</v>
      </c>
      <c r="I2307" s="13">
        <v>6.0</v>
      </c>
      <c r="J2307" s="13">
        <v>13.0</v>
      </c>
      <c r="K2307" s="12" t="s">
        <v>21</v>
      </c>
      <c r="L2307" s="7">
        <v>41665.11702546296</v>
      </c>
      <c r="M2307" s="16"/>
      <c r="N2307" s="14" t="s">
        <v>3000</v>
      </c>
      <c r="O2307" s="11" t="str">
        <f>HYPERLINK("https://pbs.twimg.com/profile_images/457775762108448768/XmO2C1-E_normal.png","View")</f>
        <v>View</v>
      </c>
      <c r="P2307" s="15"/>
    </row>
    <row r="2308">
      <c r="A2308" s="7">
        <v>42425.39791666667</v>
      </c>
      <c r="B2308" s="8" t="str">
        <f>HYPERLINK("https://twitter.com/All_DataScience","@All_DataScience")</f>
        <v>@All_DataScience</v>
      </c>
      <c r="C2308" s="10" t="s">
        <v>10309</v>
      </c>
      <c r="D2308" s="10" t="s">
        <v>10310</v>
      </c>
      <c r="E2308" s="11" t="str">
        <f>HYPERLINK("https://twitter.com/All_DataScience/status/702909171709165568","702909171709165568")</f>
        <v>702909171709165568</v>
      </c>
      <c r="F2308" s="12" t="s">
        <v>20</v>
      </c>
      <c r="G2308" s="13">
        <v>437.0</v>
      </c>
      <c r="H2308" s="13">
        <v>412.0</v>
      </c>
      <c r="I2308" s="13">
        <v>6.0</v>
      </c>
      <c r="J2308" s="13">
        <v>0.0</v>
      </c>
      <c r="K2308" s="12" t="s">
        <v>21</v>
      </c>
      <c r="L2308" s="7">
        <v>42029.462592592594</v>
      </c>
      <c r="M2308" s="16"/>
      <c r="N2308" s="14" t="s">
        <v>10311</v>
      </c>
      <c r="O2308" s="11" t="str">
        <f>HYPERLINK("https://pbs.twimg.com/profile_images/579055802390093824/UCDUHb6S_normal.png","View")</f>
        <v>View</v>
      </c>
      <c r="P2308" s="15"/>
    </row>
    <row r="2309">
      <c r="A2309" s="7">
        <v>42425.399409722224</v>
      </c>
      <c r="B2309" s="8" t="str">
        <f>HYPERLINK("https://twitter.com/earlconf","@earlconf")</f>
        <v>@earlconf</v>
      </c>
      <c r="C2309" s="10" t="s">
        <v>7100</v>
      </c>
      <c r="D2309" s="10" t="s">
        <v>10312</v>
      </c>
      <c r="E2309" s="11" t="str">
        <f>HYPERLINK("https://twitter.com/earlconf/status/702909713541943297","702909713541943297")</f>
        <v>702909713541943297</v>
      </c>
      <c r="F2309" s="12" t="s">
        <v>152</v>
      </c>
      <c r="G2309" s="13">
        <v>1081.0</v>
      </c>
      <c r="H2309" s="13">
        <v>2351.0</v>
      </c>
      <c r="I2309" s="13">
        <v>7.0</v>
      </c>
      <c r="J2309" s="13">
        <v>6.0</v>
      </c>
      <c r="K2309" s="12" t="s">
        <v>21</v>
      </c>
      <c r="L2309" s="7">
        <v>41677.49930555555</v>
      </c>
      <c r="M2309" s="14" t="s">
        <v>7102</v>
      </c>
      <c r="N2309" s="14" t="s">
        <v>7103</v>
      </c>
      <c r="O2309" s="11" t="str">
        <f>HYPERLINK("https://pbs.twimg.com/profile_images/432298122203512833/YDXfWlI__normal.png","View")</f>
        <v>View</v>
      </c>
      <c r="P2309" s="15"/>
    </row>
    <row r="2310">
      <c r="A2310" s="7">
        <v>42425.40105324074</v>
      </c>
      <c r="B2310" s="8" t="str">
        <f>HYPERLINK("https://twitter.com/MangoTheCat","@MangoTheCat")</f>
        <v>@MangoTheCat</v>
      </c>
      <c r="C2310" s="10" t="s">
        <v>6321</v>
      </c>
      <c r="D2310" s="10" t="s">
        <v>10313</v>
      </c>
      <c r="E2310" s="11" t="str">
        <f>HYPERLINK("https://twitter.com/MangoTheCat/status/702910307644121088","702910307644121088")</f>
        <v>702910307644121088</v>
      </c>
      <c r="F2310" s="12" t="s">
        <v>152</v>
      </c>
      <c r="G2310" s="13">
        <v>2041.0</v>
      </c>
      <c r="H2310" s="13">
        <v>2855.0</v>
      </c>
      <c r="I2310" s="13">
        <v>7.0</v>
      </c>
      <c r="J2310" s="13">
        <v>0.0</v>
      </c>
      <c r="K2310" s="12" t="s">
        <v>21</v>
      </c>
      <c r="L2310" s="7">
        <v>39854.3178587963</v>
      </c>
      <c r="M2310" s="14" t="s">
        <v>6323</v>
      </c>
      <c r="N2310" s="14" t="s">
        <v>6324</v>
      </c>
      <c r="O2310" s="11" t="str">
        <f>HYPERLINK("https://pbs.twimg.com/profile_images/641183991077445633/V7VcBpJI_normal.png","View")</f>
        <v>View</v>
      </c>
      <c r="P2310" s="15"/>
    </row>
    <row r="2311">
      <c r="A2311" s="7">
        <v>42425.40280092593</v>
      </c>
      <c r="B2311" s="8" t="str">
        <f>HYPERLINK("https://twitter.com/Emineomer2","@Emineomer2")</f>
        <v>@Emineomer2</v>
      </c>
      <c r="C2311" s="10" t="s">
        <v>10300</v>
      </c>
      <c r="D2311" s="10" t="s">
        <v>10313</v>
      </c>
      <c r="E2311" s="11" t="str">
        <f>HYPERLINK("https://twitter.com/Emineomer2/status/702910941592211456","702910941592211456")</f>
        <v>702910941592211456</v>
      </c>
      <c r="F2311" s="12" t="s">
        <v>52</v>
      </c>
      <c r="G2311" s="13">
        <v>55.0</v>
      </c>
      <c r="H2311" s="13">
        <v>150.0</v>
      </c>
      <c r="I2311" s="13">
        <v>7.0</v>
      </c>
      <c r="J2311" s="13">
        <v>0.0</v>
      </c>
      <c r="K2311" s="12" t="s">
        <v>21</v>
      </c>
      <c r="L2311" s="7">
        <v>42348.17917824074</v>
      </c>
      <c r="M2311" s="14" t="s">
        <v>2034</v>
      </c>
      <c r="N2311" s="16"/>
      <c r="O2311" s="11" t="str">
        <f>HYPERLINK("https://pbs.twimg.com/profile_images/677566553253142528/_HPA3OpB_normal.jpg","View")</f>
        <v>View</v>
      </c>
      <c r="P2311" s="15"/>
    </row>
    <row r="2312">
      <c r="A2312" s="7">
        <v>42425.40299768519</v>
      </c>
      <c r="B2312" s="8" t="str">
        <f>HYPERLINK("https://twitter.com/sellorm","@sellorm")</f>
        <v>@sellorm</v>
      </c>
      <c r="C2312" s="10" t="s">
        <v>8538</v>
      </c>
      <c r="D2312" s="10" t="s">
        <v>10313</v>
      </c>
      <c r="E2312" s="11" t="str">
        <f>HYPERLINK("https://twitter.com/sellorm/status/702911010936590336","702911010936590336")</f>
        <v>702911010936590336</v>
      </c>
      <c r="F2312" s="12" t="s">
        <v>152</v>
      </c>
      <c r="G2312" s="13">
        <v>290.0</v>
      </c>
      <c r="H2312" s="13">
        <v>1435.0</v>
      </c>
      <c r="I2312" s="13">
        <v>7.0</v>
      </c>
      <c r="J2312" s="13">
        <v>0.0</v>
      </c>
      <c r="K2312" s="12" t="s">
        <v>21</v>
      </c>
      <c r="L2312" s="7">
        <v>39548.28162037037</v>
      </c>
      <c r="M2312" s="14" t="s">
        <v>8540</v>
      </c>
      <c r="N2312" s="14" t="s">
        <v>8541</v>
      </c>
      <c r="O2312" s="11" t="str">
        <f>HYPERLINK("https://pbs.twimg.com/profile_images/692468856288321538/S7BP0qfC_normal.jpg","View")</f>
        <v>View</v>
      </c>
      <c r="P2312" s="15"/>
    </row>
    <row r="2313">
      <c r="A2313" s="7">
        <v>42425.40746527778</v>
      </c>
      <c r="B2313" s="8" t="str">
        <f>HYPERLINK("https://twitter.com/TeresaOM","@TeresaOM")</f>
        <v>@TeresaOM</v>
      </c>
      <c r="C2313" s="10" t="s">
        <v>10314</v>
      </c>
      <c r="D2313" s="10" t="s">
        <v>9888</v>
      </c>
      <c r="E2313" s="11" t="str">
        <f>HYPERLINK("https://twitter.com/TeresaOM/status/702912629937803264","702912629937803264")</f>
        <v>702912629937803264</v>
      </c>
      <c r="F2313" s="12" t="s">
        <v>20</v>
      </c>
      <c r="G2313" s="13">
        <v>85.0</v>
      </c>
      <c r="H2313" s="13">
        <v>324.0</v>
      </c>
      <c r="I2313" s="13">
        <v>552.0</v>
      </c>
      <c r="J2313" s="13">
        <v>0.0</v>
      </c>
      <c r="K2313" s="12" t="s">
        <v>21</v>
      </c>
      <c r="L2313" s="7">
        <v>40024.35623842593</v>
      </c>
      <c r="M2313" s="14" t="s">
        <v>2865</v>
      </c>
      <c r="N2313" s="14" t="s">
        <v>10315</v>
      </c>
      <c r="O2313" s="11" t="str">
        <f>HYPERLINK("https://pbs.twimg.com/profile_images/583289849223905280/yBOWNYLe_normal.jpg","View")</f>
        <v>View</v>
      </c>
      <c r="P2313" s="15"/>
    </row>
    <row r="2314">
      <c r="A2314" s="7">
        <v>42425.408043981486</v>
      </c>
      <c r="B2314" s="8" t="str">
        <f>HYPERLINK("https://twitter.com/mjbsp","@mjbsp")</f>
        <v>@mjbsp</v>
      </c>
      <c r="C2314" s="10" t="s">
        <v>10316</v>
      </c>
      <c r="D2314" s="10" t="s">
        <v>10293</v>
      </c>
      <c r="E2314" s="11" t="str">
        <f>HYPERLINK("https://twitter.com/mjbsp/status/702912841481904128","702912841481904128")</f>
        <v>702912841481904128</v>
      </c>
      <c r="F2314" s="12" t="s">
        <v>152</v>
      </c>
      <c r="G2314" s="13">
        <v>1247.0</v>
      </c>
      <c r="H2314" s="13">
        <v>627.0</v>
      </c>
      <c r="I2314" s="13">
        <v>11.0</v>
      </c>
      <c r="J2314" s="13">
        <v>0.0</v>
      </c>
      <c r="K2314" s="12" t="s">
        <v>21</v>
      </c>
      <c r="L2314" s="7">
        <v>41181.4662962963</v>
      </c>
      <c r="M2314" s="14" t="s">
        <v>10317</v>
      </c>
      <c r="N2314" s="14" t="s">
        <v>10318</v>
      </c>
      <c r="O2314" s="11" t="str">
        <f>HYPERLINK("https://pbs.twimg.com/profile_images/3675455101/92f0debcad920b3018e3f1a4b02ac007_normal.jpeg","View")</f>
        <v>View</v>
      </c>
      <c r="P2314" s="15"/>
    </row>
    <row r="2315">
      <c r="A2315" s="7">
        <v>42425.40820601852</v>
      </c>
      <c r="B2315" s="8" t="str">
        <f>HYPERLINK("https://twitter.com/maxtriba","@maxtriba")</f>
        <v>@maxtriba</v>
      </c>
      <c r="C2315" s="10" t="s">
        <v>10319</v>
      </c>
      <c r="D2315" s="10" t="s">
        <v>10284</v>
      </c>
      <c r="E2315" s="11" t="str">
        <f>HYPERLINK("https://twitter.com/maxtriba/status/702912900462022656","702912900462022656")</f>
        <v>702912900462022656</v>
      </c>
      <c r="F2315" s="12" t="s">
        <v>1082</v>
      </c>
      <c r="G2315" s="13">
        <v>36.0</v>
      </c>
      <c r="H2315" s="13">
        <v>128.0</v>
      </c>
      <c r="I2315" s="13">
        <v>9.0</v>
      </c>
      <c r="J2315" s="13">
        <v>0.0</v>
      </c>
      <c r="K2315" s="12" t="s">
        <v>21</v>
      </c>
      <c r="L2315" s="7">
        <v>39911.54900462963</v>
      </c>
      <c r="M2315" s="14" t="s">
        <v>10320</v>
      </c>
      <c r="N2315" s="14" t="s">
        <v>10321</v>
      </c>
      <c r="O2315" s="11" t="str">
        <f>HYPERLINK("https://pbs.twimg.com/profile_images/695113131996000257/6lCD2aYC_normal.jpg","View")</f>
        <v>View</v>
      </c>
      <c r="P2315" s="15"/>
    </row>
    <row r="2316">
      <c r="A2316" s="7">
        <v>42425.40907407408</v>
      </c>
      <c r="B2316" s="8" t="str">
        <f>HYPERLINK("https://twitter.com/vijaybarve","@vijaybarve")</f>
        <v>@vijaybarve</v>
      </c>
      <c r="C2316" s="10" t="s">
        <v>6931</v>
      </c>
      <c r="D2316" s="10" t="s">
        <v>6419</v>
      </c>
      <c r="E2316" s="11" t="str">
        <f>HYPERLINK("https://twitter.com/vijaybarve/status/702913214187700224","702913214187700224")</f>
        <v>702913214187700224</v>
      </c>
      <c r="F2316" s="12" t="s">
        <v>20</v>
      </c>
      <c r="G2316" s="13">
        <v>704.0</v>
      </c>
      <c r="H2316" s="13">
        <v>1136.0</v>
      </c>
      <c r="I2316" s="13">
        <v>33.0</v>
      </c>
      <c r="J2316" s="13">
        <v>0.0</v>
      </c>
      <c r="K2316" s="12" t="s">
        <v>21</v>
      </c>
      <c r="L2316" s="7">
        <v>39696.6280787037</v>
      </c>
      <c r="M2316" s="14" t="s">
        <v>1891</v>
      </c>
      <c r="N2316" s="18" t="s">
        <v>6933</v>
      </c>
      <c r="O2316" s="11" t="str">
        <f>HYPERLINK("https://pbs.twimg.com/profile_images/59791919/vb_normal.JPG","View")</f>
        <v>View</v>
      </c>
      <c r="P2316" s="15"/>
    </row>
    <row r="2317">
      <c r="A2317" s="7">
        <v>42425.40965277777</v>
      </c>
      <c r="B2317" s="8" t="str">
        <f>HYPERLINK("https://twitter.com/MangoTheCat","@MangoTheCat")</f>
        <v>@MangoTheCat</v>
      </c>
      <c r="C2317" s="10" t="s">
        <v>6321</v>
      </c>
      <c r="D2317" s="10" t="s">
        <v>10322</v>
      </c>
      <c r="E2317" s="11" t="str">
        <f>HYPERLINK("https://twitter.com/MangoTheCat/status/702913423047335937","702913423047335937")</f>
        <v>702913423047335937</v>
      </c>
      <c r="F2317" s="12" t="s">
        <v>20</v>
      </c>
      <c r="G2317" s="13">
        <v>2041.0</v>
      </c>
      <c r="H2317" s="13">
        <v>2855.0</v>
      </c>
      <c r="I2317" s="13">
        <v>0.0</v>
      </c>
      <c r="J2317" s="13">
        <v>0.0</v>
      </c>
      <c r="K2317" s="12" t="s">
        <v>21</v>
      </c>
      <c r="L2317" s="7">
        <v>39854.3178587963</v>
      </c>
      <c r="M2317" s="14" t="s">
        <v>6323</v>
      </c>
      <c r="N2317" s="14" t="s">
        <v>6324</v>
      </c>
      <c r="O2317" s="11" t="str">
        <f>HYPERLINK("https://pbs.twimg.com/profile_images/641183991077445633/V7VcBpJI_normal.png","View")</f>
        <v>View</v>
      </c>
      <c r="P2317" s="15"/>
    </row>
    <row r="2318">
      <c r="A2318" s="7">
        <v>42425.41238425926</v>
      </c>
      <c r="B2318" s="8" t="str">
        <f t="shared" ref="B2318:B2319" si="251">HYPERLINK("https://twitter.com/mattgarciablitz","@mattgarciablitz")</f>
        <v>@mattgarciablitz</v>
      </c>
      <c r="C2318" s="10" t="s">
        <v>10323</v>
      </c>
      <c r="D2318" s="10" t="s">
        <v>10284</v>
      </c>
      <c r="E2318" s="11" t="str">
        <f>HYPERLINK("https://twitter.com/mattgarciablitz/status/702914413670621184","702914413670621184")</f>
        <v>702914413670621184</v>
      </c>
      <c r="F2318" s="12" t="s">
        <v>1082</v>
      </c>
      <c r="G2318" s="13">
        <v>320.0</v>
      </c>
      <c r="H2318" s="13">
        <v>371.0</v>
      </c>
      <c r="I2318" s="13">
        <v>9.0</v>
      </c>
      <c r="J2318" s="13">
        <v>0.0</v>
      </c>
      <c r="K2318" s="12" t="s">
        <v>21</v>
      </c>
      <c r="L2318" s="7">
        <v>39952.332766203705</v>
      </c>
      <c r="M2318" s="14" t="s">
        <v>10324</v>
      </c>
      <c r="N2318" s="14" t="s">
        <v>10325</v>
      </c>
      <c r="O2318" s="11" t="str">
        <f t="shared" ref="O2318:O2319" si="252">HYPERLINK("https://pbs.twimg.com/profile_images/697893416487821312/fzhlecJG_normal.jpg","View")</f>
        <v>View</v>
      </c>
      <c r="P2318" s="15"/>
    </row>
    <row r="2319">
      <c r="A2319" s="7">
        <v>42425.4150462963</v>
      </c>
      <c r="B2319" s="8" t="str">
        <f t="shared" si="251"/>
        <v>@mattgarciablitz</v>
      </c>
      <c r="C2319" s="10" t="s">
        <v>10323</v>
      </c>
      <c r="D2319" s="10" t="s">
        <v>10313</v>
      </c>
      <c r="E2319" s="11" t="str">
        <f>HYPERLINK("https://twitter.com/mattgarciablitz/status/702915376980611072","702915376980611072")</f>
        <v>702915376980611072</v>
      </c>
      <c r="F2319" s="12" t="s">
        <v>1082</v>
      </c>
      <c r="G2319" s="13">
        <v>320.0</v>
      </c>
      <c r="H2319" s="13">
        <v>371.0</v>
      </c>
      <c r="I2319" s="13">
        <v>7.0</v>
      </c>
      <c r="J2319" s="13">
        <v>0.0</v>
      </c>
      <c r="K2319" s="12" t="s">
        <v>21</v>
      </c>
      <c r="L2319" s="7">
        <v>39952.332766203705</v>
      </c>
      <c r="M2319" s="14" t="s">
        <v>10324</v>
      </c>
      <c r="N2319" s="14" t="s">
        <v>10325</v>
      </c>
      <c r="O2319" s="11" t="str">
        <f t="shared" si="252"/>
        <v>View</v>
      </c>
      <c r="P2319" s="15"/>
    </row>
    <row r="2320">
      <c r="A2320" s="7">
        <v>42425.415358796294</v>
      </c>
      <c r="B2320" s="8" t="str">
        <f>HYPERLINK("https://twitter.com/TonyLFreitas","@TonyLFreitas")</f>
        <v>@TonyLFreitas</v>
      </c>
      <c r="C2320" s="10" t="s">
        <v>10326</v>
      </c>
      <c r="D2320" s="10" t="s">
        <v>10293</v>
      </c>
      <c r="E2320" s="11" t="str">
        <f>HYPERLINK("https://twitter.com/TonyLFreitas/status/702915491128594432","702915491128594432")</f>
        <v>702915491128594432</v>
      </c>
      <c r="F2320" s="12" t="s">
        <v>20</v>
      </c>
      <c r="G2320" s="13">
        <v>207.0</v>
      </c>
      <c r="H2320" s="13">
        <v>107.0</v>
      </c>
      <c r="I2320" s="13">
        <v>11.0</v>
      </c>
      <c r="J2320" s="13">
        <v>0.0</v>
      </c>
      <c r="K2320" s="12" t="s">
        <v>21</v>
      </c>
      <c r="L2320" s="7">
        <v>41969.237187499995</v>
      </c>
      <c r="M2320" s="14" t="s">
        <v>10327</v>
      </c>
      <c r="N2320" s="14" t="s">
        <v>10328</v>
      </c>
      <c r="O2320" s="11" t="str">
        <f>HYPERLINK("https://pbs.twimg.com/profile_images/569897498613796864/yWJfLIa2_normal.png","View")</f>
        <v>View</v>
      </c>
      <c r="P2320" s="15"/>
    </row>
    <row r="2321">
      <c r="A2321" s="7">
        <v>42425.418969907405</v>
      </c>
      <c r="B2321" s="8" t="str">
        <f>HYPERLINK("https://twitter.com/oengels","@oengels")</f>
        <v>@oengels</v>
      </c>
      <c r="C2321" s="10" t="s">
        <v>10329</v>
      </c>
      <c r="D2321" s="10" t="s">
        <v>10189</v>
      </c>
      <c r="E2321" s="11" t="str">
        <f>HYPERLINK("https://twitter.com/oengels/status/702916801978564608","702916801978564608")</f>
        <v>702916801978564608</v>
      </c>
      <c r="F2321" s="12" t="s">
        <v>52</v>
      </c>
      <c r="G2321" s="13">
        <v>747.0</v>
      </c>
      <c r="H2321" s="13">
        <v>506.0</v>
      </c>
      <c r="I2321" s="13">
        <v>3.0</v>
      </c>
      <c r="J2321" s="13">
        <v>0.0</v>
      </c>
      <c r="K2321" s="12" t="s">
        <v>21</v>
      </c>
      <c r="L2321" s="7">
        <v>39780.11344907407</v>
      </c>
      <c r="M2321" s="14" t="s">
        <v>10330</v>
      </c>
      <c r="N2321" s="14" t="s">
        <v>10331</v>
      </c>
      <c r="O2321" s="11" t="str">
        <f>HYPERLINK("https://pbs.twimg.com/profile_images/603962005209362432/DDuIUWT9_normal.jpg","View")</f>
        <v>View</v>
      </c>
      <c r="P2321" s="15"/>
    </row>
    <row r="2322">
      <c r="A2322" s="7">
        <v>42425.420428240745</v>
      </c>
      <c r="B2322" s="8" t="str">
        <f>HYPERLINK("https://twitter.com/hoque_michelle","@hoque_michelle")</f>
        <v>@hoque_michelle</v>
      </c>
      <c r="C2322" s="10" t="s">
        <v>10332</v>
      </c>
      <c r="D2322" s="10" t="s">
        <v>10310</v>
      </c>
      <c r="E2322" s="11" t="str">
        <f>HYPERLINK("https://twitter.com/hoque_michelle/status/702917329777250304","702917329777250304")</f>
        <v>702917329777250304</v>
      </c>
      <c r="F2322" s="12" t="s">
        <v>20</v>
      </c>
      <c r="G2322" s="13">
        <v>4391.0</v>
      </c>
      <c r="H2322" s="13">
        <v>4389.0</v>
      </c>
      <c r="I2322" s="13">
        <v>6.0</v>
      </c>
      <c r="J2322" s="13">
        <v>0.0</v>
      </c>
      <c r="K2322" s="12" t="s">
        <v>21</v>
      </c>
      <c r="L2322" s="7">
        <v>41424.25310185185</v>
      </c>
      <c r="M2322" s="14" t="s">
        <v>10333</v>
      </c>
      <c r="N2322" s="14" t="s">
        <v>10334</v>
      </c>
      <c r="O2322" s="11" t="str">
        <f>HYPERLINK("https://pbs.twimg.com/profile_images/653355731756826624/uOtY0guW_normal.jpg","View")</f>
        <v>View</v>
      </c>
      <c r="P2322" s="15"/>
    </row>
    <row r="2323">
      <c r="A2323" s="7">
        <v>42425.42091435185</v>
      </c>
      <c r="B2323" s="8" t="str">
        <f>HYPERLINK("https://twitter.com/kierisi","@kierisi")</f>
        <v>@kierisi</v>
      </c>
      <c r="C2323" s="10" t="s">
        <v>1614</v>
      </c>
      <c r="D2323" s="10" t="s">
        <v>10335</v>
      </c>
      <c r="E2323" s="11" t="str">
        <f>HYPERLINK("https://twitter.com/kierisi/status/702917506789343232","702917506789343232")</f>
        <v>702917506789343232</v>
      </c>
      <c r="F2323" s="12" t="s">
        <v>446</v>
      </c>
      <c r="G2323" s="13">
        <v>668.0</v>
      </c>
      <c r="H2323" s="13">
        <v>588.0</v>
      </c>
      <c r="I2323" s="13">
        <v>2.0</v>
      </c>
      <c r="J2323" s="13">
        <v>11.0</v>
      </c>
      <c r="K2323" s="12" t="s">
        <v>21</v>
      </c>
      <c r="L2323" s="7">
        <v>41741.39902777778</v>
      </c>
      <c r="M2323" s="14" t="s">
        <v>1616</v>
      </c>
      <c r="N2323" s="14" t="s">
        <v>1617</v>
      </c>
      <c r="O2323" s="11" t="str">
        <f>HYPERLINK("https://pbs.twimg.com/profile_images/679646902145556480/cM-3XPTI_normal.jpg","View")</f>
        <v>View</v>
      </c>
      <c r="P2323" s="15"/>
    </row>
    <row r="2324">
      <c r="A2324" s="7">
        <v>42425.42188657407</v>
      </c>
      <c r="B2324" s="8" t="str">
        <f>HYPERLINK("https://twitter.com/HunterRatliff1","@HunterRatliff1")</f>
        <v>@HunterRatliff1</v>
      </c>
      <c r="C2324" s="10" t="s">
        <v>9694</v>
      </c>
      <c r="D2324" s="10" t="s">
        <v>10336</v>
      </c>
      <c r="E2324" s="11" t="str">
        <f>HYPERLINK("https://twitter.com/HunterRatliff1/status/702917858624278528","702917858624278528")</f>
        <v>702917858624278528</v>
      </c>
      <c r="F2324" s="12" t="s">
        <v>446</v>
      </c>
      <c r="G2324" s="13">
        <v>245.0</v>
      </c>
      <c r="H2324" s="13">
        <v>288.0</v>
      </c>
      <c r="I2324" s="13">
        <v>0.0</v>
      </c>
      <c r="J2324" s="13">
        <v>0.0</v>
      </c>
      <c r="K2324" s="12" t="s">
        <v>21</v>
      </c>
      <c r="L2324" s="7">
        <v>40269.91248842592</v>
      </c>
      <c r="M2324" s="14" t="s">
        <v>2022</v>
      </c>
      <c r="N2324" s="14" t="s">
        <v>9696</v>
      </c>
      <c r="O2324" s="11" t="str">
        <f>HYPERLINK("https://pbs.twimg.com/profile_images/629100002393108480/Tsus6Sd6_normal.jpg","View")</f>
        <v>View</v>
      </c>
      <c r="P2324" s="15"/>
    </row>
    <row r="2325">
      <c r="A2325" s="7">
        <v>42425.42519675926</v>
      </c>
      <c r="B2325" s="8" t="str">
        <f>HYPERLINK("https://twitter.com/WebScraperDB","@WebScraperDB")</f>
        <v>@WebScraperDB</v>
      </c>
      <c r="C2325" s="10" t="s">
        <v>2743</v>
      </c>
      <c r="D2325" s="10" t="s">
        <v>10337</v>
      </c>
      <c r="E2325" s="11" t="str">
        <f>HYPERLINK("https://twitter.com/WebScraperDB/status/702919055242616832","702919055242616832")</f>
        <v>702919055242616832</v>
      </c>
      <c r="F2325" s="12" t="s">
        <v>2743</v>
      </c>
      <c r="G2325" s="13">
        <v>298.0</v>
      </c>
      <c r="H2325" s="13">
        <v>927.0</v>
      </c>
      <c r="I2325" s="13">
        <v>0.0</v>
      </c>
      <c r="J2325" s="13">
        <v>1.0</v>
      </c>
      <c r="K2325" s="12" t="s">
        <v>21</v>
      </c>
      <c r="L2325" s="7">
        <v>42410.33493055556</v>
      </c>
      <c r="M2325" s="14" t="s">
        <v>2745</v>
      </c>
      <c r="N2325" s="14" t="s">
        <v>2746</v>
      </c>
      <c r="O2325" s="11" t="str">
        <f>HYPERLINK("https://pbs.twimg.com/profile_images/699545598450606080/s8CU8cVg_normal.png","View")</f>
        <v>View</v>
      </c>
      <c r="P2325" s="15"/>
    </row>
    <row r="2326">
      <c r="A2326" s="7">
        <v>42425.42623842593</v>
      </c>
      <c r="B2326" s="8" t="str">
        <f t="shared" ref="B2326:B2329" si="253">HYPERLINK("https://twitter.com/CRANberriesFeed","@CRANberriesFeed")</f>
        <v>@CRANberriesFeed</v>
      </c>
      <c r="C2326" s="10" t="s">
        <v>6282</v>
      </c>
      <c r="D2326" s="10" t="s">
        <v>10338</v>
      </c>
      <c r="E2326" s="11" t="str">
        <f>HYPERLINK("https://twitter.com/CRANberriesFeed/status/702919435737309184","702919435737309184")</f>
        <v>702919435737309184</v>
      </c>
      <c r="F2326" s="12" t="s">
        <v>6284</v>
      </c>
      <c r="G2326" s="13">
        <v>657.0</v>
      </c>
      <c r="H2326" s="13">
        <v>0.0</v>
      </c>
      <c r="I2326" s="13">
        <v>1.0</v>
      </c>
      <c r="J2326" s="13">
        <v>0.0</v>
      </c>
      <c r="K2326" s="12" t="s">
        <v>21</v>
      </c>
      <c r="L2326" s="7">
        <v>40546.353425925925</v>
      </c>
      <c r="M2326" s="14" t="s">
        <v>1158</v>
      </c>
      <c r="N2326" s="16"/>
      <c r="O2326" s="11" t="str">
        <f t="shared" ref="O2326:O2329" si="254">HYPERLINK("https://pbs.twimg.com/profile_images/1222779560/cran1_normal.jpg","View")</f>
        <v>View</v>
      </c>
      <c r="P2326" s="15"/>
    </row>
    <row r="2327">
      <c r="A2327" s="7">
        <v>42425.42638888889</v>
      </c>
      <c r="B2327" s="8" t="str">
        <f t="shared" si="253"/>
        <v>@CRANberriesFeed</v>
      </c>
      <c r="C2327" s="10" t="s">
        <v>6282</v>
      </c>
      <c r="D2327" s="10" t="s">
        <v>10339</v>
      </c>
      <c r="E2327" s="11" t="str">
        <f>HYPERLINK("https://twitter.com/CRANberriesFeed/status/702919491026608128","702919491026608128")</f>
        <v>702919491026608128</v>
      </c>
      <c r="F2327" s="12" t="s">
        <v>6284</v>
      </c>
      <c r="G2327" s="13">
        <v>657.0</v>
      </c>
      <c r="H2327" s="13">
        <v>0.0</v>
      </c>
      <c r="I2327" s="13">
        <v>0.0</v>
      </c>
      <c r="J2327" s="13">
        <v>0.0</v>
      </c>
      <c r="K2327" s="12" t="s">
        <v>21</v>
      </c>
      <c r="L2327" s="7">
        <v>40546.353425925925</v>
      </c>
      <c r="M2327" s="14" t="s">
        <v>1158</v>
      </c>
      <c r="N2327" s="16"/>
      <c r="O2327" s="11" t="str">
        <f t="shared" si="254"/>
        <v>View</v>
      </c>
      <c r="P2327" s="15"/>
    </row>
    <row r="2328">
      <c r="A2328" s="7">
        <v>42425.42643518519</v>
      </c>
      <c r="B2328" s="8" t="str">
        <f t="shared" si="253"/>
        <v>@CRANberriesFeed</v>
      </c>
      <c r="C2328" s="10" t="s">
        <v>6282</v>
      </c>
      <c r="D2328" s="10" t="s">
        <v>10340</v>
      </c>
      <c r="E2328" s="11" t="str">
        <f>HYPERLINK("https://twitter.com/CRANberriesFeed/status/702919507657039873","702919507657039873")</f>
        <v>702919507657039873</v>
      </c>
      <c r="F2328" s="12" t="s">
        <v>6284</v>
      </c>
      <c r="G2328" s="13">
        <v>657.0</v>
      </c>
      <c r="H2328" s="13">
        <v>0.0</v>
      </c>
      <c r="I2328" s="13">
        <v>0.0</v>
      </c>
      <c r="J2328" s="13">
        <v>0.0</v>
      </c>
      <c r="K2328" s="12" t="s">
        <v>21</v>
      </c>
      <c r="L2328" s="7">
        <v>40546.353425925925</v>
      </c>
      <c r="M2328" s="14" t="s">
        <v>1158</v>
      </c>
      <c r="N2328" s="16"/>
      <c r="O2328" s="11" t="str">
        <f t="shared" si="254"/>
        <v>View</v>
      </c>
      <c r="P2328" s="15"/>
    </row>
    <row r="2329">
      <c r="A2329" s="7">
        <v>42425.42646990741</v>
      </c>
      <c r="B2329" s="8" t="str">
        <f t="shared" si="253"/>
        <v>@CRANberriesFeed</v>
      </c>
      <c r="C2329" s="10" t="s">
        <v>6282</v>
      </c>
      <c r="D2329" s="10" t="s">
        <v>10341</v>
      </c>
      <c r="E2329" s="11" t="str">
        <f>HYPERLINK("https://twitter.com/CRANberriesFeed/status/702919518314692608","702919518314692608")</f>
        <v>702919518314692608</v>
      </c>
      <c r="F2329" s="12" t="s">
        <v>6284</v>
      </c>
      <c r="G2329" s="13">
        <v>657.0</v>
      </c>
      <c r="H2329" s="13">
        <v>0.0</v>
      </c>
      <c r="I2329" s="13">
        <v>0.0</v>
      </c>
      <c r="J2329" s="13">
        <v>0.0</v>
      </c>
      <c r="K2329" s="12" t="s">
        <v>21</v>
      </c>
      <c r="L2329" s="7">
        <v>40546.353425925925</v>
      </c>
      <c r="M2329" s="14" t="s">
        <v>1158</v>
      </c>
      <c r="N2329" s="16"/>
      <c r="O2329" s="11" t="str">
        <f t="shared" si="254"/>
        <v>View</v>
      </c>
      <c r="P2329" s="15"/>
    </row>
    <row r="2330">
      <c r="A2330" s="7">
        <v>42425.427511574075</v>
      </c>
      <c r="B2330" s="8" t="str">
        <f>HYPERLINK("https://twitter.com/Rbloggers","@Rbloggers")</f>
        <v>@Rbloggers</v>
      </c>
      <c r="C2330" s="10" t="s">
        <v>6221</v>
      </c>
      <c r="D2330" s="10" t="s">
        <v>10342</v>
      </c>
      <c r="E2330" s="11" t="str">
        <f>HYPERLINK("https://twitter.com/Rbloggers/status/702919894568808448","702919894568808448")</f>
        <v>702919894568808448</v>
      </c>
      <c r="F2330" s="17" t="s">
        <v>6223</v>
      </c>
      <c r="G2330" s="13">
        <v>28572.0</v>
      </c>
      <c r="H2330" s="13">
        <v>36.0</v>
      </c>
      <c r="I2330" s="13">
        <v>15.0</v>
      </c>
      <c r="J2330" s="13">
        <v>36.0</v>
      </c>
      <c r="K2330" s="12" t="s">
        <v>21</v>
      </c>
      <c r="L2330" s="7">
        <v>40314.510601851856</v>
      </c>
      <c r="M2330" s="16"/>
      <c r="N2330" s="14" t="s">
        <v>6224</v>
      </c>
      <c r="O2330" s="11" t="str">
        <f>HYPERLINK("https://pbs.twimg.com/profile_images/502185985786916864/gkdFh-q7_normal.png","View")</f>
        <v>View</v>
      </c>
      <c r="P2330" s="15"/>
    </row>
    <row r="2331">
      <c r="A2331" s="7">
        <v>42425.427569444444</v>
      </c>
      <c r="B2331" s="8" t="str">
        <f>HYPERLINK("https://twitter.com/renato_umeton","@renato_umeton")</f>
        <v>@renato_umeton</v>
      </c>
      <c r="C2331" s="10" t="s">
        <v>1659</v>
      </c>
      <c r="D2331" s="10" t="s">
        <v>10343</v>
      </c>
      <c r="E2331" s="11" t="str">
        <f>HYPERLINK("https://twitter.com/renato_umeton/status/702919916819718145","702919916819718145")</f>
        <v>702919916819718145</v>
      </c>
      <c r="F2331" s="12" t="s">
        <v>38</v>
      </c>
      <c r="G2331" s="13">
        <v>70.0</v>
      </c>
      <c r="H2331" s="13">
        <v>79.0</v>
      </c>
      <c r="I2331" s="13">
        <v>15.0</v>
      </c>
      <c r="J2331" s="13">
        <v>0.0</v>
      </c>
      <c r="K2331" s="12" t="s">
        <v>21</v>
      </c>
      <c r="L2331" s="7">
        <v>39918.052083333336</v>
      </c>
      <c r="M2331" s="14" t="s">
        <v>1660</v>
      </c>
      <c r="N2331" s="14" t="s">
        <v>1661</v>
      </c>
      <c r="O2331" s="11" t="str">
        <f>HYPERLINK("https://pbs.twimg.com/profile_images/701553083537604608/nr8b38eG_normal.jpg","View")</f>
        <v>View</v>
      </c>
      <c r="P2331" s="15"/>
    </row>
    <row r="2332">
      <c r="A2332" s="7">
        <v>42425.430231481485</v>
      </c>
      <c r="B2332" s="8" t="str">
        <f>HYPERLINK("https://twitter.com/homeAIinfo","@homeAIinfo")</f>
        <v>@homeAIinfo</v>
      </c>
      <c r="C2332" s="10" t="s">
        <v>36</v>
      </c>
      <c r="D2332" s="10" t="s">
        <v>10313</v>
      </c>
      <c r="E2332" s="11" t="str">
        <f>HYPERLINK("https://twitter.com/homeAIinfo/status/702920883313221632","702920883313221632")</f>
        <v>702920883313221632</v>
      </c>
      <c r="F2332" s="12" t="s">
        <v>38</v>
      </c>
      <c r="G2332" s="13">
        <v>52868.0</v>
      </c>
      <c r="H2332" s="13">
        <v>1328.0</v>
      </c>
      <c r="I2332" s="13">
        <v>7.0</v>
      </c>
      <c r="J2332" s="13">
        <v>0.0</v>
      </c>
      <c r="K2332" s="12" t="s">
        <v>21</v>
      </c>
      <c r="L2332" s="7">
        <v>42133.34662037037</v>
      </c>
      <c r="M2332" s="14" t="s">
        <v>39</v>
      </c>
      <c r="N2332" s="14" t="s">
        <v>40</v>
      </c>
      <c r="O2332" s="11" t="str">
        <f>HYPERLINK("https://pbs.twimg.com/profile_images/645650110374936580/-oQakt8x_normal.png","View")</f>
        <v>View</v>
      </c>
      <c r="P2332" s="15"/>
    </row>
    <row r="2333">
      <c r="A2333" s="7">
        <v>42425.43274305556</v>
      </c>
      <c r="B2333" s="8" t="str">
        <f>HYPERLINK("https://twitter.com/matt_dz","@matt_dz")</f>
        <v>@matt_dz</v>
      </c>
      <c r="C2333" s="10" t="s">
        <v>10344</v>
      </c>
      <c r="D2333" s="10" t="s">
        <v>10345</v>
      </c>
      <c r="E2333" s="11" t="str">
        <f>HYPERLINK("https://twitter.com/matt_dz/status/702921789832368128","702921789832368128")</f>
        <v>702921789832368128</v>
      </c>
      <c r="F2333" s="12" t="s">
        <v>20</v>
      </c>
      <c r="G2333" s="13">
        <v>842.0</v>
      </c>
      <c r="H2333" s="13">
        <v>1054.0</v>
      </c>
      <c r="I2333" s="13">
        <v>4.0</v>
      </c>
      <c r="J2333" s="13">
        <v>10.0</v>
      </c>
      <c r="K2333" s="12" t="s">
        <v>21</v>
      </c>
      <c r="L2333" s="7">
        <v>40489.35949074074</v>
      </c>
      <c r="M2333" s="16"/>
      <c r="N2333" s="14" t="s">
        <v>10346</v>
      </c>
      <c r="O2333" s="11" t="str">
        <f>HYPERLINK("https://pbs.twimg.com/profile_images/1799602424/vgb_normal.png","View")</f>
        <v>View</v>
      </c>
      <c r="P2333" s="15"/>
    </row>
    <row r="2334">
      <c r="A2334" s="7">
        <v>42425.43351851852</v>
      </c>
      <c r="B2334" s="8" t="str">
        <f>HYPERLINK("https://twitter.com/eddelbuettel","@eddelbuettel")</f>
        <v>@eddelbuettel</v>
      </c>
      <c r="C2334" s="10" t="s">
        <v>8831</v>
      </c>
      <c r="D2334" s="10" t="s">
        <v>10347</v>
      </c>
      <c r="E2334" s="11" t="str">
        <f>HYPERLINK("https://twitter.com/eddelbuettel/status/702922070959587328","702922070959587328")</f>
        <v>702922070959587328</v>
      </c>
      <c r="F2334" s="12" t="s">
        <v>20</v>
      </c>
      <c r="G2334" s="13">
        <v>3411.0</v>
      </c>
      <c r="H2334" s="13">
        <v>378.0</v>
      </c>
      <c r="I2334" s="13">
        <v>4.0</v>
      </c>
      <c r="J2334" s="13">
        <v>0.0</v>
      </c>
      <c r="K2334" s="12" t="s">
        <v>21</v>
      </c>
      <c r="L2334" s="7">
        <v>39167.76431712963</v>
      </c>
      <c r="M2334" s="14" t="s">
        <v>8833</v>
      </c>
      <c r="N2334" s="14" t="s">
        <v>8834</v>
      </c>
      <c r="O2334" s="11" t="str">
        <f>HYPERLINK("https://pbs.twimg.com/profile_images/509888693478248448/rvqUa5YA_normal.jpeg","View")</f>
        <v>View</v>
      </c>
      <c r="P2334" s="15"/>
    </row>
    <row r="2335">
      <c r="A2335" s="7">
        <v>42425.433703703704</v>
      </c>
      <c r="B2335" s="8" t="str">
        <f>HYPERLINK("https://twitter.com/wrathematics","@wrathematics")</f>
        <v>@wrathematics</v>
      </c>
      <c r="C2335" s="10" t="s">
        <v>7921</v>
      </c>
      <c r="D2335" s="10" t="s">
        <v>10348</v>
      </c>
      <c r="E2335" s="11" t="str">
        <f>HYPERLINK("https://twitter.com/wrathematics/status/702922141625413632","702922141625413632")</f>
        <v>702922141625413632</v>
      </c>
      <c r="F2335" s="12" t="s">
        <v>20</v>
      </c>
      <c r="G2335" s="13">
        <v>268.0</v>
      </c>
      <c r="H2335" s="13">
        <v>153.0</v>
      </c>
      <c r="I2335" s="13">
        <v>1.0</v>
      </c>
      <c r="J2335" s="13">
        <v>0.0</v>
      </c>
      <c r="K2335" s="12" t="s">
        <v>21</v>
      </c>
      <c r="L2335" s="7">
        <v>41331.447060185186</v>
      </c>
      <c r="M2335" s="16"/>
      <c r="N2335" s="14" t="s">
        <v>7922</v>
      </c>
      <c r="O2335" s="11" t="str">
        <f>HYPERLINK("https://pbs.twimg.com/profile_images/3311838112/cd20c9b2a8069d726a60ba97bfd75a61_normal.png","View")</f>
        <v>View</v>
      </c>
      <c r="P2335" s="15"/>
    </row>
    <row r="2336">
      <c r="A2336" s="7">
        <v>42425.433842592596</v>
      </c>
      <c r="B2336" s="8" t="str">
        <f>HYPERLINK("https://twitter.com/UrbanProtag","@UrbanProtag")</f>
        <v>@UrbanProtag</v>
      </c>
      <c r="C2336" s="10" t="s">
        <v>10349</v>
      </c>
      <c r="D2336" s="10" t="s">
        <v>10347</v>
      </c>
      <c r="E2336" s="11" t="str">
        <f>HYPERLINK("https://twitter.com/UrbanProtag/status/702922189218013184","702922189218013184")</f>
        <v>702922189218013184</v>
      </c>
      <c r="F2336" s="12" t="s">
        <v>52</v>
      </c>
      <c r="G2336" s="13">
        <v>59.0</v>
      </c>
      <c r="H2336" s="13">
        <v>142.0</v>
      </c>
      <c r="I2336" s="13">
        <v>4.0</v>
      </c>
      <c r="J2336" s="13">
        <v>0.0</v>
      </c>
      <c r="K2336" s="12" t="s">
        <v>21</v>
      </c>
      <c r="L2336" s="7">
        <v>42262.21835648148</v>
      </c>
      <c r="M2336" s="14" t="s">
        <v>6694</v>
      </c>
      <c r="N2336" s="14" t="s">
        <v>10350</v>
      </c>
      <c r="O2336" s="11" t="str">
        <f>HYPERLINK("https://pbs.twimg.com/profile_images/647216207339327488/2WO6rjcg_normal.jpg","View")</f>
        <v>View</v>
      </c>
      <c r="P2336" s="15"/>
    </row>
    <row r="2337">
      <c r="A2337" s="7">
        <v>42425.43780092592</v>
      </c>
      <c r="B2337" s="8" t="str">
        <f>HYPERLINK("https://twitter.com/pacoramon","@pacoramon")</f>
        <v>@pacoramon</v>
      </c>
      <c r="C2337" s="10" t="s">
        <v>5643</v>
      </c>
      <c r="D2337" s="10" t="s">
        <v>10343</v>
      </c>
      <c r="E2337" s="11" t="str">
        <f>HYPERLINK("https://twitter.com/pacoramon/status/702923624941015040","702923624941015040")</f>
        <v>702923624941015040</v>
      </c>
      <c r="F2337" s="12" t="s">
        <v>52</v>
      </c>
      <c r="G2337" s="13">
        <v>808.0</v>
      </c>
      <c r="H2337" s="13">
        <v>2044.0</v>
      </c>
      <c r="I2337" s="13">
        <v>15.0</v>
      </c>
      <c r="J2337" s="13">
        <v>0.0</v>
      </c>
      <c r="K2337" s="12" t="s">
        <v>21</v>
      </c>
      <c r="L2337" s="7">
        <v>40023.25795138889</v>
      </c>
      <c r="M2337" s="14" t="s">
        <v>232</v>
      </c>
      <c r="N2337" s="14" t="s">
        <v>5644</v>
      </c>
      <c r="O2337" s="11" t="str">
        <f>HYPERLINK("https://pbs.twimg.com/profile_images/378800000859434127/2hj0SxQo_normal.jpeg","View")</f>
        <v>View</v>
      </c>
      <c r="P2337" s="15"/>
    </row>
    <row r="2338">
      <c r="A2338" s="7">
        <v>42425.439421296294</v>
      </c>
      <c r="B2338" s="8" t="str">
        <f>HYPERLINK("https://twitter.com/varshraman93","@varshraman93")</f>
        <v>@varshraman93</v>
      </c>
      <c r="C2338" s="10" t="s">
        <v>10351</v>
      </c>
      <c r="D2338" s="10" t="s">
        <v>10343</v>
      </c>
      <c r="E2338" s="11" t="str">
        <f>HYPERLINK("https://twitter.com/varshraman93/status/702924210536996865","702924210536996865")</f>
        <v>702924210536996865</v>
      </c>
      <c r="F2338" s="12" t="s">
        <v>152</v>
      </c>
      <c r="G2338" s="13">
        <v>63.0</v>
      </c>
      <c r="H2338" s="13">
        <v>296.0</v>
      </c>
      <c r="I2338" s="13">
        <v>15.0</v>
      </c>
      <c r="J2338" s="13">
        <v>0.0</v>
      </c>
      <c r="K2338" s="12" t="s">
        <v>21</v>
      </c>
      <c r="L2338" s="7">
        <v>42284.42600694444</v>
      </c>
      <c r="M2338" s="16"/>
      <c r="N2338" s="16"/>
      <c r="O2338" s="11" t="str">
        <f>HYPERLINK("https://pbs.twimg.com/profile_images/701059305890447360/mKhcncEH_normal.jpg","View")</f>
        <v>View</v>
      </c>
      <c r="P2338" s="15"/>
    </row>
    <row r="2339">
      <c r="A2339" s="7">
        <v>42425.441504629634</v>
      </c>
      <c r="B2339" s="8" t="str">
        <f>HYPERLINK("https://twitter.com/theosysbio","@theosysbio")</f>
        <v>@theosysbio</v>
      </c>
      <c r="C2339" s="10" t="s">
        <v>10352</v>
      </c>
      <c r="D2339" s="10" t="s">
        <v>10353</v>
      </c>
      <c r="E2339" s="11" t="str">
        <f>HYPERLINK("https://twitter.com/theosysbio/status/702924967957106689","702924967957106689")</f>
        <v>702924967957106689</v>
      </c>
      <c r="F2339" s="12" t="s">
        <v>52</v>
      </c>
      <c r="G2339" s="13">
        <v>537.0</v>
      </c>
      <c r="H2339" s="13">
        <v>194.0</v>
      </c>
      <c r="I2339" s="13">
        <v>1.0</v>
      </c>
      <c r="J2339" s="13">
        <v>0.0</v>
      </c>
      <c r="K2339" s="12" t="s">
        <v>21</v>
      </c>
      <c r="L2339" s="7">
        <v>40069.21162037037</v>
      </c>
      <c r="M2339" s="14" t="s">
        <v>10148</v>
      </c>
      <c r="N2339" s="14" t="s">
        <v>10354</v>
      </c>
      <c r="O2339" s="11" t="str">
        <f>HYPERLINK("https://pbs.twimg.com/profile_images/701489573268828160/LlGTRKXx_normal.png","View")</f>
        <v>View</v>
      </c>
      <c r="P2339" s="15"/>
    </row>
    <row r="2340">
      <c r="A2340" s="7">
        <v>42425.44359953704</v>
      </c>
      <c r="B2340" s="8" t="str">
        <f>HYPERLINK("https://twitter.com/jcgpz","@jcgpz")</f>
        <v>@jcgpz</v>
      </c>
      <c r="C2340" s="10" t="s">
        <v>10355</v>
      </c>
      <c r="D2340" s="10" t="s">
        <v>10343</v>
      </c>
      <c r="E2340" s="11" t="str">
        <f>HYPERLINK("https://twitter.com/jcgpz/status/702925724764807168","702925724764807168")</f>
        <v>702925724764807168</v>
      </c>
      <c r="F2340" s="12" t="s">
        <v>20</v>
      </c>
      <c r="G2340" s="13">
        <v>141.0</v>
      </c>
      <c r="H2340" s="13">
        <v>298.0</v>
      </c>
      <c r="I2340" s="13">
        <v>15.0</v>
      </c>
      <c r="J2340" s="13">
        <v>0.0</v>
      </c>
      <c r="K2340" s="12" t="s">
        <v>21</v>
      </c>
      <c r="L2340" s="7">
        <v>40458.97891203704</v>
      </c>
      <c r="M2340" s="14" t="s">
        <v>168</v>
      </c>
      <c r="N2340" s="14" t="s">
        <v>10356</v>
      </c>
      <c r="O2340" s="11" t="str">
        <f>HYPERLINK("https://pbs.twimg.com/profile_images/459789900569518080/VTziYNoq_normal.jpeg","View")</f>
        <v>View</v>
      </c>
      <c r="P2340" s="15"/>
    </row>
    <row r="2341">
      <c r="A2341" s="7">
        <v>42425.44398148148</v>
      </c>
      <c r="B2341" s="8" t="str">
        <f>HYPERLINK("https://twitter.com/eFe_Gil","@eFe_Gil")</f>
        <v>@eFe_Gil</v>
      </c>
      <c r="C2341" s="10" t="s">
        <v>7601</v>
      </c>
      <c r="D2341" s="10" t="s">
        <v>10343</v>
      </c>
      <c r="E2341" s="11" t="str">
        <f>HYPERLINK("https://twitter.com/eFe_Gil/status/702925864686764032","702925864686764032")</f>
        <v>702925864686764032</v>
      </c>
      <c r="F2341" s="12" t="s">
        <v>152</v>
      </c>
      <c r="G2341" s="13">
        <v>43.0</v>
      </c>
      <c r="H2341" s="13">
        <v>64.0</v>
      </c>
      <c r="I2341" s="13">
        <v>15.0</v>
      </c>
      <c r="J2341" s="13">
        <v>0.0</v>
      </c>
      <c r="K2341" s="12" t="s">
        <v>21</v>
      </c>
      <c r="L2341" s="7">
        <v>41283.50839120371</v>
      </c>
      <c r="M2341" s="16"/>
      <c r="N2341" s="14" t="s">
        <v>7602</v>
      </c>
      <c r="O2341" s="11" t="str">
        <f>HYPERLINK("https://pbs.twimg.com/profile_images/674700358166388736/pWBofWfu_normal.jpg","View")</f>
        <v>View</v>
      </c>
      <c r="P2341" s="15"/>
    </row>
    <row r="2342">
      <c r="A2342" s="7">
        <v>42425.444513888884</v>
      </c>
      <c r="B2342" s="8" t="str">
        <f>HYPERLINK("https://twitter.com/BerlinRUG","@BerlinRUG")</f>
        <v>@BerlinRUG</v>
      </c>
      <c r="C2342" s="10" t="s">
        <v>9094</v>
      </c>
      <c r="D2342" s="10" t="s">
        <v>10357</v>
      </c>
      <c r="E2342" s="11" t="str">
        <f>HYPERLINK("https://twitter.com/BerlinRUG/status/702926059092746241","702926059092746241")</f>
        <v>702926059092746241</v>
      </c>
      <c r="F2342" s="12" t="s">
        <v>52</v>
      </c>
      <c r="G2342" s="13">
        <v>92.0</v>
      </c>
      <c r="H2342" s="13">
        <v>5.0</v>
      </c>
      <c r="I2342" s="13">
        <v>2.0</v>
      </c>
      <c r="J2342" s="13">
        <v>1.0</v>
      </c>
      <c r="K2342" s="12" t="s">
        <v>21</v>
      </c>
      <c r="L2342" s="7">
        <v>42134.13276620371</v>
      </c>
      <c r="M2342" s="14" t="s">
        <v>1963</v>
      </c>
      <c r="N2342" s="16"/>
      <c r="O2342" s="11" t="str">
        <f>HYPERLINK("https://pbs.twimg.com/profile_images/603517008777445376/474uLV55_normal.png","View")</f>
        <v>View</v>
      </c>
      <c r="P2342" s="15"/>
    </row>
    <row r="2343">
      <c r="A2343" s="7">
        <v>42425.44533564815</v>
      </c>
      <c r="B2343" s="8" t="str">
        <f>HYPERLINK("https://twitter.com/desertnaut","@desertnaut")</f>
        <v>@desertnaut</v>
      </c>
      <c r="C2343" s="10" t="s">
        <v>9995</v>
      </c>
      <c r="D2343" s="10" t="s">
        <v>10347</v>
      </c>
      <c r="E2343" s="11" t="str">
        <f>HYPERLINK("https://twitter.com/desertnaut/status/702926355772645379","702926355772645379")</f>
        <v>702926355772645379</v>
      </c>
      <c r="F2343" s="12" t="s">
        <v>52</v>
      </c>
      <c r="G2343" s="13">
        <v>659.0</v>
      </c>
      <c r="H2343" s="13">
        <v>1530.0</v>
      </c>
      <c r="I2343" s="13">
        <v>4.0</v>
      </c>
      <c r="J2343" s="13">
        <v>0.0</v>
      </c>
      <c r="K2343" s="12" t="s">
        <v>21</v>
      </c>
      <c r="L2343" s="7">
        <v>40904.13864583333</v>
      </c>
      <c r="M2343" s="14" t="s">
        <v>4764</v>
      </c>
      <c r="N2343" s="14" t="s">
        <v>9996</v>
      </c>
      <c r="O2343" s="11" t="str">
        <f>HYPERLINK("https://pbs.twimg.com/profile_images/3515263408/4dcca0278120c97c765cd0a80806d091_normal.jpeg","View")</f>
        <v>View</v>
      </c>
      <c r="P2343" s="15"/>
    </row>
    <row r="2344">
      <c r="A2344" s="7">
        <v>42425.44554398148</v>
      </c>
      <c r="B2344" s="8" t="str">
        <f>HYPERLINK("https://twitter.com/BerlinRUG","@BerlinRUG")</f>
        <v>@BerlinRUG</v>
      </c>
      <c r="C2344" s="10" t="s">
        <v>9094</v>
      </c>
      <c r="D2344" s="10" t="s">
        <v>10358</v>
      </c>
      <c r="E2344" s="11" t="str">
        <f>HYPERLINK("https://twitter.com/BerlinRUG/status/702926431299440641","702926431299440641")</f>
        <v>702926431299440641</v>
      </c>
      <c r="F2344" s="12" t="s">
        <v>52</v>
      </c>
      <c r="G2344" s="13">
        <v>92.0</v>
      </c>
      <c r="H2344" s="13">
        <v>5.0</v>
      </c>
      <c r="I2344" s="13">
        <v>0.0</v>
      </c>
      <c r="J2344" s="13">
        <v>0.0</v>
      </c>
      <c r="K2344" s="12" t="s">
        <v>21</v>
      </c>
      <c r="L2344" s="7">
        <v>42134.13276620371</v>
      </c>
      <c r="M2344" s="14" t="s">
        <v>1963</v>
      </c>
      <c r="N2344" s="16"/>
      <c r="O2344" s="11" t="str">
        <f>HYPERLINK("https://pbs.twimg.com/profile_images/603517008777445376/474uLV55_normal.png","View")</f>
        <v>View</v>
      </c>
      <c r="P2344" s="15"/>
    </row>
    <row r="2345">
      <c r="A2345" s="7">
        <v>42425.450011574074</v>
      </c>
      <c r="B2345" s="8" t="str">
        <f>HYPERLINK("https://twitter.com/WDustinAlbert","@WDustinAlbert")</f>
        <v>@WDustinAlbert</v>
      </c>
      <c r="C2345" s="10" t="s">
        <v>10359</v>
      </c>
      <c r="D2345" s="10" t="s">
        <v>10293</v>
      </c>
      <c r="E2345" s="11" t="str">
        <f>HYPERLINK("https://twitter.com/WDustinAlbert/status/702928048161734657","702928048161734657")</f>
        <v>702928048161734657</v>
      </c>
      <c r="F2345" s="12" t="s">
        <v>20</v>
      </c>
      <c r="G2345" s="13">
        <v>82.0</v>
      </c>
      <c r="H2345" s="13">
        <v>485.0</v>
      </c>
      <c r="I2345" s="13">
        <v>11.0</v>
      </c>
      <c r="J2345" s="13">
        <v>0.0</v>
      </c>
      <c r="K2345" s="12" t="s">
        <v>21</v>
      </c>
      <c r="L2345" s="7">
        <v>41828.27377314815</v>
      </c>
      <c r="M2345" s="16"/>
      <c r="N2345" s="14" t="s">
        <v>10360</v>
      </c>
      <c r="O2345" s="11" t="str">
        <f>HYPERLINK("https://pbs.twimg.com/profile_images/568502264382251008/J4U2pTMq_normal.jpeg","View")</f>
        <v>View</v>
      </c>
      <c r="P2345" s="15"/>
    </row>
    <row r="2346">
      <c r="A2346" s="7">
        <v>42425.4512962963</v>
      </c>
      <c r="B2346" s="8" t="str">
        <f>HYPERLINK("https://twitter.com/christinebaugh","@christinebaugh")</f>
        <v>@christinebaugh</v>
      </c>
      <c r="C2346" s="10" t="s">
        <v>10361</v>
      </c>
      <c r="D2346" s="10" t="s">
        <v>10362</v>
      </c>
      <c r="E2346" s="11" t="str">
        <f>HYPERLINK("https://twitter.com/christinebaugh/status/702928515772112896","702928515772112896")</f>
        <v>702928515772112896</v>
      </c>
      <c r="F2346" s="12" t="s">
        <v>152</v>
      </c>
      <c r="G2346" s="13">
        <v>750.0</v>
      </c>
      <c r="H2346" s="13">
        <v>237.0</v>
      </c>
      <c r="I2346" s="13">
        <v>2.0</v>
      </c>
      <c r="J2346" s="13">
        <v>4.0</v>
      </c>
      <c r="K2346" s="12" t="s">
        <v>21</v>
      </c>
      <c r="L2346" s="7">
        <v>40013.38327546296</v>
      </c>
      <c r="M2346" s="16"/>
      <c r="N2346" s="14" t="s">
        <v>10363</v>
      </c>
      <c r="O2346" s="11" t="str">
        <f>HYPERLINK("https://pbs.twimg.com/profile_images/378800000737270243/0aeebe178b99fc9c4fc3c2269e8fba25_normal.jpeg","View")</f>
        <v>View</v>
      </c>
      <c r="P2346" s="15"/>
    </row>
    <row r="2347">
      <c r="A2347" s="7">
        <v>42425.452465277776</v>
      </c>
      <c r="B2347" s="8" t="str">
        <f>HYPERLINK("https://twitter.com/kudzaka","@kudzaka")</f>
        <v>@kudzaka</v>
      </c>
      <c r="C2347" s="10" t="s">
        <v>7013</v>
      </c>
      <c r="D2347" s="10" t="s">
        <v>10343</v>
      </c>
      <c r="E2347" s="11" t="str">
        <f>HYPERLINK("https://twitter.com/kudzaka/status/702928939434516480","702928939434516480")</f>
        <v>702928939434516480</v>
      </c>
      <c r="F2347" s="12" t="s">
        <v>52</v>
      </c>
      <c r="G2347" s="13">
        <v>38.0</v>
      </c>
      <c r="H2347" s="13">
        <v>253.0</v>
      </c>
      <c r="I2347" s="13">
        <v>15.0</v>
      </c>
      <c r="J2347" s="13">
        <v>0.0</v>
      </c>
      <c r="K2347" s="12" t="s">
        <v>21</v>
      </c>
      <c r="L2347" s="7">
        <v>41759.57109953704</v>
      </c>
      <c r="M2347" s="14" t="s">
        <v>7014</v>
      </c>
      <c r="N2347" s="14" t="s">
        <v>7015</v>
      </c>
      <c r="O2347" s="11" t="str">
        <f>HYPERLINK("https://abs.twimg.com/sticky/default_profile_images/default_profile_1_normal.png","View")</f>
        <v>View</v>
      </c>
      <c r="P2347" s="15"/>
    </row>
    <row r="2348">
      <c r="A2348" s="7">
        <v>42425.452939814815</v>
      </c>
      <c r="B2348" s="8" t="str">
        <f>HYPERLINK("https://twitter.com/knutson_brain","@knutson_brain")</f>
        <v>@knutson_brain</v>
      </c>
      <c r="C2348" s="10" t="s">
        <v>10364</v>
      </c>
      <c r="D2348" s="10" t="s">
        <v>10293</v>
      </c>
      <c r="E2348" s="11" t="str">
        <f>HYPERLINK("https://twitter.com/knutson_brain/status/702929111228911617","702929111228911617")</f>
        <v>702929111228911617</v>
      </c>
      <c r="F2348" s="12" t="s">
        <v>52</v>
      </c>
      <c r="G2348" s="13">
        <v>1006.0</v>
      </c>
      <c r="H2348" s="13">
        <v>90.0</v>
      </c>
      <c r="I2348" s="13">
        <v>11.0</v>
      </c>
      <c r="J2348" s="13">
        <v>0.0</v>
      </c>
      <c r="K2348" s="12" t="s">
        <v>21</v>
      </c>
      <c r="L2348" s="7">
        <v>41377.463275462964</v>
      </c>
      <c r="M2348" s="16"/>
      <c r="N2348" s="14" t="s">
        <v>10365</v>
      </c>
      <c r="O2348" s="11" t="str">
        <f>HYPERLINK("https://pbs.twimg.com/profile_images/524045495207862272/mv0MzMg5_normal.jpeg","View")</f>
        <v>View</v>
      </c>
      <c r="P2348" s="15"/>
    </row>
    <row r="2349">
      <c r="A2349" s="7">
        <v>42425.45333333334</v>
      </c>
      <c r="B2349" s="8" t="str">
        <f>HYPERLINK("https://twitter.com/odsc","@odsc")</f>
        <v>@odsc</v>
      </c>
      <c r="C2349" s="10" t="s">
        <v>3212</v>
      </c>
      <c r="D2349" s="10" t="s">
        <v>10366</v>
      </c>
      <c r="E2349" s="11" t="str">
        <f>HYPERLINK("https://twitter.com/odsc/status/702929254527307776","702929254527307776")</f>
        <v>702929254527307776</v>
      </c>
      <c r="F2349" s="12" t="s">
        <v>20</v>
      </c>
      <c r="G2349" s="13">
        <v>13823.0</v>
      </c>
      <c r="H2349" s="13">
        <v>6657.0</v>
      </c>
      <c r="I2349" s="13">
        <v>8.0</v>
      </c>
      <c r="J2349" s="13">
        <v>0.0</v>
      </c>
      <c r="K2349" s="12" t="s">
        <v>21</v>
      </c>
      <c r="L2349" s="7">
        <v>42039.6077662037</v>
      </c>
      <c r="M2349" s="14" t="s">
        <v>3214</v>
      </c>
      <c r="N2349" s="14" t="s">
        <v>3215</v>
      </c>
      <c r="O2349" s="11" t="str">
        <f>HYPERLINK("https://pbs.twimg.com/profile_images/623923923441348612/HxO7gaZZ_normal.png","View")</f>
        <v>View</v>
      </c>
      <c r="P2349" s="15"/>
    </row>
    <row r="2350">
      <c r="A2350" s="7">
        <v>42425.45335648148</v>
      </c>
      <c r="B2350" s="8" t="str">
        <f>HYPERLINK("https://twitter.com/drpsmyth","@drpsmyth")</f>
        <v>@drpsmyth</v>
      </c>
      <c r="C2350" s="10" t="s">
        <v>10367</v>
      </c>
      <c r="D2350" s="10" t="s">
        <v>6913</v>
      </c>
      <c r="E2350" s="11" t="str">
        <f>HYPERLINK("https://twitter.com/drpsmyth/status/702929263092178944","702929263092178944")</f>
        <v>702929263092178944</v>
      </c>
      <c r="F2350" s="12" t="s">
        <v>52</v>
      </c>
      <c r="G2350" s="13">
        <v>6.0</v>
      </c>
      <c r="H2350" s="13">
        <v>61.0</v>
      </c>
      <c r="I2350" s="13">
        <v>32.0</v>
      </c>
      <c r="J2350" s="13">
        <v>0.0</v>
      </c>
      <c r="K2350" s="12" t="s">
        <v>21</v>
      </c>
      <c r="L2350" s="7">
        <v>42123.12851851852</v>
      </c>
      <c r="M2350" s="14" t="s">
        <v>3939</v>
      </c>
      <c r="N2350" s="14" t="s">
        <v>10368</v>
      </c>
      <c r="O2350" s="11" t="str">
        <f>HYPERLINK("https://pbs.twimg.com/profile_images/702933587654483968/ANpPjSFg_normal.jpg","View")</f>
        <v>View</v>
      </c>
      <c r="P2350" s="15"/>
    </row>
    <row r="2351">
      <c r="A2351" s="7">
        <v>42425.45586805556</v>
      </c>
      <c r="B2351" s="8" t="str">
        <f>HYPERLINK("https://twitter.com/Hana_Anber","@Hana_Anber")</f>
        <v>@Hana_Anber</v>
      </c>
      <c r="C2351" s="10" t="s">
        <v>3433</v>
      </c>
      <c r="D2351" s="10" t="s">
        <v>10310</v>
      </c>
      <c r="E2351" s="11" t="str">
        <f>HYPERLINK("https://twitter.com/Hana_Anber/status/702930173780430850","702930173780430850")</f>
        <v>702930173780430850</v>
      </c>
      <c r="F2351" s="12" t="s">
        <v>52</v>
      </c>
      <c r="G2351" s="13">
        <v>40.0</v>
      </c>
      <c r="H2351" s="13">
        <v>77.0</v>
      </c>
      <c r="I2351" s="13">
        <v>6.0</v>
      </c>
      <c r="J2351" s="13">
        <v>0.0</v>
      </c>
      <c r="K2351" s="12" t="s">
        <v>21</v>
      </c>
      <c r="L2351" s="7">
        <v>41381.81621527778</v>
      </c>
      <c r="M2351" s="16"/>
      <c r="N2351" s="14" t="s">
        <v>3435</v>
      </c>
      <c r="O2351" s="11" t="str">
        <f>HYPERLINK("https://pbs.twimg.com/profile_images/675159429629759490/U_ciM4bZ_normal.jpg","View")</f>
        <v>View</v>
      </c>
      <c r="P2351" s="15"/>
    </row>
    <row r="2352">
      <c r="A2352" s="7">
        <v>42425.45627314815</v>
      </c>
      <c r="B2352" s="8" t="str">
        <f>HYPERLINK("https://twitter.com/ceng_l","@ceng_l")</f>
        <v>@ceng_l</v>
      </c>
      <c r="C2352" s="10" t="s">
        <v>10369</v>
      </c>
      <c r="D2352" s="10" t="s">
        <v>10370</v>
      </c>
      <c r="E2352" s="11" t="str">
        <f>HYPERLINK("https://twitter.com/ceng_l/status/702930319150702592","702930319150702592")</f>
        <v>702930319150702592</v>
      </c>
      <c r="F2352" s="12" t="s">
        <v>446</v>
      </c>
      <c r="G2352" s="13">
        <v>103.0</v>
      </c>
      <c r="H2352" s="13">
        <v>247.0</v>
      </c>
      <c r="I2352" s="13">
        <v>0.0</v>
      </c>
      <c r="J2352" s="13">
        <v>0.0</v>
      </c>
      <c r="K2352" s="12" t="s">
        <v>21</v>
      </c>
      <c r="L2352" s="7">
        <v>39925.6499537037</v>
      </c>
      <c r="M2352" s="16"/>
      <c r="N2352" s="14" t="s">
        <v>10371</v>
      </c>
      <c r="O2352" s="11" t="str">
        <f>HYPERLINK("https://pbs.twimg.com/profile_images/716121440/me_normal.jpg","View")</f>
        <v>View</v>
      </c>
      <c r="P2352" s="15"/>
    </row>
    <row r="2353">
      <c r="A2353" s="7">
        <v>42425.45638888889</v>
      </c>
      <c r="B2353" s="8" t="str">
        <f>HYPERLINK("https://twitter.com/JennyBryan","@JennyBryan")</f>
        <v>@JennyBryan</v>
      </c>
      <c r="C2353" s="10" t="s">
        <v>7457</v>
      </c>
      <c r="D2353" s="10" t="s">
        <v>10372</v>
      </c>
      <c r="E2353" s="11" t="str">
        <f>HYPERLINK("https://twitter.com/JennyBryan/status/702930359361507328","702930359361507328")</f>
        <v>702930359361507328</v>
      </c>
      <c r="F2353" s="12" t="s">
        <v>240</v>
      </c>
      <c r="G2353" s="13">
        <v>3780.0</v>
      </c>
      <c r="H2353" s="13">
        <v>466.0</v>
      </c>
      <c r="I2353" s="13">
        <v>0.0</v>
      </c>
      <c r="J2353" s="13">
        <v>38.0</v>
      </c>
      <c r="K2353" s="12" t="s">
        <v>21</v>
      </c>
      <c r="L2353" s="7">
        <v>41578.4809837963</v>
      </c>
      <c r="M2353" s="14" t="s">
        <v>1855</v>
      </c>
      <c r="N2353" s="14" t="s">
        <v>7459</v>
      </c>
      <c r="O2353" s="11" t="str">
        <f>HYPERLINK("https://pbs.twimg.com/profile_images/660978605606875137/s3YrJetD_normal.jpg","View")</f>
        <v>View</v>
      </c>
      <c r="P2353" s="15"/>
    </row>
    <row r="2354">
      <c r="A2354" s="7">
        <v>42425.46082175926</v>
      </c>
      <c r="B2354" s="8" t="str">
        <f>HYPERLINK("https://twitter.com/datiobdEng","@datiobdEng")</f>
        <v>@datiobdEng</v>
      </c>
      <c r="C2354" s="10" t="s">
        <v>8187</v>
      </c>
      <c r="D2354" s="10" t="s">
        <v>10373</v>
      </c>
      <c r="E2354" s="11" t="str">
        <f>HYPERLINK("https://twitter.com/datiobdEng/status/702931967927590912","702931967927590912")</f>
        <v>702931967927590912</v>
      </c>
      <c r="F2354" s="12" t="s">
        <v>659</v>
      </c>
      <c r="G2354" s="13">
        <v>2053.0</v>
      </c>
      <c r="H2354" s="13">
        <v>938.0</v>
      </c>
      <c r="I2354" s="13">
        <v>3.0</v>
      </c>
      <c r="J2354" s="13">
        <v>5.0</v>
      </c>
      <c r="K2354" s="12" t="s">
        <v>21</v>
      </c>
      <c r="L2354" s="7">
        <v>41932.168599537035</v>
      </c>
      <c r="M2354" s="14" t="s">
        <v>5886</v>
      </c>
      <c r="N2354" s="14" t="s">
        <v>8189</v>
      </c>
      <c r="O2354" s="11" t="str">
        <f>HYPERLINK("https://pbs.twimg.com/profile_images/652130886721372160/mFFnmhJl_normal.png","View")</f>
        <v>View</v>
      </c>
      <c r="P2354" s="15"/>
    </row>
    <row r="2355">
      <c r="A2355" s="7">
        <v>42425.46083333333</v>
      </c>
      <c r="B2355" s="8" t="str">
        <f>HYPERLINK("https://twitter.com/sentiwire","@sentiwire")</f>
        <v>@sentiwire</v>
      </c>
      <c r="C2355" s="10" t="s">
        <v>381</v>
      </c>
      <c r="D2355" s="10" t="s">
        <v>10374</v>
      </c>
      <c r="E2355" s="11" t="str">
        <f>HYPERLINK("https://twitter.com/sentiwire/status/702931972947996672","702931972947996672")</f>
        <v>702931972947996672</v>
      </c>
      <c r="F2355" s="12" t="s">
        <v>383</v>
      </c>
      <c r="G2355" s="13">
        <v>515.0</v>
      </c>
      <c r="H2355" s="13">
        <v>1716.0</v>
      </c>
      <c r="I2355" s="13">
        <v>3.0</v>
      </c>
      <c r="J2355" s="13">
        <v>0.0</v>
      </c>
      <c r="K2355" s="12" t="s">
        <v>21</v>
      </c>
      <c r="L2355" s="7">
        <v>41422.629641203705</v>
      </c>
      <c r="M2355" s="16"/>
      <c r="N2355" s="14" t="s">
        <v>384</v>
      </c>
      <c r="O2355" s="11" t="str">
        <f>HYPERLINK("https://pbs.twimg.com/profile_images/686965105473396736/B9V5UtGS_normal.jpg","View")</f>
        <v>View</v>
      </c>
      <c r="P2355" s="15"/>
    </row>
    <row r="2356">
      <c r="A2356" s="7">
        <v>42425.46298611111</v>
      </c>
      <c r="B2356" s="8" t="str">
        <f>HYPERLINK("https://twitter.com/sckottie","@sckottie")</f>
        <v>@sckottie</v>
      </c>
      <c r="C2356" s="10" t="s">
        <v>7836</v>
      </c>
      <c r="D2356" s="10" t="s">
        <v>10375</v>
      </c>
      <c r="E2356" s="11" t="str">
        <f>HYPERLINK("https://twitter.com/sckottie/status/702932749628276736","702932749628276736")</f>
        <v>702932749628276736</v>
      </c>
      <c r="F2356" s="12" t="s">
        <v>446</v>
      </c>
      <c r="G2356" s="13">
        <v>3140.0</v>
      </c>
      <c r="H2356" s="13">
        <v>990.0</v>
      </c>
      <c r="I2356" s="13">
        <v>0.0</v>
      </c>
      <c r="J2356" s="13">
        <v>1.0</v>
      </c>
      <c r="K2356" s="12" t="s">
        <v>21</v>
      </c>
      <c r="L2356" s="7">
        <v>40186.2953587963</v>
      </c>
      <c r="M2356" s="14" t="s">
        <v>7838</v>
      </c>
      <c r="N2356" s="14" t="s">
        <v>7839</v>
      </c>
      <c r="O2356" s="11" t="str">
        <f>HYPERLINK("https://pbs.twimg.com/profile_images/628062474491670529/KOOABG9v_normal.jpg","View")</f>
        <v>View</v>
      </c>
      <c r="P2356" s="15"/>
    </row>
    <row r="2357">
      <c r="A2357" s="7">
        <v>42425.46298611111</v>
      </c>
      <c r="B2357" s="8" t="str">
        <f>HYPERLINK("https://twitter.com/pdxrlang","@pdxrlang")</f>
        <v>@pdxrlang</v>
      </c>
      <c r="C2357" s="10" t="s">
        <v>8755</v>
      </c>
      <c r="D2357" s="10" t="s">
        <v>10376</v>
      </c>
      <c r="E2357" s="11" t="str">
        <f>HYPERLINK("https://twitter.com/pdxrlang/status/702932749644988416","702932749644988416")</f>
        <v>702932749644988416</v>
      </c>
      <c r="F2357" s="12" t="s">
        <v>446</v>
      </c>
      <c r="G2357" s="13">
        <v>73.0</v>
      </c>
      <c r="H2357" s="13">
        <v>2.0</v>
      </c>
      <c r="I2357" s="13">
        <v>1.0</v>
      </c>
      <c r="J2357" s="13">
        <v>1.0</v>
      </c>
      <c r="K2357" s="12" t="s">
        <v>21</v>
      </c>
      <c r="L2357" s="7">
        <v>42102.461851851855</v>
      </c>
      <c r="M2357" s="14" t="s">
        <v>2181</v>
      </c>
      <c r="N2357" s="14" t="s">
        <v>8757</v>
      </c>
      <c r="O2357" s="11" t="str">
        <f>HYPERLINK("https://pbs.twimg.com/profile_images/585868440440700928/i6zV-hSn_normal.png","View")</f>
        <v>View</v>
      </c>
      <c r="P2357" s="15"/>
    </row>
    <row r="2358">
      <c r="A2358" s="7">
        <v>42425.46471064815</v>
      </c>
      <c r="B2358" s="8" t="str">
        <f>HYPERLINK("https://twitter.com/victoria_holt","@victoria_holt")</f>
        <v>@victoria_holt</v>
      </c>
      <c r="C2358" s="10" t="s">
        <v>10377</v>
      </c>
      <c r="D2358" s="10" t="s">
        <v>10378</v>
      </c>
      <c r="E2358" s="11" t="str">
        <f>HYPERLINK("https://twitter.com/victoria_holt/status/702933377700253696","702933377700253696")</f>
        <v>702933377700253696</v>
      </c>
      <c r="F2358" s="12" t="s">
        <v>152</v>
      </c>
      <c r="G2358" s="13">
        <v>473.0</v>
      </c>
      <c r="H2358" s="13">
        <v>399.0</v>
      </c>
      <c r="I2358" s="13">
        <v>1.0</v>
      </c>
      <c r="J2358" s="13">
        <v>0.0</v>
      </c>
      <c r="K2358" s="12" t="s">
        <v>21</v>
      </c>
      <c r="L2358" s="7">
        <v>40137.468877314815</v>
      </c>
      <c r="M2358" s="14" t="s">
        <v>10379</v>
      </c>
      <c r="N2358" s="14" t="s">
        <v>10380</v>
      </c>
      <c r="O2358" s="11" t="str">
        <f>HYPERLINK("https://pbs.twimg.com/profile_images/378800000494075666/75e9fdafd1363f99707df358ad30405a_normal.jpeg","View")</f>
        <v>View</v>
      </c>
      <c r="P2358" s="15"/>
    </row>
    <row r="2359">
      <c r="A2359" s="7">
        <v>42425.4653587963</v>
      </c>
      <c r="B2359" s="8" t="str">
        <f>HYPERLINK("https://twitter.com/USGS_R","@USGS_R")</f>
        <v>@USGS_R</v>
      </c>
      <c r="C2359" s="10" t="s">
        <v>7429</v>
      </c>
      <c r="D2359" s="10" t="s">
        <v>10381</v>
      </c>
      <c r="E2359" s="11" t="str">
        <f>HYPERLINK("https://twitter.com/USGS_R/status/702933612346212352","702933612346212352")</f>
        <v>702933612346212352</v>
      </c>
      <c r="F2359" s="12" t="s">
        <v>446</v>
      </c>
      <c r="G2359" s="13">
        <v>407.0</v>
      </c>
      <c r="H2359" s="13">
        <v>43.0</v>
      </c>
      <c r="I2359" s="13">
        <v>1.0</v>
      </c>
      <c r="J2359" s="13">
        <v>2.0</v>
      </c>
      <c r="K2359" s="12" t="s">
        <v>21</v>
      </c>
      <c r="L2359" s="7">
        <v>42228.35309027778</v>
      </c>
      <c r="M2359" s="16"/>
      <c r="N2359" s="14" t="s">
        <v>7430</v>
      </c>
      <c r="O2359" s="11" t="str">
        <f>HYPERLINK("https://pbs.twimg.com/profile_images/631488083863584769/gDqhLdAL_normal.png","View")</f>
        <v>View</v>
      </c>
      <c r="P2359" s="15"/>
    </row>
    <row r="2360">
      <c r="A2360" s="7">
        <v>42425.46706018518</v>
      </c>
      <c r="B2360" s="8" t="str">
        <f>HYPERLINK("https://twitter.com/Violet1700","@Violet1700")</f>
        <v>@Violet1700</v>
      </c>
      <c r="C2360" s="10" t="s">
        <v>10382</v>
      </c>
      <c r="D2360" s="10" t="s">
        <v>9484</v>
      </c>
      <c r="E2360" s="11" t="str">
        <f>HYPERLINK("https://twitter.com/Violet1700/status/702934229781446657","702934229781446657")</f>
        <v>702934229781446657</v>
      </c>
      <c r="F2360" s="12" t="s">
        <v>20</v>
      </c>
      <c r="G2360" s="13">
        <v>62.0</v>
      </c>
      <c r="H2360" s="13">
        <v>130.0</v>
      </c>
      <c r="I2360" s="13">
        <v>22.0</v>
      </c>
      <c r="J2360" s="13">
        <v>0.0</v>
      </c>
      <c r="K2360" s="12" t="s">
        <v>21</v>
      </c>
      <c r="L2360" s="7">
        <v>41822.32255787037</v>
      </c>
      <c r="M2360" s="16"/>
      <c r="N2360" s="14" t="s">
        <v>10383</v>
      </c>
      <c r="O2360" s="11" t="str">
        <f>HYPERLINK("https://pbs.twimg.com/profile_images/484403897843204097/A2dUnx80_normal.jpeg","View")</f>
        <v>View</v>
      </c>
      <c r="P2360" s="15"/>
    </row>
    <row r="2361">
      <c r="A2361" s="7">
        <v>42425.467569444445</v>
      </c>
      <c r="B2361" s="8" t="str">
        <f>HYPERLINK("https://twitter.com/jhollist","@jhollist")</f>
        <v>@jhollist</v>
      </c>
      <c r="C2361" s="10" t="s">
        <v>8353</v>
      </c>
      <c r="D2361" s="10" t="s">
        <v>10384</v>
      </c>
      <c r="E2361" s="11" t="str">
        <f>HYPERLINK("https://twitter.com/jhollist/status/702934411432632320","702934411432632320")</f>
        <v>702934411432632320</v>
      </c>
      <c r="F2361" s="12" t="s">
        <v>20</v>
      </c>
      <c r="G2361" s="13">
        <v>483.0</v>
      </c>
      <c r="H2361" s="13">
        <v>409.0</v>
      </c>
      <c r="I2361" s="13">
        <v>1.0</v>
      </c>
      <c r="J2361" s="13">
        <v>0.0</v>
      </c>
      <c r="K2361" s="12" t="s">
        <v>21</v>
      </c>
      <c r="L2361" s="7">
        <v>40049.80991898148</v>
      </c>
      <c r="M2361" s="14" t="s">
        <v>8355</v>
      </c>
      <c r="N2361" s="14" t="s">
        <v>8356</v>
      </c>
      <c r="O2361" s="11" t="str">
        <f>HYPERLINK("https://pbs.twimg.com/profile_images/562349585545170944/FADS_UgG_normal.jpeg","View")</f>
        <v>View</v>
      </c>
      <c r="P2361" s="15"/>
    </row>
    <row r="2362">
      <c r="A2362" s="7">
        <v>42425.46891203704</v>
      </c>
      <c r="B2362" s="8" t="str">
        <f>HYPERLINK("https://twitter.com/drpsmyth","@drpsmyth")</f>
        <v>@drpsmyth</v>
      </c>
      <c r="C2362" s="10" t="s">
        <v>10367</v>
      </c>
      <c r="D2362" s="10" t="s">
        <v>10385</v>
      </c>
      <c r="E2362" s="11" t="str">
        <f>HYPERLINK("https://twitter.com/drpsmyth/status/702934898298978304","702934898298978304")</f>
        <v>702934898298978304</v>
      </c>
      <c r="F2362" s="12" t="s">
        <v>52</v>
      </c>
      <c r="G2362" s="13">
        <v>6.0</v>
      </c>
      <c r="H2362" s="13">
        <v>61.0</v>
      </c>
      <c r="I2362" s="13">
        <v>0.0</v>
      </c>
      <c r="J2362" s="13">
        <v>0.0</v>
      </c>
      <c r="K2362" s="12" t="s">
        <v>21</v>
      </c>
      <c r="L2362" s="7">
        <v>42123.12851851852</v>
      </c>
      <c r="M2362" s="14" t="s">
        <v>3939</v>
      </c>
      <c r="N2362" s="14" t="s">
        <v>10368</v>
      </c>
      <c r="O2362" s="11" t="str">
        <f>HYPERLINK("https://pbs.twimg.com/profile_images/702933587654483968/ANpPjSFg_normal.jpg","View")</f>
        <v>View</v>
      </c>
      <c r="P2362" s="15"/>
    </row>
    <row r="2363">
      <c r="A2363" s="7">
        <v>42425.46947916667</v>
      </c>
      <c r="B2363" s="8" t="str">
        <f>HYPERLINK("https://twitter.com/sckottie","@sckottie")</f>
        <v>@sckottie</v>
      </c>
      <c r="C2363" s="10" t="s">
        <v>7836</v>
      </c>
      <c r="D2363" s="10" t="s">
        <v>10386</v>
      </c>
      <c r="E2363" s="11" t="str">
        <f>HYPERLINK("https://twitter.com/sckottie/status/702935105203900416","702935105203900416")</f>
        <v>702935105203900416</v>
      </c>
      <c r="F2363" s="12" t="s">
        <v>446</v>
      </c>
      <c r="G2363" s="13">
        <v>3140.0</v>
      </c>
      <c r="H2363" s="13">
        <v>990.0</v>
      </c>
      <c r="I2363" s="13">
        <v>1.0</v>
      </c>
      <c r="J2363" s="13">
        <v>0.0</v>
      </c>
      <c r="K2363" s="12" t="s">
        <v>21</v>
      </c>
      <c r="L2363" s="7">
        <v>40186.2953587963</v>
      </c>
      <c r="M2363" s="14" t="s">
        <v>7838</v>
      </c>
      <c r="N2363" s="14" t="s">
        <v>7839</v>
      </c>
      <c r="O2363" s="11" t="str">
        <f>HYPERLINK("https://pbs.twimg.com/profile_images/628062474491670529/KOOABG9v_normal.jpg","View")</f>
        <v>View</v>
      </c>
      <c r="P2363" s="15"/>
    </row>
    <row r="2364">
      <c r="A2364" s="7">
        <v>42425.469560185185</v>
      </c>
      <c r="B2364" s="8" t="str">
        <f>HYPERLINK("https://twitter.com/tomhouslay","@tomhouslay")</f>
        <v>@tomhouslay</v>
      </c>
      <c r="C2364" s="10" t="s">
        <v>6801</v>
      </c>
      <c r="D2364" s="10" t="s">
        <v>10387</v>
      </c>
      <c r="E2364" s="11" t="str">
        <f>HYPERLINK("https://twitter.com/tomhouslay/status/702935135860170752","702935135860170752")</f>
        <v>702935135860170752</v>
      </c>
      <c r="F2364" s="12" t="s">
        <v>20</v>
      </c>
      <c r="G2364" s="13">
        <v>2957.0</v>
      </c>
      <c r="H2364" s="13">
        <v>2676.0</v>
      </c>
      <c r="I2364" s="13">
        <v>0.0</v>
      </c>
      <c r="J2364" s="13">
        <v>2.0</v>
      </c>
      <c r="K2364" s="12" t="s">
        <v>21</v>
      </c>
      <c r="L2364" s="7">
        <v>40136.59471064815</v>
      </c>
      <c r="M2364" s="14" t="s">
        <v>6803</v>
      </c>
      <c r="N2364" s="14" t="s">
        <v>6804</v>
      </c>
      <c r="O2364" s="11" t="str">
        <f>HYPERLINK("https://pbs.twimg.com/profile_images/701901513392717824/lUzJ39G2_normal.png","View")</f>
        <v>View</v>
      </c>
      <c r="P2364" s="15"/>
    </row>
    <row r="2365">
      <c r="A2365" s="7">
        <v>42425.47200231481</v>
      </c>
      <c r="B2365" s="8" t="str">
        <f>HYPERLINK("https://twitter.com/heliopparis","@heliopparis")</f>
        <v>@heliopparis</v>
      </c>
      <c r="C2365" s="10" t="s">
        <v>10388</v>
      </c>
      <c r="D2365" s="10" t="s">
        <v>10374</v>
      </c>
      <c r="E2365" s="11" t="str">
        <f>HYPERLINK("https://twitter.com/heliopparis/status/702936018383671296","702936018383671296")</f>
        <v>702936018383671296</v>
      </c>
      <c r="F2365" s="12" t="s">
        <v>152</v>
      </c>
      <c r="G2365" s="13">
        <v>251.0</v>
      </c>
      <c r="H2365" s="13">
        <v>695.0</v>
      </c>
      <c r="I2365" s="13">
        <v>3.0</v>
      </c>
      <c r="J2365" s="13">
        <v>0.0</v>
      </c>
      <c r="K2365" s="12" t="s">
        <v>21</v>
      </c>
      <c r="L2365" s="7">
        <v>42381.356828703705</v>
      </c>
      <c r="M2365" s="14" t="s">
        <v>10389</v>
      </c>
      <c r="N2365" s="14" t="s">
        <v>10390</v>
      </c>
      <c r="O2365" s="11" t="str">
        <f>HYPERLINK("https://pbs.twimg.com/profile_images/686950138347130880/xXI7qRuM_normal.png","View")</f>
        <v>View</v>
      </c>
      <c r="P2365" s="15"/>
    </row>
    <row r="2366">
      <c r="A2366" s="7">
        <v>42425.472453703704</v>
      </c>
      <c r="B2366" s="8" t="str">
        <f>HYPERLINK("https://twitter.com/hafenstats","@hafenstats")</f>
        <v>@hafenstats</v>
      </c>
      <c r="C2366" s="10" t="s">
        <v>10391</v>
      </c>
      <c r="D2366" s="10" t="s">
        <v>10392</v>
      </c>
      <c r="E2366" s="11" t="str">
        <f>HYPERLINK("https://twitter.com/hafenstats/status/702936182074683392","702936182074683392")</f>
        <v>702936182074683392</v>
      </c>
      <c r="F2366" s="12" t="s">
        <v>20</v>
      </c>
      <c r="G2366" s="13">
        <v>316.0</v>
      </c>
      <c r="H2366" s="13">
        <v>175.0</v>
      </c>
      <c r="I2366" s="13">
        <v>6.0</v>
      </c>
      <c r="J2366" s="13">
        <v>12.0</v>
      </c>
      <c r="K2366" s="12" t="s">
        <v>21</v>
      </c>
      <c r="L2366" s="7">
        <v>41142.86388888889</v>
      </c>
      <c r="M2366" s="16"/>
      <c r="N2366" s="14" t="s">
        <v>10393</v>
      </c>
      <c r="O2366" s="11" t="str">
        <f>HYPERLINK("https://pbs.twimg.com/profile_images/515576920340045824/mBefJfrj_normal.jpeg","View")</f>
        <v>View</v>
      </c>
      <c r="P2366" s="15"/>
    </row>
    <row r="2367">
      <c r="A2367" s="7">
        <v>42425.47424768518</v>
      </c>
      <c r="B2367" s="8" t="str">
        <f>HYPERLINK("https://twitter.com/revodavid","@revodavid")</f>
        <v>@revodavid</v>
      </c>
      <c r="C2367" s="10" t="s">
        <v>7648</v>
      </c>
      <c r="D2367" s="10" t="s">
        <v>10394</v>
      </c>
      <c r="E2367" s="11" t="str">
        <f>HYPERLINK("https://twitter.com/revodavid/status/702936830723887105","702936830723887105")</f>
        <v>702936830723887105</v>
      </c>
      <c r="F2367" s="12" t="s">
        <v>446</v>
      </c>
      <c r="G2367" s="13">
        <v>18983.0</v>
      </c>
      <c r="H2367" s="13">
        <v>1103.0</v>
      </c>
      <c r="I2367" s="13">
        <v>5.0</v>
      </c>
      <c r="J2367" s="13">
        <v>15.0</v>
      </c>
      <c r="K2367" s="12" t="s">
        <v>21</v>
      </c>
      <c r="L2367" s="7">
        <v>39926.45226851852</v>
      </c>
      <c r="M2367" s="14" t="s">
        <v>1158</v>
      </c>
      <c r="N2367" s="14" t="s">
        <v>7650</v>
      </c>
      <c r="O2367" s="11" t="str">
        <f>HYPERLINK("https://pbs.twimg.com/profile_images/580043996723974144/_Oyvwa9c_normal.jpg","View")</f>
        <v>View</v>
      </c>
      <c r="P2367" s="15"/>
    </row>
    <row r="2368">
      <c r="A2368" s="7">
        <v>42425.47613425926</v>
      </c>
      <c r="B2368" s="8" t="str">
        <f>HYPERLINK("https://twitter.com/datascienceplus","@datascienceplus")</f>
        <v>@datascienceplus</v>
      </c>
      <c r="C2368" s="10" t="s">
        <v>5948</v>
      </c>
      <c r="D2368" s="10" t="s">
        <v>10395</v>
      </c>
      <c r="E2368" s="11" t="str">
        <f>HYPERLINK("https://twitter.com/datascienceplus/status/702937517310476288","702937517310476288")</f>
        <v>702937517310476288</v>
      </c>
      <c r="F2368" s="12" t="s">
        <v>20</v>
      </c>
      <c r="G2368" s="13">
        <v>250.0</v>
      </c>
      <c r="H2368" s="13">
        <v>321.0</v>
      </c>
      <c r="I2368" s="13">
        <v>0.0</v>
      </c>
      <c r="J2368" s="13">
        <v>0.0</v>
      </c>
      <c r="K2368" s="12" t="s">
        <v>21</v>
      </c>
      <c r="L2368" s="7">
        <v>42225.01311342593</v>
      </c>
      <c r="M2368" s="14" t="s">
        <v>5950</v>
      </c>
      <c r="N2368" s="14" t="s">
        <v>5951</v>
      </c>
      <c r="O2368" s="11" t="str">
        <f>HYPERLINK("https://pbs.twimg.com/profile_images/630277871538278400/gEjxWtPD_normal.jpg","View")</f>
        <v>View</v>
      </c>
      <c r="P2368" s="15"/>
    </row>
    <row r="2369">
      <c r="A2369" s="7">
        <v>42425.47621527778</v>
      </c>
      <c r="B2369" s="8" t="str">
        <f>HYPERLINK("https://twitter.com/dutchlight360","@dutchlight360")</f>
        <v>@dutchlight360</v>
      </c>
      <c r="C2369" s="10" t="s">
        <v>5493</v>
      </c>
      <c r="D2369" s="10" t="s">
        <v>10396</v>
      </c>
      <c r="E2369" s="11" t="str">
        <f>HYPERLINK("https://twitter.com/dutchlight360/status/702937544376373248","702937544376373248")</f>
        <v>702937544376373248</v>
      </c>
      <c r="F2369" s="12" t="s">
        <v>38</v>
      </c>
      <c r="G2369" s="13">
        <v>919.0</v>
      </c>
      <c r="H2369" s="13">
        <v>376.0</v>
      </c>
      <c r="I2369" s="13">
        <v>5.0</v>
      </c>
      <c r="J2369" s="13">
        <v>0.0</v>
      </c>
      <c r="K2369" s="12" t="s">
        <v>21</v>
      </c>
      <c r="L2369" s="7">
        <v>40578.56229166667</v>
      </c>
      <c r="M2369" s="14" t="s">
        <v>5495</v>
      </c>
      <c r="N2369" s="14" t="s">
        <v>5496</v>
      </c>
      <c r="O2369" s="11" t="str">
        <f>HYPERLINK("https://pbs.twimg.com/profile_images/509352548549935105/vUQcEAtE_normal.jpeg","View")</f>
        <v>View</v>
      </c>
      <c r="P2369" s="15"/>
    </row>
    <row r="2370">
      <c r="A2370" s="7">
        <v>42425.47744212963</v>
      </c>
      <c r="B2370" s="8" t="str">
        <f>HYPERLINK("https://twitter.com/JesusIxrael","@JesusIxrael")</f>
        <v>@JesusIxrael</v>
      </c>
      <c r="C2370" s="10" t="s">
        <v>10397</v>
      </c>
      <c r="D2370" s="10" t="s">
        <v>10396</v>
      </c>
      <c r="E2370" s="11" t="str">
        <f>HYPERLINK("https://twitter.com/JesusIxrael/status/702937991237349376","702937991237349376")</f>
        <v>702937991237349376</v>
      </c>
      <c r="F2370" s="12" t="s">
        <v>52</v>
      </c>
      <c r="G2370" s="13">
        <v>208.0</v>
      </c>
      <c r="H2370" s="13">
        <v>200.0</v>
      </c>
      <c r="I2370" s="13">
        <v>5.0</v>
      </c>
      <c r="J2370" s="13">
        <v>0.0</v>
      </c>
      <c r="K2370" s="12" t="s">
        <v>21</v>
      </c>
      <c r="L2370" s="7">
        <v>39909.44002314815</v>
      </c>
      <c r="M2370" s="14" t="s">
        <v>10398</v>
      </c>
      <c r="N2370" s="14" t="s">
        <v>10399</v>
      </c>
      <c r="O2370" s="11" t="str">
        <f>HYPERLINK("https://pbs.twimg.com/profile_images/426732200155824128/ssM7XYA4_normal.jpeg","View")</f>
        <v>View</v>
      </c>
      <c r="P2370" s="15"/>
    </row>
    <row r="2371">
      <c r="A2371" s="7">
        <v>42425.477638888886</v>
      </c>
      <c r="B2371" s="8" t="str">
        <f>HYPERLINK("https://twitter.com/ayirpelle","@ayirpelle")</f>
        <v>@ayirpelle</v>
      </c>
      <c r="C2371" s="10" t="s">
        <v>5607</v>
      </c>
      <c r="D2371" s="10" t="s">
        <v>10396</v>
      </c>
      <c r="E2371" s="11" t="str">
        <f>HYPERLINK("https://twitter.com/ayirpelle/status/702938063069024256","702938063069024256")</f>
        <v>702938063069024256</v>
      </c>
      <c r="F2371" s="12" t="s">
        <v>52</v>
      </c>
      <c r="G2371" s="13">
        <v>1327.0</v>
      </c>
      <c r="H2371" s="13">
        <v>2069.0</v>
      </c>
      <c r="I2371" s="13">
        <v>5.0</v>
      </c>
      <c r="J2371" s="13">
        <v>0.0</v>
      </c>
      <c r="K2371" s="12" t="s">
        <v>21</v>
      </c>
      <c r="L2371" s="7">
        <v>40959.997881944444</v>
      </c>
      <c r="M2371" s="14" t="s">
        <v>3391</v>
      </c>
      <c r="N2371" s="14" t="s">
        <v>5608</v>
      </c>
      <c r="O2371" s="11" t="str">
        <f>HYPERLINK("https://pbs.twimg.com/profile_images/412126192150401024/BGjaQNXk_normal.jpeg","View")</f>
        <v>View</v>
      </c>
      <c r="P2371" s="15"/>
    </row>
    <row r="2372">
      <c r="A2372" s="7">
        <v>42425.481585648144</v>
      </c>
      <c r="B2372" s="8" t="str">
        <f>HYPERLINK("https://twitter.com/thanhtungmilan","@thanhtungmilan")</f>
        <v>@thanhtungmilan</v>
      </c>
      <c r="C2372" s="10" t="s">
        <v>8087</v>
      </c>
      <c r="D2372" s="10" t="s">
        <v>10400</v>
      </c>
      <c r="E2372" s="11" t="str">
        <f>HYPERLINK("https://twitter.com/thanhtungmilan/status/702939492844335104","702939492844335104")</f>
        <v>702939492844335104</v>
      </c>
      <c r="F2372" s="12" t="s">
        <v>20</v>
      </c>
      <c r="G2372" s="13">
        <v>60.0</v>
      </c>
      <c r="H2372" s="13">
        <v>152.0</v>
      </c>
      <c r="I2372" s="13">
        <v>0.0</v>
      </c>
      <c r="J2372" s="13">
        <v>0.0</v>
      </c>
      <c r="K2372" s="12" t="s">
        <v>21</v>
      </c>
      <c r="L2372" s="7">
        <v>40006.24966435185</v>
      </c>
      <c r="M2372" s="14" t="s">
        <v>8088</v>
      </c>
      <c r="N2372" s="14" t="s">
        <v>8089</v>
      </c>
      <c r="O2372" s="11" t="str">
        <f>HYPERLINK("https://pbs.twimg.com/profile_images/561301462399979521/20njf5kj_normal.jpeg","View")</f>
        <v>View</v>
      </c>
      <c r="P2372" s="15"/>
    </row>
    <row r="2373">
      <c r="A2373" s="7">
        <v>42425.48289351852</v>
      </c>
      <c r="B2373" s="8" t="str">
        <f>HYPERLINK("https://twitter.com/mf_viz","@mf_viz")</f>
        <v>@mf_viz</v>
      </c>
      <c r="C2373" s="10" t="s">
        <v>10401</v>
      </c>
      <c r="D2373" s="10" t="s">
        <v>10402</v>
      </c>
      <c r="E2373" s="11" t="str">
        <f>HYPERLINK("https://twitter.com/mf_viz/status/702939966364479488","702939966364479488")</f>
        <v>702939966364479488</v>
      </c>
      <c r="F2373" s="12" t="s">
        <v>20</v>
      </c>
      <c r="G2373" s="13">
        <v>665.0</v>
      </c>
      <c r="H2373" s="13">
        <v>265.0</v>
      </c>
      <c r="I2373" s="13">
        <v>0.0</v>
      </c>
      <c r="J2373" s="13">
        <v>1.0</v>
      </c>
      <c r="K2373" s="12" t="s">
        <v>21</v>
      </c>
      <c r="L2373" s="7">
        <v>40647.385150462964</v>
      </c>
      <c r="M2373" s="14" t="s">
        <v>5548</v>
      </c>
      <c r="N2373" s="14" t="s">
        <v>10403</v>
      </c>
      <c r="O2373" s="11" t="str">
        <f>HYPERLINK("https://pbs.twimg.com/profile_images/507235241430228992/QInVM6F__normal.png","View")</f>
        <v>View</v>
      </c>
      <c r="P2373" s="15"/>
    </row>
    <row r="2374">
      <c r="A2374" s="7">
        <v>42425.483298611114</v>
      </c>
      <c r="B2374" s="8" t="str">
        <f>HYPERLINK("https://twitter.com/MikeDeCrescenzo","@MikeDeCrescenzo")</f>
        <v>@MikeDeCrescenzo</v>
      </c>
      <c r="C2374" s="10" t="s">
        <v>10404</v>
      </c>
      <c r="D2374" s="10" t="s">
        <v>10396</v>
      </c>
      <c r="E2374" s="11" t="str">
        <f>HYPERLINK("https://twitter.com/MikeDeCrescenzo/status/702940113085583364","702940113085583364")</f>
        <v>702940113085583364</v>
      </c>
      <c r="F2374" s="12" t="s">
        <v>20</v>
      </c>
      <c r="G2374" s="13">
        <v>247.0</v>
      </c>
      <c r="H2374" s="13">
        <v>656.0</v>
      </c>
      <c r="I2374" s="13">
        <v>5.0</v>
      </c>
      <c r="J2374" s="13">
        <v>0.0</v>
      </c>
      <c r="K2374" s="12" t="s">
        <v>21</v>
      </c>
      <c r="L2374" s="7">
        <v>40932.54306712963</v>
      </c>
      <c r="M2374" s="14" t="s">
        <v>7780</v>
      </c>
      <c r="N2374" s="14" t="s">
        <v>10405</v>
      </c>
      <c r="O2374" s="11" t="str">
        <f>HYPERLINK("https://pbs.twimg.com/profile_images/701151636735922176/0A6Cy82p_normal.png","View")</f>
        <v>View</v>
      </c>
      <c r="P2374" s="15"/>
    </row>
    <row r="2375">
      <c r="A2375" s="7">
        <v>42425.48351851852</v>
      </c>
      <c r="B2375" s="8" t="str">
        <f>HYPERLINK("https://twitter.com/sckottie","@sckottie")</f>
        <v>@sckottie</v>
      </c>
      <c r="C2375" s="10" t="s">
        <v>7836</v>
      </c>
      <c r="D2375" s="10" t="s">
        <v>10406</v>
      </c>
      <c r="E2375" s="11" t="str">
        <f>HYPERLINK("https://twitter.com/sckottie/status/702940191174987776","702940191174987776")</f>
        <v>702940191174987776</v>
      </c>
      <c r="F2375" s="12" t="s">
        <v>446</v>
      </c>
      <c r="G2375" s="13">
        <v>3140.0</v>
      </c>
      <c r="H2375" s="13">
        <v>990.0</v>
      </c>
      <c r="I2375" s="13">
        <v>0.0</v>
      </c>
      <c r="J2375" s="13">
        <v>0.0</v>
      </c>
      <c r="K2375" s="12" t="s">
        <v>21</v>
      </c>
      <c r="L2375" s="7">
        <v>40186.2953587963</v>
      </c>
      <c r="M2375" s="14" t="s">
        <v>7838</v>
      </c>
      <c r="N2375" s="14" t="s">
        <v>7839</v>
      </c>
      <c r="O2375" s="11" t="str">
        <f>HYPERLINK("https://pbs.twimg.com/profile_images/628062474491670529/KOOABG9v_normal.jpg","View")</f>
        <v>View</v>
      </c>
      <c r="P2375" s="15"/>
    </row>
    <row r="2376">
      <c r="A2376" s="7">
        <v>42425.48351851852</v>
      </c>
      <c r="B2376" s="8" t="str">
        <f>HYPERLINK("https://twitter.com/pdxrlang","@pdxrlang")</f>
        <v>@pdxrlang</v>
      </c>
      <c r="C2376" s="10" t="s">
        <v>8755</v>
      </c>
      <c r="D2376" s="10" t="s">
        <v>10407</v>
      </c>
      <c r="E2376" s="11" t="str">
        <f>HYPERLINK("https://twitter.com/pdxrlang/status/702940191195934721","702940191195934721")</f>
        <v>702940191195934721</v>
      </c>
      <c r="F2376" s="12" t="s">
        <v>446</v>
      </c>
      <c r="G2376" s="13">
        <v>73.0</v>
      </c>
      <c r="H2376" s="13">
        <v>2.0</v>
      </c>
      <c r="I2376" s="13">
        <v>1.0</v>
      </c>
      <c r="J2376" s="13">
        <v>0.0</v>
      </c>
      <c r="K2376" s="12" t="s">
        <v>21</v>
      </c>
      <c r="L2376" s="7">
        <v>42102.461851851855</v>
      </c>
      <c r="M2376" s="14" t="s">
        <v>2181</v>
      </c>
      <c r="N2376" s="14" t="s">
        <v>8757</v>
      </c>
      <c r="O2376" s="11" t="str">
        <f>HYPERLINK("https://pbs.twimg.com/profile_images/585868440440700928/i6zV-hSn_normal.png","View")</f>
        <v>View</v>
      </c>
      <c r="P2376" s="15"/>
    </row>
    <row r="2377">
      <c r="A2377" s="7">
        <v>42425.48365740741</v>
      </c>
      <c r="B2377" s="8" t="str">
        <f>HYPERLINK("https://twitter.com/sckottie","@sckottie")</f>
        <v>@sckottie</v>
      </c>
      <c r="C2377" s="10" t="s">
        <v>7836</v>
      </c>
      <c r="D2377" s="10" t="s">
        <v>10408</v>
      </c>
      <c r="E2377" s="11" t="str">
        <f>HYPERLINK("https://twitter.com/sckottie/status/702940241347227648","702940241347227648")</f>
        <v>702940241347227648</v>
      </c>
      <c r="F2377" s="12" t="s">
        <v>446</v>
      </c>
      <c r="G2377" s="13">
        <v>3140.0</v>
      </c>
      <c r="H2377" s="13">
        <v>990.0</v>
      </c>
      <c r="I2377" s="13">
        <v>1.0</v>
      </c>
      <c r="J2377" s="13">
        <v>0.0</v>
      </c>
      <c r="K2377" s="12" t="s">
        <v>21</v>
      </c>
      <c r="L2377" s="7">
        <v>40186.2953587963</v>
      </c>
      <c r="M2377" s="14" t="s">
        <v>7838</v>
      </c>
      <c r="N2377" s="14" t="s">
        <v>7839</v>
      </c>
      <c r="O2377" s="11" t="str">
        <f>HYPERLINK("https://pbs.twimg.com/profile_images/628062474491670529/KOOABG9v_normal.jpg","View")</f>
        <v>View</v>
      </c>
      <c r="P2377" s="15"/>
    </row>
    <row r="2378">
      <c r="A2378" s="7">
        <v>42425.48478009259</v>
      </c>
      <c r="B2378" s="8" t="str">
        <f>HYPERLINK("https://twitter.com/analyticbridge","@analyticbridge")</f>
        <v>@analyticbridge</v>
      </c>
      <c r="C2378" s="10" t="s">
        <v>2479</v>
      </c>
      <c r="D2378" s="10" t="s">
        <v>10409</v>
      </c>
      <c r="E2378" s="11" t="str">
        <f>HYPERLINK("https://twitter.com/analyticbridge/status/702940647737561089","702940647737561089")</f>
        <v>702940647737561089</v>
      </c>
      <c r="F2378" s="12" t="s">
        <v>20</v>
      </c>
      <c r="G2378" s="13">
        <v>133762.0</v>
      </c>
      <c r="H2378" s="13">
        <v>4293.0</v>
      </c>
      <c r="I2378" s="13">
        <v>8.0</v>
      </c>
      <c r="J2378" s="13">
        <v>0.0</v>
      </c>
      <c r="K2378" s="12" t="s">
        <v>21</v>
      </c>
      <c r="L2378" s="7">
        <v>39525.935057870374</v>
      </c>
      <c r="M2378" s="14" t="s">
        <v>1259</v>
      </c>
      <c r="N2378" s="14" t="s">
        <v>2481</v>
      </c>
      <c r="O2378" s="11" t="str">
        <f>HYPERLINK("https://pbs.twimg.com/profile_images/1198161733/analitycbridge_normal.png","View")</f>
        <v>View</v>
      </c>
      <c r="P2378" s="15"/>
    </row>
    <row r="2379">
      <c r="A2379" s="7">
        <v>42425.48541666666</v>
      </c>
      <c r="B2379" s="8" t="str">
        <f>HYPERLINK("https://twitter.com/thanhtungmilan","@thanhtungmilan")</f>
        <v>@thanhtungmilan</v>
      </c>
      <c r="C2379" s="10" t="s">
        <v>8087</v>
      </c>
      <c r="D2379" s="10" t="s">
        <v>10410</v>
      </c>
      <c r="E2379" s="11" t="str">
        <f>HYPERLINK("https://twitter.com/thanhtungmilan/status/702940880060035072","702940880060035072")</f>
        <v>702940880060035072</v>
      </c>
      <c r="F2379" s="12" t="s">
        <v>20</v>
      </c>
      <c r="G2379" s="13">
        <v>60.0</v>
      </c>
      <c r="H2379" s="13">
        <v>152.0</v>
      </c>
      <c r="I2379" s="13">
        <v>0.0</v>
      </c>
      <c r="J2379" s="13">
        <v>0.0</v>
      </c>
      <c r="K2379" s="12" t="s">
        <v>21</v>
      </c>
      <c r="L2379" s="7">
        <v>40006.24966435185</v>
      </c>
      <c r="M2379" s="14" t="s">
        <v>8088</v>
      </c>
      <c r="N2379" s="14" t="s">
        <v>8089</v>
      </c>
      <c r="O2379" s="11" t="str">
        <f>HYPERLINK("https://pbs.twimg.com/profile_images/561301462399979521/20njf5kj_normal.jpeg","View")</f>
        <v>View</v>
      </c>
      <c r="P2379" s="15"/>
    </row>
    <row r="2380">
      <c r="A2380" s="7">
        <v>42425.48609953704</v>
      </c>
      <c r="B2380" s="8" t="str">
        <f>HYPERLINK("https://twitter.com/stopifnot","@stopifnot")</f>
        <v>@stopifnot</v>
      </c>
      <c r="C2380" s="10" t="s">
        <v>10411</v>
      </c>
      <c r="D2380" s="10" t="s">
        <v>10412</v>
      </c>
      <c r="E2380" s="11" t="str">
        <f>HYPERLINK("https://twitter.com/stopifnot/status/702941128937619456","702941128937619456")</f>
        <v>702941128937619456</v>
      </c>
      <c r="F2380" s="12" t="s">
        <v>20</v>
      </c>
      <c r="G2380" s="13">
        <v>144.0</v>
      </c>
      <c r="H2380" s="13">
        <v>186.0</v>
      </c>
      <c r="I2380" s="13">
        <v>0.0</v>
      </c>
      <c r="J2380" s="13">
        <v>0.0</v>
      </c>
      <c r="K2380" s="12" t="s">
        <v>21</v>
      </c>
      <c r="L2380" s="7">
        <v>41532.52364583333</v>
      </c>
      <c r="M2380" s="16"/>
      <c r="N2380" s="14" t="s">
        <v>10413</v>
      </c>
      <c r="O2380" s="11" t="str">
        <f>HYPERLINK("https://pbs.twimg.com/profile_images/669184621532332035/lR39q_kZ_normal.png","View")</f>
        <v>View</v>
      </c>
      <c r="P2380" s="15"/>
    </row>
    <row r="2381">
      <c r="A2381" s="7">
        <v>42425.486655092594</v>
      </c>
      <c r="B2381" s="8" t="str">
        <f>HYPERLINK("https://twitter.com/InvestmentRP","@InvestmentRP")</f>
        <v>@InvestmentRP</v>
      </c>
      <c r="C2381" s="10" t="s">
        <v>10414</v>
      </c>
      <c r="D2381" s="10" t="s">
        <v>10415</v>
      </c>
      <c r="E2381" s="11" t="str">
        <f>HYPERLINK("https://twitter.com/InvestmentRP/status/702941328393572353","702941328393572353")</f>
        <v>702941328393572353</v>
      </c>
      <c r="F2381" s="12" t="s">
        <v>20</v>
      </c>
      <c r="G2381" s="13">
        <v>60.0</v>
      </c>
      <c r="H2381" s="13">
        <v>57.0</v>
      </c>
      <c r="I2381" s="13">
        <v>0.0</v>
      </c>
      <c r="J2381" s="13">
        <v>0.0</v>
      </c>
      <c r="K2381" s="12" t="s">
        <v>21</v>
      </c>
      <c r="L2381" s="7">
        <v>41327.20574074074</v>
      </c>
      <c r="M2381" s="16"/>
      <c r="N2381" s="14" t="s">
        <v>10416</v>
      </c>
      <c r="O2381" s="11" t="str">
        <f>HYPERLINK("https://pbs.twimg.com/profile_images/3334969480/a2c818157cf8cad81db52da77d3c2aaa_normal.jpeg","View")</f>
        <v>View</v>
      </c>
      <c r="P2381" s="15"/>
    </row>
    <row r="2382">
      <c r="A2382" s="7">
        <v>42425.48746527778</v>
      </c>
      <c r="B2382" s="8" t="str">
        <f>HYPERLINK("https://twitter.com/jeremyfreese","@jeremyfreese")</f>
        <v>@jeremyfreese</v>
      </c>
      <c r="C2382" s="10" t="s">
        <v>10417</v>
      </c>
      <c r="D2382" s="10" t="s">
        <v>10418</v>
      </c>
      <c r="E2382" s="11" t="str">
        <f>HYPERLINK("https://twitter.com/jeremyfreese/status/702941621457801216","702941621457801216")</f>
        <v>702941621457801216</v>
      </c>
      <c r="F2382" s="12" t="s">
        <v>52</v>
      </c>
      <c r="G2382" s="13">
        <v>2378.0</v>
      </c>
      <c r="H2382" s="13">
        <v>838.0</v>
      </c>
      <c r="I2382" s="13">
        <v>0.0</v>
      </c>
      <c r="J2382" s="13">
        <v>3.0</v>
      </c>
      <c r="K2382" s="12" t="s">
        <v>21</v>
      </c>
      <c r="L2382" s="7">
        <v>39298.97467592593</v>
      </c>
      <c r="M2382" s="14" t="s">
        <v>10419</v>
      </c>
      <c r="N2382" s="14" t="s">
        <v>10420</v>
      </c>
      <c r="O2382" s="11" t="str">
        <f>HYPERLINK("https://pbs.twimg.com/profile_images/57541014/j_normal.jpg","View")</f>
        <v>View</v>
      </c>
      <c r="P2382" s="15"/>
    </row>
    <row r="2383">
      <c r="A2383" s="7">
        <v>42425.4884375</v>
      </c>
      <c r="B2383" s="8" t="str">
        <f>HYPERLINK("https://twitter.com/RProgramming","@RProgramming")</f>
        <v>@RProgramming</v>
      </c>
      <c r="C2383" s="9" t="s">
        <v>6225</v>
      </c>
      <c r="D2383" s="10" t="s">
        <v>10421</v>
      </c>
      <c r="E2383" s="11" t="str">
        <f>HYPERLINK("https://twitter.com/RProgramming/status/702941975037644800","702941975037644800")</f>
        <v>702941975037644800</v>
      </c>
      <c r="F2383" s="12" t="s">
        <v>1961</v>
      </c>
      <c r="G2383" s="13">
        <v>227.0</v>
      </c>
      <c r="H2383" s="13">
        <v>15.0</v>
      </c>
      <c r="I2383" s="13">
        <v>0.0</v>
      </c>
      <c r="J2383" s="13">
        <v>0.0</v>
      </c>
      <c r="K2383" s="12" t="s">
        <v>21</v>
      </c>
      <c r="L2383" s="7">
        <v>41350.72472222222</v>
      </c>
      <c r="M2383" s="16"/>
      <c r="N2383" s="14" t="s">
        <v>6227</v>
      </c>
      <c r="O2383" s="11" t="str">
        <f>HYPERLINK("https://pbs.twimg.com/profile_images/696056897560915969/XpPGOuAf_normal.png","View")</f>
        <v>View</v>
      </c>
      <c r="P2383" s="15"/>
    </row>
    <row r="2384">
      <c r="A2384" s="7">
        <v>42425.48980324074</v>
      </c>
      <c r="B2384" s="8" t="str">
        <f>HYPERLINK("https://twitter.com/Rbloggers","@Rbloggers")</f>
        <v>@Rbloggers</v>
      </c>
      <c r="C2384" s="10" t="s">
        <v>6221</v>
      </c>
      <c r="D2384" s="10" t="s">
        <v>10422</v>
      </c>
      <c r="E2384" s="11" t="str">
        <f>HYPERLINK("https://twitter.com/Rbloggers/status/702942470544322560","702942470544322560")</f>
        <v>702942470544322560</v>
      </c>
      <c r="F2384" s="17" t="s">
        <v>6223</v>
      </c>
      <c r="G2384" s="13">
        <v>28572.0</v>
      </c>
      <c r="H2384" s="13">
        <v>36.0</v>
      </c>
      <c r="I2384" s="13">
        <v>15.0</v>
      </c>
      <c r="J2384" s="13">
        <v>23.0</v>
      </c>
      <c r="K2384" s="12" t="s">
        <v>21</v>
      </c>
      <c r="L2384" s="7">
        <v>40314.510601851856</v>
      </c>
      <c r="M2384" s="16"/>
      <c r="N2384" s="14" t="s">
        <v>6224</v>
      </c>
      <c r="O2384" s="11" t="str">
        <f>HYPERLINK("https://pbs.twimg.com/profile_images/502185985786916864/gkdFh-q7_normal.png","View")</f>
        <v>View</v>
      </c>
      <c r="P2384" s="15"/>
    </row>
    <row r="2385">
      <c r="A2385" s="7">
        <v>42425.48983796296</v>
      </c>
      <c r="B2385" s="8" t="str">
        <f>HYPERLINK("https://twitter.com/Nujcharee","@Nujcharee")</f>
        <v>@Nujcharee</v>
      </c>
      <c r="C2385" s="10" t="s">
        <v>10423</v>
      </c>
      <c r="D2385" s="10" t="s">
        <v>8987</v>
      </c>
      <c r="E2385" s="11" t="str">
        <f>HYPERLINK("https://twitter.com/Nujcharee/status/702942482296913920","702942482296913920")</f>
        <v>702942482296913920</v>
      </c>
      <c r="F2385" s="12" t="s">
        <v>52</v>
      </c>
      <c r="G2385" s="13">
        <v>97.0</v>
      </c>
      <c r="H2385" s="13">
        <v>116.0</v>
      </c>
      <c r="I2385" s="13">
        <v>15.0</v>
      </c>
      <c r="J2385" s="13">
        <v>0.0</v>
      </c>
      <c r="K2385" s="12" t="s">
        <v>21</v>
      </c>
      <c r="L2385" s="7">
        <v>41014.216319444444</v>
      </c>
      <c r="M2385" s="14" t="s">
        <v>10424</v>
      </c>
      <c r="N2385" s="14" t="s">
        <v>10425</v>
      </c>
      <c r="O2385" s="11" t="str">
        <f>HYPERLINK("https://pbs.twimg.com/profile_images/686205504910176256/s3GUi2AC_normal.jpg","View")</f>
        <v>View</v>
      </c>
      <c r="P2385" s="15"/>
    </row>
    <row r="2386">
      <c r="A2386" s="7">
        <v>42425.48987268518</v>
      </c>
      <c r="B2386" s="8" t="str">
        <f>HYPERLINK("https://twitter.com/DataFinest","@DataFinest")</f>
        <v>@DataFinest</v>
      </c>
      <c r="C2386" s="10" t="s">
        <v>6990</v>
      </c>
      <c r="D2386" s="10" t="s">
        <v>10343</v>
      </c>
      <c r="E2386" s="11" t="str">
        <f>HYPERLINK("https://twitter.com/DataFinest/status/702942493403389953","702942493403389953")</f>
        <v>702942493403389953</v>
      </c>
      <c r="F2386" s="12" t="s">
        <v>52</v>
      </c>
      <c r="G2386" s="13">
        <v>74.0</v>
      </c>
      <c r="H2386" s="13">
        <v>172.0</v>
      </c>
      <c r="I2386" s="13">
        <v>15.0</v>
      </c>
      <c r="J2386" s="13">
        <v>0.0</v>
      </c>
      <c r="K2386" s="12" t="s">
        <v>21</v>
      </c>
      <c r="L2386" s="7">
        <v>42347.028761574074</v>
      </c>
      <c r="M2386" s="14" t="s">
        <v>121</v>
      </c>
      <c r="N2386" s="14" t="s">
        <v>6991</v>
      </c>
      <c r="O2386" s="11" t="str">
        <f>HYPERLINK("https://pbs.twimg.com/profile_images/675225906173124609/xPlpeuKw_normal.png","View")</f>
        <v>View</v>
      </c>
      <c r="P2386" s="15"/>
    </row>
    <row r="2387">
      <c r="A2387" s="7">
        <v>42425.490277777775</v>
      </c>
      <c r="B2387" s="8" t="str">
        <f>HYPERLINK("https://twitter.com/Sergio_CPS","@Sergio_CPS")</f>
        <v>@Sergio_CPS</v>
      </c>
      <c r="C2387" s="10" t="s">
        <v>6395</v>
      </c>
      <c r="D2387" s="10" t="s">
        <v>10426</v>
      </c>
      <c r="E2387" s="11" t="str">
        <f>HYPERLINK("https://twitter.com/Sergio_CPS/status/702942642682896384","702942642682896384")</f>
        <v>702942642682896384</v>
      </c>
      <c r="F2387" s="12" t="s">
        <v>20</v>
      </c>
      <c r="G2387" s="13">
        <v>643.0</v>
      </c>
      <c r="H2387" s="13">
        <v>644.0</v>
      </c>
      <c r="I2387" s="13">
        <v>15.0</v>
      </c>
      <c r="J2387" s="13">
        <v>0.0</v>
      </c>
      <c r="K2387" s="12" t="s">
        <v>21</v>
      </c>
      <c r="L2387" s="7">
        <v>39958.0190162037</v>
      </c>
      <c r="M2387" s="14" t="s">
        <v>6396</v>
      </c>
      <c r="N2387" s="14" t="s">
        <v>6397</v>
      </c>
      <c r="O2387" s="11" t="str">
        <f>HYPERLINK("https://pbs.twimg.com/profile_images/672265924184010752/LrKCh_kA_normal.png","View")</f>
        <v>View</v>
      </c>
      <c r="P2387" s="15"/>
    </row>
    <row r="2388">
      <c r="A2388" s="7">
        <v>42425.49083333333</v>
      </c>
      <c r="B2388" s="8" t="str">
        <f>HYPERLINK("https://twitter.com/emilyharajuku","@emilyharajuku")</f>
        <v>@emilyharajuku</v>
      </c>
      <c r="C2388" s="10" t="s">
        <v>10427</v>
      </c>
      <c r="D2388" s="10" t="s">
        <v>10428</v>
      </c>
      <c r="E2388" s="11" t="str">
        <f>HYPERLINK("https://twitter.com/emilyharajuku/status/702942843090894853","702942843090894853")</f>
        <v>702942843090894853</v>
      </c>
      <c r="F2388" s="12" t="s">
        <v>152</v>
      </c>
      <c r="G2388" s="13">
        <v>32.0</v>
      </c>
      <c r="H2388" s="13">
        <v>67.0</v>
      </c>
      <c r="I2388" s="13">
        <v>2.0</v>
      </c>
      <c r="J2388" s="13">
        <v>0.0</v>
      </c>
      <c r="K2388" s="12" t="s">
        <v>21</v>
      </c>
      <c r="L2388" s="7">
        <v>40302.43408564815</v>
      </c>
      <c r="M2388" s="14" t="s">
        <v>10429</v>
      </c>
      <c r="N2388" s="16"/>
      <c r="O2388" s="11" t="str">
        <f>HYPERLINK("https://pbs.twimg.com/profile_images/1706563569/grace_jones_normal.jpeg","View")</f>
        <v>View</v>
      </c>
      <c r="P2388" s="15"/>
    </row>
    <row r="2389">
      <c r="A2389" s="7">
        <v>42425.49083333333</v>
      </c>
      <c r="B2389" s="8" t="str">
        <f>HYPERLINK("https://twitter.com/CarolAWillson8","@CarolAWillson8")</f>
        <v>@CarolAWillson8</v>
      </c>
      <c r="C2389" s="10" t="s">
        <v>10430</v>
      </c>
      <c r="D2389" s="10" t="s">
        <v>9459</v>
      </c>
      <c r="E2389" s="11" t="str">
        <f>HYPERLINK("https://twitter.com/CarolAWillson8/status/702942844047249409","702942844047249409")</f>
        <v>702942844047249409</v>
      </c>
      <c r="F2389" s="12" t="s">
        <v>152</v>
      </c>
      <c r="G2389" s="13">
        <v>1624.0</v>
      </c>
      <c r="H2389" s="13">
        <v>4474.0</v>
      </c>
      <c r="I2389" s="13">
        <v>11.0</v>
      </c>
      <c r="J2389" s="13">
        <v>0.0</v>
      </c>
      <c r="K2389" s="12" t="s">
        <v>21</v>
      </c>
      <c r="L2389" s="7">
        <v>42295.79091435185</v>
      </c>
      <c r="M2389" s="14" t="s">
        <v>10431</v>
      </c>
      <c r="N2389" s="14" t="s">
        <v>10432</v>
      </c>
      <c r="O2389" s="11" t="str">
        <f>HYPERLINK("https://pbs.twimg.com/profile_images/701133774915051521/C1pXE5el_normal.jpg","View")</f>
        <v>View</v>
      </c>
      <c r="P2389" s="15"/>
    </row>
    <row r="2390">
      <c r="A2390" s="7">
        <v>42425.491365740745</v>
      </c>
      <c r="B2390" s="8" t="str">
        <f>HYPERLINK("https://twitter.com/BerlinRUG","@BerlinRUG")</f>
        <v>@BerlinRUG</v>
      </c>
      <c r="C2390" s="10" t="s">
        <v>9094</v>
      </c>
      <c r="D2390" s="10" t="s">
        <v>10433</v>
      </c>
      <c r="E2390" s="11" t="str">
        <f>HYPERLINK("https://twitter.com/BerlinRUG/status/702943036700024832","702943036700024832")</f>
        <v>702943036700024832</v>
      </c>
      <c r="F2390" s="12" t="s">
        <v>52</v>
      </c>
      <c r="G2390" s="13">
        <v>92.0</v>
      </c>
      <c r="H2390" s="13">
        <v>5.0</v>
      </c>
      <c r="I2390" s="13">
        <v>1.0</v>
      </c>
      <c r="J2390" s="13">
        <v>1.0</v>
      </c>
      <c r="K2390" s="12" t="s">
        <v>21</v>
      </c>
      <c r="L2390" s="7">
        <v>42134.13276620371</v>
      </c>
      <c r="M2390" s="14" t="s">
        <v>1963</v>
      </c>
      <c r="N2390" s="16"/>
      <c r="O2390" s="11" t="str">
        <f>HYPERLINK("https://pbs.twimg.com/profile_images/603517008777445376/474uLV55_normal.png","View")</f>
        <v>View</v>
      </c>
      <c r="P2390" s="15"/>
    </row>
    <row r="2391">
      <c r="A2391" s="7">
        <v>42425.491527777776</v>
      </c>
      <c r="B2391" s="8" t="str">
        <f>HYPERLINK("https://twitter.com/DataFinest","@DataFinest")</f>
        <v>@DataFinest</v>
      </c>
      <c r="C2391" s="10" t="s">
        <v>6990</v>
      </c>
      <c r="D2391" s="10" t="s">
        <v>10426</v>
      </c>
      <c r="E2391" s="11" t="str">
        <f>HYPERLINK("https://twitter.com/DataFinest/status/702943094413660160","702943094413660160")</f>
        <v>702943094413660160</v>
      </c>
      <c r="F2391" s="12" t="s">
        <v>52</v>
      </c>
      <c r="G2391" s="13">
        <v>74.0</v>
      </c>
      <c r="H2391" s="13">
        <v>172.0</v>
      </c>
      <c r="I2391" s="13">
        <v>15.0</v>
      </c>
      <c r="J2391" s="13">
        <v>0.0</v>
      </c>
      <c r="K2391" s="12" t="s">
        <v>21</v>
      </c>
      <c r="L2391" s="7">
        <v>42347.028761574074</v>
      </c>
      <c r="M2391" s="14" t="s">
        <v>121</v>
      </c>
      <c r="N2391" s="14" t="s">
        <v>6991</v>
      </c>
      <c r="O2391" s="11" t="str">
        <f>HYPERLINK("https://pbs.twimg.com/profile_images/675225906173124609/xPlpeuKw_normal.png","View")</f>
        <v>View</v>
      </c>
      <c r="P2391" s="15"/>
    </row>
    <row r="2392">
      <c r="A2392" s="7">
        <v>42425.49177083334</v>
      </c>
      <c r="B2392" s="8" t="str">
        <f>HYPERLINK("https://twitter.com/_djli","@_djli")</f>
        <v>@_djli</v>
      </c>
      <c r="C2392" s="10" t="s">
        <v>10434</v>
      </c>
      <c r="D2392" s="10" t="s">
        <v>10435</v>
      </c>
      <c r="E2392" s="11" t="str">
        <f>HYPERLINK("https://twitter.com/_djli/status/702943181361410048","702943181361410048")</f>
        <v>702943181361410048</v>
      </c>
      <c r="F2392" s="12" t="s">
        <v>20</v>
      </c>
      <c r="G2392" s="13">
        <v>303.0</v>
      </c>
      <c r="H2392" s="13">
        <v>530.0</v>
      </c>
      <c r="I2392" s="13">
        <v>0.0</v>
      </c>
      <c r="J2392" s="13">
        <v>0.0</v>
      </c>
      <c r="K2392" s="12" t="s">
        <v>21</v>
      </c>
      <c r="L2392" s="7">
        <v>40343.43782407408</v>
      </c>
      <c r="M2392" s="14" t="s">
        <v>7780</v>
      </c>
      <c r="N2392" s="14" t="s">
        <v>10436</v>
      </c>
      <c r="O2392" s="11" t="str">
        <f>HYPERLINK("https://pbs.twimg.com/profile_images/459147858722029569/kRvq34C5_normal.jpeg","View")</f>
        <v>View</v>
      </c>
      <c r="P2392" s="15"/>
    </row>
    <row r="2393">
      <c r="A2393" s="7">
        <v>42425.49209490741</v>
      </c>
      <c r="B2393" s="8" t="str">
        <f>HYPERLINK("https://twitter.com/doratsab","@doratsab")</f>
        <v>@doratsab</v>
      </c>
      <c r="C2393" s="10" t="s">
        <v>10437</v>
      </c>
      <c r="D2393" s="10" t="s">
        <v>10426</v>
      </c>
      <c r="E2393" s="11" t="str">
        <f>HYPERLINK("https://twitter.com/doratsab/status/702943302220390401","702943302220390401")</f>
        <v>702943302220390401</v>
      </c>
      <c r="F2393" s="12" t="s">
        <v>52</v>
      </c>
      <c r="G2393" s="13">
        <v>146.0</v>
      </c>
      <c r="H2393" s="13">
        <v>419.0</v>
      </c>
      <c r="I2393" s="13">
        <v>15.0</v>
      </c>
      <c r="J2393" s="13">
        <v>0.0</v>
      </c>
      <c r="K2393" s="12" t="s">
        <v>21</v>
      </c>
      <c r="L2393" s="7">
        <v>40824.18944444445</v>
      </c>
      <c r="M2393" s="14" t="s">
        <v>10438</v>
      </c>
      <c r="N2393" s="14" t="s">
        <v>10439</v>
      </c>
      <c r="O2393" s="11" t="str">
        <f>HYPERLINK("https://pbs.twimg.com/profile_images/487327195174801408/Z57984kh_normal.jpeg","View")</f>
        <v>View</v>
      </c>
      <c r="P2393" s="15"/>
    </row>
    <row r="2394">
      <c r="A2394" s="7">
        <v>42425.49248842592</v>
      </c>
      <c r="B2394" s="8" t="str">
        <f>HYPERLINK("https://twitter.com/stopifnot","@stopifnot")</f>
        <v>@stopifnot</v>
      </c>
      <c r="C2394" s="10" t="s">
        <v>10411</v>
      </c>
      <c r="D2394" s="10" t="s">
        <v>10440</v>
      </c>
      <c r="E2394" s="11" t="str">
        <f>HYPERLINK("https://twitter.com/stopifnot/status/702943441806880768","702943441806880768")</f>
        <v>702943441806880768</v>
      </c>
      <c r="F2394" s="12" t="s">
        <v>20</v>
      </c>
      <c r="G2394" s="13">
        <v>144.0</v>
      </c>
      <c r="H2394" s="13">
        <v>186.0</v>
      </c>
      <c r="I2394" s="13">
        <v>0.0</v>
      </c>
      <c r="J2394" s="13">
        <v>0.0</v>
      </c>
      <c r="K2394" s="12" t="s">
        <v>21</v>
      </c>
      <c r="L2394" s="7">
        <v>41532.52364583333</v>
      </c>
      <c r="M2394" s="16"/>
      <c r="N2394" s="14" t="s">
        <v>10413</v>
      </c>
      <c r="O2394" s="11" t="str">
        <f>HYPERLINK("https://pbs.twimg.com/profile_images/669184621532332035/lR39q_kZ_normal.png","View")</f>
        <v>View</v>
      </c>
      <c r="P2394" s="15"/>
    </row>
    <row r="2395">
      <c r="A2395" s="7">
        <v>42425.49328703704</v>
      </c>
      <c r="B2395" s="8" t="str">
        <f>HYPERLINK("https://twitter.com/renato_umeton","@renato_umeton")</f>
        <v>@renato_umeton</v>
      </c>
      <c r="C2395" s="10" t="s">
        <v>1659</v>
      </c>
      <c r="D2395" s="10" t="s">
        <v>10426</v>
      </c>
      <c r="E2395" s="11" t="str">
        <f>HYPERLINK("https://twitter.com/renato_umeton/status/702943734078558208","702943734078558208")</f>
        <v>702943734078558208</v>
      </c>
      <c r="F2395" s="12" t="s">
        <v>38</v>
      </c>
      <c r="G2395" s="13">
        <v>70.0</v>
      </c>
      <c r="H2395" s="13">
        <v>79.0</v>
      </c>
      <c r="I2395" s="13">
        <v>15.0</v>
      </c>
      <c r="J2395" s="13">
        <v>0.0</v>
      </c>
      <c r="K2395" s="12" t="s">
        <v>21</v>
      </c>
      <c r="L2395" s="7">
        <v>39918.052083333336</v>
      </c>
      <c r="M2395" s="14" t="s">
        <v>1660</v>
      </c>
      <c r="N2395" s="14" t="s">
        <v>1661</v>
      </c>
      <c r="O2395" s="11" t="str">
        <f>HYPERLINK("https://pbs.twimg.com/profile_images/701553083537604608/nr8b38eG_normal.jpg","View")</f>
        <v>View</v>
      </c>
      <c r="P2395" s="15"/>
    </row>
    <row r="2396">
      <c r="A2396" s="7">
        <v>42425.49386574074</v>
      </c>
      <c r="B2396" s="8" t="str">
        <f>HYPERLINK("https://twitter.com/BerlinRUG","@BerlinRUG")</f>
        <v>@BerlinRUG</v>
      </c>
      <c r="C2396" s="10" t="s">
        <v>9094</v>
      </c>
      <c r="D2396" s="10" t="s">
        <v>10441</v>
      </c>
      <c r="E2396" s="11" t="str">
        <f>HYPERLINK("https://twitter.com/BerlinRUG/status/702943942283759616","702943942283759616")</f>
        <v>702943942283759616</v>
      </c>
      <c r="F2396" s="12" t="s">
        <v>52</v>
      </c>
      <c r="G2396" s="13">
        <v>92.0</v>
      </c>
      <c r="H2396" s="13">
        <v>5.0</v>
      </c>
      <c r="I2396" s="13">
        <v>0.0</v>
      </c>
      <c r="J2396" s="13">
        <v>1.0</v>
      </c>
      <c r="K2396" s="12" t="s">
        <v>21</v>
      </c>
      <c r="L2396" s="7">
        <v>42134.13276620371</v>
      </c>
      <c r="M2396" s="14" t="s">
        <v>1963</v>
      </c>
      <c r="N2396" s="16"/>
      <c r="O2396" s="11" t="str">
        <f>HYPERLINK("https://pbs.twimg.com/profile_images/603517008777445376/474uLV55_normal.png","View")</f>
        <v>View</v>
      </c>
      <c r="P2396" s="15"/>
    </row>
    <row r="2397">
      <c r="A2397" s="7">
        <v>42425.49653935185</v>
      </c>
      <c r="B2397" s="8" t="str">
        <f>HYPERLINK("https://twitter.com/hafenstats","@hafenstats")</f>
        <v>@hafenstats</v>
      </c>
      <c r="C2397" s="10" t="s">
        <v>10391</v>
      </c>
      <c r="D2397" s="10" t="s">
        <v>10442</v>
      </c>
      <c r="E2397" s="11" t="str">
        <f>HYPERLINK("https://twitter.com/hafenstats/status/702944910102560768","702944910102560768")</f>
        <v>702944910102560768</v>
      </c>
      <c r="F2397" s="12" t="s">
        <v>20</v>
      </c>
      <c r="G2397" s="13">
        <v>316.0</v>
      </c>
      <c r="H2397" s="13">
        <v>175.0</v>
      </c>
      <c r="I2397" s="13">
        <v>0.0</v>
      </c>
      <c r="J2397" s="13">
        <v>3.0</v>
      </c>
      <c r="K2397" s="12" t="s">
        <v>21</v>
      </c>
      <c r="L2397" s="7">
        <v>41142.86388888889</v>
      </c>
      <c r="M2397" s="16"/>
      <c r="N2397" s="14" t="s">
        <v>10393</v>
      </c>
      <c r="O2397" s="11" t="str">
        <f>HYPERLINK("https://pbs.twimg.com/profile_images/515576920340045824/mBefJfrj_normal.jpeg","View")</f>
        <v>View</v>
      </c>
      <c r="P2397" s="15"/>
    </row>
    <row r="2398">
      <c r="A2398" s="7">
        <v>42425.49680555555</v>
      </c>
      <c r="B2398" s="8" t="str">
        <f>HYPERLINK("https://twitter.com/McGowanAlistair","@McGowanAlistair")</f>
        <v>@McGowanAlistair</v>
      </c>
      <c r="C2398" s="10" t="s">
        <v>10443</v>
      </c>
      <c r="D2398" s="10" t="s">
        <v>10409</v>
      </c>
      <c r="E2398" s="11" t="str">
        <f>HYPERLINK("https://twitter.com/McGowanAlistair/status/702945008333225984","702945008333225984")</f>
        <v>702945008333225984</v>
      </c>
      <c r="F2398" s="12" t="s">
        <v>20</v>
      </c>
      <c r="G2398" s="13">
        <v>626.0</v>
      </c>
      <c r="H2398" s="13">
        <v>858.0</v>
      </c>
      <c r="I2398" s="13">
        <v>8.0</v>
      </c>
      <c r="J2398" s="13">
        <v>0.0</v>
      </c>
      <c r="K2398" s="12" t="s">
        <v>21</v>
      </c>
      <c r="L2398" s="7">
        <v>41754.02866898148</v>
      </c>
      <c r="M2398" s="14" t="s">
        <v>10444</v>
      </c>
      <c r="N2398" s="14" t="s">
        <v>10445</v>
      </c>
      <c r="O2398" s="11" t="str">
        <f>HYPERLINK("https://pbs.twimg.com/profile_images/614813960756334592/QQDPXmB7_normal.png","View")</f>
        <v>View</v>
      </c>
      <c r="P2398" s="15"/>
    </row>
    <row r="2399">
      <c r="A2399" s="7">
        <v>42425.4978587963</v>
      </c>
      <c r="B2399" s="8" t="str">
        <f>HYPERLINK("https://twitter.com/Pvalsfr","@Pvalsfr")</f>
        <v>@Pvalsfr</v>
      </c>
      <c r="C2399" s="10" t="s">
        <v>771</v>
      </c>
      <c r="D2399" s="10" t="s">
        <v>10374</v>
      </c>
      <c r="E2399" s="11" t="str">
        <f>HYPERLINK("https://twitter.com/Pvalsfr/status/702945388911796224","702945388911796224")</f>
        <v>702945388911796224</v>
      </c>
      <c r="F2399" s="12" t="s">
        <v>152</v>
      </c>
      <c r="G2399" s="13">
        <v>1043.0</v>
      </c>
      <c r="H2399" s="13">
        <v>1081.0</v>
      </c>
      <c r="I2399" s="13">
        <v>3.0</v>
      </c>
      <c r="J2399" s="13">
        <v>0.0</v>
      </c>
      <c r="K2399" s="12" t="s">
        <v>21</v>
      </c>
      <c r="L2399" s="7">
        <v>40867.68900462963</v>
      </c>
      <c r="M2399" s="16"/>
      <c r="N2399" s="16"/>
      <c r="O2399" s="11" t="str">
        <f>HYPERLINK("https://abs.twimg.com/sticky/default_profile_images/default_profile_4_normal.png","View")</f>
        <v>View</v>
      </c>
      <c r="P2399" s="15"/>
    </row>
    <row r="2400">
      <c r="A2400" s="7">
        <v>42425.498506944445</v>
      </c>
      <c r="B2400" s="8" t="str">
        <f>HYPERLINK("https://twitter.com/stopifnot","@stopifnot")</f>
        <v>@stopifnot</v>
      </c>
      <c r="C2400" s="10" t="s">
        <v>10411</v>
      </c>
      <c r="D2400" s="10" t="s">
        <v>10446</v>
      </c>
      <c r="E2400" s="11" t="str">
        <f>HYPERLINK("https://twitter.com/stopifnot/status/702945624237465600","702945624237465600")</f>
        <v>702945624237465600</v>
      </c>
      <c r="F2400" s="12" t="s">
        <v>20</v>
      </c>
      <c r="G2400" s="13">
        <v>144.0</v>
      </c>
      <c r="H2400" s="13">
        <v>186.0</v>
      </c>
      <c r="I2400" s="13">
        <v>0.0</v>
      </c>
      <c r="J2400" s="13">
        <v>1.0</v>
      </c>
      <c r="K2400" s="12" t="s">
        <v>21</v>
      </c>
      <c r="L2400" s="7">
        <v>41532.52364583333</v>
      </c>
      <c r="M2400" s="16"/>
      <c r="N2400" s="14" t="s">
        <v>10413</v>
      </c>
      <c r="O2400" s="11" t="str">
        <f>HYPERLINK("https://pbs.twimg.com/profile_images/669184621532332035/lR39q_kZ_normal.png","View")</f>
        <v>View</v>
      </c>
      <c r="P2400" s="15"/>
    </row>
    <row r="2401">
      <c r="A2401" s="7">
        <v>42425.49857638888</v>
      </c>
      <c r="B2401" s="8" t="str">
        <f>HYPERLINK("https://twitter.com/artemklevtsov","@artemklevtsov")</f>
        <v>@artemklevtsov</v>
      </c>
      <c r="C2401" s="10" t="s">
        <v>7292</v>
      </c>
      <c r="D2401" s="10" t="s">
        <v>10426</v>
      </c>
      <c r="E2401" s="11" t="str">
        <f>HYPERLINK("https://twitter.com/artemklevtsov/status/702945647322910721","702945647322910721")</f>
        <v>702945647322910721</v>
      </c>
      <c r="F2401" s="12" t="s">
        <v>152</v>
      </c>
      <c r="G2401" s="13">
        <v>56.0</v>
      </c>
      <c r="H2401" s="13">
        <v>65.0</v>
      </c>
      <c r="I2401" s="13">
        <v>15.0</v>
      </c>
      <c r="J2401" s="13">
        <v>0.0</v>
      </c>
      <c r="K2401" s="12" t="s">
        <v>21</v>
      </c>
      <c r="L2401" s="7">
        <v>41777.31737268518</v>
      </c>
      <c r="M2401" s="14" t="s">
        <v>4647</v>
      </c>
      <c r="N2401" s="14" t="s">
        <v>7293</v>
      </c>
      <c r="O2401" s="11" t="str">
        <f>HYPERLINK("https://pbs.twimg.com/profile_images/582945739141058560/m1lDOgFc_normal.png","View")</f>
        <v>View</v>
      </c>
      <c r="P2401" s="15"/>
    </row>
    <row r="2402">
      <c r="A2402" s="7">
        <v>42425.499293981484</v>
      </c>
      <c r="B2402" s="8" t="str">
        <f>HYPERLINK("https://twitter.com/BroVic","@BroVic")</f>
        <v>@BroVic</v>
      </c>
      <c r="C2402" s="10" t="s">
        <v>8946</v>
      </c>
      <c r="D2402" s="10" t="s">
        <v>10447</v>
      </c>
      <c r="E2402" s="11" t="str">
        <f>HYPERLINK("https://twitter.com/BroVic/status/702945908720345088","702945908720345088")</f>
        <v>702945908720345088</v>
      </c>
      <c r="F2402" s="12" t="s">
        <v>20</v>
      </c>
      <c r="G2402" s="13">
        <v>555.0</v>
      </c>
      <c r="H2402" s="13">
        <v>246.0</v>
      </c>
      <c r="I2402" s="13">
        <v>0.0</v>
      </c>
      <c r="J2402" s="13">
        <v>0.0</v>
      </c>
      <c r="K2402" s="12" t="s">
        <v>21</v>
      </c>
      <c r="L2402" s="7">
        <v>39862.59972222222</v>
      </c>
      <c r="M2402" s="14" t="s">
        <v>8948</v>
      </c>
      <c r="N2402" s="14" t="s">
        <v>8949</v>
      </c>
      <c r="O2402" s="11" t="str">
        <f>HYPERLINK("https://pbs.twimg.com/profile_images/639528574362472448/PgHltNjE_normal.jpg","View")</f>
        <v>View</v>
      </c>
      <c r="P2402" s="15"/>
    </row>
    <row r="2403">
      <c r="A2403" s="7">
        <v>42425.499826388885</v>
      </c>
      <c r="B2403" s="8" t="str">
        <f>HYPERLINK("https://twitter.com/kozo2","@kozo2")</f>
        <v>@kozo2</v>
      </c>
      <c r="C2403" s="10" t="s">
        <v>10448</v>
      </c>
      <c r="D2403" s="10" t="s">
        <v>10396</v>
      </c>
      <c r="E2403" s="11" t="str">
        <f>HYPERLINK("https://twitter.com/kozo2/status/702946102505566208","702946102505566208")</f>
        <v>702946102505566208</v>
      </c>
      <c r="F2403" s="12" t="s">
        <v>20</v>
      </c>
      <c r="G2403" s="13">
        <v>788.0</v>
      </c>
      <c r="H2403" s="13">
        <v>788.0</v>
      </c>
      <c r="I2403" s="13">
        <v>5.0</v>
      </c>
      <c r="J2403" s="13">
        <v>0.0</v>
      </c>
      <c r="K2403" s="12" t="s">
        <v>21</v>
      </c>
      <c r="L2403" s="7">
        <v>39411.09077546296</v>
      </c>
      <c r="M2403" s="14" t="s">
        <v>8737</v>
      </c>
      <c r="N2403" s="14" t="s">
        <v>10449</v>
      </c>
      <c r="O2403" s="11" t="str">
        <f>HYPERLINK("https://pbs.twimg.com/profile_images/344513261578555150/52c924d881ef3a12a9f2812526cd0b49_normal.png","View")</f>
        <v>View</v>
      </c>
      <c r="P2403" s="15"/>
    </row>
    <row r="2404">
      <c r="A2404" s="7">
        <v>42425.50021990741</v>
      </c>
      <c r="B2404" s="8" t="str">
        <f>HYPERLINK("https://twitter.com/useR_Stanford","@useR_Stanford")</f>
        <v>@useR_Stanford</v>
      </c>
      <c r="C2404" s="10" t="s">
        <v>10450</v>
      </c>
      <c r="D2404" s="10" t="s">
        <v>10451</v>
      </c>
      <c r="E2404" s="11" t="str">
        <f>HYPERLINK("https://twitter.com/useR_Stanford/status/702946244012826625","702946244012826625")</f>
        <v>702946244012826625</v>
      </c>
      <c r="F2404" s="12" t="s">
        <v>240</v>
      </c>
      <c r="G2404" s="13">
        <v>579.0</v>
      </c>
      <c r="H2404" s="13">
        <v>1.0</v>
      </c>
      <c r="I2404" s="13">
        <v>22.0</v>
      </c>
      <c r="J2404" s="13">
        <v>14.0</v>
      </c>
      <c r="K2404" s="12" t="s">
        <v>21</v>
      </c>
      <c r="L2404" s="7">
        <v>42255.63239583334</v>
      </c>
      <c r="M2404" s="14" t="s">
        <v>10452</v>
      </c>
      <c r="N2404" s="14" t="s">
        <v>10453</v>
      </c>
      <c r="O2404" s="11" t="str">
        <f>HYPERLINK("https://pbs.twimg.com/profile_images/641373484715675648/V2ccwNEc_normal.jpg","View")</f>
        <v>View</v>
      </c>
      <c r="P2404" s="15"/>
    </row>
    <row r="2405">
      <c r="A2405" s="7">
        <v>42425.50032407408</v>
      </c>
      <c r="B2405" s="8" t="str">
        <f>HYPERLINK("https://twitter.com/lucasoft_co_uk","@lucasoft_co_uk")</f>
        <v>@lucasoft_co_uk</v>
      </c>
      <c r="C2405" s="10" t="s">
        <v>4466</v>
      </c>
      <c r="D2405" s="10" t="s">
        <v>10454</v>
      </c>
      <c r="E2405" s="11" t="str">
        <f>HYPERLINK("https://twitter.com/lucasoft_co_uk/status/702946283028418561","702946283028418561")</f>
        <v>702946283028418561</v>
      </c>
      <c r="F2405" s="12" t="s">
        <v>659</v>
      </c>
      <c r="G2405" s="13">
        <v>2224.0</v>
      </c>
      <c r="H2405" s="13">
        <v>4131.0</v>
      </c>
      <c r="I2405" s="13">
        <v>0.0</v>
      </c>
      <c r="J2405" s="13">
        <v>1.0</v>
      </c>
      <c r="K2405" s="12" t="s">
        <v>21</v>
      </c>
      <c r="L2405" s="7">
        <v>40213.68809027778</v>
      </c>
      <c r="M2405" s="14" t="s">
        <v>4468</v>
      </c>
      <c r="N2405" s="14" t="s">
        <v>4469</v>
      </c>
      <c r="O2405" s="11" t="str">
        <f>HYPERLINK("https://pbs.twimg.com/profile_images/546760740959305728/KLYPZoQU_normal.png","View")</f>
        <v>View</v>
      </c>
      <c r="P2405" s="15"/>
    </row>
    <row r="2406">
      <c r="A2406" s="7">
        <v>42425.50046296296</v>
      </c>
      <c r="B2406" s="8" t="str">
        <f>HYPERLINK("https://twitter.com/BroVic","@BroVic")</f>
        <v>@BroVic</v>
      </c>
      <c r="C2406" s="10" t="s">
        <v>8946</v>
      </c>
      <c r="D2406" s="10" t="s">
        <v>10455</v>
      </c>
      <c r="E2406" s="11" t="str">
        <f>HYPERLINK("https://twitter.com/BroVic/status/702946331317411840","702946331317411840")</f>
        <v>702946331317411840</v>
      </c>
      <c r="F2406" s="12" t="s">
        <v>20</v>
      </c>
      <c r="G2406" s="13">
        <v>555.0</v>
      </c>
      <c r="H2406" s="13">
        <v>246.0</v>
      </c>
      <c r="I2406" s="13">
        <v>22.0</v>
      </c>
      <c r="J2406" s="13">
        <v>0.0</v>
      </c>
      <c r="K2406" s="12" t="s">
        <v>21</v>
      </c>
      <c r="L2406" s="7">
        <v>39862.59972222222</v>
      </c>
      <c r="M2406" s="14" t="s">
        <v>8948</v>
      </c>
      <c r="N2406" s="14" t="s">
        <v>8949</v>
      </c>
      <c r="O2406" s="11" t="str">
        <f>HYPERLINK("https://pbs.twimg.com/profile_images/639528574362472448/PgHltNjE_normal.jpg","View")</f>
        <v>View</v>
      </c>
      <c r="P2406" s="15"/>
    </row>
    <row r="2407">
      <c r="A2407" s="7">
        <v>42425.50063657407</v>
      </c>
      <c r="B2407" s="8" t="str">
        <f>HYPERLINK("https://twitter.com/v_vashishta","@v_vashishta")</f>
        <v>@v_vashishta</v>
      </c>
      <c r="C2407" s="10" t="s">
        <v>6609</v>
      </c>
      <c r="D2407" s="10" t="s">
        <v>10456</v>
      </c>
      <c r="E2407" s="11" t="str">
        <f>HYPERLINK("https://twitter.com/v_vashishta/status/702946396177960960","702946396177960960")</f>
        <v>702946396177960960</v>
      </c>
      <c r="F2407" s="12" t="s">
        <v>446</v>
      </c>
      <c r="G2407" s="13">
        <v>19394.0</v>
      </c>
      <c r="H2407" s="13">
        <v>14053.0</v>
      </c>
      <c r="I2407" s="13">
        <v>1.0</v>
      </c>
      <c r="J2407" s="13">
        <v>1.0</v>
      </c>
      <c r="K2407" s="12" t="s">
        <v>21</v>
      </c>
      <c r="L2407" s="7">
        <v>40436.24811342593</v>
      </c>
      <c r="M2407" s="14" t="s">
        <v>6611</v>
      </c>
      <c r="N2407" s="14" t="s">
        <v>6612</v>
      </c>
      <c r="O2407" s="11" t="str">
        <f>HYPERLINK("https://pbs.twimg.com/profile_images/2311675967/yzhiz5niu8t497rap344_normal.jpeg","View")</f>
        <v>View</v>
      </c>
      <c r="P2407" s="15"/>
    </row>
    <row r="2408">
      <c r="A2408" s="7">
        <v>42425.50145833333</v>
      </c>
      <c r="B2408" s="8" t="str">
        <f>HYPERLINK("https://twitter.com/hadleywickham","@hadleywickham")</f>
        <v>@hadleywickham</v>
      </c>
      <c r="C2408" s="10" t="s">
        <v>6659</v>
      </c>
      <c r="D2408" s="10" t="s">
        <v>10457</v>
      </c>
      <c r="E2408" s="11" t="str">
        <f>HYPERLINK("https://twitter.com/hadleywickham/status/702946694699184128","702946694699184128")</f>
        <v>702946694699184128</v>
      </c>
      <c r="F2408" s="12" t="s">
        <v>240</v>
      </c>
      <c r="G2408" s="13">
        <v>24816.0</v>
      </c>
      <c r="H2408" s="13">
        <v>244.0</v>
      </c>
      <c r="I2408" s="13">
        <v>2.0</v>
      </c>
      <c r="J2408" s="13">
        <v>0.0</v>
      </c>
      <c r="K2408" s="12" t="s">
        <v>21</v>
      </c>
      <c r="L2408" s="7">
        <v>40051.69081018519</v>
      </c>
      <c r="M2408" s="14" t="s">
        <v>719</v>
      </c>
      <c r="N2408" s="14" t="s">
        <v>6661</v>
      </c>
      <c r="O2408" s="11" t="str">
        <f>HYPERLINK("https://pbs.twimg.com/profile_images/677589103710306304/m56O6Wgf_normal.jpg","View")</f>
        <v>View</v>
      </c>
      <c r="P2408" s="15"/>
    </row>
    <row r="2409">
      <c r="A2409" s="7">
        <v>42425.50148148148</v>
      </c>
      <c r="B2409" s="8" t="str">
        <f>HYPERLINK("https://twitter.com/Pvalsfr","@Pvalsfr")</f>
        <v>@Pvalsfr</v>
      </c>
      <c r="C2409" s="10" t="s">
        <v>771</v>
      </c>
      <c r="D2409" s="10" t="s">
        <v>10426</v>
      </c>
      <c r="E2409" s="11" t="str">
        <f>HYPERLINK("https://twitter.com/Pvalsfr/status/702946701842255872","702946701842255872")</f>
        <v>702946701842255872</v>
      </c>
      <c r="F2409" s="12" t="s">
        <v>152</v>
      </c>
      <c r="G2409" s="13">
        <v>1043.0</v>
      </c>
      <c r="H2409" s="13">
        <v>1081.0</v>
      </c>
      <c r="I2409" s="13">
        <v>15.0</v>
      </c>
      <c r="J2409" s="13">
        <v>0.0</v>
      </c>
      <c r="K2409" s="12" t="s">
        <v>21</v>
      </c>
      <c r="L2409" s="7">
        <v>40867.68900462963</v>
      </c>
      <c r="M2409" s="16"/>
      <c r="N2409" s="16"/>
      <c r="O2409" s="11" t="str">
        <f>HYPERLINK("https://abs.twimg.com/sticky/default_profile_images/default_profile_4_normal.png","View")</f>
        <v>View</v>
      </c>
      <c r="P2409" s="15"/>
    </row>
    <row r="2410">
      <c r="A2410" s="7">
        <v>42425.5024074074</v>
      </c>
      <c r="B2410" s="8" t="str">
        <f>HYPERLINK("https://twitter.com/abckbguy","@abckbguy")</f>
        <v>@abckbguy</v>
      </c>
      <c r="C2410" s="10" t="s">
        <v>10458</v>
      </c>
      <c r="D2410" s="10" t="s">
        <v>10426</v>
      </c>
      <c r="E2410" s="11" t="str">
        <f>HYPERLINK("https://twitter.com/abckbguy/status/702947036736262144","702947036736262144")</f>
        <v>702947036736262144</v>
      </c>
      <c r="F2410" s="12" t="s">
        <v>152</v>
      </c>
      <c r="G2410" s="13">
        <v>20.0</v>
      </c>
      <c r="H2410" s="13">
        <v>209.0</v>
      </c>
      <c r="I2410" s="13">
        <v>15.0</v>
      </c>
      <c r="J2410" s="13">
        <v>0.0</v>
      </c>
      <c r="K2410" s="12" t="s">
        <v>21</v>
      </c>
      <c r="L2410" s="7">
        <v>41413.95800925926</v>
      </c>
      <c r="M2410" s="14" t="s">
        <v>10459</v>
      </c>
      <c r="N2410" s="14" t="s">
        <v>10460</v>
      </c>
      <c r="O2410" s="11" t="str">
        <f>HYPERLINK("https://pbs.twimg.com/profile_images/696400192275218432/wk4-ecks_normal.jpg","View")</f>
        <v>View</v>
      </c>
      <c r="P2410" s="15"/>
    </row>
    <row r="2411">
      <c r="A2411" s="7">
        <v>42425.50510416667</v>
      </c>
      <c r="B2411" s="8" t="str">
        <f>HYPERLINK("https://twitter.com/b_smoke","@b_smoke")</f>
        <v>@b_smoke</v>
      </c>
      <c r="C2411" s="10" t="s">
        <v>2597</v>
      </c>
      <c r="D2411" s="10" t="s">
        <v>10461</v>
      </c>
      <c r="E2411" s="11" t="str">
        <f>HYPERLINK("https://twitter.com/b_smoke/status/702948013921046528","702948013921046528")</f>
        <v>702948013921046528</v>
      </c>
      <c r="F2411" s="12" t="s">
        <v>20</v>
      </c>
      <c r="G2411" s="13">
        <v>347.0</v>
      </c>
      <c r="H2411" s="13">
        <v>241.0</v>
      </c>
      <c r="I2411" s="13">
        <v>6.0</v>
      </c>
      <c r="J2411" s="13">
        <v>0.0</v>
      </c>
      <c r="K2411" s="12" t="s">
        <v>21</v>
      </c>
      <c r="L2411" s="7">
        <v>39646.01834490741</v>
      </c>
      <c r="M2411" s="14" t="s">
        <v>129</v>
      </c>
      <c r="N2411" s="14" t="s">
        <v>2598</v>
      </c>
      <c r="O2411" s="11" t="str">
        <f>HYPERLINK("https://pbs.twimg.com/profile_images/1289491245/oops_normal.jpg","View")</f>
        <v>View</v>
      </c>
      <c r="P2411" s="15"/>
    </row>
    <row r="2412">
      <c r="A2412" s="7">
        <v>42425.50548611111</v>
      </c>
      <c r="B2412" s="8" t="str">
        <f>HYPERLINK("https://twitter.com/Bioconductor","@Bioconductor")</f>
        <v>@Bioconductor</v>
      </c>
      <c r="C2412" s="10" t="s">
        <v>7324</v>
      </c>
      <c r="D2412" s="10" t="s">
        <v>10462</v>
      </c>
      <c r="E2412" s="11" t="str">
        <f>HYPERLINK("https://twitter.com/Bioconductor/status/702948154434580480","702948154434580480")</f>
        <v>702948154434580480</v>
      </c>
      <c r="F2412" s="12" t="s">
        <v>20</v>
      </c>
      <c r="G2412" s="13">
        <v>1739.0</v>
      </c>
      <c r="H2412" s="13">
        <v>0.0</v>
      </c>
      <c r="I2412" s="13">
        <v>2.0</v>
      </c>
      <c r="J2412" s="13">
        <v>0.0</v>
      </c>
      <c r="K2412" s="12" t="s">
        <v>21</v>
      </c>
      <c r="L2412" s="7">
        <v>40854.48306712963</v>
      </c>
      <c r="M2412" s="14" t="s">
        <v>7326</v>
      </c>
      <c r="N2412" s="16"/>
      <c r="O2412" s="11" t="str">
        <f>HYPERLINK("https://pbs.twimg.com/profile_images/1993565463/note_normal.jpg","View")</f>
        <v>View</v>
      </c>
      <c r="P2412" s="15"/>
    </row>
    <row r="2413">
      <c r="A2413" s="7">
        <v>42425.505891203706</v>
      </c>
      <c r="B2413" s="8" t="str">
        <f>HYPERLINK("https://twitter.com/DataWookie","@DataWookie")</f>
        <v>@DataWookie</v>
      </c>
      <c r="C2413" s="10" t="s">
        <v>6231</v>
      </c>
      <c r="D2413" s="10" t="s">
        <v>10463</v>
      </c>
      <c r="E2413" s="11" t="str">
        <f>HYPERLINK("https://twitter.com/DataWookie/status/702948298902999040","702948298902999040")</f>
        <v>702948298902999040</v>
      </c>
      <c r="F2413" s="12" t="s">
        <v>6233</v>
      </c>
      <c r="G2413" s="13">
        <v>426.0</v>
      </c>
      <c r="H2413" s="13">
        <v>296.0</v>
      </c>
      <c r="I2413" s="13">
        <v>0.0</v>
      </c>
      <c r="J2413" s="13">
        <v>0.0</v>
      </c>
      <c r="K2413" s="12" t="s">
        <v>21</v>
      </c>
      <c r="L2413" s="7">
        <v>42166.966678240744</v>
      </c>
      <c r="M2413" s="14" t="s">
        <v>6234</v>
      </c>
      <c r="N2413" s="14" t="s">
        <v>6235</v>
      </c>
      <c r="O2413" s="11" t="str">
        <f>HYPERLINK("https://pbs.twimg.com/profile_images/612471608725213184/eXKo2Kmo_normal.jpg","View")</f>
        <v>View</v>
      </c>
      <c r="P2413" s="15"/>
    </row>
    <row r="2414">
      <c r="A2414" s="7">
        <v>42425.50643518519</v>
      </c>
      <c r="B2414" s="8" t="str">
        <f>HYPERLINK("https://twitter.com/pwang","@pwang")</f>
        <v>@pwang</v>
      </c>
      <c r="C2414" s="10" t="s">
        <v>1378</v>
      </c>
      <c r="D2414" s="10" t="s">
        <v>10461</v>
      </c>
      <c r="E2414" s="11" t="str">
        <f>HYPERLINK("https://twitter.com/pwang/status/702948496320569344","702948496320569344")</f>
        <v>702948496320569344</v>
      </c>
      <c r="F2414" s="12" t="s">
        <v>20</v>
      </c>
      <c r="G2414" s="13">
        <v>6019.0</v>
      </c>
      <c r="H2414" s="13">
        <v>691.0</v>
      </c>
      <c r="I2414" s="13">
        <v>6.0</v>
      </c>
      <c r="J2414" s="13">
        <v>0.0</v>
      </c>
      <c r="K2414" s="12" t="s">
        <v>21</v>
      </c>
      <c r="L2414" s="7">
        <v>39321.633356481485</v>
      </c>
      <c r="M2414" s="14" t="s">
        <v>1380</v>
      </c>
      <c r="N2414" s="14" t="s">
        <v>1381</v>
      </c>
      <c r="O2414" s="11" t="str">
        <f>HYPERLINK("https://pbs.twimg.com/profile_images/568795658375557120/on4iBzsD_normal.jpeg","View")</f>
        <v>View</v>
      </c>
      <c r="P2414" s="15"/>
    </row>
    <row r="2415">
      <c r="A2415" s="7">
        <v>42425.50658564815</v>
      </c>
      <c r="B2415" s="8" t="str">
        <f>HYPERLINK("https://twitter.com/DataWookie","@DataWookie")</f>
        <v>@DataWookie</v>
      </c>
      <c r="C2415" s="10" t="s">
        <v>6231</v>
      </c>
      <c r="D2415" s="10" t="s">
        <v>10464</v>
      </c>
      <c r="E2415" s="11" t="str">
        <f>HYPERLINK("https://twitter.com/DataWookie/status/702948551995699201","702948551995699201")</f>
        <v>702948551995699201</v>
      </c>
      <c r="F2415" s="12" t="s">
        <v>6233</v>
      </c>
      <c r="G2415" s="13">
        <v>426.0</v>
      </c>
      <c r="H2415" s="13">
        <v>296.0</v>
      </c>
      <c r="I2415" s="13">
        <v>0.0</v>
      </c>
      <c r="J2415" s="13">
        <v>1.0</v>
      </c>
      <c r="K2415" s="12" t="s">
        <v>21</v>
      </c>
      <c r="L2415" s="7">
        <v>42166.966678240744</v>
      </c>
      <c r="M2415" s="14" t="s">
        <v>6234</v>
      </c>
      <c r="N2415" s="14" t="s">
        <v>6235</v>
      </c>
      <c r="O2415" s="11" t="str">
        <f>HYPERLINK("https://pbs.twimg.com/profile_images/612471608725213184/eXKo2Kmo_normal.jpg","View")</f>
        <v>View</v>
      </c>
      <c r="P2415" s="15"/>
    </row>
    <row r="2416">
      <c r="A2416" s="7">
        <v>42425.50797453704</v>
      </c>
      <c r="B2416" s="8" t="str">
        <f>HYPERLINK("https://twitter.com/SoroorHediyeh","@SoroorHediyeh")</f>
        <v>@SoroorHediyeh</v>
      </c>
      <c r="C2416" s="10" t="s">
        <v>6876</v>
      </c>
      <c r="D2416" s="10" t="s">
        <v>10465</v>
      </c>
      <c r="E2416" s="11" t="str">
        <f>HYPERLINK("https://twitter.com/SoroorHediyeh/status/702949053986770944","702949053986770944")</f>
        <v>702949053986770944</v>
      </c>
      <c r="F2416" s="12" t="s">
        <v>1573</v>
      </c>
      <c r="G2416" s="13">
        <v>59.0</v>
      </c>
      <c r="H2416" s="13">
        <v>248.0</v>
      </c>
      <c r="I2416" s="13">
        <v>2.0</v>
      </c>
      <c r="J2416" s="13">
        <v>0.0</v>
      </c>
      <c r="K2416" s="12" t="s">
        <v>21</v>
      </c>
      <c r="L2416" s="7">
        <v>41651.91425925926</v>
      </c>
      <c r="M2416" s="14" t="s">
        <v>4539</v>
      </c>
      <c r="N2416" s="14" t="s">
        <v>6878</v>
      </c>
      <c r="O2416" s="11" t="str">
        <f>HYPERLINK("https://abs.twimg.com/sticky/default_profile_images/default_profile_0_normal.png","View")</f>
        <v>View</v>
      </c>
      <c r="P2416" s="15"/>
    </row>
    <row r="2417">
      <c r="A2417" s="7">
        <v>42425.50943287037</v>
      </c>
      <c r="B2417" s="8" t="str">
        <f t="shared" ref="B2417:B2418" si="255">HYPERLINK("https://twitter.com/CRANberriesFeed","@CRANberriesFeed")</f>
        <v>@CRANberriesFeed</v>
      </c>
      <c r="C2417" s="10" t="s">
        <v>6282</v>
      </c>
      <c r="D2417" s="10" t="s">
        <v>10466</v>
      </c>
      <c r="E2417" s="11" t="str">
        <f>HYPERLINK("https://twitter.com/CRANberriesFeed/status/702949583870140417","702949583870140417")</f>
        <v>702949583870140417</v>
      </c>
      <c r="F2417" s="12" t="s">
        <v>6284</v>
      </c>
      <c r="G2417" s="13">
        <v>657.0</v>
      </c>
      <c r="H2417" s="13">
        <v>0.0</v>
      </c>
      <c r="I2417" s="13">
        <v>1.0</v>
      </c>
      <c r="J2417" s="13">
        <v>0.0</v>
      </c>
      <c r="K2417" s="12" t="s">
        <v>21</v>
      </c>
      <c r="L2417" s="7">
        <v>40546.353425925925</v>
      </c>
      <c r="M2417" s="14" t="s">
        <v>1158</v>
      </c>
      <c r="N2417" s="16"/>
      <c r="O2417" s="11" t="str">
        <f t="shared" ref="O2417:O2418" si="256">HYPERLINK("https://pbs.twimg.com/profile_images/1222779560/cran1_normal.jpg","View")</f>
        <v>View</v>
      </c>
      <c r="P2417" s="15"/>
    </row>
    <row r="2418">
      <c r="A2418" s="7">
        <v>42425.509467592594</v>
      </c>
      <c r="B2418" s="8" t="str">
        <f t="shared" si="255"/>
        <v>@CRANberriesFeed</v>
      </c>
      <c r="C2418" s="10" t="s">
        <v>6282</v>
      </c>
      <c r="D2418" s="10" t="s">
        <v>10467</v>
      </c>
      <c r="E2418" s="11" t="str">
        <f>HYPERLINK("https://twitter.com/CRANberriesFeed/status/702949597128335361","702949597128335361")</f>
        <v>702949597128335361</v>
      </c>
      <c r="F2418" s="12" t="s">
        <v>6284</v>
      </c>
      <c r="G2418" s="13">
        <v>657.0</v>
      </c>
      <c r="H2418" s="13">
        <v>0.0</v>
      </c>
      <c r="I2418" s="13">
        <v>0.0</v>
      </c>
      <c r="J2418" s="13">
        <v>0.0</v>
      </c>
      <c r="K2418" s="12" t="s">
        <v>21</v>
      </c>
      <c r="L2418" s="7">
        <v>40546.353425925925</v>
      </c>
      <c r="M2418" s="14" t="s">
        <v>1158</v>
      </c>
      <c r="N2418" s="16"/>
      <c r="O2418" s="11" t="str">
        <f t="shared" si="256"/>
        <v>View</v>
      </c>
      <c r="P2418" s="15"/>
    </row>
    <row r="2419">
      <c r="A2419" s="7">
        <v>42425.51165509259</v>
      </c>
      <c r="B2419" s="8" t="str">
        <f>HYPERLINK("https://twitter.com/rmflight","@rmflight")</f>
        <v>@rmflight</v>
      </c>
      <c r="C2419" s="10" t="s">
        <v>7754</v>
      </c>
      <c r="D2419" s="10" t="s">
        <v>10465</v>
      </c>
      <c r="E2419" s="11" t="str">
        <f>HYPERLINK("https://twitter.com/rmflight/status/702950388580945924","702950388580945924")</f>
        <v>702950388580945924</v>
      </c>
      <c r="F2419" s="12" t="s">
        <v>446</v>
      </c>
      <c r="G2419" s="13">
        <v>559.0</v>
      </c>
      <c r="H2419" s="13">
        <v>430.0</v>
      </c>
      <c r="I2419" s="13">
        <v>2.0</v>
      </c>
      <c r="J2419" s="13">
        <v>0.0</v>
      </c>
      <c r="K2419" s="12" t="s">
        <v>21</v>
      </c>
      <c r="L2419" s="7">
        <v>40949.25619212963</v>
      </c>
      <c r="M2419" s="14" t="s">
        <v>7755</v>
      </c>
      <c r="N2419" s="14" t="s">
        <v>7756</v>
      </c>
      <c r="O2419" s="11" t="str">
        <f>HYPERLINK("https://pbs.twimg.com/profile_images/2150342436/Picture_1_normal.jpg","View")</f>
        <v>View</v>
      </c>
      <c r="P2419" s="15"/>
    </row>
    <row r="2420">
      <c r="A2420" s="7">
        <v>42425.51199074074</v>
      </c>
      <c r="B2420" s="8" t="str">
        <f>HYPERLINK("https://twitter.com/techpearce2","@techpearce2")</f>
        <v>@techpearce2</v>
      </c>
      <c r="C2420" s="10" t="s">
        <v>2619</v>
      </c>
      <c r="D2420" s="10" t="s">
        <v>2647</v>
      </c>
      <c r="E2420" s="11" t="str">
        <f>HYPERLINK("https://twitter.com/techpearce2/status/702950511696289792","702950511696289792")</f>
        <v>702950511696289792</v>
      </c>
      <c r="F2420" s="12" t="s">
        <v>20</v>
      </c>
      <c r="G2420" s="13">
        <v>11677.0</v>
      </c>
      <c r="H2420" s="13">
        <v>11059.0</v>
      </c>
      <c r="I2420" s="13">
        <v>35.0</v>
      </c>
      <c r="J2420" s="13">
        <v>0.0</v>
      </c>
      <c r="K2420" s="12" t="s">
        <v>21</v>
      </c>
      <c r="L2420" s="7">
        <v>42276.432476851856</v>
      </c>
      <c r="M2420" s="14" t="s">
        <v>2622</v>
      </c>
      <c r="N2420" s="14" t="s">
        <v>2623</v>
      </c>
      <c r="O2420" s="11" t="str">
        <f>HYPERLINK("https://pbs.twimg.com/profile_images/648912420275154944/Ab4szUPV_normal.jpg","View")</f>
        <v>View</v>
      </c>
      <c r="P2420" s="15"/>
    </row>
    <row r="2421">
      <c r="A2421" s="7">
        <v>42425.51228009259</v>
      </c>
      <c r="B2421" s="8" t="str">
        <f>HYPERLINK("https://twitter.com/jcgpz","@jcgpz")</f>
        <v>@jcgpz</v>
      </c>
      <c r="C2421" s="10" t="s">
        <v>10355</v>
      </c>
      <c r="D2421" s="10" t="s">
        <v>10426</v>
      </c>
      <c r="E2421" s="11" t="str">
        <f>HYPERLINK("https://twitter.com/jcgpz/status/702950616868458497","702950616868458497")</f>
        <v>702950616868458497</v>
      </c>
      <c r="F2421" s="12" t="s">
        <v>20</v>
      </c>
      <c r="G2421" s="13">
        <v>141.0</v>
      </c>
      <c r="H2421" s="13">
        <v>298.0</v>
      </c>
      <c r="I2421" s="13">
        <v>15.0</v>
      </c>
      <c r="J2421" s="13">
        <v>0.0</v>
      </c>
      <c r="K2421" s="12" t="s">
        <v>21</v>
      </c>
      <c r="L2421" s="7">
        <v>40458.97891203704</v>
      </c>
      <c r="M2421" s="14" t="s">
        <v>168</v>
      </c>
      <c r="N2421" s="14" t="s">
        <v>10356</v>
      </c>
      <c r="O2421" s="11" t="str">
        <f>HYPERLINK("https://pbs.twimg.com/profile_images/459789900569518080/VTziYNoq_normal.jpeg","View")</f>
        <v>View</v>
      </c>
      <c r="P2421" s="15"/>
    </row>
    <row r="2422">
      <c r="A2422" s="7">
        <v>42425.51599537037</v>
      </c>
      <c r="B2422" s="8" t="str">
        <f>HYPERLINK("https://twitter.com/hrbrmstr","@hrbrmstr")</f>
        <v>@hrbrmstr</v>
      </c>
      <c r="C2422" s="10" t="s">
        <v>7276</v>
      </c>
      <c r="D2422" s="10" t="s">
        <v>10468</v>
      </c>
      <c r="E2422" s="11" t="str">
        <f>HYPERLINK("https://twitter.com/hrbrmstr/status/702951960719323137","702951960719323137")</f>
        <v>702951960719323137</v>
      </c>
      <c r="F2422" s="12" t="s">
        <v>991</v>
      </c>
      <c r="G2422" s="13">
        <v>6135.0</v>
      </c>
      <c r="H2422" s="13">
        <v>2926.0</v>
      </c>
      <c r="I2422" s="13">
        <v>3.0</v>
      </c>
      <c r="J2422" s="13">
        <v>17.0</v>
      </c>
      <c r="K2422" s="12" t="s">
        <v>21</v>
      </c>
      <c r="L2422" s="7">
        <v>39203.29472222222</v>
      </c>
      <c r="M2422" s="14" t="s">
        <v>7278</v>
      </c>
      <c r="N2422" s="14" t="s">
        <v>7279</v>
      </c>
      <c r="O2422" s="11" t="str">
        <f>HYPERLINK("https://pbs.twimg.com/profile_images/557592259298729985/kpCUQWH1_normal.png","View")</f>
        <v>View</v>
      </c>
      <c r="P2422" s="15"/>
    </row>
    <row r="2423">
      <c r="A2423" s="7">
        <v>42425.519907407404</v>
      </c>
      <c r="B2423" s="8" t="str">
        <f>HYPERLINK("https://twitter.com/zevross","@zevross")</f>
        <v>@zevross</v>
      </c>
      <c r="C2423" s="10" t="s">
        <v>10244</v>
      </c>
      <c r="D2423" s="10" t="s">
        <v>10469</v>
      </c>
      <c r="E2423" s="11" t="str">
        <f>HYPERLINK("https://twitter.com/zevross/status/702953378322653184","702953378322653184")</f>
        <v>702953378322653184</v>
      </c>
      <c r="F2423" s="12" t="s">
        <v>20</v>
      </c>
      <c r="G2423" s="13">
        <v>1057.0</v>
      </c>
      <c r="H2423" s="13">
        <v>252.0</v>
      </c>
      <c r="I2423" s="13">
        <v>0.0</v>
      </c>
      <c r="J2423" s="13">
        <v>2.0</v>
      </c>
      <c r="K2423" s="12" t="s">
        <v>21</v>
      </c>
      <c r="L2423" s="7">
        <v>41543.571747685186</v>
      </c>
      <c r="M2423" s="14" t="s">
        <v>10246</v>
      </c>
      <c r="N2423" s="14" t="s">
        <v>10247</v>
      </c>
      <c r="O2423" s="11" t="str">
        <f>HYPERLINK("https://pbs.twimg.com/profile_images/573919346117861376/NGSVIgr__normal.png","View")</f>
        <v>View</v>
      </c>
      <c r="P2423" s="15"/>
    </row>
    <row r="2424">
      <c r="A2424" s="7">
        <v>42425.52153935185</v>
      </c>
      <c r="B2424" s="8" t="str">
        <f>HYPERLINK("https://twitter.com/DrAndyPardoe","@DrAndyPardoe")</f>
        <v>@DrAndyPardoe</v>
      </c>
      <c r="C2424" s="10" t="s">
        <v>3351</v>
      </c>
      <c r="D2424" s="10" t="s">
        <v>10426</v>
      </c>
      <c r="E2424" s="11" t="str">
        <f>HYPERLINK("https://twitter.com/DrAndyPardoe/status/702953969832882176","702953969832882176")</f>
        <v>702953969832882176</v>
      </c>
      <c r="F2424" s="12" t="s">
        <v>38</v>
      </c>
      <c r="G2424" s="13">
        <v>3759.0</v>
      </c>
      <c r="H2424" s="13">
        <v>2473.0</v>
      </c>
      <c r="I2424" s="13">
        <v>15.0</v>
      </c>
      <c r="J2424" s="13">
        <v>0.0</v>
      </c>
      <c r="K2424" s="12" t="s">
        <v>21</v>
      </c>
      <c r="L2424" s="7">
        <v>41826.237280092595</v>
      </c>
      <c r="M2424" s="14" t="s">
        <v>1093</v>
      </c>
      <c r="N2424" s="14" t="s">
        <v>3352</v>
      </c>
      <c r="O2424" s="11" t="str">
        <f>HYPERLINK("https://pbs.twimg.com/profile_images/485766134268837889/t4PLhSfT_normal.jpeg","View")</f>
        <v>View</v>
      </c>
      <c r="P2424" s="15"/>
    </row>
    <row r="2425">
      <c r="A2425" s="7">
        <v>42425.523518518516</v>
      </c>
      <c r="B2425" s="8" t="str">
        <f>HYPERLINK("https://twitter.com/tjmahr","@tjmahr")</f>
        <v>@tjmahr</v>
      </c>
      <c r="C2425" s="10" t="s">
        <v>7778</v>
      </c>
      <c r="D2425" s="10" t="s">
        <v>10470</v>
      </c>
      <c r="E2425" s="11" t="str">
        <f>HYPERLINK("https://twitter.com/tjmahr/status/702954687243427842","702954687243427842")</f>
        <v>702954687243427842</v>
      </c>
      <c r="F2425" s="12" t="s">
        <v>20</v>
      </c>
      <c r="G2425" s="13">
        <v>446.0</v>
      </c>
      <c r="H2425" s="13">
        <v>638.0</v>
      </c>
      <c r="I2425" s="13">
        <v>0.0</v>
      </c>
      <c r="J2425" s="13">
        <v>2.0</v>
      </c>
      <c r="K2425" s="12" t="s">
        <v>21</v>
      </c>
      <c r="L2425" s="7">
        <v>40393.656747685185</v>
      </c>
      <c r="M2425" s="14" t="s">
        <v>7780</v>
      </c>
      <c r="N2425" s="14" t="s">
        <v>7781</v>
      </c>
      <c r="O2425" s="11" t="str">
        <f>HYPERLINK("https://pbs.twimg.com/profile_images/703243921011417091/jicOr_09_normal.jpg","View")</f>
        <v>View</v>
      </c>
      <c r="P2425" s="15"/>
    </row>
    <row r="2426">
      <c r="A2426" s="7">
        <v>42425.524560185186</v>
      </c>
      <c r="B2426" s="8" t="str">
        <f>HYPERLINK("https://twitter.com/i_rockhopper","@i_rockhopper")</f>
        <v>@i_rockhopper</v>
      </c>
      <c r="C2426" s="10" t="s">
        <v>8742</v>
      </c>
      <c r="D2426" s="10" t="s">
        <v>10471</v>
      </c>
      <c r="E2426" s="11" t="str">
        <f>HYPERLINK("https://twitter.com/i_rockhopper/status/702955065385029633","702955065385029633")</f>
        <v>702955065385029633</v>
      </c>
      <c r="F2426" s="12" t="s">
        <v>20</v>
      </c>
      <c r="G2426" s="13">
        <v>91.0</v>
      </c>
      <c r="H2426" s="13">
        <v>141.0</v>
      </c>
      <c r="I2426" s="13">
        <v>0.0</v>
      </c>
      <c r="J2426" s="13">
        <v>0.0</v>
      </c>
      <c r="K2426" s="12" t="s">
        <v>21</v>
      </c>
      <c r="L2426" s="7">
        <v>42012.381319444445</v>
      </c>
      <c r="M2426" s="14" t="s">
        <v>8744</v>
      </c>
      <c r="N2426" s="14" t="s">
        <v>8745</v>
      </c>
      <c r="O2426" s="11" t="str">
        <f>HYPERLINK("https://pbs.twimg.com/profile_images/621780049520267264/R3GvI0eI_normal.jpg","View")</f>
        <v>View</v>
      </c>
      <c r="P2426" s="15"/>
    </row>
    <row r="2427">
      <c r="A2427" s="7">
        <v>42425.5262037037</v>
      </c>
      <c r="B2427" s="8" t="str">
        <f>HYPERLINK("https://twitter.com/RockyTayeh","@RockyTayeh")</f>
        <v>@RockyTayeh</v>
      </c>
      <c r="C2427" s="10" t="s">
        <v>10472</v>
      </c>
      <c r="D2427" s="10" t="s">
        <v>9741</v>
      </c>
      <c r="E2427" s="11" t="str">
        <f>HYPERLINK("https://twitter.com/RockyTayeh/status/702955659214639108","702955659214639108")</f>
        <v>702955659214639108</v>
      </c>
      <c r="F2427" s="12" t="s">
        <v>152</v>
      </c>
      <c r="G2427" s="13">
        <v>29053.0</v>
      </c>
      <c r="H2427" s="13">
        <v>31968.0</v>
      </c>
      <c r="I2427" s="13">
        <v>12.0</v>
      </c>
      <c r="J2427" s="13">
        <v>0.0</v>
      </c>
      <c r="K2427" s="12" t="s">
        <v>21</v>
      </c>
      <c r="L2427" s="7">
        <v>40810.82712962963</v>
      </c>
      <c r="M2427" s="14" t="s">
        <v>10473</v>
      </c>
      <c r="N2427" s="14" t="s">
        <v>10474</v>
      </c>
      <c r="O2427" s="11" t="str">
        <f>HYPERLINK("https://pbs.twimg.com/profile_images/599478153778700288/ogMCMlWV_normal.jpg","View")</f>
        <v>View</v>
      </c>
      <c r="P2427" s="15"/>
    </row>
    <row r="2428">
      <c r="A2428" s="7">
        <v>42425.5265625</v>
      </c>
      <c r="B2428" s="8" t="str">
        <f>HYPERLINK("https://twitter.com/chieftanbonobo","@chieftanbonobo")</f>
        <v>@chieftanbonobo</v>
      </c>
      <c r="C2428" s="10" t="s">
        <v>10475</v>
      </c>
      <c r="D2428" s="10" t="s">
        <v>10476</v>
      </c>
      <c r="E2428" s="11" t="str">
        <f>HYPERLINK("https://twitter.com/chieftanbonobo/status/702955791926566913","702955791926566913")</f>
        <v>702955791926566913</v>
      </c>
      <c r="F2428" s="12" t="s">
        <v>20</v>
      </c>
      <c r="G2428" s="13">
        <v>111.0</v>
      </c>
      <c r="H2428" s="13">
        <v>325.0</v>
      </c>
      <c r="I2428" s="13">
        <v>0.0</v>
      </c>
      <c r="J2428" s="13">
        <v>1.0</v>
      </c>
      <c r="K2428" s="12" t="s">
        <v>21</v>
      </c>
      <c r="L2428" s="7">
        <v>40636.62405092592</v>
      </c>
      <c r="M2428" s="14" t="s">
        <v>4877</v>
      </c>
      <c r="N2428" s="14" t="s">
        <v>10477</v>
      </c>
      <c r="O2428" s="11" t="str">
        <f>HYPERLINK("https://pbs.twimg.com/profile_images/1298887255/GRABYOURGOGGLES2_normal.png","View")</f>
        <v>View</v>
      </c>
      <c r="P2428" s="15"/>
    </row>
    <row r="2429">
      <c r="A2429" s="7">
        <v>42425.52738425926</v>
      </c>
      <c r="B2429" s="8" t="str">
        <f>HYPERLINK("https://twitter.com/stopifnot","@stopifnot")</f>
        <v>@stopifnot</v>
      </c>
      <c r="C2429" s="10" t="s">
        <v>10411</v>
      </c>
      <c r="D2429" s="10" t="s">
        <v>10478</v>
      </c>
      <c r="E2429" s="11" t="str">
        <f>HYPERLINK("https://twitter.com/stopifnot/status/702956086886854657","702956086886854657")</f>
        <v>702956086886854657</v>
      </c>
      <c r="F2429" s="12" t="s">
        <v>20</v>
      </c>
      <c r="G2429" s="13">
        <v>144.0</v>
      </c>
      <c r="H2429" s="13">
        <v>186.0</v>
      </c>
      <c r="I2429" s="13">
        <v>0.0</v>
      </c>
      <c r="J2429" s="13">
        <v>1.0</v>
      </c>
      <c r="K2429" s="12" t="s">
        <v>21</v>
      </c>
      <c r="L2429" s="7">
        <v>41532.52364583333</v>
      </c>
      <c r="M2429" s="16"/>
      <c r="N2429" s="14" t="s">
        <v>10413</v>
      </c>
      <c r="O2429" s="11" t="str">
        <f>HYPERLINK("https://pbs.twimg.com/profile_images/669184621532332035/lR39q_kZ_normal.png","View")</f>
        <v>View</v>
      </c>
      <c r="P2429" s="15"/>
    </row>
    <row r="2430">
      <c r="A2430" s="7">
        <v>42425.52829861111</v>
      </c>
      <c r="B2430" s="8" t="str">
        <f>HYPERLINK("https://twitter.com/visnut","@visnut")</f>
        <v>@visnut</v>
      </c>
      <c r="C2430" s="10" t="s">
        <v>9387</v>
      </c>
      <c r="D2430" s="10" t="s">
        <v>10455</v>
      </c>
      <c r="E2430" s="11" t="str">
        <f>HYPERLINK("https://twitter.com/visnut/status/702956421374017538","702956421374017538")</f>
        <v>702956421374017538</v>
      </c>
      <c r="F2430" s="12" t="s">
        <v>52</v>
      </c>
      <c r="G2430" s="13">
        <v>540.0</v>
      </c>
      <c r="H2430" s="13">
        <v>281.0</v>
      </c>
      <c r="I2430" s="13">
        <v>22.0</v>
      </c>
      <c r="J2430" s="13">
        <v>0.0</v>
      </c>
      <c r="K2430" s="12" t="s">
        <v>21</v>
      </c>
      <c r="L2430" s="7">
        <v>40018.2409375</v>
      </c>
      <c r="M2430" s="14" t="s">
        <v>7810</v>
      </c>
      <c r="N2430" s="14" t="s">
        <v>9388</v>
      </c>
      <c r="O2430" s="11" t="str">
        <f>HYPERLINK("https://pbs.twimg.com/profile_images/551002016953036800/FsQNJ2yh_normal.jpeg","View")</f>
        <v>View</v>
      </c>
      <c r="P2430" s="15"/>
    </row>
    <row r="2431">
      <c r="A2431" s="7">
        <v>42425.52840277778</v>
      </c>
      <c r="B2431" s="8" t="str">
        <f>HYPERLINK("https://twitter.com/tslumley","@tslumley")</f>
        <v>@tslumley</v>
      </c>
      <c r="C2431" s="10" t="s">
        <v>10479</v>
      </c>
      <c r="D2431" s="10" t="s">
        <v>10455</v>
      </c>
      <c r="E2431" s="11" t="str">
        <f>HYPERLINK("https://twitter.com/tslumley/status/702956459143761920","702956459143761920")</f>
        <v>702956459143761920</v>
      </c>
      <c r="F2431" s="12" t="s">
        <v>152</v>
      </c>
      <c r="G2431" s="13">
        <v>1755.0</v>
      </c>
      <c r="H2431" s="13">
        <v>477.0</v>
      </c>
      <c r="I2431" s="13">
        <v>22.0</v>
      </c>
      <c r="J2431" s="13">
        <v>0.0</v>
      </c>
      <c r="K2431" s="12" t="s">
        <v>21</v>
      </c>
      <c r="L2431" s="7">
        <v>41315.92805555556</v>
      </c>
      <c r="M2431" s="14" t="s">
        <v>10480</v>
      </c>
      <c r="N2431" s="14" t="s">
        <v>10481</v>
      </c>
      <c r="O2431" s="11" t="str">
        <f>HYPERLINK("https://pbs.twimg.com/profile_images/3237872431/07ecae166f2898fc9da007a5de720cb3_normal.jpeg","View")</f>
        <v>View</v>
      </c>
      <c r="P2431" s="15"/>
    </row>
    <row r="2432">
      <c r="A2432" s="7">
        <v>42425.52898148148</v>
      </c>
      <c r="B2432" s="8" t="str">
        <f>HYPERLINK("https://twitter.com/alexhanna","@alexhanna")</f>
        <v>@alexhanna</v>
      </c>
      <c r="C2432" s="10" t="s">
        <v>10482</v>
      </c>
      <c r="D2432" s="10" t="s">
        <v>10483</v>
      </c>
      <c r="E2432" s="11" t="str">
        <f>HYPERLINK("https://twitter.com/alexhanna/status/702956667722334208","702956667722334208")</f>
        <v>702956667722334208</v>
      </c>
      <c r="F2432" s="12" t="s">
        <v>446</v>
      </c>
      <c r="G2432" s="13">
        <v>3362.0</v>
      </c>
      <c r="H2432" s="13">
        <v>2182.0</v>
      </c>
      <c r="I2432" s="13">
        <v>0.0</v>
      </c>
      <c r="J2432" s="13">
        <v>1.0</v>
      </c>
      <c r="K2432" s="12" t="s">
        <v>21</v>
      </c>
      <c r="L2432" s="7">
        <v>39100.526296296295</v>
      </c>
      <c r="M2432" s="14" t="s">
        <v>7780</v>
      </c>
      <c r="N2432" s="14" t="s">
        <v>10484</v>
      </c>
      <c r="O2432" s="11" t="str">
        <f>HYPERLINK("https://pbs.twimg.com/profile_images/692468806585835520/YmAZRU-B_normal.jpg","View")</f>
        <v>View</v>
      </c>
      <c r="P2432" s="15"/>
    </row>
    <row r="2433">
      <c r="A2433" s="7">
        <v>42425.53009259259</v>
      </c>
      <c r="B2433" s="8" t="str">
        <f>HYPERLINK("https://twitter.com/ChCariou","@ChCariou")</f>
        <v>@ChCariou</v>
      </c>
      <c r="C2433" s="10" t="s">
        <v>10159</v>
      </c>
      <c r="D2433" s="10" t="s">
        <v>10485</v>
      </c>
      <c r="E2433" s="11" t="str">
        <f>HYPERLINK("https://twitter.com/ChCariou/status/702957068827926528","702957068827926528")</f>
        <v>702957068827926528</v>
      </c>
      <c r="F2433" s="12" t="s">
        <v>20</v>
      </c>
      <c r="G2433" s="13">
        <v>402.0</v>
      </c>
      <c r="H2433" s="13">
        <v>442.0</v>
      </c>
      <c r="I2433" s="13">
        <v>0.0</v>
      </c>
      <c r="J2433" s="13">
        <v>0.0</v>
      </c>
      <c r="K2433" s="12" t="s">
        <v>21</v>
      </c>
      <c r="L2433" s="7">
        <v>40836.00261574074</v>
      </c>
      <c r="M2433" s="14" t="s">
        <v>10161</v>
      </c>
      <c r="N2433" s="14" t="s">
        <v>10162</v>
      </c>
      <c r="O2433" s="11" t="str">
        <f>HYPERLINK("https://pbs.twimg.com/profile_images/646034538691461121/EtcgHvoh_normal.jpg","View")</f>
        <v>View</v>
      </c>
      <c r="P2433" s="15"/>
    </row>
    <row r="2434">
      <c r="A2434" s="7">
        <v>42425.53417824074</v>
      </c>
      <c r="B2434" s="8" t="str">
        <f>HYPERLINK("https://twitter.com/TheAtavism","@TheAtavism")</f>
        <v>@TheAtavism</v>
      </c>
      <c r="C2434" s="10" t="s">
        <v>10486</v>
      </c>
      <c r="D2434" s="10" t="s">
        <v>10455</v>
      </c>
      <c r="E2434" s="11" t="str">
        <f>HYPERLINK("https://twitter.com/TheAtavism/status/702958550310473728","702958550310473728")</f>
        <v>702958550310473728</v>
      </c>
      <c r="F2434" s="12" t="s">
        <v>20</v>
      </c>
      <c r="G2434" s="13">
        <v>2016.0</v>
      </c>
      <c r="H2434" s="13">
        <v>979.0</v>
      </c>
      <c r="I2434" s="13">
        <v>22.0</v>
      </c>
      <c r="J2434" s="13">
        <v>0.0</v>
      </c>
      <c r="K2434" s="12" t="s">
        <v>21</v>
      </c>
      <c r="L2434" s="7">
        <v>39836.631990740745</v>
      </c>
      <c r="M2434" s="14" t="s">
        <v>10487</v>
      </c>
      <c r="N2434" s="14" t="s">
        <v>10488</v>
      </c>
      <c r="O2434" s="11" t="str">
        <f>HYPERLINK("https://pbs.twimg.com/profile_images/420367726549270529/3nq_72NF_normal.jpeg","View")</f>
        <v>View</v>
      </c>
      <c r="P2434" s="15"/>
    </row>
    <row r="2435">
      <c r="A2435" s="7">
        <v>42425.53446759259</v>
      </c>
      <c r="B2435" s="8" t="str">
        <f>HYPERLINK("https://twitter.com/chbergma","@chbergma")</f>
        <v>@chbergma</v>
      </c>
      <c r="C2435" s="10" t="s">
        <v>10489</v>
      </c>
      <c r="D2435" s="10" t="s">
        <v>10293</v>
      </c>
      <c r="E2435" s="11" t="str">
        <f>HYPERLINK("https://twitter.com/chbergma/status/702958655931617281","702958655931617281")</f>
        <v>702958655931617281</v>
      </c>
      <c r="F2435" s="12" t="s">
        <v>52</v>
      </c>
      <c r="G2435" s="13">
        <v>485.0</v>
      </c>
      <c r="H2435" s="13">
        <v>383.0</v>
      </c>
      <c r="I2435" s="13">
        <v>11.0</v>
      </c>
      <c r="J2435" s="13">
        <v>0.0</v>
      </c>
      <c r="K2435" s="12" t="s">
        <v>21</v>
      </c>
      <c r="L2435" s="7">
        <v>41289.43512731481</v>
      </c>
      <c r="M2435" s="14" t="s">
        <v>462</v>
      </c>
      <c r="N2435" s="14" t="s">
        <v>10490</v>
      </c>
      <c r="O2435" s="11" t="str">
        <f>HYPERLINK("https://pbs.twimg.com/profile_images/507463011033157632/Vyleaik7_normal.jpeg","View")</f>
        <v>View</v>
      </c>
      <c r="P2435" s="15"/>
    </row>
    <row r="2436">
      <c r="A2436" s="7">
        <v>42425.53447916667</v>
      </c>
      <c r="B2436" s="8" t="str">
        <f>HYPERLINK("https://twitter.com/kcranstn","@kcranstn")</f>
        <v>@kcranstn</v>
      </c>
      <c r="C2436" s="10" t="s">
        <v>10491</v>
      </c>
      <c r="D2436" s="10" t="s">
        <v>10455</v>
      </c>
      <c r="E2436" s="11" t="str">
        <f>HYPERLINK("https://twitter.com/kcranstn/status/702958658284560384","702958658284560384")</f>
        <v>702958658284560384</v>
      </c>
      <c r="F2436" s="12" t="s">
        <v>446</v>
      </c>
      <c r="G2436" s="13">
        <v>1537.0</v>
      </c>
      <c r="H2436" s="13">
        <v>477.0</v>
      </c>
      <c r="I2436" s="13">
        <v>22.0</v>
      </c>
      <c r="J2436" s="13">
        <v>0.0</v>
      </c>
      <c r="K2436" s="12" t="s">
        <v>21</v>
      </c>
      <c r="L2436" s="7">
        <v>40126.55820601852</v>
      </c>
      <c r="M2436" s="14" t="s">
        <v>2861</v>
      </c>
      <c r="N2436" s="14" t="s">
        <v>10492</v>
      </c>
      <c r="O2436" s="11" t="str">
        <f>HYPERLINK("https://pbs.twimg.com/profile_images/695285811789611008/1wbjZVH9_normal.jpg","View")</f>
        <v>View</v>
      </c>
      <c r="P2436" s="15"/>
    </row>
    <row r="2437">
      <c r="A2437" s="7">
        <v>42425.53543981482</v>
      </c>
      <c r="B2437" s="8" t="str">
        <f>HYPERLINK("https://twitter.com/datascienceplus","@datascienceplus")</f>
        <v>@datascienceplus</v>
      </c>
      <c r="C2437" s="10" t="s">
        <v>5948</v>
      </c>
      <c r="D2437" s="10" t="s">
        <v>10493</v>
      </c>
      <c r="E2437" s="11" t="str">
        <f>HYPERLINK("https://twitter.com/datascienceplus/status/702959007405875201","702959007405875201")</f>
        <v>702959007405875201</v>
      </c>
      <c r="F2437" s="12" t="s">
        <v>431</v>
      </c>
      <c r="G2437" s="13">
        <v>250.0</v>
      </c>
      <c r="H2437" s="13">
        <v>321.0</v>
      </c>
      <c r="I2437" s="13">
        <v>2.0</v>
      </c>
      <c r="J2437" s="13">
        <v>5.0</v>
      </c>
      <c r="K2437" s="12" t="s">
        <v>21</v>
      </c>
      <c r="L2437" s="7">
        <v>42225.01311342593</v>
      </c>
      <c r="M2437" s="14" t="s">
        <v>5950</v>
      </c>
      <c r="N2437" s="14" t="s">
        <v>5951</v>
      </c>
      <c r="O2437" s="11" t="str">
        <f>HYPERLINK("https://pbs.twimg.com/profile_images/630277871538278400/gEjxWtPD_normal.jpg","View")</f>
        <v>View</v>
      </c>
      <c r="P2437" s="15"/>
    </row>
    <row r="2438">
      <c r="A2438" s="7">
        <v>42425.53931712963</v>
      </c>
      <c r="B2438" s="8" t="str">
        <f>HYPERLINK("https://twitter.com/davesteps","@davesteps")</f>
        <v>@davesteps</v>
      </c>
      <c r="C2438" s="10" t="s">
        <v>10494</v>
      </c>
      <c r="D2438" s="10" t="s">
        <v>10284</v>
      </c>
      <c r="E2438" s="11" t="str">
        <f>HYPERLINK("https://twitter.com/davesteps/status/702960414724898816","702960414724898816")</f>
        <v>702960414724898816</v>
      </c>
      <c r="F2438" s="12" t="s">
        <v>152</v>
      </c>
      <c r="G2438" s="13">
        <v>60.0</v>
      </c>
      <c r="H2438" s="13">
        <v>279.0</v>
      </c>
      <c r="I2438" s="13">
        <v>9.0</v>
      </c>
      <c r="J2438" s="13">
        <v>0.0</v>
      </c>
      <c r="K2438" s="12" t="s">
        <v>21</v>
      </c>
      <c r="L2438" s="7">
        <v>39904.06140046296</v>
      </c>
      <c r="M2438" s="16"/>
      <c r="N2438" s="16"/>
      <c r="O2438" s="11" t="str">
        <f>HYPERLINK("https://pbs.twimg.com/profile_images/701077657480466433/80hvuZyy_normal.jpg","View")</f>
        <v>View</v>
      </c>
      <c r="P2438" s="15"/>
    </row>
    <row r="2439">
      <c r="A2439" s="7">
        <v>42425.54099537037</v>
      </c>
      <c r="B2439" s="8" t="str">
        <f>HYPERLINK("https://twitter.com/LearnRinaDay","@LearnRinaDay")</f>
        <v>@LearnRinaDay</v>
      </c>
      <c r="C2439" s="10" t="s">
        <v>10495</v>
      </c>
      <c r="D2439" s="10" t="s">
        <v>10496</v>
      </c>
      <c r="E2439" s="11" t="str">
        <f>HYPERLINK("https://twitter.com/LearnRinaDay/status/702961021976252416","702961021976252416")</f>
        <v>702961021976252416</v>
      </c>
      <c r="F2439" s="12" t="s">
        <v>20</v>
      </c>
      <c r="G2439" s="13">
        <v>539.0</v>
      </c>
      <c r="H2439" s="13">
        <v>304.0</v>
      </c>
      <c r="I2439" s="13">
        <v>4.0</v>
      </c>
      <c r="J2439" s="13">
        <v>7.0</v>
      </c>
      <c r="K2439" s="12" t="s">
        <v>21</v>
      </c>
      <c r="L2439" s="7">
        <v>41784.187673611115</v>
      </c>
      <c r="M2439" s="16"/>
      <c r="N2439" s="14" t="s">
        <v>10497</v>
      </c>
      <c r="O2439" s="11" t="str">
        <f>HYPERLINK("https://pbs.twimg.com/profile_images/470532873338884096/f96FFA2w_normal.png","View")</f>
        <v>View</v>
      </c>
      <c r="P2439" s="15"/>
    </row>
    <row r="2440">
      <c r="A2440" s="7">
        <v>42425.54313657407</v>
      </c>
      <c r="B2440" s="8" t="str">
        <f>HYPERLINK("https://twitter.com/BigDataTweetBot","@BigDataTweetBot")</f>
        <v>@BigDataTweetBot</v>
      </c>
      <c r="C2440" s="10" t="s">
        <v>1440</v>
      </c>
      <c r="D2440" s="10" t="s">
        <v>10498</v>
      </c>
      <c r="E2440" s="11" t="str">
        <f>HYPERLINK("https://twitter.com/BigDataTweetBot/status/702961797779869698","702961797779869698")</f>
        <v>702961797779869698</v>
      </c>
      <c r="F2440" s="12" t="s">
        <v>1442</v>
      </c>
      <c r="G2440" s="13">
        <v>8622.0</v>
      </c>
      <c r="H2440" s="13">
        <v>243.0</v>
      </c>
      <c r="I2440" s="13">
        <v>4.0</v>
      </c>
      <c r="J2440" s="13">
        <v>0.0</v>
      </c>
      <c r="K2440" s="12" t="s">
        <v>21</v>
      </c>
      <c r="L2440" s="7">
        <v>42187.77106481481</v>
      </c>
      <c r="M2440" s="16"/>
      <c r="N2440" s="14" t="s">
        <v>1443</v>
      </c>
      <c r="O2440" s="11" t="str">
        <f>HYPERLINK("https://pbs.twimg.com/profile_images/616793252524650496/bQbxJqmz_normal.jpg","View")</f>
        <v>View</v>
      </c>
      <c r="P2440" s="15"/>
    </row>
    <row r="2441">
      <c r="A2441" s="7">
        <v>42425.54445601851</v>
      </c>
      <c r="B2441" s="8" t="str">
        <f>HYPERLINK("https://twitter.com/dipsdd","@dipsdd")</f>
        <v>@dipsdd</v>
      </c>
      <c r="C2441" s="10" t="s">
        <v>10499</v>
      </c>
      <c r="D2441" s="10" t="s">
        <v>10500</v>
      </c>
      <c r="E2441" s="11" t="str">
        <f>HYPERLINK("https://twitter.com/dipsdd/status/702962276370923521","702962276370923521")</f>
        <v>702962276370923521</v>
      </c>
      <c r="F2441" s="12" t="s">
        <v>52</v>
      </c>
      <c r="G2441" s="13">
        <v>165.0</v>
      </c>
      <c r="H2441" s="13">
        <v>550.0</v>
      </c>
      <c r="I2441" s="13">
        <v>1.0</v>
      </c>
      <c r="J2441" s="13">
        <v>0.0</v>
      </c>
      <c r="K2441" s="12" t="s">
        <v>21</v>
      </c>
      <c r="L2441" s="7">
        <v>41195.13789351852</v>
      </c>
      <c r="M2441" s="14" t="s">
        <v>10501</v>
      </c>
      <c r="N2441" s="14" t="s">
        <v>10502</v>
      </c>
      <c r="O2441" s="11" t="str">
        <f>HYPERLINK("https://pbs.twimg.com/profile_images/3661250854/1cd620dbf2ba2cd5ddbfdea523561472_normal.jpeg","View")</f>
        <v>View</v>
      </c>
      <c r="P2441" s="15"/>
    </row>
    <row r="2442">
      <c r="A2442" s="7">
        <v>42425.54498842593</v>
      </c>
      <c r="B2442" s="8" t="str">
        <f>HYPERLINK("https://twitter.com/leeswijzer","@leeswijzer")</f>
        <v>@leeswijzer</v>
      </c>
      <c r="C2442" s="10" t="s">
        <v>10503</v>
      </c>
      <c r="D2442" s="10" t="s">
        <v>10504</v>
      </c>
      <c r="E2442" s="11" t="str">
        <f>HYPERLINK("https://twitter.com/leeswijzer/status/702962469199876100","702962469199876100")</f>
        <v>702962469199876100</v>
      </c>
      <c r="F2442" s="12" t="s">
        <v>659</v>
      </c>
      <c r="G2442" s="13">
        <v>4939.0</v>
      </c>
      <c r="H2442" s="13">
        <v>1015.0</v>
      </c>
      <c r="I2442" s="13">
        <v>1.0</v>
      </c>
      <c r="J2442" s="13">
        <v>0.0</v>
      </c>
      <c r="K2442" s="12" t="s">
        <v>21</v>
      </c>
      <c r="L2442" s="7">
        <v>40014.10690972222</v>
      </c>
      <c r="M2442" s="16"/>
      <c r="N2442" s="14" t="s">
        <v>10505</v>
      </c>
      <c r="O2442" s="11" t="str">
        <f>HYPERLINK("https://pbs.twimg.com/profile_images/762997434/GionPortrait_normal.jpg","View")</f>
        <v>View</v>
      </c>
      <c r="P2442" s="15"/>
    </row>
    <row r="2443">
      <c r="A2443" s="7">
        <v>42425.5450462963</v>
      </c>
      <c r="B2443" s="8" t="str">
        <f>HYPERLINK("https://twitter.com/caprazli","@caprazli")</f>
        <v>@caprazli</v>
      </c>
      <c r="C2443" s="10" t="s">
        <v>10506</v>
      </c>
      <c r="D2443" s="10" t="s">
        <v>10498</v>
      </c>
      <c r="E2443" s="11" t="str">
        <f>HYPERLINK("https://twitter.com/caprazli/status/702962490267848705","702962490267848705")</f>
        <v>702962490267848705</v>
      </c>
      <c r="F2443" s="12" t="s">
        <v>152</v>
      </c>
      <c r="G2443" s="13">
        <v>535.0</v>
      </c>
      <c r="H2443" s="13">
        <v>2148.0</v>
      </c>
      <c r="I2443" s="13">
        <v>4.0</v>
      </c>
      <c r="J2443" s="13">
        <v>0.0</v>
      </c>
      <c r="K2443" s="12" t="s">
        <v>21</v>
      </c>
      <c r="L2443" s="7">
        <v>39828.91042824074</v>
      </c>
      <c r="M2443" s="14" t="s">
        <v>10507</v>
      </c>
      <c r="N2443" s="14" t="s">
        <v>10508</v>
      </c>
      <c r="O2443" s="11" t="str">
        <f>HYPERLINK("https://pbs.twimg.com/profile_images/669461405192593408/oy2EulFW_normal.png","View")</f>
        <v>View</v>
      </c>
      <c r="P2443" s="15"/>
    </row>
    <row r="2444">
      <c r="A2444" s="7">
        <v>42425.54684027778</v>
      </c>
      <c r="B2444" s="8" t="str">
        <f>HYPERLINK("https://twitter.com/dirk_sch","@dirk_sch")</f>
        <v>@dirk_sch</v>
      </c>
      <c r="C2444" s="10" t="s">
        <v>10509</v>
      </c>
      <c r="D2444" s="10" t="s">
        <v>10510</v>
      </c>
      <c r="E2444" s="11" t="str">
        <f>HYPERLINK("https://twitter.com/dirk_sch/status/702963139848085504","702963139848085504")</f>
        <v>702963139848085504</v>
      </c>
      <c r="F2444" s="12" t="s">
        <v>20</v>
      </c>
      <c r="G2444" s="13">
        <v>128.0</v>
      </c>
      <c r="H2444" s="13">
        <v>267.0</v>
      </c>
      <c r="I2444" s="13">
        <v>13.0</v>
      </c>
      <c r="J2444" s="13">
        <v>24.0</v>
      </c>
      <c r="K2444" s="12" t="s">
        <v>21</v>
      </c>
      <c r="L2444" s="7">
        <v>40961.561006944445</v>
      </c>
      <c r="M2444" s="14" t="s">
        <v>7357</v>
      </c>
      <c r="N2444" s="14" t="s">
        <v>10511</v>
      </c>
      <c r="O2444" s="11" t="str">
        <f>HYPERLINK("https://pbs.twimg.com/profile_images/523897658713190400/lLOiqpam_normal.jpeg","View")</f>
        <v>View</v>
      </c>
      <c r="P2444" s="15"/>
    </row>
    <row r="2445">
      <c r="A2445" s="7">
        <v>42425.549039351856</v>
      </c>
      <c r="B2445" s="8" t="str">
        <f>HYPERLINK("https://twitter.com/precariobecario","@precariobecario")</f>
        <v>@precariobecario</v>
      </c>
      <c r="C2445" s="10" t="s">
        <v>7318</v>
      </c>
      <c r="D2445" s="10" t="s">
        <v>10455</v>
      </c>
      <c r="E2445" s="11" t="str">
        <f>HYPERLINK("https://twitter.com/precariobecario/status/702963934769373186","702963934769373186")</f>
        <v>702963934769373186</v>
      </c>
      <c r="F2445" s="12" t="s">
        <v>1573</v>
      </c>
      <c r="G2445" s="13">
        <v>71.0</v>
      </c>
      <c r="H2445" s="13">
        <v>142.0</v>
      </c>
      <c r="I2445" s="13">
        <v>22.0</v>
      </c>
      <c r="J2445" s="13">
        <v>0.0</v>
      </c>
      <c r="K2445" s="12" t="s">
        <v>21</v>
      </c>
      <c r="L2445" s="7">
        <v>39416.20982638889</v>
      </c>
      <c r="M2445" s="14" t="s">
        <v>7320</v>
      </c>
      <c r="N2445" s="14" t="s">
        <v>7321</v>
      </c>
      <c r="O2445" s="11" t="str">
        <f>HYPERLINK("https://pbs.twimg.com/profile_images/557938759753166850/O2-Bt_AF_normal.jpeg","View")</f>
        <v>View</v>
      </c>
      <c r="P2445" s="15"/>
    </row>
    <row r="2446">
      <c r="A2446" s="7">
        <v>42425.549155092594</v>
      </c>
      <c r="B2446" s="8" t="str">
        <f>HYPERLINK("https://twitter.com/MedLazhari","@MedLazhari")</f>
        <v>@MedLazhari</v>
      </c>
      <c r="C2446" s="10" t="s">
        <v>10512</v>
      </c>
      <c r="D2446" s="10" t="s">
        <v>6319</v>
      </c>
      <c r="E2446" s="11" t="str">
        <f>HYPERLINK("https://twitter.com/MedLazhari/status/702963976435531777","702963976435531777")</f>
        <v>702963976435531777</v>
      </c>
      <c r="F2446" s="12" t="s">
        <v>152</v>
      </c>
      <c r="G2446" s="13">
        <v>155.0</v>
      </c>
      <c r="H2446" s="13">
        <v>422.0</v>
      </c>
      <c r="I2446" s="13">
        <v>106.0</v>
      </c>
      <c r="J2446" s="13">
        <v>0.0</v>
      </c>
      <c r="K2446" s="12" t="s">
        <v>21</v>
      </c>
      <c r="L2446" s="7">
        <v>40777.166550925926</v>
      </c>
      <c r="M2446" s="14" t="s">
        <v>10513</v>
      </c>
      <c r="N2446" s="14" t="s">
        <v>10514</v>
      </c>
      <c r="O2446" s="11" t="str">
        <f>HYPERLINK("https://pbs.twimg.com/profile_images/701132303364444161/J2VCa1yo_normal.png","View")</f>
        <v>View</v>
      </c>
      <c r="P2446" s="15"/>
    </row>
    <row r="2447">
      <c r="A2447" s="7">
        <v>42425.54951388889</v>
      </c>
      <c r="B2447" s="8" t="str">
        <f>HYPERLINK("https://twitter.com/AmzuIT","@AmzuIT")</f>
        <v>@AmzuIT</v>
      </c>
      <c r="C2447" s="10" t="s">
        <v>10515</v>
      </c>
      <c r="D2447" s="10" t="s">
        <v>10498</v>
      </c>
      <c r="E2447" s="11" t="str">
        <f>HYPERLINK("https://twitter.com/AmzuIT/status/702964107025195009","702964107025195009")</f>
        <v>702964107025195009</v>
      </c>
      <c r="F2447" s="12" t="s">
        <v>152</v>
      </c>
      <c r="G2447" s="13">
        <v>356.0</v>
      </c>
      <c r="H2447" s="13">
        <v>289.0</v>
      </c>
      <c r="I2447" s="13">
        <v>4.0</v>
      </c>
      <c r="J2447" s="13">
        <v>0.0</v>
      </c>
      <c r="K2447" s="12" t="s">
        <v>21</v>
      </c>
      <c r="L2447" s="7">
        <v>41466.19090277778</v>
      </c>
      <c r="M2447" s="14" t="s">
        <v>519</v>
      </c>
      <c r="N2447" s="14" t="s">
        <v>10516</v>
      </c>
      <c r="O2447" s="11" t="str">
        <f>HYPERLINK("https://pbs.twimg.com/profile_images/543745516727595009/DJsc8TB4_normal.jpeg","View")</f>
        <v>View</v>
      </c>
      <c r="P2447" s="15"/>
    </row>
    <row r="2448">
      <c r="A2448" s="7">
        <v>42425.55010416667</v>
      </c>
      <c r="B2448" s="8" t="str">
        <f>HYPERLINK("https://twitter.com/USGS_R","@USGS_R")</f>
        <v>@USGS_R</v>
      </c>
      <c r="C2448" s="10" t="s">
        <v>7429</v>
      </c>
      <c r="D2448" s="10" t="s">
        <v>10517</v>
      </c>
      <c r="E2448" s="11" t="str">
        <f>HYPERLINK("https://twitter.com/USGS_R/status/702964320687116288","702964320687116288")</f>
        <v>702964320687116288</v>
      </c>
      <c r="F2448" s="12" t="s">
        <v>446</v>
      </c>
      <c r="G2448" s="13">
        <v>407.0</v>
      </c>
      <c r="H2448" s="13">
        <v>43.0</v>
      </c>
      <c r="I2448" s="13">
        <v>2.0</v>
      </c>
      <c r="J2448" s="13">
        <v>0.0</v>
      </c>
      <c r="K2448" s="12" t="s">
        <v>21</v>
      </c>
      <c r="L2448" s="7">
        <v>42228.35309027778</v>
      </c>
      <c r="M2448" s="16"/>
      <c r="N2448" s="14" t="s">
        <v>7430</v>
      </c>
      <c r="O2448" s="11" t="str">
        <f>HYPERLINK("https://pbs.twimg.com/profile_images/631488083863584769/gDqhLdAL_normal.png","View")</f>
        <v>View</v>
      </c>
      <c r="P2448" s="15"/>
    </row>
    <row r="2449">
      <c r="A2449" s="7">
        <v>42425.55048611111</v>
      </c>
      <c r="B2449" s="8" t="str">
        <f>HYPERLINK("https://twitter.com/Barkerjas","@Barkerjas")</f>
        <v>@Barkerjas</v>
      </c>
      <c r="C2449" s="10" t="s">
        <v>9871</v>
      </c>
      <c r="D2449" s="10" t="s">
        <v>10517</v>
      </c>
      <c r="E2449" s="11" t="str">
        <f>HYPERLINK("https://twitter.com/Barkerjas/status/702964461372506112","702964461372506112")</f>
        <v>702964461372506112</v>
      </c>
      <c r="F2449" s="12" t="s">
        <v>20</v>
      </c>
      <c r="G2449" s="13">
        <v>239.0</v>
      </c>
      <c r="H2449" s="13">
        <v>692.0</v>
      </c>
      <c r="I2449" s="13">
        <v>2.0</v>
      </c>
      <c r="J2449" s="13">
        <v>0.0</v>
      </c>
      <c r="K2449" s="12" t="s">
        <v>21</v>
      </c>
      <c r="L2449" s="7">
        <v>41087.42030092592</v>
      </c>
      <c r="M2449" s="14" t="s">
        <v>9872</v>
      </c>
      <c r="N2449" s="14" t="s">
        <v>9873</v>
      </c>
      <c r="O2449" s="11" t="str">
        <f>HYPERLINK("https://pbs.twimg.com/profile_images/643803597218541568/3og7H0Xq_normal.jpg","View")</f>
        <v>View</v>
      </c>
      <c r="P2449" s="15"/>
    </row>
    <row r="2450">
      <c r="A2450" s="7">
        <v>42425.55071759259</v>
      </c>
      <c r="B2450" s="8" t="str">
        <f>HYPERLINK("https://twitter.com/hadleywickham","@hadleywickham")</f>
        <v>@hadleywickham</v>
      </c>
      <c r="C2450" s="10" t="s">
        <v>6659</v>
      </c>
      <c r="D2450" s="10" t="s">
        <v>10455</v>
      </c>
      <c r="E2450" s="11" t="str">
        <f>HYPERLINK("https://twitter.com/hadleywickham/status/702964544881061888","702964544881061888")</f>
        <v>702964544881061888</v>
      </c>
      <c r="F2450" s="12" t="s">
        <v>1082</v>
      </c>
      <c r="G2450" s="13">
        <v>24816.0</v>
      </c>
      <c r="H2450" s="13">
        <v>244.0</v>
      </c>
      <c r="I2450" s="13">
        <v>22.0</v>
      </c>
      <c r="J2450" s="13">
        <v>0.0</v>
      </c>
      <c r="K2450" s="12" t="s">
        <v>21</v>
      </c>
      <c r="L2450" s="7">
        <v>40051.69081018519</v>
      </c>
      <c r="M2450" s="14" t="s">
        <v>719</v>
      </c>
      <c r="N2450" s="14" t="s">
        <v>6661</v>
      </c>
      <c r="O2450" s="11" t="str">
        <f>HYPERLINK("https://pbs.twimg.com/profile_images/677589103710306304/m56O6Wgf_normal.jpg","View")</f>
        <v>View</v>
      </c>
      <c r="P2450" s="15"/>
    </row>
    <row r="2451">
      <c r="A2451" s="7">
        <v>42425.55111111111</v>
      </c>
      <c r="B2451" s="8" t="str">
        <f>HYPERLINK("https://twitter.com/Old_dusty_","@Old_dusty_")</f>
        <v>@Old_dusty_</v>
      </c>
      <c r="C2451" s="10" t="s">
        <v>10518</v>
      </c>
      <c r="D2451" s="10" t="s">
        <v>10455</v>
      </c>
      <c r="E2451" s="11" t="str">
        <f>HYPERLINK("https://twitter.com/Old_dusty_/status/702964687000875009","702964687000875009")</f>
        <v>702964687000875009</v>
      </c>
      <c r="F2451" s="12" t="s">
        <v>20</v>
      </c>
      <c r="G2451" s="13">
        <v>45.0</v>
      </c>
      <c r="H2451" s="13">
        <v>126.0</v>
      </c>
      <c r="I2451" s="13">
        <v>22.0</v>
      </c>
      <c r="J2451" s="13">
        <v>0.0</v>
      </c>
      <c r="K2451" s="12" t="s">
        <v>21</v>
      </c>
      <c r="L2451" s="7">
        <v>41841.44726851852</v>
      </c>
      <c r="M2451" s="14" t="s">
        <v>10519</v>
      </c>
      <c r="N2451" s="14" t="s">
        <v>10520</v>
      </c>
      <c r="O2451" s="11" t="str">
        <f>HYPERLINK("https://pbs.twimg.com/profile_images/574060489681989634/mObicl1o_normal.jpeg","View")</f>
        <v>View</v>
      </c>
      <c r="P2451" s="15"/>
    </row>
    <row r="2452">
      <c r="A2452" s="7">
        <v>42425.55142361111</v>
      </c>
      <c r="B2452" s="8" t="str">
        <f t="shared" ref="B2452:B2453" si="257">HYPERLINK("https://twitter.com/tripartio","@tripartio")</f>
        <v>@tripartio</v>
      </c>
      <c r="C2452" s="10" t="s">
        <v>6827</v>
      </c>
      <c r="D2452" s="10" t="s">
        <v>10521</v>
      </c>
      <c r="E2452" s="11" t="str">
        <f>HYPERLINK("https://twitter.com/tripartio/status/702964801320964096","702964801320964096")</f>
        <v>702964801320964096</v>
      </c>
      <c r="F2452" s="12" t="s">
        <v>20</v>
      </c>
      <c r="G2452" s="13">
        <v>33.0</v>
      </c>
      <c r="H2452" s="13">
        <v>64.0</v>
      </c>
      <c r="I2452" s="13">
        <v>1.0</v>
      </c>
      <c r="J2452" s="13">
        <v>0.0</v>
      </c>
      <c r="K2452" s="12" t="s">
        <v>21</v>
      </c>
      <c r="L2452" s="7">
        <v>41946.83112268519</v>
      </c>
      <c r="M2452" s="14" t="s">
        <v>1806</v>
      </c>
      <c r="N2452" s="14" t="s">
        <v>6829</v>
      </c>
      <c r="O2452" s="11" t="str">
        <f t="shared" ref="O2452:O2453" si="258">HYPERLINK("https://pbs.twimg.com/profile_images/529482878543867904/H-UGY1d0_normal.png","View")</f>
        <v>View</v>
      </c>
      <c r="P2452" s="15"/>
    </row>
    <row r="2453">
      <c r="A2453" s="7">
        <v>42425.552395833336</v>
      </c>
      <c r="B2453" s="8" t="str">
        <f t="shared" si="257"/>
        <v>@tripartio</v>
      </c>
      <c r="C2453" s="10" t="s">
        <v>6827</v>
      </c>
      <c r="D2453" s="10" t="s">
        <v>10522</v>
      </c>
      <c r="E2453" s="11" t="str">
        <f>HYPERLINK("https://twitter.com/tripartio/status/702965151352360961","702965151352360961")</f>
        <v>702965151352360961</v>
      </c>
      <c r="F2453" s="12" t="s">
        <v>20</v>
      </c>
      <c r="G2453" s="13">
        <v>33.0</v>
      </c>
      <c r="H2453" s="13">
        <v>64.0</v>
      </c>
      <c r="I2453" s="13">
        <v>0.0</v>
      </c>
      <c r="J2453" s="13">
        <v>0.0</v>
      </c>
      <c r="K2453" s="12" t="s">
        <v>21</v>
      </c>
      <c r="L2453" s="7">
        <v>41946.83112268519</v>
      </c>
      <c r="M2453" s="14" t="s">
        <v>1806</v>
      </c>
      <c r="N2453" s="14" t="s">
        <v>6829</v>
      </c>
      <c r="O2453" s="11" t="str">
        <f t="shared" si="258"/>
        <v>View</v>
      </c>
      <c r="P2453" s="15"/>
    </row>
    <row r="2454">
      <c r="A2454" s="7">
        <v>42425.55704861111</v>
      </c>
      <c r="B2454" s="8" t="str">
        <f>HYPERLINK("https://twitter.com/MedMen_BeardBoy","@MedMen_BeardBoy")</f>
        <v>@MedMen_BeardBoy</v>
      </c>
      <c r="C2454" s="10" t="s">
        <v>10523</v>
      </c>
      <c r="D2454" s="10" t="s">
        <v>10310</v>
      </c>
      <c r="E2454" s="11" t="str">
        <f>HYPERLINK("https://twitter.com/MedMen_BeardBoy/status/702966839773523969","702966839773523969")</f>
        <v>702966839773523969</v>
      </c>
      <c r="F2454" s="12" t="s">
        <v>20</v>
      </c>
      <c r="G2454" s="13">
        <v>73.0</v>
      </c>
      <c r="H2454" s="13">
        <v>101.0</v>
      </c>
      <c r="I2454" s="13">
        <v>6.0</v>
      </c>
      <c r="J2454" s="13">
        <v>0.0</v>
      </c>
      <c r="K2454" s="12" t="s">
        <v>21</v>
      </c>
      <c r="L2454" s="7">
        <v>41092.481261574074</v>
      </c>
      <c r="M2454" s="14" t="s">
        <v>10524</v>
      </c>
      <c r="N2454" s="14" t="s">
        <v>10525</v>
      </c>
      <c r="O2454" s="11" t="str">
        <f>HYPERLINK("https://pbs.twimg.com/profile_images/596703777828122624/PF2RaSiQ_normal.png","View")</f>
        <v>View</v>
      </c>
      <c r="P2454" s="15"/>
    </row>
    <row r="2455">
      <c r="A2455" s="7">
        <v>42425.55847222223</v>
      </c>
      <c r="B2455" s="8" t="str">
        <f>HYPERLINK("https://twitter.com/atiretoo","@atiretoo")</f>
        <v>@atiretoo</v>
      </c>
      <c r="C2455" s="10" t="s">
        <v>8193</v>
      </c>
      <c r="D2455" s="10" t="s">
        <v>10455</v>
      </c>
      <c r="E2455" s="11" t="str">
        <f>HYPERLINK("https://twitter.com/atiretoo/status/702967355022790659","702967355022790659")</f>
        <v>702967355022790659</v>
      </c>
      <c r="F2455" s="12" t="s">
        <v>52</v>
      </c>
      <c r="G2455" s="13">
        <v>77.0</v>
      </c>
      <c r="H2455" s="13">
        <v>172.0</v>
      </c>
      <c r="I2455" s="13">
        <v>22.0</v>
      </c>
      <c r="J2455" s="13">
        <v>0.0</v>
      </c>
      <c r="K2455" s="12" t="s">
        <v>21</v>
      </c>
      <c r="L2455" s="7">
        <v>39794.534363425926</v>
      </c>
      <c r="M2455" s="14" t="s">
        <v>8194</v>
      </c>
      <c r="N2455" s="14" t="s">
        <v>8195</v>
      </c>
      <c r="O2455" s="11" t="str">
        <f>HYPERLINK("https://pbs.twimg.com/profile_images/591269568506531840/Xk6GaBN0_normal.jpg","View")</f>
        <v>View</v>
      </c>
      <c r="P2455" s="15"/>
    </row>
    <row r="2456">
      <c r="A2456" s="7">
        <v>42425.560011574074</v>
      </c>
      <c r="B2456" s="8" t="str">
        <f>HYPERLINK("https://twitter.com/ekonometrinedir","@ekonometrinedir")</f>
        <v>@ekonometrinedir</v>
      </c>
      <c r="C2456" s="10" t="s">
        <v>8904</v>
      </c>
      <c r="D2456" s="10" t="s">
        <v>10310</v>
      </c>
      <c r="E2456" s="11" t="str">
        <f>HYPERLINK("https://twitter.com/ekonometrinedir/status/702967913158991872","702967913158991872")</f>
        <v>702967913158991872</v>
      </c>
      <c r="F2456" s="12" t="s">
        <v>20</v>
      </c>
      <c r="G2456" s="13">
        <v>542.0</v>
      </c>
      <c r="H2456" s="13">
        <v>221.0</v>
      </c>
      <c r="I2456" s="13">
        <v>6.0</v>
      </c>
      <c r="J2456" s="13">
        <v>0.0</v>
      </c>
      <c r="K2456" s="12" t="s">
        <v>21</v>
      </c>
      <c r="L2456" s="7">
        <v>42060.07172453703</v>
      </c>
      <c r="M2456" s="16"/>
      <c r="N2456" s="14" t="s">
        <v>8905</v>
      </c>
      <c r="O2456" s="11" t="str">
        <f>HYPERLINK("https://pbs.twimg.com/profile_images/584116464392671232/6hJxtC1s_normal.jpg","View")</f>
        <v>View</v>
      </c>
      <c r="P2456" s="15"/>
    </row>
    <row r="2457">
      <c r="A2457" s="7">
        <v>42425.561840277776</v>
      </c>
      <c r="B2457" s="8" t="str">
        <f t="shared" ref="B2457:B2458" si="259">HYPERLINK("https://twitter.com/timelyportfolio","@timelyportfolio")</f>
        <v>@timelyportfolio</v>
      </c>
      <c r="C2457" s="10" t="s">
        <v>3698</v>
      </c>
      <c r="D2457" s="10" t="s">
        <v>10526</v>
      </c>
      <c r="E2457" s="11" t="str">
        <f>HYPERLINK("https://twitter.com/timelyportfolio/status/702968575011766277","702968575011766277")</f>
        <v>702968575011766277</v>
      </c>
      <c r="F2457" s="12" t="s">
        <v>20</v>
      </c>
      <c r="G2457" s="13">
        <v>1875.0</v>
      </c>
      <c r="H2457" s="13">
        <v>2248.0</v>
      </c>
      <c r="I2457" s="13">
        <v>13.0</v>
      </c>
      <c r="J2457" s="13">
        <v>0.0</v>
      </c>
      <c r="K2457" s="12" t="s">
        <v>21</v>
      </c>
      <c r="L2457" s="7">
        <v>40573.86280092593</v>
      </c>
      <c r="M2457" s="14" t="s">
        <v>3700</v>
      </c>
      <c r="N2457" s="14" t="s">
        <v>3701</v>
      </c>
      <c r="O2457" s="11" t="str">
        <f t="shared" ref="O2457:O2458" si="260">HYPERLINK("https://pbs.twimg.com/profile_images/2198946077/image_normal.jpg","View")</f>
        <v>View</v>
      </c>
      <c r="P2457" s="15"/>
    </row>
    <row r="2458">
      <c r="A2458" s="7">
        <v>42425.56326388889</v>
      </c>
      <c r="B2458" s="8" t="str">
        <f t="shared" si="259"/>
        <v>@timelyportfolio</v>
      </c>
      <c r="C2458" s="10" t="s">
        <v>3698</v>
      </c>
      <c r="D2458" s="10" t="s">
        <v>10527</v>
      </c>
      <c r="E2458" s="11" t="str">
        <f>HYPERLINK("https://twitter.com/timelyportfolio/status/702969092706324480","702969092706324480")</f>
        <v>702969092706324480</v>
      </c>
      <c r="F2458" s="12" t="s">
        <v>20</v>
      </c>
      <c r="G2458" s="13">
        <v>1875.0</v>
      </c>
      <c r="H2458" s="13">
        <v>2248.0</v>
      </c>
      <c r="I2458" s="13">
        <v>3.0</v>
      </c>
      <c r="J2458" s="13">
        <v>0.0</v>
      </c>
      <c r="K2458" s="12" t="s">
        <v>21</v>
      </c>
      <c r="L2458" s="7">
        <v>40573.86280092593</v>
      </c>
      <c r="M2458" s="14" t="s">
        <v>3700</v>
      </c>
      <c r="N2458" s="14" t="s">
        <v>3701</v>
      </c>
      <c r="O2458" s="11" t="str">
        <f t="shared" si="260"/>
        <v>View</v>
      </c>
      <c r="P2458" s="15"/>
    </row>
    <row r="2459">
      <c r="A2459" s="7">
        <v>42425.56407407408</v>
      </c>
      <c r="B2459" s="8" t="str">
        <f>HYPERLINK("https://twitter.com/Gaming_Dude","@Gaming_Dude")</f>
        <v>@Gaming_Dude</v>
      </c>
      <c r="C2459" s="10" t="s">
        <v>8586</v>
      </c>
      <c r="D2459" s="10" t="s">
        <v>10526</v>
      </c>
      <c r="E2459" s="11" t="str">
        <f>HYPERLINK("https://twitter.com/Gaming_Dude/status/702969383736483842","702969383736483842")</f>
        <v>702969383736483842</v>
      </c>
      <c r="F2459" s="12" t="s">
        <v>1082</v>
      </c>
      <c r="G2459" s="13">
        <v>451.0</v>
      </c>
      <c r="H2459" s="13">
        <v>470.0</v>
      </c>
      <c r="I2459" s="13">
        <v>13.0</v>
      </c>
      <c r="J2459" s="13">
        <v>0.0</v>
      </c>
      <c r="K2459" s="12" t="s">
        <v>21</v>
      </c>
      <c r="L2459" s="7">
        <v>40554.063321759255</v>
      </c>
      <c r="M2459" s="16"/>
      <c r="N2459" s="14" t="s">
        <v>8587</v>
      </c>
      <c r="O2459" s="11" t="str">
        <f>HYPERLINK("https://pbs.twimg.com/profile_images/695667728963735553/Afz2sro2_normal.jpg","View")</f>
        <v>View</v>
      </c>
      <c r="P2459" s="15"/>
    </row>
    <row r="2460">
      <c r="A2460" s="7">
        <v>42425.56741898148</v>
      </c>
      <c r="B2460" s="8" t="str">
        <f>HYPERLINK("https://twitter.com/AUS_2005","@AUS_2005")</f>
        <v>@AUS_2005</v>
      </c>
      <c r="C2460" s="20" t="s">
        <v>10094</v>
      </c>
      <c r="D2460" s="10" t="s">
        <v>10461</v>
      </c>
      <c r="E2460" s="11" t="str">
        <f>HYPERLINK("https://twitter.com/AUS_2005/status/702970598155091968","702970598155091968")</f>
        <v>702970598155091968</v>
      </c>
      <c r="F2460" s="12" t="s">
        <v>52</v>
      </c>
      <c r="G2460" s="13">
        <v>137.0</v>
      </c>
      <c r="H2460" s="13">
        <v>43.0</v>
      </c>
      <c r="I2460" s="13">
        <v>6.0</v>
      </c>
      <c r="J2460" s="13">
        <v>0.0</v>
      </c>
      <c r="K2460" s="12" t="s">
        <v>21</v>
      </c>
      <c r="L2460" s="7">
        <v>41812.408680555556</v>
      </c>
      <c r="M2460" s="14" t="s">
        <v>10096</v>
      </c>
      <c r="N2460" s="21" t="s">
        <v>10097</v>
      </c>
      <c r="O2460" s="11" t="str">
        <f>HYPERLINK("https://pbs.twimg.com/profile_images/698434154690523136/jnvUhsjI_normal.jpg","View")</f>
        <v>View</v>
      </c>
      <c r="P2460" s="15"/>
    </row>
    <row r="2461">
      <c r="A2461" s="7">
        <v>42425.569143518514</v>
      </c>
      <c r="B2461" s="8" t="str">
        <f>HYPERLINK("https://twitter.com/HPDSLab","@HPDSLab")</f>
        <v>@HPDSLab</v>
      </c>
      <c r="C2461" s="10" t="s">
        <v>10528</v>
      </c>
      <c r="D2461" s="10" t="s">
        <v>10529</v>
      </c>
      <c r="E2461" s="11" t="str">
        <f>HYPERLINK("https://twitter.com/HPDSLab/status/702971223429488640","702971223429488640")</f>
        <v>702971223429488640</v>
      </c>
      <c r="F2461" s="12" t="s">
        <v>52</v>
      </c>
      <c r="G2461" s="13">
        <v>229.0</v>
      </c>
      <c r="H2461" s="13">
        <v>96.0</v>
      </c>
      <c r="I2461" s="13">
        <v>2.0</v>
      </c>
      <c r="J2461" s="13">
        <v>0.0</v>
      </c>
      <c r="K2461" s="12" t="s">
        <v>21</v>
      </c>
      <c r="L2461" s="7">
        <v>42164.85962962963</v>
      </c>
      <c r="M2461" s="14" t="s">
        <v>332</v>
      </c>
      <c r="N2461" s="14" t="s">
        <v>10530</v>
      </c>
      <c r="O2461" s="11" t="str">
        <f>HYPERLINK("https://pbs.twimg.com/profile_images/608482685124796416/97T29djZ_normal.jpg","View")</f>
        <v>View</v>
      </c>
      <c r="P2461" s="15"/>
    </row>
    <row r="2462">
      <c r="A2462" s="7">
        <v>42425.569375</v>
      </c>
      <c r="B2462" s="8" t="str">
        <f>HYPERLINK("https://twitter.com/sudo_f","@sudo_f")</f>
        <v>@sudo_f</v>
      </c>
      <c r="C2462" s="10" t="s">
        <v>10531</v>
      </c>
      <c r="D2462" s="10" t="s">
        <v>10428</v>
      </c>
      <c r="E2462" s="11" t="str">
        <f>HYPERLINK("https://twitter.com/sudo_f/status/702971304190861314","702971304190861314")</f>
        <v>702971304190861314</v>
      </c>
      <c r="F2462" s="12" t="s">
        <v>20</v>
      </c>
      <c r="G2462" s="13">
        <v>74.0</v>
      </c>
      <c r="H2462" s="13">
        <v>653.0</v>
      </c>
      <c r="I2462" s="13">
        <v>2.0</v>
      </c>
      <c r="J2462" s="13">
        <v>0.0</v>
      </c>
      <c r="K2462" s="12" t="s">
        <v>21</v>
      </c>
      <c r="L2462" s="7">
        <v>39992.09784722222</v>
      </c>
      <c r="M2462" s="14" t="s">
        <v>4364</v>
      </c>
      <c r="N2462" s="14" t="s">
        <v>10532</v>
      </c>
      <c r="O2462" s="11" t="str">
        <f>HYPERLINK("https://pbs.twimg.com/profile_images/472056112930254848/vdsQnhyD_normal.png","View")</f>
        <v>View</v>
      </c>
      <c r="P2462" s="15"/>
    </row>
    <row r="2463">
      <c r="A2463" s="7">
        <v>42425.570381944446</v>
      </c>
      <c r="B2463" s="8" t="str">
        <f t="shared" ref="B2463:B2464" si="261">HYPERLINK("https://twitter.com/jrdnmdhl","@jrdnmdhl")</f>
        <v>@jrdnmdhl</v>
      </c>
      <c r="C2463" s="10" t="s">
        <v>8749</v>
      </c>
      <c r="D2463" s="10" t="s">
        <v>10527</v>
      </c>
      <c r="E2463" s="11" t="str">
        <f>HYPERLINK("https://twitter.com/jrdnmdhl/status/702971671876145152","702971671876145152")</f>
        <v>702971671876145152</v>
      </c>
      <c r="F2463" s="12" t="s">
        <v>20</v>
      </c>
      <c r="G2463" s="13">
        <v>47.0</v>
      </c>
      <c r="H2463" s="13">
        <v>226.0</v>
      </c>
      <c r="I2463" s="13">
        <v>3.0</v>
      </c>
      <c r="J2463" s="13">
        <v>0.0</v>
      </c>
      <c r="K2463" s="12" t="s">
        <v>21</v>
      </c>
      <c r="L2463" s="7">
        <v>42378.92321759259</v>
      </c>
      <c r="M2463" s="14" t="s">
        <v>8751</v>
      </c>
      <c r="N2463" s="14" t="s">
        <v>8752</v>
      </c>
      <c r="O2463" s="11" t="str">
        <f t="shared" ref="O2463:O2464" si="262">HYPERLINK("https://pbs.twimg.com/profile_images/686829356220608512/Xvuztyrm_normal.jpg","View")</f>
        <v>View</v>
      </c>
      <c r="P2463" s="15"/>
    </row>
    <row r="2464">
      <c r="A2464" s="7">
        <v>42425.57053240741</v>
      </c>
      <c r="B2464" s="8" t="str">
        <f t="shared" si="261"/>
        <v>@jrdnmdhl</v>
      </c>
      <c r="C2464" s="10" t="s">
        <v>8749</v>
      </c>
      <c r="D2464" s="10" t="s">
        <v>10526</v>
      </c>
      <c r="E2464" s="11" t="str">
        <f>HYPERLINK("https://twitter.com/jrdnmdhl/status/702971725940715520","702971725940715520")</f>
        <v>702971725940715520</v>
      </c>
      <c r="F2464" s="12" t="s">
        <v>20</v>
      </c>
      <c r="G2464" s="13">
        <v>47.0</v>
      </c>
      <c r="H2464" s="13">
        <v>226.0</v>
      </c>
      <c r="I2464" s="13">
        <v>13.0</v>
      </c>
      <c r="J2464" s="13">
        <v>0.0</v>
      </c>
      <c r="K2464" s="12" t="s">
        <v>21</v>
      </c>
      <c r="L2464" s="7">
        <v>42378.92321759259</v>
      </c>
      <c r="M2464" s="14" t="s">
        <v>8751</v>
      </c>
      <c r="N2464" s="14" t="s">
        <v>8752</v>
      </c>
      <c r="O2464" s="11" t="str">
        <f t="shared" si="262"/>
        <v>View</v>
      </c>
      <c r="P2464" s="15"/>
    </row>
    <row r="2465">
      <c r="A2465" s="7">
        <v>42425.572222222225</v>
      </c>
      <c r="B2465" s="8" t="str">
        <f>HYPERLINK("https://twitter.com/pdalgd","@pdalgd")</f>
        <v>@pdalgd</v>
      </c>
      <c r="C2465" s="10" t="s">
        <v>6306</v>
      </c>
      <c r="D2465" s="10" t="s">
        <v>10533</v>
      </c>
      <c r="E2465" s="11" t="str">
        <f>HYPERLINK("https://twitter.com/pdalgd/status/702972335847038976","702972335847038976")</f>
        <v>702972335847038976</v>
      </c>
      <c r="F2465" s="12" t="s">
        <v>20</v>
      </c>
      <c r="G2465" s="13">
        <v>57.0</v>
      </c>
      <c r="H2465" s="13">
        <v>8.0</v>
      </c>
      <c r="I2465" s="13">
        <v>0.0</v>
      </c>
      <c r="J2465" s="13">
        <v>1.0</v>
      </c>
      <c r="K2465" s="12" t="s">
        <v>21</v>
      </c>
      <c r="L2465" s="7">
        <v>41597.536898148144</v>
      </c>
      <c r="M2465" s="16"/>
      <c r="N2465" s="16"/>
      <c r="O2465" s="11" t="str">
        <f>HYPERLINK("https://pbs.twimg.com/profile_images/697868587130843136/9uZ8n-eM_normal.png","View")</f>
        <v>View</v>
      </c>
      <c r="P2465" s="15"/>
    </row>
    <row r="2466">
      <c r="A2466" s="7">
        <v>42425.572858796295</v>
      </c>
      <c r="B2466" s="8" t="str">
        <f>HYPERLINK("https://twitter.com/drob","@drob")</f>
        <v>@drob</v>
      </c>
      <c r="C2466" s="10" t="s">
        <v>7341</v>
      </c>
      <c r="D2466" s="10" t="s">
        <v>10526</v>
      </c>
      <c r="E2466" s="11" t="str">
        <f>HYPERLINK("https://twitter.com/drob/status/702972570077777920","702972570077777920")</f>
        <v>702972570077777920</v>
      </c>
      <c r="F2466" s="12" t="s">
        <v>20</v>
      </c>
      <c r="G2466" s="13">
        <v>2249.0</v>
      </c>
      <c r="H2466" s="13">
        <v>230.0</v>
      </c>
      <c r="I2466" s="13">
        <v>13.0</v>
      </c>
      <c r="J2466" s="13">
        <v>0.0</v>
      </c>
      <c r="K2466" s="12" t="s">
        <v>21</v>
      </c>
      <c r="L2466" s="7">
        <v>39974.65020833333</v>
      </c>
      <c r="M2466" s="14" t="s">
        <v>1018</v>
      </c>
      <c r="N2466" s="14" t="s">
        <v>7343</v>
      </c>
      <c r="O2466" s="11" t="str">
        <f>HYPERLINK("https://pbs.twimg.com/profile_images/777175344/David_Robinson_normal.jpg","View")</f>
        <v>View</v>
      </c>
      <c r="P2466" s="15"/>
    </row>
    <row r="2467">
      <c r="A2467" s="7">
        <v>42425.57299768519</v>
      </c>
      <c r="B2467" s="8" t="str">
        <f>HYPERLINK("https://twitter.com/Adam_Giambrone","@Adam_Giambrone")</f>
        <v>@Adam_Giambrone</v>
      </c>
      <c r="C2467" s="10" t="s">
        <v>10534</v>
      </c>
      <c r="D2467" s="10" t="s">
        <v>8334</v>
      </c>
      <c r="E2467" s="11" t="str">
        <f>HYPERLINK("https://twitter.com/Adam_Giambrone/status/702972617100304384","702972617100304384")</f>
        <v>702972617100304384</v>
      </c>
      <c r="F2467" s="12" t="s">
        <v>3408</v>
      </c>
      <c r="G2467" s="13">
        <v>9251.0</v>
      </c>
      <c r="H2467" s="13">
        <v>3167.0</v>
      </c>
      <c r="I2467" s="13">
        <v>33.0</v>
      </c>
      <c r="J2467" s="13">
        <v>0.0</v>
      </c>
      <c r="K2467" s="12" t="s">
        <v>21</v>
      </c>
      <c r="L2467" s="7">
        <v>39826.644062499996</v>
      </c>
      <c r="M2467" s="14" t="s">
        <v>10535</v>
      </c>
      <c r="N2467" s="14" t="s">
        <v>10536</v>
      </c>
      <c r="O2467" s="11" t="str">
        <f>HYPERLINK("https://pbs.twimg.com/profile_images/378800000250822054/b1c379cdfa353fe71fb8666b7aed66ac_normal.jpeg","View")</f>
        <v>View</v>
      </c>
      <c r="P2467" s="15"/>
    </row>
    <row r="2468">
      <c r="A2468" s="7">
        <v>42425.574583333335</v>
      </c>
      <c r="B2468" s="8" t="str">
        <f>HYPERLINK("https://twitter.com/sachsmc","@sachsmc")</f>
        <v>@sachsmc</v>
      </c>
      <c r="C2468" s="10" t="s">
        <v>10537</v>
      </c>
      <c r="D2468" s="10" t="s">
        <v>10538</v>
      </c>
      <c r="E2468" s="11" t="str">
        <f>HYPERLINK("https://twitter.com/sachsmc/status/702973191204028416","702973191204028416")</f>
        <v>702973191204028416</v>
      </c>
      <c r="F2468" s="12" t="s">
        <v>20</v>
      </c>
      <c r="G2468" s="13">
        <v>67.0</v>
      </c>
      <c r="H2468" s="13">
        <v>176.0</v>
      </c>
      <c r="I2468" s="13">
        <v>0.0</v>
      </c>
      <c r="J2468" s="13">
        <v>0.0</v>
      </c>
      <c r="K2468" s="12" t="s">
        <v>21</v>
      </c>
      <c r="L2468" s="7">
        <v>39953.39262731482</v>
      </c>
      <c r="M2468" s="14" t="s">
        <v>850</v>
      </c>
      <c r="N2468" s="14" t="s">
        <v>10539</v>
      </c>
      <c r="O2468" s="11" t="str">
        <f>HYPERLINK("https://pbs.twimg.com/profile_images/489837974398312448/1_cnxEgN_normal.jpeg","View")</f>
        <v>View</v>
      </c>
      <c r="P2468" s="15"/>
    </row>
    <row r="2469">
      <c r="A2469" s="7">
        <v>42425.575057870374</v>
      </c>
      <c r="B2469" s="8" t="str">
        <f>HYPERLINK("https://twitter.com/zevross","@zevross")</f>
        <v>@zevross</v>
      </c>
      <c r="C2469" s="10" t="s">
        <v>10244</v>
      </c>
      <c r="D2469" s="10" t="s">
        <v>10526</v>
      </c>
      <c r="E2469" s="11" t="str">
        <f>HYPERLINK("https://twitter.com/zevross/status/702973362994151424","702973362994151424")</f>
        <v>702973362994151424</v>
      </c>
      <c r="F2469" s="12" t="s">
        <v>20</v>
      </c>
      <c r="G2469" s="13">
        <v>1057.0</v>
      </c>
      <c r="H2469" s="13">
        <v>252.0</v>
      </c>
      <c r="I2469" s="13">
        <v>13.0</v>
      </c>
      <c r="J2469" s="13">
        <v>0.0</v>
      </c>
      <c r="K2469" s="12" t="s">
        <v>21</v>
      </c>
      <c r="L2469" s="7">
        <v>41543.571747685186</v>
      </c>
      <c r="M2469" s="14" t="s">
        <v>10246</v>
      </c>
      <c r="N2469" s="14" t="s">
        <v>10247</v>
      </c>
      <c r="O2469" s="11" t="str">
        <f>HYPERLINK("https://pbs.twimg.com/profile_images/573919346117861376/NGSVIgr__normal.png","View")</f>
        <v>View</v>
      </c>
      <c r="P2469" s="15"/>
    </row>
    <row r="2470">
      <c r="A2470" s="7">
        <v>42425.57508101852</v>
      </c>
      <c r="B2470" s="8" t="str">
        <f>HYPERLINK("https://twitter.com/fozy81","@fozy81")</f>
        <v>@fozy81</v>
      </c>
      <c r="C2470" s="10" t="s">
        <v>10540</v>
      </c>
      <c r="D2470" s="10" t="s">
        <v>10541</v>
      </c>
      <c r="E2470" s="11" t="str">
        <f>HYPERLINK("https://twitter.com/fozy81/status/702973371970134016","702973371970134016")</f>
        <v>702973371970134016</v>
      </c>
      <c r="F2470" s="12" t="s">
        <v>20</v>
      </c>
      <c r="G2470" s="13">
        <v>171.0</v>
      </c>
      <c r="H2470" s="13">
        <v>218.0</v>
      </c>
      <c r="I2470" s="13">
        <v>0.0</v>
      </c>
      <c r="J2470" s="13">
        <v>0.0</v>
      </c>
      <c r="K2470" s="12" t="s">
        <v>21</v>
      </c>
      <c r="L2470" s="7">
        <v>39964.41954861111</v>
      </c>
      <c r="M2470" s="14" t="s">
        <v>10542</v>
      </c>
      <c r="N2470" s="14" t="s">
        <v>10543</v>
      </c>
      <c r="O2470" s="11" t="str">
        <f>HYPERLINK("https://pbs.twimg.com/profile_images/561511326673944576/5zqhDp1u_normal.png","View")</f>
        <v>View</v>
      </c>
      <c r="P2470" s="15"/>
    </row>
    <row r="2471">
      <c r="A2471" s="7">
        <v>42425.57935185185</v>
      </c>
      <c r="B2471" s="8" t="str">
        <f>HYPERLINK("https://twitter.com/m_cerullo","@m_cerullo")</f>
        <v>@m_cerullo</v>
      </c>
      <c r="C2471" s="10" t="s">
        <v>10544</v>
      </c>
      <c r="D2471" s="10" t="s">
        <v>10526</v>
      </c>
      <c r="E2471" s="11" t="str">
        <f>HYPERLINK("https://twitter.com/m_cerullo/status/702974920486227969","702974920486227969")</f>
        <v>702974920486227969</v>
      </c>
      <c r="F2471" s="12" t="s">
        <v>52</v>
      </c>
      <c r="G2471" s="13">
        <v>41.0</v>
      </c>
      <c r="H2471" s="13">
        <v>186.0</v>
      </c>
      <c r="I2471" s="13">
        <v>13.0</v>
      </c>
      <c r="J2471" s="13">
        <v>0.0</v>
      </c>
      <c r="K2471" s="12" t="s">
        <v>21</v>
      </c>
      <c r="L2471" s="7">
        <v>41639.76226851852</v>
      </c>
      <c r="M2471" s="14" t="s">
        <v>7394</v>
      </c>
      <c r="N2471" s="14" t="s">
        <v>10545</v>
      </c>
      <c r="O2471" s="11" t="str">
        <f>HYPERLINK("https://pbs.twimg.com/profile_images/592443427364679680/O8dFPfRx_normal.jpg","View")</f>
        <v>View</v>
      </c>
      <c r="P2471" s="15"/>
    </row>
    <row r="2472">
      <c r="A2472" s="7">
        <v>42425.581782407404</v>
      </c>
      <c r="B2472" s="8" t="str">
        <f>HYPERLINK("https://twitter.com/mrwidmann","@mrwidmann")</f>
        <v>@mrwidmann</v>
      </c>
      <c r="C2472" s="10" t="s">
        <v>9220</v>
      </c>
      <c r="D2472" s="10" t="s">
        <v>10526</v>
      </c>
      <c r="E2472" s="11" t="str">
        <f>HYPERLINK("https://twitter.com/mrwidmann/status/702975799989825539","702975799989825539")</f>
        <v>702975799989825539</v>
      </c>
      <c r="F2472" s="12" t="s">
        <v>20</v>
      </c>
      <c r="G2472" s="13">
        <v>28.0</v>
      </c>
      <c r="H2472" s="13">
        <v>91.0</v>
      </c>
      <c r="I2472" s="13">
        <v>13.0</v>
      </c>
      <c r="J2472" s="13">
        <v>0.0</v>
      </c>
      <c r="K2472" s="12" t="s">
        <v>21</v>
      </c>
      <c r="L2472" s="7">
        <v>42390.33917824074</v>
      </c>
      <c r="M2472" s="16"/>
      <c r="N2472" s="14" t="s">
        <v>9221</v>
      </c>
      <c r="O2472" s="11" t="str">
        <f>HYPERLINK("https://pbs.twimg.com/profile_images/690204746066595840/N3OLEoqP_normal.jpg","View")</f>
        <v>View</v>
      </c>
      <c r="P2472" s="15"/>
    </row>
    <row r="2473">
      <c r="A2473" s="7">
        <v>42425.581921296296</v>
      </c>
      <c r="B2473" s="8" t="str">
        <f>HYPERLINK("https://twitter.com/millerdl","@millerdl")</f>
        <v>@millerdl</v>
      </c>
      <c r="C2473" s="10" t="s">
        <v>8553</v>
      </c>
      <c r="D2473" s="10" t="s">
        <v>10546</v>
      </c>
      <c r="E2473" s="11" t="str">
        <f>HYPERLINK("https://twitter.com/millerdl/status/702975853588832256","702975853588832256")</f>
        <v>702975853588832256</v>
      </c>
      <c r="F2473" s="12" t="s">
        <v>8554</v>
      </c>
      <c r="G2473" s="13">
        <v>647.0</v>
      </c>
      <c r="H2473" s="13">
        <v>348.0</v>
      </c>
      <c r="I2473" s="13">
        <v>0.0</v>
      </c>
      <c r="J2473" s="13">
        <v>7.0</v>
      </c>
      <c r="K2473" s="12" t="s">
        <v>21</v>
      </c>
      <c r="L2473" s="7">
        <v>39517.686377314814</v>
      </c>
      <c r="M2473" s="14" t="s">
        <v>8555</v>
      </c>
      <c r="N2473" s="14" t="s">
        <v>8556</v>
      </c>
      <c r="O2473" s="11" t="str">
        <f>HYPERLINK("https://pbs.twimg.com/profile_images/683731282497552384/a0zG5d-P_normal.jpg","View")</f>
        <v>View</v>
      </c>
      <c r="P2473" s="15"/>
    </row>
    <row r="2474">
      <c r="A2474" s="7">
        <v>42425.58283564815</v>
      </c>
      <c r="B2474" s="8" t="str">
        <f>HYPERLINK("https://twitter.com/sdwfrost","@sdwfrost")</f>
        <v>@sdwfrost</v>
      </c>
      <c r="C2474" s="10" t="s">
        <v>6863</v>
      </c>
      <c r="D2474" s="10" t="s">
        <v>10526</v>
      </c>
      <c r="E2474" s="11" t="str">
        <f>HYPERLINK("https://twitter.com/sdwfrost/status/702976184792047616","702976184792047616")</f>
        <v>702976184792047616</v>
      </c>
      <c r="F2474" s="12" t="s">
        <v>152</v>
      </c>
      <c r="G2474" s="13">
        <v>342.0</v>
      </c>
      <c r="H2474" s="13">
        <v>471.0</v>
      </c>
      <c r="I2474" s="13">
        <v>13.0</v>
      </c>
      <c r="J2474" s="13">
        <v>0.0</v>
      </c>
      <c r="K2474" s="12" t="s">
        <v>21</v>
      </c>
      <c r="L2474" s="7">
        <v>41157.04056712963</v>
      </c>
      <c r="M2474" s="14" t="s">
        <v>6865</v>
      </c>
      <c r="N2474" s="14" t="s">
        <v>6866</v>
      </c>
      <c r="O2474" s="11" t="str">
        <f>HYPERLINK("https://pbs.twimg.com/profile_images/441946214297108480/8IYxGQ3d_normal.jpeg","View")</f>
        <v>View</v>
      </c>
      <c r="P2474" s="15"/>
    </row>
    <row r="2475">
      <c r="A2475" s="7">
        <v>42425.58299768518</v>
      </c>
      <c r="B2475" s="8" t="str">
        <f>HYPERLINK("https://twitter.com/piccolomud","@piccolomud")</f>
        <v>@piccolomud</v>
      </c>
      <c r="C2475" s="10" t="s">
        <v>3657</v>
      </c>
      <c r="D2475" s="10" t="s">
        <v>10455</v>
      </c>
      <c r="E2475" s="11" t="str">
        <f>HYPERLINK("https://twitter.com/piccolomud/status/702976242065100800","702976242065100800")</f>
        <v>702976242065100800</v>
      </c>
      <c r="F2475" s="12" t="s">
        <v>152</v>
      </c>
      <c r="G2475" s="13">
        <v>189.0</v>
      </c>
      <c r="H2475" s="13">
        <v>492.0</v>
      </c>
      <c r="I2475" s="13">
        <v>22.0</v>
      </c>
      <c r="J2475" s="13">
        <v>0.0</v>
      </c>
      <c r="K2475" s="12" t="s">
        <v>21</v>
      </c>
      <c r="L2475" s="7">
        <v>42247.26695601852</v>
      </c>
      <c r="M2475" s="14" t="s">
        <v>2913</v>
      </c>
      <c r="N2475" s="14" t="s">
        <v>3659</v>
      </c>
      <c r="O2475" s="11" t="str">
        <f>HYPERLINK("https://pbs.twimg.com/profile_images/638343349523484672/kAVX2NOH_normal.png","View")</f>
        <v>View</v>
      </c>
      <c r="P2475" s="15"/>
    </row>
    <row r="2476">
      <c r="A2476" s="7">
        <v>42425.5835300926</v>
      </c>
      <c r="B2476" s="8" t="str">
        <f t="shared" ref="B2476:B2478" si="263">HYPERLINK("https://twitter.com/Rbloggers","@Rbloggers")</f>
        <v>@Rbloggers</v>
      </c>
      <c r="C2476" s="10" t="s">
        <v>6221</v>
      </c>
      <c r="D2476" s="10" t="s">
        <v>10547</v>
      </c>
      <c r="E2476" s="11" t="str">
        <f>HYPERLINK("https://twitter.com/Rbloggers/status/702976436261380097","702976436261380097")</f>
        <v>702976436261380097</v>
      </c>
      <c r="F2476" s="17" t="s">
        <v>6223</v>
      </c>
      <c r="G2476" s="13">
        <v>28572.0</v>
      </c>
      <c r="H2476" s="13">
        <v>36.0</v>
      </c>
      <c r="I2476" s="13">
        <v>11.0</v>
      </c>
      <c r="J2476" s="13">
        <v>15.0</v>
      </c>
      <c r="K2476" s="12" t="s">
        <v>21</v>
      </c>
      <c r="L2476" s="7">
        <v>40314.510601851856</v>
      </c>
      <c r="M2476" s="16"/>
      <c r="N2476" s="14" t="s">
        <v>6224</v>
      </c>
      <c r="O2476" s="11" t="str">
        <f t="shared" ref="O2476:O2478" si="264">HYPERLINK("https://pbs.twimg.com/profile_images/502185985786916864/gkdFh-q7_normal.png","View")</f>
        <v>View</v>
      </c>
      <c r="P2476" s="15"/>
    </row>
    <row r="2477">
      <c r="A2477" s="7">
        <v>42425.58361111111</v>
      </c>
      <c r="B2477" s="8" t="str">
        <f t="shared" si="263"/>
        <v>@Rbloggers</v>
      </c>
      <c r="C2477" s="10" t="s">
        <v>6221</v>
      </c>
      <c r="D2477" s="10" t="s">
        <v>10548</v>
      </c>
      <c r="E2477" s="11" t="str">
        <f>HYPERLINK("https://twitter.com/Rbloggers/status/702976465441132545","702976465441132545")</f>
        <v>702976465441132545</v>
      </c>
      <c r="F2477" s="17" t="s">
        <v>6223</v>
      </c>
      <c r="G2477" s="13">
        <v>28572.0</v>
      </c>
      <c r="H2477" s="13">
        <v>36.0</v>
      </c>
      <c r="I2477" s="13">
        <v>14.0</v>
      </c>
      <c r="J2477" s="13">
        <v>26.0</v>
      </c>
      <c r="K2477" s="12" t="s">
        <v>21</v>
      </c>
      <c r="L2477" s="7">
        <v>40314.510601851856</v>
      </c>
      <c r="M2477" s="16"/>
      <c r="N2477" s="14" t="s">
        <v>6224</v>
      </c>
      <c r="O2477" s="11" t="str">
        <f t="shared" si="264"/>
        <v>View</v>
      </c>
      <c r="P2477" s="15"/>
    </row>
    <row r="2478">
      <c r="A2478" s="7">
        <v>42425.58368055556</v>
      </c>
      <c r="B2478" s="8" t="str">
        <f t="shared" si="263"/>
        <v>@Rbloggers</v>
      </c>
      <c r="C2478" s="10" t="s">
        <v>6221</v>
      </c>
      <c r="D2478" s="10" t="s">
        <v>10549</v>
      </c>
      <c r="E2478" s="11" t="str">
        <f>HYPERLINK("https://twitter.com/Rbloggers/status/702976490154041344","702976490154041344")</f>
        <v>702976490154041344</v>
      </c>
      <c r="F2478" s="17" t="s">
        <v>6223</v>
      </c>
      <c r="G2478" s="13">
        <v>28572.0</v>
      </c>
      <c r="H2478" s="13">
        <v>36.0</v>
      </c>
      <c r="I2478" s="13">
        <v>3.0</v>
      </c>
      <c r="J2478" s="13">
        <v>6.0</v>
      </c>
      <c r="K2478" s="12" t="s">
        <v>21</v>
      </c>
      <c r="L2478" s="7">
        <v>40314.510601851856</v>
      </c>
      <c r="M2478" s="16"/>
      <c r="N2478" s="14" t="s">
        <v>6224</v>
      </c>
      <c r="O2478" s="11" t="str">
        <f t="shared" si="264"/>
        <v>View</v>
      </c>
      <c r="P2478" s="15"/>
    </row>
    <row r="2479">
      <c r="A2479" s="7">
        <v>42425.58391203704</v>
      </c>
      <c r="B2479" s="8" t="str">
        <f t="shared" ref="B2479:B2481" si="265">HYPERLINK("https://twitter.com/renato_umeton","@renato_umeton")</f>
        <v>@renato_umeton</v>
      </c>
      <c r="C2479" s="10" t="s">
        <v>1659</v>
      </c>
      <c r="D2479" s="10" t="s">
        <v>10550</v>
      </c>
      <c r="E2479" s="11" t="str">
        <f>HYPERLINK("https://twitter.com/renato_umeton/status/702976573633404928","702976573633404928")</f>
        <v>702976573633404928</v>
      </c>
      <c r="F2479" s="12" t="s">
        <v>38</v>
      </c>
      <c r="G2479" s="13">
        <v>70.0</v>
      </c>
      <c r="H2479" s="13">
        <v>79.0</v>
      </c>
      <c r="I2479" s="13">
        <v>11.0</v>
      </c>
      <c r="J2479" s="13">
        <v>0.0</v>
      </c>
      <c r="K2479" s="12" t="s">
        <v>21</v>
      </c>
      <c r="L2479" s="7">
        <v>39918.052083333336</v>
      </c>
      <c r="M2479" s="14" t="s">
        <v>1660</v>
      </c>
      <c r="N2479" s="14" t="s">
        <v>1661</v>
      </c>
      <c r="O2479" s="11" t="str">
        <f t="shared" ref="O2479:O2481" si="266">HYPERLINK("https://pbs.twimg.com/profile_images/701553083537604608/nr8b38eG_normal.jpg","View")</f>
        <v>View</v>
      </c>
      <c r="P2479" s="15"/>
    </row>
    <row r="2480">
      <c r="A2480" s="7">
        <v>42425.58391203704</v>
      </c>
      <c r="B2480" s="8" t="str">
        <f t="shared" si="265"/>
        <v>@renato_umeton</v>
      </c>
      <c r="C2480" s="10" t="s">
        <v>1659</v>
      </c>
      <c r="D2480" s="10" t="s">
        <v>10551</v>
      </c>
      <c r="E2480" s="11" t="str">
        <f>HYPERLINK("https://twitter.com/renato_umeton/status/702976574400946176","702976574400946176")</f>
        <v>702976574400946176</v>
      </c>
      <c r="F2480" s="12" t="s">
        <v>38</v>
      </c>
      <c r="G2480" s="13">
        <v>70.0</v>
      </c>
      <c r="H2480" s="13">
        <v>79.0</v>
      </c>
      <c r="I2480" s="13">
        <v>14.0</v>
      </c>
      <c r="J2480" s="13">
        <v>0.0</v>
      </c>
      <c r="K2480" s="12" t="s">
        <v>21</v>
      </c>
      <c r="L2480" s="7">
        <v>39918.052083333336</v>
      </c>
      <c r="M2480" s="14" t="s">
        <v>1660</v>
      </c>
      <c r="N2480" s="14" t="s">
        <v>1661</v>
      </c>
      <c r="O2480" s="11" t="str">
        <f t="shared" si="266"/>
        <v>View</v>
      </c>
      <c r="P2480" s="15"/>
    </row>
    <row r="2481">
      <c r="A2481" s="7">
        <v>42425.58391203704</v>
      </c>
      <c r="B2481" s="8" t="str">
        <f t="shared" si="265"/>
        <v>@renato_umeton</v>
      </c>
      <c r="C2481" s="10" t="s">
        <v>1659</v>
      </c>
      <c r="D2481" s="10" t="s">
        <v>10552</v>
      </c>
      <c r="E2481" s="11" t="str">
        <f>HYPERLINK("https://twitter.com/renato_umeton/status/702976575256596482","702976575256596482")</f>
        <v>702976575256596482</v>
      </c>
      <c r="F2481" s="12" t="s">
        <v>38</v>
      </c>
      <c r="G2481" s="13">
        <v>70.0</v>
      </c>
      <c r="H2481" s="13">
        <v>79.0</v>
      </c>
      <c r="I2481" s="13">
        <v>3.0</v>
      </c>
      <c r="J2481" s="13">
        <v>0.0</v>
      </c>
      <c r="K2481" s="12" t="s">
        <v>21</v>
      </c>
      <c r="L2481" s="7">
        <v>39918.052083333336</v>
      </c>
      <c r="M2481" s="14" t="s">
        <v>1660</v>
      </c>
      <c r="N2481" s="14" t="s">
        <v>1661</v>
      </c>
      <c r="O2481" s="11" t="str">
        <f t="shared" si="266"/>
        <v>View</v>
      </c>
      <c r="P2481" s="15"/>
    </row>
    <row r="2482">
      <c r="A2482" s="7">
        <v>42425.58394675926</v>
      </c>
      <c r="B2482" s="8" t="str">
        <f>HYPERLINK("https://twitter.com/gshotwell","@gshotwell")</f>
        <v>@gshotwell</v>
      </c>
      <c r="C2482" s="10" t="s">
        <v>10553</v>
      </c>
      <c r="D2482" s="10" t="s">
        <v>10526</v>
      </c>
      <c r="E2482" s="11" t="str">
        <f>HYPERLINK("https://twitter.com/gshotwell/status/702976585817792513","702976585817792513")</f>
        <v>702976585817792513</v>
      </c>
      <c r="F2482" s="12" t="s">
        <v>152</v>
      </c>
      <c r="G2482" s="13">
        <v>330.0</v>
      </c>
      <c r="H2482" s="13">
        <v>558.0</v>
      </c>
      <c r="I2482" s="13">
        <v>13.0</v>
      </c>
      <c r="J2482" s="13">
        <v>0.0</v>
      </c>
      <c r="K2482" s="12" t="s">
        <v>21</v>
      </c>
      <c r="L2482" s="7">
        <v>40605.52017361111</v>
      </c>
      <c r="M2482" s="16"/>
      <c r="N2482" s="14" t="s">
        <v>10554</v>
      </c>
      <c r="O2482" s="11" t="str">
        <f>HYPERLINK("https://pbs.twimg.com/profile_images/422808438649786369/DLftqVnQ_normal.jpeg","View")</f>
        <v>View</v>
      </c>
      <c r="P2482" s="15"/>
    </row>
    <row r="2483">
      <c r="A2483" s="7">
        <v>42425.588946759264</v>
      </c>
      <c r="B2483" s="8" t="str">
        <f>HYPERLINK("https://twitter.com/skilloak","@skilloak")</f>
        <v>@skilloak</v>
      </c>
      <c r="C2483" s="10" t="s">
        <v>5999</v>
      </c>
      <c r="D2483" s="10" t="s">
        <v>10555</v>
      </c>
      <c r="E2483" s="11" t="str">
        <f>HYPERLINK("https://twitter.com/skilloak/status/702978397920571392","702978397920571392")</f>
        <v>702978397920571392</v>
      </c>
      <c r="F2483" s="12" t="s">
        <v>446</v>
      </c>
      <c r="G2483" s="13">
        <v>2427.0</v>
      </c>
      <c r="H2483" s="13">
        <v>338.0</v>
      </c>
      <c r="I2483" s="13">
        <v>0.0</v>
      </c>
      <c r="J2483" s="13">
        <v>0.0</v>
      </c>
      <c r="K2483" s="12" t="s">
        <v>21</v>
      </c>
      <c r="L2483" s="7">
        <v>41308.39502314815</v>
      </c>
      <c r="M2483" s="16"/>
      <c r="N2483" s="14" t="s">
        <v>6001</v>
      </c>
      <c r="O2483" s="11" t="str">
        <f>HYPERLINK("https://pbs.twimg.com/profile_images/670315479517413376/Kkf5JA8s_normal.png","View")</f>
        <v>View</v>
      </c>
      <c r="P2483" s="15"/>
    </row>
    <row r="2484">
      <c r="A2484" s="7">
        <v>42425.59038194444</v>
      </c>
      <c r="B2484" s="8" t="str">
        <f>HYPERLINK("https://twitter.com/crude2refined","@crude2refined")</f>
        <v>@crude2refined</v>
      </c>
      <c r="C2484" s="10" t="s">
        <v>3041</v>
      </c>
      <c r="D2484" s="10" t="s">
        <v>3042</v>
      </c>
      <c r="E2484" s="11" t="str">
        <f>HYPERLINK("https://twitter.com/crude2refined/status/702978919973019648","702978919973019648")</f>
        <v>702978919973019648</v>
      </c>
      <c r="F2484" s="12" t="s">
        <v>20</v>
      </c>
      <c r="G2484" s="13">
        <v>136.0</v>
      </c>
      <c r="H2484" s="13">
        <v>125.0</v>
      </c>
      <c r="I2484" s="13">
        <v>16.0</v>
      </c>
      <c r="J2484" s="13">
        <v>0.0</v>
      </c>
      <c r="K2484" s="12" t="s">
        <v>21</v>
      </c>
      <c r="L2484" s="7">
        <v>41632.48946759259</v>
      </c>
      <c r="M2484" s="14" t="s">
        <v>1899</v>
      </c>
      <c r="N2484" s="14" t="s">
        <v>3043</v>
      </c>
      <c r="O2484" s="11" t="str">
        <f>HYPERLINK("https://pbs.twimg.com/profile_images/420457609573847040/gXX8yrEU_normal.jpeg","View")</f>
        <v>View</v>
      </c>
      <c r="P2484" s="15"/>
    </row>
    <row r="2485">
      <c r="A2485" s="7">
        <v>42425.59254629629</v>
      </c>
      <c r="B2485" s="8" t="str">
        <f>HYPERLINK("https://twitter.com/RobThomas14","@RobThomas14")</f>
        <v>@RobThomas14</v>
      </c>
      <c r="C2485" s="10" t="s">
        <v>10235</v>
      </c>
      <c r="D2485" s="10" t="s">
        <v>10551</v>
      </c>
      <c r="E2485" s="11" t="str">
        <f>HYPERLINK("https://twitter.com/RobThomas14/status/702979701648846848","702979701648846848")</f>
        <v>702979701648846848</v>
      </c>
      <c r="F2485" s="12" t="s">
        <v>52</v>
      </c>
      <c r="G2485" s="13">
        <v>364.0</v>
      </c>
      <c r="H2485" s="13">
        <v>311.0</v>
      </c>
      <c r="I2485" s="13">
        <v>14.0</v>
      </c>
      <c r="J2485" s="13">
        <v>0.0</v>
      </c>
      <c r="K2485" s="12" t="s">
        <v>21</v>
      </c>
      <c r="L2485" s="7">
        <v>40684.718576388885</v>
      </c>
      <c r="M2485" s="14" t="s">
        <v>10237</v>
      </c>
      <c r="N2485" s="14" t="s">
        <v>10238</v>
      </c>
      <c r="O2485" s="11" t="str">
        <f>HYPERLINK("https://pbs.twimg.com/profile_images/378800000414184426/78a569696661f3ca1cdae3df3595c3f2_normal.jpeg","View")</f>
        <v>View</v>
      </c>
      <c r="P2485" s="15"/>
    </row>
    <row r="2486">
      <c r="A2486" s="7">
        <v>42425.592673611114</v>
      </c>
      <c r="B2486" s="8" t="str">
        <f>HYPERLINK("https://twitter.com/MusiCog","@MusiCog")</f>
        <v>@MusiCog</v>
      </c>
      <c r="C2486" s="10" t="s">
        <v>10556</v>
      </c>
      <c r="D2486" s="10" t="s">
        <v>10455</v>
      </c>
      <c r="E2486" s="11" t="str">
        <f>HYPERLINK("https://twitter.com/MusiCog/status/702979749124161536","702979749124161536")</f>
        <v>702979749124161536</v>
      </c>
      <c r="F2486" s="12" t="s">
        <v>152</v>
      </c>
      <c r="G2486" s="13">
        <v>96.0</v>
      </c>
      <c r="H2486" s="13">
        <v>215.0</v>
      </c>
      <c r="I2486" s="13">
        <v>22.0</v>
      </c>
      <c r="J2486" s="13">
        <v>0.0</v>
      </c>
      <c r="K2486" s="12" t="s">
        <v>21</v>
      </c>
      <c r="L2486" s="7">
        <v>40374.228993055556</v>
      </c>
      <c r="M2486" s="16"/>
      <c r="N2486" s="14" t="s">
        <v>10557</v>
      </c>
      <c r="O2486" s="11" t="str">
        <f>HYPERLINK("https://pbs.twimg.com/profile_images/675253871913103360/IH_6oloe_normal.jpg","View")</f>
        <v>View</v>
      </c>
      <c r="P2486" s="15"/>
    </row>
    <row r="2487">
      <c r="A2487" s="7">
        <v>42425.593090277776</v>
      </c>
      <c r="B2487" s="8" t="str">
        <f>HYPERLINK("https://twitter.com/CRANberriesFeed","@CRANberriesFeed")</f>
        <v>@CRANberriesFeed</v>
      </c>
      <c r="C2487" s="10" t="s">
        <v>6282</v>
      </c>
      <c r="D2487" s="10" t="s">
        <v>10558</v>
      </c>
      <c r="E2487" s="11" t="str">
        <f>HYPERLINK("https://twitter.com/CRANberriesFeed/status/702979898827214849","702979898827214849")</f>
        <v>702979898827214849</v>
      </c>
      <c r="F2487" s="12" t="s">
        <v>6284</v>
      </c>
      <c r="G2487" s="13">
        <v>657.0</v>
      </c>
      <c r="H2487" s="13">
        <v>0.0</v>
      </c>
      <c r="I2487" s="13">
        <v>0.0</v>
      </c>
      <c r="J2487" s="13">
        <v>0.0</v>
      </c>
      <c r="K2487" s="12" t="s">
        <v>21</v>
      </c>
      <c r="L2487" s="7">
        <v>40546.353425925925</v>
      </c>
      <c r="M2487" s="14" t="s">
        <v>1158</v>
      </c>
      <c r="N2487" s="16"/>
      <c r="O2487" s="11" t="str">
        <f>HYPERLINK("https://pbs.twimg.com/profile_images/1222779560/cran1_normal.jpg","View")</f>
        <v>View</v>
      </c>
      <c r="P2487" s="15"/>
    </row>
    <row r="2488">
      <c r="A2488" s="7">
        <v>42425.5941087963</v>
      </c>
      <c r="B2488" s="8" t="str">
        <f t="shared" ref="B2488:B2489" si="267">HYPERLINK("https://twitter.com/devalpandya","@devalpandya")</f>
        <v>@devalpandya</v>
      </c>
      <c r="C2488" s="10" t="s">
        <v>10559</v>
      </c>
      <c r="D2488" s="10" t="s">
        <v>10551</v>
      </c>
      <c r="E2488" s="11" t="str">
        <f>HYPERLINK("https://twitter.com/devalpandya/status/702980267842019328","702980267842019328")</f>
        <v>702980267842019328</v>
      </c>
      <c r="F2488" s="12" t="s">
        <v>124</v>
      </c>
      <c r="G2488" s="13">
        <v>92.0</v>
      </c>
      <c r="H2488" s="13">
        <v>315.0</v>
      </c>
      <c r="I2488" s="13">
        <v>14.0</v>
      </c>
      <c r="J2488" s="13">
        <v>0.0</v>
      </c>
      <c r="K2488" s="12" t="s">
        <v>21</v>
      </c>
      <c r="L2488" s="7">
        <v>40362.92586805556</v>
      </c>
      <c r="M2488" s="14" t="s">
        <v>10560</v>
      </c>
      <c r="N2488" s="14" t="s">
        <v>10561</v>
      </c>
      <c r="O2488" s="11" t="str">
        <f t="shared" ref="O2488:O2489" si="268">HYPERLINK("https://pbs.twimg.com/profile_images/700442221154140160/SbLvUNQG_normal.jpg","View")</f>
        <v>View</v>
      </c>
      <c r="P2488" s="15"/>
    </row>
    <row r="2489">
      <c r="A2489" s="7">
        <v>42425.59421296296</v>
      </c>
      <c r="B2489" s="8" t="str">
        <f t="shared" si="267"/>
        <v>@devalpandya</v>
      </c>
      <c r="C2489" s="10" t="s">
        <v>10559</v>
      </c>
      <c r="D2489" s="10" t="s">
        <v>10550</v>
      </c>
      <c r="E2489" s="11" t="str">
        <f>HYPERLINK("https://twitter.com/devalpandya/status/702980308069515264","702980308069515264")</f>
        <v>702980308069515264</v>
      </c>
      <c r="F2489" s="12" t="s">
        <v>124</v>
      </c>
      <c r="G2489" s="13">
        <v>92.0</v>
      </c>
      <c r="H2489" s="13">
        <v>315.0</v>
      </c>
      <c r="I2489" s="13">
        <v>11.0</v>
      </c>
      <c r="J2489" s="13">
        <v>0.0</v>
      </c>
      <c r="K2489" s="12" t="s">
        <v>21</v>
      </c>
      <c r="L2489" s="7">
        <v>40362.92586805556</v>
      </c>
      <c r="M2489" s="14" t="s">
        <v>10560</v>
      </c>
      <c r="N2489" s="14" t="s">
        <v>10561</v>
      </c>
      <c r="O2489" s="11" t="str">
        <f t="shared" si="268"/>
        <v>View</v>
      </c>
      <c r="P2489" s="15"/>
    </row>
    <row r="2490">
      <c r="A2490" s="7">
        <v>42425.595185185186</v>
      </c>
      <c r="B2490" s="8" t="str">
        <f>HYPERLINK("https://twitter.com/dataandme","@dataandme")</f>
        <v>@dataandme</v>
      </c>
      <c r="C2490" s="10" t="s">
        <v>6648</v>
      </c>
      <c r="D2490" s="10" t="s">
        <v>10562</v>
      </c>
      <c r="E2490" s="11" t="str">
        <f>HYPERLINK("https://twitter.com/dataandme/status/702980658545688576","702980658545688576")</f>
        <v>702980658545688576</v>
      </c>
      <c r="F2490" s="12" t="s">
        <v>294</v>
      </c>
      <c r="G2490" s="13">
        <v>2500.0</v>
      </c>
      <c r="H2490" s="13">
        <v>1940.0</v>
      </c>
      <c r="I2490" s="13">
        <v>4.0</v>
      </c>
      <c r="J2490" s="13">
        <v>11.0</v>
      </c>
      <c r="K2490" s="12" t="s">
        <v>21</v>
      </c>
      <c r="L2490" s="7">
        <v>42127.19739583333</v>
      </c>
      <c r="M2490" s="14" t="s">
        <v>332</v>
      </c>
      <c r="N2490" s="14" t="s">
        <v>6650</v>
      </c>
      <c r="O2490" s="11" t="str">
        <f>HYPERLINK("https://pbs.twimg.com/profile_images/598126722920361984/HdS1NWXJ_normal.png","View")</f>
        <v>View</v>
      </c>
      <c r="P2490" s="15"/>
    </row>
    <row r="2491">
      <c r="A2491" s="7">
        <v>42425.59569444445</v>
      </c>
      <c r="B2491" s="8" t="str">
        <f>HYPERLINK("https://twitter.com/hildug","@hildug")</f>
        <v>@hildug</v>
      </c>
      <c r="C2491" s="10" t="s">
        <v>10563</v>
      </c>
      <c r="D2491" s="10" t="s">
        <v>10564</v>
      </c>
      <c r="E2491" s="11" t="str">
        <f>HYPERLINK("https://twitter.com/hildug/status/702980845590556672","702980845590556672")</f>
        <v>702980845590556672</v>
      </c>
      <c r="F2491" s="12" t="s">
        <v>20</v>
      </c>
      <c r="G2491" s="13">
        <v>138.0</v>
      </c>
      <c r="H2491" s="13">
        <v>86.0</v>
      </c>
      <c r="I2491" s="13">
        <v>7.0</v>
      </c>
      <c r="J2491" s="13">
        <v>9.0</v>
      </c>
      <c r="K2491" s="12" t="s">
        <v>21</v>
      </c>
      <c r="L2491" s="7">
        <v>40964.69912037037</v>
      </c>
      <c r="M2491" s="16"/>
      <c r="N2491" s="14" t="s">
        <v>10565</v>
      </c>
      <c r="O2491" s="11" t="str">
        <f>HYPERLINK("https://pbs.twimg.com/profile_images/430492278902095873/x5JOIrDb_normal.jpeg","View")</f>
        <v>View</v>
      </c>
      <c r="P2491" s="15"/>
    </row>
    <row r="2492">
      <c r="A2492" s="7">
        <v>42425.59626157407</v>
      </c>
      <c r="B2492" s="8" t="str">
        <f>HYPERLINK("https://twitter.com/LovedeepSG","@LovedeepSG")</f>
        <v>@LovedeepSG</v>
      </c>
      <c r="C2492" s="10" t="s">
        <v>6501</v>
      </c>
      <c r="D2492" s="10" t="s">
        <v>10550</v>
      </c>
      <c r="E2492" s="11" t="str">
        <f>HYPERLINK("https://twitter.com/LovedeepSG/status/702981048758509568","702981048758509568")</f>
        <v>702981048758509568</v>
      </c>
      <c r="F2492" s="12" t="s">
        <v>152</v>
      </c>
      <c r="G2492" s="13">
        <v>46.0</v>
      </c>
      <c r="H2492" s="13">
        <v>85.0</v>
      </c>
      <c r="I2492" s="13">
        <v>11.0</v>
      </c>
      <c r="J2492" s="13">
        <v>0.0</v>
      </c>
      <c r="K2492" s="12" t="s">
        <v>21</v>
      </c>
      <c r="L2492" s="7">
        <v>41453.381203703706</v>
      </c>
      <c r="M2492" s="14" t="s">
        <v>4138</v>
      </c>
      <c r="N2492" s="14" t="s">
        <v>6502</v>
      </c>
      <c r="O2492" s="11" t="str">
        <f>HYPERLINK("https://pbs.twimg.com/profile_images/378800000059126288/17d4fa184bbd13c1e64465a3cc234efc_normal.jpeg","View")</f>
        <v>View</v>
      </c>
      <c r="P2492" s="15"/>
    </row>
    <row r="2493">
      <c r="A2493" s="7">
        <v>42425.59763888889</v>
      </c>
      <c r="B2493" s="8" t="str">
        <f>HYPERLINK("https://twitter.com/DerFredo","@DerFredo")</f>
        <v>@DerFredo</v>
      </c>
      <c r="C2493" s="10" t="s">
        <v>9771</v>
      </c>
      <c r="D2493" s="10" t="s">
        <v>10551</v>
      </c>
      <c r="E2493" s="11" t="str">
        <f>HYPERLINK("https://twitter.com/DerFredo/status/702981547054518272","702981547054518272")</f>
        <v>702981547054518272</v>
      </c>
      <c r="F2493" s="12" t="s">
        <v>152</v>
      </c>
      <c r="G2493" s="13">
        <v>432.0</v>
      </c>
      <c r="H2493" s="13">
        <v>547.0</v>
      </c>
      <c r="I2493" s="13">
        <v>14.0</v>
      </c>
      <c r="J2493" s="13">
        <v>0.0</v>
      </c>
      <c r="K2493" s="12" t="s">
        <v>21</v>
      </c>
      <c r="L2493" s="7">
        <v>39801.08034722222</v>
      </c>
      <c r="M2493" s="14" t="s">
        <v>9773</v>
      </c>
      <c r="N2493" s="14" t="s">
        <v>9774</v>
      </c>
      <c r="O2493" s="11" t="str">
        <f>HYPERLINK("https://pbs.twimg.com/profile_images/702262401882718208/LQ3N9NUM_normal.png","View")</f>
        <v>View</v>
      </c>
      <c r="P2493" s="15"/>
    </row>
    <row r="2494">
      <c r="A2494" s="7">
        <v>42425.59847222222</v>
      </c>
      <c r="B2494" s="8" t="str">
        <f>HYPERLINK("https://twitter.com/NoraPlethora","@NoraPlethora")</f>
        <v>@NoraPlethora</v>
      </c>
      <c r="C2494" s="10" t="s">
        <v>10566</v>
      </c>
      <c r="D2494" s="10" t="s">
        <v>10293</v>
      </c>
      <c r="E2494" s="11" t="str">
        <f>HYPERLINK("https://twitter.com/NoraPlethora/status/702981851682623488","702981851682623488")</f>
        <v>702981851682623488</v>
      </c>
      <c r="F2494" s="12" t="s">
        <v>20</v>
      </c>
      <c r="G2494" s="13">
        <v>128.0</v>
      </c>
      <c r="H2494" s="13">
        <v>218.0</v>
      </c>
      <c r="I2494" s="13">
        <v>11.0</v>
      </c>
      <c r="J2494" s="13">
        <v>0.0</v>
      </c>
      <c r="K2494" s="12" t="s">
        <v>21</v>
      </c>
      <c r="L2494" s="7">
        <v>41935.83744212963</v>
      </c>
      <c r="M2494" s="14" t="s">
        <v>2941</v>
      </c>
      <c r="N2494" s="14" t="s">
        <v>10567</v>
      </c>
      <c r="O2494" s="11" t="str">
        <f>HYPERLINK("https://pbs.twimg.com/profile_images/641184002724855808/U_9q6u1h_normal.jpg","View")</f>
        <v>View</v>
      </c>
      <c r="P2494" s="15"/>
    </row>
    <row r="2495">
      <c r="A2495" s="7">
        <v>42425.599444444444</v>
      </c>
      <c r="B2495" s="8" t="str">
        <f>HYPERLINK("https://twitter.com/RVirginiaPolar","@RVirginiaPolar")</f>
        <v>@RVirginiaPolar</v>
      </c>
      <c r="C2495" s="10" t="s">
        <v>10568</v>
      </c>
      <c r="D2495" s="10" t="s">
        <v>10569</v>
      </c>
      <c r="E2495" s="11" t="str">
        <f>HYPERLINK("https://twitter.com/RVirginiaPolar/status/702982202217381888","702982202217381888")</f>
        <v>702982202217381888</v>
      </c>
      <c r="F2495" s="12" t="s">
        <v>20</v>
      </c>
      <c r="G2495" s="13">
        <v>666.0</v>
      </c>
      <c r="H2495" s="13">
        <v>527.0</v>
      </c>
      <c r="I2495" s="13">
        <v>7.0</v>
      </c>
      <c r="J2495" s="13">
        <v>0.0</v>
      </c>
      <c r="K2495" s="12" t="s">
        <v>21</v>
      </c>
      <c r="L2495" s="7">
        <v>41937.557905092595</v>
      </c>
      <c r="M2495" s="14" t="s">
        <v>10570</v>
      </c>
      <c r="N2495" s="14" t="s">
        <v>10571</v>
      </c>
      <c r="O2495" s="11" t="str">
        <f>HYPERLINK("https://pbs.twimg.com/profile_images/526107369772564481/glIi9hz7_normal.jpeg","View")</f>
        <v>View</v>
      </c>
      <c r="P2495" s="15"/>
    </row>
    <row r="2496">
      <c r="A2496" s="7">
        <v>42425.60130787037</v>
      </c>
      <c r="B2496" s="8" t="str">
        <f>HYPERLINK("https://twitter.com/IstvanHajnal","@IstvanHajnal")</f>
        <v>@IstvanHajnal</v>
      </c>
      <c r="C2496" s="10" t="s">
        <v>10572</v>
      </c>
      <c r="D2496" s="10" t="s">
        <v>8081</v>
      </c>
      <c r="E2496" s="11" t="str">
        <f>HYPERLINK("https://twitter.com/IstvanHajnal/status/702982877181517824","702982877181517824")</f>
        <v>702982877181517824</v>
      </c>
      <c r="F2496" s="12" t="s">
        <v>52</v>
      </c>
      <c r="G2496" s="13">
        <v>531.0</v>
      </c>
      <c r="H2496" s="13">
        <v>523.0</v>
      </c>
      <c r="I2496" s="13">
        <v>5.0</v>
      </c>
      <c r="J2496" s="13">
        <v>0.0</v>
      </c>
      <c r="K2496" s="12" t="s">
        <v>21</v>
      </c>
      <c r="L2496" s="7">
        <v>40797.49056712963</v>
      </c>
      <c r="M2496" s="14" t="s">
        <v>10573</v>
      </c>
      <c r="N2496" s="14" t="s">
        <v>10574</v>
      </c>
      <c r="O2496" s="11" t="str">
        <f>HYPERLINK("https://pbs.twimg.com/profile_images/1583419713/istvan_normal.jpg","View")</f>
        <v>View</v>
      </c>
      <c r="P2496" s="15"/>
    </row>
    <row r="2497">
      <c r="A2497" s="7">
        <v>42425.60233796296</v>
      </c>
      <c r="B2497" s="8" t="str">
        <f>HYPERLINK("https://twitter.com/MalthusThemonk","@MalthusThemonk")</f>
        <v>@MalthusThemonk</v>
      </c>
      <c r="C2497" s="10" t="s">
        <v>10575</v>
      </c>
      <c r="D2497" s="10" t="s">
        <v>10576</v>
      </c>
      <c r="E2497" s="11" t="str">
        <f>HYPERLINK("https://twitter.com/MalthusThemonk/status/702983251850231809","702983251850231809")</f>
        <v>702983251850231809</v>
      </c>
      <c r="F2497" s="12" t="s">
        <v>1801</v>
      </c>
      <c r="G2497" s="13">
        <v>81.0</v>
      </c>
      <c r="H2497" s="13">
        <v>403.0</v>
      </c>
      <c r="I2497" s="13">
        <v>4.0</v>
      </c>
      <c r="J2497" s="13">
        <v>0.0</v>
      </c>
      <c r="K2497" s="12" t="s">
        <v>21</v>
      </c>
      <c r="L2497" s="7">
        <v>41450.23087962963</v>
      </c>
      <c r="M2497" s="14" t="s">
        <v>3802</v>
      </c>
      <c r="N2497" s="14" t="s">
        <v>10577</v>
      </c>
      <c r="O2497" s="11" t="str">
        <f>HYPERLINK("https://pbs.twimg.com/profile_images/689977607627083778/VZOxwhDb_normal.jpg","View")</f>
        <v>View</v>
      </c>
      <c r="P2497" s="15"/>
    </row>
    <row r="2498">
      <c r="A2498" s="7">
        <v>42425.60578703704</v>
      </c>
      <c r="B2498" s="8" t="str">
        <f>HYPERLINK("https://twitter.com/GaborCsardi","@GaborCsardi")</f>
        <v>@GaborCsardi</v>
      </c>
      <c r="C2498" s="10" t="s">
        <v>6479</v>
      </c>
      <c r="D2498" s="10" t="s">
        <v>10461</v>
      </c>
      <c r="E2498" s="11" t="str">
        <f>HYPERLINK("https://twitter.com/GaborCsardi/status/702984499945152513","702984499945152513")</f>
        <v>702984499945152513</v>
      </c>
      <c r="F2498" s="12" t="s">
        <v>20</v>
      </c>
      <c r="G2498" s="13">
        <v>439.0</v>
      </c>
      <c r="H2498" s="13">
        <v>130.0</v>
      </c>
      <c r="I2498" s="13">
        <v>6.0</v>
      </c>
      <c r="J2498" s="13">
        <v>0.0</v>
      </c>
      <c r="K2498" s="12" t="s">
        <v>21</v>
      </c>
      <c r="L2498" s="7">
        <v>40710.32649305556</v>
      </c>
      <c r="M2498" s="16"/>
      <c r="N2498" s="16"/>
      <c r="O2498" s="11" t="str">
        <f>HYPERLINK("https://pbs.twimg.com/profile_images/531100851721363456/razj1N5f_normal.jpeg","View")</f>
        <v>View</v>
      </c>
      <c r="P2498" s="15"/>
    </row>
    <row r="2499">
      <c r="A2499" s="7">
        <v>42425.60766203704</v>
      </c>
      <c r="B2499" s="8" t="str">
        <f>HYPERLINK("https://twitter.com/sidquan","@sidquan")</f>
        <v>@sidquan</v>
      </c>
      <c r="C2499" s="10" t="s">
        <v>8599</v>
      </c>
      <c r="D2499" s="10" t="s">
        <v>10578</v>
      </c>
      <c r="E2499" s="11" t="str">
        <f>HYPERLINK("https://twitter.com/sidquan/status/702985178344370176","702985178344370176")</f>
        <v>702985178344370176</v>
      </c>
      <c r="F2499" s="12" t="s">
        <v>20</v>
      </c>
      <c r="G2499" s="13">
        <v>137.0</v>
      </c>
      <c r="H2499" s="13">
        <v>287.0</v>
      </c>
      <c r="I2499" s="13">
        <v>0.0</v>
      </c>
      <c r="J2499" s="13">
        <v>0.0</v>
      </c>
      <c r="K2499" s="12" t="s">
        <v>21</v>
      </c>
      <c r="L2499" s="7">
        <v>40808.426620370374</v>
      </c>
      <c r="M2499" s="14" t="s">
        <v>91</v>
      </c>
      <c r="N2499" s="14" t="s">
        <v>8601</v>
      </c>
      <c r="O2499" s="11" t="str">
        <f>HYPERLINK("https://pbs.twimg.com/profile_images/1554910841/tux_and_chicken_normal.jpg","View")</f>
        <v>View</v>
      </c>
      <c r="P2499" s="15"/>
    </row>
    <row r="2500">
      <c r="A2500" s="7">
        <v>42425.607824074075</v>
      </c>
      <c r="B2500" s="8" t="str">
        <f>HYPERLINK("https://twitter.com/ezbrooks","@ezbrooks")</f>
        <v>@ezbrooks</v>
      </c>
      <c r="C2500" s="10" t="s">
        <v>10579</v>
      </c>
      <c r="D2500" s="10" t="s">
        <v>10576</v>
      </c>
      <c r="E2500" s="11" t="str">
        <f>HYPERLINK("https://twitter.com/ezbrooks/status/702985240848023552","702985240848023552")</f>
        <v>702985240848023552</v>
      </c>
      <c r="F2500" s="12" t="s">
        <v>52</v>
      </c>
      <c r="G2500" s="13">
        <v>1784.0</v>
      </c>
      <c r="H2500" s="13">
        <v>2264.0</v>
      </c>
      <c r="I2500" s="13">
        <v>4.0</v>
      </c>
      <c r="J2500" s="13">
        <v>0.0</v>
      </c>
      <c r="K2500" s="12" t="s">
        <v>21</v>
      </c>
      <c r="L2500" s="7">
        <v>39805.70517361111</v>
      </c>
      <c r="M2500" s="14" t="s">
        <v>10580</v>
      </c>
      <c r="N2500" s="14" t="s">
        <v>10581</v>
      </c>
      <c r="O2500" s="11" t="str">
        <f>HYPERLINK("https://pbs.twimg.com/profile_images/2183224884/image_normal.jpg","View")</f>
        <v>View</v>
      </c>
      <c r="P2500" s="15"/>
    </row>
    <row r="2501">
      <c r="A2501" s="7">
        <v>42425.60841435185</v>
      </c>
      <c r="B2501" s="8" t="str">
        <f>HYPERLINK("https://twitter.com/camilo_pmo","@camilo_pmo")</f>
        <v>@camilo_pmo</v>
      </c>
      <c r="C2501" s="10" t="s">
        <v>10582</v>
      </c>
      <c r="D2501" s="10" t="s">
        <v>9900</v>
      </c>
      <c r="E2501" s="11" t="str">
        <f>HYPERLINK("https://twitter.com/camilo_pmo/status/702985451578236928","702985451578236928")</f>
        <v>702985451578236928</v>
      </c>
      <c r="F2501" s="12" t="s">
        <v>20</v>
      </c>
      <c r="G2501" s="13">
        <v>1145.0</v>
      </c>
      <c r="H2501" s="13">
        <v>1027.0</v>
      </c>
      <c r="I2501" s="13">
        <v>25.0</v>
      </c>
      <c r="J2501" s="13">
        <v>0.0</v>
      </c>
      <c r="K2501" s="12" t="s">
        <v>21</v>
      </c>
      <c r="L2501" s="7">
        <v>39922.09684027778</v>
      </c>
      <c r="M2501" s="14" t="s">
        <v>10583</v>
      </c>
      <c r="N2501" s="14" t="s">
        <v>10584</v>
      </c>
      <c r="O2501" s="11" t="str">
        <f>HYPERLINK("https://pbs.twimg.com/profile_images/1760147526/Wisdon_Quadrants_normal.gif","View")</f>
        <v>View</v>
      </c>
      <c r="P2501" s="15"/>
    </row>
    <row r="2502">
      <c r="A2502" s="7">
        <v>42425.60915509259</v>
      </c>
      <c r="B2502" s="8" t="str">
        <f>HYPERLINK("https://twitter.com/PD_value","@PD_value")</f>
        <v>@PD_value</v>
      </c>
      <c r="C2502" s="10" t="s">
        <v>7646</v>
      </c>
      <c r="D2502" s="10" t="s">
        <v>9484</v>
      </c>
      <c r="E2502" s="11" t="str">
        <f>HYPERLINK("https://twitter.com/PD_value/status/702985720902918144","702985720902918144")</f>
        <v>702985720902918144</v>
      </c>
      <c r="F2502" s="12" t="s">
        <v>52</v>
      </c>
      <c r="G2502" s="13">
        <v>54.0</v>
      </c>
      <c r="H2502" s="13">
        <v>103.0</v>
      </c>
      <c r="I2502" s="13">
        <v>22.0</v>
      </c>
      <c r="J2502" s="13">
        <v>0.0</v>
      </c>
      <c r="K2502" s="12" t="s">
        <v>21</v>
      </c>
      <c r="L2502" s="7">
        <v>41823.70475694444</v>
      </c>
      <c r="M2502" s="16"/>
      <c r="N2502" s="14" t="s">
        <v>7647</v>
      </c>
      <c r="O2502" s="11" t="str">
        <f>HYPERLINK("https://pbs.twimg.com/profile_images/494978993955696640/pdaFKe7-_normal.png","View")</f>
        <v>View</v>
      </c>
      <c r="P2502" s="15"/>
    </row>
    <row r="2503">
      <c r="A2503" s="7">
        <v>42425.610821759255</v>
      </c>
      <c r="B2503" s="8" t="str">
        <f>HYPERLINK("https://twitter.com/DrAndyPardoe","@DrAndyPardoe")</f>
        <v>@DrAndyPardoe</v>
      </c>
      <c r="C2503" s="10" t="s">
        <v>3351</v>
      </c>
      <c r="D2503" s="10" t="s">
        <v>10550</v>
      </c>
      <c r="E2503" s="11" t="str">
        <f>HYPERLINK("https://twitter.com/DrAndyPardoe/status/702986325788643328","702986325788643328")</f>
        <v>702986325788643328</v>
      </c>
      <c r="F2503" s="12" t="s">
        <v>38</v>
      </c>
      <c r="G2503" s="13">
        <v>3759.0</v>
      </c>
      <c r="H2503" s="13">
        <v>2473.0</v>
      </c>
      <c r="I2503" s="13">
        <v>11.0</v>
      </c>
      <c r="J2503" s="13">
        <v>0.0</v>
      </c>
      <c r="K2503" s="12" t="s">
        <v>21</v>
      </c>
      <c r="L2503" s="7">
        <v>41826.237280092595</v>
      </c>
      <c r="M2503" s="14" t="s">
        <v>1093</v>
      </c>
      <c r="N2503" s="14" t="s">
        <v>3352</v>
      </c>
      <c r="O2503" s="11" t="str">
        <f>HYPERLINK("https://pbs.twimg.com/profile_images/485766134268837889/t4PLhSfT_normal.jpeg","View")</f>
        <v>View</v>
      </c>
      <c r="P2503" s="15"/>
    </row>
    <row r="2504">
      <c r="A2504" s="7">
        <v>42425.61237268518</v>
      </c>
      <c r="B2504" s="8" t="str">
        <f>HYPERLINK("https://twitter.com/helenaahmadi","@helenaahmadi")</f>
        <v>@helenaahmadi</v>
      </c>
      <c r="C2504" s="10" t="s">
        <v>10585</v>
      </c>
      <c r="D2504" s="10" t="s">
        <v>10409</v>
      </c>
      <c r="E2504" s="11" t="str">
        <f>HYPERLINK("https://twitter.com/helenaahmadi/status/702986889209507840","702986889209507840")</f>
        <v>702986889209507840</v>
      </c>
      <c r="F2504" s="12" t="s">
        <v>52</v>
      </c>
      <c r="G2504" s="13">
        <v>64.0</v>
      </c>
      <c r="H2504" s="13">
        <v>98.0</v>
      </c>
      <c r="I2504" s="13">
        <v>8.0</v>
      </c>
      <c r="J2504" s="13">
        <v>0.0</v>
      </c>
      <c r="K2504" s="12" t="s">
        <v>21</v>
      </c>
      <c r="L2504" s="7">
        <v>41417.36366898148</v>
      </c>
      <c r="M2504" s="14" t="s">
        <v>1963</v>
      </c>
      <c r="N2504" s="14" t="s">
        <v>10586</v>
      </c>
      <c r="O2504" s="11" t="str">
        <f>HYPERLINK("https://pbs.twimg.com/profile_images/655704725829124096/0-CQ7K0P_normal.jpg","View")</f>
        <v>View</v>
      </c>
      <c r="P2504" s="15"/>
    </row>
    <row r="2505">
      <c r="A2505" s="7">
        <v>42425.61576388888</v>
      </c>
      <c r="B2505" s="8" t="str">
        <f>HYPERLINK("https://twitter.com/Anas_ET","@Anas_ET")</f>
        <v>@Anas_ET</v>
      </c>
      <c r="C2505" s="10" t="s">
        <v>10587</v>
      </c>
      <c r="D2505" s="10" t="s">
        <v>10529</v>
      </c>
      <c r="E2505" s="11" t="str">
        <f>HYPERLINK("https://twitter.com/Anas_ET/status/702988116466999298","702988116466999298")</f>
        <v>702988116466999298</v>
      </c>
      <c r="F2505" s="12" t="s">
        <v>52</v>
      </c>
      <c r="G2505" s="13">
        <v>275.0</v>
      </c>
      <c r="H2505" s="13">
        <v>421.0</v>
      </c>
      <c r="I2505" s="13">
        <v>2.0</v>
      </c>
      <c r="J2505" s="13">
        <v>0.0</v>
      </c>
      <c r="K2505" s="12" t="s">
        <v>21</v>
      </c>
      <c r="L2505" s="7">
        <v>41501.31489583333</v>
      </c>
      <c r="M2505" s="16"/>
      <c r="N2505" s="14" t="s">
        <v>10588</v>
      </c>
      <c r="O2505" s="11" t="str">
        <f>HYPERLINK("https://pbs.twimg.com/profile_images/487405357321711616/5r3jBsx2_normal.jpeg","View")</f>
        <v>View</v>
      </c>
      <c r="P2505" s="15"/>
    </row>
    <row r="2506">
      <c r="A2506" s="7">
        <v>42425.61965277778</v>
      </c>
      <c r="B2506" s="8" t="str">
        <f>HYPERLINK("https://twitter.com/antbarros","@antbarros")</f>
        <v>@antbarros</v>
      </c>
      <c r="C2506" s="10" t="s">
        <v>7492</v>
      </c>
      <c r="D2506" s="10" t="s">
        <v>10551</v>
      </c>
      <c r="E2506" s="11" t="str">
        <f>HYPERLINK("https://twitter.com/antbarros/status/702989524704600064","702989524704600064")</f>
        <v>702989524704600064</v>
      </c>
      <c r="F2506" s="12" t="s">
        <v>20</v>
      </c>
      <c r="G2506" s="13">
        <v>144.0</v>
      </c>
      <c r="H2506" s="13">
        <v>398.0</v>
      </c>
      <c r="I2506" s="13">
        <v>14.0</v>
      </c>
      <c r="J2506" s="13">
        <v>0.0</v>
      </c>
      <c r="K2506" s="12" t="s">
        <v>21</v>
      </c>
      <c r="L2506" s="7">
        <v>39834.61170138889</v>
      </c>
      <c r="M2506" s="14" t="s">
        <v>7493</v>
      </c>
      <c r="N2506" s="14" t="s">
        <v>7494</v>
      </c>
      <c r="O2506" s="11" t="str">
        <f>HYPERLINK("https://pbs.twimg.com/profile_images/3212894266/18133d38ffd7c042588b27ea15b3cd16_normal.jpeg","View")</f>
        <v>View</v>
      </c>
      <c r="P2506" s="15"/>
    </row>
    <row r="2507">
      <c r="A2507" s="7">
        <v>42425.61969907407</v>
      </c>
      <c r="B2507" s="8" t="str">
        <f>HYPERLINK("https://twitter.com/EnrikeLopez","@EnrikeLopez")</f>
        <v>@EnrikeLopez</v>
      </c>
      <c r="C2507" s="10" t="s">
        <v>2804</v>
      </c>
      <c r="D2507" s="10" t="s">
        <v>10552</v>
      </c>
      <c r="E2507" s="11" t="str">
        <f>HYPERLINK("https://twitter.com/EnrikeLopez/status/702989544543678464","702989544543678464")</f>
        <v>702989544543678464</v>
      </c>
      <c r="F2507" s="12" t="s">
        <v>1573</v>
      </c>
      <c r="G2507" s="13">
        <v>846.0</v>
      </c>
      <c r="H2507" s="13">
        <v>1888.0</v>
      </c>
      <c r="I2507" s="13">
        <v>3.0</v>
      </c>
      <c r="J2507" s="13">
        <v>0.0</v>
      </c>
      <c r="K2507" s="12" t="s">
        <v>21</v>
      </c>
      <c r="L2507" s="7">
        <v>40061.176041666666</v>
      </c>
      <c r="M2507" s="14" t="s">
        <v>2806</v>
      </c>
      <c r="N2507" s="16"/>
      <c r="O2507" s="11" t="str">
        <f>HYPERLINK("https://pbs.twimg.com/profile_images/474249917565636608/XjM9GUjo_normal.jpeg","View")</f>
        <v>View</v>
      </c>
      <c r="P2507" s="15"/>
    </row>
    <row r="2508">
      <c r="A2508" s="7">
        <v>42425.620150462964</v>
      </c>
      <c r="B2508" s="8" t="str">
        <f>HYPERLINK("https://twitter.com/JMBenavente","@JMBenavente")</f>
        <v>@JMBenavente</v>
      </c>
      <c r="C2508" s="10" t="s">
        <v>10589</v>
      </c>
      <c r="D2508" s="10" t="s">
        <v>10269</v>
      </c>
      <c r="E2508" s="11" t="str">
        <f>HYPERLINK("https://twitter.com/JMBenavente/status/702989705458098176","702989705458098176")</f>
        <v>702989705458098176</v>
      </c>
      <c r="F2508" s="12" t="s">
        <v>52</v>
      </c>
      <c r="G2508" s="13">
        <v>2777.0</v>
      </c>
      <c r="H2508" s="13">
        <v>367.0</v>
      </c>
      <c r="I2508" s="13">
        <v>2.0</v>
      </c>
      <c r="J2508" s="13">
        <v>0.0</v>
      </c>
      <c r="K2508" s="12" t="s">
        <v>21</v>
      </c>
      <c r="L2508" s="7">
        <v>40256.86126157407</v>
      </c>
      <c r="M2508" s="16"/>
      <c r="N2508" s="14" t="s">
        <v>10590</v>
      </c>
      <c r="O2508" s="11" t="str">
        <f>HYPERLINK("https://pbs.twimg.com/profile_images/378800000159826392/058e1297acc9127d1d4590fef5d9ed87_normal.jpeg","View")</f>
        <v>View</v>
      </c>
      <c r="P2508" s="15"/>
    </row>
    <row r="2509">
      <c r="A2509" s="7">
        <v>42425.620474537034</v>
      </c>
      <c r="B2509" s="8" t="str">
        <f t="shared" ref="B2509:B2512" si="269">HYPERLINK("https://twitter.com/EnrikeLopez","@EnrikeLopez")</f>
        <v>@EnrikeLopez</v>
      </c>
      <c r="C2509" s="10" t="s">
        <v>2804</v>
      </c>
      <c r="D2509" s="10" t="s">
        <v>10551</v>
      </c>
      <c r="E2509" s="11" t="str">
        <f>HYPERLINK("https://twitter.com/EnrikeLopez/status/702989824412819456","702989824412819456")</f>
        <v>702989824412819456</v>
      </c>
      <c r="F2509" s="12" t="s">
        <v>1573</v>
      </c>
      <c r="G2509" s="13">
        <v>846.0</v>
      </c>
      <c r="H2509" s="13">
        <v>1888.0</v>
      </c>
      <c r="I2509" s="13">
        <v>14.0</v>
      </c>
      <c r="J2509" s="13">
        <v>0.0</v>
      </c>
      <c r="K2509" s="12" t="s">
        <v>21</v>
      </c>
      <c r="L2509" s="7">
        <v>40061.176041666666</v>
      </c>
      <c r="M2509" s="14" t="s">
        <v>2806</v>
      </c>
      <c r="N2509" s="16"/>
      <c r="O2509" s="11" t="str">
        <f t="shared" ref="O2509:O2512" si="270">HYPERLINK("https://pbs.twimg.com/profile_images/474249917565636608/XjM9GUjo_normal.jpeg","View")</f>
        <v>View</v>
      </c>
      <c r="P2509" s="15"/>
    </row>
    <row r="2510">
      <c r="A2510" s="7">
        <v>42425.620520833334</v>
      </c>
      <c r="B2510" s="8" t="str">
        <f t="shared" si="269"/>
        <v>@EnrikeLopez</v>
      </c>
      <c r="C2510" s="10" t="s">
        <v>2804</v>
      </c>
      <c r="D2510" s="10" t="s">
        <v>10550</v>
      </c>
      <c r="E2510" s="11" t="str">
        <f>HYPERLINK("https://twitter.com/EnrikeLopez/status/702989841248722944","702989841248722944")</f>
        <v>702989841248722944</v>
      </c>
      <c r="F2510" s="12" t="s">
        <v>1573</v>
      </c>
      <c r="G2510" s="13">
        <v>846.0</v>
      </c>
      <c r="H2510" s="13">
        <v>1888.0</v>
      </c>
      <c r="I2510" s="13">
        <v>11.0</v>
      </c>
      <c r="J2510" s="13">
        <v>0.0</v>
      </c>
      <c r="K2510" s="12" t="s">
        <v>21</v>
      </c>
      <c r="L2510" s="7">
        <v>40061.176041666666</v>
      </c>
      <c r="M2510" s="14" t="s">
        <v>2806</v>
      </c>
      <c r="N2510" s="16"/>
      <c r="O2510" s="11" t="str">
        <f t="shared" si="270"/>
        <v>View</v>
      </c>
      <c r="P2510" s="15"/>
    </row>
    <row r="2511">
      <c r="A2511" s="7">
        <v>42425.620567129634</v>
      </c>
      <c r="B2511" s="8" t="str">
        <f t="shared" si="269"/>
        <v>@EnrikeLopez</v>
      </c>
      <c r="C2511" s="10" t="s">
        <v>2804</v>
      </c>
      <c r="D2511" s="10" t="s">
        <v>10426</v>
      </c>
      <c r="E2511" s="11" t="str">
        <f>HYPERLINK("https://twitter.com/EnrikeLopez/status/702989856348176384","702989856348176384")</f>
        <v>702989856348176384</v>
      </c>
      <c r="F2511" s="12" t="s">
        <v>1573</v>
      </c>
      <c r="G2511" s="13">
        <v>846.0</v>
      </c>
      <c r="H2511" s="13">
        <v>1888.0</v>
      </c>
      <c r="I2511" s="13">
        <v>15.0</v>
      </c>
      <c r="J2511" s="13">
        <v>0.0</v>
      </c>
      <c r="K2511" s="12" t="s">
        <v>21</v>
      </c>
      <c r="L2511" s="7">
        <v>40061.176041666666</v>
      </c>
      <c r="M2511" s="14" t="s">
        <v>2806</v>
      </c>
      <c r="N2511" s="16"/>
      <c r="O2511" s="11" t="str">
        <f t="shared" si="270"/>
        <v>View</v>
      </c>
      <c r="P2511" s="15"/>
    </row>
    <row r="2512">
      <c r="A2512" s="7">
        <v>42425.62063657407</v>
      </c>
      <c r="B2512" s="8" t="str">
        <f t="shared" si="269"/>
        <v>@EnrikeLopez</v>
      </c>
      <c r="C2512" s="10" t="s">
        <v>2804</v>
      </c>
      <c r="D2512" s="10" t="s">
        <v>10343</v>
      </c>
      <c r="E2512" s="11" t="str">
        <f>HYPERLINK("https://twitter.com/EnrikeLopez/status/702989880855543808","702989880855543808")</f>
        <v>702989880855543808</v>
      </c>
      <c r="F2512" s="12" t="s">
        <v>1573</v>
      </c>
      <c r="G2512" s="13">
        <v>846.0</v>
      </c>
      <c r="H2512" s="13">
        <v>1888.0</v>
      </c>
      <c r="I2512" s="13">
        <v>15.0</v>
      </c>
      <c r="J2512" s="13">
        <v>0.0</v>
      </c>
      <c r="K2512" s="12" t="s">
        <v>21</v>
      </c>
      <c r="L2512" s="7">
        <v>40061.176041666666</v>
      </c>
      <c r="M2512" s="14" t="s">
        <v>2806</v>
      </c>
      <c r="N2512" s="16"/>
      <c r="O2512" s="11" t="str">
        <f t="shared" si="270"/>
        <v>View</v>
      </c>
      <c r="P2512" s="15"/>
    </row>
    <row r="2513">
      <c r="A2513" s="7">
        <v>42425.62430555555</v>
      </c>
      <c r="B2513" s="8" t="str">
        <f>HYPERLINK("https://twitter.com/TimRadtke","@TimRadtke")</f>
        <v>@TimRadtke</v>
      </c>
      <c r="C2513" s="10" t="s">
        <v>10591</v>
      </c>
      <c r="D2513" s="10" t="s">
        <v>10592</v>
      </c>
      <c r="E2513" s="11" t="str">
        <f>HYPERLINK("https://twitter.com/TimRadtke/status/702991212085690368","702991212085690368")</f>
        <v>702991212085690368</v>
      </c>
      <c r="F2513" s="12" t="s">
        <v>1082</v>
      </c>
      <c r="G2513" s="13">
        <v>92.0</v>
      </c>
      <c r="H2513" s="13">
        <v>252.0</v>
      </c>
      <c r="I2513" s="13">
        <v>1.0</v>
      </c>
      <c r="J2513" s="13">
        <v>0.0</v>
      </c>
      <c r="K2513" s="12" t="s">
        <v>21</v>
      </c>
      <c r="L2513" s="7">
        <v>40406.07487268519</v>
      </c>
      <c r="M2513" s="14" t="s">
        <v>1963</v>
      </c>
      <c r="N2513" s="14" t="s">
        <v>10593</v>
      </c>
      <c r="O2513" s="11" t="str">
        <f>HYPERLINK("https://pbs.twimg.com/profile_images/612982755471831042/Die3uFV3_normal.jpg","View")</f>
        <v>View</v>
      </c>
      <c r="P2513" s="15"/>
    </row>
    <row r="2514">
      <c r="A2514" s="7">
        <v>42425.625972222224</v>
      </c>
      <c r="B2514" s="8" t="str">
        <f>HYPERLINK("https://twitter.com/Agould15","@Agould15")</f>
        <v>@Agould15</v>
      </c>
      <c r="C2514" s="10" t="s">
        <v>10594</v>
      </c>
      <c r="D2514" s="10" t="s">
        <v>10595</v>
      </c>
      <c r="E2514" s="11" t="str">
        <f>HYPERLINK("https://twitter.com/Agould15/status/702991813917802496","702991813917802496")</f>
        <v>702991813917802496</v>
      </c>
      <c r="F2514" s="12" t="s">
        <v>20</v>
      </c>
      <c r="G2514" s="13">
        <v>133.0</v>
      </c>
      <c r="H2514" s="13">
        <v>215.0</v>
      </c>
      <c r="I2514" s="13">
        <v>4.0</v>
      </c>
      <c r="J2514" s="13">
        <v>5.0</v>
      </c>
      <c r="K2514" s="12" t="s">
        <v>21</v>
      </c>
      <c r="L2514" s="7">
        <v>40940.29133101852</v>
      </c>
      <c r="M2514" s="14" t="s">
        <v>1259</v>
      </c>
      <c r="N2514" s="14" t="s">
        <v>10596</v>
      </c>
      <c r="O2514" s="11" t="str">
        <f>HYPERLINK("https://pbs.twimg.com/profile_images/686227049430683649/nzAfht7E_normal.jpg","View")</f>
        <v>View</v>
      </c>
      <c r="P2514" s="15"/>
    </row>
    <row r="2515">
      <c r="A2515" s="7">
        <v>42425.62638888889</v>
      </c>
      <c r="B2515" s="8" t="str">
        <f>HYPERLINK("https://twitter.com/STAT545","@STAT545")</f>
        <v>@STAT545</v>
      </c>
      <c r="C2515" s="10" t="s">
        <v>7576</v>
      </c>
      <c r="D2515" s="10" t="s">
        <v>10455</v>
      </c>
      <c r="E2515" s="11" t="str">
        <f>HYPERLINK("https://twitter.com/STAT545/status/702991965143470080","702991965143470080")</f>
        <v>702991965143470080</v>
      </c>
      <c r="F2515" s="12" t="s">
        <v>240</v>
      </c>
      <c r="G2515" s="13">
        <v>741.0</v>
      </c>
      <c r="H2515" s="13">
        <v>37.0</v>
      </c>
      <c r="I2515" s="13">
        <v>22.0</v>
      </c>
      <c r="J2515" s="13">
        <v>0.0</v>
      </c>
      <c r="K2515" s="12" t="s">
        <v>21</v>
      </c>
      <c r="L2515" s="7">
        <v>41884.53592592593</v>
      </c>
      <c r="M2515" s="14" t="s">
        <v>1855</v>
      </c>
      <c r="N2515" s="14" t="s">
        <v>7577</v>
      </c>
      <c r="O2515" s="11" t="str">
        <f>HYPERLINK("https://pbs.twimg.com/profile_images/506894311955243008/0D63lczz_normal.png","View")</f>
        <v>View</v>
      </c>
      <c r="P2515" s="15"/>
    </row>
    <row r="2516">
      <c r="A2516" s="7">
        <v>42425.62672453704</v>
      </c>
      <c r="B2516" s="8" t="str">
        <f>HYPERLINK("https://twitter.com/SoroorHediyeh","@SoroorHediyeh")</f>
        <v>@SoroorHediyeh</v>
      </c>
      <c r="C2516" s="10" t="s">
        <v>6876</v>
      </c>
      <c r="D2516" s="10" t="s">
        <v>10455</v>
      </c>
      <c r="E2516" s="11" t="str">
        <f>HYPERLINK("https://twitter.com/SoroorHediyeh/status/702992089206824961","702992089206824961")</f>
        <v>702992089206824961</v>
      </c>
      <c r="F2516" s="12" t="s">
        <v>52</v>
      </c>
      <c r="G2516" s="13">
        <v>59.0</v>
      </c>
      <c r="H2516" s="13">
        <v>248.0</v>
      </c>
      <c r="I2516" s="13">
        <v>22.0</v>
      </c>
      <c r="J2516" s="13">
        <v>0.0</v>
      </c>
      <c r="K2516" s="12" t="s">
        <v>21</v>
      </c>
      <c r="L2516" s="7">
        <v>41651.91425925926</v>
      </c>
      <c r="M2516" s="14" t="s">
        <v>4539</v>
      </c>
      <c r="N2516" s="14" t="s">
        <v>6878</v>
      </c>
      <c r="O2516" s="11" t="str">
        <f>HYPERLINK("https://abs.twimg.com/sticky/default_profile_images/default_profile_0_normal.png","View")</f>
        <v>View</v>
      </c>
      <c r="P2516" s="15"/>
    </row>
    <row r="2517">
      <c r="A2517" s="7">
        <v>42425.62758101852</v>
      </c>
      <c r="B2517" s="8" t="str">
        <f>HYPERLINK("https://twitter.com/DanRMonty","@DanRMonty")</f>
        <v>@DanRMonty</v>
      </c>
      <c r="C2517" s="10" t="s">
        <v>10597</v>
      </c>
      <c r="D2517" s="10" t="s">
        <v>10598</v>
      </c>
      <c r="E2517" s="11" t="str">
        <f>HYPERLINK("https://twitter.com/DanRMonty/status/702992397525843972","702992397525843972")</f>
        <v>702992397525843972</v>
      </c>
      <c r="F2517" s="12" t="s">
        <v>52</v>
      </c>
      <c r="G2517" s="13">
        <v>940.0</v>
      </c>
      <c r="H2517" s="13">
        <v>826.0</v>
      </c>
      <c r="I2517" s="13">
        <v>4.0</v>
      </c>
      <c r="J2517" s="13">
        <v>0.0</v>
      </c>
      <c r="K2517" s="12" t="s">
        <v>21</v>
      </c>
      <c r="L2517" s="7">
        <v>41588.732939814814</v>
      </c>
      <c r="M2517" s="14" t="s">
        <v>1259</v>
      </c>
      <c r="N2517" s="14" t="s">
        <v>10599</v>
      </c>
      <c r="O2517" s="11" t="str">
        <f>HYPERLINK("https://pbs.twimg.com/profile_images/512767465713971202/wCTfTSpp_normal.jpeg","View")</f>
        <v>View</v>
      </c>
      <c r="P2517" s="15"/>
    </row>
    <row r="2518">
      <c r="A2518" s="7">
        <v>42425.628182870365</v>
      </c>
      <c r="B2518" s="8" t="str">
        <f>HYPERLINK("https://twitter.com/TableauBot","@TableauBot")</f>
        <v>@TableauBot</v>
      </c>
      <c r="C2518" s="10" t="s">
        <v>10600</v>
      </c>
      <c r="D2518" s="10" t="s">
        <v>10598</v>
      </c>
      <c r="E2518" s="11" t="str">
        <f>HYPERLINK("https://twitter.com/TableauBot/status/702992617685061632","702992617685061632")</f>
        <v>702992617685061632</v>
      </c>
      <c r="F2518" s="12" t="s">
        <v>10601</v>
      </c>
      <c r="G2518" s="13">
        <v>361.0</v>
      </c>
      <c r="H2518" s="13">
        <v>180.0</v>
      </c>
      <c r="I2518" s="13">
        <v>4.0</v>
      </c>
      <c r="J2518" s="13">
        <v>0.0</v>
      </c>
      <c r="K2518" s="12" t="s">
        <v>21</v>
      </c>
      <c r="L2518" s="7">
        <v>42387.5253125</v>
      </c>
      <c r="M2518" s="14" t="s">
        <v>1259</v>
      </c>
      <c r="N2518" s="14" t="s">
        <v>10602</v>
      </c>
      <c r="O2518" s="11" t="str">
        <f>HYPERLINK("https://pbs.twimg.com/profile_images/689185089318563840/SHtz3WKg_normal.png","View")</f>
        <v>View</v>
      </c>
      <c r="P2518" s="15"/>
    </row>
    <row r="2519">
      <c r="A2519" s="7">
        <v>42425.63015046297</v>
      </c>
      <c r="B2519" s="8" t="str">
        <f>HYPERLINK("https://twitter.com/LeahAWasser","@LeahAWasser")</f>
        <v>@LeahAWasser</v>
      </c>
      <c r="C2519" s="10" t="s">
        <v>9473</v>
      </c>
      <c r="D2519" s="10" t="s">
        <v>10603</v>
      </c>
      <c r="E2519" s="11" t="str">
        <f>HYPERLINK("https://twitter.com/LeahAWasser/status/702993328476794880","702993328476794880")</f>
        <v>702993328476794880</v>
      </c>
      <c r="F2519" s="12" t="s">
        <v>446</v>
      </c>
      <c r="G2519" s="13">
        <v>788.0</v>
      </c>
      <c r="H2519" s="13">
        <v>893.0</v>
      </c>
      <c r="I2519" s="13">
        <v>1.0</v>
      </c>
      <c r="J2519" s="13">
        <v>1.0</v>
      </c>
      <c r="K2519" s="12" t="s">
        <v>21</v>
      </c>
      <c r="L2519" s="7">
        <v>40975.52924768518</v>
      </c>
      <c r="M2519" s="14" t="s">
        <v>9475</v>
      </c>
      <c r="N2519" s="14" t="s">
        <v>9476</v>
      </c>
      <c r="O2519" s="11" t="str">
        <f>HYPERLINK("https://pbs.twimg.com/profile_images/633416207165689856/-nZq_x05_normal.jpg","View")</f>
        <v>View</v>
      </c>
      <c r="P2519" s="15"/>
    </row>
    <row r="2520">
      <c r="A2520" s="7">
        <v>42425.631689814814</v>
      </c>
      <c r="B2520" s="8" t="str">
        <f>HYPERLINK("https://twitter.com/Soccermetric","@Soccermetric")</f>
        <v>@Soccermetric</v>
      </c>
      <c r="C2520" s="10" t="s">
        <v>8171</v>
      </c>
      <c r="D2520" s="10" t="s">
        <v>10604</v>
      </c>
      <c r="E2520" s="11" t="str">
        <f>HYPERLINK("https://twitter.com/Soccermetric/status/702993886491369472","702993886491369472")</f>
        <v>702993886491369472</v>
      </c>
      <c r="F2520" s="12" t="s">
        <v>446</v>
      </c>
      <c r="G2520" s="13">
        <v>2245.0</v>
      </c>
      <c r="H2520" s="13">
        <v>397.0</v>
      </c>
      <c r="I2520" s="13">
        <v>0.0</v>
      </c>
      <c r="J2520" s="13">
        <v>1.0</v>
      </c>
      <c r="K2520" s="12" t="s">
        <v>21</v>
      </c>
      <c r="L2520" s="7">
        <v>40789.3022337963</v>
      </c>
      <c r="M2520" s="16"/>
      <c r="N2520" s="14" t="s">
        <v>8172</v>
      </c>
      <c r="O2520" s="11" t="str">
        <f>HYPERLINK("https://pbs.twimg.com/profile_images/510235992091918337/SYHHeJnz_normal.jpeg","View")</f>
        <v>View</v>
      </c>
      <c r="P2520" s="15"/>
    </row>
    <row r="2521">
      <c r="A2521" s="7">
        <v>42425.636469907404</v>
      </c>
      <c r="B2521" s="8" t="str">
        <f>HYPERLINK("https://twitter.com/DataAndDataViz","@DataAndDataViz")</f>
        <v>@DataAndDataViz</v>
      </c>
      <c r="C2521" s="10" t="s">
        <v>5145</v>
      </c>
      <c r="D2521" s="10" t="s">
        <v>10526</v>
      </c>
      <c r="E2521" s="11" t="str">
        <f>HYPERLINK("https://twitter.com/DataAndDataViz/status/702995619762327554","702995619762327554")</f>
        <v>702995619762327554</v>
      </c>
      <c r="F2521" s="12" t="s">
        <v>5146</v>
      </c>
      <c r="G2521" s="13">
        <v>473.0</v>
      </c>
      <c r="H2521" s="13">
        <v>140.0</v>
      </c>
      <c r="I2521" s="13">
        <v>13.0</v>
      </c>
      <c r="J2521" s="13">
        <v>0.0</v>
      </c>
      <c r="K2521" s="12" t="s">
        <v>21</v>
      </c>
      <c r="L2521" s="7">
        <v>41603.30427083334</v>
      </c>
      <c r="M2521" s="16"/>
      <c r="N2521" s="14" t="s">
        <v>5147</v>
      </c>
      <c r="O2521" s="11" t="str">
        <f>HYPERLINK("https://pbs.twimg.com/profile_images/412249095110008832/J_K4--iQ_normal.png","View")</f>
        <v>View</v>
      </c>
      <c r="P2521" s="15"/>
    </row>
    <row r="2522">
      <c r="A2522" s="7">
        <v>42425.63777777778</v>
      </c>
      <c r="B2522" s="8" t="str">
        <f t="shared" ref="B2522:B2523" si="271">HYPERLINK("https://twitter.com/DougW09","@DougW09")</f>
        <v>@DougW09</v>
      </c>
      <c r="C2522" s="10" t="s">
        <v>10605</v>
      </c>
      <c r="D2522" s="10" t="s">
        <v>6918</v>
      </c>
      <c r="E2522" s="11" t="str">
        <f>HYPERLINK("https://twitter.com/DougW09/status/702996091910754305","702996091910754305")</f>
        <v>702996091910754305</v>
      </c>
      <c r="F2522" s="12" t="s">
        <v>20</v>
      </c>
      <c r="G2522" s="13">
        <v>86.0</v>
      </c>
      <c r="H2522" s="13">
        <v>31.0</v>
      </c>
      <c r="I2522" s="13">
        <v>32.0</v>
      </c>
      <c r="J2522" s="13">
        <v>0.0</v>
      </c>
      <c r="K2522" s="12" t="s">
        <v>21</v>
      </c>
      <c r="L2522" s="7">
        <v>39930.83862268519</v>
      </c>
      <c r="M2522" s="14" t="s">
        <v>10606</v>
      </c>
      <c r="N2522" s="14" t="s">
        <v>10607</v>
      </c>
      <c r="O2522" s="11" t="str">
        <f t="shared" ref="O2522:O2523" si="272">HYPERLINK("https://pbs.twimg.com/profile_images/195479194/IM000197_normal.jpg","View")</f>
        <v>View</v>
      </c>
      <c r="P2522" s="15"/>
    </row>
    <row r="2523">
      <c r="A2523" s="7">
        <v>42425.638078703705</v>
      </c>
      <c r="B2523" s="8" t="str">
        <f t="shared" si="271"/>
        <v>@DougW09</v>
      </c>
      <c r="C2523" s="10" t="s">
        <v>10605</v>
      </c>
      <c r="D2523" s="10" t="s">
        <v>10550</v>
      </c>
      <c r="E2523" s="11" t="str">
        <f>HYPERLINK("https://twitter.com/DougW09/status/702996205098258432","702996205098258432")</f>
        <v>702996205098258432</v>
      </c>
      <c r="F2523" s="12" t="s">
        <v>20</v>
      </c>
      <c r="G2523" s="13">
        <v>86.0</v>
      </c>
      <c r="H2523" s="13">
        <v>31.0</v>
      </c>
      <c r="I2523" s="13">
        <v>11.0</v>
      </c>
      <c r="J2523" s="13">
        <v>0.0</v>
      </c>
      <c r="K2523" s="12" t="s">
        <v>21</v>
      </c>
      <c r="L2523" s="7">
        <v>39930.83862268519</v>
      </c>
      <c r="M2523" s="14" t="s">
        <v>10606</v>
      </c>
      <c r="N2523" s="14" t="s">
        <v>10607</v>
      </c>
      <c r="O2523" s="11" t="str">
        <f t="shared" si="272"/>
        <v>View</v>
      </c>
      <c r="P2523" s="15"/>
    </row>
    <row r="2524">
      <c r="A2524" s="7">
        <v>42425.640694444446</v>
      </c>
      <c r="B2524" s="8" t="str">
        <f>HYPERLINK("https://twitter.com/NumFOCUS","@NumFOCUS")</f>
        <v>@NumFOCUS</v>
      </c>
      <c r="C2524" s="10" t="s">
        <v>3159</v>
      </c>
      <c r="D2524" s="10" t="s">
        <v>8805</v>
      </c>
      <c r="E2524" s="11" t="str">
        <f>HYPERLINK("https://twitter.com/NumFOCUS/status/702997150179991552","702997150179991552")</f>
        <v>702997150179991552</v>
      </c>
      <c r="F2524" s="12" t="s">
        <v>659</v>
      </c>
      <c r="G2524" s="13">
        <v>1376.0</v>
      </c>
      <c r="H2524" s="13">
        <v>203.0</v>
      </c>
      <c r="I2524" s="13">
        <v>2.0</v>
      </c>
      <c r="J2524" s="13">
        <v>0.0</v>
      </c>
      <c r="K2524" s="12" t="s">
        <v>21</v>
      </c>
      <c r="L2524" s="7">
        <v>41281.439409722225</v>
      </c>
      <c r="M2524" s="14" t="s">
        <v>2022</v>
      </c>
      <c r="N2524" s="14" t="s">
        <v>3160</v>
      </c>
      <c r="O2524" s="11" t="str">
        <f>HYPERLINK("https://pbs.twimg.com/profile_images/702558144958869504/AIKaOGn__normal.png","View")</f>
        <v>View</v>
      </c>
      <c r="P2524" s="15"/>
    </row>
    <row r="2525">
      <c r="A2525" s="7">
        <v>42425.64085648148</v>
      </c>
      <c r="B2525" s="8" t="str">
        <f>HYPERLINK("https://twitter.com/DougW09","@DougW09")</f>
        <v>@DougW09</v>
      </c>
      <c r="C2525" s="10" t="s">
        <v>10605</v>
      </c>
      <c r="D2525" s="10" t="s">
        <v>10426</v>
      </c>
      <c r="E2525" s="11" t="str">
        <f>HYPERLINK("https://twitter.com/DougW09/status/702997208359022592","702997208359022592")</f>
        <v>702997208359022592</v>
      </c>
      <c r="F2525" s="12" t="s">
        <v>20</v>
      </c>
      <c r="G2525" s="13">
        <v>86.0</v>
      </c>
      <c r="H2525" s="13">
        <v>31.0</v>
      </c>
      <c r="I2525" s="13">
        <v>15.0</v>
      </c>
      <c r="J2525" s="13">
        <v>0.0</v>
      </c>
      <c r="K2525" s="12" t="s">
        <v>21</v>
      </c>
      <c r="L2525" s="7">
        <v>39930.83862268519</v>
      </c>
      <c r="M2525" s="14" t="s">
        <v>10606</v>
      </c>
      <c r="N2525" s="14" t="s">
        <v>10607</v>
      </c>
      <c r="O2525" s="11" t="str">
        <f>HYPERLINK("https://pbs.twimg.com/profile_images/195479194/IM000197_normal.jpg","View")</f>
        <v>View</v>
      </c>
      <c r="P2525" s="15"/>
    </row>
    <row r="2526">
      <c r="A2526" s="7">
        <v>42425.64200231481</v>
      </c>
      <c r="B2526" s="8" t="str">
        <f>HYPERLINK("https://twitter.com/ByunLab","@ByunLab")</f>
        <v>@ByunLab</v>
      </c>
      <c r="C2526" s="10" t="s">
        <v>10608</v>
      </c>
      <c r="D2526" s="10" t="s">
        <v>10609</v>
      </c>
      <c r="E2526" s="11" t="str">
        <f>HYPERLINK("https://twitter.com/ByunLab/status/702997626116042753","702997626116042753")</f>
        <v>702997626116042753</v>
      </c>
      <c r="F2526" s="12" t="s">
        <v>20</v>
      </c>
      <c r="G2526" s="13">
        <v>539.0</v>
      </c>
      <c r="H2526" s="13">
        <v>337.0</v>
      </c>
      <c r="I2526" s="13">
        <v>0.0</v>
      </c>
      <c r="J2526" s="13">
        <v>4.0</v>
      </c>
      <c r="K2526" s="12" t="s">
        <v>21</v>
      </c>
      <c r="L2526" s="7">
        <v>41465.2659375</v>
      </c>
      <c r="M2526" s="14" t="s">
        <v>1939</v>
      </c>
      <c r="N2526" s="14" t="s">
        <v>10610</v>
      </c>
      <c r="O2526" s="11" t="str">
        <f>HYPERLINK("https://pbs.twimg.com/profile_images/626230359550627840/2fHlDKlc_normal.png","View")</f>
        <v>View</v>
      </c>
      <c r="P2526" s="15"/>
    </row>
    <row r="2527">
      <c r="A2527" s="7">
        <v>42425.642696759256</v>
      </c>
      <c r="B2527" s="8" t="str">
        <f>HYPERLINK("https://twitter.com/wissens_werke","@wissens_werke")</f>
        <v>@wissens_werke</v>
      </c>
      <c r="C2527" s="10" t="s">
        <v>10611</v>
      </c>
      <c r="D2527" s="10" t="s">
        <v>10455</v>
      </c>
      <c r="E2527" s="11" t="str">
        <f>HYPERLINK("https://twitter.com/wissens_werke/status/702997874758565888","702997874758565888")</f>
        <v>702997874758565888</v>
      </c>
      <c r="F2527" s="12" t="s">
        <v>3408</v>
      </c>
      <c r="G2527" s="13">
        <v>33.0</v>
      </c>
      <c r="H2527" s="13">
        <v>102.0</v>
      </c>
      <c r="I2527" s="13">
        <v>22.0</v>
      </c>
      <c r="J2527" s="13">
        <v>0.0</v>
      </c>
      <c r="K2527" s="12" t="s">
        <v>21</v>
      </c>
      <c r="L2527" s="7">
        <v>41875.67899305555</v>
      </c>
      <c r="M2527" s="14" t="s">
        <v>10612</v>
      </c>
      <c r="N2527" s="14" t="s">
        <v>10613</v>
      </c>
      <c r="O2527" s="11" t="str">
        <f>HYPERLINK("https://pbs.twimg.com/profile_images/526136532713746434/fykhMbLL_normal.png","View")</f>
        <v>View</v>
      </c>
      <c r="P2527" s="15"/>
    </row>
    <row r="2528">
      <c r="A2528" s="7">
        <v>42425.64275462963</v>
      </c>
      <c r="B2528" s="8" t="str">
        <f>HYPERLINK("https://twitter.com/Barkerjas","@Barkerjas")</f>
        <v>@Barkerjas</v>
      </c>
      <c r="C2528" s="10" t="s">
        <v>9871</v>
      </c>
      <c r="D2528" s="10" t="s">
        <v>10614</v>
      </c>
      <c r="E2528" s="11" t="str">
        <f>HYPERLINK("https://twitter.com/Barkerjas/status/702997895755100160","702997895755100160")</f>
        <v>702997895755100160</v>
      </c>
      <c r="F2528" s="12" t="s">
        <v>20</v>
      </c>
      <c r="G2528" s="13">
        <v>239.0</v>
      </c>
      <c r="H2528" s="13">
        <v>692.0</v>
      </c>
      <c r="I2528" s="13">
        <v>1.0</v>
      </c>
      <c r="J2528" s="13">
        <v>0.0</v>
      </c>
      <c r="K2528" s="12" t="s">
        <v>21</v>
      </c>
      <c r="L2528" s="7">
        <v>41087.42030092592</v>
      </c>
      <c r="M2528" s="14" t="s">
        <v>9872</v>
      </c>
      <c r="N2528" s="14" t="s">
        <v>9873</v>
      </c>
      <c r="O2528" s="11" t="str">
        <f>HYPERLINK("https://pbs.twimg.com/profile_images/643803597218541568/3og7H0Xq_normal.jpg","View")</f>
        <v>View</v>
      </c>
      <c r="P2528" s="15"/>
    </row>
    <row r="2529">
      <c r="A2529" s="7">
        <v>42425.64581018519</v>
      </c>
      <c r="B2529" s="8" t="str">
        <f>HYPERLINK("https://twitter.com/alexander_lex","@alexander_lex")</f>
        <v>@alexander_lex</v>
      </c>
      <c r="C2529" s="10" t="s">
        <v>10615</v>
      </c>
      <c r="D2529" s="10" t="s">
        <v>10616</v>
      </c>
      <c r="E2529" s="11" t="str">
        <f>HYPERLINK("https://twitter.com/alexander_lex/status/702999005093957632","702999005093957632")</f>
        <v>702999005093957632</v>
      </c>
      <c r="F2529" s="12" t="s">
        <v>20</v>
      </c>
      <c r="G2529" s="13">
        <v>426.0</v>
      </c>
      <c r="H2529" s="13">
        <v>356.0</v>
      </c>
      <c r="I2529" s="13">
        <v>7.0</v>
      </c>
      <c r="J2529" s="13">
        <v>10.0</v>
      </c>
      <c r="K2529" s="12" t="s">
        <v>21</v>
      </c>
      <c r="L2529" s="7">
        <v>40097.49159722222</v>
      </c>
      <c r="M2529" s="14" t="s">
        <v>7790</v>
      </c>
      <c r="N2529" s="14" t="s">
        <v>10617</v>
      </c>
      <c r="O2529" s="11" t="str">
        <f>HYPERLINK("https://pbs.twimg.com/profile_images/626343671152136192/lJFEe0cX_normal.jpg","View")</f>
        <v>View</v>
      </c>
      <c r="P2529" s="15"/>
    </row>
    <row r="2530">
      <c r="A2530" s="7">
        <v>42425.64873842592</v>
      </c>
      <c r="B2530" s="8" t="str">
        <f>HYPERLINK("https://twitter.com/jenstirrup","@jenstirrup")</f>
        <v>@jenstirrup</v>
      </c>
      <c r="C2530" s="10" t="s">
        <v>6432</v>
      </c>
      <c r="D2530" s="10" t="s">
        <v>10618</v>
      </c>
      <c r="E2530" s="11" t="str">
        <f>HYPERLINK("https://twitter.com/jenstirrup/status/703000066492121089","703000066492121089")</f>
        <v>703000066492121089</v>
      </c>
      <c r="F2530" s="12" t="s">
        <v>20</v>
      </c>
      <c r="G2530" s="13">
        <v>8763.0</v>
      </c>
      <c r="H2530" s="13">
        <v>3147.0</v>
      </c>
      <c r="I2530" s="13">
        <v>2.0</v>
      </c>
      <c r="J2530" s="13">
        <v>7.0</v>
      </c>
      <c r="K2530" s="12" t="s">
        <v>21</v>
      </c>
      <c r="L2530" s="7">
        <v>39879.60259259259</v>
      </c>
      <c r="M2530" s="14" t="s">
        <v>6434</v>
      </c>
      <c r="N2530" s="14" t="s">
        <v>6435</v>
      </c>
      <c r="O2530" s="11" t="str">
        <f>HYPERLINK("https://pbs.twimg.com/profile_images/696103690369949696/EpU6buAs_normal.jpg","View")</f>
        <v>View</v>
      </c>
      <c r="P2530" s="15"/>
    </row>
    <row r="2531">
      <c r="A2531" s="7">
        <v>42425.65298611111</v>
      </c>
      <c r="B2531" s="8" t="str">
        <f>HYPERLINK("https://twitter.com/Sergmis","@Sergmis")</f>
        <v>@Sergmis</v>
      </c>
      <c r="C2531" s="10" t="s">
        <v>10619</v>
      </c>
      <c r="D2531" s="10" t="s">
        <v>10620</v>
      </c>
      <c r="E2531" s="11" t="str">
        <f>HYPERLINK("https://twitter.com/Sergmis/status/703001606388723713","703001606388723713")</f>
        <v>703001606388723713</v>
      </c>
      <c r="F2531" s="12" t="s">
        <v>446</v>
      </c>
      <c r="G2531" s="13">
        <v>49.0</v>
      </c>
      <c r="H2531" s="13">
        <v>88.0</v>
      </c>
      <c r="I2531" s="13">
        <v>2.0</v>
      </c>
      <c r="J2531" s="13">
        <v>0.0</v>
      </c>
      <c r="K2531" s="12" t="s">
        <v>21</v>
      </c>
      <c r="L2531" s="7">
        <v>40286.56621527778</v>
      </c>
      <c r="M2531" s="14" t="s">
        <v>10621</v>
      </c>
      <c r="N2531" s="14" t="s">
        <v>10622</v>
      </c>
      <c r="O2531" s="11" t="str">
        <f>HYPERLINK("https://pbs.twimg.com/profile_images/653994780599255040/iNVkvtOL_normal.jpg","View")</f>
        <v>View</v>
      </c>
      <c r="P2531" s="15"/>
    </row>
    <row r="2532">
      <c r="A2532" s="7">
        <v>42425.65657407408</v>
      </c>
      <c r="B2532" s="8" t="str">
        <f>HYPERLINK("https://twitter.com/ByunLab","@ByunLab")</f>
        <v>@ByunLab</v>
      </c>
      <c r="C2532" s="10" t="s">
        <v>10608</v>
      </c>
      <c r="D2532" s="10" t="s">
        <v>10623</v>
      </c>
      <c r="E2532" s="11" t="str">
        <f>HYPERLINK("https://twitter.com/ByunLab/status/703002904043642880","703002904043642880")</f>
        <v>703002904043642880</v>
      </c>
      <c r="F2532" s="12" t="s">
        <v>20</v>
      </c>
      <c r="G2532" s="13">
        <v>539.0</v>
      </c>
      <c r="H2532" s="13">
        <v>337.0</v>
      </c>
      <c r="I2532" s="13">
        <v>9.0</v>
      </c>
      <c r="J2532" s="13">
        <v>1.0</v>
      </c>
      <c r="K2532" s="12" t="s">
        <v>21</v>
      </c>
      <c r="L2532" s="7">
        <v>41465.2659375</v>
      </c>
      <c r="M2532" s="14" t="s">
        <v>1939</v>
      </c>
      <c r="N2532" s="14" t="s">
        <v>10610</v>
      </c>
      <c r="O2532" s="11" t="str">
        <f>HYPERLINK("https://pbs.twimg.com/profile_images/626230359550627840/2fHlDKlc_normal.png","View")</f>
        <v>View</v>
      </c>
      <c r="P2532" s="15"/>
    </row>
    <row r="2533">
      <c r="A2533" s="7">
        <v>42425.65740740741</v>
      </c>
      <c r="B2533" s="8" t="str">
        <f>HYPERLINK("https://twitter.com/AviatorJake","@AviatorJake")</f>
        <v>@AviatorJake</v>
      </c>
      <c r="C2533" s="10" t="s">
        <v>10624</v>
      </c>
      <c r="D2533" s="10" t="s">
        <v>10598</v>
      </c>
      <c r="E2533" s="11" t="str">
        <f>HYPERLINK("https://twitter.com/AviatorJake/status/703003207128084481","703003207128084481")</f>
        <v>703003207128084481</v>
      </c>
      <c r="F2533" s="12" t="s">
        <v>152</v>
      </c>
      <c r="G2533" s="13">
        <v>48.0</v>
      </c>
      <c r="H2533" s="13">
        <v>154.0</v>
      </c>
      <c r="I2533" s="13">
        <v>4.0</v>
      </c>
      <c r="J2533" s="13">
        <v>0.0</v>
      </c>
      <c r="K2533" s="12" t="s">
        <v>21</v>
      </c>
      <c r="L2533" s="7">
        <v>40177.28438657407</v>
      </c>
      <c r="M2533" s="14" t="s">
        <v>10625</v>
      </c>
      <c r="N2533" s="14" t="s">
        <v>10626</v>
      </c>
      <c r="O2533" s="11" t="str">
        <f>HYPERLINK("https://pbs.twimg.com/profile_images/509051150398550018/evyrBiq1_normal.jpeg","View")</f>
        <v>View</v>
      </c>
      <c r="P2533" s="15"/>
    </row>
    <row r="2534">
      <c r="A2534" s="7">
        <v>42425.65761574074</v>
      </c>
      <c r="B2534" s="8" t="str">
        <f>HYPERLINK("https://twitter.com/samkirkham","@samkirkham")</f>
        <v>@samkirkham</v>
      </c>
      <c r="C2534" s="10" t="s">
        <v>10627</v>
      </c>
      <c r="D2534" s="10" t="s">
        <v>10628</v>
      </c>
      <c r="E2534" s="11" t="str">
        <f>HYPERLINK("https://twitter.com/samkirkham/status/703003280947994624","703003280947994624")</f>
        <v>703003280947994624</v>
      </c>
      <c r="F2534" s="12" t="s">
        <v>1573</v>
      </c>
      <c r="G2534" s="13">
        <v>1251.0</v>
      </c>
      <c r="H2534" s="13">
        <v>473.0</v>
      </c>
      <c r="I2534" s="13">
        <v>9.0</v>
      </c>
      <c r="J2534" s="13">
        <v>0.0</v>
      </c>
      <c r="K2534" s="12" t="s">
        <v>21</v>
      </c>
      <c r="L2534" s="7">
        <v>39924.54047453704</v>
      </c>
      <c r="M2534" s="14" t="s">
        <v>10629</v>
      </c>
      <c r="N2534" s="14" t="s">
        <v>10630</v>
      </c>
      <c r="O2534" s="11" t="str">
        <f>HYPERLINK("https://pbs.twimg.com/profile_images/662784488049664000/jzomPtvA_normal.jpg","View")</f>
        <v>View</v>
      </c>
      <c r="P2534" s="15"/>
    </row>
    <row r="2535">
      <c r="A2535" s="7">
        <v>42425.6580324074</v>
      </c>
      <c r="B2535" s="8" t="str">
        <f>HYPERLINK("https://twitter.com/DaphnaHarel","@DaphnaHarel")</f>
        <v>@DaphnaHarel</v>
      </c>
      <c r="C2535" s="10" t="s">
        <v>10631</v>
      </c>
      <c r="D2535" s="10" t="s">
        <v>10628</v>
      </c>
      <c r="E2535" s="11" t="str">
        <f>HYPERLINK("https://twitter.com/DaphnaHarel/status/703003435944251392","703003435944251392")</f>
        <v>703003435944251392</v>
      </c>
      <c r="F2535" s="12" t="s">
        <v>20</v>
      </c>
      <c r="G2535" s="13">
        <v>92.0</v>
      </c>
      <c r="H2535" s="13">
        <v>196.0</v>
      </c>
      <c r="I2535" s="13">
        <v>9.0</v>
      </c>
      <c r="J2535" s="13">
        <v>0.0</v>
      </c>
      <c r="K2535" s="12" t="s">
        <v>21</v>
      </c>
      <c r="L2535" s="7">
        <v>40641.61498842593</v>
      </c>
      <c r="M2535" s="14" t="s">
        <v>1939</v>
      </c>
      <c r="N2535" s="14" t="s">
        <v>10632</v>
      </c>
      <c r="O2535" s="11" t="str">
        <f>HYPERLINK("https://pbs.twimg.com/profile_images/2305840282/0281m07079rhmty9khnw_normal.png","View")</f>
        <v>View</v>
      </c>
      <c r="P2535" s="15"/>
    </row>
    <row r="2536">
      <c r="A2536" s="7">
        <v>42425.65986111111</v>
      </c>
      <c r="B2536" s="8" t="str">
        <f>HYPERLINK("https://twitter.com/Rbloggers","@Rbloggers")</f>
        <v>@Rbloggers</v>
      </c>
      <c r="C2536" s="10" t="s">
        <v>6221</v>
      </c>
      <c r="D2536" s="10" t="s">
        <v>10633</v>
      </c>
      <c r="E2536" s="11" t="str">
        <f>HYPERLINK("https://twitter.com/Rbloggers/status/703004094907023360","703004094907023360")</f>
        <v>703004094907023360</v>
      </c>
      <c r="F2536" s="17" t="s">
        <v>6223</v>
      </c>
      <c r="G2536" s="13">
        <v>28572.0</v>
      </c>
      <c r="H2536" s="13">
        <v>36.0</v>
      </c>
      <c r="I2536" s="13">
        <v>4.0</v>
      </c>
      <c r="J2536" s="13">
        <v>3.0</v>
      </c>
      <c r="K2536" s="12" t="s">
        <v>21</v>
      </c>
      <c r="L2536" s="7">
        <v>40314.510601851856</v>
      </c>
      <c r="M2536" s="16"/>
      <c r="N2536" s="14" t="s">
        <v>6224</v>
      </c>
      <c r="O2536" s="11" t="str">
        <f>HYPERLINK("https://pbs.twimg.com/profile_images/502185985786916864/gkdFh-q7_normal.png","View")</f>
        <v>View</v>
      </c>
      <c r="P2536" s="15"/>
    </row>
    <row r="2537">
      <c r="A2537" s="7">
        <v>42425.662199074075</v>
      </c>
      <c r="B2537" s="8" t="str">
        <f>HYPERLINK("https://twitter.com/renato_umeton","@renato_umeton")</f>
        <v>@renato_umeton</v>
      </c>
      <c r="C2537" s="10" t="s">
        <v>1659</v>
      </c>
      <c r="D2537" s="10" t="s">
        <v>10634</v>
      </c>
      <c r="E2537" s="11" t="str">
        <f>HYPERLINK("https://twitter.com/renato_umeton/status/703004945348485121","703004945348485121")</f>
        <v>703004945348485121</v>
      </c>
      <c r="F2537" s="12" t="s">
        <v>38</v>
      </c>
      <c r="G2537" s="13">
        <v>70.0</v>
      </c>
      <c r="H2537" s="13">
        <v>79.0</v>
      </c>
      <c r="I2537" s="13">
        <v>4.0</v>
      </c>
      <c r="J2537" s="13">
        <v>0.0</v>
      </c>
      <c r="K2537" s="12" t="s">
        <v>21</v>
      </c>
      <c r="L2537" s="7">
        <v>39918.052083333336</v>
      </c>
      <c r="M2537" s="14" t="s">
        <v>1660</v>
      </c>
      <c r="N2537" s="14" t="s">
        <v>1661</v>
      </c>
      <c r="O2537" s="11" t="str">
        <f>HYPERLINK("https://pbs.twimg.com/profile_images/701553083537604608/nr8b38eG_normal.jpg","View")</f>
        <v>View</v>
      </c>
      <c r="P2537" s="15"/>
    </row>
    <row r="2538">
      <c r="A2538" s="7">
        <v>42425.66253472222</v>
      </c>
      <c r="B2538" s="8" t="str">
        <f>HYPERLINK("https://twitter.com/Sergio_CPS","@Sergio_CPS")</f>
        <v>@Sergio_CPS</v>
      </c>
      <c r="C2538" s="10" t="s">
        <v>6395</v>
      </c>
      <c r="D2538" s="10" t="s">
        <v>10634</v>
      </c>
      <c r="E2538" s="11" t="str">
        <f>HYPERLINK("https://twitter.com/Sergio_CPS/status/703005064789680128","703005064789680128")</f>
        <v>703005064789680128</v>
      </c>
      <c r="F2538" s="12" t="s">
        <v>20</v>
      </c>
      <c r="G2538" s="13">
        <v>643.0</v>
      </c>
      <c r="H2538" s="13">
        <v>644.0</v>
      </c>
      <c r="I2538" s="13">
        <v>4.0</v>
      </c>
      <c r="J2538" s="13">
        <v>0.0</v>
      </c>
      <c r="K2538" s="12" t="s">
        <v>21</v>
      </c>
      <c r="L2538" s="7">
        <v>39958.0190162037</v>
      </c>
      <c r="M2538" s="14" t="s">
        <v>6396</v>
      </c>
      <c r="N2538" s="14" t="s">
        <v>6397</v>
      </c>
      <c r="O2538" s="11" t="str">
        <f>HYPERLINK("https://pbs.twimg.com/profile_images/672265924184010752/LrKCh_kA_normal.png","View")</f>
        <v>View</v>
      </c>
      <c r="P2538" s="15"/>
    </row>
    <row r="2539">
      <c r="A2539" s="7">
        <v>42425.66680555556</v>
      </c>
      <c r="B2539" s="8" t="str">
        <f>HYPERLINK("https://twitter.com/david_lacho","@david_lacho")</f>
        <v>@david_lacho</v>
      </c>
      <c r="C2539" s="10" t="s">
        <v>10635</v>
      </c>
      <c r="D2539" s="10" t="s">
        <v>10628</v>
      </c>
      <c r="E2539" s="11" t="str">
        <f>HYPERLINK("https://twitter.com/david_lacho/status/703006613389447168","703006613389447168")</f>
        <v>703006613389447168</v>
      </c>
      <c r="F2539" s="12" t="s">
        <v>1573</v>
      </c>
      <c r="G2539" s="13">
        <v>112.0</v>
      </c>
      <c r="H2539" s="13">
        <v>570.0</v>
      </c>
      <c r="I2539" s="13">
        <v>9.0</v>
      </c>
      <c r="J2539" s="13">
        <v>0.0</v>
      </c>
      <c r="K2539" s="12" t="s">
        <v>21</v>
      </c>
      <c r="L2539" s="7">
        <v>42253.884375</v>
      </c>
      <c r="M2539" s="14" t="s">
        <v>10636</v>
      </c>
      <c r="N2539" s="14" t="s">
        <v>10637</v>
      </c>
      <c r="O2539" s="11" t="str">
        <f>HYPERLINK("https://pbs.twimg.com/profile_images/691113641186168832/H4FzYREt_normal.jpg","View")</f>
        <v>View</v>
      </c>
      <c r="P2539" s="15"/>
    </row>
    <row r="2540">
      <c r="A2540" s="7">
        <v>42425.66719907407</v>
      </c>
      <c r="B2540" s="8" t="str">
        <f>HYPERLINK("https://twitter.com/AnalyticsVidhya","@AnalyticsVidhya")</f>
        <v>@AnalyticsVidhya</v>
      </c>
      <c r="C2540" s="10" t="s">
        <v>2998</v>
      </c>
      <c r="D2540" s="10" t="s">
        <v>10638</v>
      </c>
      <c r="E2540" s="11" t="str">
        <f>HYPERLINK("https://twitter.com/AnalyticsVidhya/status/703006756901928960","703006756901928960")</f>
        <v>703006756901928960</v>
      </c>
      <c r="F2540" s="12" t="s">
        <v>294</v>
      </c>
      <c r="G2540" s="13">
        <v>4133.0</v>
      </c>
      <c r="H2540" s="13">
        <v>250.0</v>
      </c>
      <c r="I2540" s="13">
        <v>0.0</v>
      </c>
      <c r="J2540" s="13">
        <v>1.0</v>
      </c>
      <c r="K2540" s="12" t="s">
        <v>21</v>
      </c>
      <c r="L2540" s="7">
        <v>41665.11702546296</v>
      </c>
      <c r="M2540" s="16"/>
      <c r="N2540" s="14" t="s">
        <v>3000</v>
      </c>
      <c r="O2540" s="11" t="str">
        <f>HYPERLINK("https://pbs.twimg.com/profile_images/457775762108448768/XmO2C1-E_normal.png","View")</f>
        <v>View</v>
      </c>
      <c r="P2540" s="15"/>
    </row>
    <row r="2541">
      <c r="A2541" s="7">
        <v>42425.66795138889</v>
      </c>
      <c r="B2541" s="8" t="str">
        <f t="shared" ref="B2541:B2543" si="273">HYPERLINK("https://twitter.com/MarcosMatabuena","@MarcosMatabuena")</f>
        <v>@MarcosMatabuena</v>
      </c>
      <c r="C2541" s="10" t="s">
        <v>6499</v>
      </c>
      <c r="D2541" s="10" t="s">
        <v>10550</v>
      </c>
      <c r="E2541" s="11" t="str">
        <f>HYPERLINK("https://twitter.com/MarcosMatabuena/status/703007028663476224","703007028663476224")</f>
        <v>703007028663476224</v>
      </c>
      <c r="F2541" s="12" t="s">
        <v>20</v>
      </c>
      <c r="G2541" s="13">
        <v>69.0</v>
      </c>
      <c r="H2541" s="13">
        <v>183.0</v>
      </c>
      <c r="I2541" s="13">
        <v>11.0</v>
      </c>
      <c r="J2541" s="13">
        <v>0.0</v>
      </c>
      <c r="K2541" s="12" t="s">
        <v>21</v>
      </c>
      <c r="L2541" s="7">
        <v>40934.543958333335</v>
      </c>
      <c r="M2541" s="16"/>
      <c r="N2541" s="14" t="s">
        <v>6500</v>
      </c>
      <c r="O2541" s="11" t="str">
        <f t="shared" ref="O2541:O2543" si="274">HYPERLINK("https://pbs.twimg.com/profile_images/378800000197513149/67cd42127a284a220161c1295a57b65f_normal.jpeg","View")</f>
        <v>View</v>
      </c>
      <c r="P2541" s="15"/>
    </row>
    <row r="2542">
      <c r="A2542" s="7">
        <v>42425.66798611111</v>
      </c>
      <c r="B2542" s="8" t="str">
        <f t="shared" si="273"/>
        <v>@MarcosMatabuena</v>
      </c>
      <c r="C2542" s="10" t="s">
        <v>6499</v>
      </c>
      <c r="D2542" s="10" t="s">
        <v>10552</v>
      </c>
      <c r="E2542" s="11" t="str">
        <f>HYPERLINK("https://twitter.com/MarcosMatabuena/status/703007040164200448","703007040164200448")</f>
        <v>703007040164200448</v>
      </c>
      <c r="F2542" s="12" t="s">
        <v>20</v>
      </c>
      <c r="G2542" s="13">
        <v>69.0</v>
      </c>
      <c r="H2542" s="13">
        <v>183.0</v>
      </c>
      <c r="I2542" s="13">
        <v>3.0</v>
      </c>
      <c r="J2542" s="13">
        <v>0.0</v>
      </c>
      <c r="K2542" s="12" t="s">
        <v>21</v>
      </c>
      <c r="L2542" s="7">
        <v>40934.543958333335</v>
      </c>
      <c r="M2542" s="16"/>
      <c r="N2542" s="14" t="s">
        <v>6500</v>
      </c>
      <c r="O2542" s="11" t="str">
        <f t="shared" si="274"/>
        <v>View</v>
      </c>
      <c r="P2542" s="15"/>
    </row>
    <row r="2543">
      <c r="A2543" s="7">
        <v>42425.668541666666</v>
      </c>
      <c r="B2543" s="8" t="str">
        <f t="shared" si="273"/>
        <v>@MarcosMatabuena</v>
      </c>
      <c r="C2543" s="10" t="s">
        <v>6499</v>
      </c>
      <c r="D2543" s="10" t="s">
        <v>10426</v>
      </c>
      <c r="E2543" s="11" t="str">
        <f>HYPERLINK("https://twitter.com/MarcosMatabuena/status/703007241297907712","703007241297907712")</f>
        <v>703007241297907712</v>
      </c>
      <c r="F2543" s="12" t="s">
        <v>20</v>
      </c>
      <c r="G2543" s="13">
        <v>69.0</v>
      </c>
      <c r="H2543" s="13">
        <v>183.0</v>
      </c>
      <c r="I2543" s="13">
        <v>15.0</v>
      </c>
      <c r="J2543" s="13">
        <v>0.0</v>
      </c>
      <c r="K2543" s="12" t="s">
        <v>21</v>
      </c>
      <c r="L2543" s="7">
        <v>40934.543958333335</v>
      </c>
      <c r="M2543" s="16"/>
      <c r="N2543" s="14" t="s">
        <v>6500</v>
      </c>
      <c r="O2543" s="11" t="str">
        <f t="shared" si="274"/>
        <v>View</v>
      </c>
      <c r="P2543" s="15"/>
    </row>
    <row r="2544">
      <c r="A2544" s="7">
        <v>42425.669583333336</v>
      </c>
      <c r="B2544" s="8" t="str">
        <f>HYPERLINK("https://twitter.com/LeopoldLabESF","@LeopoldLabESF")</f>
        <v>@LeopoldLabESF</v>
      </c>
      <c r="C2544" s="10" t="s">
        <v>10639</v>
      </c>
      <c r="D2544" s="10" t="s">
        <v>10640</v>
      </c>
      <c r="E2544" s="11" t="str">
        <f>HYPERLINK("https://twitter.com/LeopoldLabESF/status/703007619284377600","703007619284377600")</f>
        <v>703007619284377600</v>
      </c>
      <c r="F2544" s="12" t="s">
        <v>52</v>
      </c>
      <c r="G2544" s="13">
        <v>125.0</v>
      </c>
      <c r="H2544" s="13">
        <v>192.0</v>
      </c>
      <c r="I2544" s="13">
        <v>1.0</v>
      </c>
      <c r="J2544" s="13">
        <v>0.0</v>
      </c>
      <c r="K2544" s="12" t="s">
        <v>21</v>
      </c>
      <c r="L2544" s="7">
        <v>42271.38438657408</v>
      </c>
      <c r="M2544" s="14" t="s">
        <v>10641</v>
      </c>
      <c r="N2544" s="14" t="s">
        <v>10642</v>
      </c>
      <c r="O2544" s="11" t="str">
        <f>HYPERLINK("https://pbs.twimg.com/profile_images/647089998743891969/VqrZUMuN_normal.jpg","View")</f>
        <v>View</v>
      </c>
      <c r="P2544" s="15"/>
    </row>
    <row r="2545">
      <c r="A2545" s="7">
        <v>42425.66960648148</v>
      </c>
      <c r="B2545" s="8" t="str">
        <f>HYPERLINK("https://twitter.com/MarcosMatabuena","@MarcosMatabuena")</f>
        <v>@MarcosMatabuena</v>
      </c>
      <c r="C2545" s="10" t="s">
        <v>6499</v>
      </c>
      <c r="D2545" s="10" t="s">
        <v>10343</v>
      </c>
      <c r="E2545" s="11" t="str">
        <f>HYPERLINK("https://twitter.com/MarcosMatabuena/status/703007629090689024","703007629090689024")</f>
        <v>703007629090689024</v>
      </c>
      <c r="F2545" s="12" t="s">
        <v>20</v>
      </c>
      <c r="G2545" s="13">
        <v>69.0</v>
      </c>
      <c r="H2545" s="13">
        <v>183.0</v>
      </c>
      <c r="I2545" s="13">
        <v>15.0</v>
      </c>
      <c r="J2545" s="13">
        <v>0.0</v>
      </c>
      <c r="K2545" s="12" t="s">
        <v>21</v>
      </c>
      <c r="L2545" s="7">
        <v>40934.543958333335</v>
      </c>
      <c r="M2545" s="16"/>
      <c r="N2545" s="14" t="s">
        <v>6500</v>
      </c>
      <c r="O2545" s="11" t="str">
        <f>HYPERLINK("https://pbs.twimg.com/profile_images/378800000197513149/67cd42127a284a220161c1295a57b65f_normal.jpeg","View")</f>
        <v>View</v>
      </c>
      <c r="P2545" s="15"/>
    </row>
    <row r="2546">
      <c r="A2546" s="7">
        <v>42425.671435185184</v>
      </c>
      <c r="B2546" s="8" t="str">
        <f>HYPERLINK("https://twitter.com/ScreenSolution_","@ScreenSolution_")</f>
        <v>@ScreenSolution_</v>
      </c>
      <c r="C2546" s="10" t="s">
        <v>10643</v>
      </c>
      <c r="D2546" s="10" t="s">
        <v>9666</v>
      </c>
      <c r="E2546" s="11" t="str">
        <f>HYPERLINK("https://twitter.com/ScreenSolution_/status/703008290045693952","703008290045693952")</f>
        <v>703008290045693952</v>
      </c>
      <c r="F2546" s="12" t="s">
        <v>20</v>
      </c>
      <c r="G2546" s="13">
        <v>210.0</v>
      </c>
      <c r="H2546" s="13">
        <v>698.0</v>
      </c>
      <c r="I2546" s="13">
        <v>2.0</v>
      </c>
      <c r="J2546" s="13">
        <v>0.0</v>
      </c>
      <c r="K2546" s="12" t="s">
        <v>21</v>
      </c>
      <c r="L2546" s="7">
        <v>42356.384560185186</v>
      </c>
      <c r="M2546" s="16"/>
      <c r="N2546" s="16"/>
      <c r="O2546" s="11" t="str">
        <f>HYPERLINK("https://pbs.twimg.com/profile_images/686633360471494656/3xYwMmeV_normal.png","View")</f>
        <v>View</v>
      </c>
      <c r="P2546" s="15"/>
    </row>
    <row r="2547">
      <c r="A2547" s="7">
        <v>42425.67212962963</v>
      </c>
      <c r="B2547" s="8" t="str">
        <f t="shared" ref="B2547:B2548" si="275">HYPERLINK("https://twitter.com/DataWookie","@DataWookie")</f>
        <v>@DataWookie</v>
      </c>
      <c r="C2547" s="10" t="s">
        <v>6231</v>
      </c>
      <c r="D2547" s="10" t="s">
        <v>10644</v>
      </c>
      <c r="E2547" s="11" t="str">
        <f>HYPERLINK("https://twitter.com/DataWookie/status/703008543637577728","703008543637577728")</f>
        <v>703008543637577728</v>
      </c>
      <c r="F2547" s="12" t="s">
        <v>6233</v>
      </c>
      <c r="G2547" s="13">
        <v>426.0</v>
      </c>
      <c r="H2547" s="13">
        <v>296.0</v>
      </c>
      <c r="I2547" s="13">
        <v>0.0</v>
      </c>
      <c r="J2547" s="13">
        <v>0.0</v>
      </c>
      <c r="K2547" s="12" t="s">
        <v>21</v>
      </c>
      <c r="L2547" s="7">
        <v>42166.966678240744</v>
      </c>
      <c r="M2547" s="14" t="s">
        <v>6234</v>
      </c>
      <c r="N2547" s="14" t="s">
        <v>6235</v>
      </c>
      <c r="O2547" s="11" t="str">
        <f t="shared" ref="O2547:O2548" si="276">HYPERLINK("https://pbs.twimg.com/profile_images/612471608725213184/eXKo2Kmo_normal.jpg","View")</f>
        <v>View</v>
      </c>
      <c r="P2547" s="15"/>
    </row>
    <row r="2548">
      <c r="A2548" s="7">
        <v>42425.67266203703</v>
      </c>
      <c r="B2548" s="8" t="str">
        <f t="shared" si="275"/>
        <v>@DataWookie</v>
      </c>
      <c r="C2548" s="10" t="s">
        <v>6231</v>
      </c>
      <c r="D2548" s="10" t="s">
        <v>10645</v>
      </c>
      <c r="E2548" s="11" t="str">
        <f>HYPERLINK("https://twitter.com/DataWookie/status/703008736814567424","703008736814567424")</f>
        <v>703008736814567424</v>
      </c>
      <c r="F2548" s="12" t="s">
        <v>6233</v>
      </c>
      <c r="G2548" s="13">
        <v>426.0</v>
      </c>
      <c r="H2548" s="13">
        <v>296.0</v>
      </c>
      <c r="I2548" s="13">
        <v>0.0</v>
      </c>
      <c r="J2548" s="13">
        <v>0.0</v>
      </c>
      <c r="K2548" s="12" t="s">
        <v>21</v>
      </c>
      <c r="L2548" s="7">
        <v>42166.966678240744</v>
      </c>
      <c r="M2548" s="14" t="s">
        <v>6234</v>
      </c>
      <c r="N2548" s="14" t="s">
        <v>6235</v>
      </c>
      <c r="O2548" s="11" t="str">
        <f t="shared" si="276"/>
        <v>View</v>
      </c>
      <c r="P2548" s="15"/>
    </row>
    <row r="2549">
      <c r="A2549" s="7">
        <v>42425.67621527778</v>
      </c>
      <c r="B2549" s="8" t="str">
        <f t="shared" ref="B2549:B2550" si="277">HYPERLINK("https://twitter.com/CRANberriesFeed","@CRANberriesFeed")</f>
        <v>@CRANberriesFeed</v>
      </c>
      <c r="C2549" s="10" t="s">
        <v>6282</v>
      </c>
      <c r="D2549" s="10" t="s">
        <v>10646</v>
      </c>
      <c r="E2549" s="11" t="str">
        <f>HYPERLINK("https://twitter.com/CRANberriesFeed/status/703010024407355393","703010024407355393")</f>
        <v>703010024407355393</v>
      </c>
      <c r="F2549" s="12" t="s">
        <v>6284</v>
      </c>
      <c r="G2549" s="13">
        <v>657.0</v>
      </c>
      <c r="H2549" s="13">
        <v>0.0</v>
      </c>
      <c r="I2549" s="13">
        <v>0.0</v>
      </c>
      <c r="J2549" s="13">
        <v>1.0</v>
      </c>
      <c r="K2549" s="12" t="s">
        <v>21</v>
      </c>
      <c r="L2549" s="7">
        <v>40546.353425925925</v>
      </c>
      <c r="M2549" s="14" t="s">
        <v>1158</v>
      </c>
      <c r="N2549" s="16"/>
      <c r="O2549" s="11" t="str">
        <f t="shared" ref="O2549:O2550" si="278">HYPERLINK("https://pbs.twimg.com/profile_images/1222779560/cran1_normal.jpg","View")</f>
        <v>View</v>
      </c>
      <c r="P2549" s="15"/>
    </row>
    <row r="2550">
      <c r="A2550" s="7">
        <v>42425.67626157407</v>
      </c>
      <c r="B2550" s="8" t="str">
        <f t="shared" si="277"/>
        <v>@CRANberriesFeed</v>
      </c>
      <c r="C2550" s="10" t="s">
        <v>6282</v>
      </c>
      <c r="D2550" s="10" t="s">
        <v>10647</v>
      </c>
      <c r="E2550" s="11" t="str">
        <f>HYPERLINK("https://twitter.com/CRANberriesFeed/status/703010041515872258","703010041515872258")</f>
        <v>703010041515872258</v>
      </c>
      <c r="F2550" s="12" t="s">
        <v>6284</v>
      </c>
      <c r="G2550" s="13">
        <v>657.0</v>
      </c>
      <c r="H2550" s="13">
        <v>0.0</v>
      </c>
      <c r="I2550" s="13">
        <v>0.0</v>
      </c>
      <c r="J2550" s="13">
        <v>0.0</v>
      </c>
      <c r="K2550" s="12" t="s">
        <v>21</v>
      </c>
      <c r="L2550" s="7">
        <v>40546.353425925925</v>
      </c>
      <c r="M2550" s="14" t="s">
        <v>1158</v>
      </c>
      <c r="N2550" s="16"/>
      <c r="O2550" s="11" t="str">
        <f t="shared" si="278"/>
        <v>View</v>
      </c>
      <c r="P2550" s="15"/>
    </row>
    <row r="2551">
      <c r="A2551" s="7">
        <v>42425.67748842592</v>
      </c>
      <c r="B2551" s="8" t="str">
        <f>HYPERLINK("https://twitter.com/tz33cu","@tz33cu")</f>
        <v>@tz33cu</v>
      </c>
      <c r="C2551" s="10" t="s">
        <v>7118</v>
      </c>
      <c r="D2551" s="10" t="s">
        <v>10648</v>
      </c>
      <c r="E2551" s="11" t="str">
        <f>HYPERLINK("https://twitter.com/tz33cu/status/703010483335503874","703010483335503874")</f>
        <v>703010483335503874</v>
      </c>
      <c r="F2551" s="12" t="s">
        <v>20</v>
      </c>
      <c r="G2551" s="13">
        <v>242.0</v>
      </c>
      <c r="H2551" s="13">
        <v>111.0</v>
      </c>
      <c r="I2551" s="13">
        <v>5.0</v>
      </c>
      <c r="J2551" s="13">
        <v>6.0</v>
      </c>
      <c r="K2551" s="12" t="s">
        <v>21</v>
      </c>
      <c r="L2551" s="7">
        <v>40625.59646990741</v>
      </c>
      <c r="M2551" s="16"/>
      <c r="N2551" s="14" t="s">
        <v>7120</v>
      </c>
      <c r="O2551" s="11" t="str">
        <f>HYPERLINK("https://pbs.twimg.com/profile_images/640243239388246016/yEAuMN4t_normal.jpg","View")</f>
        <v>View</v>
      </c>
      <c r="P2551" s="15"/>
    </row>
    <row r="2552">
      <c r="A2552" s="7">
        <v>42425.68079861111</v>
      </c>
      <c r="B2552" s="8" t="str">
        <f>HYPERLINK("https://twitter.com/monfera","@monfera")</f>
        <v>@monfera</v>
      </c>
      <c r="C2552" s="10" t="s">
        <v>10649</v>
      </c>
      <c r="D2552" s="10" t="s">
        <v>10526</v>
      </c>
      <c r="E2552" s="11" t="str">
        <f>HYPERLINK("https://twitter.com/monfera/status/703011683883720704","703011683883720704")</f>
        <v>703011683883720704</v>
      </c>
      <c r="F2552" s="12" t="s">
        <v>52</v>
      </c>
      <c r="G2552" s="13">
        <v>253.0</v>
      </c>
      <c r="H2552" s="13">
        <v>245.0</v>
      </c>
      <c r="I2552" s="13">
        <v>13.0</v>
      </c>
      <c r="J2552" s="13">
        <v>0.0</v>
      </c>
      <c r="K2552" s="12" t="s">
        <v>21</v>
      </c>
      <c r="L2552" s="7">
        <v>39749.60098379629</v>
      </c>
      <c r="M2552" s="16"/>
      <c r="N2552" s="14" t="s">
        <v>10650</v>
      </c>
      <c r="O2552" s="11" t="str">
        <f>HYPERLINK("https://pbs.twimg.com/profile_images/457561558722179072/kW-IUcCh_normal.jpeg","View")</f>
        <v>View</v>
      </c>
      <c r="P2552" s="15"/>
    </row>
    <row r="2553">
      <c r="A2553" s="7">
        <v>42425.68163194445</v>
      </c>
      <c r="B2553" s="8" t="str">
        <f>HYPERLINK("https://twitter.com/robertstats","@robertstats")</f>
        <v>@robertstats</v>
      </c>
      <c r="C2553" s="10" t="s">
        <v>8437</v>
      </c>
      <c r="D2553" s="10" t="s">
        <v>10634</v>
      </c>
      <c r="E2553" s="11" t="str">
        <f>HYPERLINK("https://twitter.com/robertstats/status/703011984577601540","703011984577601540")</f>
        <v>703011984577601540</v>
      </c>
      <c r="F2553" s="12" t="s">
        <v>20</v>
      </c>
      <c r="G2553" s="13">
        <v>568.0</v>
      </c>
      <c r="H2553" s="13">
        <v>348.0</v>
      </c>
      <c r="I2553" s="13">
        <v>4.0</v>
      </c>
      <c r="J2553" s="13">
        <v>0.0</v>
      </c>
      <c r="K2553" s="12" t="s">
        <v>21</v>
      </c>
      <c r="L2553" s="7">
        <v>41729.47409722222</v>
      </c>
      <c r="M2553" s="14" t="s">
        <v>1093</v>
      </c>
      <c r="N2553" s="14" t="s">
        <v>8439</v>
      </c>
      <c r="O2553" s="11" t="str">
        <f>HYPERLINK("https://pbs.twimg.com/profile_images/685147968874373121/r_V2hRhj_normal.jpg","View")</f>
        <v>View</v>
      </c>
      <c r="P2553" s="15"/>
    </row>
    <row r="2554">
      <c r="A2554" s="7">
        <v>42425.6841087963</v>
      </c>
      <c r="B2554" s="8" t="str">
        <f>HYPERLINK("https://twitter.com/ShinyappsRecent","@ShinyappsRecent")</f>
        <v>@ShinyappsRecent</v>
      </c>
      <c r="C2554" s="10" t="s">
        <v>6422</v>
      </c>
      <c r="D2554" s="10" t="s">
        <v>10651</v>
      </c>
      <c r="E2554" s="11" t="str">
        <f>HYPERLINK("https://twitter.com/ShinyappsRecent/status/703012885622992896","703012885622992896")</f>
        <v>703012885622992896</v>
      </c>
      <c r="F2554" s="12" t="s">
        <v>6424</v>
      </c>
      <c r="G2554" s="13">
        <v>212.0</v>
      </c>
      <c r="H2554" s="13">
        <v>6.0</v>
      </c>
      <c r="I2554" s="13">
        <v>0.0</v>
      </c>
      <c r="J2554" s="13">
        <v>0.0</v>
      </c>
      <c r="K2554" s="12" t="s">
        <v>21</v>
      </c>
      <c r="L2554" s="7">
        <v>42004.08681712963</v>
      </c>
      <c r="M2554" s="14" t="s">
        <v>6425</v>
      </c>
      <c r="N2554" s="14" t="s">
        <v>6426</v>
      </c>
      <c r="O2554" s="11" t="str">
        <f>HYPERLINK("https://pbs.twimg.com/profile_images/550280885480603648/jye_0y8s_normal.png","View")</f>
        <v>View</v>
      </c>
      <c r="P2554" s="15"/>
    </row>
    <row r="2555">
      <c r="A2555" s="7">
        <v>42425.68556712963</v>
      </c>
      <c r="B2555" s="8" t="str">
        <f>HYPERLINK("https://twitter.com/adamgreatkind","@adamgreatkind")</f>
        <v>@adamgreatkind</v>
      </c>
      <c r="C2555" s="10" t="s">
        <v>7606</v>
      </c>
      <c r="D2555" s="10" t="s">
        <v>10455</v>
      </c>
      <c r="E2555" s="11" t="str">
        <f>HYPERLINK("https://twitter.com/adamgreatkind/status/703013410888241152","703013410888241152")</f>
        <v>703013410888241152</v>
      </c>
      <c r="F2555" s="12" t="s">
        <v>7607</v>
      </c>
      <c r="G2555" s="13">
        <v>328.0</v>
      </c>
      <c r="H2555" s="13">
        <v>323.0</v>
      </c>
      <c r="I2555" s="13">
        <v>22.0</v>
      </c>
      <c r="J2555" s="13">
        <v>0.0</v>
      </c>
      <c r="K2555" s="12" t="s">
        <v>21</v>
      </c>
      <c r="L2555" s="7">
        <v>39884.71748842593</v>
      </c>
      <c r="M2555" s="14" t="s">
        <v>7608</v>
      </c>
      <c r="N2555" s="14" t="s">
        <v>7609</v>
      </c>
      <c r="O2555" s="11" t="str">
        <f>HYPERLINK("https://pbs.twimg.com/profile_images/474603883986042880/RQ69FsUd_normal.jpeg","View")</f>
        <v>View</v>
      </c>
      <c r="P2555" s="15"/>
    </row>
    <row r="2556">
      <c r="A2556" s="7">
        <v>42425.69037037037</v>
      </c>
      <c r="B2556" s="8" t="str">
        <f>HYPERLINK("https://twitter.com/hadleywickham","@hadleywickham")</f>
        <v>@hadleywickham</v>
      </c>
      <c r="C2556" s="10" t="s">
        <v>6659</v>
      </c>
      <c r="D2556" s="10" t="s">
        <v>10652</v>
      </c>
      <c r="E2556" s="11" t="str">
        <f>HYPERLINK("https://twitter.com/hadleywickham/status/703015153176973312","703015153176973312")</f>
        <v>703015153176973312</v>
      </c>
      <c r="F2556" s="12" t="s">
        <v>1082</v>
      </c>
      <c r="G2556" s="13">
        <v>24816.0</v>
      </c>
      <c r="H2556" s="13">
        <v>244.0</v>
      </c>
      <c r="I2556" s="13">
        <v>28.0</v>
      </c>
      <c r="J2556" s="13">
        <v>83.0</v>
      </c>
      <c r="K2556" s="12" t="s">
        <v>21</v>
      </c>
      <c r="L2556" s="7">
        <v>40051.69081018519</v>
      </c>
      <c r="M2556" s="14" t="s">
        <v>719</v>
      </c>
      <c r="N2556" s="14" t="s">
        <v>6661</v>
      </c>
      <c r="O2556" s="11" t="str">
        <f>HYPERLINK("https://pbs.twimg.com/profile_images/677589103710306304/m56O6Wgf_normal.jpg","View")</f>
        <v>View</v>
      </c>
      <c r="P2556" s="15"/>
    </row>
    <row r="2557">
      <c r="A2557" s="7">
        <v>42425.69148148148</v>
      </c>
      <c r="B2557" s="8" t="str">
        <f>HYPERLINK("https://twitter.com/Emaasit","@Emaasit")</f>
        <v>@Emaasit</v>
      </c>
      <c r="C2557" s="10" t="s">
        <v>7313</v>
      </c>
      <c r="D2557" s="10" t="s">
        <v>10653</v>
      </c>
      <c r="E2557" s="11" t="str">
        <f>HYPERLINK("https://twitter.com/Emaasit/status/703015557407178752","703015557407178752")</f>
        <v>703015557407178752</v>
      </c>
      <c r="F2557" s="12" t="s">
        <v>152</v>
      </c>
      <c r="G2557" s="13">
        <v>1025.0</v>
      </c>
      <c r="H2557" s="13">
        <v>2909.0</v>
      </c>
      <c r="I2557" s="13">
        <v>28.0</v>
      </c>
      <c r="J2557" s="13">
        <v>0.0</v>
      </c>
      <c r="K2557" s="12" t="s">
        <v>21</v>
      </c>
      <c r="L2557" s="7">
        <v>39981.148981481485</v>
      </c>
      <c r="M2557" s="14" t="s">
        <v>7315</v>
      </c>
      <c r="N2557" s="14" t="s">
        <v>7316</v>
      </c>
      <c r="O2557" s="11" t="str">
        <f>HYPERLINK("https://pbs.twimg.com/profile_images/567588045927354370/NN8xp_M5_normal.jpeg","View")</f>
        <v>View</v>
      </c>
      <c r="P2557" s="15"/>
    </row>
    <row r="2558">
      <c r="A2558" s="7">
        <v>42425.694398148145</v>
      </c>
      <c r="B2558" s="8" t="str">
        <f>HYPERLINK("https://twitter.com/wakuteka","@wakuteka")</f>
        <v>@wakuteka</v>
      </c>
      <c r="C2558" s="10" t="s">
        <v>10654</v>
      </c>
      <c r="D2558" s="10" t="s">
        <v>10653</v>
      </c>
      <c r="E2558" s="11" t="str">
        <f>HYPERLINK("https://twitter.com/wakuteka/status/703016610466893824","703016610466893824")</f>
        <v>703016610466893824</v>
      </c>
      <c r="F2558" s="12" t="s">
        <v>52</v>
      </c>
      <c r="G2558" s="13">
        <v>2429.0</v>
      </c>
      <c r="H2558" s="13">
        <v>890.0</v>
      </c>
      <c r="I2558" s="13">
        <v>28.0</v>
      </c>
      <c r="J2558" s="13">
        <v>0.0</v>
      </c>
      <c r="K2558" s="12" t="s">
        <v>21</v>
      </c>
      <c r="L2558" s="7">
        <v>39499.08378472222</v>
      </c>
      <c r="M2558" s="14" t="s">
        <v>10655</v>
      </c>
      <c r="N2558" s="14" t="s">
        <v>10656</v>
      </c>
      <c r="O2558" s="11" t="str">
        <f>HYPERLINK("https://pbs.twimg.com/profile_images/2290904674/image_normal.jpg","View")</f>
        <v>View</v>
      </c>
      <c r="P2558" s="15"/>
    </row>
    <row r="2559">
      <c r="A2559" s="7">
        <v>42425.69480324074</v>
      </c>
      <c r="B2559" s="8" t="str">
        <f>HYPERLINK("https://twitter.com/DrJohan81","@DrJohan81")</f>
        <v>@DrJohan81</v>
      </c>
      <c r="C2559" s="10" t="s">
        <v>10657</v>
      </c>
      <c r="D2559" s="10" t="s">
        <v>10634</v>
      </c>
      <c r="E2559" s="11" t="str">
        <f>HYPERLINK("https://twitter.com/DrJohan81/status/703016760987889669","703016760987889669")</f>
        <v>703016760987889669</v>
      </c>
      <c r="F2559" s="12" t="s">
        <v>152</v>
      </c>
      <c r="G2559" s="13">
        <v>79.0</v>
      </c>
      <c r="H2559" s="13">
        <v>535.0</v>
      </c>
      <c r="I2559" s="13">
        <v>4.0</v>
      </c>
      <c r="J2559" s="13">
        <v>0.0</v>
      </c>
      <c r="K2559" s="12" t="s">
        <v>21</v>
      </c>
      <c r="L2559" s="7">
        <v>40636.40335648148</v>
      </c>
      <c r="M2559" s="16"/>
      <c r="N2559" s="14" t="s">
        <v>10658</v>
      </c>
      <c r="O2559" s="11" t="str">
        <f>HYPERLINK("https://pbs.twimg.com/profile_images/463699841298620417/9VAZ5wde_normal.png","View")</f>
        <v>View</v>
      </c>
      <c r="P2559" s="15"/>
    </row>
    <row r="2560">
      <c r="A2560" s="7">
        <v>42425.696018518516</v>
      </c>
      <c r="B2560" s="8" t="str">
        <f>HYPERLINK("https://twitter.com/R_Linux","@R_Linux")</f>
        <v>@R_Linux</v>
      </c>
      <c r="C2560" s="10" t="s">
        <v>10142</v>
      </c>
      <c r="D2560" s="10" t="s">
        <v>10653</v>
      </c>
      <c r="E2560" s="11" t="str">
        <f>HYPERLINK("https://twitter.com/R_Linux/status/703017199888236544","703017199888236544")</f>
        <v>703017199888236544</v>
      </c>
      <c r="F2560" s="12" t="s">
        <v>20</v>
      </c>
      <c r="G2560" s="13">
        <v>625.0</v>
      </c>
      <c r="H2560" s="13">
        <v>249.0</v>
      </c>
      <c r="I2560" s="13">
        <v>28.0</v>
      </c>
      <c r="J2560" s="13">
        <v>0.0</v>
      </c>
      <c r="K2560" s="12" t="s">
        <v>21</v>
      </c>
      <c r="L2560" s="7">
        <v>40176.66961805556</v>
      </c>
      <c r="M2560" s="14" t="s">
        <v>6844</v>
      </c>
      <c r="N2560" s="14" t="s">
        <v>10143</v>
      </c>
      <c r="O2560" s="11" t="str">
        <f>HYPERLINK("https://pbs.twimg.com/profile_images/579164201576312833/fsAUfQne_normal.jpg","View")</f>
        <v>View</v>
      </c>
      <c r="P2560" s="15"/>
    </row>
    <row r="2561">
      <c r="A2561" s="7">
        <v>42425.69644675926</v>
      </c>
      <c r="B2561" s="8" t="str">
        <f>HYPERLINK("https://twitter.com/wonder_zone","@wonder_zone")</f>
        <v>@wonder_zone</v>
      </c>
      <c r="C2561" s="10" t="s">
        <v>10659</v>
      </c>
      <c r="D2561" s="10" t="s">
        <v>10653</v>
      </c>
      <c r="E2561" s="11" t="str">
        <f>HYPERLINK("https://twitter.com/wonder_zone/status/703017355597602816","703017355597602816")</f>
        <v>703017355597602816</v>
      </c>
      <c r="F2561" s="12" t="s">
        <v>52</v>
      </c>
      <c r="G2561" s="13">
        <v>519.0</v>
      </c>
      <c r="H2561" s="13">
        <v>462.0</v>
      </c>
      <c r="I2561" s="13">
        <v>28.0</v>
      </c>
      <c r="J2561" s="13">
        <v>0.0</v>
      </c>
      <c r="K2561" s="12" t="s">
        <v>21</v>
      </c>
      <c r="L2561" s="7">
        <v>41413.04211805556</v>
      </c>
      <c r="M2561" s="14" t="s">
        <v>10660</v>
      </c>
      <c r="N2561" s="14" t="s">
        <v>10661</v>
      </c>
      <c r="O2561" s="11" t="str">
        <f>HYPERLINK("https://pbs.twimg.com/profile_images/695061351845093376/RLnmpBb3_normal.jpg","View")</f>
        <v>View</v>
      </c>
      <c r="P2561" s="15"/>
    </row>
    <row r="2562">
      <c r="A2562" s="7">
        <v>42425.69768518519</v>
      </c>
      <c r="B2562" s="8" t="str">
        <f>HYPERLINK("https://twitter.com/ZukashiT","@ZukashiT")</f>
        <v>@ZukashiT</v>
      </c>
      <c r="C2562" s="10" t="s">
        <v>10662</v>
      </c>
      <c r="D2562" s="10" t="s">
        <v>10653</v>
      </c>
      <c r="E2562" s="11" t="str">
        <f>HYPERLINK("https://twitter.com/ZukashiT/status/703017801787822080","703017801787822080")</f>
        <v>703017801787822080</v>
      </c>
      <c r="F2562" s="12" t="s">
        <v>20</v>
      </c>
      <c r="G2562" s="13">
        <v>623.0</v>
      </c>
      <c r="H2562" s="13">
        <v>580.0</v>
      </c>
      <c r="I2562" s="13">
        <v>28.0</v>
      </c>
      <c r="J2562" s="13">
        <v>0.0</v>
      </c>
      <c r="K2562" s="12" t="s">
        <v>21</v>
      </c>
      <c r="L2562" s="7">
        <v>40350.74107638889</v>
      </c>
      <c r="M2562" s="14" t="s">
        <v>10663</v>
      </c>
      <c r="N2562" s="14" t="s">
        <v>10664</v>
      </c>
      <c r="O2562" s="11" t="str">
        <f>HYPERLINK("https://pbs.twimg.com/profile_images/567813755728560129/6Z3P6Fy1_normal.jpeg","View")</f>
        <v>View</v>
      </c>
      <c r="P2562" s="15"/>
    </row>
    <row r="2563">
      <c r="A2563" s="7">
        <v>42425.69769675926</v>
      </c>
      <c r="B2563" s="8" t="str">
        <f>HYPERLINK("https://twitter.com/kazutan","@kazutan")</f>
        <v>@kazutan</v>
      </c>
      <c r="C2563" s="10" t="s">
        <v>10665</v>
      </c>
      <c r="D2563" s="10" t="s">
        <v>10653</v>
      </c>
      <c r="E2563" s="11" t="str">
        <f>HYPERLINK("https://twitter.com/kazutan/status/703017809534722048","703017809534722048")</f>
        <v>703017809534722048</v>
      </c>
      <c r="F2563" s="12" t="s">
        <v>659</v>
      </c>
      <c r="G2563" s="13">
        <v>788.0</v>
      </c>
      <c r="H2563" s="13">
        <v>557.0</v>
      </c>
      <c r="I2563" s="13">
        <v>28.0</v>
      </c>
      <c r="J2563" s="13">
        <v>0.0</v>
      </c>
      <c r="K2563" s="12" t="s">
        <v>21</v>
      </c>
      <c r="L2563" s="7">
        <v>39584.15189814815</v>
      </c>
      <c r="M2563" s="14" t="s">
        <v>10666</v>
      </c>
      <c r="N2563" s="14" t="s">
        <v>10667</v>
      </c>
      <c r="O2563" s="11" t="str">
        <f>HYPERLINK("https://pbs.twimg.com/profile_images/583124965538422784/ZhURDlkF_normal.jpg","View")</f>
        <v>View</v>
      </c>
      <c r="P2563" s="15"/>
    </row>
    <row r="2564">
      <c r="A2564" s="7">
        <v>42425.697962962964</v>
      </c>
      <c r="B2564" s="8" t="str">
        <f>HYPERLINK("https://twitter.com/Jemus42","@Jemus42")</f>
        <v>@Jemus42</v>
      </c>
      <c r="C2564" s="10" t="s">
        <v>7905</v>
      </c>
      <c r="D2564" s="10" t="s">
        <v>10668</v>
      </c>
      <c r="E2564" s="11" t="str">
        <f>HYPERLINK("https://twitter.com/Jemus42/status/703017904258809856","703017904258809856")</f>
        <v>703017904258809856</v>
      </c>
      <c r="F2564" s="12" t="s">
        <v>240</v>
      </c>
      <c r="G2564" s="13">
        <v>589.0</v>
      </c>
      <c r="H2564" s="13">
        <v>549.0</v>
      </c>
      <c r="I2564" s="13">
        <v>0.0</v>
      </c>
      <c r="J2564" s="13">
        <v>0.0</v>
      </c>
      <c r="K2564" s="12" t="s">
        <v>21</v>
      </c>
      <c r="L2564" s="7">
        <v>39988.36329861111</v>
      </c>
      <c r="M2564" s="16"/>
      <c r="N2564" s="14" t="s">
        <v>7907</v>
      </c>
      <c r="O2564" s="11" t="str">
        <f>HYPERLINK("https://pbs.twimg.com/profile_images/2442155420/13fr1e3on4dzb9fn7i48_normal.jpeg","View")</f>
        <v>View</v>
      </c>
      <c r="P2564" s="15"/>
    </row>
    <row r="2565">
      <c r="A2565" s="7">
        <v>42425.69829861111</v>
      </c>
      <c r="B2565" s="8" t="str">
        <f>HYPERLINK("https://twitter.com/leeswijzer","@leeswijzer")</f>
        <v>@leeswijzer</v>
      </c>
      <c r="C2565" s="10" t="s">
        <v>10503</v>
      </c>
      <c r="D2565" s="10" t="s">
        <v>10653</v>
      </c>
      <c r="E2565" s="11" t="str">
        <f>HYPERLINK("https://twitter.com/leeswijzer/status/703018025381961728","703018025381961728")</f>
        <v>703018025381961728</v>
      </c>
      <c r="F2565" s="12" t="s">
        <v>659</v>
      </c>
      <c r="G2565" s="13">
        <v>4939.0</v>
      </c>
      <c r="H2565" s="13">
        <v>1015.0</v>
      </c>
      <c r="I2565" s="13">
        <v>28.0</v>
      </c>
      <c r="J2565" s="13">
        <v>0.0</v>
      </c>
      <c r="K2565" s="12" t="s">
        <v>21</v>
      </c>
      <c r="L2565" s="7">
        <v>40014.10690972222</v>
      </c>
      <c r="M2565" s="16"/>
      <c r="N2565" s="14" t="s">
        <v>10505</v>
      </c>
      <c r="O2565" s="11" t="str">
        <f>HYPERLINK("https://pbs.twimg.com/profile_images/762997434/GionPortrait_normal.jpg","View")</f>
        <v>View</v>
      </c>
      <c r="P2565" s="15"/>
    </row>
    <row r="2566">
      <c r="A2566" s="7">
        <v>42425.70196759259</v>
      </c>
      <c r="B2566" s="8" t="str">
        <f>HYPERLINK("https://twitter.com/accidental__aRt","@accidental__aRt")</f>
        <v>@accidental__aRt</v>
      </c>
      <c r="C2566" s="10" t="s">
        <v>10669</v>
      </c>
      <c r="D2566" s="10" t="s">
        <v>10569</v>
      </c>
      <c r="E2566" s="11" t="str">
        <f>HYPERLINK("https://twitter.com/accidental__aRt/status/703019356645675008","703019356645675008")</f>
        <v>703019356645675008</v>
      </c>
      <c r="F2566" s="12" t="s">
        <v>52</v>
      </c>
      <c r="G2566" s="13">
        <v>869.0</v>
      </c>
      <c r="H2566" s="13">
        <v>50.0</v>
      </c>
      <c r="I2566" s="13">
        <v>7.0</v>
      </c>
      <c r="J2566" s="13">
        <v>0.0</v>
      </c>
      <c r="K2566" s="12" t="s">
        <v>21</v>
      </c>
      <c r="L2566" s="7">
        <v>41574.56967592593</v>
      </c>
      <c r="M2566" s="14" t="s">
        <v>10670</v>
      </c>
      <c r="N2566" s="14" t="s">
        <v>10671</v>
      </c>
      <c r="O2566" s="11" t="str">
        <f>HYPERLINK("https://pbs.twimg.com/profile_images/378800000657773768/ae5fc36ad6d8648a92f4c588aa295d8e_normal.jpeg","View")</f>
        <v>View</v>
      </c>
      <c r="P2566" s="15"/>
    </row>
    <row r="2567">
      <c r="A2567" s="7">
        <v>42425.70365740741</v>
      </c>
      <c r="B2567" s="8" t="str">
        <f>HYPERLINK("https://twitter.com/simizu706","@simizu706")</f>
        <v>@simizu706</v>
      </c>
      <c r="C2567" s="10" t="s">
        <v>10672</v>
      </c>
      <c r="D2567" s="10" t="s">
        <v>10653</v>
      </c>
      <c r="E2567" s="11" t="str">
        <f>HYPERLINK("https://twitter.com/simizu706/status/703019969273925632","703019969273925632")</f>
        <v>703019969273925632</v>
      </c>
      <c r="F2567" s="12" t="s">
        <v>152</v>
      </c>
      <c r="G2567" s="13">
        <v>1403.0</v>
      </c>
      <c r="H2567" s="13">
        <v>209.0</v>
      </c>
      <c r="I2567" s="13">
        <v>28.0</v>
      </c>
      <c r="J2567" s="13">
        <v>0.0</v>
      </c>
      <c r="K2567" s="12" t="s">
        <v>21</v>
      </c>
      <c r="L2567" s="7">
        <v>40025.334814814814</v>
      </c>
      <c r="M2567" s="14" t="s">
        <v>10673</v>
      </c>
      <c r="N2567" s="14" t="s">
        <v>10674</v>
      </c>
      <c r="O2567" s="11" t="str">
        <f>HYPERLINK("https://pbs.twimg.com/profile_images/341272651/P1000006_4_normal.JPG","View")</f>
        <v>View</v>
      </c>
      <c r="P2567" s="15"/>
    </row>
    <row r="2568">
      <c r="A2568" s="7">
        <v>42425.705358796295</v>
      </c>
      <c r="B2568" s="8" t="str">
        <f>HYPERLINK("https://twitter.com/yoshidamasaaki","@yoshidamasaaki")</f>
        <v>@yoshidamasaaki</v>
      </c>
      <c r="C2568" s="10" t="s">
        <v>10675</v>
      </c>
      <c r="D2568" s="10" t="s">
        <v>10653</v>
      </c>
      <c r="E2568" s="11" t="str">
        <f>HYPERLINK("https://twitter.com/yoshidamasaaki/status/703020584674791425","703020584674791425")</f>
        <v>703020584674791425</v>
      </c>
      <c r="F2568" s="12" t="s">
        <v>20</v>
      </c>
      <c r="G2568" s="13">
        <v>617.0</v>
      </c>
      <c r="H2568" s="13">
        <v>623.0</v>
      </c>
      <c r="I2568" s="13">
        <v>28.0</v>
      </c>
      <c r="J2568" s="13">
        <v>0.0</v>
      </c>
      <c r="K2568" s="12" t="s">
        <v>21</v>
      </c>
      <c r="L2568" s="7">
        <v>39971.96207175926</v>
      </c>
      <c r="M2568" s="14" t="s">
        <v>10676</v>
      </c>
      <c r="N2568" s="14" t="s">
        <v>10677</v>
      </c>
      <c r="O2568" s="11" t="str">
        <f>HYPERLINK("https://pbs.twimg.com/profile_images/2557953204/____normal.jpg","View")</f>
        <v>View</v>
      </c>
      <c r="P2568" s="15"/>
    </row>
    <row r="2569">
      <c r="A2569" s="7">
        <v>42425.70670138889</v>
      </c>
      <c r="B2569" s="8" t="str">
        <f>HYPERLINK("https://twitter.com/ITI_3","@ITI_3")</f>
        <v>@ITI_3</v>
      </c>
      <c r="C2569" s="10" t="s">
        <v>10678</v>
      </c>
      <c r="D2569" s="10" t="s">
        <v>10653</v>
      </c>
      <c r="E2569" s="11" t="str">
        <f>HYPERLINK("https://twitter.com/ITI_3/status/703021069288910848","703021069288910848")</f>
        <v>703021069288910848</v>
      </c>
      <c r="F2569" s="12" t="s">
        <v>10679</v>
      </c>
      <c r="G2569" s="13">
        <v>419.0</v>
      </c>
      <c r="H2569" s="13">
        <v>733.0</v>
      </c>
      <c r="I2569" s="13">
        <v>28.0</v>
      </c>
      <c r="J2569" s="13">
        <v>0.0</v>
      </c>
      <c r="K2569" s="12" t="s">
        <v>21</v>
      </c>
      <c r="L2569" s="7">
        <v>40701.16877314815</v>
      </c>
      <c r="M2569" s="16"/>
      <c r="N2569" s="14" t="s">
        <v>10680</v>
      </c>
      <c r="O2569" s="11" t="str">
        <f>HYPERLINK("https://pbs.twimg.com/profile_images/378800000487934457/adcdda012374b5cbe95bb1ee3982857c_normal.png","View")</f>
        <v>View</v>
      </c>
      <c r="P2569" s="15"/>
    </row>
    <row r="2570">
      <c r="A2570" s="7">
        <v>42425.70805555556</v>
      </c>
      <c r="B2570" s="8" t="str">
        <f>HYPERLINK("https://twitter.com/pete_riessjames","@pete_riessjames")</f>
        <v>@pete_riessjames</v>
      </c>
      <c r="C2570" s="10" t="s">
        <v>10681</v>
      </c>
      <c r="D2570" s="10" t="s">
        <v>10455</v>
      </c>
      <c r="E2570" s="11" t="str">
        <f>HYPERLINK("https://twitter.com/pete_riessjames/status/703021562249609220","703021562249609220")</f>
        <v>703021562249609220</v>
      </c>
      <c r="F2570" s="12" t="s">
        <v>52</v>
      </c>
      <c r="G2570" s="13">
        <v>44.0</v>
      </c>
      <c r="H2570" s="13">
        <v>182.0</v>
      </c>
      <c r="I2570" s="13">
        <v>22.0</v>
      </c>
      <c r="J2570" s="13">
        <v>0.0</v>
      </c>
      <c r="K2570" s="12" t="s">
        <v>21</v>
      </c>
      <c r="L2570" s="7">
        <v>41288.29481481481</v>
      </c>
      <c r="M2570" s="14" t="s">
        <v>69</v>
      </c>
      <c r="N2570" s="16"/>
      <c r="O2570" s="11" t="str">
        <f>HYPERLINK("https://pbs.twimg.com/profile_images/3108248245/77c01f27b813a81c9678678d40218d87_normal.jpeg","View")</f>
        <v>View</v>
      </c>
      <c r="P2570" s="15"/>
    </row>
    <row r="2571">
      <c r="A2571" s="7">
        <v>42425.70857638889</v>
      </c>
      <c r="B2571" s="8" t="str">
        <f>HYPERLINK("https://twitter.com/AnalyticsVidhya","@AnalyticsVidhya")</f>
        <v>@AnalyticsVidhya</v>
      </c>
      <c r="C2571" s="10" t="s">
        <v>2998</v>
      </c>
      <c r="D2571" s="10" t="s">
        <v>10682</v>
      </c>
      <c r="E2571" s="11" t="str">
        <f>HYPERLINK("https://twitter.com/AnalyticsVidhya/status/703021748896337920","703021748896337920")</f>
        <v>703021748896337920</v>
      </c>
      <c r="F2571" s="12" t="s">
        <v>294</v>
      </c>
      <c r="G2571" s="13">
        <v>4133.0</v>
      </c>
      <c r="H2571" s="13">
        <v>250.0</v>
      </c>
      <c r="I2571" s="13">
        <v>0.0</v>
      </c>
      <c r="J2571" s="13">
        <v>0.0</v>
      </c>
      <c r="K2571" s="12" t="s">
        <v>21</v>
      </c>
      <c r="L2571" s="7">
        <v>41665.11702546296</v>
      </c>
      <c r="M2571" s="16"/>
      <c r="N2571" s="14" t="s">
        <v>3000</v>
      </c>
      <c r="O2571" s="11" t="str">
        <f>HYPERLINK("https://pbs.twimg.com/profile_images/457775762108448768/XmO2C1-E_normal.png","View")</f>
        <v>View</v>
      </c>
      <c r="P2571" s="15"/>
    </row>
    <row r="2572">
      <c r="A2572" s="7">
        <v>42425.71260416666</v>
      </c>
      <c r="B2572" s="8" t="str">
        <f>HYPERLINK("https://twitter.com/QuakerHealth","@QuakerHealth")</f>
        <v>@QuakerHealth</v>
      </c>
      <c r="C2572" s="10" t="s">
        <v>10683</v>
      </c>
      <c r="D2572" s="10" t="s">
        <v>10684</v>
      </c>
      <c r="E2572" s="11" t="str">
        <f>HYPERLINK("https://twitter.com/QuakerHealth/status/703023211198418944","703023211198418944")</f>
        <v>703023211198418944</v>
      </c>
      <c r="F2572" s="12" t="s">
        <v>20</v>
      </c>
      <c r="G2572" s="13">
        <v>857.0</v>
      </c>
      <c r="H2572" s="13">
        <v>4899.0</v>
      </c>
      <c r="I2572" s="13">
        <v>2.0</v>
      </c>
      <c r="J2572" s="13">
        <v>0.0</v>
      </c>
      <c r="K2572" s="12" t="s">
        <v>21</v>
      </c>
      <c r="L2572" s="7">
        <v>42253.33619212963</v>
      </c>
      <c r="M2572" s="14" t="s">
        <v>1660</v>
      </c>
      <c r="N2572" s="14" t="s">
        <v>10685</v>
      </c>
      <c r="O2572" s="11" t="str">
        <f>HYPERLINK("https://pbs.twimg.com/profile_images/696812514890379265/BSQGhNai_normal.jpg","View")</f>
        <v>View</v>
      </c>
      <c r="P2572" s="15"/>
    </row>
    <row r="2573">
      <c r="A2573" s="7">
        <v>42425.71587962963</v>
      </c>
      <c r="B2573" s="8" t="str">
        <f>HYPERLINK("https://twitter.com/bmakescosmo","@bmakescosmo")</f>
        <v>@bmakescosmo</v>
      </c>
      <c r="C2573" s="10" t="s">
        <v>10686</v>
      </c>
      <c r="D2573" s="10" t="s">
        <v>10569</v>
      </c>
      <c r="E2573" s="11" t="str">
        <f>HYPERLINK("https://twitter.com/bmakescosmo/status/703024396764446721","703024396764446721")</f>
        <v>703024396764446721</v>
      </c>
      <c r="F2573" s="12" t="s">
        <v>52</v>
      </c>
      <c r="G2573" s="13">
        <v>49.0</v>
      </c>
      <c r="H2573" s="13">
        <v>181.0</v>
      </c>
      <c r="I2573" s="13">
        <v>7.0</v>
      </c>
      <c r="J2573" s="13">
        <v>0.0</v>
      </c>
      <c r="K2573" s="12" t="s">
        <v>21</v>
      </c>
      <c r="L2573" s="7">
        <v>41438.55392361111</v>
      </c>
      <c r="M2573" s="14" t="s">
        <v>9533</v>
      </c>
      <c r="N2573" s="16"/>
      <c r="O2573" s="11" t="str">
        <f>HYPERLINK("https://pbs.twimg.com/profile_images/572831383300669440/YUst7LDF_normal.jpeg","View")</f>
        <v>View</v>
      </c>
      <c r="P2573" s="15"/>
    </row>
    <row r="2574">
      <c r="A2574" s="7">
        <v>42425.71608796297</v>
      </c>
      <c r="B2574" s="8" t="str">
        <f>HYPERLINK("https://twitter.com/bennetvoorhees","@bennetvoorhees")</f>
        <v>@bennetvoorhees</v>
      </c>
      <c r="C2574" s="10" t="s">
        <v>10687</v>
      </c>
      <c r="D2574" s="10" t="s">
        <v>10688</v>
      </c>
      <c r="E2574" s="11" t="str">
        <f>HYPERLINK("https://twitter.com/bennetvoorhees/status/703024473671397376","703024473671397376")</f>
        <v>703024473671397376</v>
      </c>
      <c r="F2574" s="12" t="s">
        <v>20</v>
      </c>
      <c r="G2574" s="13">
        <v>267.0</v>
      </c>
      <c r="H2574" s="13">
        <v>471.0</v>
      </c>
      <c r="I2574" s="13">
        <v>0.0</v>
      </c>
      <c r="J2574" s="13">
        <v>0.0</v>
      </c>
      <c r="K2574" s="12" t="s">
        <v>21</v>
      </c>
      <c r="L2574" s="7">
        <v>39930.64292824074</v>
      </c>
      <c r="M2574" s="14" t="s">
        <v>10689</v>
      </c>
      <c r="N2574" s="14" t="s">
        <v>10690</v>
      </c>
      <c r="O2574" s="11" t="str">
        <f>HYPERLINK("https://pbs.twimg.com/profile_images/433768830310305793/sqPTwdpU_normal.jpeg","View")</f>
        <v>View</v>
      </c>
      <c r="P2574" s="15"/>
    </row>
    <row r="2575">
      <c r="A2575" s="7">
        <v>42425.717928240745</v>
      </c>
      <c r="B2575" s="8" t="str">
        <f>HYPERLINK("https://twitter.com/ThugMetrics","@ThugMetrics")</f>
        <v>@ThugMetrics</v>
      </c>
      <c r="C2575" s="10" t="s">
        <v>7417</v>
      </c>
      <c r="D2575" s="10" t="s">
        <v>10691</v>
      </c>
      <c r="E2575" s="11" t="str">
        <f>HYPERLINK("https://twitter.com/ThugMetrics/status/703025138254659584","703025138254659584")</f>
        <v>703025138254659584</v>
      </c>
      <c r="F2575" s="12" t="s">
        <v>38</v>
      </c>
      <c r="G2575" s="13">
        <v>1049.0</v>
      </c>
      <c r="H2575" s="13">
        <v>497.0</v>
      </c>
      <c r="I2575" s="13">
        <v>2.0</v>
      </c>
      <c r="J2575" s="13">
        <v>0.0</v>
      </c>
      <c r="K2575" s="12" t="s">
        <v>21</v>
      </c>
      <c r="L2575" s="7">
        <v>41974.772627314815</v>
      </c>
      <c r="M2575" s="14" t="s">
        <v>379</v>
      </c>
      <c r="N2575" s="14" t="s">
        <v>7419</v>
      </c>
      <c r="O2575" s="11" t="str">
        <f>HYPERLINK("https://pbs.twimg.com/profile_images/545309149953667072/f3IMwCEc_normal.jpeg","View")</f>
        <v>View</v>
      </c>
      <c r="P2575" s="15"/>
    </row>
    <row r="2576">
      <c r="A2576" s="7">
        <v>42425.718993055554</v>
      </c>
      <c r="B2576" s="8" t="str">
        <f t="shared" ref="B2576:B2577" si="279">HYPERLINK("https://twitter.com/Rbloggers","@Rbloggers")</f>
        <v>@Rbloggers</v>
      </c>
      <c r="C2576" s="10" t="s">
        <v>6221</v>
      </c>
      <c r="D2576" s="10" t="s">
        <v>10692</v>
      </c>
      <c r="E2576" s="11" t="str">
        <f>HYPERLINK("https://twitter.com/Rbloggers/status/703025524554100737","703025524554100737")</f>
        <v>703025524554100737</v>
      </c>
      <c r="F2576" s="17" t="s">
        <v>6223</v>
      </c>
      <c r="G2576" s="13">
        <v>28572.0</v>
      </c>
      <c r="H2576" s="13">
        <v>36.0</v>
      </c>
      <c r="I2576" s="13">
        <v>15.0</v>
      </c>
      <c r="J2576" s="13">
        <v>32.0</v>
      </c>
      <c r="K2576" s="12" t="s">
        <v>21</v>
      </c>
      <c r="L2576" s="7">
        <v>40314.510601851856</v>
      </c>
      <c r="M2576" s="16"/>
      <c r="N2576" s="14" t="s">
        <v>6224</v>
      </c>
      <c r="O2576" s="11" t="str">
        <f t="shared" ref="O2576:O2577" si="280">HYPERLINK("https://pbs.twimg.com/profile_images/502185985786916864/gkdFh-q7_normal.png","View")</f>
        <v>View</v>
      </c>
      <c r="P2576" s="15"/>
    </row>
    <row r="2577">
      <c r="A2577" s="7">
        <v>42425.71939814815</v>
      </c>
      <c r="B2577" s="8" t="str">
        <f t="shared" si="279"/>
        <v>@Rbloggers</v>
      </c>
      <c r="C2577" s="10" t="s">
        <v>6221</v>
      </c>
      <c r="D2577" s="10" t="s">
        <v>10693</v>
      </c>
      <c r="E2577" s="11" t="str">
        <f>HYPERLINK("https://twitter.com/Rbloggers/status/703025672143253505","703025672143253505")</f>
        <v>703025672143253505</v>
      </c>
      <c r="F2577" s="17" t="s">
        <v>6223</v>
      </c>
      <c r="G2577" s="13">
        <v>28572.0</v>
      </c>
      <c r="H2577" s="13">
        <v>36.0</v>
      </c>
      <c r="I2577" s="13">
        <v>21.0</v>
      </c>
      <c r="J2577" s="13">
        <v>30.0</v>
      </c>
      <c r="K2577" s="12" t="s">
        <v>21</v>
      </c>
      <c r="L2577" s="7">
        <v>40314.510601851856</v>
      </c>
      <c r="M2577" s="16"/>
      <c r="N2577" s="14" t="s">
        <v>6224</v>
      </c>
      <c r="O2577" s="11" t="str">
        <f t="shared" si="280"/>
        <v>View</v>
      </c>
      <c r="P2577" s="15"/>
    </row>
    <row r="2578">
      <c r="A2578" s="7">
        <v>42425.71996527778</v>
      </c>
      <c r="B2578" s="8" t="str">
        <f>HYPERLINK("https://twitter.com/Seva_Gumeniuk","@Seva_Gumeniuk")</f>
        <v>@Seva_Gumeniuk</v>
      </c>
      <c r="C2578" s="10" t="s">
        <v>10694</v>
      </c>
      <c r="D2578" s="10" t="s">
        <v>10695</v>
      </c>
      <c r="E2578" s="11" t="str">
        <f>HYPERLINK("https://twitter.com/Seva_Gumeniuk/status/703025876204724224","703025876204724224")</f>
        <v>703025876204724224</v>
      </c>
      <c r="F2578" s="12" t="s">
        <v>152</v>
      </c>
      <c r="G2578" s="13">
        <v>56.0</v>
      </c>
      <c r="H2578" s="13">
        <v>179.0</v>
      </c>
      <c r="I2578" s="13">
        <v>21.0</v>
      </c>
      <c r="J2578" s="13">
        <v>0.0</v>
      </c>
      <c r="K2578" s="12" t="s">
        <v>21</v>
      </c>
      <c r="L2578" s="7">
        <v>41675.065833333334</v>
      </c>
      <c r="M2578" s="14" t="s">
        <v>3278</v>
      </c>
      <c r="N2578" s="16"/>
      <c r="O2578" s="11" t="str">
        <f>HYPERLINK("https://pbs.twimg.com/profile_images/627205656047669248/Z0aoGAjq_normal.jpg","View")</f>
        <v>View</v>
      </c>
      <c r="P2578" s="15"/>
    </row>
    <row r="2579">
      <c r="A2579" s="7">
        <v>42425.72105324074</v>
      </c>
      <c r="B2579" s="8" t="str">
        <f t="shared" ref="B2579:B2580" si="281">HYPERLINK("https://twitter.com/renato_umeton","@renato_umeton")</f>
        <v>@renato_umeton</v>
      </c>
      <c r="C2579" s="10" t="s">
        <v>1659</v>
      </c>
      <c r="D2579" s="10" t="s">
        <v>10696</v>
      </c>
      <c r="E2579" s="11" t="str">
        <f>HYPERLINK("https://twitter.com/renato_umeton/status/703026272000208896","703026272000208896")</f>
        <v>703026272000208896</v>
      </c>
      <c r="F2579" s="12" t="s">
        <v>38</v>
      </c>
      <c r="G2579" s="13">
        <v>70.0</v>
      </c>
      <c r="H2579" s="13">
        <v>79.0</v>
      </c>
      <c r="I2579" s="13">
        <v>15.0</v>
      </c>
      <c r="J2579" s="13">
        <v>0.0</v>
      </c>
      <c r="K2579" s="12" t="s">
        <v>21</v>
      </c>
      <c r="L2579" s="7">
        <v>39918.052083333336</v>
      </c>
      <c r="M2579" s="14" t="s">
        <v>1660</v>
      </c>
      <c r="N2579" s="14" t="s">
        <v>1661</v>
      </c>
      <c r="O2579" s="11" t="str">
        <f t="shared" ref="O2579:O2580" si="282">HYPERLINK("https://pbs.twimg.com/profile_images/701553083537604608/nr8b38eG_normal.jpg","View")</f>
        <v>View</v>
      </c>
      <c r="P2579" s="15"/>
    </row>
    <row r="2580">
      <c r="A2580" s="7">
        <v>42425.72105324074</v>
      </c>
      <c r="B2580" s="8" t="str">
        <f t="shared" si="281"/>
        <v>@renato_umeton</v>
      </c>
      <c r="C2580" s="10" t="s">
        <v>1659</v>
      </c>
      <c r="D2580" s="10" t="s">
        <v>10695</v>
      </c>
      <c r="E2580" s="11" t="str">
        <f>HYPERLINK("https://twitter.com/renato_umeton/status/703026273543655424","703026273543655424")</f>
        <v>703026273543655424</v>
      </c>
      <c r="F2580" s="12" t="s">
        <v>38</v>
      </c>
      <c r="G2580" s="13">
        <v>70.0</v>
      </c>
      <c r="H2580" s="13">
        <v>79.0</v>
      </c>
      <c r="I2580" s="13">
        <v>21.0</v>
      </c>
      <c r="J2580" s="13">
        <v>0.0</v>
      </c>
      <c r="K2580" s="12" t="s">
        <v>21</v>
      </c>
      <c r="L2580" s="7">
        <v>39918.052083333336</v>
      </c>
      <c r="M2580" s="14" t="s">
        <v>1660</v>
      </c>
      <c r="N2580" s="14" t="s">
        <v>1661</v>
      </c>
      <c r="O2580" s="11" t="str">
        <f t="shared" si="282"/>
        <v>View</v>
      </c>
      <c r="P2580" s="15"/>
    </row>
    <row r="2581">
      <c r="A2581" s="7">
        <v>42425.7212037037</v>
      </c>
      <c r="B2581" s="8" t="str">
        <f t="shared" ref="B2581:B2582" si="283">HYPERLINK("https://twitter.com/cornerinsights","@cornerinsights")</f>
        <v>@cornerinsights</v>
      </c>
      <c r="C2581" s="10" t="s">
        <v>10697</v>
      </c>
      <c r="D2581" s="10" t="s">
        <v>8411</v>
      </c>
      <c r="E2581" s="11" t="str">
        <f>HYPERLINK("https://twitter.com/cornerinsights/status/703026326169526276","703026326169526276")</f>
        <v>703026326169526276</v>
      </c>
      <c r="F2581" s="12" t="s">
        <v>152</v>
      </c>
      <c r="G2581" s="13">
        <v>8.0</v>
      </c>
      <c r="H2581" s="13">
        <v>18.0</v>
      </c>
      <c r="I2581" s="13">
        <v>18.0</v>
      </c>
      <c r="J2581" s="13">
        <v>0.0</v>
      </c>
      <c r="K2581" s="12" t="s">
        <v>21</v>
      </c>
      <c r="L2581" s="7">
        <v>41736.715520833335</v>
      </c>
      <c r="M2581" s="16"/>
      <c r="N2581" s="16"/>
      <c r="O2581" s="11" t="str">
        <f t="shared" ref="O2581:O2582" si="284">HYPERLINK("https://pbs.twimg.com/profile_images/485909826044563456/kVpaTM4B_normal.jpeg","View")</f>
        <v>View</v>
      </c>
      <c r="P2581" s="15"/>
    </row>
    <row r="2582">
      <c r="A2582" s="7">
        <v>42425.721284722225</v>
      </c>
      <c r="B2582" s="8" t="str">
        <f t="shared" si="283"/>
        <v>@cornerinsights</v>
      </c>
      <c r="C2582" s="10" t="s">
        <v>10697</v>
      </c>
      <c r="D2582" s="10" t="s">
        <v>10696</v>
      </c>
      <c r="E2582" s="11" t="str">
        <f>HYPERLINK("https://twitter.com/cornerinsights/status/703026356242636800","703026356242636800")</f>
        <v>703026356242636800</v>
      </c>
      <c r="F2582" s="12" t="s">
        <v>152</v>
      </c>
      <c r="G2582" s="13">
        <v>8.0</v>
      </c>
      <c r="H2582" s="13">
        <v>18.0</v>
      </c>
      <c r="I2582" s="13">
        <v>15.0</v>
      </c>
      <c r="J2582" s="13">
        <v>0.0</v>
      </c>
      <c r="K2582" s="12" t="s">
        <v>21</v>
      </c>
      <c r="L2582" s="7">
        <v>41736.715520833335</v>
      </c>
      <c r="M2582" s="16"/>
      <c r="N2582" s="16"/>
      <c r="O2582" s="11" t="str">
        <f t="shared" si="284"/>
        <v>View</v>
      </c>
      <c r="P2582" s="15"/>
    </row>
    <row r="2583">
      <c r="A2583" s="7">
        <v>42425.72217592593</v>
      </c>
      <c r="B2583" s="8" t="str">
        <f>HYPERLINK("https://twitter.com/mcpasin","@mcpasin")</f>
        <v>@mcpasin</v>
      </c>
      <c r="C2583" s="10" t="s">
        <v>10698</v>
      </c>
      <c r="D2583" s="10" t="s">
        <v>10576</v>
      </c>
      <c r="E2583" s="11" t="str">
        <f>HYPERLINK("https://twitter.com/mcpasin/status/703026676922519553","703026676922519553")</f>
        <v>703026676922519553</v>
      </c>
      <c r="F2583" s="12" t="s">
        <v>152</v>
      </c>
      <c r="G2583" s="13">
        <v>361.0</v>
      </c>
      <c r="H2583" s="13">
        <v>512.0</v>
      </c>
      <c r="I2583" s="13">
        <v>4.0</v>
      </c>
      <c r="J2583" s="13">
        <v>0.0</v>
      </c>
      <c r="K2583" s="12" t="s">
        <v>21</v>
      </c>
      <c r="L2583" s="7">
        <v>41389.84060185185</v>
      </c>
      <c r="M2583" s="14" t="s">
        <v>10699</v>
      </c>
      <c r="N2583" s="14" t="s">
        <v>10700</v>
      </c>
      <c r="O2583" s="11" t="str">
        <f>HYPERLINK("https://pbs.twimg.com/profile_images/520574802407350272/Mk_ciE5b_normal.jpeg","View")</f>
        <v>View</v>
      </c>
      <c r="P2583" s="15"/>
    </row>
    <row r="2584">
      <c r="A2584" s="7">
        <v>42425.722662037035</v>
      </c>
      <c r="B2584" s="8" t="str">
        <f>HYPERLINK("https://twitter.com/carlcarrie","@carlcarrie")</f>
        <v>@carlcarrie</v>
      </c>
      <c r="C2584" s="10" t="s">
        <v>6365</v>
      </c>
      <c r="D2584" s="10" t="s">
        <v>10701</v>
      </c>
      <c r="E2584" s="11" t="str">
        <f>HYPERLINK("https://twitter.com/carlcarrie/status/703026855037833216","703026855037833216")</f>
        <v>703026855037833216</v>
      </c>
      <c r="F2584" s="12" t="s">
        <v>52</v>
      </c>
      <c r="G2584" s="13">
        <v>3281.0</v>
      </c>
      <c r="H2584" s="13">
        <v>866.0</v>
      </c>
      <c r="I2584" s="13">
        <v>1.0</v>
      </c>
      <c r="J2584" s="13">
        <v>6.0</v>
      </c>
      <c r="K2584" s="12" t="s">
        <v>21</v>
      </c>
      <c r="L2584" s="7">
        <v>39991.62917824074</v>
      </c>
      <c r="M2584" s="14" t="s">
        <v>1693</v>
      </c>
      <c r="N2584" s="14" t="s">
        <v>6367</v>
      </c>
      <c r="O2584" s="11" t="str">
        <f>HYPERLINK("https://pbs.twimg.com/profile_images/297743194/My_headshot_normal.png","View")</f>
        <v>View</v>
      </c>
      <c r="P2584" s="15"/>
    </row>
    <row r="2585">
      <c r="A2585" s="7">
        <v>42425.723182870366</v>
      </c>
      <c r="B2585" s="8" t="str">
        <f>HYPERLINK("https://twitter.com/MrSeanSharma","@MrSeanSharma")</f>
        <v>@MrSeanSharma</v>
      </c>
      <c r="C2585" s="10" t="s">
        <v>10702</v>
      </c>
      <c r="D2585" s="10" t="s">
        <v>10703</v>
      </c>
      <c r="E2585" s="11" t="str">
        <f>HYPERLINK("https://twitter.com/MrSeanSharma/status/703027043080863744","703027043080863744")</f>
        <v>703027043080863744</v>
      </c>
      <c r="F2585" s="12" t="s">
        <v>52</v>
      </c>
      <c r="G2585" s="13">
        <v>151417.0</v>
      </c>
      <c r="H2585" s="13">
        <v>2564.0</v>
      </c>
      <c r="I2585" s="13">
        <v>1.0</v>
      </c>
      <c r="J2585" s="13">
        <v>0.0</v>
      </c>
      <c r="K2585" s="12" t="s">
        <v>21</v>
      </c>
      <c r="L2585" s="7">
        <v>41142.46366898148</v>
      </c>
      <c r="M2585" s="14" t="s">
        <v>1899</v>
      </c>
      <c r="N2585" s="14" t="s">
        <v>10704</v>
      </c>
      <c r="O2585" s="11" t="str">
        <f>HYPERLINK("https://pbs.twimg.com/profile_images/671009613391638530/bZarNHKp_normal.jpg","View")</f>
        <v>View</v>
      </c>
      <c r="P2585" s="15"/>
    </row>
    <row r="2586">
      <c r="A2586" s="7">
        <v>42425.723391203705</v>
      </c>
      <c r="B2586" s="8" t="str">
        <f t="shared" ref="B2586:B2587" si="285">HYPERLINK("https://twitter.com/jjv_7","@jjv_7")</f>
        <v>@jjv_7</v>
      </c>
      <c r="C2586" s="10" t="s">
        <v>10705</v>
      </c>
      <c r="D2586" s="10" t="s">
        <v>10576</v>
      </c>
      <c r="E2586" s="11" t="str">
        <f>HYPERLINK("https://twitter.com/jjv_7/status/703027119060717569","703027119060717569")</f>
        <v>703027119060717569</v>
      </c>
      <c r="F2586" s="12" t="s">
        <v>52</v>
      </c>
      <c r="G2586" s="13">
        <v>150.0</v>
      </c>
      <c r="H2586" s="13">
        <v>503.0</v>
      </c>
      <c r="I2586" s="13">
        <v>4.0</v>
      </c>
      <c r="J2586" s="13">
        <v>0.0</v>
      </c>
      <c r="K2586" s="12" t="s">
        <v>21</v>
      </c>
      <c r="L2586" s="7">
        <v>40724.04425925926</v>
      </c>
      <c r="M2586" s="16"/>
      <c r="N2586" s="14" t="s">
        <v>10706</v>
      </c>
      <c r="O2586" s="11" t="str">
        <f t="shared" ref="O2586:O2587" si="286">HYPERLINK("https://pbs.twimg.com/profile_images/592719079020040192/fo0ZVuCh_normal.jpg","View")</f>
        <v>View</v>
      </c>
      <c r="P2586" s="15"/>
    </row>
    <row r="2587">
      <c r="A2587" s="7">
        <v>42425.72386574074</v>
      </c>
      <c r="B2587" s="8" t="str">
        <f t="shared" si="285"/>
        <v>@jjv_7</v>
      </c>
      <c r="C2587" s="10" t="s">
        <v>10705</v>
      </c>
      <c r="D2587" s="10" t="s">
        <v>10695</v>
      </c>
      <c r="E2587" s="11" t="str">
        <f>HYPERLINK("https://twitter.com/jjv_7/status/703027290595131392","703027290595131392")</f>
        <v>703027290595131392</v>
      </c>
      <c r="F2587" s="12" t="s">
        <v>52</v>
      </c>
      <c r="G2587" s="13">
        <v>150.0</v>
      </c>
      <c r="H2587" s="13">
        <v>503.0</v>
      </c>
      <c r="I2587" s="13">
        <v>21.0</v>
      </c>
      <c r="J2587" s="13">
        <v>0.0</v>
      </c>
      <c r="K2587" s="12" t="s">
        <v>21</v>
      </c>
      <c r="L2587" s="7">
        <v>40724.04425925926</v>
      </c>
      <c r="M2587" s="16"/>
      <c r="N2587" s="14" t="s">
        <v>10706</v>
      </c>
      <c r="O2587" s="11" t="str">
        <f t="shared" si="286"/>
        <v>View</v>
      </c>
      <c r="P2587" s="15"/>
    </row>
    <row r="2588">
      <c r="A2588" s="7">
        <v>42425.72408564815</v>
      </c>
      <c r="B2588" s="8" t="str">
        <f>HYPERLINK("https://twitter.com/carlcarrie","@carlcarrie")</f>
        <v>@carlcarrie</v>
      </c>
      <c r="C2588" s="10" t="s">
        <v>6365</v>
      </c>
      <c r="D2588" s="10" t="s">
        <v>10707</v>
      </c>
      <c r="E2588" s="11" t="str">
        <f>HYPERLINK("https://twitter.com/carlcarrie/status/703027368995196928","703027368995196928")</f>
        <v>703027368995196928</v>
      </c>
      <c r="F2588" s="12" t="s">
        <v>52</v>
      </c>
      <c r="G2588" s="13">
        <v>3281.0</v>
      </c>
      <c r="H2588" s="13">
        <v>866.0</v>
      </c>
      <c r="I2588" s="13">
        <v>1.0</v>
      </c>
      <c r="J2588" s="13">
        <v>0.0</v>
      </c>
      <c r="K2588" s="12" t="s">
        <v>21</v>
      </c>
      <c r="L2588" s="7">
        <v>39991.62917824074</v>
      </c>
      <c r="M2588" s="14" t="s">
        <v>1693</v>
      </c>
      <c r="N2588" s="14" t="s">
        <v>6367</v>
      </c>
      <c r="O2588" s="11" t="str">
        <f>HYPERLINK("https://pbs.twimg.com/profile_images/297743194/My_headshot_normal.png","View")</f>
        <v>View</v>
      </c>
      <c r="P2588" s="15"/>
    </row>
    <row r="2589">
      <c r="A2589" s="7">
        <v>42425.72523148148</v>
      </c>
      <c r="B2589" s="8" t="str">
        <f>HYPERLINK("https://twitter.com/Emaasit","@Emaasit")</f>
        <v>@Emaasit</v>
      </c>
      <c r="C2589" s="10" t="s">
        <v>7313</v>
      </c>
      <c r="D2589" s="10" t="s">
        <v>10708</v>
      </c>
      <c r="E2589" s="11" t="str">
        <f>HYPERLINK("https://twitter.com/Emaasit/status/703027787536281600","703027787536281600")</f>
        <v>703027787536281600</v>
      </c>
      <c r="F2589" s="12" t="s">
        <v>152</v>
      </c>
      <c r="G2589" s="13">
        <v>1025.0</v>
      </c>
      <c r="H2589" s="13">
        <v>2909.0</v>
      </c>
      <c r="I2589" s="13">
        <v>2.0</v>
      </c>
      <c r="J2589" s="13">
        <v>3.0</v>
      </c>
      <c r="K2589" s="12" t="s">
        <v>21</v>
      </c>
      <c r="L2589" s="7">
        <v>39981.148981481485</v>
      </c>
      <c r="M2589" s="14" t="s">
        <v>7315</v>
      </c>
      <c r="N2589" s="14" t="s">
        <v>7316</v>
      </c>
      <c r="O2589" s="11" t="str">
        <f>HYPERLINK("https://pbs.twimg.com/profile_images/567588045927354370/NN8xp_M5_normal.jpeg","View")</f>
        <v>View</v>
      </c>
      <c r="P2589" s="15"/>
    </row>
    <row r="2590">
      <c r="A2590" s="7">
        <v>42425.72523148148</v>
      </c>
      <c r="B2590" s="8" t="str">
        <f>HYPERLINK("https://twitter.com/eFe_Gil","@eFe_Gil")</f>
        <v>@eFe_Gil</v>
      </c>
      <c r="C2590" s="10" t="s">
        <v>7601</v>
      </c>
      <c r="D2590" s="10" t="s">
        <v>10695</v>
      </c>
      <c r="E2590" s="11" t="str">
        <f>HYPERLINK("https://twitter.com/eFe_Gil/status/703027787855237120","703027787855237120")</f>
        <v>703027787855237120</v>
      </c>
      <c r="F2590" s="12" t="s">
        <v>152</v>
      </c>
      <c r="G2590" s="13">
        <v>43.0</v>
      </c>
      <c r="H2590" s="13">
        <v>64.0</v>
      </c>
      <c r="I2590" s="13">
        <v>21.0</v>
      </c>
      <c r="J2590" s="13">
        <v>0.0</v>
      </c>
      <c r="K2590" s="12" t="s">
        <v>21</v>
      </c>
      <c r="L2590" s="7">
        <v>41283.50839120371</v>
      </c>
      <c r="M2590" s="16"/>
      <c r="N2590" s="14" t="s">
        <v>7602</v>
      </c>
      <c r="O2590" s="11" t="str">
        <f>HYPERLINK("https://pbs.twimg.com/profile_images/674700358166388736/pWBofWfu_normal.jpg","View")</f>
        <v>View</v>
      </c>
      <c r="P2590" s="15"/>
    </row>
    <row r="2591">
      <c r="A2591" s="7">
        <v>42425.72524305555</v>
      </c>
      <c r="B2591" s="8" t="str">
        <f>HYPERLINK("https://twitter.com/itknowingness","@itknowingness")</f>
        <v>@itknowingness</v>
      </c>
      <c r="C2591" s="10" t="s">
        <v>3465</v>
      </c>
      <c r="D2591" s="10" t="s">
        <v>10709</v>
      </c>
      <c r="E2591" s="11" t="str">
        <f>HYPERLINK("https://twitter.com/itknowingness/status/703027790384381952","703027790384381952")</f>
        <v>703027790384381952</v>
      </c>
      <c r="F2591" s="12" t="s">
        <v>3467</v>
      </c>
      <c r="G2591" s="13">
        <v>6904.0</v>
      </c>
      <c r="H2591" s="13">
        <v>3191.0</v>
      </c>
      <c r="I2591" s="13">
        <v>2.0</v>
      </c>
      <c r="J2591" s="13">
        <v>0.0</v>
      </c>
      <c r="K2591" s="12" t="s">
        <v>21</v>
      </c>
      <c r="L2591" s="7">
        <v>40490.39297453704</v>
      </c>
      <c r="M2591" s="14" t="s">
        <v>269</v>
      </c>
      <c r="N2591" s="14" t="s">
        <v>3468</v>
      </c>
      <c r="O2591" s="11" t="str">
        <f>HYPERLINK("https://pbs.twimg.com/profile_images/1164716874/favicon-triada-azul_normal.png","View")</f>
        <v>View</v>
      </c>
      <c r="P2591" s="15"/>
    </row>
    <row r="2592">
      <c r="A2592" s="7">
        <v>42425.72570601852</v>
      </c>
      <c r="B2592" s="8" t="str">
        <f>HYPERLINK("https://twitter.com/Emaasit","@Emaasit")</f>
        <v>@Emaasit</v>
      </c>
      <c r="C2592" s="10" t="s">
        <v>7313</v>
      </c>
      <c r="D2592" s="10" t="s">
        <v>10696</v>
      </c>
      <c r="E2592" s="11" t="str">
        <f>HYPERLINK("https://twitter.com/Emaasit/status/703027958789705728","703027958789705728")</f>
        <v>703027958789705728</v>
      </c>
      <c r="F2592" s="12" t="s">
        <v>152</v>
      </c>
      <c r="G2592" s="13">
        <v>1025.0</v>
      </c>
      <c r="H2592" s="13">
        <v>2909.0</v>
      </c>
      <c r="I2592" s="13">
        <v>15.0</v>
      </c>
      <c r="J2592" s="13">
        <v>0.0</v>
      </c>
      <c r="K2592" s="12" t="s">
        <v>21</v>
      </c>
      <c r="L2592" s="7">
        <v>39981.148981481485</v>
      </c>
      <c r="M2592" s="14" t="s">
        <v>7315</v>
      </c>
      <c r="N2592" s="14" t="s">
        <v>7316</v>
      </c>
      <c r="O2592" s="11" t="str">
        <f>HYPERLINK("https://pbs.twimg.com/profile_images/567588045927354370/NN8xp_M5_normal.jpeg","View")</f>
        <v>View</v>
      </c>
      <c r="P2592" s="15"/>
    </row>
    <row r="2593">
      <c r="A2593" s="7">
        <v>42425.72616898148</v>
      </c>
      <c r="B2593" s="8" t="str">
        <f>HYPERLINK("https://twitter.com/fabiodossi","@fabiodossi")</f>
        <v>@fabiodossi</v>
      </c>
      <c r="C2593" s="10" t="s">
        <v>10710</v>
      </c>
      <c r="D2593" s="10" t="s">
        <v>10695</v>
      </c>
      <c r="E2593" s="11" t="str">
        <f>HYPERLINK("https://twitter.com/fabiodossi/status/703028127895822336","703028127895822336")</f>
        <v>703028127895822336</v>
      </c>
      <c r="F2593" s="12" t="s">
        <v>152</v>
      </c>
      <c r="G2593" s="13">
        <v>191.0</v>
      </c>
      <c r="H2593" s="13">
        <v>907.0</v>
      </c>
      <c r="I2593" s="13">
        <v>21.0</v>
      </c>
      <c r="J2593" s="13">
        <v>0.0</v>
      </c>
      <c r="K2593" s="12" t="s">
        <v>21</v>
      </c>
      <c r="L2593" s="7">
        <v>40019.58725694445</v>
      </c>
      <c r="M2593" s="14" t="s">
        <v>10711</v>
      </c>
      <c r="N2593" s="14" t="s">
        <v>10712</v>
      </c>
      <c r="O2593" s="11" t="str">
        <f>HYPERLINK("https://pbs.twimg.com/profile_images/633740829178236928/UlejOXvO_normal.jpg","View")</f>
        <v>View</v>
      </c>
      <c r="P2593" s="15"/>
    </row>
    <row r="2594">
      <c r="A2594" s="7">
        <v>42425.729479166665</v>
      </c>
      <c r="B2594" s="8" t="str">
        <f>HYPERLINK("https://twitter.com/andremafei","@andremafei")</f>
        <v>@andremafei</v>
      </c>
      <c r="C2594" s="10" t="s">
        <v>10713</v>
      </c>
      <c r="D2594" s="10" t="s">
        <v>9484</v>
      </c>
      <c r="E2594" s="11" t="str">
        <f>HYPERLINK("https://twitter.com/andremafei/status/703029323645718529","703029323645718529")</f>
        <v>703029323645718529</v>
      </c>
      <c r="F2594" s="12" t="s">
        <v>52</v>
      </c>
      <c r="G2594" s="13">
        <v>150.0</v>
      </c>
      <c r="H2594" s="13">
        <v>218.0</v>
      </c>
      <c r="I2594" s="13">
        <v>22.0</v>
      </c>
      <c r="J2594" s="13">
        <v>0.0</v>
      </c>
      <c r="K2594" s="12" t="s">
        <v>21</v>
      </c>
      <c r="L2594" s="7">
        <v>40058.41668981481</v>
      </c>
      <c r="M2594" s="14" t="s">
        <v>10714</v>
      </c>
      <c r="N2594" s="14" t="s">
        <v>10715</v>
      </c>
      <c r="O2594" s="11" t="str">
        <f>HYPERLINK("https://pbs.twimg.com/profile_images/689415573227208704/iYbapZNZ_normal.jpg","View")</f>
        <v>View</v>
      </c>
      <c r="P2594" s="15"/>
    </row>
    <row r="2595">
      <c r="A2595" s="7">
        <v>42425.730578703704</v>
      </c>
      <c r="B2595" s="8" t="str">
        <f>HYPERLINK("https://twitter.com/KuboBook","@KuboBook")</f>
        <v>@KuboBook</v>
      </c>
      <c r="C2595" s="10" t="s">
        <v>10716</v>
      </c>
      <c r="D2595" s="10" t="s">
        <v>10653</v>
      </c>
      <c r="E2595" s="11" t="str">
        <f>HYPERLINK("https://twitter.com/KuboBook/status/703029724256206848","703029724256206848")</f>
        <v>703029724256206848</v>
      </c>
      <c r="F2595" s="12" t="s">
        <v>20</v>
      </c>
      <c r="G2595" s="13">
        <v>2202.0</v>
      </c>
      <c r="H2595" s="13">
        <v>64.0</v>
      </c>
      <c r="I2595" s="13">
        <v>28.0</v>
      </c>
      <c r="J2595" s="13">
        <v>0.0</v>
      </c>
      <c r="K2595" s="12" t="s">
        <v>21</v>
      </c>
      <c r="L2595" s="7">
        <v>40612.73850694444</v>
      </c>
      <c r="M2595" s="14" t="s">
        <v>10717</v>
      </c>
      <c r="N2595" s="14" t="s">
        <v>10718</v>
      </c>
      <c r="O2595" s="11" t="str">
        <f>HYPERLINK("https://pbs.twimg.com/profile_images/2231152189/iwanami19_normal.jpg","View")</f>
        <v>View</v>
      </c>
      <c r="P2595" s="15"/>
    </row>
    <row r="2596">
      <c r="A2596" s="7">
        <v>42425.73070601852</v>
      </c>
      <c r="B2596" s="8" t="str">
        <f>HYPERLINK("https://twitter.com/dogvile","@dogvile")</f>
        <v>@dogvile</v>
      </c>
      <c r="C2596" s="10" t="s">
        <v>7246</v>
      </c>
      <c r="D2596" s="10" t="s">
        <v>10696</v>
      </c>
      <c r="E2596" s="11" t="str">
        <f>HYPERLINK("https://twitter.com/dogvile/status/703029771945570304","703029771945570304")</f>
        <v>703029771945570304</v>
      </c>
      <c r="F2596" s="12" t="s">
        <v>20</v>
      </c>
      <c r="G2596" s="13">
        <v>2313.0</v>
      </c>
      <c r="H2596" s="13">
        <v>4998.0</v>
      </c>
      <c r="I2596" s="13">
        <v>15.0</v>
      </c>
      <c r="J2596" s="13">
        <v>0.0</v>
      </c>
      <c r="K2596" s="12" t="s">
        <v>21</v>
      </c>
      <c r="L2596" s="7">
        <v>39809.12537037037</v>
      </c>
      <c r="M2596" s="14" t="s">
        <v>2224</v>
      </c>
      <c r="N2596" s="14" t="s">
        <v>7248</v>
      </c>
      <c r="O2596" s="11" t="str">
        <f>HYPERLINK("https://pbs.twimg.com/profile_images/461862990262710272/VqV2sKZR_normal.jpeg","View")</f>
        <v>View</v>
      </c>
      <c r="P2596" s="15"/>
    </row>
    <row r="2597">
      <c r="A2597" s="7">
        <v>42425.730833333335</v>
      </c>
      <c r="B2597" s="8" t="str">
        <f>HYPERLINK("https://twitter.com/gctpl0243","@gctpl0243")</f>
        <v>@gctpl0243</v>
      </c>
      <c r="C2597" s="10" t="s">
        <v>10719</v>
      </c>
      <c r="D2597" s="10" t="s">
        <v>10653</v>
      </c>
      <c r="E2597" s="11" t="str">
        <f>HYPERLINK("https://twitter.com/gctpl0243/status/703029816480518144","703029816480518144")</f>
        <v>703029816480518144</v>
      </c>
      <c r="F2597" s="12" t="s">
        <v>52</v>
      </c>
      <c r="G2597" s="13">
        <v>122.0</v>
      </c>
      <c r="H2597" s="13">
        <v>42.0</v>
      </c>
      <c r="I2597" s="13">
        <v>28.0</v>
      </c>
      <c r="J2597" s="13">
        <v>0.0</v>
      </c>
      <c r="K2597" s="12" t="s">
        <v>21</v>
      </c>
      <c r="L2597" s="7">
        <v>41927.00837962963</v>
      </c>
      <c r="M2597" s="16"/>
      <c r="N2597" s="14" t="s">
        <v>10720</v>
      </c>
      <c r="O2597" s="11" t="str">
        <f>HYPERLINK("https://pbs.twimg.com/profile_images/610571047952338945/FEVyIfGt_normal.jpg","View")</f>
        <v>View</v>
      </c>
      <c r="P2597" s="15"/>
    </row>
    <row r="2598">
      <c r="A2598" s="7">
        <v>42425.73133101852</v>
      </c>
      <c r="B2598" s="8" t="str">
        <f t="shared" ref="B2598:B2599" si="287">HYPERLINK("https://twitter.com/cornerinsights","@cornerinsights")</f>
        <v>@cornerinsights</v>
      </c>
      <c r="C2598" s="10" t="s">
        <v>10697</v>
      </c>
      <c r="D2598" s="10" t="s">
        <v>10551</v>
      </c>
      <c r="E2598" s="11" t="str">
        <f>HYPERLINK("https://twitter.com/cornerinsights/status/703029995099152385","703029995099152385")</f>
        <v>703029995099152385</v>
      </c>
      <c r="F2598" s="12" t="s">
        <v>152</v>
      </c>
      <c r="G2598" s="13">
        <v>8.0</v>
      </c>
      <c r="H2598" s="13">
        <v>18.0</v>
      </c>
      <c r="I2598" s="13">
        <v>14.0</v>
      </c>
      <c r="J2598" s="13">
        <v>0.0</v>
      </c>
      <c r="K2598" s="12" t="s">
        <v>21</v>
      </c>
      <c r="L2598" s="7">
        <v>41736.715520833335</v>
      </c>
      <c r="M2598" s="16"/>
      <c r="N2598" s="16"/>
      <c r="O2598" s="11" t="str">
        <f t="shared" ref="O2598:O2599" si="288">HYPERLINK("https://pbs.twimg.com/profile_images/485909826044563456/kVpaTM4B_normal.jpeg","View")</f>
        <v>View</v>
      </c>
      <c r="P2598" s="15"/>
    </row>
    <row r="2599">
      <c r="A2599" s="7">
        <v>42425.731562500005</v>
      </c>
      <c r="B2599" s="8" t="str">
        <f t="shared" si="287"/>
        <v>@cornerinsights</v>
      </c>
      <c r="C2599" s="10" t="s">
        <v>10697</v>
      </c>
      <c r="D2599" s="10" t="s">
        <v>10550</v>
      </c>
      <c r="E2599" s="11" t="str">
        <f>HYPERLINK("https://twitter.com/cornerinsights/status/703030081682157569","703030081682157569")</f>
        <v>703030081682157569</v>
      </c>
      <c r="F2599" s="12" t="s">
        <v>152</v>
      </c>
      <c r="G2599" s="13">
        <v>8.0</v>
      </c>
      <c r="H2599" s="13">
        <v>18.0</v>
      </c>
      <c r="I2599" s="13">
        <v>11.0</v>
      </c>
      <c r="J2599" s="13">
        <v>0.0</v>
      </c>
      <c r="K2599" s="12" t="s">
        <v>21</v>
      </c>
      <c r="L2599" s="7">
        <v>41736.715520833335</v>
      </c>
      <c r="M2599" s="16"/>
      <c r="N2599" s="16"/>
      <c r="O2599" s="11" t="str">
        <f t="shared" si="288"/>
        <v>View</v>
      </c>
      <c r="P2599" s="15"/>
    </row>
    <row r="2600">
      <c r="A2600" s="7">
        <v>42425.73460648148</v>
      </c>
      <c r="B2600" s="8" t="str">
        <f>HYPERLINK("https://twitter.com/LovedeepSG","@LovedeepSG")</f>
        <v>@LovedeepSG</v>
      </c>
      <c r="C2600" s="10" t="s">
        <v>6501</v>
      </c>
      <c r="D2600" s="10" t="s">
        <v>10695</v>
      </c>
      <c r="E2600" s="11" t="str">
        <f>HYPERLINK("https://twitter.com/LovedeepSG/status/703031182657658880","703031182657658880")</f>
        <v>703031182657658880</v>
      </c>
      <c r="F2600" s="12" t="s">
        <v>20</v>
      </c>
      <c r="G2600" s="13">
        <v>46.0</v>
      </c>
      <c r="H2600" s="13">
        <v>85.0</v>
      </c>
      <c r="I2600" s="13">
        <v>21.0</v>
      </c>
      <c r="J2600" s="13">
        <v>0.0</v>
      </c>
      <c r="K2600" s="12" t="s">
        <v>21</v>
      </c>
      <c r="L2600" s="7">
        <v>41453.381203703706</v>
      </c>
      <c r="M2600" s="14" t="s">
        <v>4138</v>
      </c>
      <c r="N2600" s="14" t="s">
        <v>6502</v>
      </c>
      <c r="O2600" s="11" t="str">
        <f>HYPERLINK("https://pbs.twimg.com/profile_images/378800000059126288/17d4fa184bbd13c1e64465a3cc234efc_normal.jpeg","View")</f>
        <v>View</v>
      </c>
      <c r="P2600" s="15"/>
    </row>
    <row r="2601">
      <c r="A2601" s="7">
        <v>42425.7374537037</v>
      </c>
      <c r="B2601" s="8" t="str">
        <f>HYPERLINK("https://twitter.com/toleoring","@toleoring")</f>
        <v>@toleoring</v>
      </c>
      <c r="C2601" s="10" t="s">
        <v>10721</v>
      </c>
      <c r="D2601" s="10" t="s">
        <v>10695</v>
      </c>
      <c r="E2601" s="11" t="str">
        <f>HYPERLINK("https://twitter.com/toleoring/status/703032215920205824","703032215920205824")</f>
        <v>703032215920205824</v>
      </c>
      <c r="F2601" s="12" t="s">
        <v>52</v>
      </c>
      <c r="G2601" s="13">
        <v>69.0</v>
      </c>
      <c r="H2601" s="13">
        <v>428.0</v>
      </c>
      <c r="I2601" s="13">
        <v>21.0</v>
      </c>
      <c r="J2601" s="13">
        <v>0.0</v>
      </c>
      <c r="K2601" s="12" t="s">
        <v>21</v>
      </c>
      <c r="L2601" s="7">
        <v>40220.67395833333</v>
      </c>
      <c r="M2601" s="14" t="s">
        <v>10722</v>
      </c>
      <c r="N2601" s="14" t="s">
        <v>10723</v>
      </c>
      <c r="O2601" s="11" t="str">
        <f>HYPERLINK("https://pbs.twimg.com/profile_images/739153842/pp123_normal.jpg","View")</f>
        <v>View</v>
      </c>
      <c r="P2601" s="15"/>
    </row>
    <row r="2602">
      <c r="A2602" s="7">
        <v>42425.73746527778</v>
      </c>
      <c r="B2602" s="8" t="str">
        <f>HYPERLINK("https://twitter.com/dataandme","@dataandme")</f>
        <v>@dataandme</v>
      </c>
      <c r="C2602" s="10" t="s">
        <v>6648</v>
      </c>
      <c r="D2602" s="10" t="s">
        <v>10724</v>
      </c>
      <c r="E2602" s="11" t="str">
        <f>HYPERLINK("https://twitter.com/dataandme/status/703032220701827072","703032220701827072")</f>
        <v>703032220701827072</v>
      </c>
      <c r="F2602" s="12" t="s">
        <v>294</v>
      </c>
      <c r="G2602" s="13">
        <v>2500.0</v>
      </c>
      <c r="H2602" s="13">
        <v>1940.0</v>
      </c>
      <c r="I2602" s="13">
        <v>3.0</v>
      </c>
      <c r="J2602" s="13">
        <v>5.0</v>
      </c>
      <c r="K2602" s="12" t="s">
        <v>21</v>
      </c>
      <c r="L2602" s="7">
        <v>42127.19739583333</v>
      </c>
      <c r="M2602" s="14" t="s">
        <v>332</v>
      </c>
      <c r="N2602" s="14" t="s">
        <v>6650</v>
      </c>
      <c r="O2602" s="11" t="str">
        <f>HYPERLINK("https://pbs.twimg.com/profile_images/598126722920361984/HdS1NWXJ_normal.png","View")</f>
        <v>View</v>
      </c>
      <c r="P2602" s="15"/>
    </row>
    <row r="2603">
      <c r="A2603" s="7">
        <v>42425.738541666666</v>
      </c>
      <c r="B2603" s="8" t="str">
        <f>HYPERLINK("https://twitter.com/polesasunder","@polesasunder")</f>
        <v>@polesasunder</v>
      </c>
      <c r="C2603" s="10" t="s">
        <v>7496</v>
      </c>
      <c r="D2603" s="10" t="s">
        <v>10725</v>
      </c>
      <c r="E2603" s="11" t="str">
        <f>HYPERLINK("https://twitter.com/polesasunder/status/703032610306437121","703032610306437121")</f>
        <v>703032610306437121</v>
      </c>
      <c r="F2603" s="12" t="s">
        <v>446</v>
      </c>
      <c r="G2603" s="13">
        <v>1560.0</v>
      </c>
      <c r="H2603" s="13">
        <v>1353.0</v>
      </c>
      <c r="I2603" s="13">
        <v>0.0</v>
      </c>
      <c r="J2603" s="13">
        <v>10.0</v>
      </c>
      <c r="K2603" s="12" t="s">
        <v>21</v>
      </c>
      <c r="L2603" s="7">
        <v>40268.41755787037</v>
      </c>
      <c r="M2603" s="14" t="s">
        <v>2216</v>
      </c>
      <c r="N2603" s="14" t="s">
        <v>7498</v>
      </c>
      <c r="O2603" s="11" t="str">
        <f>HYPERLINK("https://pbs.twimg.com/profile_images/499358811564425216/jiX57F1h_normal.jpeg","View")</f>
        <v>View</v>
      </c>
      <c r="P2603" s="15"/>
    </row>
    <row r="2604">
      <c r="A2604" s="7">
        <v>42425.73954861111</v>
      </c>
      <c r="B2604" s="8" t="str">
        <f>HYPERLINK("https://twitter.com/dthyresson","@dthyresson")</f>
        <v>@dthyresson</v>
      </c>
      <c r="C2604" s="10" t="s">
        <v>10726</v>
      </c>
      <c r="D2604" s="10" t="s">
        <v>10727</v>
      </c>
      <c r="E2604" s="11" t="str">
        <f>HYPERLINK("https://twitter.com/dthyresson/status/703032974065995777","703032974065995777")</f>
        <v>703032974065995777</v>
      </c>
      <c r="F2604" s="12" t="s">
        <v>20</v>
      </c>
      <c r="G2604" s="13">
        <v>63.0</v>
      </c>
      <c r="H2604" s="13">
        <v>148.0</v>
      </c>
      <c r="I2604" s="13">
        <v>3.0</v>
      </c>
      <c r="J2604" s="13">
        <v>0.0</v>
      </c>
      <c r="K2604" s="12" t="s">
        <v>21</v>
      </c>
      <c r="L2604" s="7">
        <v>41326.427245370374</v>
      </c>
      <c r="M2604" s="14" t="s">
        <v>6646</v>
      </c>
      <c r="N2604" s="14" t="s">
        <v>10728</v>
      </c>
      <c r="O2604" s="11" t="str">
        <f>HYPERLINK("https://pbs.twimg.com/profile_images/3288129518/b2f3b017cc9c0346bede593dd48055ea_normal.jpeg","View")</f>
        <v>View</v>
      </c>
      <c r="P2604" s="15"/>
    </row>
    <row r="2605">
      <c r="A2605" s="7">
        <v>42425.74230324074</v>
      </c>
      <c r="B2605" s="8" t="str">
        <f>HYPERLINK("https://twitter.com/_pSTS","@_pSTS")</f>
        <v>@_pSTS</v>
      </c>
      <c r="C2605" s="10" t="s">
        <v>10729</v>
      </c>
      <c r="D2605" s="10" t="s">
        <v>10730</v>
      </c>
      <c r="E2605" s="11" t="str">
        <f>HYPERLINK("https://twitter.com/_pSTS/status/703033972469575680","703033972469575680")</f>
        <v>703033972469575680</v>
      </c>
      <c r="F2605" s="12" t="s">
        <v>52</v>
      </c>
      <c r="G2605" s="13">
        <v>476.0</v>
      </c>
      <c r="H2605" s="13">
        <v>395.0</v>
      </c>
      <c r="I2605" s="13">
        <v>0.0</v>
      </c>
      <c r="J2605" s="13">
        <v>0.0</v>
      </c>
      <c r="K2605" s="12" t="s">
        <v>21</v>
      </c>
      <c r="L2605" s="7">
        <v>39981.51351851852</v>
      </c>
      <c r="M2605" s="14" t="s">
        <v>3613</v>
      </c>
      <c r="N2605" s="14" t="s">
        <v>10731</v>
      </c>
      <c r="O2605" s="11" t="str">
        <f>HYPERLINK("https://pbs.twimg.com/profile_images/620657258834210817/xlp1Bec7_normal.jpg","View")</f>
        <v>View</v>
      </c>
      <c r="P2605" s="15"/>
    </row>
    <row r="2606">
      <c r="A2606" s="7">
        <v>42425.74270833333</v>
      </c>
      <c r="B2606" s="8" t="str">
        <f>HYPERLINK("https://twitter.com/DataMatthis","@DataMatthis")</f>
        <v>@DataMatthis</v>
      </c>
      <c r="C2606" s="10" t="s">
        <v>10732</v>
      </c>
      <c r="D2606" s="10" t="s">
        <v>8656</v>
      </c>
      <c r="E2606" s="11" t="str">
        <f>HYPERLINK("https://twitter.com/DataMatthis/status/703034119043862530","703034119043862530")</f>
        <v>703034119043862530</v>
      </c>
      <c r="F2606" s="12" t="s">
        <v>1573</v>
      </c>
      <c r="G2606" s="13">
        <v>10.0</v>
      </c>
      <c r="H2606" s="13">
        <v>29.0</v>
      </c>
      <c r="I2606" s="13">
        <v>8.0</v>
      </c>
      <c r="J2606" s="13">
        <v>0.0</v>
      </c>
      <c r="K2606" s="12" t="s">
        <v>21</v>
      </c>
      <c r="L2606" s="7">
        <v>42350.2706712963</v>
      </c>
      <c r="M2606" s="16"/>
      <c r="N2606" s="16"/>
      <c r="O2606" s="11" t="str">
        <f>HYPERLINK("https://pbs.twimg.com/profile_images/675685859383971840/GNwgK4YE_normal.png","View")</f>
        <v>View</v>
      </c>
      <c r="P2606" s="15"/>
    </row>
    <row r="2607">
      <c r="A2607" s="7">
        <v>42425.74561342593</v>
      </c>
      <c r="B2607" s="8" t="str">
        <f>HYPERLINK("https://twitter.com/hadleywickham","@hadleywickham")</f>
        <v>@hadleywickham</v>
      </c>
      <c r="C2607" s="10" t="s">
        <v>6659</v>
      </c>
      <c r="D2607" s="10" t="s">
        <v>10733</v>
      </c>
      <c r="E2607" s="11" t="str">
        <f>HYPERLINK("https://twitter.com/hadleywickham/status/703035174234120192","703035174234120192")</f>
        <v>703035174234120192</v>
      </c>
      <c r="F2607" s="12" t="s">
        <v>1082</v>
      </c>
      <c r="G2607" s="13">
        <v>24816.0</v>
      </c>
      <c r="H2607" s="13">
        <v>244.0</v>
      </c>
      <c r="I2607" s="13">
        <v>17.0</v>
      </c>
      <c r="J2607" s="13">
        <v>32.0</v>
      </c>
      <c r="K2607" s="12" t="s">
        <v>21</v>
      </c>
      <c r="L2607" s="7">
        <v>40051.69081018519</v>
      </c>
      <c r="M2607" s="14" t="s">
        <v>719</v>
      </c>
      <c r="N2607" s="14" t="s">
        <v>6661</v>
      </c>
      <c r="O2607" s="11" t="str">
        <f>HYPERLINK("https://pbs.twimg.com/profile_images/677589103710306304/m56O6Wgf_normal.jpg","View")</f>
        <v>View</v>
      </c>
      <c r="P2607" s="15"/>
    </row>
    <row r="2608">
      <c r="A2608" s="7">
        <v>42425.74791666667</v>
      </c>
      <c r="B2608" s="8" t="str">
        <f t="shared" ref="B2608:B2609" si="289">HYPERLINK("https://twitter.com/nicholasgatto","@nicholasgatto")</f>
        <v>@nicholasgatto</v>
      </c>
      <c r="C2608" s="10" t="s">
        <v>3636</v>
      </c>
      <c r="D2608" s="10" t="s">
        <v>10734</v>
      </c>
      <c r="E2608" s="11" t="str">
        <f>HYPERLINK("https://twitter.com/nicholasgatto/status/703036008452005888","703036008452005888")</f>
        <v>703036008452005888</v>
      </c>
      <c r="F2608" s="12" t="s">
        <v>52</v>
      </c>
      <c r="G2608" s="13">
        <v>217.0</v>
      </c>
      <c r="H2608" s="13">
        <v>536.0</v>
      </c>
      <c r="I2608" s="13">
        <v>15.0</v>
      </c>
      <c r="J2608" s="13">
        <v>0.0</v>
      </c>
      <c r="K2608" s="12" t="s">
        <v>21</v>
      </c>
      <c r="L2608" s="7">
        <v>41606.686331018514</v>
      </c>
      <c r="M2608" s="14" t="s">
        <v>1158</v>
      </c>
      <c r="N2608" s="14" t="s">
        <v>3638</v>
      </c>
      <c r="O2608" s="11" t="str">
        <f t="shared" ref="O2608:O2609" si="290">HYPERLINK("https://pbs.twimg.com/profile_images/676838769769783296/dKMh-GgM_normal.jpg","View")</f>
        <v>View</v>
      </c>
      <c r="P2608" s="15"/>
    </row>
    <row r="2609">
      <c r="A2609" s="7">
        <v>42425.74799768519</v>
      </c>
      <c r="B2609" s="8" t="str">
        <f t="shared" si="289"/>
        <v>@nicholasgatto</v>
      </c>
      <c r="C2609" s="10" t="s">
        <v>3636</v>
      </c>
      <c r="D2609" s="10" t="s">
        <v>3637</v>
      </c>
      <c r="E2609" s="11" t="str">
        <f>HYPERLINK("https://twitter.com/nicholasgatto/status/703036036310499329","703036036310499329")</f>
        <v>703036036310499329</v>
      </c>
      <c r="F2609" s="12" t="s">
        <v>52</v>
      </c>
      <c r="G2609" s="13">
        <v>217.0</v>
      </c>
      <c r="H2609" s="13">
        <v>536.0</v>
      </c>
      <c r="I2609" s="13">
        <v>3.0</v>
      </c>
      <c r="J2609" s="13">
        <v>0.0</v>
      </c>
      <c r="K2609" s="12" t="s">
        <v>21</v>
      </c>
      <c r="L2609" s="7">
        <v>41606.686331018514</v>
      </c>
      <c r="M2609" s="14" t="s">
        <v>1158</v>
      </c>
      <c r="N2609" s="14" t="s">
        <v>3638</v>
      </c>
      <c r="O2609" s="11" t="str">
        <f t="shared" si="290"/>
        <v>View</v>
      </c>
      <c r="P2609" s="15"/>
    </row>
    <row r="2610">
      <c r="A2610" s="7">
        <v>42425.74847222222</v>
      </c>
      <c r="B2610" s="8" t="str">
        <f>HYPERLINK("https://twitter.com/Jemus42","@Jemus42")</f>
        <v>@Jemus42</v>
      </c>
      <c r="C2610" s="10" t="s">
        <v>7905</v>
      </c>
      <c r="D2610" s="10" t="s">
        <v>10735</v>
      </c>
      <c r="E2610" s="11" t="str">
        <f>HYPERLINK("https://twitter.com/Jemus42/status/703036210130894848","703036210130894848")</f>
        <v>703036210130894848</v>
      </c>
      <c r="F2610" s="12" t="s">
        <v>240</v>
      </c>
      <c r="G2610" s="13">
        <v>589.0</v>
      </c>
      <c r="H2610" s="13">
        <v>549.0</v>
      </c>
      <c r="I2610" s="13">
        <v>17.0</v>
      </c>
      <c r="J2610" s="13">
        <v>0.0</v>
      </c>
      <c r="K2610" s="12" t="s">
        <v>21</v>
      </c>
      <c r="L2610" s="7">
        <v>39988.36329861111</v>
      </c>
      <c r="M2610" s="16"/>
      <c r="N2610" s="14" t="s">
        <v>7907</v>
      </c>
      <c r="O2610" s="11" t="str">
        <f>HYPERLINK("https://pbs.twimg.com/profile_images/2442155420/13fr1e3on4dzb9fn7i48_normal.jpeg","View")</f>
        <v>View</v>
      </c>
      <c r="P2610" s="15"/>
    </row>
    <row r="2611">
      <c r="A2611" s="7">
        <v>42425.748506944445</v>
      </c>
      <c r="B2611" s="8" t="str">
        <f>HYPERLINK("https://twitter.com/dichika","@dichika")</f>
        <v>@dichika</v>
      </c>
      <c r="C2611" s="10" t="s">
        <v>10736</v>
      </c>
      <c r="D2611" s="10" t="s">
        <v>10653</v>
      </c>
      <c r="E2611" s="11" t="str">
        <f>HYPERLINK("https://twitter.com/dichika/status/703036220352299008","703036220352299008")</f>
        <v>703036220352299008</v>
      </c>
      <c r="F2611" s="12" t="s">
        <v>52</v>
      </c>
      <c r="G2611" s="13">
        <v>977.0</v>
      </c>
      <c r="H2611" s="13">
        <v>710.0</v>
      </c>
      <c r="I2611" s="13">
        <v>28.0</v>
      </c>
      <c r="J2611" s="13">
        <v>0.0</v>
      </c>
      <c r="K2611" s="12" t="s">
        <v>21</v>
      </c>
      <c r="L2611" s="7">
        <v>39617.03559027778</v>
      </c>
      <c r="M2611" s="14" t="s">
        <v>10737</v>
      </c>
      <c r="N2611" s="14" t="s">
        <v>10738</v>
      </c>
      <c r="O2611" s="11" t="str">
        <f>HYPERLINK("https://pbs.twimg.com/profile_images/579152198296166400/WPwMK4oI_normal.jpg","View")</f>
        <v>View</v>
      </c>
      <c r="P2611" s="15"/>
    </row>
    <row r="2612">
      <c r="A2612" s="7">
        <v>42425.751875</v>
      </c>
      <c r="B2612" s="8" t="str">
        <f>HYPERLINK("https://twitter.com/paralelepipidu","@paralelepipidu")</f>
        <v>@paralelepipidu</v>
      </c>
      <c r="C2612" s="10" t="s">
        <v>10739</v>
      </c>
      <c r="D2612" s="10" t="s">
        <v>10695</v>
      </c>
      <c r="E2612" s="11" t="str">
        <f>HYPERLINK("https://twitter.com/paralelepipidu/status/703037443457548288","703037443457548288")</f>
        <v>703037443457548288</v>
      </c>
      <c r="F2612" s="12" t="s">
        <v>20</v>
      </c>
      <c r="G2612" s="13">
        <v>194.0</v>
      </c>
      <c r="H2612" s="13">
        <v>331.0</v>
      </c>
      <c r="I2612" s="13">
        <v>21.0</v>
      </c>
      <c r="J2612" s="13">
        <v>0.0</v>
      </c>
      <c r="K2612" s="12" t="s">
        <v>21</v>
      </c>
      <c r="L2612" s="7">
        <v>40639.97554398148</v>
      </c>
      <c r="M2612" s="14" t="s">
        <v>784</v>
      </c>
      <c r="N2612" s="14" t="s">
        <v>10740</v>
      </c>
      <c r="O2612" s="11" t="str">
        <f>HYPERLINK("https://pbs.twimg.com/profile_images/2648471416/b77d9b448eecc51df7dc344abc2cbe44_normal.jpeg","View")</f>
        <v>View</v>
      </c>
      <c r="P2612" s="15"/>
    </row>
    <row r="2613">
      <c r="A2613" s="7">
        <v>42425.75275462963</v>
      </c>
      <c r="B2613" s="8" t="str">
        <f>HYPERLINK("https://twitter.com/ayirpelle","@ayirpelle")</f>
        <v>@ayirpelle</v>
      </c>
      <c r="C2613" s="10" t="s">
        <v>5607</v>
      </c>
      <c r="D2613" s="10" t="s">
        <v>10735</v>
      </c>
      <c r="E2613" s="11" t="str">
        <f>HYPERLINK("https://twitter.com/ayirpelle/status/703037758772674560","703037758772674560")</f>
        <v>703037758772674560</v>
      </c>
      <c r="F2613" s="12" t="s">
        <v>52</v>
      </c>
      <c r="G2613" s="13">
        <v>1327.0</v>
      </c>
      <c r="H2613" s="13">
        <v>2069.0</v>
      </c>
      <c r="I2613" s="13">
        <v>17.0</v>
      </c>
      <c r="J2613" s="13">
        <v>0.0</v>
      </c>
      <c r="K2613" s="12" t="s">
        <v>21</v>
      </c>
      <c r="L2613" s="7">
        <v>40959.997881944444</v>
      </c>
      <c r="M2613" s="14" t="s">
        <v>3391</v>
      </c>
      <c r="N2613" s="14" t="s">
        <v>5608</v>
      </c>
      <c r="O2613" s="11" t="str">
        <f>HYPERLINK("https://pbs.twimg.com/profile_images/412126192150401024/BGjaQNXk_normal.jpeg","View")</f>
        <v>View</v>
      </c>
      <c r="P2613" s="15"/>
    </row>
    <row r="2614">
      <c r="A2614" s="7">
        <v>42425.752812499995</v>
      </c>
      <c r="B2614" s="8" t="str">
        <f>HYPERLINK("https://twitter.com/DominoDataLab","@DominoDataLab")</f>
        <v>@DominoDataLab</v>
      </c>
      <c r="C2614" s="10" t="s">
        <v>9367</v>
      </c>
      <c r="D2614" s="10" t="s">
        <v>10709</v>
      </c>
      <c r="E2614" s="11" t="str">
        <f>HYPERLINK("https://twitter.com/DominoDataLab/status/703037782059388928","703037782059388928")</f>
        <v>703037782059388928</v>
      </c>
      <c r="F2614" s="12" t="s">
        <v>20</v>
      </c>
      <c r="G2614" s="13">
        <v>4951.0</v>
      </c>
      <c r="H2614" s="13">
        <v>1636.0</v>
      </c>
      <c r="I2614" s="13">
        <v>2.0</v>
      </c>
      <c r="J2614" s="13">
        <v>0.0</v>
      </c>
      <c r="K2614" s="12" t="s">
        <v>21</v>
      </c>
      <c r="L2614" s="7">
        <v>41521.31863425926</v>
      </c>
      <c r="M2614" s="14" t="s">
        <v>69</v>
      </c>
      <c r="N2614" s="14" t="s">
        <v>9368</v>
      </c>
      <c r="O2614" s="11" t="str">
        <f>HYPERLINK("https://pbs.twimg.com/profile_images/671154942380400641/ySYpd-P3_normal.jpg","View")</f>
        <v>View</v>
      </c>
      <c r="P2614" s="15"/>
    </row>
    <row r="2615">
      <c r="A2615" s="7">
        <v>42425.75412037037</v>
      </c>
      <c r="B2615" s="8" t="str">
        <f>HYPERLINK("https://twitter.com/knaaptime","@knaaptime")</f>
        <v>@knaaptime</v>
      </c>
      <c r="C2615" s="10" t="s">
        <v>10741</v>
      </c>
      <c r="D2615" s="10" t="s">
        <v>10735</v>
      </c>
      <c r="E2615" s="11" t="str">
        <f>HYPERLINK("https://twitter.com/knaaptime/status/703038253763584000","703038253763584000")</f>
        <v>703038253763584000</v>
      </c>
      <c r="F2615" s="12" t="s">
        <v>240</v>
      </c>
      <c r="G2615" s="13">
        <v>185.0</v>
      </c>
      <c r="H2615" s="13">
        <v>751.0</v>
      </c>
      <c r="I2615" s="13">
        <v>17.0</v>
      </c>
      <c r="J2615" s="13">
        <v>0.0</v>
      </c>
      <c r="K2615" s="12" t="s">
        <v>21</v>
      </c>
      <c r="L2615" s="7">
        <v>40390.84664351852</v>
      </c>
      <c r="M2615" s="14" t="s">
        <v>10742</v>
      </c>
      <c r="N2615" s="14" t="s">
        <v>10743</v>
      </c>
      <c r="O2615" s="11" t="str">
        <f>HYPERLINK("https://pbs.twimg.com/profile_images/620786704417456128/6xr-UhjE_normal.jpg","View")</f>
        <v>View</v>
      </c>
      <c r="P2615" s="15"/>
    </row>
    <row r="2616">
      <c r="A2616" s="7">
        <v>42425.75592592593</v>
      </c>
      <c r="B2616" s="8" t="str">
        <f>HYPERLINK("https://twitter.com/huyenkle","@huyenkle")</f>
        <v>@huyenkle</v>
      </c>
      <c r="C2616" s="10" t="s">
        <v>10744</v>
      </c>
      <c r="D2616" s="10" t="s">
        <v>10696</v>
      </c>
      <c r="E2616" s="11" t="str">
        <f>HYPERLINK("https://twitter.com/huyenkle/status/703038909954002945","703038909954002945")</f>
        <v>703038909954002945</v>
      </c>
      <c r="F2616" s="12" t="s">
        <v>152</v>
      </c>
      <c r="G2616" s="13">
        <v>56.0</v>
      </c>
      <c r="H2616" s="13">
        <v>154.0</v>
      </c>
      <c r="I2616" s="13">
        <v>15.0</v>
      </c>
      <c r="J2616" s="13">
        <v>0.0</v>
      </c>
      <c r="K2616" s="12" t="s">
        <v>21</v>
      </c>
      <c r="L2616" s="7">
        <v>39936.746782407405</v>
      </c>
      <c r="M2616" s="16"/>
      <c r="N2616" s="14" t="s">
        <v>10745</v>
      </c>
      <c r="O2616" s="11" t="str">
        <f>HYPERLINK("https://pbs.twimg.com/profile_images/682804140855136256/UXwHyg_C_normal.jpg","View")</f>
        <v>View</v>
      </c>
      <c r="P2616" s="15"/>
    </row>
    <row r="2617">
      <c r="A2617" s="7">
        <v>42425.75839120371</v>
      </c>
      <c r="B2617" s="8" t="str">
        <f>HYPERLINK("https://twitter.com/MayumiPod","@MayumiPod")</f>
        <v>@MayumiPod</v>
      </c>
      <c r="C2617" s="10" t="s">
        <v>10746</v>
      </c>
      <c r="D2617" s="10" t="s">
        <v>10653</v>
      </c>
      <c r="E2617" s="11" t="str">
        <f>HYPERLINK("https://twitter.com/MayumiPod/status/703039802627624960","703039802627624960")</f>
        <v>703039802627624960</v>
      </c>
      <c r="F2617" s="12" t="s">
        <v>52</v>
      </c>
      <c r="G2617" s="13">
        <v>214.0</v>
      </c>
      <c r="H2617" s="13">
        <v>76.0</v>
      </c>
      <c r="I2617" s="13">
        <v>28.0</v>
      </c>
      <c r="J2617" s="13">
        <v>0.0</v>
      </c>
      <c r="K2617" s="12" t="s">
        <v>21</v>
      </c>
      <c r="L2617" s="7">
        <v>40334.30663194445</v>
      </c>
      <c r="M2617" s="14" t="s">
        <v>10747</v>
      </c>
      <c r="N2617" s="14" t="s">
        <v>10748</v>
      </c>
      <c r="O2617" s="11" t="str">
        <f>HYPERLINK("https://pbs.twimg.com/profile_images/962076200/09-07-25_002_normal.jpg","View")</f>
        <v>View</v>
      </c>
      <c r="P2617" s="15"/>
    </row>
    <row r="2618">
      <c r="A2618" s="7">
        <v>42425.760462962964</v>
      </c>
      <c r="B2618" s="8" t="str">
        <f>HYPERLINK("https://twitter.com/tonyojeda3","@tonyojeda3")</f>
        <v>@tonyojeda3</v>
      </c>
      <c r="C2618" s="10" t="s">
        <v>2407</v>
      </c>
      <c r="D2618" s="10" t="s">
        <v>3678</v>
      </c>
      <c r="E2618" s="11" t="str">
        <f>HYPERLINK("https://twitter.com/tonyojeda3/status/703040552846172160","703040552846172160")</f>
        <v>703040552846172160</v>
      </c>
      <c r="F2618" s="12" t="s">
        <v>294</v>
      </c>
      <c r="G2618" s="13">
        <v>3519.0</v>
      </c>
      <c r="H2618" s="13">
        <v>538.0</v>
      </c>
      <c r="I2618" s="13">
        <v>3.0</v>
      </c>
      <c r="J2618" s="13">
        <v>3.0</v>
      </c>
      <c r="K2618" s="12" t="s">
        <v>21</v>
      </c>
      <c r="L2618" s="7">
        <v>39969.75782407408</v>
      </c>
      <c r="M2618" s="14" t="s">
        <v>784</v>
      </c>
      <c r="N2618" s="14" t="s">
        <v>2409</v>
      </c>
      <c r="O2618" s="11" t="str">
        <f>HYPERLINK("https://pbs.twimg.com/profile_images/1211123351/Tony-Ojeda2_normal.JPG","View")</f>
        <v>View</v>
      </c>
      <c r="P2618" s="15"/>
    </row>
    <row r="2619">
      <c r="A2619" s="7">
        <v>42425.765173611115</v>
      </c>
      <c r="B2619" s="8" t="str">
        <f>HYPERLINK("https://twitter.com/BigDataTweetBot","@BigDataTweetBot")</f>
        <v>@BigDataTweetBot</v>
      </c>
      <c r="C2619" s="10" t="s">
        <v>1440</v>
      </c>
      <c r="D2619" s="10" t="s">
        <v>3710</v>
      </c>
      <c r="E2619" s="11" t="str">
        <f>HYPERLINK("https://twitter.com/BigDataTweetBot/status/703042259864920064","703042259864920064")</f>
        <v>703042259864920064</v>
      </c>
      <c r="F2619" s="12" t="s">
        <v>1442</v>
      </c>
      <c r="G2619" s="13">
        <v>8622.0</v>
      </c>
      <c r="H2619" s="13">
        <v>243.0</v>
      </c>
      <c r="I2619" s="13">
        <v>3.0</v>
      </c>
      <c r="J2619" s="13">
        <v>0.0</v>
      </c>
      <c r="K2619" s="12" t="s">
        <v>21</v>
      </c>
      <c r="L2619" s="7">
        <v>42187.77106481481</v>
      </c>
      <c r="M2619" s="16"/>
      <c r="N2619" s="14" t="s">
        <v>1443</v>
      </c>
      <c r="O2619" s="11" t="str">
        <f>HYPERLINK("https://pbs.twimg.com/profile_images/616793252524650496/bQbxJqmz_normal.jpg","View")</f>
        <v>View</v>
      </c>
      <c r="P2619" s="15"/>
    </row>
    <row r="2620">
      <c r="A2620" s="7">
        <v>42425.76525462963</v>
      </c>
      <c r="B2620" s="8" t="str">
        <f>HYPERLINK("https://twitter.com/fongchunchan","@fongchunchan")</f>
        <v>@fongchunchan</v>
      </c>
      <c r="C2620" s="10" t="s">
        <v>10749</v>
      </c>
      <c r="D2620" s="10" t="s">
        <v>10750</v>
      </c>
      <c r="E2620" s="11" t="str">
        <f>HYPERLINK("https://twitter.com/fongchunchan/status/703042290898448384","703042290898448384")</f>
        <v>703042290898448384</v>
      </c>
      <c r="F2620" s="12" t="s">
        <v>446</v>
      </c>
      <c r="G2620" s="13">
        <v>80.0</v>
      </c>
      <c r="H2620" s="13">
        <v>166.0</v>
      </c>
      <c r="I2620" s="13">
        <v>0.0</v>
      </c>
      <c r="J2620" s="13">
        <v>0.0</v>
      </c>
      <c r="K2620" s="12" t="s">
        <v>21</v>
      </c>
      <c r="L2620" s="7">
        <v>40216.00231481482</v>
      </c>
      <c r="M2620" s="14" t="s">
        <v>4138</v>
      </c>
      <c r="N2620" s="14" t="s">
        <v>10751</v>
      </c>
      <c r="O2620" s="11" t="str">
        <f>HYPERLINK("https://pbs.twimg.com/profile_images/674111225920274432/_tAG0O6X_normal.jpg","View")</f>
        <v>View</v>
      </c>
      <c r="P2620" s="15"/>
    </row>
    <row r="2621">
      <c r="A2621" s="7">
        <v>42425.76571759259</v>
      </c>
      <c r="B2621" s="8" t="str">
        <f>HYPERLINK("https://twitter.com/katsumushi","@katsumushi")</f>
        <v>@katsumushi</v>
      </c>
      <c r="C2621" s="10" t="s">
        <v>10752</v>
      </c>
      <c r="D2621" s="10" t="s">
        <v>10653</v>
      </c>
      <c r="E2621" s="11" t="str">
        <f>HYPERLINK("https://twitter.com/katsumushi/status/703042458897133569","703042458897133569")</f>
        <v>703042458897133569</v>
      </c>
      <c r="F2621" s="12" t="s">
        <v>20</v>
      </c>
      <c r="G2621" s="13">
        <v>939.0</v>
      </c>
      <c r="H2621" s="13">
        <v>870.0</v>
      </c>
      <c r="I2621" s="13">
        <v>28.0</v>
      </c>
      <c r="J2621" s="13">
        <v>0.0</v>
      </c>
      <c r="K2621" s="12" t="s">
        <v>21</v>
      </c>
      <c r="L2621" s="7">
        <v>39187.88706018518</v>
      </c>
      <c r="M2621" s="14" t="s">
        <v>10753</v>
      </c>
      <c r="N2621" s="14" t="s">
        <v>10754</v>
      </c>
      <c r="O2621" s="11" t="str">
        <f>HYPERLINK("https://pbs.twimg.com/profile_images/584885668263800832/ioC_beDi_normal.jpg","View")</f>
        <v>View</v>
      </c>
      <c r="P2621" s="15"/>
    </row>
    <row r="2622">
      <c r="A2622" s="7">
        <v>42425.766875</v>
      </c>
      <c r="B2622" s="8" t="str">
        <f>HYPERLINK("https://twitter.com/AlexPawlowski_","@AlexPawlowski_")</f>
        <v>@AlexPawlowski_</v>
      </c>
      <c r="C2622" s="10" t="s">
        <v>10755</v>
      </c>
      <c r="D2622" s="10" t="s">
        <v>10735</v>
      </c>
      <c r="E2622" s="11" t="str">
        <f>HYPERLINK("https://twitter.com/AlexPawlowski_/status/703042875802722304","703042875802722304")</f>
        <v>703042875802722304</v>
      </c>
      <c r="F2622" s="12" t="s">
        <v>152</v>
      </c>
      <c r="G2622" s="13">
        <v>417.0</v>
      </c>
      <c r="H2622" s="13">
        <v>535.0</v>
      </c>
      <c r="I2622" s="13">
        <v>17.0</v>
      </c>
      <c r="J2622" s="13">
        <v>0.0</v>
      </c>
      <c r="K2622" s="12" t="s">
        <v>21</v>
      </c>
      <c r="L2622" s="7">
        <v>40042.58975694444</v>
      </c>
      <c r="M2622" s="14" t="s">
        <v>8285</v>
      </c>
      <c r="N2622" s="14" t="s">
        <v>10756</v>
      </c>
      <c r="O2622" s="11" t="str">
        <f>HYPERLINK("https://pbs.twimg.com/profile_images/660289182334648320/eM5ywsCL_normal.jpg","View")</f>
        <v>View</v>
      </c>
      <c r="P2622" s="15"/>
    </row>
    <row r="2623">
      <c r="A2623" s="7">
        <v>42425.76859953704</v>
      </c>
      <c r="B2623" s="8" t="str">
        <f>HYPERLINK("https://twitter.com/afiqcjohari","@afiqcjohari")</f>
        <v>@afiqcjohari</v>
      </c>
      <c r="C2623" s="10" t="s">
        <v>10757</v>
      </c>
      <c r="D2623" s="10" t="s">
        <v>10758</v>
      </c>
      <c r="E2623" s="11" t="str">
        <f>HYPERLINK("https://twitter.com/afiqcjohari/status/703043503564001280","703043503564001280")</f>
        <v>703043503564001280</v>
      </c>
      <c r="F2623" s="12" t="s">
        <v>20</v>
      </c>
      <c r="G2623" s="13">
        <v>8.0</v>
      </c>
      <c r="H2623" s="13">
        <v>78.0</v>
      </c>
      <c r="I2623" s="13">
        <v>42.0</v>
      </c>
      <c r="J2623" s="13">
        <v>0.0</v>
      </c>
      <c r="K2623" s="12" t="s">
        <v>21</v>
      </c>
      <c r="L2623" s="7">
        <v>42291.43319444444</v>
      </c>
      <c r="M2623" s="16"/>
      <c r="N2623" s="16"/>
      <c r="O2623" s="11" t="str">
        <f>HYPERLINK("https://abs.twimg.com/sticky/default_profile_images/default_profile_2_normal.png","View")</f>
        <v>View</v>
      </c>
      <c r="P2623" s="15"/>
    </row>
    <row r="2624">
      <c r="A2624" s="7">
        <v>42425.76884259259</v>
      </c>
      <c r="B2624" s="8" t="str">
        <f>HYPERLINK("https://twitter.com/lukyprasety4","@lukyprasety4")</f>
        <v>@lukyprasety4</v>
      </c>
      <c r="C2624" s="10" t="s">
        <v>10759</v>
      </c>
      <c r="D2624" s="10" t="s">
        <v>9609</v>
      </c>
      <c r="E2624" s="11" t="str">
        <f>HYPERLINK("https://twitter.com/lukyprasety4/status/703043591439040514","703043591439040514")</f>
        <v>703043591439040514</v>
      </c>
      <c r="F2624" s="12" t="s">
        <v>152</v>
      </c>
      <c r="G2624" s="13">
        <v>5.0</v>
      </c>
      <c r="H2624" s="13">
        <v>23.0</v>
      </c>
      <c r="I2624" s="13">
        <v>16.0</v>
      </c>
      <c r="J2624" s="13">
        <v>0.0</v>
      </c>
      <c r="K2624" s="12" t="s">
        <v>21</v>
      </c>
      <c r="L2624" s="7">
        <v>42416.37003472222</v>
      </c>
      <c r="M2624" s="16"/>
      <c r="N2624" s="16"/>
      <c r="O2624" s="11" t="str">
        <f>HYPERLINK("https://pbs.twimg.com/profile_images/700144044739964933/SAFM3_iB_normal.jpg","View")</f>
        <v>View</v>
      </c>
      <c r="P2624" s="15"/>
    </row>
    <row r="2625">
      <c r="A2625" s="7">
        <v>42425.77190972222</v>
      </c>
      <c r="B2625" s="8" t="str">
        <f>HYPERLINK("https://twitter.com/Md_Harris","@Md_Harris")</f>
        <v>@Md_Harris</v>
      </c>
      <c r="C2625" s="10" t="s">
        <v>8790</v>
      </c>
      <c r="D2625" s="10" t="s">
        <v>10760</v>
      </c>
      <c r="E2625" s="11" t="str">
        <f>HYPERLINK("https://twitter.com/Md_Harris/status/703044702401110018","703044702401110018")</f>
        <v>703044702401110018</v>
      </c>
      <c r="F2625" s="12" t="s">
        <v>20</v>
      </c>
      <c r="G2625" s="13">
        <v>586.0</v>
      </c>
      <c r="H2625" s="13">
        <v>971.0</v>
      </c>
      <c r="I2625" s="13">
        <v>4.0</v>
      </c>
      <c r="J2625" s="13">
        <v>7.0</v>
      </c>
      <c r="K2625" s="12" t="s">
        <v>21</v>
      </c>
      <c r="L2625" s="7">
        <v>39756.32986111111</v>
      </c>
      <c r="M2625" s="14" t="s">
        <v>1099</v>
      </c>
      <c r="N2625" s="14" t="s">
        <v>8792</v>
      </c>
      <c r="O2625" s="11" t="str">
        <f>HYPERLINK("https://pbs.twimg.com/profile_images/640558270843850752/9jnEvx6k_normal.jpg","View")</f>
        <v>View</v>
      </c>
      <c r="P2625" s="15"/>
    </row>
    <row r="2626">
      <c r="A2626" s="7">
        <v>42425.77575231482</v>
      </c>
      <c r="B2626" s="8" t="str">
        <f>HYPERLINK("https://twitter.com/RebeccaBilbro","@RebeccaBilbro")</f>
        <v>@RebeccaBilbro</v>
      </c>
      <c r="C2626" s="10" t="s">
        <v>2458</v>
      </c>
      <c r="D2626" s="10" t="s">
        <v>3710</v>
      </c>
      <c r="E2626" s="11" t="str">
        <f>HYPERLINK("https://twitter.com/RebeccaBilbro/status/703046095795052545","703046095795052545")</f>
        <v>703046095795052545</v>
      </c>
      <c r="F2626" s="12" t="s">
        <v>52</v>
      </c>
      <c r="G2626" s="13">
        <v>161.0</v>
      </c>
      <c r="H2626" s="13">
        <v>92.0</v>
      </c>
      <c r="I2626" s="13">
        <v>3.0</v>
      </c>
      <c r="J2626" s="13">
        <v>0.0</v>
      </c>
      <c r="K2626" s="12" t="s">
        <v>21</v>
      </c>
      <c r="L2626" s="7">
        <v>41902.63648148148</v>
      </c>
      <c r="M2626" s="14" t="s">
        <v>784</v>
      </c>
      <c r="N2626" s="14" t="s">
        <v>2459</v>
      </c>
      <c r="O2626" s="11" t="str">
        <f>HYPERLINK("https://pbs.twimg.com/profile_images/593206975070085122/vQuaf1KM_normal.jpg","View")</f>
        <v>View</v>
      </c>
      <c r="P2626" s="15"/>
    </row>
    <row r="2627">
      <c r="A2627" s="7">
        <v>42425.775972222225</v>
      </c>
      <c r="B2627" s="8" t="str">
        <f>HYPERLINK("https://twitter.com/techrsr","@techrsr")</f>
        <v>@techrsr</v>
      </c>
      <c r="C2627" s="10" t="s">
        <v>8279</v>
      </c>
      <c r="D2627" s="10" t="s">
        <v>10761</v>
      </c>
      <c r="E2627" s="11" t="str">
        <f>HYPERLINK("https://twitter.com/techrsr/status/703046172005396480","703046172005396480")</f>
        <v>703046172005396480</v>
      </c>
      <c r="F2627" s="12" t="s">
        <v>446</v>
      </c>
      <c r="G2627" s="13">
        <v>4513.0</v>
      </c>
      <c r="H2627" s="13">
        <v>868.0</v>
      </c>
      <c r="I2627" s="13">
        <v>4.0</v>
      </c>
      <c r="J2627" s="13">
        <v>0.0</v>
      </c>
      <c r="K2627" s="12" t="s">
        <v>21</v>
      </c>
      <c r="L2627" s="7">
        <v>39573.53333333333</v>
      </c>
      <c r="M2627" s="16"/>
      <c r="N2627" s="16"/>
      <c r="O2627" s="11" t="str">
        <f>HYPERLINK("https://pbs.twimg.com/profile_images/3338571698/df89e01d4258687f9ca99c62b8840427_normal.jpeg","View")</f>
        <v>View</v>
      </c>
      <c r="P2627" s="15"/>
    </row>
    <row r="2628">
      <c r="A2628" s="7">
        <v>42425.775972222225</v>
      </c>
      <c r="B2628" s="8" t="str">
        <f>HYPERLINK("https://twitter.com/rexplorations","@rexplorations")</f>
        <v>@rexplorations</v>
      </c>
      <c r="C2628" s="10" t="s">
        <v>8281</v>
      </c>
      <c r="D2628" s="10" t="s">
        <v>10761</v>
      </c>
      <c r="E2628" s="11" t="str">
        <f>HYPERLINK("https://twitter.com/rexplorations/status/703046172101857280","703046172101857280")</f>
        <v>703046172101857280</v>
      </c>
      <c r="F2628" s="12" t="s">
        <v>446</v>
      </c>
      <c r="G2628" s="13">
        <v>276.0</v>
      </c>
      <c r="H2628" s="13">
        <v>269.0</v>
      </c>
      <c r="I2628" s="13">
        <v>4.0</v>
      </c>
      <c r="J2628" s="13">
        <v>0.0</v>
      </c>
      <c r="K2628" s="12" t="s">
        <v>21</v>
      </c>
      <c r="L2628" s="7">
        <v>40775.034467592595</v>
      </c>
      <c r="M2628" s="14" t="s">
        <v>34</v>
      </c>
      <c r="N2628" s="14" t="s">
        <v>8282</v>
      </c>
      <c r="O2628" s="11" t="str">
        <f>HYPERLINK("https://pbs.twimg.com/profile_images/631889051113537538/EwYW6Va-_normal.png","View")</f>
        <v>View</v>
      </c>
      <c r="P2628" s="15"/>
    </row>
    <row r="2629">
      <c r="A2629" s="7">
        <v>42425.776874999996</v>
      </c>
      <c r="B2629" s="8" t="str">
        <f>HYPERLINK("https://twitter.com/iprophage","@iprophage")</f>
        <v>@iprophage</v>
      </c>
      <c r="C2629" s="10" t="s">
        <v>10762</v>
      </c>
      <c r="D2629" s="10" t="s">
        <v>10653</v>
      </c>
      <c r="E2629" s="11" t="str">
        <f>HYPERLINK("https://twitter.com/iprophage/status/703046501191294976","703046501191294976")</f>
        <v>703046501191294976</v>
      </c>
      <c r="F2629" s="12" t="s">
        <v>52</v>
      </c>
      <c r="G2629" s="13">
        <v>280.0</v>
      </c>
      <c r="H2629" s="13">
        <v>330.0</v>
      </c>
      <c r="I2629" s="13">
        <v>28.0</v>
      </c>
      <c r="J2629" s="13">
        <v>0.0</v>
      </c>
      <c r="K2629" s="12" t="s">
        <v>21</v>
      </c>
      <c r="L2629" s="7">
        <v>41693.25267361111</v>
      </c>
      <c r="M2629" s="14" t="s">
        <v>10763</v>
      </c>
      <c r="N2629" s="14" t="s">
        <v>10764</v>
      </c>
      <c r="O2629" s="11" t="str">
        <f>HYPERLINK("https://pbs.twimg.com/profile_images/583599232843587584/CyComP4h_normal.jpg","View")</f>
        <v>View</v>
      </c>
      <c r="P2629" s="15"/>
    </row>
    <row r="2630">
      <c r="A2630" s="7">
        <v>42425.77748842593</v>
      </c>
      <c r="B2630" s="8" t="str">
        <f>HYPERLINK("https://twitter.com/afiqcjohari","@afiqcjohari")</f>
        <v>@afiqcjohari</v>
      </c>
      <c r="C2630" s="10" t="s">
        <v>10757</v>
      </c>
      <c r="D2630" s="10" t="s">
        <v>9484</v>
      </c>
      <c r="E2630" s="11" t="str">
        <f>HYPERLINK("https://twitter.com/afiqcjohari/status/703046724596568064","703046724596568064")</f>
        <v>703046724596568064</v>
      </c>
      <c r="F2630" s="12" t="s">
        <v>20</v>
      </c>
      <c r="G2630" s="13">
        <v>8.0</v>
      </c>
      <c r="H2630" s="13">
        <v>78.0</v>
      </c>
      <c r="I2630" s="13">
        <v>22.0</v>
      </c>
      <c r="J2630" s="13">
        <v>0.0</v>
      </c>
      <c r="K2630" s="12" t="s">
        <v>21</v>
      </c>
      <c r="L2630" s="7">
        <v>42291.43319444444</v>
      </c>
      <c r="M2630" s="16"/>
      <c r="N2630" s="16"/>
      <c r="O2630" s="11" t="str">
        <f>HYPERLINK("https://abs.twimg.com/sticky/default_profile_images/default_profile_2_normal.png","View")</f>
        <v>View</v>
      </c>
      <c r="P2630" s="15"/>
    </row>
    <row r="2631">
      <c r="A2631" s="7">
        <v>42425.77894675926</v>
      </c>
      <c r="B2631" s="8" t="str">
        <f>HYPERLINK("https://twitter.com/SeattleTUG","@SeattleTUG")</f>
        <v>@SeattleTUG</v>
      </c>
      <c r="C2631" s="10" t="s">
        <v>10765</v>
      </c>
      <c r="D2631" s="10" t="s">
        <v>10598</v>
      </c>
      <c r="E2631" s="11" t="str">
        <f>HYPERLINK("https://twitter.com/SeattleTUG/status/703047252479115264","703047252479115264")</f>
        <v>703047252479115264</v>
      </c>
      <c r="F2631" s="12" t="s">
        <v>52</v>
      </c>
      <c r="G2631" s="13">
        <v>213.0</v>
      </c>
      <c r="H2631" s="13">
        <v>87.0</v>
      </c>
      <c r="I2631" s="13">
        <v>4.0</v>
      </c>
      <c r="J2631" s="13">
        <v>0.0</v>
      </c>
      <c r="K2631" s="12" t="s">
        <v>21</v>
      </c>
      <c r="L2631" s="7">
        <v>42067.530752314815</v>
      </c>
      <c r="M2631" s="14" t="s">
        <v>1259</v>
      </c>
      <c r="N2631" s="14" t="s">
        <v>10766</v>
      </c>
      <c r="O2631" s="11" t="str">
        <f>HYPERLINK("https://pbs.twimg.com/profile_images/577678622460239872/bIwrSQ09_normal.jpeg","View")</f>
        <v>View</v>
      </c>
      <c r="P2631" s="15"/>
    </row>
    <row r="2632">
      <c r="A2632" s="7">
        <v>42425.78061342593</v>
      </c>
      <c r="B2632" s="8" t="str">
        <f>HYPERLINK("https://twitter.com/takeshou","@takeshou")</f>
        <v>@takeshou</v>
      </c>
      <c r="C2632" s="10" t="s">
        <v>10048</v>
      </c>
      <c r="D2632" s="10" t="s">
        <v>10653</v>
      </c>
      <c r="E2632" s="11" t="str">
        <f>HYPERLINK("https://twitter.com/takeshou/status/703047857964617728","703047857964617728")</f>
        <v>703047857964617728</v>
      </c>
      <c r="F2632" s="12" t="s">
        <v>20</v>
      </c>
      <c r="G2632" s="13">
        <v>323.0</v>
      </c>
      <c r="H2632" s="13">
        <v>672.0</v>
      </c>
      <c r="I2632" s="13">
        <v>28.0</v>
      </c>
      <c r="J2632" s="13">
        <v>0.0</v>
      </c>
      <c r="K2632" s="12" t="s">
        <v>21</v>
      </c>
      <c r="L2632" s="7">
        <v>39558.999444444446</v>
      </c>
      <c r="M2632" s="14" t="s">
        <v>10050</v>
      </c>
      <c r="N2632" s="14" t="s">
        <v>10051</v>
      </c>
      <c r="O2632" s="11" t="str">
        <f>HYPERLINK("https://pbs.twimg.com/profile_images/53084880/ultra_normal.jpg","View")</f>
        <v>View</v>
      </c>
      <c r="P2632" s="15"/>
    </row>
    <row r="2633">
      <c r="A2633" s="7">
        <v>42425.78155092592</v>
      </c>
      <c r="B2633" s="8" t="str">
        <f>HYPERLINK("https://twitter.com/yutannihilation","@yutannihilation")</f>
        <v>@yutannihilation</v>
      </c>
      <c r="C2633" s="10" t="s">
        <v>8165</v>
      </c>
      <c r="D2633" s="10" t="s">
        <v>10735</v>
      </c>
      <c r="E2633" s="11" t="str">
        <f>HYPERLINK("https://twitter.com/yutannihilation/status/703048197317341185","703048197317341185")</f>
        <v>703048197317341185</v>
      </c>
      <c r="F2633" s="12" t="s">
        <v>20</v>
      </c>
      <c r="G2633" s="13">
        <v>678.0</v>
      </c>
      <c r="H2633" s="13">
        <v>757.0</v>
      </c>
      <c r="I2633" s="13">
        <v>17.0</v>
      </c>
      <c r="J2633" s="13">
        <v>0.0</v>
      </c>
      <c r="K2633" s="12" t="s">
        <v>21</v>
      </c>
      <c r="L2633" s="7">
        <v>39865.23060185185</v>
      </c>
      <c r="M2633" s="14" t="s">
        <v>328</v>
      </c>
      <c r="N2633" s="14" t="s">
        <v>8166</v>
      </c>
      <c r="O2633" s="11" t="str">
        <f>HYPERLINK("https://pbs.twimg.com/profile_images/692351230991929344/HMNNQlNZ_normal.png","View")</f>
        <v>View</v>
      </c>
      <c r="P2633" s="15"/>
    </row>
    <row r="2634">
      <c r="A2634" s="7">
        <v>42425.784629629634</v>
      </c>
      <c r="B2634" s="8" t="str">
        <f>HYPERLINK("https://twitter.com/timelyportfolio","@timelyportfolio")</f>
        <v>@timelyportfolio</v>
      </c>
      <c r="C2634" s="10" t="s">
        <v>3698</v>
      </c>
      <c r="D2634" s="10" t="s">
        <v>10767</v>
      </c>
      <c r="E2634" s="11" t="str">
        <f>HYPERLINK("https://twitter.com/timelyportfolio/status/703049309344899072","703049309344899072")</f>
        <v>703049309344899072</v>
      </c>
      <c r="F2634" s="12" t="s">
        <v>20</v>
      </c>
      <c r="G2634" s="13">
        <v>1875.0</v>
      </c>
      <c r="H2634" s="13">
        <v>2248.0</v>
      </c>
      <c r="I2634" s="13">
        <v>7.0</v>
      </c>
      <c r="J2634" s="13">
        <v>0.0</v>
      </c>
      <c r="K2634" s="12" t="s">
        <v>21</v>
      </c>
      <c r="L2634" s="7">
        <v>40573.86280092593</v>
      </c>
      <c r="M2634" s="14" t="s">
        <v>3700</v>
      </c>
      <c r="N2634" s="14" t="s">
        <v>3701</v>
      </c>
      <c r="O2634" s="11" t="str">
        <f>HYPERLINK("https://pbs.twimg.com/profile_images/2198946077/image_normal.jpg","View")</f>
        <v>View</v>
      </c>
      <c r="P2634" s="15"/>
    </row>
    <row r="2635">
      <c r="A2635" s="7">
        <v>42425.78569444444</v>
      </c>
      <c r="B2635" s="8" t="str">
        <f>HYPERLINK("https://twitter.com/ocaokgbu","@ocaokgbu")</f>
        <v>@ocaokgbu</v>
      </c>
      <c r="C2635" s="10" t="s">
        <v>10768</v>
      </c>
      <c r="D2635" s="10" t="s">
        <v>10653</v>
      </c>
      <c r="E2635" s="11" t="str">
        <f>HYPERLINK("https://twitter.com/ocaokgbu/status/703049698907533312","703049698907533312")</f>
        <v>703049698907533312</v>
      </c>
      <c r="F2635" s="12" t="s">
        <v>20</v>
      </c>
      <c r="G2635" s="13">
        <v>332.0</v>
      </c>
      <c r="H2635" s="13">
        <v>290.0</v>
      </c>
      <c r="I2635" s="13">
        <v>28.0</v>
      </c>
      <c r="J2635" s="13">
        <v>0.0</v>
      </c>
      <c r="K2635" s="12" t="s">
        <v>21</v>
      </c>
      <c r="L2635" s="7">
        <v>40324.015497685185</v>
      </c>
      <c r="M2635" s="16"/>
      <c r="N2635" s="14" t="s">
        <v>10769</v>
      </c>
      <c r="O2635" s="11" t="str">
        <f>HYPERLINK("https://pbs.twimg.com/profile_images/1002716627/avatar_normal.jpg","View")</f>
        <v>View</v>
      </c>
      <c r="P2635" s="15"/>
    </row>
    <row r="2636">
      <c r="A2636" s="7">
        <v>42425.78901620371</v>
      </c>
      <c r="B2636" s="8" t="str">
        <f>HYPERLINK("https://twitter.com/horihorio","@horihorio")</f>
        <v>@horihorio</v>
      </c>
      <c r="C2636" s="10" t="s">
        <v>10770</v>
      </c>
      <c r="D2636" s="10" t="s">
        <v>10653</v>
      </c>
      <c r="E2636" s="11" t="str">
        <f>HYPERLINK("https://twitter.com/horihorio/status/703050900097503232","703050900097503232")</f>
        <v>703050900097503232</v>
      </c>
      <c r="F2636" s="12" t="s">
        <v>659</v>
      </c>
      <c r="G2636" s="13">
        <v>503.0</v>
      </c>
      <c r="H2636" s="13">
        <v>136.0</v>
      </c>
      <c r="I2636" s="13">
        <v>28.0</v>
      </c>
      <c r="J2636" s="13">
        <v>0.0</v>
      </c>
      <c r="K2636" s="12" t="s">
        <v>21</v>
      </c>
      <c r="L2636" s="7">
        <v>40025.276550925926</v>
      </c>
      <c r="M2636" s="14" t="s">
        <v>10771</v>
      </c>
      <c r="N2636" s="14" t="s">
        <v>10772</v>
      </c>
      <c r="O2636" s="11" t="str">
        <f>HYPERLINK("https://pbs.twimg.com/profile_images/1411134529/image_normal.jpg","View")</f>
        <v>View</v>
      </c>
      <c r="P2636" s="15"/>
    </row>
    <row r="2637">
      <c r="A2637" s="7">
        <v>42425.79039351852</v>
      </c>
      <c r="B2637" s="8" t="str">
        <f>HYPERLINK("https://twitter.com/kara_woo","@kara_woo")</f>
        <v>@kara_woo</v>
      </c>
      <c r="C2637" s="10" t="s">
        <v>10773</v>
      </c>
      <c r="D2637" s="10" t="s">
        <v>10569</v>
      </c>
      <c r="E2637" s="11" t="str">
        <f>HYPERLINK("https://twitter.com/kara_woo/status/703051400779927552","703051400779927552")</f>
        <v>703051400779927552</v>
      </c>
      <c r="F2637" s="12" t="s">
        <v>446</v>
      </c>
      <c r="G2637" s="13">
        <v>1437.0</v>
      </c>
      <c r="H2637" s="13">
        <v>570.0</v>
      </c>
      <c r="I2637" s="13">
        <v>7.0</v>
      </c>
      <c r="J2637" s="13">
        <v>0.0</v>
      </c>
      <c r="K2637" s="12" t="s">
        <v>21</v>
      </c>
      <c r="L2637" s="7">
        <v>41010.95071759259</v>
      </c>
      <c r="M2637" s="14" t="s">
        <v>1259</v>
      </c>
      <c r="N2637" s="14" t="s">
        <v>10774</v>
      </c>
      <c r="O2637" s="11" t="str">
        <f>HYPERLINK("https://pbs.twimg.com/profile_images/687151931127500800/Kdf54J10_normal.jpg","View")</f>
        <v>View</v>
      </c>
      <c r="P2637" s="15"/>
    </row>
    <row r="2638">
      <c r="A2638" s="7">
        <v>42425.79104166667</v>
      </c>
      <c r="B2638" s="8" t="str">
        <f>HYPERLINK("https://twitter.com/sfrechette","@sfrechette")</f>
        <v>@sfrechette</v>
      </c>
      <c r="C2638" s="10" t="s">
        <v>6564</v>
      </c>
      <c r="D2638" s="10" t="s">
        <v>10775</v>
      </c>
      <c r="E2638" s="11" t="str">
        <f>HYPERLINK("https://twitter.com/sfrechette/status/703051634700591104","703051634700591104")</f>
        <v>703051634700591104</v>
      </c>
      <c r="F2638" s="12" t="s">
        <v>6566</v>
      </c>
      <c r="G2638" s="13">
        <v>1352.0</v>
      </c>
      <c r="H2638" s="13">
        <v>1178.0</v>
      </c>
      <c r="I2638" s="13">
        <v>0.0</v>
      </c>
      <c r="J2638" s="13">
        <v>0.0</v>
      </c>
      <c r="K2638" s="12" t="s">
        <v>21</v>
      </c>
      <c r="L2638" s="7">
        <v>39873.53702546297</v>
      </c>
      <c r="M2638" s="14" t="s">
        <v>6567</v>
      </c>
      <c r="N2638" s="14" t="s">
        <v>6568</v>
      </c>
      <c r="O2638" s="11" t="str">
        <f>HYPERLINK("https://pbs.twimg.com/profile_images/662342111799304192/Xtv8MZ-P_normal.jpg","View")</f>
        <v>View</v>
      </c>
      <c r="P2638" s="15"/>
    </row>
    <row r="2639">
      <c r="A2639" s="7">
        <v>42425.79251157407</v>
      </c>
      <c r="B2639" s="8" t="str">
        <f>HYPERLINK("https://twitter.com/pa_marais","@pa_marais")</f>
        <v>@pa_marais</v>
      </c>
      <c r="C2639" s="10" t="s">
        <v>6236</v>
      </c>
      <c r="D2639" s="10" t="s">
        <v>10735</v>
      </c>
      <c r="E2639" s="11" t="str">
        <f>HYPERLINK("https://twitter.com/pa_marais/status/703052165632364545","703052165632364545")</f>
        <v>703052165632364545</v>
      </c>
      <c r="F2639" s="12" t="s">
        <v>152</v>
      </c>
      <c r="G2639" s="13">
        <v>80.0</v>
      </c>
      <c r="H2639" s="13">
        <v>200.0</v>
      </c>
      <c r="I2639" s="13">
        <v>17.0</v>
      </c>
      <c r="J2639" s="13">
        <v>0.0</v>
      </c>
      <c r="K2639" s="12" t="s">
        <v>21</v>
      </c>
      <c r="L2639" s="7">
        <v>42053.30278935185</v>
      </c>
      <c r="M2639" s="16"/>
      <c r="N2639" s="14" t="s">
        <v>6238</v>
      </c>
      <c r="O2639" s="11" t="str">
        <f>HYPERLINK("https://pbs.twimg.com/profile_images/568067400809984000/MXrq4e8A_normal.jpeg","View")</f>
        <v>View</v>
      </c>
      <c r="P2639" s="15"/>
    </row>
    <row r="2640">
      <c r="A2640" s="7">
        <v>42425.795057870375</v>
      </c>
      <c r="B2640" s="8" t="str">
        <f>HYPERLINK("https://twitter.com/IQuantNY","@IQuantNY")</f>
        <v>@IQuantNY</v>
      </c>
      <c r="C2640" s="10" t="s">
        <v>9740</v>
      </c>
      <c r="D2640" s="10" t="s">
        <v>10776</v>
      </c>
      <c r="E2640" s="11" t="str">
        <f>HYPERLINK("https://twitter.com/IQuantNY/status/703053090577096704","703053090577096704")</f>
        <v>703053090577096704</v>
      </c>
      <c r="F2640" s="12" t="s">
        <v>52</v>
      </c>
      <c r="G2640" s="13">
        <v>4996.0</v>
      </c>
      <c r="H2640" s="13">
        <v>358.0</v>
      </c>
      <c r="I2640" s="13">
        <v>5.0</v>
      </c>
      <c r="J2640" s="13">
        <v>0.0</v>
      </c>
      <c r="K2640" s="12" t="s">
        <v>21</v>
      </c>
      <c r="L2640" s="7">
        <v>41688.80908564815</v>
      </c>
      <c r="M2640" s="14" t="s">
        <v>695</v>
      </c>
      <c r="N2640" s="14" t="s">
        <v>9742</v>
      </c>
      <c r="O2640" s="11" t="str">
        <f>HYPERLINK("https://pbs.twimg.com/profile_images/557000965329412096/16jjVGRp_normal.jpeg","View")</f>
        <v>View</v>
      </c>
      <c r="P2640" s="15"/>
    </row>
    <row r="2641">
      <c r="A2641" s="7">
        <v>42425.79578703704</v>
      </c>
      <c r="B2641" s="8" t="str">
        <f>HYPERLINK("https://twitter.com/SilviculturaFCF","@SilviculturaFCF")</f>
        <v>@SilviculturaFCF</v>
      </c>
      <c r="C2641" s="10" t="s">
        <v>10777</v>
      </c>
      <c r="D2641" s="10" t="s">
        <v>10695</v>
      </c>
      <c r="E2641" s="11" t="str">
        <f>HYPERLINK("https://twitter.com/SilviculturaFCF/status/703053355363360768","703053355363360768")</f>
        <v>703053355363360768</v>
      </c>
      <c r="F2641" s="12" t="s">
        <v>52</v>
      </c>
      <c r="G2641" s="13">
        <v>120.0</v>
      </c>
      <c r="H2641" s="13">
        <v>127.0</v>
      </c>
      <c r="I2641" s="13">
        <v>21.0</v>
      </c>
      <c r="J2641" s="13">
        <v>0.0</v>
      </c>
      <c r="K2641" s="12" t="s">
        <v>21</v>
      </c>
      <c r="L2641" s="7">
        <v>40838.64482638889</v>
      </c>
      <c r="M2641" s="14" t="s">
        <v>10778</v>
      </c>
      <c r="N2641" s="14" t="s">
        <v>10779</v>
      </c>
      <c r="O2641" s="11" t="str">
        <f>HYPERLINK("https://pbs.twimg.com/profile_images/1601661707/000_normal.png","View")</f>
        <v>View</v>
      </c>
      <c r="P2641" s="15"/>
    </row>
    <row r="2642">
      <c r="A2642" s="7">
        <v>42425.79586805556</v>
      </c>
      <c r="B2642" s="8" t="str">
        <f>HYPERLINK("https://twitter.com/BarterisEvil","@BarterisEvil")</f>
        <v>@BarterisEvil</v>
      </c>
      <c r="C2642" s="10" t="s">
        <v>10780</v>
      </c>
      <c r="D2642" s="10" t="s">
        <v>10696</v>
      </c>
      <c r="E2642" s="11" t="str">
        <f>HYPERLINK("https://twitter.com/BarterisEvil/status/703053383347798017","703053383347798017")</f>
        <v>703053383347798017</v>
      </c>
      <c r="F2642" s="12" t="s">
        <v>1082</v>
      </c>
      <c r="G2642" s="13">
        <v>388.0</v>
      </c>
      <c r="H2642" s="13">
        <v>304.0</v>
      </c>
      <c r="I2642" s="13">
        <v>15.0</v>
      </c>
      <c r="J2642" s="13">
        <v>0.0</v>
      </c>
      <c r="K2642" s="12" t="s">
        <v>21</v>
      </c>
      <c r="L2642" s="7">
        <v>41479.527650462966</v>
      </c>
      <c r="M2642" s="14" t="s">
        <v>10781</v>
      </c>
      <c r="N2642" s="14" t="s">
        <v>10782</v>
      </c>
      <c r="O2642" s="11" t="str">
        <f>HYPERLINK("https://pbs.twimg.com/profile_images/378800000192749885/bb9e8bb441c1b8e987bc13c1fc598880_normal.png","View")</f>
        <v>View</v>
      </c>
      <c r="P2642" s="15"/>
    </row>
    <row r="2643">
      <c r="A2643" s="7">
        <v>42425.79798611111</v>
      </c>
      <c r="B2643" s="8" t="str">
        <f>HYPERLINK("https://twitter.com/dataandme","@dataandme")</f>
        <v>@dataandme</v>
      </c>
      <c r="C2643" s="10" t="s">
        <v>6648</v>
      </c>
      <c r="D2643" s="10" t="s">
        <v>10783</v>
      </c>
      <c r="E2643" s="11" t="str">
        <f>HYPERLINK("https://twitter.com/dataandme/status/703054149911506944","703054149911506944")</f>
        <v>703054149911506944</v>
      </c>
      <c r="F2643" s="12" t="s">
        <v>294</v>
      </c>
      <c r="G2643" s="13">
        <v>2500.0</v>
      </c>
      <c r="H2643" s="13">
        <v>1940.0</v>
      </c>
      <c r="I2643" s="13">
        <v>2.0</v>
      </c>
      <c r="J2643" s="13">
        <v>10.0</v>
      </c>
      <c r="K2643" s="12" t="s">
        <v>21</v>
      </c>
      <c r="L2643" s="7">
        <v>42127.19739583333</v>
      </c>
      <c r="M2643" s="14" t="s">
        <v>332</v>
      </c>
      <c r="N2643" s="14" t="s">
        <v>6650</v>
      </c>
      <c r="O2643" s="11" t="str">
        <f>HYPERLINK("https://pbs.twimg.com/profile_images/598126722920361984/HdS1NWXJ_normal.png","View")</f>
        <v>View</v>
      </c>
      <c r="P2643" s="15"/>
    </row>
    <row r="2644">
      <c r="A2644" s="7">
        <v>42425.79871527778</v>
      </c>
      <c r="B2644" s="8" t="str">
        <f>HYPERLINK("https://twitter.com/apreshill","@apreshill")</f>
        <v>@apreshill</v>
      </c>
      <c r="C2644" s="10" t="s">
        <v>8764</v>
      </c>
      <c r="D2644" s="10" t="s">
        <v>10784</v>
      </c>
      <c r="E2644" s="11" t="str">
        <f>HYPERLINK("https://twitter.com/apreshill/status/703054414810996737","703054414810996737")</f>
        <v>703054414810996737</v>
      </c>
      <c r="F2644" s="12" t="s">
        <v>1082</v>
      </c>
      <c r="G2644" s="13">
        <v>120.0</v>
      </c>
      <c r="H2644" s="13">
        <v>388.0</v>
      </c>
      <c r="I2644" s="13">
        <v>0.0</v>
      </c>
      <c r="J2644" s="13">
        <v>2.0</v>
      </c>
      <c r="K2644" s="12" t="s">
        <v>21</v>
      </c>
      <c r="L2644" s="7">
        <v>42117.80967592592</v>
      </c>
      <c r="M2644" s="14" t="s">
        <v>2181</v>
      </c>
      <c r="N2644" s="14" t="s">
        <v>8766</v>
      </c>
      <c r="O2644" s="11" t="str">
        <f>HYPERLINK("https://pbs.twimg.com/profile_images/592435442835820544/S63GD5Rd_normal.jpg","View")</f>
        <v>View</v>
      </c>
      <c r="P2644" s="15"/>
    </row>
    <row r="2645">
      <c r="A2645" s="7">
        <v>42425.801666666666</v>
      </c>
      <c r="B2645" s="8" t="str">
        <f>HYPERLINK("https://twitter.com/demorenoc","@demorenoc")</f>
        <v>@demorenoc</v>
      </c>
      <c r="C2645" s="10" t="s">
        <v>10785</v>
      </c>
      <c r="D2645" s="10" t="s">
        <v>10735</v>
      </c>
      <c r="E2645" s="11" t="str">
        <f>HYPERLINK("https://twitter.com/demorenoc/status/703055485528903680","703055485528903680")</f>
        <v>703055485528903680</v>
      </c>
      <c r="F2645" s="12" t="s">
        <v>20</v>
      </c>
      <c r="G2645" s="13">
        <v>124.0</v>
      </c>
      <c r="H2645" s="13">
        <v>89.0</v>
      </c>
      <c r="I2645" s="13">
        <v>17.0</v>
      </c>
      <c r="J2645" s="13">
        <v>0.0</v>
      </c>
      <c r="K2645" s="12" t="s">
        <v>21</v>
      </c>
      <c r="L2645" s="7">
        <v>40644.735497685186</v>
      </c>
      <c r="M2645" s="14" t="s">
        <v>1177</v>
      </c>
      <c r="N2645" s="14" t="s">
        <v>10786</v>
      </c>
      <c r="O2645" s="11" t="str">
        <f>HYPERLINK("https://pbs.twimg.com/profile_images/657039260571291648/B8j09d92_normal.jpg","View")</f>
        <v>View</v>
      </c>
      <c r="P2645" s="15"/>
    </row>
    <row r="2646">
      <c r="A2646" s="7">
        <v>42425.80607638889</v>
      </c>
      <c r="B2646" s="8" t="str">
        <f>HYPERLINK("https://twitter.com/dizzy_my_future","@dizzy_my_future")</f>
        <v>@dizzy_my_future</v>
      </c>
      <c r="C2646" s="10" t="s">
        <v>10787</v>
      </c>
      <c r="D2646" s="10" t="s">
        <v>10653</v>
      </c>
      <c r="E2646" s="11" t="str">
        <f>HYPERLINK("https://twitter.com/dizzy_my_future/status/703057083415965696","703057083415965696")</f>
        <v>703057083415965696</v>
      </c>
      <c r="F2646" s="12" t="s">
        <v>8691</v>
      </c>
      <c r="G2646" s="13">
        <v>209.0</v>
      </c>
      <c r="H2646" s="13">
        <v>321.0</v>
      </c>
      <c r="I2646" s="13">
        <v>28.0</v>
      </c>
      <c r="J2646" s="13">
        <v>0.0</v>
      </c>
      <c r="K2646" s="12" t="s">
        <v>21</v>
      </c>
      <c r="L2646" s="7">
        <v>40185.34069444444</v>
      </c>
      <c r="M2646" s="14" t="s">
        <v>10788</v>
      </c>
      <c r="N2646" s="14" t="s">
        <v>10789</v>
      </c>
      <c r="O2646" s="11" t="str">
        <f>HYPERLINK("https://pbs.twimg.com/profile_images/660312089571954688/11kgpAde_normal.png","View")</f>
        <v>View</v>
      </c>
      <c r="P2646" s="15"/>
    </row>
    <row r="2647">
      <c r="A2647" s="7">
        <v>42425.80627314815</v>
      </c>
      <c r="B2647" s="8" t="str">
        <f>HYPERLINK("https://twitter.com/hrbrmstr","@hrbrmstr")</f>
        <v>@hrbrmstr</v>
      </c>
      <c r="C2647" s="10" t="s">
        <v>7276</v>
      </c>
      <c r="D2647" s="10" t="s">
        <v>10790</v>
      </c>
      <c r="E2647" s="11" t="str">
        <f>HYPERLINK("https://twitter.com/hrbrmstr/status/703057156241793025","703057156241793025")</f>
        <v>703057156241793025</v>
      </c>
      <c r="F2647" s="12" t="s">
        <v>20</v>
      </c>
      <c r="G2647" s="13">
        <v>6135.0</v>
      </c>
      <c r="H2647" s="13">
        <v>2926.0</v>
      </c>
      <c r="I2647" s="13">
        <v>1.0</v>
      </c>
      <c r="J2647" s="13">
        <v>3.0</v>
      </c>
      <c r="K2647" s="12" t="s">
        <v>21</v>
      </c>
      <c r="L2647" s="7">
        <v>39203.29472222222</v>
      </c>
      <c r="M2647" s="14" t="s">
        <v>7278</v>
      </c>
      <c r="N2647" s="14" t="s">
        <v>7279</v>
      </c>
      <c r="O2647" s="11" t="str">
        <f>HYPERLINK("https://pbs.twimg.com/profile_images/557592259298729985/kpCUQWH1_normal.png","View")</f>
        <v>View</v>
      </c>
      <c r="P2647" s="15"/>
    </row>
    <row r="2648">
      <c r="A2648" s="7">
        <v>42425.8065162037</v>
      </c>
      <c r="B2648" s="8" t="str">
        <f>HYPERLINK("https://twitter.com/siero5335","@siero5335")</f>
        <v>@siero5335</v>
      </c>
      <c r="C2648" s="10" t="s">
        <v>10791</v>
      </c>
      <c r="D2648" s="10" t="s">
        <v>10653</v>
      </c>
      <c r="E2648" s="11" t="str">
        <f>HYPERLINK("https://twitter.com/siero5335/status/703057241591549954","703057241591549954")</f>
        <v>703057241591549954</v>
      </c>
      <c r="F2648" s="12" t="s">
        <v>52</v>
      </c>
      <c r="G2648" s="13">
        <v>434.0</v>
      </c>
      <c r="H2648" s="13">
        <v>472.0</v>
      </c>
      <c r="I2648" s="13">
        <v>28.0</v>
      </c>
      <c r="J2648" s="13">
        <v>0.0</v>
      </c>
      <c r="K2648" s="12" t="s">
        <v>21</v>
      </c>
      <c r="L2648" s="7">
        <v>39554.72133101852</v>
      </c>
      <c r="M2648" s="14" t="s">
        <v>10792</v>
      </c>
      <c r="N2648" s="14" t="s">
        <v>10793</v>
      </c>
      <c r="O2648" s="11" t="str">
        <f>HYPERLINK("https://pbs.twimg.com/profile_images/579619799015141376/CWTNRAVl_normal.jpg","View")</f>
        <v>View</v>
      </c>
      <c r="P2648" s="15"/>
    </row>
    <row r="2649">
      <c r="A2649" s="7">
        <v>42425.808020833334</v>
      </c>
      <c r="B2649" s="8" t="str">
        <f>HYPERLINK("https://twitter.com/venkatvedam","@venkatvedam")</f>
        <v>@venkatvedam</v>
      </c>
      <c r="C2649" s="10" t="s">
        <v>10794</v>
      </c>
      <c r="D2649" s="10" t="s">
        <v>10795</v>
      </c>
      <c r="E2649" s="11" t="str">
        <f>HYPERLINK("https://twitter.com/venkatvedam/status/703057786452709376","703057786452709376")</f>
        <v>703057786452709376</v>
      </c>
      <c r="F2649" s="12" t="s">
        <v>20</v>
      </c>
      <c r="G2649" s="13">
        <v>435.0</v>
      </c>
      <c r="H2649" s="13">
        <v>468.0</v>
      </c>
      <c r="I2649" s="13">
        <v>1.0</v>
      </c>
      <c r="J2649" s="13">
        <v>0.0</v>
      </c>
      <c r="K2649" s="12" t="s">
        <v>21</v>
      </c>
      <c r="L2649" s="7">
        <v>40067.55925925926</v>
      </c>
      <c r="M2649" s="14" t="s">
        <v>10796</v>
      </c>
      <c r="N2649" s="14" t="s">
        <v>10797</v>
      </c>
      <c r="O2649" s="11" t="str">
        <f>HYPERLINK("https://pbs.twimg.com/profile_images/672577148771819521/S4ISrtKY_normal.jpg","View")</f>
        <v>View</v>
      </c>
      <c r="P2649" s="15"/>
    </row>
    <row r="2650">
      <c r="A2650" s="7">
        <v>42425.81023148148</v>
      </c>
      <c r="B2650" s="8" t="str">
        <f>HYPERLINK("https://twitter.com/BobbyCaudill","@BobbyCaudill")</f>
        <v>@BobbyCaudill</v>
      </c>
      <c r="C2650" s="10" t="s">
        <v>9127</v>
      </c>
      <c r="D2650" s="10" t="s">
        <v>10798</v>
      </c>
      <c r="E2650" s="11" t="str">
        <f>HYPERLINK("https://twitter.com/BobbyCaudill/status/703058590869950464","703058590869950464")</f>
        <v>703058590869950464</v>
      </c>
      <c r="F2650" s="12" t="s">
        <v>38</v>
      </c>
      <c r="G2650" s="13">
        <v>1795.0</v>
      </c>
      <c r="H2650" s="13">
        <v>826.0</v>
      </c>
      <c r="I2650" s="13">
        <v>1.0</v>
      </c>
      <c r="J2650" s="13">
        <v>0.0</v>
      </c>
      <c r="K2650" s="12" t="s">
        <v>21</v>
      </c>
      <c r="L2650" s="7">
        <v>39827.23131944444</v>
      </c>
      <c r="M2650" s="14" t="s">
        <v>9129</v>
      </c>
      <c r="N2650" s="14" t="s">
        <v>9130</v>
      </c>
      <c r="O2650" s="11" t="str">
        <f>HYPERLINK("https://pbs.twimg.com/profile_images/492138314040754177/6m0tO60d_normal.png","View")</f>
        <v>View</v>
      </c>
      <c r="P2650" s="15"/>
    </row>
    <row r="2651">
      <c r="A2651" s="7">
        <v>42425.81233796296</v>
      </c>
      <c r="B2651" s="8" t="str">
        <f t="shared" ref="B2651:B2652" si="291">HYPERLINK("https://twitter.com/mjrichardson_to","@mjrichardson_to")</f>
        <v>@mjrichardson_to</v>
      </c>
      <c r="C2651" s="10" t="s">
        <v>10799</v>
      </c>
      <c r="D2651" s="10" t="s">
        <v>10776</v>
      </c>
      <c r="E2651" s="11" t="str">
        <f>HYPERLINK("https://twitter.com/mjrichardson_to/status/703059351934803968","703059351934803968")</f>
        <v>703059351934803968</v>
      </c>
      <c r="F2651" s="12" t="s">
        <v>1573</v>
      </c>
      <c r="G2651" s="13">
        <v>718.0</v>
      </c>
      <c r="H2651" s="13">
        <v>1224.0</v>
      </c>
      <c r="I2651" s="13">
        <v>5.0</v>
      </c>
      <c r="J2651" s="13">
        <v>0.0</v>
      </c>
      <c r="K2651" s="12" t="s">
        <v>21</v>
      </c>
      <c r="L2651" s="7">
        <v>41026.3153125</v>
      </c>
      <c r="M2651" s="14" t="s">
        <v>917</v>
      </c>
      <c r="N2651" s="14" t="s">
        <v>10800</v>
      </c>
      <c r="O2651" s="11" t="str">
        <f t="shared" ref="O2651:O2652" si="292">HYPERLINK("https://pbs.twimg.com/profile_images/640000101226688512/cDxhWsGg_normal.jpg","View")</f>
        <v>View</v>
      </c>
      <c r="P2651" s="15"/>
    </row>
    <row r="2652">
      <c r="A2652" s="7">
        <v>42425.81287037037</v>
      </c>
      <c r="B2652" s="8" t="str">
        <f t="shared" si="291"/>
        <v>@mjrichardson_to</v>
      </c>
      <c r="C2652" s="10" t="s">
        <v>10799</v>
      </c>
      <c r="D2652" s="10" t="s">
        <v>9741</v>
      </c>
      <c r="E2652" s="11" t="str">
        <f>HYPERLINK("https://twitter.com/mjrichardson_to/status/703059544344272896","703059544344272896")</f>
        <v>703059544344272896</v>
      </c>
      <c r="F2652" s="12" t="s">
        <v>1573</v>
      </c>
      <c r="G2652" s="13">
        <v>718.0</v>
      </c>
      <c r="H2652" s="13">
        <v>1224.0</v>
      </c>
      <c r="I2652" s="13">
        <v>12.0</v>
      </c>
      <c r="J2652" s="13">
        <v>0.0</v>
      </c>
      <c r="K2652" s="12" t="s">
        <v>21</v>
      </c>
      <c r="L2652" s="7">
        <v>41026.3153125</v>
      </c>
      <c r="M2652" s="14" t="s">
        <v>917</v>
      </c>
      <c r="N2652" s="14" t="s">
        <v>10800</v>
      </c>
      <c r="O2652" s="11" t="str">
        <f t="shared" si="292"/>
        <v>View</v>
      </c>
      <c r="P2652" s="15"/>
    </row>
    <row r="2653">
      <c r="A2653" s="7">
        <v>42425.81672453704</v>
      </c>
      <c r="B2653" s="8" t="str">
        <f>HYPERLINK("https://twitter.com/uniquebala","@uniquebala")</f>
        <v>@uniquebala</v>
      </c>
      <c r="C2653" s="10" t="s">
        <v>10801</v>
      </c>
      <c r="D2653" s="10" t="s">
        <v>10293</v>
      </c>
      <c r="E2653" s="11" t="str">
        <f>HYPERLINK("https://twitter.com/uniquebala/status/703060941059919872","703060941059919872")</f>
        <v>703060941059919872</v>
      </c>
      <c r="F2653" s="12" t="s">
        <v>152</v>
      </c>
      <c r="G2653" s="13">
        <v>300.0</v>
      </c>
      <c r="H2653" s="13">
        <v>239.0</v>
      </c>
      <c r="I2653" s="13">
        <v>11.0</v>
      </c>
      <c r="J2653" s="13">
        <v>0.0</v>
      </c>
      <c r="K2653" s="12" t="s">
        <v>21</v>
      </c>
      <c r="L2653" s="7">
        <v>40415.162256944444</v>
      </c>
      <c r="M2653" s="14" t="s">
        <v>7932</v>
      </c>
      <c r="N2653" s="14" t="s">
        <v>10802</v>
      </c>
      <c r="O2653" s="11" t="str">
        <f>HYPERLINK("https://pbs.twimg.com/profile_images/2994103934/8bb3014ebb7d081ef01f73f93f270e3e_normal.jpeg","View")</f>
        <v>View</v>
      </c>
      <c r="P2653" s="15"/>
    </row>
    <row r="2654">
      <c r="A2654" s="7">
        <v>42425.81673611111</v>
      </c>
      <c r="B2654" s="8" t="str">
        <f>HYPERLINK("https://twitter.com/tripartio","@tripartio")</f>
        <v>@tripartio</v>
      </c>
      <c r="C2654" s="10" t="s">
        <v>6827</v>
      </c>
      <c r="D2654" s="10" t="s">
        <v>10803</v>
      </c>
      <c r="E2654" s="11" t="str">
        <f>HYPERLINK("https://twitter.com/tripartio/status/703060945199886336","703060945199886336")</f>
        <v>703060945199886336</v>
      </c>
      <c r="F2654" s="12" t="s">
        <v>20</v>
      </c>
      <c r="G2654" s="13">
        <v>33.0</v>
      </c>
      <c r="H2654" s="13">
        <v>64.0</v>
      </c>
      <c r="I2654" s="13">
        <v>0.0</v>
      </c>
      <c r="J2654" s="13">
        <v>0.0</v>
      </c>
      <c r="K2654" s="12" t="s">
        <v>21</v>
      </c>
      <c r="L2654" s="7">
        <v>41946.83112268519</v>
      </c>
      <c r="M2654" s="14" t="s">
        <v>1806</v>
      </c>
      <c r="N2654" s="14" t="s">
        <v>6829</v>
      </c>
      <c r="O2654" s="11" t="str">
        <f>HYPERLINK("https://pbs.twimg.com/profile_images/529482878543867904/H-UGY1d0_normal.png","View")</f>
        <v>View</v>
      </c>
      <c r="P2654" s="15"/>
    </row>
    <row r="2655">
      <c r="A2655" s="7">
        <v>42425.81943287037</v>
      </c>
      <c r="B2655" s="8" t="str">
        <f t="shared" ref="B2655:B2656" si="293">HYPERLINK("https://twitter.com/kevlbass1024","@kevlbass1024")</f>
        <v>@kevlbass1024</v>
      </c>
      <c r="C2655" s="10" t="s">
        <v>3851</v>
      </c>
      <c r="D2655" s="10" t="s">
        <v>10804</v>
      </c>
      <c r="E2655" s="11" t="str">
        <f>HYPERLINK("https://twitter.com/kevlbass1024/status/703061923068297217","703061923068297217")</f>
        <v>703061923068297217</v>
      </c>
      <c r="F2655" s="12" t="s">
        <v>20</v>
      </c>
      <c r="G2655" s="13">
        <v>530.0</v>
      </c>
      <c r="H2655" s="13">
        <v>830.0</v>
      </c>
      <c r="I2655" s="13">
        <v>0.0</v>
      </c>
      <c r="J2655" s="13">
        <v>0.0</v>
      </c>
      <c r="K2655" s="12" t="s">
        <v>21</v>
      </c>
      <c r="L2655" s="7">
        <v>42369.77342592593</v>
      </c>
      <c r="M2655" s="16"/>
      <c r="N2655" s="14" t="s">
        <v>3853</v>
      </c>
      <c r="O2655" s="11" t="str">
        <f t="shared" ref="O2655:O2656" si="294">HYPERLINK("https://pbs.twimg.com/profile_images/682757887261818880/Q5--Prn6_normal.jpg","View")</f>
        <v>View</v>
      </c>
      <c r="P2655" s="15"/>
    </row>
    <row r="2656">
      <c r="A2656" s="7">
        <v>42425.82125</v>
      </c>
      <c r="B2656" s="8" t="str">
        <f t="shared" si="293"/>
        <v>@kevlbass1024</v>
      </c>
      <c r="C2656" s="10" t="s">
        <v>3851</v>
      </c>
      <c r="D2656" s="10" t="s">
        <v>10805</v>
      </c>
      <c r="E2656" s="11" t="str">
        <f>HYPERLINK("https://twitter.com/kevlbass1024/status/703062583608217601","703062583608217601")</f>
        <v>703062583608217601</v>
      </c>
      <c r="F2656" s="12" t="s">
        <v>20</v>
      </c>
      <c r="G2656" s="13">
        <v>530.0</v>
      </c>
      <c r="H2656" s="13">
        <v>830.0</v>
      </c>
      <c r="I2656" s="13">
        <v>0.0</v>
      </c>
      <c r="J2656" s="13">
        <v>1.0</v>
      </c>
      <c r="K2656" s="12" t="s">
        <v>21</v>
      </c>
      <c r="L2656" s="7">
        <v>42369.77342592593</v>
      </c>
      <c r="M2656" s="16"/>
      <c r="N2656" s="14" t="s">
        <v>3853</v>
      </c>
      <c r="O2656" s="11" t="str">
        <f t="shared" si="294"/>
        <v>View</v>
      </c>
      <c r="P2656" s="15"/>
    </row>
    <row r="2657">
      <c r="A2657" s="7">
        <v>42425.823483796295</v>
      </c>
      <c r="B2657" s="8" t="str">
        <f>HYPERLINK("https://twitter.com/CoreySparks1","@CoreySparks1")</f>
        <v>@CoreySparks1</v>
      </c>
      <c r="C2657" s="10" t="s">
        <v>9531</v>
      </c>
      <c r="D2657" s="10" t="s">
        <v>10695</v>
      </c>
      <c r="E2657" s="11" t="str">
        <f>HYPERLINK("https://twitter.com/CoreySparks1/status/703063390776745984","703063390776745984")</f>
        <v>703063390776745984</v>
      </c>
      <c r="F2657" s="12" t="s">
        <v>152</v>
      </c>
      <c r="G2657" s="13">
        <v>1330.0</v>
      </c>
      <c r="H2657" s="13">
        <v>1990.0</v>
      </c>
      <c r="I2657" s="13">
        <v>21.0</v>
      </c>
      <c r="J2657" s="13">
        <v>0.0</v>
      </c>
      <c r="K2657" s="12" t="s">
        <v>21</v>
      </c>
      <c r="L2657" s="7">
        <v>40840.564571759256</v>
      </c>
      <c r="M2657" s="14" t="s">
        <v>9533</v>
      </c>
      <c r="N2657" s="14" t="s">
        <v>9534</v>
      </c>
      <c r="O2657" s="11" t="str">
        <f>HYPERLINK("https://pbs.twimg.com/profile_images/463121219244421120/iZtw_Rji_normal.jpeg","View")</f>
        <v>View</v>
      </c>
      <c r="P2657" s="15"/>
    </row>
    <row r="2658">
      <c r="A2658" s="7">
        <v>42425.823645833334</v>
      </c>
      <c r="B2658" s="8" t="str">
        <f>HYPERLINK("https://twitter.com/spleonard1","@spleonard1")</f>
        <v>@spleonard1</v>
      </c>
      <c r="C2658" s="10" t="s">
        <v>10806</v>
      </c>
      <c r="D2658" s="10" t="s">
        <v>10807</v>
      </c>
      <c r="E2658" s="11" t="str">
        <f>HYPERLINK("https://twitter.com/spleonard1/status/703063448444280832","703063448444280832")</f>
        <v>703063448444280832</v>
      </c>
      <c r="F2658" s="12" t="s">
        <v>20</v>
      </c>
      <c r="G2658" s="13">
        <v>534.0</v>
      </c>
      <c r="H2658" s="13">
        <v>1745.0</v>
      </c>
      <c r="I2658" s="13">
        <v>1.0</v>
      </c>
      <c r="J2658" s="13">
        <v>2.0</v>
      </c>
      <c r="K2658" s="12" t="s">
        <v>21</v>
      </c>
      <c r="L2658" s="7">
        <v>39788.48622685185</v>
      </c>
      <c r="M2658" s="14" t="s">
        <v>3561</v>
      </c>
      <c r="N2658" s="14" t="s">
        <v>10808</v>
      </c>
      <c r="O2658" s="11" t="str">
        <f>HYPERLINK("https://pbs.twimg.com/profile_images/616339690245861376/lfMUz7Fp_normal.jpg","View")</f>
        <v>View</v>
      </c>
      <c r="P2658" s="15"/>
    </row>
    <row r="2659">
      <c r="A2659" s="7">
        <v>42425.82386574074</v>
      </c>
      <c r="B2659" s="8" t="str">
        <f t="shared" ref="B2659:B2660" si="295">HYPERLINK("https://twitter.com/CoreySparks1","@CoreySparks1")</f>
        <v>@CoreySparks1</v>
      </c>
      <c r="C2659" s="10" t="s">
        <v>9531</v>
      </c>
      <c r="D2659" s="10" t="s">
        <v>10551</v>
      </c>
      <c r="E2659" s="11" t="str">
        <f>HYPERLINK("https://twitter.com/CoreySparks1/status/703063528718995456","703063528718995456")</f>
        <v>703063528718995456</v>
      </c>
      <c r="F2659" s="12" t="s">
        <v>152</v>
      </c>
      <c r="G2659" s="13">
        <v>1330.0</v>
      </c>
      <c r="H2659" s="13">
        <v>1990.0</v>
      </c>
      <c r="I2659" s="13">
        <v>14.0</v>
      </c>
      <c r="J2659" s="13">
        <v>0.0</v>
      </c>
      <c r="K2659" s="12" t="s">
        <v>21</v>
      </c>
      <c r="L2659" s="7">
        <v>40840.564571759256</v>
      </c>
      <c r="M2659" s="14" t="s">
        <v>9533</v>
      </c>
      <c r="N2659" s="14" t="s">
        <v>9534</v>
      </c>
      <c r="O2659" s="11" t="str">
        <f t="shared" ref="O2659:O2660" si="296">HYPERLINK("https://pbs.twimg.com/profile_images/463121219244421120/iZtw_Rji_normal.jpeg","View")</f>
        <v>View</v>
      </c>
      <c r="P2659" s="15"/>
    </row>
    <row r="2660">
      <c r="A2660" s="7">
        <v>42425.824108796296</v>
      </c>
      <c r="B2660" s="8" t="str">
        <f t="shared" si="295"/>
        <v>@CoreySparks1</v>
      </c>
      <c r="C2660" s="10" t="s">
        <v>9531</v>
      </c>
      <c r="D2660" s="10" t="s">
        <v>10455</v>
      </c>
      <c r="E2660" s="11" t="str">
        <f>HYPERLINK("https://twitter.com/CoreySparks1/status/703063618430963712","703063618430963712")</f>
        <v>703063618430963712</v>
      </c>
      <c r="F2660" s="12" t="s">
        <v>152</v>
      </c>
      <c r="G2660" s="13">
        <v>1330.0</v>
      </c>
      <c r="H2660" s="13">
        <v>1990.0</v>
      </c>
      <c r="I2660" s="13">
        <v>22.0</v>
      </c>
      <c r="J2660" s="13">
        <v>0.0</v>
      </c>
      <c r="K2660" s="12" t="s">
        <v>21</v>
      </c>
      <c r="L2660" s="7">
        <v>40840.564571759256</v>
      </c>
      <c r="M2660" s="14" t="s">
        <v>9533</v>
      </c>
      <c r="N2660" s="14" t="s">
        <v>9534</v>
      </c>
      <c r="O2660" s="11" t="str">
        <f t="shared" si="296"/>
        <v>View</v>
      </c>
      <c r="P2660" s="15"/>
    </row>
    <row r="2661">
      <c r="A2661" s="7">
        <v>42425.82513888889</v>
      </c>
      <c r="B2661" s="8" t="str">
        <f>HYPERLINK("https://twitter.com/kevlbass1024","@kevlbass1024")</f>
        <v>@kevlbass1024</v>
      </c>
      <c r="C2661" s="10" t="s">
        <v>3851</v>
      </c>
      <c r="D2661" s="10" t="s">
        <v>10809</v>
      </c>
      <c r="E2661" s="11" t="str">
        <f>HYPERLINK("https://twitter.com/kevlbass1024/status/703063990713372672","703063990713372672")</f>
        <v>703063990713372672</v>
      </c>
      <c r="F2661" s="12" t="s">
        <v>20</v>
      </c>
      <c r="G2661" s="13">
        <v>530.0</v>
      </c>
      <c r="H2661" s="13">
        <v>830.0</v>
      </c>
      <c r="I2661" s="13">
        <v>0.0</v>
      </c>
      <c r="J2661" s="13">
        <v>1.0</v>
      </c>
      <c r="K2661" s="12" t="s">
        <v>21</v>
      </c>
      <c r="L2661" s="7">
        <v>42369.77342592593</v>
      </c>
      <c r="M2661" s="16"/>
      <c r="N2661" s="14" t="s">
        <v>3853</v>
      </c>
      <c r="O2661" s="11" t="str">
        <f>HYPERLINK("https://pbs.twimg.com/profile_images/682757887261818880/Q5--Prn6_normal.jpg","View")</f>
        <v>View</v>
      </c>
      <c r="P2661" s="15"/>
    </row>
    <row r="2662">
      <c r="A2662" s="7">
        <v>42425.82935185185</v>
      </c>
      <c r="B2662" s="8" t="str">
        <f>HYPERLINK("https://twitter.com/botchagalupe","@botchagalupe")</f>
        <v>@botchagalupe</v>
      </c>
      <c r="C2662" s="10" t="s">
        <v>10810</v>
      </c>
      <c r="D2662" s="10" t="s">
        <v>10695</v>
      </c>
      <c r="E2662" s="11" t="str">
        <f>HYPERLINK("https://twitter.com/botchagalupe/status/703065516806639616","703065516806639616")</f>
        <v>703065516806639616</v>
      </c>
      <c r="F2662" s="12" t="s">
        <v>659</v>
      </c>
      <c r="G2662" s="13">
        <v>10419.0</v>
      </c>
      <c r="H2662" s="13">
        <v>640.0</v>
      </c>
      <c r="I2662" s="13">
        <v>21.0</v>
      </c>
      <c r="J2662" s="13">
        <v>0.0</v>
      </c>
      <c r="K2662" s="12" t="s">
        <v>21</v>
      </c>
      <c r="L2662" s="7">
        <v>39289.296319444446</v>
      </c>
      <c r="M2662" s="14" t="s">
        <v>4877</v>
      </c>
      <c r="N2662" s="14" t="s">
        <v>10811</v>
      </c>
      <c r="O2662" s="11" t="str">
        <f>HYPERLINK("https://pbs.twimg.com/profile_images/699669430737989633/p9GnDotP_normal.jpg","View")</f>
        <v>View</v>
      </c>
      <c r="P2662" s="15"/>
    </row>
    <row r="2663">
      <c r="A2663" s="7">
        <v>42425.83334490741</v>
      </c>
      <c r="B2663" s="8" t="str">
        <f>HYPERLINK("https://twitter.com/sfrechette","@sfrechette")</f>
        <v>@sfrechette</v>
      </c>
      <c r="C2663" s="10" t="s">
        <v>6564</v>
      </c>
      <c r="D2663" s="10" t="s">
        <v>10812</v>
      </c>
      <c r="E2663" s="11" t="str">
        <f>HYPERLINK("https://twitter.com/sfrechette/status/703066964676190208","703066964676190208")</f>
        <v>703066964676190208</v>
      </c>
      <c r="F2663" s="12" t="s">
        <v>6566</v>
      </c>
      <c r="G2663" s="13">
        <v>1352.0</v>
      </c>
      <c r="H2663" s="13">
        <v>1178.0</v>
      </c>
      <c r="I2663" s="13">
        <v>0.0</v>
      </c>
      <c r="J2663" s="13">
        <v>0.0</v>
      </c>
      <c r="K2663" s="12" t="s">
        <v>21</v>
      </c>
      <c r="L2663" s="7">
        <v>39873.53702546297</v>
      </c>
      <c r="M2663" s="14" t="s">
        <v>6567</v>
      </c>
      <c r="N2663" s="14" t="s">
        <v>6568</v>
      </c>
      <c r="O2663" s="11" t="str">
        <f>HYPERLINK("https://pbs.twimg.com/profile_images/662342111799304192/Xtv8MZ-P_normal.jpg","View")</f>
        <v>View</v>
      </c>
      <c r="P2663" s="15"/>
    </row>
    <row r="2664">
      <c r="A2664" s="7">
        <v>42425.835069444445</v>
      </c>
      <c r="B2664" s="8" t="str">
        <f>HYPERLINK("https://twitter.com/afiqcjohari","@afiqcjohari")</f>
        <v>@afiqcjohari</v>
      </c>
      <c r="C2664" s="10" t="s">
        <v>10757</v>
      </c>
      <c r="D2664" s="10" t="s">
        <v>10813</v>
      </c>
      <c r="E2664" s="11" t="str">
        <f>HYPERLINK("https://twitter.com/afiqcjohari/status/703067588255809536","703067588255809536")</f>
        <v>703067588255809536</v>
      </c>
      <c r="F2664" s="12" t="s">
        <v>20</v>
      </c>
      <c r="G2664" s="13">
        <v>8.0</v>
      </c>
      <c r="H2664" s="13">
        <v>78.0</v>
      </c>
      <c r="I2664" s="13">
        <v>18.0</v>
      </c>
      <c r="J2664" s="13">
        <v>0.0</v>
      </c>
      <c r="K2664" s="12" t="s">
        <v>21</v>
      </c>
      <c r="L2664" s="7">
        <v>42291.43319444444</v>
      </c>
      <c r="M2664" s="16"/>
      <c r="N2664" s="16"/>
      <c r="O2664" s="11" t="str">
        <f>HYPERLINK("https://abs.twimg.com/sticky/default_profile_images/default_profile_2_normal.png","View")</f>
        <v>View</v>
      </c>
      <c r="P2664" s="15"/>
    </row>
    <row r="2665">
      <c r="A2665" s="7">
        <v>42425.83627314815</v>
      </c>
      <c r="B2665" s="8" t="str">
        <f>HYPERLINK("https://twitter.com/newurbangrit","@newurbangrit")</f>
        <v>@newurbangrit</v>
      </c>
      <c r="C2665" s="10" t="s">
        <v>10814</v>
      </c>
      <c r="D2665" s="10" t="s">
        <v>10551</v>
      </c>
      <c r="E2665" s="11" t="str">
        <f>HYPERLINK("https://twitter.com/newurbangrit/status/703068028347543552","703068028347543552")</f>
        <v>703068028347543552</v>
      </c>
      <c r="F2665" s="12" t="s">
        <v>446</v>
      </c>
      <c r="G2665" s="13">
        <v>172.0</v>
      </c>
      <c r="H2665" s="13">
        <v>313.0</v>
      </c>
      <c r="I2665" s="13">
        <v>14.0</v>
      </c>
      <c r="J2665" s="13">
        <v>0.0</v>
      </c>
      <c r="K2665" s="12" t="s">
        <v>21</v>
      </c>
      <c r="L2665" s="7">
        <v>40765.74532407407</v>
      </c>
      <c r="M2665" s="14" t="s">
        <v>10815</v>
      </c>
      <c r="N2665" s="14" t="s">
        <v>10816</v>
      </c>
      <c r="O2665" s="11" t="str">
        <f>HYPERLINK("https://pbs.twimg.com/profile_images/1489074699/banksy_park_normal.jpg","View")</f>
        <v>View</v>
      </c>
      <c r="P2665" s="15"/>
    </row>
    <row r="2666">
      <c r="A2666" s="7">
        <v>42425.84050925926</v>
      </c>
      <c r="B2666" s="8" t="str">
        <f>HYPERLINK("https://twitter.com/Josephine0xdata","@Josephine0xdata")</f>
        <v>@Josephine0xdata</v>
      </c>
      <c r="C2666" s="10" t="s">
        <v>3878</v>
      </c>
      <c r="D2666" s="10" t="s">
        <v>3879</v>
      </c>
      <c r="E2666" s="11" t="str">
        <f>HYPERLINK("https://twitter.com/Josephine0xdata/status/703069559973142528","703069559973142528")</f>
        <v>703069559973142528</v>
      </c>
      <c r="F2666" s="12" t="s">
        <v>52</v>
      </c>
      <c r="G2666" s="13">
        <v>204.0</v>
      </c>
      <c r="H2666" s="13">
        <v>533.0</v>
      </c>
      <c r="I2666" s="13">
        <v>10.0</v>
      </c>
      <c r="J2666" s="13">
        <v>0.0</v>
      </c>
      <c r="K2666" s="12" t="s">
        <v>21</v>
      </c>
      <c r="L2666" s="7">
        <v>41625.885300925926</v>
      </c>
      <c r="M2666" s="16"/>
      <c r="N2666" s="16"/>
      <c r="O2666" s="11" t="str">
        <f>HYPERLINK("https://pbs.twimg.com/profile_images/454592263092310016/VOug2BBW_normal.jpeg","View")</f>
        <v>View</v>
      </c>
      <c r="P2666" s="15"/>
    </row>
    <row r="2667">
      <c r="A2667" s="7">
        <v>42425.84208333334</v>
      </c>
      <c r="B2667" s="8" t="str">
        <f>HYPERLINK("https://twitter.com/NowLivecodingtv","@NowLivecodingtv")</f>
        <v>@NowLivecodingtv</v>
      </c>
      <c r="C2667" s="10" t="s">
        <v>2320</v>
      </c>
      <c r="D2667" s="10" t="s">
        <v>3879</v>
      </c>
      <c r="E2667" s="11" t="str">
        <f>HYPERLINK("https://twitter.com/NowLivecodingtv/status/703070133099634690","703070133099634690")</f>
        <v>703070133099634690</v>
      </c>
      <c r="F2667" s="12" t="s">
        <v>2321</v>
      </c>
      <c r="G2667" s="13">
        <v>131.0</v>
      </c>
      <c r="H2667" s="13">
        <v>16.0</v>
      </c>
      <c r="I2667" s="13">
        <v>10.0</v>
      </c>
      <c r="J2667" s="13">
        <v>0.0</v>
      </c>
      <c r="K2667" s="12" t="s">
        <v>21</v>
      </c>
      <c r="L2667" s="7">
        <v>42346.15972222222</v>
      </c>
      <c r="M2667" s="14" t="s">
        <v>69</v>
      </c>
      <c r="N2667" s="14" t="s">
        <v>633</v>
      </c>
      <c r="O2667" s="11" t="str">
        <f>HYPERLINK("https://pbs.twimg.com/profile_images/699984077877874688/aR2ovqId_normal.png","View")</f>
        <v>View</v>
      </c>
      <c r="P2667" s="15"/>
    </row>
    <row r="2668">
      <c r="A2668" s="7">
        <v>42425.84324074074</v>
      </c>
      <c r="B2668" s="8" t="str">
        <f>HYPERLINK("https://twitter.com/jletteboer","@jletteboer")</f>
        <v>@jletteboer</v>
      </c>
      <c r="C2668" s="10" t="s">
        <v>3886</v>
      </c>
      <c r="D2668" s="10" t="s">
        <v>3887</v>
      </c>
      <c r="E2668" s="11" t="str">
        <f>HYPERLINK("https://twitter.com/jletteboer/status/703070549250076672","703070549250076672")</f>
        <v>703070549250076672</v>
      </c>
      <c r="F2668" s="17" t="s">
        <v>718</v>
      </c>
      <c r="G2668" s="13">
        <v>818.0</v>
      </c>
      <c r="H2668" s="13">
        <v>786.0</v>
      </c>
      <c r="I2668" s="13">
        <v>0.0</v>
      </c>
      <c r="J2668" s="13">
        <v>3.0</v>
      </c>
      <c r="K2668" s="12" t="s">
        <v>21</v>
      </c>
      <c r="L2668" s="7">
        <v>40142.24915509259</v>
      </c>
      <c r="M2668" s="14" t="s">
        <v>1007</v>
      </c>
      <c r="N2668" s="14" t="s">
        <v>3888</v>
      </c>
      <c r="O2668" s="11" t="str">
        <f>HYPERLINK("https://pbs.twimg.com/profile_images/524199331365015552/O94t9yIe_normal.jpeg","View")</f>
        <v>View</v>
      </c>
      <c r="P2668" s="15"/>
    </row>
    <row r="2669">
      <c r="A2669" s="7">
        <v>42425.84782407407</v>
      </c>
      <c r="B2669" s="8" t="str">
        <f>HYPERLINK("https://twitter.com/chemfemme","@chemfemme")</f>
        <v>@chemfemme</v>
      </c>
      <c r="C2669" s="10" t="s">
        <v>10817</v>
      </c>
      <c r="D2669" s="10" t="s">
        <v>10569</v>
      </c>
      <c r="E2669" s="11" t="str">
        <f>HYPERLINK("https://twitter.com/chemfemme/status/703072210164912128","703072210164912128")</f>
        <v>703072210164912128</v>
      </c>
      <c r="F2669" s="12" t="s">
        <v>52</v>
      </c>
      <c r="G2669" s="13">
        <v>304.0</v>
      </c>
      <c r="H2669" s="13">
        <v>591.0</v>
      </c>
      <c r="I2669" s="13">
        <v>7.0</v>
      </c>
      <c r="J2669" s="13">
        <v>0.0</v>
      </c>
      <c r="K2669" s="12" t="s">
        <v>21</v>
      </c>
      <c r="L2669" s="7">
        <v>41681.92965277778</v>
      </c>
      <c r="M2669" s="14" t="s">
        <v>10818</v>
      </c>
      <c r="N2669" s="14" t="s">
        <v>10819</v>
      </c>
      <c r="O2669" s="11" t="str">
        <f>HYPERLINK("https://pbs.twimg.com/profile_images/484927690521055233/fO77ma5Q_normal.png","View")</f>
        <v>View</v>
      </c>
      <c r="P2669" s="15"/>
    </row>
    <row r="2670">
      <c r="A2670" s="7">
        <v>42425.85003472222</v>
      </c>
      <c r="B2670" s="8" t="str">
        <f>HYPERLINK("https://twitter.com/jermdemo","@jermdemo")</f>
        <v>@jermdemo</v>
      </c>
      <c r="C2670" s="10" t="s">
        <v>10820</v>
      </c>
      <c r="D2670" s="10" t="s">
        <v>10767</v>
      </c>
      <c r="E2670" s="11" t="str">
        <f>HYPERLINK("https://twitter.com/jermdemo/status/703073015291125760","703073015291125760")</f>
        <v>703073015291125760</v>
      </c>
      <c r="F2670" s="12" t="s">
        <v>52</v>
      </c>
      <c r="G2670" s="13">
        <v>992.0</v>
      </c>
      <c r="H2670" s="13">
        <v>586.0</v>
      </c>
      <c r="I2670" s="13">
        <v>7.0</v>
      </c>
      <c r="J2670" s="13">
        <v>0.0</v>
      </c>
      <c r="K2670" s="12" t="s">
        <v>21</v>
      </c>
      <c r="L2670" s="7">
        <v>39729.58369212963</v>
      </c>
      <c r="M2670" s="14" t="s">
        <v>1099</v>
      </c>
      <c r="N2670" s="14" t="s">
        <v>10821</v>
      </c>
      <c r="O2670" s="11" t="str">
        <f>HYPERLINK("https://pbs.twimg.com/profile_images/2651814724/e7bfdcb6e77ede49eb1c9057f96202be_normal.jpeg","View")</f>
        <v>View</v>
      </c>
      <c r="P2670" s="15"/>
    </row>
    <row r="2671">
      <c r="A2671" s="7">
        <v>42425.85184027778</v>
      </c>
      <c r="B2671" s="8" t="str">
        <f>HYPERLINK("https://twitter.com/ArnoCandel","@ArnoCandel")</f>
        <v>@ArnoCandel</v>
      </c>
      <c r="C2671" s="10" t="s">
        <v>10822</v>
      </c>
      <c r="D2671" s="10" t="s">
        <v>10823</v>
      </c>
      <c r="E2671" s="11" t="str">
        <f>HYPERLINK("https://twitter.com/ArnoCandel/status/703073669346492416","703073669346492416")</f>
        <v>703073669346492416</v>
      </c>
      <c r="F2671" s="12" t="s">
        <v>52</v>
      </c>
      <c r="G2671" s="13">
        <v>1100.0</v>
      </c>
      <c r="H2671" s="13">
        <v>228.0</v>
      </c>
      <c r="I2671" s="13">
        <v>3.0</v>
      </c>
      <c r="J2671" s="13">
        <v>11.0</v>
      </c>
      <c r="K2671" s="12" t="s">
        <v>21</v>
      </c>
      <c r="L2671" s="7">
        <v>40972.9159375</v>
      </c>
      <c r="M2671" s="14" t="s">
        <v>10824</v>
      </c>
      <c r="N2671" s="14" t="s">
        <v>10825</v>
      </c>
      <c r="O2671" s="11" t="str">
        <f>HYPERLINK("https://pbs.twimg.com/profile_images/678795694589669376/nM6wYCKq_normal.jpg","View")</f>
        <v>View</v>
      </c>
      <c r="P2671" s="15"/>
    </row>
    <row r="2672">
      <c r="A2672" s="7">
        <v>42425.855625</v>
      </c>
      <c r="B2672" s="8" t="str">
        <f>HYPERLINK("https://twitter.com/InnovationCoSB","@InnovationCoSB")</f>
        <v>@InnovationCoSB</v>
      </c>
      <c r="C2672" s="10" t="s">
        <v>10826</v>
      </c>
      <c r="D2672" s="10" t="s">
        <v>10776</v>
      </c>
      <c r="E2672" s="11" t="str">
        <f>HYPERLINK("https://twitter.com/InnovationCoSB/status/703075040540102656","703075040540102656")</f>
        <v>703075040540102656</v>
      </c>
      <c r="F2672" s="12" t="s">
        <v>52</v>
      </c>
      <c r="G2672" s="13">
        <v>62.0</v>
      </c>
      <c r="H2672" s="13">
        <v>204.0</v>
      </c>
      <c r="I2672" s="13">
        <v>5.0</v>
      </c>
      <c r="J2672" s="13">
        <v>0.0</v>
      </c>
      <c r="K2672" s="12" t="s">
        <v>21</v>
      </c>
      <c r="L2672" s="7">
        <v>42131.456134259264</v>
      </c>
      <c r="M2672" s="16"/>
      <c r="N2672" s="16"/>
      <c r="O2672" s="11" t="str">
        <f>HYPERLINK("https://pbs.twimg.com/profile_images/607928859950874624/ggJL3LFt_normal.jpg","View")</f>
        <v>View</v>
      </c>
      <c r="P2672" s="15"/>
    </row>
    <row r="2673">
      <c r="A2673" s="7">
        <v>42425.863912037035</v>
      </c>
      <c r="B2673" s="8" t="str">
        <f>HYPERLINK("https://twitter.com/MattDowle","@MattDowle")</f>
        <v>@MattDowle</v>
      </c>
      <c r="C2673" s="10" t="s">
        <v>7821</v>
      </c>
      <c r="D2673" s="10" t="s">
        <v>10256</v>
      </c>
      <c r="E2673" s="11" t="str">
        <f>HYPERLINK("https://twitter.com/MattDowle/status/703078044143996928","703078044143996928")</f>
        <v>703078044143996928</v>
      </c>
      <c r="F2673" s="12" t="s">
        <v>152</v>
      </c>
      <c r="G2673" s="13">
        <v>1266.0</v>
      </c>
      <c r="H2673" s="13">
        <v>104.0</v>
      </c>
      <c r="I2673" s="13">
        <v>3.0</v>
      </c>
      <c r="J2673" s="13">
        <v>0.0</v>
      </c>
      <c r="K2673" s="12" t="s">
        <v>21</v>
      </c>
      <c r="L2673" s="7">
        <v>40948.28002314815</v>
      </c>
      <c r="M2673" s="14" t="s">
        <v>7822</v>
      </c>
      <c r="N2673" s="14" t="s">
        <v>7823</v>
      </c>
      <c r="O2673" s="11" t="str">
        <f>HYPERLINK("https://pbs.twimg.com/profile_images/466298987297767424/1ueQr4I5_normal.jpeg","View")</f>
        <v>View</v>
      </c>
      <c r="P2673" s="15"/>
    </row>
    <row r="2674">
      <c r="A2674" s="7">
        <v>42425.86734953704</v>
      </c>
      <c r="B2674" s="8" t="str">
        <f>HYPERLINK("https://twitter.com/housecat442","@housecat442")</f>
        <v>@housecat442</v>
      </c>
      <c r="C2674" s="10" t="s">
        <v>10827</v>
      </c>
      <c r="D2674" s="10" t="s">
        <v>10653</v>
      </c>
      <c r="E2674" s="11" t="str">
        <f>HYPERLINK("https://twitter.com/housecat442/status/703079288002588672","703079288002588672")</f>
        <v>703079288002588672</v>
      </c>
      <c r="F2674" s="12" t="s">
        <v>52</v>
      </c>
      <c r="G2674" s="13">
        <v>430.0</v>
      </c>
      <c r="H2674" s="13">
        <v>357.0</v>
      </c>
      <c r="I2674" s="13">
        <v>28.0</v>
      </c>
      <c r="J2674" s="13">
        <v>0.0</v>
      </c>
      <c r="K2674" s="12" t="s">
        <v>21</v>
      </c>
      <c r="L2674" s="7">
        <v>40072.349375</v>
      </c>
      <c r="M2674" s="14" t="s">
        <v>10828</v>
      </c>
      <c r="N2674" s="14" t="s">
        <v>10829</v>
      </c>
      <c r="O2674" s="11" t="str">
        <f>HYPERLINK("https://pbs.twimg.com/profile_images/2757783587/2c7f6a4b26cba42269450226535dc187_normal.jpeg","View")</f>
        <v>View</v>
      </c>
      <c r="P2674" s="15"/>
    </row>
    <row r="2675">
      <c r="A2675" s="7">
        <v>42425.8752662037</v>
      </c>
      <c r="B2675" s="8" t="str">
        <f>HYPERLINK("https://twitter.com/ross_gayler","@ross_gayler")</f>
        <v>@ross_gayler</v>
      </c>
      <c r="C2675" s="10" t="s">
        <v>10830</v>
      </c>
      <c r="D2675" s="10" t="s">
        <v>10735</v>
      </c>
      <c r="E2675" s="11" t="str">
        <f>HYPERLINK("https://twitter.com/ross_gayler/status/703082156315152384","703082156315152384")</f>
        <v>703082156315152384</v>
      </c>
      <c r="F2675" s="12" t="s">
        <v>20</v>
      </c>
      <c r="G2675" s="13">
        <v>99.0</v>
      </c>
      <c r="H2675" s="13">
        <v>186.0</v>
      </c>
      <c r="I2675" s="13">
        <v>17.0</v>
      </c>
      <c r="J2675" s="13">
        <v>0.0</v>
      </c>
      <c r="K2675" s="12" t="s">
        <v>21</v>
      </c>
      <c r="L2675" s="7">
        <v>39601.87762731481</v>
      </c>
      <c r="M2675" s="14" t="s">
        <v>7600</v>
      </c>
      <c r="N2675" s="14" t="s">
        <v>10831</v>
      </c>
      <c r="O2675" s="11" t="str">
        <f>HYPERLINK("https://pbs.twimg.com/profile_images/521256001865932800/DOAz0B_w_normal.jpeg","View")</f>
        <v>View</v>
      </c>
      <c r="P2675" s="15"/>
    </row>
    <row r="2676">
      <c r="A2676" s="7">
        <v>42425.88086805555</v>
      </c>
      <c r="B2676" s="8" t="str">
        <f>HYPERLINK("https://twitter.com/KirkDBorne","@KirkDBorne")</f>
        <v>@KirkDBorne</v>
      </c>
      <c r="C2676" s="10" t="s">
        <v>4099</v>
      </c>
      <c r="D2676" s="10" t="s">
        <v>10832</v>
      </c>
      <c r="E2676" s="11" t="str">
        <f>HYPERLINK("https://twitter.com/KirkDBorne/status/703084188661059584","703084188661059584")</f>
        <v>703084188661059584</v>
      </c>
      <c r="F2676" s="12" t="s">
        <v>20</v>
      </c>
      <c r="G2676" s="13">
        <v>64191.0</v>
      </c>
      <c r="H2676" s="13">
        <v>62659.0</v>
      </c>
      <c r="I2676" s="13">
        <v>4.0</v>
      </c>
      <c r="J2676" s="13">
        <v>3.0</v>
      </c>
      <c r="K2676" s="12" t="s">
        <v>21</v>
      </c>
      <c r="L2676" s="7">
        <v>40991.399502314816</v>
      </c>
      <c r="M2676" s="14" t="s">
        <v>4101</v>
      </c>
      <c r="N2676" s="14" t="s">
        <v>4102</v>
      </c>
      <c r="O2676" s="11" t="str">
        <f>HYPERLINK("https://pbs.twimg.com/profile_images/680246148762828801/flXTNSKT_normal.jpg","View")</f>
        <v>View</v>
      </c>
      <c r="P2676" s="15"/>
    </row>
    <row r="2677">
      <c r="A2677" s="7">
        <v>42425.88444444444</v>
      </c>
      <c r="B2677" s="8" t="str">
        <f>HYPERLINK("https://twitter.com/renato_umeton","@renato_umeton")</f>
        <v>@renato_umeton</v>
      </c>
      <c r="C2677" s="10" t="s">
        <v>1659</v>
      </c>
      <c r="D2677" s="10" t="s">
        <v>10833</v>
      </c>
      <c r="E2677" s="11" t="str">
        <f>HYPERLINK("https://twitter.com/renato_umeton/status/703085484331954177","703085484331954177")</f>
        <v>703085484331954177</v>
      </c>
      <c r="F2677" s="12" t="s">
        <v>38</v>
      </c>
      <c r="G2677" s="13">
        <v>70.0</v>
      </c>
      <c r="H2677" s="13">
        <v>79.0</v>
      </c>
      <c r="I2677" s="13">
        <v>4.0</v>
      </c>
      <c r="J2677" s="13">
        <v>0.0</v>
      </c>
      <c r="K2677" s="12" t="s">
        <v>21</v>
      </c>
      <c r="L2677" s="7">
        <v>39918.052083333336</v>
      </c>
      <c r="M2677" s="14" t="s">
        <v>1660</v>
      </c>
      <c r="N2677" s="14" t="s">
        <v>1661</v>
      </c>
      <c r="O2677" s="11" t="str">
        <f>HYPERLINK("https://pbs.twimg.com/profile_images/701553083537604608/nr8b38eG_normal.jpg","View")</f>
        <v>View</v>
      </c>
      <c r="P2677" s="15"/>
    </row>
    <row r="2678">
      <c r="A2678" s="7">
        <v>42425.88511574074</v>
      </c>
      <c r="B2678" s="8" t="str">
        <f>HYPERLINK("https://twitter.com/fcolmenero","@fcolmenero")</f>
        <v>@fcolmenero</v>
      </c>
      <c r="C2678" s="10" t="s">
        <v>5888</v>
      </c>
      <c r="D2678" s="10" t="s">
        <v>10833</v>
      </c>
      <c r="E2678" s="11" t="str">
        <f>HYPERLINK("https://twitter.com/fcolmenero/status/703085725219164161","703085725219164161")</f>
        <v>703085725219164161</v>
      </c>
      <c r="F2678" s="12" t="s">
        <v>152</v>
      </c>
      <c r="G2678" s="13">
        <v>905.0</v>
      </c>
      <c r="H2678" s="13">
        <v>2166.0</v>
      </c>
      <c r="I2678" s="13">
        <v>4.0</v>
      </c>
      <c r="J2678" s="13">
        <v>0.0</v>
      </c>
      <c r="K2678" s="12" t="s">
        <v>21</v>
      </c>
      <c r="L2678" s="7">
        <v>40639.43956018519</v>
      </c>
      <c r="M2678" s="16"/>
      <c r="N2678" s="14" t="s">
        <v>5890</v>
      </c>
      <c r="O2678" s="11" t="str">
        <f>HYPERLINK("https://pbs.twimg.com/profile_images/523179289638731776/dJyIiYSR_normal.png","View")</f>
        <v>View</v>
      </c>
      <c r="P2678" s="15"/>
    </row>
    <row r="2679">
      <c r="A2679" s="7">
        <v>42425.892372685186</v>
      </c>
      <c r="B2679" s="8" t="str">
        <f>HYPERLINK("https://twitter.com/ShinyappsRecent","@ShinyappsRecent")</f>
        <v>@ShinyappsRecent</v>
      </c>
      <c r="C2679" s="10" t="s">
        <v>6422</v>
      </c>
      <c r="D2679" s="10" t="s">
        <v>10834</v>
      </c>
      <c r="E2679" s="11" t="str">
        <f>HYPERLINK("https://twitter.com/ShinyappsRecent/status/703088354548539393","703088354548539393")</f>
        <v>703088354548539393</v>
      </c>
      <c r="F2679" s="12" t="s">
        <v>6424</v>
      </c>
      <c r="G2679" s="13">
        <v>212.0</v>
      </c>
      <c r="H2679" s="13">
        <v>6.0</v>
      </c>
      <c r="I2679" s="13">
        <v>0.0</v>
      </c>
      <c r="J2679" s="13">
        <v>0.0</v>
      </c>
      <c r="K2679" s="12" t="s">
        <v>21</v>
      </c>
      <c r="L2679" s="7">
        <v>42004.08681712963</v>
      </c>
      <c r="M2679" s="14" t="s">
        <v>6425</v>
      </c>
      <c r="N2679" s="14" t="s">
        <v>6426</v>
      </c>
      <c r="O2679" s="11" t="str">
        <f>HYPERLINK("https://pbs.twimg.com/profile_images/550280885480603648/jye_0y8s_normal.png","View")</f>
        <v>View</v>
      </c>
      <c r="P2679" s="15"/>
    </row>
    <row r="2680">
      <c r="A2680" s="7">
        <v>42425.895324074074</v>
      </c>
      <c r="B2680" s="8" t="str">
        <f>HYPERLINK("https://twitter.com/pacehrb","@pacehrb")</f>
        <v>@pacehrb</v>
      </c>
      <c r="C2680" s="10" t="s">
        <v>4103</v>
      </c>
      <c r="D2680" s="10" t="s">
        <v>10833</v>
      </c>
      <c r="E2680" s="11" t="str">
        <f>HYPERLINK("https://twitter.com/pacehrb/status/703089425882812416","703089425882812416")</f>
        <v>703089425882812416</v>
      </c>
      <c r="F2680" s="12" t="s">
        <v>152</v>
      </c>
      <c r="G2680" s="13">
        <v>938.0</v>
      </c>
      <c r="H2680" s="13">
        <v>2382.0</v>
      </c>
      <c r="I2680" s="13">
        <v>4.0</v>
      </c>
      <c r="J2680" s="13">
        <v>0.0</v>
      </c>
      <c r="K2680" s="12" t="s">
        <v>21</v>
      </c>
      <c r="L2680" s="7">
        <v>40316.03534722222</v>
      </c>
      <c r="M2680" s="14" t="s">
        <v>34</v>
      </c>
      <c r="N2680" s="14" t="s">
        <v>4105</v>
      </c>
      <c r="O2680" s="11" t="str">
        <f>HYPERLINK("https://pbs.twimg.com/profile_images/1144625930/hanmant_normal.jpg","View")</f>
        <v>View</v>
      </c>
      <c r="P2680" s="15"/>
    </row>
    <row r="2681">
      <c r="A2681" s="7">
        <v>42425.899560185186</v>
      </c>
      <c r="B2681" s="8" t="str">
        <f>HYPERLINK("https://twitter.com/AliakseiSysa","@AliakseiSysa")</f>
        <v>@AliakseiSysa</v>
      </c>
      <c r="C2681" s="10" t="s">
        <v>10835</v>
      </c>
      <c r="D2681" s="10" t="s">
        <v>10550</v>
      </c>
      <c r="E2681" s="11" t="str">
        <f>HYPERLINK("https://twitter.com/AliakseiSysa/status/703090960041771009","703090960041771009")</f>
        <v>703090960041771009</v>
      </c>
      <c r="F2681" s="12" t="s">
        <v>152</v>
      </c>
      <c r="G2681" s="13">
        <v>11.0</v>
      </c>
      <c r="H2681" s="13">
        <v>17.0</v>
      </c>
      <c r="I2681" s="13">
        <v>11.0</v>
      </c>
      <c r="J2681" s="13">
        <v>0.0</v>
      </c>
      <c r="K2681" s="12" t="s">
        <v>21</v>
      </c>
      <c r="L2681" s="7">
        <v>41169.50672453704</v>
      </c>
      <c r="M2681" s="16"/>
      <c r="N2681" s="14" t="s">
        <v>10836</v>
      </c>
      <c r="O2681" s="11" t="str">
        <f>HYPERLINK("https://pbs.twimg.com/profile_images/440367782215966722/ftaIcHPm_normal.jpeg","View")</f>
        <v>View</v>
      </c>
      <c r="P2681" s="15"/>
    </row>
    <row r="2682">
      <c r="A2682" s="7">
        <v>42425.907905092594</v>
      </c>
      <c r="B2682" s="8" t="str">
        <f>HYPERLINK("https://twitter.com/TheWAnswer","@TheWAnswer")</f>
        <v>@TheWAnswer</v>
      </c>
      <c r="C2682" s="10" t="s">
        <v>3177</v>
      </c>
      <c r="D2682" s="10" t="s">
        <v>10833</v>
      </c>
      <c r="E2682" s="11" t="str">
        <f>HYPERLINK("https://twitter.com/TheWAnswer/status/703093986114686977","703093986114686977")</f>
        <v>703093986114686977</v>
      </c>
      <c r="F2682" s="12" t="s">
        <v>152</v>
      </c>
      <c r="G2682" s="13">
        <v>351.0</v>
      </c>
      <c r="H2682" s="13">
        <v>2467.0</v>
      </c>
      <c r="I2682" s="13">
        <v>4.0</v>
      </c>
      <c r="J2682" s="13">
        <v>0.0</v>
      </c>
      <c r="K2682" s="12" t="s">
        <v>21</v>
      </c>
      <c r="L2682" s="7">
        <v>39982.82424768519</v>
      </c>
      <c r="M2682" s="16"/>
      <c r="N2682" s="16"/>
      <c r="O2682" s="11" t="str">
        <f>HYPERLINK("https://abs.twimg.com/sticky/default_profile_images/default_profile_5_normal.png","View")</f>
        <v>View</v>
      </c>
      <c r="P2682" s="15"/>
    </row>
    <row r="2683">
      <c r="A2683" s="7">
        <v>42425.91489583333</v>
      </c>
      <c r="B2683" s="8" t="str">
        <f>HYPERLINK("https://twitter.com/ArnoCandel","@ArnoCandel")</f>
        <v>@ArnoCandel</v>
      </c>
      <c r="C2683" s="10" t="s">
        <v>10822</v>
      </c>
      <c r="D2683" s="10" t="s">
        <v>10837</v>
      </c>
      <c r="E2683" s="11" t="str">
        <f>HYPERLINK("https://twitter.com/ArnoCandel/status/703096518404759554","703096518404759554")</f>
        <v>703096518404759554</v>
      </c>
      <c r="F2683" s="12" t="s">
        <v>52</v>
      </c>
      <c r="G2683" s="13">
        <v>1100.0</v>
      </c>
      <c r="H2683" s="13">
        <v>228.0</v>
      </c>
      <c r="I2683" s="13">
        <v>1.0</v>
      </c>
      <c r="J2683" s="13">
        <v>3.0</v>
      </c>
      <c r="K2683" s="12" t="s">
        <v>21</v>
      </c>
      <c r="L2683" s="7">
        <v>40972.9159375</v>
      </c>
      <c r="M2683" s="14" t="s">
        <v>10824</v>
      </c>
      <c r="N2683" s="14" t="s">
        <v>10825</v>
      </c>
      <c r="O2683" s="11" t="str">
        <f>HYPERLINK("https://pbs.twimg.com/profile_images/678795694589669376/nM6wYCKq_normal.jpg","View")</f>
        <v>View</v>
      </c>
      <c r="P2683" s="15"/>
    </row>
    <row r="2684">
      <c r="A2684" s="7">
        <v>42425.91579861111</v>
      </c>
      <c r="B2684" s="8" t="str">
        <f>HYPERLINK("https://twitter.com/raynamharris","@raynamharris")</f>
        <v>@raynamharris</v>
      </c>
      <c r="C2684" s="10" t="s">
        <v>10838</v>
      </c>
      <c r="D2684" s="10" t="s">
        <v>10839</v>
      </c>
      <c r="E2684" s="11" t="str">
        <f>HYPERLINK("https://twitter.com/raynamharris/status/703096843756900354","703096843756900354")</f>
        <v>703096843756900354</v>
      </c>
      <c r="F2684" s="12" t="s">
        <v>20</v>
      </c>
      <c r="G2684" s="13">
        <v>316.0</v>
      </c>
      <c r="H2684" s="13">
        <v>498.0</v>
      </c>
      <c r="I2684" s="13">
        <v>1.0</v>
      </c>
      <c r="J2684" s="13">
        <v>0.0</v>
      </c>
      <c r="K2684" s="12" t="s">
        <v>21</v>
      </c>
      <c r="L2684" s="7">
        <v>41775.822280092594</v>
      </c>
      <c r="M2684" s="14" t="s">
        <v>2022</v>
      </c>
      <c r="N2684" s="14" t="s">
        <v>10840</v>
      </c>
      <c r="O2684" s="11" t="str">
        <f>HYPERLINK("https://pbs.twimg.com/profile_images/468815585837461504/dF8HXAu0_normal.jpeg","View")</f>
        <v>View</v>
      </c>
      <c r="P2684" s="15"/>
    </row>
    <row r="2685">
      <c r="A2685" s="7">
        <v>42425.919953703706</v>
      </c>
      <c r="B2685" s="8" t="str">
        <f>HYPERLINK("https://twitter.com/DiegoKuonen","@DiegoKuonen")</f>
        <v>@DiegoKuonen</v>
      </c>
      <c r="C2685" s="10" t="s">
        <v>10841</v>
      </c>
      <c r="D2685" s="10" t="s">
        <v>10842</v>
      </c>
      <c r="E2685" s="11" t="str">
        <f>HYPERLINK("https://twitter.com/DiegoKuonen/status/703098353194676225","703098353194676225")</f>
        <v>703098353194676225</v>
      </c>
      <c r="F2685" s="12" t="s">
        <v>152</v>
      </c>
      <c r="G2685" s="13">
        <v>5831.0</v>
      </c>
      <c r="H2685" s="13">
        <v>1330.0</v>
      </c>
      <c r="I2685" s="13">
        <v>1.0</v>
      </c>
      <c r="J2685" s="13">
        <v>0.0</v>
      </c>
      <c r="K2685" s="12" t="s">
        <v>21</v>
      </c>
      <c r="L2685" s="7">
        <v>41603.33125</v>
      </c>
      <c r="M2685" s="14" t="s">
        <v>10843</v>
      </c>
      <c r="N2685" s="14" t="s">
        <v>10844</v>
      </c>
      <c r="O2685" s="11" t="str">
        <f>HYPERLINK("https://pbs.twimg.com/profile_images/378800000789286118/6513547e4bfa244b269a74c72f739807_normal.jpeg","View")</f>
        <v>View</v>
      </c>
      <c r="P2685" s="15"/>
    </row>
    <row r="2686">
      <c r="A2686" s="7">
        <v>42425.922430555554</v>
      </c>
      <c r="B2686" s="8" t="str">
        <f>HYPERLINK("https://twitter.com/paulpeton","@paulpeton")</f>
        <v>@paulpeton</v>
      </c>
      <c r="C2686" s="10" t="s">
        <v>9950</v>
      </c>
      <c r="D2686" s="10" t="s">
        <v>10845</v>
      </c>
      <c r="E2686" s="11" t="str">
        <f>HYPERLINK("https://twitter.com/paulpeton/status/703099247839674369","703099247839674369")</f>
        <v>703099247839674369</v>
      </c>
      <c r="F2686" s="12" t="s">
        <v>20</v>
      </c>
      <c r="G2686" s="13">
        <v>153.0</v>
      </c>
      <c r="H2686" s="13">
        <v>192.0</v>
      </c>
      <c r="I2686" s="13">
        <v>0.0</v>
      </c>
      <c r="J2686" s="13">
        <v>1.0</v>
      </c>
      <c r="K2686" s="12" t="s">
        <v>21</v>
      </c>
      <c r="L2686" s="7">
        <v>40547.90590277778</v>
      </c>
      <c r="M2686" s="14" t="s">
        <v>241</v>
      </c>
      <c r="N2686" s="14" t="s">
        <v>9952</v>
      </c>
      <c r="O2686" s="11" t="str">
        <f>HYPERLINK("https://pbs.twimg.com/profile_images/2804660822/49b0136cb3e64480fd5a80a2b41da086_normal.jpeg","View")</f>
        <v>View</v>
      </c>
      <c r="P2686" s="15"/>
    </row>
    <row r="2687">
      <c r="A2687" s="7">
        <v>42425.92324074074</v>
      </c>
      <c r="B2687" s="8" t="str">
        <f>HYPERLINK("https://twitter.com/ErmiaBivatan","@ErmiaBivatan")</f>
        <v>@ErmiaBivatan</v>
      </c>
      <c r="C2687" s="10" t="s">
        <v>6261</v>
      </c>
      <c r="D2687" s="10" t="s">
        <v>10846</v>
      </c>
      <c r="E2687" s="11" t="str">
        <f>HYPERLINK("https://twitter.com/ErmiaBivatan/status/703099543512977413","703099543512977413")</f>
        <v>703099543512977413</v>
      </c>
      <c r="F2687" s="12" t="s">
        <v>152</v>
      </c>
      <c r="G2687" s="13">
        <v>45.0</v>
      </c>
      <c r="H2687" s="13">
        <v>142.0</v>
      </c>
      <c r="I2687" s="13">
        <v>2.0</v>
      </c>
      <c r="J2687" s="13">
        <v>0.0</v>
      </c>
      <c r="K2687" s="12" t="s">
        <v>21</v>
      </c>
      <c r="L2687" s="7">
        <v>41409.883356481485</v>
      </c>
      <c r="M2687" s="16"/>
      <c r="N2687" s="14" t="s">
        <v>6263</v>
      </c>
      <c r="O2687" s="11" t="str">
        <f>HYPERLINK("https://pbs.twimg.com/profile_images/700219041131204608/DZKmHE4-_normal.jpg","View")</f>
        <v>View</v>
      </c>
      <c r="P2687" s="15"/>
    </row>
    <row r="2688">
      <c r="A2688" s="7">
        <v>42425.92372685185</v>
      </c>
      <c r="B2688" s="8" t="str">
        <f>HYPERLINK("https://twitter.com/Rbloggers","@Rbloggers")</f>
        <v>@Rbloggers</v>
      </c>
      <c r="C2688" s="10" t="s">
        <v>6221</v>
      </c>
      <c r="D2688" s="10" t="s">
        <v>10847</v>
      </c>
      <c r="E2688" s="11" t="str">
        <f>HYPERLINK("https://twitter.com/Rbloggers/status/703099719594020864","703099719594020864")</f>
        <v>703099719594020864</v>
      </c>
      <c r="F2688" s="17" t="s">
        <v>6223</v>
      </c>
      <c r="G2688" s="13">
        <v>28572.0</v>
      </c>
      <c r="H2688" s="13">
        <v>36.0</v>
      </c>
      <c r="I2688" s="13">
        <v>13.0</v>
      </c>
      <c r="J2688" s="13">
        <v>24.0</v>
      </c>
      <c r="K2688" s="12" t="s">
        <v>21</v>
      </c>
      <c r="L2688" s="7">
        <v>40314.510601851856</v>
      </c>
      <c r="M2688" s="16"/>
      <c r="N2688" s="14" t="s">
        <v>6224</v>
      </c>
      <c r="O2688" s="11" t="str">
        <f>HYPERLINK("https://pbs.twimg.com/profile_images/502185985786916864/gkdFh-q7_normal.png","View")</f>
        <v>View</v>
      </c>
      <c r="P2688" s="15"/>
    </row>
    <row r="2689">
      <c r="A2689" s="7">
        <v>42425.92571759259</v>
      </c>
      <c r="B2689" s="8" t="str">
        <f>HYPERLINK("https://twitter.com/ramhiser","@ramhiser")</f>
        <v>@ramhiser</v>
      </c>
      <c r="C2689" s="10" t="s">
        <v>10848</v>
      </c>
      <c r="D2689" s="10" t="s">
        <v>10761</v>
      </c>
      <c r="E2689" s="11" t="str">
        <f>HYPERLINK("https://twitter.com/ramhiser/status/703100440251015173","703100440251015173")</f>
        <v>703100440251015173</v>
      </c>
      <c r="F2689" s="12" t="s">
        <v>152</v>
      </c>
      <c r="G2689" s="13">
        <v>1176.0</v>
      </c>
      <c r="H2689" s="13">
        <v>587.0</v>
      </c>
      <c r="I2689" s="13">
        <v>4.0</v>
      </c>
      <c r="J2689" s="13">
        <v>0.0</v>
      </c>
      <c r="K2689" s="12" t="s">
        <v>21</v>
      </c>
      <c r="L2689" s="7">
        <v>40125.6512037037</v>
      </c>
      <c r="M2689" s="14" t="s">
        <v>10849</v>
      </c>
      <c r="N2689" s="14" t="s">
        <v>10850</v>
      </c>
      <c r="O2689" s="11" t="str">
        <f>HYPERLINK("https://pbs.twimg.com/profile_images/569426731119820800/UuWhn-aS_normal.jpeg","View")</f>
        <v>View</v>
      </c>
      <c r="P2689" s="15"/>
    </row>
    <row r="2690">
      <c r="A2690" s="7">
        <v>42425.9262962963</v>
      </c>
      <c r="B2690" s="8" t="str">
        <f>HYPERLINK("https://twitter.com/CRANberriesFeed","@CRANberriesFeed")</f>
        <v>@CRANberriesFeed</v>
      </c>
      <c r="C2690" s="10" t="s">
        <v>6282</v>
      </c>
      <c r="D2690" s="10" t="s">
        <v>10851</v>
      </c>
      <c r="E2690" s="11" t="str">
        <f>HYPERLINK("https://twitter.com/CRANberriesFeed/status/703100649722916864","703100649722916864")</f>
        <v>703100649722916864</v>
      </c>
      <c r="F2690" s="12" t="s">
        <v>6284</v>
      </c>
      <c r="G2690" s="13">
        <v>657.0</v>
      </c>
      <c r="H2690" s="13">
        <v>0.0</v>
      </c>
      <c r="I2690" s="13">
        <v>0.0</v>
      </c>
      <c r="J2690" s="13">
        <v>0.0</v>
      </c>
      <c r="K2690" s="12" t="s">
        <v>21</v>
      </c>
      <c r="L2690" s="7">
        <v>40546.353425925925</v>
      </c>
      <c r="M2690" s="14" t="s">
        <v>1158</v>
      </c>
      <c r="N2690" s="16"/>
      <c r="O2690" s="11" t="str">
        <f>HYPERLINK("https://pbs.twimg.com/profile_images/1222779560/cran1_normal.jpg","View")</f>
        <v>View</v>
      </c>
      <c r="P2690" s="15"/>
    </row>
    <row r="2691">
      <c r="A2691" s="7">
        <v>42425.92700231481</v>
      </c>
      <c r="B2691" s="8" t="str">
        <f>HYPERLINK("https://twitter.com/renato_umeton","@renato_umeton")</f>
        <v>@renato_umeton</v>
      </c>
      <c r="C2691" s="10" t="s">
        <v>1659</v>
      </c>
      <c r="D2691" s="10" t="s">
        <v>10852</v>
      </c>
      <c r="E2691" s="11" t="str">
        <f>HYPERLINK("https://twitter.com/renato_umeton/status/703100904002617346","703100904002617346")</f>
        <v>703100904002617346</v>
      </c>
      <c r="F2691" s="12" t="s">
        <v>38</v>
      </c>
      <c r="G2691" s="13">
        <v>70.0</v>
      </c>
      <c r="H2691" s="13">
        <v>79.0</v>
      </c>
      <c r="I2691" s="13">
        <v>13.0</v>
      </c>
      <c r="J2691" s="13">
        <v>0.0</v>
      </c>
      <c r="K2691" s="12" t="s">
        <v>21</v>
      </c>
      <c r="L2691" s="7">
        <v>39918.052083333336</v>
      </c>
      <c r="M2691" s="14" t="s">
        <v>1660</v>
      </c>
      <c r="N2691" s="14" t="s">
        <v>1661</v>
      </c>
      <c r="O2691" s="11" t="str">
        <f>HYPERLINK("https://pbs.twimg.com/profile_images/701553083537604608/nr8b38eG_normal.jpg","View")</f>
        <v>View</v>
      </c>
      <c r="P2691" s="15"/>
    </row>
    <row r="2692">
      <c r="A2692" s="7">
        <v>42425.92721064815</v>
      </c>
      <c r="B2692" s="8" t="str">
        <f>HYPERLINK("https://twitter.com/RomeoKienzler","@RomeoKienzler")</f>
        <v>@RomeoKienzler</v>
      </c>
      <c r="C2692" s="10" t="s">
        <v>8770</v>
      </c>
      <c r="D2692" s="10" t="s">
        <v>10853</v>
      </c>
      <c r="E2692" s="11" t="str">
        <f>HYPERLINK("https://twitter.com/RomeoKienzler/status/703100980355698688","703100980355698688")</f>
        <v>703100980355698688</v>
      </c>
      <c r="F2692" s="12" t="s">
        <v>659</v>
      </c>
      <c r="G2692" s="13">
        <v>469.0</v>
      </c>
      <c r="H2692" s="13">
        <v>284.0</v>
      </c>
      <c r="I2692" s="13">
        <v>7.0</v>
      </c>
      <c r="J2692" s="13">
        <v>2.0</v>
      </c>
      <c r="K2692" s="12" t="s">
        <v>21</v>
      </c>
      <c r="L2692" s="7">
        <v>41256.39673611111</v>
      </c>
      <c r="M2692" s="14" t="s">
        <v>7185</v>
      </c>
      <c r="N2692" s="14" t="s">
        <v>8772</v>
      </c>
      <c r="O2692" s="11" t="str">
        <f>HYPERLINK("https://pbs.twimg.com/profile_images/699214464525139968/QNynQu0h_normal.jpg","View")</f>
        <v>View</v>
      </c>
      <c r="P2692" s="15"/>
    </row>
    <row r="2693">
      <c r="A2693" s="7">
        <v>42425.92859953704</v>
      </c>
      <c r="B2693" s="8" t="str">
        <f>HYPERLINK("https://twitter.com/tljmaes","@tljmaes")</f>
        <v>@tljmaes</v>
      </c>
      <c r="C2693" s="10" t="s">
        <v>10854</v>
      </c>
      <c r="D2693" s="10" t="s">
        <v>10696</v>
      </c>
      <c r="E2693" s="11" t="str">
        <f>HYPERLINK("https://twitter.com/tljmaes/status/703101485324771329","703101485324771329")</f>
        <v>703101485324771329</v>
      </c>
      <c r="F2693" s="12" t="s">
        <v>7306</v>
      </c>
      <c r="G2693" s="13">
        <v>264.0</v>
      </c>
      <c r="H2693" s="13">
        <v>107.0</v>
      </c>
      <c r="I2693" s="13">
        <v>15.0</v>
      </c>
      <c r="J2693" s="13">
        <v>0.0</v>
      </c>
      <c r="K2693" s="12" t="s">
        <v>21</v>
      </c>
      <c r="L2693" s="7">
        <v>42158.26850694444</v>
      </c>
      <c r="M2693" s="14" t="s">
        <v>10855</v>
      </c>
      <c r="N2693" s="14" t="s">
        <v>10856</v>
      </c>
      <c r="O2693" s="11" t="str">
        <f>HYPERLINK("https://pbs.twimg.com/profile_images/614870232939786240/U00SqPOc_normal.jpg","View")</f>
        <v>View</v>
      </c>
      <c r="P2693" s="15"/>
    </row>
    <row r="2694">
      <c r="A2694" s="7">
        <v>42425.92921296296</v>
      </c>
      <c r="B2694" s="8" t="str">
        <f>HYPERLINK("https://twitter.com/RalfHeineke","@RalfHeineke")</f>
        <v>@RalfHeineke</v>
      </c>
      <c r="C2694" s="10" t="s">
        <v>10857</v>
      </c>
      <c r="D2694" s="10" t="s">
        <v>10858</v>
      </c>
      <c r="E2694" s="11" t="str">
        <f>HYPERLINK("https://twitter.com/RalfHeineke/status/703101708281389056","703101708281389056")</f>
        <v>703101708281389056</v>
      </c>
      <c r="F2694" s="12" t="s">
        <v>20</v>
      </c>
      <c r="G2694" s="13">
        <v>793.0</v>
      </c>
      <c r="H2694" s="13">
        <v>808.0</v>
      </c>
      <c r="I2694" s="13">
        <v>7.0</v>
      </c>
      <c r="J2694" s="13">
        <v>0.0</v>
      </c>
      <c r="K2694" s="12" t="s">
        <v>21</v>
      </c>
      <c r="L2694" s="7">
        <v>41734.01304398148</v>
      </c>
      <c r="M2694" s="14" t="s">
        <v>10859</v>
      </c>
      <c r="N2694" s="14" t="s">
        <v>10860</v>
      </c>
      <c r="O2694" s="11" t="str">
        <f>HYPERLINK("https://pbs.twimg.com/profile_images/690601653540671488/YPg_0t4z_normal.jpg","View")</f>
        <v>View</v>
      </c>
      <c r="P2694" s="15"/>
    </row>
    <row r="2695">
      <c r="A2695" s="7">
        <v>42425.93324074074</v>
      </c>
      <c r="B2695" s="8" t="str">
        <f>HYPERLINK("https://twitter.com/DataFinest","@DataFinest")</f>
        <v>@DataFinest</v>
      </c>
      <c r="C2695" s="10" t="s">
        <v>6990</v>
      </c>
      <c r="D2695" s="10" t="s">
        <v>10735</v>
      </c>
      <c r="E2695" s="11" t="str">
        <f>HYPERLINK("https://twitter.com/DataFinest/status/703103166175277056","703103166175277056")</f>
        <v>703103166175277056</v>
      </c>
      <c r="F2695" s="12" t="s">
        <v>52</v>
      </c>
      <c r="G2695" s="13">
        <v>74.0</v>
      </c>
      <c r="H2695" s="13">
        <v>172.0</v>
      </c>
      <c r="I2695" s="13">
        <v>17.0</v>
      </c>
      <c r="J2695" s="13">
        <v>0.0</v>
      </c>
      <c r="K2695" s="12" t="s">
        <v>21</v>
      </c>
      <c r="L2695" s="7">
        <v>42347.028761574074</v>
      </c>
      <c r="M2695" s="14" t="s">
        <v>121</v>
      </c>
      <c r="N2695" s="14" t="s">
        <v>6991</v>
      </c>
      <c r="O2695" s="11" t="str">
        <f>HYPERLINK("https://pbs.twimg.com/profile_images/675225906173124609/xPlpeuKw_normal.png","View")</f>
        <v>View</v>
      </c>
      <c r="P2695" s="15"/>
    </row>
    <row r="2696">
      <c r="A2696" s="7">
        <v>42425.933969907404</v>
      </c>
      <c r="B2696" s="8" t="str">
        <f>HYPERLINK("https://twitter.com/painblogR","@painblogR")</f>
        <v>@painblogR</v>
      </c>
      <c r="C2696" s="10" t="s">
        <v>10861</v>
      </c>
      <c r="D2696" s="10" t="s">
        <v>10862</v>
      </c>
      <c r="E2696" s="11" t="str">
        <f>HYPERLINK("https://twitter.com/painblogR/status/703103430009618432","703103430009618432")</f>
        <v>703103430009618432</v>
      </c>
      <c r="F2696" s="12" t="s">
        <v>20</v>
      </c>
      <c r="G2696" s="13">
        <v>63.0</v>
      </c>
      <c r="H2696" s="13">
        <v>127.0</v>
      </c>
      <c r="I2696" s="13">
        <v>0.0</v>
      </c>
      <c r="J2696" s="13">
        <v>2.0</v>
      </c>
      <c r="K2696" s="12" t="s">
        <v>21</v>
      </c>
      <c r="L2696" s="7">
        <v>40594.10732638889</v>
      </c>
      <c r="M2696" s="14" t="s">
        <v>10863</v>
      </c>
      <c r="N2696" s="14" t="s">
        <v>10864</v>
      </c>
      <c r="O2696" s="11" t="str">
        <f>HYPERLINK("https://pbs.twimg.com/profile_images/694945496281018368/9DH5TPA-_normal.jpg","View")</f>
        <v>View</v>
      </c>
      <c r="P2696" s="15"/>
    </row>
    <row r="2697">
      <c r="A2697" s="7">
        <v>42425.936574074076</v>
      </c>
      <c r="B2697" s="8" t="str">
        <f>HYPERLINK("https://twitter.com/DataFinest","@DataFinest")</f>
        <v>@DataFinest</v>
      </c>
      <c r="C2697" s="10" t="s">
        <v>6990</v>
      </c>
      <c r="D2697" s="10" t="s">
        <v>10852</v>
      </c>
      <c r="E2697" s="11" t="str">
        <f>HYPERLINK("https://twitter.com/DataFinest/status/703104373182758913","703104373182758913")</f>
        <v>703104373182758913</v>
      </c>
      <c r="F2697" s="12" t="s">
        <v>52</v>
      </c>
      <c r="G2697" s="13">
        <v>74.0</v>
      </c>
      <c r="H2697" s="13">
        <v>172.0</v>
      </c>
      <c r="I2697" s="13">
        <v>13.0</v>
      </c>
      <c r="J2697" s="13">
        <v>0.0</v>
      </c>
      <c r="K2697" s="12" t="s">
        <v>21</v>
      </c>
      <c r="L2697" s="7">
        <v>42347.028761574074</v>
      </c>
      <c r="M2697" s="14" t="s">
        <v>121</v>
      </c>
      <c r="N2697" s="14" t="s">
        <v>6991</v>
      </c>
      <c r="O2697" s="11" t="str">
        <f>HYPERLINK("https://pbs.twimg.com/profile_images/675225906173124609/xPlpeuKw_normal.png","View")</f>
        <v>View</v>
      </c>
      <c r="P2697" s="15"/>
    </row>
    <row r="2698">
      <c r="A2698" s="7">
        <v>42425.937048611115</v>
      </c>
      <c r="B2698" s="8" t="str">
        <f>HYPERLINK("https://twitter.com/TheWAnswer","@TheWAnswer")</f>
        <v>@TheWAnswer</v>
      </c>
      <c r="C2698" s="10" t="s">
        <v>3177</v>
      </c>
      <c r="D2698" s="10" t="s">
        <v>10852</v>
      </c>
      <c r="E2698" s="11" t="str">
        <f>HYPERLINK("https://twitter.com/TheWAnswer/status/703104546663374848","703104546663374848")</f>
        <v>703104546663374848</v>
      </c>
      <c r="F2698" s="12" t="s">
        <v>152</v>
      </c>
      <c r="G2698" s="13">
        <v>351.0</v>
      </c>
      <c r="H2698" s="13">
        <v>2467.0</v>
      </c>
      <c r="I2698" s="13">
        <v>13.0</v>
      </c>
      <c r="J2698" s="13">
        <v>0.0</v>
      </c>
      <c r="K2698" s="12" t="s">
        <v>21</v>
      </c>
      <c r="L2698" s="7">
        <v>39982.82424768519</v>
      </c>
      <c r="M2698" s="16"/>
      <c r="N2698" s="16"/>
      <c r="O2698" s="11" t="str">
        <f>HYPERLINK("https://abs.twimg.com/sticky/default_profile_images/default_profile_5_normal.png","View")</f>
        <v>View</v>
      </c>
      <c r="P2698" s="15"/>
    </row>
    <row r="2699">
      <c r="A2699" s="7">
        <v>42425.93752314815</v>
      </c>
      <c r="B2699" s="8" t="str">
        <f>HYPERLINK("https://twitter.com/DailyRpackage","@DailyRpackage")</f>
        <v>@DailyRpackage</v>
      </c>
      <c r="C2699" s="10" t="s">
        <v>6240</v>
      </c>
      <c r="D2699" s="10" t="s">
        <v>10865</v>
      </c>
      <c r="E2699" s="11" t="str">
        <f>HYPERLINK("https://twitter.com/DailyRpackage/status/703104716406808576","703104716406808576")</f>
        <v>703104716406808576</v>
      </c>
      <c r="F2699" s="12" t="s">
        <v>6240</v>
      </c>
      <c r="G2699" s="13">
        <v>495.0</v>
      </c>
      <c r="H2699" s="13">
        <v>3.0</v>
      </c>
      <c r="I2699" s="13">
        <v>0.0</v>
      </c>
      <c r="J2699" s="13">
        <v>0.0</v>
      </c>
      <c r="K2699" s="12" t="s">
        <v>21</v>
      </c>
      <c r="L2699" s="7">
        <v>41360.287141203706</v>
      </c>
      <c r="M2699" s="16"/>
      <c r="N2699" s="14" t="s">
        <v>6242</v>
      </c>
      <c r="O2699" s="11" t="str">
        <f>HYPERLINK("https://pbs.twimg.com/profile_images/3438004205/66da7270714af4309d185b958c4bb8be_normal.jpeg","View")</f>
        <v>View</v>
      </c>
      <c r="P2699" s="15"/>
    </row>
    <row r="2700">
      <c r="A2700" s="7">
        <v>42425.93865740741</v>
      </c>
      <c r="B2700" s="8" t="str">
        <f>HYPERLINK("https://twitter.com/DrNatalieKelly","@DrNatalieKelly")</f>
        <v>@DrNatalieKelly</v>
      </c>
      <c r="C2700" s="10" t="s">
        <v>10866</v>
      </c>
      <c r="D2700" s="10" t="s">
        <v>10867</v>
      </c>
      <c r="E2700" s="11" t="str">
        <f>HYPERLINK("https://twitter.com/DrNatalieKelly/status/703105127863832578","703105127863832578")</f>
        <v>703105127863832578</v>
      </c>
      <c r="F2700" s="12" t="s">
        <v>52</v>
      </c>
      <c r="G2700" s="13">
        <v>340.0</v>
      </c>
      <c r="H2700" s="13">
        <v>830.0</v>
      </c>
      <c r="I2700" s="13">
        <v>6.0</v>
      </c>
      <c r="J2700" s="13">
        <v>24.0</v>
      </c>
      <c r="K2700" s="12" t="s">
        <v>21</v>
      </c>
      <c r="L2700" s="7">
        <v>41012.00033564815</v>
      </c>
      <c r="M2700" s="14" t="s">
        <v>7768</v>
      </c>
      <c r="N2700" s="14" t="s">
        <v>10868</v>
      </c>
      <c r="O2700" s="11" t="str">
        <f>HYPERLINK("https://pbs.twimg.com/profile_images/466436117298810880/7ETrkCLU_normal.jpeg","View")</f>
        <v>View</v>
      </c>
      <c r="P2700" s="15"/>
    </row>
    <row r="2701">
      <c r="A2701" s="7">
        <v>42425.93912037037</v>
      </c>
      <c r="B2701" s="8" t="str">
        <f>HYPERLINK("https://twitter.com/secmanco","@secmanco")</f>
        <v>@secmanco</v>
      </c>
      <c r="C2701" s="10" t="s">
        <v>10869</v>
      </c>
      <c r="D2701" s="10" t="s">
        <v>10870</v>
      </c>
      <c r="E2701" s="11" t="str">
        <f>HYPERLINK("https://twitter.com/secmanco/status/703105297875804160","703105297875804160")</f>
        <v>703105297875804160</v>
      </c>
      <c r="F2701" s="12" t="s">
        <v>52</v>
      </c>
      <c r="G2701" s="13">
        <v>12.0</v>
      </c>
      <c r="H2701" s="13">
        <v>103.0</v>
      </c>
      <c r="I2701" s="13">
        <v>1.0</v>
      </c>
      <c r="J2701" s="13">
        <v>0.0</v>
      </c>
      <c r="K2701" s="12" t="s">
        <v>21</v>
      </c>
      <c r="L2701" s="7">
        <v>40602.20012731481</v>
      </c>
      <c r="M2701" s="16"/>
      <c r="N2701" s="16"/>
      <c r="O2701" s="11" t="str">
        <f>HYPERLINK("https://pbs.twimg.com/profile_images/1727033002/image_normal.jpg","View")</f>
        <v>View</v>
      </c>
      <c r="P2701" s="15"/>
    </row>
    <row r="2702">
      <c r="A2702" s="7">
        <v>42425.93958333333</v>
      </c>
      <c r="B2702" s="8" t="str">
        <f>HYPERLINK("https://twitter.com/octonion","@octonion")</f>
        <v>@octonion</v>
      </c>
      <c r="C2702" s="10" t="s">
        <v>10871</v>
      </c>
      <c r="D2702" s="10" t="s">
        <v>10872</v>
      </c>
      <c r="E2702" s="11" t="str">
        <f>HYPERLINK("https://twitter.com/octonion/status/703105462875500544","703105462875500544")</f>
        <v>703105462875500544</v>
      </c>
      <c r="F2702" s="12" t="s">
        <v>20</v>
      </c>
      <c r="G2702" s="13">
        <v>14714.0</v>
      </c>
      <c r="H2702" s="13">
        <v>2437.0</v>
      </c>
      <c r="I2702" s="13">
        <v>6.0</v>
      </c>
      <c r="J2702" s="13">
        <v>0.0</v>
      </c>
      <c r="K2702" s="12" t="s">
        <v>21</v>
      </c>
      <c r="L2702" s="7">
        <v>40083.51740740741</v>
      </c>
      <c r="M2702" s="14" t="s">
        <v>10873</v>
      </c>
      <c r="N2702" s="14" t="s">
        <v>10874</v>
      </c>
      <c r="O2702" s="11" t="str">
        <f>HYPERLINK("https://pbs.twimg.com/profile_images/378800000143175628/b8fe578a774c3c4ac0a8fc2e7545c043_normal.jpeg","View")</f>
        <v>View</v>
      </c>
      <c r="P2702" s="15"/>
    </row>
    <row r="2703">
      <c r="A2703" s="7">
        <v>42425.939988425926</v>
      </c>
      <c r="B2703" s="8" t="str">
        <f>HYPERLINK("https://twitter.com/wtibrentdubai","@wtibrentdubai")</f>
        <v>@wtibrentdubai</v>
      </c>
      <c r="C2703" s="10" t="s">
        <v>6247</v>
      </c>
      <c r="D2703" s="10" t="s">
        <v>10852</v>
      </c>
      <c r="E2703" s="11" t="str">
        <f>HYPERLINK("https://twitter.com/wtibrentdubai/status/703105610972139521","703105610972139521")</f>
        <v>703105610972139521</v>
      </c>
      <c r="F2703" s="12" t="s">
        <v>152</v>
      </c>
      <c r="G2703" s="13">
        <v>85.0</v>
      </c>
      <c r="H2703" s="13">
        <v>201.0</v>
      </c>
      <c r="I2703" s="13">
        <v>13.0</v>
      </c>
      <c r="J2703" s="13">
        <v>0.0</v>
      </c>
      <c r="K2703" s="12" t="s">
        <v>21</v>
      </c>
      <c r="L2703" s="7">
        <v>42292.593680555554</v>
      </c>
      <c r="M2703" s="14" t="s">
        <v>6249</v>
      </c>
      <c r="N2703" s="14" t="s">
        <v>6250</v>
      </c>
      <c r="O2703" s="11" t="str">
        <f>HYPERLINK("https://pbs.twimg.com/profile_images/670700991906381824/-0POuKFV_normal.jpg","View")</f>
        <v>View</v>
      </c>
      <c r="P2703" s="15"/>
    </row>
    <row r="2704">
      <c r="A2704" s="7">
        <v>42425.94210648148</v>
      </c>
      <c r="B2704" s="8" t="str">
        <f>HYPERLINK("https://twitter.com/analyticbridge","@analyticbridge")</f>
        <v>@analyticbridge</v>
      </c>
      <c r="C2704" s="10" t="s">
        <v>2479</v>
      </c>
      <c r="D2704" s="10" t="s">
        <v>10875</v>
      </c>
      <c r="E2704" s="11" t="str">
        <f>HYPERLINK("https://twitter.com/analyticbridge/status/703106377321828352","703106377321828352")</f>
        <v>703106377321828352</v>
      </c>
      <c r="F2704" s="12" t="s">
        <v>20</v>
      </c>
      <c r="G2704" s="13">
        <v>133762.0</v>
      </c>
      <c r="H2704" s="13">
        <v>4293.0</v>
      </c>
      <c r="I2704" s="13">
        <v>24.0</v>
      </c>
      <c r="J2704" s="13">
        <v>19.0</v>
      </c>
      <c r="K2704" s="12" t="s">
        <v>21</v>
      </c>
      <c r="L2704" s="7">
        <v>39525.935057870374</v>
      </c>
      <c r="M2704" s="14" t="s">
        <v>1259</v>
      </c>
      <c r="N2704" s="14" t="s">
        <v>2481</v>
      </c>
      <c r="O2704" s="11" t="str">
        <f>HYPERLINK("https://pbs.twimg.com/profile_images/1198161733/analitycbridge_normal.png","View")</f>
        <v>View</v>
      </c>
      <c r="P2704" s="15"/>
    </row>
    <row r="2705">
      <c r="A2705" s="7">
        <v>42425.94256944444</v>
      </c>
      <c r="B2705" s="8" t="str">
        <f>HYPERLINK("https://twitter.com/dahlroman","@dahlroman")</f>
        <v>@dahlroman</v>
      </c>
      <c r="C2705" s="10" t="s">
        <v>5388</v>
      </c>
      <c r="D2705" s="10" t="s">
        <v>10876</v>
      </c>
      <c r="E2705" s="11" t="str">
        <f>HYPERLINK("https://twitter.com/dahlroman/status/703106547048558592","703106547048558592")</f>
        <v>703106547048558592</v>
      </c>
      <c r="F2705" s="12" t="s">
        <v>20</v>
      </c>
      <c r="G2705" s="13">
        <v>1076.0</v>
      </c>
      <c r="H2705" s="13">
        <v>1952.0</v>
      </c>
      <c r="I2705" s="13">
        <v>24.0</v>
      </c>
      <c r="J2705" s="13">
        <v>0.0</v>
      </c>
      <c r="K2705" s="12" t="s">
        <v>21</v>
      </c>
      <c r="L2705" s="7">
        <v>39998.551886574074</v>
      </c>
      <c r="M2705" s="16"/>
      <c r="N2705" s="14" t="s">
        <v>5390</v>
      </c>
      <c r="O2705" s="11" t="str">
        <f>HYPERLINK("https://pbs.twimg.com/profile_images/681819908464836609/n3vCKgJU_normal.jpg","View")</f>
        <v>View</v>
      </c>
      <c r="P2705" s="15"/>
    </row>
    <row r="2706">
      <c r="A2706" s="7">
        <v>42425.94267361111</v>
      </c>
      <c r="B2706" s="8" t="str">
        <f>HYPERLINK("https://twitter.com/DataScienceCtrl","@DataScienceCtrl")</f>
        <v>@DataScienceCtrl</v>
      </c>
      <c r="C2706" s="10" t="s">
        <v>10877</v>
      </c>
      <c r="D2706" s="10" t="s">
        <v>10876</v>
      </c>
      <c r="E2706" s="11" t="str">
        <f>HYPERLINK("https://twitter.com/DataScienceCtrl/status/703106584004550656","703106584004550656")</f>
        <v>703106584004550656</v>
      </c>
      <c r="F2706" s="12" t="s">
        <v>20</v>
      </c>
      <c r="G2706" s="13">
        <v>57956.0</v>
      </c>
      <c r="H2706" s="13">
        <v>1121.0</v>
      </c>
      <c r="I2706" s="13">
        <v>24.0</v>
      </c>
      <c r="J2706" s="13">
        <v>0.0</v>
      </c>
      <c r="K2706" s="12" t="s">
        <v>21</v>
      </c>
      <c r="L2706" s="7">
        <v>40833.656851851854</v>
      </c>
      <c r="M2706" s="14" t="s">
        <v>22</v>
      </c>
      <c r="N2706" s="14" t="s">
        <v>10878</v>
      </c>
      <c r="O2706" s="11" t="str">
        <f>HYPERLINK("https://pbs.twimg.com/profile_images/1678023092/DSC_Logo_normal.jpg","View")</f>
        <v>View</v>
      </c>
      <c r="P2706" s="15"/>
    </row>
    <row r="2707">
      <c r="A2707" s="7">
        <v>42425.94305555556</v>
      </c>
      <c r="B2707" s="8" t="str">
        <f>HYPERLINK("https://twitter.com/adamjsims","@adamjsims")</f>
        <v>@adamjsims</v>
      </c>
      <c r="C2707" s="10" t="s">
        <v>10879</v>
      </c>
      <c r="D2707" s="10" t="s">
        <v>10876</v>
      </c>
      <c r="E2707" s="11" t="str">
        <f>HYPERLINK("https://twitter.com/adamjsims/status/703106724970962945","703106724970962945")</f>
        <v>703106724970962945</v>
      </c>
      <c r="F2707" s="12" t="s">
        <v>20</v>
      </c>
      <c r="G2707" s="13">
        <v>153.0</v>
      </c>
      <c r="H2707" s="13">
        <v>245.0</v>
      </c>
      <c r="I2707" s="13">
        <v>24.0</v>
      </c>
      <c r="J2707" s="13">
        <v>0.0</v>
      </c>
      <c r="K2707" s="12" t="s">
        <v>21</v>
      </c>
      <c r="L2707" s="7">
        <v>40323.32740740741</v>
      </c>
      <c r="M2707" s="14" t="s">
        <v>451</v>
      </c>
      <c r="N2707" s="14" t="s">
        <v>10880</v>
      </c>
      <c r="O2707" s="11" t="str">
        <f>HYPERLINK("https://pbs.twimg.com/profile_images/929702554/315e5ca_1__normal.jpg","View")</f>
        <v>View</v>
      </c>
      <c r="P2707" s="15"/>
    </row>
    <row r="2708">
      <c r="A2708" s="7">
        <v>42425.94341435185</v>
      </c>
      <c r="B2708" s="8" t="str">
        <f>HYPERLINK("https://twitter.com/RabiRabisharma","@RabiRabisharma")</f>
        <v>@RabiRabisharma</v>
      </c>
      <c r="C2708" s="10" t="s">
        <v>10881</v>
      </c>
      <c r="D2708" s="10" t="s">
        <v>10876</v>
      </c>
      <c r="E2708" s="11" t="str">
        <f>HYPERLINK("https://twitter.com/RabiRabisharma/status/703106852486131713","703106852486131713")</f>
        <v>703106852486131713</v>
      </c>
      <c r="F2708" s="12" t="s">
        <v>52</v>
      </c>
      <c r="G2708" s="13">
        <v>1640.0</v>
      </c>
      <c r="H2708" s="13">
        <v>3149.0</v>
      </c>
      <c r="I2708" s="13">
        <v>24.0</v>
      </c>
      <c r="J2708" s="13">
        <v>0.0</v>
      </c>
      <c r="K2708" s="12" t="s">
        <v>21</v>
      </c>
      <c r="L2708" s="7">
        <v>41252.24351851852</v>
      </c>
      <c r="M2708" s="14" t="s">
        <v>10882</v>
      </c>
      <c r="N2708" s="14" t="s">
        <v>10883</v>
      </c>
      <c r="O2708" s="11" t="str">
        <f>HYPERLINK("https://pbs.twimg.com/profile_images/687600470680944640/HBKu9c3e_normal.jpg","View")</f>
        <v>View</v>
      </c>
      <c r="P2708" s="15"/>
    </row>
    <row r="2709">
      <c r="A2709" s="7">
        <v>42425.94362268518</v>
      </c>
      <c r="B2709" s="8" t="str">
        <f>HYPERLINK("https://twitter.com/JPK4711","@JPK4711")</f>
        <v>@JPK4711</v>
      </c>
      <c r="C2709" s="10" t="s">
        <v>10884</v>
      </c>
      <c r="D2709" s="10" t="s">
        <v>10876</v>
      </c>
      <c r="E2709" s="11" t="str">
        <f>HYPERLINK("https://twitter.com/JPK4711/status/703106926557532160","703106926557532160")</f>
        <v>703106926557532160</v>
      </c>
      <c r="F2709" s="12" t="s">
        <v>52</v>
      </c>
      <c r="G2709" s="13">
        <v>81.0</v>
      </c>
      <c r="H2709" s="13">
        <v>456.0</v>
      </c>
      <c r="I2709" s="13">
        <v>24.0</v>
      </c>
      <c r="J2709" s="13">
        <v>0.0</v>
      </c>
      <c r="K2709" s="12" t="s">
        <v>21</v>
      </c>
      <c r="L2709" s="7">
        <v>41232.995717592596</v>
      </c>
      <c r="M2709" s="16"/>
      <c r="N2709" s="16"/>
      <c r="O2709" s="11" t="str">
        <f>HYPERLINK("https://pbs.twimg.com/profile_images/610543405014339584/_D4TMghT_normal.jpg","View")</f>
        <v>View</v>
      </c>
      <c r="P2709" s="15"/>
    </row>
    <row r="2710">
      <c r="A2710" s="7">
        <v>42425.944247685184</v>
      </c>
      <c r="B2710" s="8" t="str">
        <f>HYPERLINK("https://twitter.com/Pvalsfr","@Pvalsfr")</f>
        <v>@Pvalsfr</v>
      </c>
      <c r="C2710" s="10" t="s">
        <v>771</v>
      </c>
      <c r="D2710" s="10" t="s">
        <v>10876</v>
      </c>
      <c r="E2710" s="11" t="str">
        <f>HYPERLINK("https://twitter.com/Pvalsfr/status/703107153989480451","703107153989480451")</f>
        <v>703107153989480451</v>
      </c>
      <c r="F2710" s="12" t="s">
        <v>152</v>
      </c>
      <c r="G2710" s="13">
        <v>1043.0</v>
      </c>
      <c r="H2710" s="13">
        <v>1081.0</v>
      </c>
      <c r="I2710" s="13">
        <v>24.0</v>
      </c>
      <c r="J2710" s="13">
        <v>0.0</v>
      </c>
      <c r="K2710" s="12" t="s">
        <v>21</v>
      </c>
      <c r="L2710" s="7">
        <v>40867.68900462963</v>
      </c>
      <c r="M2710" s="16"/>
      <c r="N2710" s="16"/>
      <c r="O2710" s="11" t="str">
        <f>HYPERLINK("https://abs.twimg.com/sticky/default_profile_images/default_profile_4_normal.png","View")</f>
        <v>View</v>
      </c>
      <c r="P2710" s="15"/>
    </row>
    <row r="2711">
      <c r="A2711" s="7">
        <v>42425.94425925926</v>
      </c>
      <c r="B2711" s="8" t="str">
        <f>HYPERLINK("https://twitter.com/Interneconomics","@Interneconomics")</f>
        <v>@Interneconomics</v>
      </c>
      <c r="C2711" s="10" t="s">
        <v>10885</v>
      </c>
      <c r="D2711" s="10" t="s">
        <v>10876</v>
      </c>
      <c r="E2711" s="11" t="str">
        <f>HYPERLINK("https://twitter.com/Interneconomics/status/703107157210705920","703107157210705920")</f>
        <v>703107157210705920</v>
      </c>
      <c r="F2711" s="12" t="s">
        <v>20</v>
      </c>
      <c r="G2711" s="13">
        <v>594.0</v>
      </c>
      <c r="H2711" s="13">
        <v>2173.0</v>
      </c>
      <c r="I2711" s="13">
        <v>24.0</v>
      </c>
      <c r="J2711" s="13">
        <v>0.0</v>
      </c>
      <c r="K2711" s="12" t="s">
        <v>21</v>
      </c>
      <c r="L2711" s="7">
        <v>40832.56689814815</v>
      </c>
      <c r="M2711" s="14" t="s">
        <v>10886</v>
      </c>
      <c r="N2711" s="14" t="s">
        <v>10887</v>
      </c>
      <c r="O2711" s="11" t="str">
        <f>HYPERLINK("https://pbs.twimg.com/profile_images/516841246971920384/LS0QZSLf_normal.jpeg","View")</f>
        <v>View</v>
      </c>
      <c r="P2711" s="15"/>
    </row>
    <row r="2712">
      <c r="A2712" s="7">
        <v>42425.94428240741</v>
      </c>
      <c r="B2712" s="8" t="str">
        <f>HYPERLINK("https://twitter.com/Kartik_IoT","@Kartik_IoT")</f>
        <v>@Kartik_IoT</v>
      </c>
      <c r="C2712" s="10" t="s">
        <v>10888</v>
      </c>
      <c r="D2712" s="10" t="s">
        <v>10876</v>
      </c>
      <c r="E2712" s="11" t="str">
        <f>HYPERLINK("https://twitter.com/Kartik_IoT/status/703107167692333056","703107167692333056")</f>
        <v>703107167692333056</v>
      </c>
      <c r="F2712" s="12" t="s">
        <v>52</v>
      </c>
      <c r="G2712" s="13">
        <v>3480.0</v>
      </c>
      <c r="H2712" s="13">
        <v>3054.0</v>
      </c>
      <c r="I2712" s="13">
        <v>24.0</v>
      </c>
      <c r="J2712" s="13">
        <v>0.0</v>
      </c>
      <c r="K2712" s="12" t="s">
        <v>21</v>
      </c>
      <c r="L2712" s="7">
        <v>39535.43512731481</v>
      </c>
      <c r="M2712" s="14" t="s">
        <v>10889</v>
      </c>
      <c r="N2712" s="14" t="s">
        <v>10890</v>
      </c>
      <c r="O2712" s="11" t="str">
        <f>HYPERLINK("https://pbs.twimg.com/profile_images/1246984576/Kartik_Cap_normal.jpg","View")</f>
        <v>View</v>
      </c>
      <c r="P2712" s="15"/>
    </row>
    <row r="2713">
      <c r="A2713" s="7">
        <v>42425.94443287037</v>
      </c>
      <c r="B2713" s="8" t="str">
        <f>HYPERLINK("https://twitter.com/aksingh1985","@aksingh1985")</f>
        <v>@aksingh1985</v>
      </c>
      <c r="C2713" s="10" t="s">
        <v>9877</v>
      </c>
      <c r="D2713" s="10" t="s">
        <v>10891</v>
      </c>
      <c r="E2713" s="11" t="str">
        <f>HYPERLINK("https://twitter.com/aksingh1985/status/703107223434596355","703107223434596355")</f>
        <v>703107223434596355</v>
      </c>
      <c r="F2713" s="12" t="s">
        <v>20</v>
      </c>
      <c r="G2713" s="13">
        <v>23.0</v>
      </c>
      <c r="H2713" s="13">
        <v>64.0</v>
      </c>
      <c r="I2713" s="13">
        <v>0.0</v>
      </c>
      <c r="J2713" s="13">
        <v>0.0</v>
      </c>
      <c r="K2713" s="12" t="s">
        <v>21</v>
      </c>
      <c r="L2713" s="7">
        <v>41128.849375</v>
      </c>
      <c r="M2713" s="14" t="s">
        <v>9879</v>
      </c>
      <c r="N2713" s="14" t="s">
        <v>9880</v>
      </c>
      <c r="O2713" s="11" t="str">
        <f>HYPERLINK("https://pbs.twimg.com/profile_images/603841641254760448/h8G2brJw_normal.jpg","View")</f>
        <v>View</v>
      </c>
      <c r="P2713" s="15"/>
    </row>
    <row r="2714">
      <c r="A2714" s="7">
        <v>42425.94489583334</v>
      </c>
      <c r="B2714" s="8" t="str">
        <f>HYPERLINK("https://twitter.com/offthemesh","@offthemesh")</f>
        <v>@offthemesh</v>
      </c>
      <c r="C2714" s="10" t="s">
        <v>3424</v>
      </c>
      <c r="D2714" s="10" t="s">
        <v>10876</v>
      </c>
      <c r="E2714" s="11" t="str">
        <f>HYPERLINK("https://twitter.com/offthemesh/status/703107391450013696","703107391450013696")</f>
        <v>703107391450013696</v>
      </c>
      <c r="F2714" s="12" t="s">
        <v>124</v>
      </c>
      <c r="G2714" s="13">
        <v>127.0</v>
      </c>
      <c r="H2714" s="13">
        <v>183.0</v>
      </c>
      <c r="I2714" s="13">
        <v>24.0</v>
      </c>
      <c r="J2714" s="13">
        <v>0.0</v>
      </c>
      <c r="K2714" s="12" t="s">
        <v>21</v>
      </c>
      <c r="L2714" s="7">
        <v>40597.95125</v>
      </c>
      <c r="M2714" s="14" t="s">
        <v>3425</v>
      </c>
      <c r="N2714" s="14" t="s">
        <v>3426</v>
      </c>
      <c r="O2714" s="11" t="str">
        <f>HYPERLINK("https://pbs.twimg.com/profile_images/2461671612/image_normal.jpg","View")</f>
        <v>View</v>
      </c>
      <c r="P2714" s="15"/>
    </row>
    <row r="2715">
      <c r="A2715" s="7">
        <v>42425.945127314815</v>
      </c>
      <c r="B2715" s="8" t="str">
        <f>HYPERLINK("https://twitter.com/RangaEunny","@RangaEunny")</f>
        <v>@RangaEunny</v>
      </c>
      <c r="C2715" s="10" t="s">
        <v>10892</v>
      </c>
      <c r="D2715" s="10" t="s">
        <v>10876</v>
      </c>
      <c r="E2715" s="11" t="str">
        <f>HYPERLINK("https://twitter.com/RangaEunny/status/703107472957972480","703107472957972480")</f>
        <v>703107472957972480</v>
      </c>
      <c r="F2715" s="12" t="s">
        <v>20</v>
      </c>
      <c r="G2715" s="13">
        <v>642.0</v>
      </c>
      <c r="H2715" s="13">
        <v>842.0</v>
      </c>
      <c r="I2715" s="13">
        <v>24.0</v>
      </c>
      <c r="J2715" s="13">
        <v>0.0</v>
      </c>
      <c r="K2715" s="12" t="s">
        <v>21</v>
      </c>
      <c r="L2715" s="7">
        <v>39753.226122685184</v>
      </c>
      <c r="M2715" s="14" t="s">
        <v>3836</v>
      </c>
      <c r="N2715" s="14" t="s">
        <v>10893</v>
      </c>
      <c r="O2715" s="11" t="str">
        <f>HYPERLINK("https://pbs.twimg.com/profile_images/666098257236332544/ckq_2g-6_normal.jpg","View")</f>
        <v>View</v>
      </c>
      <c r="P2715" s="15"/>
    </row>
    <row r="2716">
      <c r="A2716" s="7">
        <v>42425.946134259255</v>
      </c>
      <c r="B2716" s="8" t="str">
        <f>HYPERLINK("https://twitter.com/Black_Dragon123","@Black_Dragon123")</f>
        <v>@Black_Dragon123</v>
      </c>
      <c r="C2716" s="10" t="s">
        <v>10894</v>
      </c>
      <c r="D2716" s="10" t="s">
        <v>10876</v>
      </c>
      <c r="E2716" s="11" t="str">
        <f>HYPERLINK("https://twitter.com/Black_Dragon123/status/703107837338095616","703107837338095616")</f>
        <v>703107837338095616</v>
      </c>
      <c r="F2716" s="12" t="s">
        <v>52</v>
      </c>
      <c r="G2716" s="13">
        <v>885.0</v>
      </c>
      <c r="H2716" s="13">
        <v>382.0</v>
      </c>
      <c r="I2716" s="13">
        <v>24.0</v>
      </c>
      <c r="J2716" s="13">
        <v>0.0</v>
      </c>
      <c r="K2716" s="12" t="s">
        <v>21</v>
      </c>
      <c r="L2716" s="7">
        <v>40060.378657407404</v>
      </c>
      <c r="M2716" s="14" t="s">
        <v>10895</v>
      </c>
      <c r="N2716" s="14" t="s">
        <v>10896</v>
      </c>
      <c r="O2716" s="11" t="str">
        <f>HYPERLINK("https://pbs.twimg.com/profile_images/509674126848434176/Tp67l9eJ_normal.jpeg","View")</f>
        <v>View</v>
      </c>
      <c r="P2716" s="15"/>
    </row>
    <row r="2717">
      <c r="A2717" s="7">
        <v>42425.947129629625</v>
      </c>
      <c r="B2717" s="8" t="str">
        <f>HYPERLINK("https://twitter.com/mazeson","@mazeson")</f>
        <v>@mazeson</v>
      </c>
      <c r="C2717" s="10" t="s">
        <v>10897</v>
      </c>
      <c r="D2717" s="10" t="s">
        <v>10872</v>
      </c>
      <c r="E2717" s="11" t="str">
        <f>HYPERLINK("https://twitter.com/mazeson/status/703108200745152512","703108200745152512")</f>
        <v>703108200745152512</v>
      </c>
      <c r="F2717" s="12" t="s">
        <v>52</v>
      </c>
      <c r="G2717" s="13">
        <v>808.0</v>
      </c>
      <c r="H2717" s="13">
        <v>711.0</v>
      </c>
      <c r="I2717" s="13">
        <v>6.0</v>
      </c>
      <c r="J2717" s="13">
        <v>0.0</v>
      </c>
      <c r="K2717" s="12" t="s">
        <v>21</v>
      </c>
      <c r="L2717" s="7">
        <v>39091.290231481486</v>
      </c>
      <c r="M2717" s="14" t="s">
        <v>10898</v>
      </c>
      <c r="N2717" s="14" t="s">
        <v>10899</v>
      </c>
      <c r="O2717" s="11" t="str">
        <f>HYPERLINK("https://pbs.twimg.com/profile_images/484253295213420546/k6_3GlbY_normal.jpeg","View")</f>
        <v>View</v>
      </c>
      <c r="P2717" s="15"/>
    </row>
    <row r="2718">
      <c r="A2718" s="7">
        <v>42425.95039351852</v>
      </c>
      <c r="B2718" s="8" t="str">
        <f>HYPERLINK("https://twitter.com/javascriptd","@javascriptd")</f>
        <v>@javascriptd</v>
      </c>
      <c r="C2718" s="10" t="s">
        <v>2655</v>
      </c>
      <c r="D2718" s="10" t="s">
        <v>10858</v>
      </c>
      <c r="E2718" s="11" t="str">
        <f>HYPERLINK("https://twitter.com/javascriptd/status/703109382960128001","703109382960128001")</f>
        <v>703109382960128001</v>
      </c>
      <c r="F2718" s="12" t="s">
        <v>2657</v>
      </c>
      <c r="G2718" s="13">
        <v>9924.0</v>
      </c>
      <c r="H2718" s="13">
        <v>5.0</v>
      </c>
      <c r="I2718" s="13">
        <v>7.0</v>
      </c>
      <c r="J2718" s="13">
        <v>0.0</v>
      </c>
      <c r="K2718" s="12" t="s">
        <v>21</v>
      </c>
      <c r="L2718" s="7">
        <v>41854.45717592593</v>
      </c>
      <c r="M2718" s="14" t="s">
        <v>2658</v>
      </c>
      <c r="N2718" s="14" t="s">
        <v>2659</v>
      </c>
      <c r="O2718" s="11" t="str">
        <f>HYPERLINK("https://pbs.twimg.com/profile_images/544034757730779136/-jOL7GnN_normal.jpeg","View")</f>
        <v>View</v>
      </c>
      <c r="P2718" s="15"/>
    </row>
    <row r="2719">
      <c r="A2719" s="7">
        <v>42425.95197916667</v>
      </c>
      <c r="B2719" s="8" t="str">
        <f t="shared" ref="B2719:B2720" si="297">HYPERLINK("https://twitter.com/Pvalsfr","@Pvalsfr")</f>
        <v>@Pvalsfr</v>
      </c>
      <c r="C2719" s="10" t="s">
        <v>771</v>
      </c>
      <c r="D2719" s="10" t="s">
        <v>10852</v>
      </c>
      <c r="E2719" s="11" t="str">
        <f>HYPERLINK("https://twitter.com/Pvalsfr/status/703109955327373312","703109955327373312")</f>
        <v>703109955327373312</v>
      </c>
      <c r="F2719" s="12" t="s">
        <v>152</v>
      </c>
      <c r="G2719" s="13">
        <v>1043.0</v>
      </c>
      <c r="H2719" s="13">
        <v>1081.0</v>
      </c>
      <c r="I2719" s="13">
        <v>13.0</v>
      </c>
      <c r="J2719" s="13">
        <v>0.0</v>
      </c>
      <c r="K2719" s="12" t="s">
        <v>21</v>
      </c>
      <c r="L2719" s="7">
        <v>40867.68900462963</v>
      </c>
      <c r="M2719" s="16"/>
      <c r="N2719" s="16"/>
      <c r="O2719" s="11" t="str">
        <f t="shared" ref="O2719:O2720" si="298">HYPERLINK("https://abs.twimg.com/sticky/default_profile_images/default_profile_4_normal.png","View")</f>
        <v>View</v>
      </c>
      <c r="P2719" s="15"/>
    </row>
    <row r="2720">
      <c r="A2720" s="7">
        <v>42425.95318287037</v>
      </c>
      <c r="B2720" s="8" t="str">
        <f t="shared" si="297"/>
        <v>@Pvalsfr</v>
      </c>
      <c r="C2720" s="10" t="s">
        <v>771</v>
      </c>
      <c r="D2720" s="10" t="s">
        <v>10858</v>
      </c>
      <c r="E2720" s="11" t="str">
        <f>HYPERLINK("https://twitter.com/Pvalsfr/status/703110394743648256","703110394743648256")</f>
        <v>703110394743648256</v>
      </c>
      <c r="F2720" s="12" t="s">
        <v>152</v>
      </c>
      <c r="G2720" s="13">
        <v>1043.0</v>
      </c>
      <c r="H2720" s="13">
        <v>1081.0</v>
      </c>
      <c r="I2720" s="13">
        <v>7.0</v>
      </c>
      <c r="J2720" s="13">
        <v>0.0</v>
      </c>
      <c r="K2720" s="12" t="s">
        <v>21</v>
      </c>
      <c r="L2720" s="7">
        <v>40867.68900462963</v>
      </c>
      <c r="M2720" s="16"/>
      <c r="N2720" s="16"/>
      <c r="O2720" s="11" t="str">
        <f t="shared" si="298"/>
        <v>View</v>
      </c>
      <c r="P2720" s="15"/>
    </row>
    <row r="2721">
      <c r="A2721" s="7">
        <v>42425.953564814816</v>
      </c>
      <c r="B2721" s="8" t="str">
        <f>HYPERLINK("https://twitter.com/iotsecurity2","@iotsecurity2")</f>
        <v>@iotsecurity2</v>
      </c>
      <c r="C2721" s="10" t="s">
        <v>3884</v>
      </c>
      <c r="D2721" s="10" t="s">
        <v>10858</v>
      </c>
      <c r="E2721" s="11" t="str">
        <f>HYPERLINK("https://twitter.com/iotsecurity2/status/703110530047672321","703110530047672321")</f>
        <v>703110530047672321</v>
      </c>
      <c r="F2721" s="12" t="s">
        <v>3885</v>
      </c>
      <c r="G2721" s="13">
        <v>216.0</v>
      </c>
      <c r="H2721" s="13">
        <v>38.0</v>
      </c>
      <c r="I2721" s="13">
        <v>7.0</v>
      </c>
      <c r="J2721" s="13">
        <v>0.0</v>
      </c>
      <c r="K2721" s="12" t="s">
        <v>21</v>
      </c>
      <c r="L2721" s="7">
        <v>42420.32898148148</v>
      </c>
      <c r="M2721" s="16"/>
      <c r="N2721" s="16"/>
      <c r="O2721" s="11" t="str">
        <f>HYPERLINK("https://abs.twimg.com/sticky/default_profile_images/default_profile_3_normal.png","View")</f>
        <v>View</v>
      </c>
      <c r="P2721" s="15"/>
    </row>
    <row r="2722">
      <c r="A2722" s="7">
        <v>42425.95543981482</v>
      </c>
      <c r="B2722" s="8" t="str">
        <f>HYPERLINK("https://twitter.com/tarentum","@tarentum")</f>
        <v>@tarentum</v>
      </c>
      <c r="C2722" s="10" t="s">
        <v>10900</v>
      </c>
      <c r="D2722" s="10" t="s">
        <v>10852</v>
      </c>
      <c r="E2722" s="11" t="str">
        <f>HYPERLINK("https://twitter.com/tarentum/status/703111210594533377","703111210594533377")</f>
        <v>703111210594533377</v>
      </c>
      <c r="F2722" s="12" t="s">
        <v>152</v>
      </c>
      <c r="G2722" s="13">
        <v>126.0</v>
      </c>
      <c r="H2722" s="13">
        <v>852.0</v>
      </c>
      <c r="I2722" s="13">
        <v>13.0</v>
      </c>
      <c r="J2722" s="13">
        <v>0.0</v>
      </c>
      <c r="K2722" s="12" t="s">
        <v>21</v>
      </c>
      <c r="L2722" s="7">
        <v>39921.03863425926</v>
      </c>
      <c r="M2722" s="16"/>
      <c r="N2722" s="16"/>
      <c r="O2722" s="11" t="str">
        <f>HYPERLINK("https://pbs.twimg.com/profile_images/804548189/avatar_normal.jpg","View")</f>
        <v>View</v>
      </c>
      <c r="P2722" s="15"/>
    </row>
    <row r="2723">
      <c r="A2723" s="7">
        <v>42425.95747685185</v>
      </c>
      <c r="B2723" s="8" t="str">
        <f>HYPERLINK("https://twitter.com/AriBFriedman","@AriBFriedman")</f>
        <v>@AriBFriedman</v>
      </c>
      <c r="C2723" s="10" t="s">
        <v>9801</v>
      </c>
      <c r="D2723" s="10" t="s">
        <v>10256</v>
      </c>
      <c r="E2723" s="11" t="str">
        <f>HYPERLINK("https://twitter.com/AriBFriedman/status/703111950226448385","703111950226448385")</f>
        <v>703111950226448385</v>
      </c>
      <c r="F2723" s="12" t="s">
        <v>152</v>
      </c>
      <c r="G2723" s="13">
        <v>1124.0</v>
      </c>
      <c r="H2723" s="13">
        <v>1104.0</v>
      </c>
      <c r="I2723" s="13">
        <v>3.0</v>
      </c>
      <c r="J2723" s="13">
        <v>0.0</v>
      </c>
      <c r="K2723" s="12" t="s">
        <v>21</v>
      </c>
      <c r="L2723" s="7">
        <v>41530.32574074074</v>
      </c>
      <c r="M2723" s="14" t="s">
        <v>1099</v>
      </c>
      <c r="N2723" s="14" t="s">
        <v>9802</v>
      </c>
      <c r="O2723" s="11" t="str">
        <f>HYPERLINK("https://pbs.twimg.com/profile_images/378800000506419090/7334033f4b84df6547c6b38121f77636_normal.png","View")</f>
        <v>View</v>
      </c>
      <c r="P2723" s="15"/>
    </row>
    <row r="2724">
      <c r="A2724" s="7">
        <v>42425.95774305555</v>
      </c>
      <c r="B2724" s="8" t="str">
        <f>HYPERLINK("https://twitter.com/alostpacket","@alostpacket")</f>
        <v>@alostpacket</v>
      </c>
      <c r="C2724" s="10" t="s">
        <v>10901</v>
      </c>
      <c r="D2724" s="10" t="s">
        <v>10776</v>
      </c>
      <c r="E2724" s="11" t="str">
        <f>HYPERLINK("https://twitter.com/alostpacket/status/703112046041104385","703112046041104385")</f>
        <v>703112046041104385</v>
      </c>
      <c r="F2724" s="12" t="s">
        <v>20</v>
      </c>
      <c r="G2724" s="13">
        <v>130.0</v>
      </c>
      <c r="H2724" s="13">
        <v>200.0</v>
      </c>
      <c r="I2724" s="13">
        <v>5.0</v>
      </c>
      <c r="J2724" s="13">
        <v>0.0</v>
      </c>
      <c r="K2724" s="12" t="s">
        <v>21</v>
      </c>
      <c r="L2724" s="7">
        <v>40241.00895833333</v>
      </c>
      <c r="M2724" s="14" t="s">
        <v>695</v>
      </c>
      <c r="N2724" s="14" t="s">
        <v>10902</v>
      </c>
      <c r="O2724" s="11" t="str">
        <f>HYPERLINK("https://pbs.twimg.com/profile_images/610994882933469184/yjGTWSn1_normal.png","View")</f>
        <v>View</v>
      </c>
      <c r="P2724" s="15"/>
    </row>
    <row r="2725">
      <c r="A2725" s="7">
        <v>42425.959965277776</v>
      </c>
      <c r="B2725" s="8" t="str">
        <f>HYPERLINK("https://twitter.com/vivekmi1995","@vivekmi1995")</f>
        <v>@vivekmi1995</v>
      </c>
      <c r="C2725" s="10" t="s">
        <v>10903</v>
      </c>
      <c r="D2725" s="10" t="s">
        <v>10876</v>
      </c>
      <c r="E2725" s="11" t="str">
        <f>HYPERLINK("https://twitter.com/vivekmi1995/status/703112850538016768","703112850538016768")</f>
        <v>703112850538016768</v>
      </c>
      <c r="F2725" s="12" t="s">
        <v>152</v>
      </c>
      <c r="G2725" s="13">
        <v>111.0</v>
      </c>
      <c r="H2725" s="13">
        <v>333.0</v>
      </c>
      <c r="I2725" s="13">
        <v>24.0</v>
      </c>
      <c r="J2725" s="13">
        <v>0.0</v>
      </c>
      <c r="K2725" s="12" t="s">
        <v>21</v>
      </c>
      <c r="L2725" s="7">
        <v>41236.98265046296</v>
      </c>
      <c r="M2725" s="14" t="s">
        <v>10904</v>
      </c>
      <c r="N2725" s="14" t="s">
        <v>10905</v>
      </c>
      <c r="O2725" s="11" t="str">
        <f>HYPERLINK("https://pbs.twimg.com/profile_images/649473078058029057/gR3N5vxZ_normal.jpg","View")</f>
        <v>View</v>
      </c>
      <c r="P2725" s="15"/>
    </row>
    <row r="2726">
      <c r="A2726" s="7">
        <v>42425.96021990741</v>
      </c>
      <c r="B2726" s="8" t="str">
        <f>HYPERLINK("https://twitter.com/ShirleyYYoung","@ShirleyYYoung")</f>
        <v>@ShirleyYYoung</v>
      </c>
      <c r="C2726" s="10" t="s">
        <v>5582</v>
      </c>
      <c r="D2726" s="10" t="s">
        <v>10876</v>
      </c>
      <c r="E2726" s="11" t="str">
        <f>HYPERLINK("https://twitter.com/ShirleyYYoung/status/703112941613154304","703112941613154304")</f>
        <v>703112941613154304</v>
      </c>
      <c r="F2726" s="12" t="s">
        <v>38</v>
      </c>
      <c r="G2726" s="13">
        <v>353.0</v>
      </c>
      <c r="H2726" s="13">
        <v>355.0</v>
      </c>
      <c r="I2726" s="13">
        <v>24.0</v>
      </c>
      <c r="J2726" s="13">
        <v>0.0</v>
      </c>
      <c r="K2726" s="12" t="s">
        <v>21</v>
      </c>
      <c r="L2726" s="7">
        <v>40363.1670949074</v>
      </c>
      <c r="M2726" s="14" t="s">
        <v>1365</v>
      </c>
      <c r="N2726" s="14" t="s">
        <v>5583</v>
      </c>
      <c r="O2726" s="11" t="str">
        <f>HYPERLINK("https://pbs.twimg.com/profile_images/615560727898648577/t94u5F5t_normal.jpg","View")</f>
        <v>View</v>
      </c>
      <c r="P2726" s="15"/>
    </row>
    <row r="2727">
      <c r="A2727" s="7">
        <v>42425.96079861111</v>
      </c>
      <c r="B2727" s="8" t="str">
        <f t="shared" ref="B2727:B2729" si="299">HYPERLINK("https://twitter.com/BobOHara","@BobOHara")</f>
        <v>@BobOHara</v>
      </c>
      <c r="C2727" s="10" t="s">
        <v>10906</v>
      </c>
      <c r="D2727" s="10" t="s">
        <v>10907</v>
      </c>
      <c r="E2727" s="11" t="str">
        <f>HYPERLINK("https://twitter.com/BobOHara/status/703113152569802752","703113152569802752")</f>
        <v>703113152569802752</v>
      </c>
      <c r="F2727" s="12" t="s">
        <v>52</v>
      </c>
      <c r="G2727" s="13">
        <v>2160.0</v>
      </c>
      <c r="H2727" s="13">
        <v>1234.0</v>
      </c>
      <c r="I2727" s="13">
        <v>2.0</v>
      </c>
      <c r="J2727" s="13">
        <v>2.0</v>
      </c>
      <c r="K2727" s="12" t="s">
        <v>21</v>
      </c>
      <c r="L2727" s="7">
        <v>39831.312523148146</v>
      </c>
      <c r="M2727" s="14" t="s">
        <v>9104</v>
      </c>
      <c r="N2727" s="16"/>
      <c r="O2727" s="11" t="str">
        <f t="shared" ref="O2727:O2729" si="300">HYPERLINK("https://pbs.twimg.com/profile_images/624292977/twitterProfilePhoto_normal.jpg","View")</f>
        <v>View</v>
      </c>
      <c r="P2727" s="15"/>
    </row>
    <row r="2728">
      <c r="A2728" s="7">
        <v>42425.96166666667</v>
      </c>
      <c r="B2728" s="8" t="str">
        <f t="shared" si="299"/>
        <v>@BobOHara</v>
      </c>
      <c r="C2728" s="10" t="s">
        <v>10906</v>
      </c>
      <c r="D2728" s="10" t="s">
        <v>10908</v>
      </c>
      <c r="E2728" s="11" t="str">
        <f>HYPERLINK("https://twitter.com/BobOHara/status/703113468031840256","703113468031840256")</f>
        <v>703113468031840256</v>
      </c>
      <c r="F2728" s="12" t="s">
        <v>52</v>
      </c>
      <c r="G2728" s="13">
        <v>2160.0</v>
      </c>
      <c r="H2728" s="13">
        <v>1234.0</v>
      </c>
      <c r="I2728" s="13">
        <v>0.0</v>
      </c>
      <c r="J2728" s="13">
        <v>0.0</v>
      </c>
      <c r="K2728" s="12" t="s">
        <v>21</v>
      </c>
      <c r="L2728" s="7">
        <v>39831.312523148146</v>
      </c>
      <c r="M2728" s="14" t="s">
        <v>9104</v>
      </c>
      <c r="N2728" s="16"/>
      <c r="O2728" s="11" t="str">
        <f t="shared" si="300"/>
        <v>View</v>
      </c>
      <c r="P2728" s="15"/>
    </row>
    <row r="2729">
      <c r="A2729" s="7">
        <v>42425.96287037037</v>
      </c>
      <c r="B2729" s="8" t="str">
        <f t="shared" si="299"/>
        <v>@BobOHara</v>
      </c>
      <c r="C2729" s="10" t="s">
        <v>10906</v>
      </c>
      <c r="D2729" s="10" t="s">
        <v>10909</v>
      </c>
      <c r="E2729" s="11" t="str">
        <f>HYPERLINK("https://twitter.com/BobOHara/status/703113902754693121","703113902754693121")</f>
        <v>703113902754693121</v>
      </c>
      <c r="F2729" s="12" t="s">
        <v>52</v>
      </c>
      <c r="G2729" s="13">
        <v>2160.0</v>
      </c>
      <c r="H2729" s="13">
        <v>1234.0</v>
      </c>
      <c r="I2729" s="13">
        <v>0.0</v>
      </c>
      <c r="J2729" s="13">
        <v>0.0</v>
      </c>
      <c r="K2729" s="12" t="s">
        <v>21</v>
      </c>
      <c r="L2729" s="7">
        <v>39831.312523148146</v>
      </c>
      <c r="M2729" s="14" t="s">
        <v>9104</v>
      </c>
      <c r="N2729" s="16"/>
      <c r="O2729" s="11" t="str">
        <f t="shared" si="300"/>
        <v>View</v>
      </c>
      <c r="P2729" s="15"/>
    </row>
    <row r="2730">
      <c r="A2730" s="7">
        <v>42425.96299768519</v>
      </c>
      <c r="B2730" s="8" t="str">
        <f>HYPERLINK("https://twitter.com/hedizaher","@hedizaher")</f>
        <v>@hedizaher</v>
      </c>
      <c r="C2730" s="10" t="s">
        <v>10910</v>
      </c>
      <c r="D2730" s="10" t="s">
        <v>10876</v>
      </c>
      <c r="E2730" s="11" t="str">
        <f>HYPERLINK("https://twitter.com/hedizaher/status/703113949802164224","703113949802164224")</f>
        <v>703113949802164224</v>
      </c>
      <c r="F2730" s="12" t="s">
        <v>152</v>
      </c>
      <c r="G2730" s="13">
        <v>299.0</v>
      </c>
      <c r="H2730" s="13">
        <v>136.0</v>
      </c>
      <c r="I2730" s="13">
        <v>24.0</v>
      </c>
      <c r="J2730" s="13">
        <v>0.0</v>
      </c>
      <c r="K2730" s="12" t="s">
        <v>21</v>
      </c>
      <c r="L2730" s="7">
        <v>41450.064988425926</v>
      </c>
      <c r="M2730" s="14" t="s">
        <v>10911</v>
      </c>
      <c r="N2730" s="14" t="s">
        <v>10912</v>
      </c>
      <c r="O2730" s="11" t="str">
        <f>HYPERLINK("https://pbs.twimg.com/profile_images/512155632074379264/FVsX1WSp_normal.jpeg","View")</f>
        <v>View</v>
      </c>
      <c r="P2730" s="15"/>
    </row>
    <row r="2731">
      <c r="A2731" s="7">
        <v>42425.96359953703</v>
      </c>
      <c r="B2731" s="8" t="str">
        <f>HYPERLINK("https://twitter.com/JoshRosenau","@JoshRosenau")</f>
        <v>@JoshRosenau</v>
      </c>
      <c r="C2731" s="10" t="s">
        <v>10913</v>
      </c>
      <c r="D2731" s="10" t="s">
        <v>10914</v>
      </c>
      <c r="E2731" s="11" t="str">
        <f>HYPERLINK("https://twitter.com/JoshRosenau/status/703114168170258436","703114168170258436")</f>
        <v>703114168170258436</v>
      </c>
      <c r="F2731" s="12" t="s">
        <v>4109</v>
      </c>
      <c r="G2731" s="13">
        <v>2529.0</v>
      </c>
      <c r="H2731" s="13">
        <v>707.0</v>
      </c>
      <c r="I2731" s="13">
        <v>0.0</v>
      </c>
      <c r="J2731" s="13">
        <v>0.0</v>
      </c>
      <c r="K2731" s="12" t="s">
        <v>21</v>
      </c>
      <c r="L2731" s="7">
        <v>40124.61466435185</v>
      </c>
      <c r="M2731" s="14" t="s">
        <v>1500</v>
      </c>
      <c r="N2731" s="14" t="s">
        <v>10915</v>
      </c>
      <c r="O2731" s="11" t="str">
        <f>HYPERLINK("https://pbs.twimg.com/profile_images/623587296542109696/k32eU-yR_normal.jpg","View")</f>
        <v>View</v>
      </c>
      <c r="P2731" s="15"/>
    </row>
    <row r="2732">
      <c r="A2732" s="7">
        <v>42425.9643287037</v>
      </c>
      <c r="B2732" s="8" t="str">
        <f>HYPERLINK("https://twitter.com/homeAIinfo","@homeAIinfo")</f>
        <v>@homeAIinfo</v>
      </c>
      <c r="C2732" s="10" t="s">
        <v>36</v>
      </c>
      <c r="D2732" s="10" t="s">
        <v>10852</v>
      </c>
      <c r="E2732" s="11" t="str">
        <f>HYPERLINK("https://twitter.com/homeAIinfo/status/703114431434137601","703114431434137601")</f>
        <v>703114431434137601</v>
      </c>
      <c r="F2732" s="12" t="s">
        <v>38</v>
      </c>
      <c r="G2732" s="13">
        <v>52868.0</v>
      </c>
      <c r="H2732" s="13">
        <v>1328.0</v>
      </c>
      <c r="I2732" s="13">
        <v>13.0</v>
      </c>
      <c r="J2732" s="13">
        <v>0.0</v>
      </c>
      <c r="K2732" s="12" t="s">
        <v>21</v>
      </c>
      <c r="L2732" s="7">
        <v>42133.34662037037</v>
      </c>
      <c r="M2732" s="14" t="s">
        <v>39</v>
      </c>
      <c r="N2732" s="14" t="s">
        <v>40</v>
      </c>
      <c r="O2732" s="11" t="str">
        <f>HYPERLINK("https://pbs.twimg.com/profile_images/645650110374936580/-oQakt8x_normal.png","View")</f>
        <v>View</v>
      </c>
      <c r="P2732" s="15"/>
    </row>
    <row r="2733">
      <c r="A2733" s="7">
        <v>42425.96439814815</v>
      </c>
      <c r="B2733" s="8" t="str">
        <f>HYPERLINK("https://twitter.com/JoshRosenau","@JoshRosenau")</f>
        <v>@JoshRosenau</v>
      </c>
      <c r="C2733" s="10" t="s">
        <v>10913</v>
      </c>
      <c r="D2733" s="10" t="s">
        <v>10916</v>
      </c>
      <c r="E2733" s="11" t="str">
        <f>HYPERLINK("https://twitter.com/JoshRosenau/status/703114456545361920","703114456545361920")</f>
        <v>703114456545361920</v>
      </c>
      <c r="F2733" s="12" t="s">
        <v>4109</v>
      </c>
      <c r="G2733" s="13">
        <v>2529.0</v>
      </c>
      <c r="H2733" s="13">
        <v>707.0</v>
      </c>
      <c r="I2733" s="13">
        <v>0.0</v>
      </c>
      <c r="J2733" s="13">
        <v>0.0</v>
      </c>
      <c r="K2733" s="12" t="s">
        <v>21</v>
      </c>
      <c r="L2733" s="7">
        <v>40124.61466435185</v>
      </c>
      <c r="M2733" s="14" t="s">
        <v>1500</v>
      </c>
      <c r="N2733" s="14" t="s">
        <v>10915</v>
      </c>
      <c r="O2733" s="11" t="str">
        <f>HYPERLINK("https://pbs.twimg.com/profile_images/623587296542109696/k32eU-yR_normal.jpg","View")</f>
        <v>View</v>
      </c>
      <c r="P2733" s="15"/>
    </row>
    <row r="2734">
      <c r="A2734" s="7">
        <v>42425.96737268519</v>
      </c>
      <c r="B2734" s="8" t="str">
        <f>HYPERLINK("https://twitter.com/zentree","@zentree")</f>
        <v>@zentree</v>
      </c>
      <c r="C2734" s="10" t="s">
        <v>9450</v>
      </c>
      <c r="D2734" s="10" t="s">
        <v>10872</v>
      </c>
      <c r="E2734" s="11" t="str">
        <f>HYPERLINK("https://twitter.com/zentree/status/703115535140069376","703115535140069376")</f>
        <v>703115535140069376</v>
      </c>
      <c r="F2734" s="12" t="s">
        <v>20</v>
      </c>
      <c r="G2734" s="13">
        <v>592.0</v>
      </c>
      <c r="H2734" s="13">
        <v>109.0</v>
      </c>
      <c r="I2734" s="13">
        <v>6.0</v>
      </c>
      <c r="J2734" s="13">
        <v>0.0</v>
      </c>
      <c r="K2734" s="12" t="s">
        <v>21</v>
      </c>
      <c r="L2734" s="7">
        <v>39034.64048611111</v>
      </c>
      <c r="M2734" s="14" t="s">
        <v>9452</v>
      </c>
      <c r="N2734" s="14" t="s">
        <v>9453</v>
      </c>
      <c r="O2734" s="11" t="str">
        <f>HYPERLINK("https://pbs.twimg.com/profile_images/587187329934032897/ba7oP58d_normal.jpg","View")</f>
        <v>View</v>
      </c>
      <c r="P2734" s="15"/>
    </row>
    <row r="2735">
      <c r="A2735" s="7">
        <v>42425.97616898148</v>
      </c>
      <c r="B2735" s="8" t="str">
        <f>HYPERLINK("https://twitter.com/BarbaraJax","@BarbaraJax")</f>
        <v>@BarbaraJax</v>
      </c>
      <c r="C2735" s="10" t="s">
        <v>10917</v>
      </c>
      <c r="D2735" s="10" t="s">
        <v>10858</v>
      </c>
      <c r="E2735" s="11" t="str">
        <f>HYPERLINK("https://twitter.com/BarbaraJax/status/703118720776810497","703118720776810497")</f>
        <v>703118720776810497</v>
      </c>
      <c r="F2735" s="12" t="s">
        <v>20</v>
      </c>
      <c r="G2735" s="13">
        <v>283.0</v>
      </c>
      <c r="H2735" s="13">
        <v>266.0</v>
      </c>
      <c r="I2735" s="13">
        <v>7.0</v>
      </c>
      <c r="J2735" s="13">
        <v>0.0</v>
      </c>
      <c r="K2735" s="12" t="s">
        <v>21</v>
      </c>
      <c r="L2735" s="7">
        <v>41367.20725694444</v>
      </c>
      <c r="M2735" s="14" t="s">
        <v>10918</v>
      </c>
      <c r="N2735" s="14" t="s">
        <v>10919</v>
      </c>
      <c r="O2735" s="11" t="str">
        <f>HYPERLINK("https://pbs.twimg.com/profile_images/3470870546/92ce8b9716148e5529ec548b740c9992_normal.jpeg","View")</f>
        <v>View</v>
      </c>
      <c r="P2735" s="15"/>
    </row>
    <row r="2736">
      <c r="A2736" s="7">
        <v>42425.977118055554</v>
      </c>
      <c r="B2736" s="8" t="str">
        <f>HYPERLINK("https://twitter.com/OlegR","@OlegR")</f>
        <v>@OlegR</v>
      </c>
      <c r="C2736" s="10" t="s">
        <v>10920</v>
      </c>
      <c r="D2736" s="10" t="s">
        <v>10921</v>
      </c>
      <c r="E2736" s="11" t="str">
        <f>HYPERLINK("https://twitter.com/OlegR/status/703119067343749123","703119067343749123")</f>
        <v>703119067343749123</v>
      </c>
      <c r="F2736" s="12" t="s">
        <v>294</v>
      </c>
      <c r="G2736" s="13">
        <v>7368.0</v>
      </c>
      <c r="H2736" s="13">
        <v>7448.0</v>
      </c>
      <c r="I2736" s="13">
        <v>0.0</v>
      </c>
      <c r="J2736" s="13">
        <v>0.0</v>
      </c>
      <c r="K2736" s="12" t="s">
        <v>21</v>
      </c>
      <c r="L2736" s="7">
        <v>39608.328946759255</v>
      </c>
      <c r="M2736" s="14" t="s">
        <v>69</v>
      </c>
      <c r="N2736" s="14" t="s">
        <v>10922</v>
      </c>
      <c r="O2736" s="11" t="str">
        <f>HYPERLINK("https://pbs.twimg.com/profile_images/378800000301017700/819f65befc9c0635b63e0d7c47134947_normal.png","View")</f>
        <v>View</v>
      </c>
      <c r="P2736" s="15"/>
    </row>
    <row r="2737">
      <c r="A2737" s="7">
        <v>42425.97827546296</v>
      </c>
      <c r="B2737" s="8" t="str">
        <f>HYPERLINK("https://twitter.com/borlafgis","@borlafgis")</f>
        <v>@borlafgis</v>
      </c>
      <c r="C2737" s="10" t="s">
        <v>10923</v>
      </c>
      <c r="D2737" s="10" t="s">
        <v>10695</v>
      </c>
      <c r="E2737" s="11" t="str">
        <f>HYPERLINK("https://twitter.com/borlafgis/status/703119486883246080","703119486883246080")</f>
        <v>703119486883246080</v>
      </c>
      <c r="F2737" s="12" t="s">
        <v>152</v>
      </c>
      <c r="G2737" s="13">
        <v>42.0</v>
      </c>
      <c r="H2737" s="13">
        <v>330.0</v>
      </c>
      <c r="I2737" s="13">
        <v>21.0</v>
      </c>
      <c r="J2737" s="13">
        <v>0.0</v>
      </c>
      <c r="K2737" s="12" t="s">
        <v>21</v>
      </c>
      <c r="L2737" s="7">
        <v>42154.14233796296</v>
      </c>
      <c r="M2737" s="16"/>
      <c r="N2737" s="16"/>
      <c r="O2737" s="11" t="str">
        <f>HYPERLINK("https://pbs.twimg.com/profile_images/604610090524680194/vlnzA1ph_normal.jpg","View")</f>
        <v>View</v>
      </c>
      <c r="P2737" s="15"/>
    </row>
    <row r="2738">
      <c r="A2738" s="7">
        <v>42425.97854166667</v>
      </c>
      <c r="B2738" s="8" t="str">
        <f>HYPERLINK("https://twitter.com/matlabulous","@matlabulous")</f>
        <v>@matlabulous</v>
      </c>
      <c r="C2738" s="10" t="s">
        <v>10924</v>
      </c>
      <c r="D2738" s="10" t="s">
        <v>10925</v>
      </c>
      <c r="E2738" s="11" t="str">
        <f>HYPERLINK("https://twitter.com/matlabulous/status/703119582408503296","703119582408503296")</f>
        <v>703119582408503296</v>
      </c>
      <c r="F2738" s="12" t="s">
        <v>20</v>
      </c>
      <c r="G2738" s="13">
        <v>463.0</v>
      </c>
      <c r="H2738" s="13">
        <v>419.0</v>
      </c>
      <c r="I2738" s="13">
        <v>3.0</v>
      </c>
      <c r="J2738" s="13">
        <v>0.0</v>
      </c>
      <c r="K2738" s="12" t="s">
        <v>21</v>
      </c>
      <c r="L2738" s="7">
        <v>40673.95537037037</v>
      </c>
      <c r="M2738" s="14" t="s">
        <v>104</v>
      </c>
      <c r="N2738" s="14" t="s">
        <v>10926</v>
      </c>
      <c r="O2738" s="11" t="str">
        <f>HYPERLINK("https://pbs.twimg.com/profile_images/669756692704460801/uqOCInoz_normal.jpg","View")</f>
        <v>View</v>
      </c>
      <c r="P2738" s="15"/>
    </row>
    <row r="2739">
      <c r="A2739" s="7">
        <v>42425.98064814815</v>
      </c>
      <c r="B2739" s="8" t="str">
        <f>HYPERLINK("https://twitter.com/genrmiranda","@genrmiranda")</f>
        <v>@genrmiranda</v>
      </c>
      <c r="C2739" s="10" t="s">
        <v>10927</v>
      </c>
      <c r="D2739" s="10" t="s">
        <v>10928</v>
      </c>
      <c r="E2739" s="11" t="str">
        <f>HYPERLINK("https://twitter.com/genrmiranda/status/703120347378266113","703120347378266113")</f>
        <v>703120347378266113</v>
      </c>
      <c r="F2739" s="12" t="s">
        <v>20</v>
      </c>
      <c r="G2739" s="13">
        <v>256.0</v>
      </c>
      <c r="H2739" s="13">
        <v>590.0</v>
      </c>
      <c r="I2739" s="13">
        <v>0.0</v>
      </c>
      <c r="J2739" s="13">
        <v>1.0</v>
      </c>
      <c r="K2739" s="12" t="s">
        <v>21</v>
      </c>
      <c r="L2739" s="7">
        <v>41664.0131712963</v>
      </c>
      <c r="M2739" s="14" t="s">
        <v>8422</v>
      </c>
      <c r="N2739" s="14" t="s">
        <v>10929</v>
      </c>
      <c r="O2739" s="11" t="str">
        <f>HYPERLINK("https://pbs.twimg.com/profile_images/702211756215681026/mpxVqBJb_normal.png","View")</f>
        <v>View</v>
      </c>
      <c r="P2739" s="15"/>
    </row>
    <row r="2740">
      <c r="A2740" s="7">
        <v>42425.98284722222</v>
      </c>
      <c r="B2740" s="8" t="str">
        <f>HYPERLINK("https://twitter.com/Rbloggers","@Rbloggers")</f>
        <v>@Rbloggers</v>
      </c>
      <c r="C2740" s="10" t="s">
        <v>6221</v>
      </c>
      <c r="D2740" s="10" t="s">
        <v>10930</v>
      </c>
      <c r="E2740" s="11" t="str">
        <f>HYPERLINK("https://twitter.com/Rbloggers/status/703121142375018496","703121142375018496")</f>
        <v>703121142375018496</v>
      </c>
      <c r="F2740" s="17" t="s">
        <v>6223</v>
      </c>
      <c r="G2740" s="13">
        <v>28572.0</v>
      </c>
      <c r="H2740" s="13">
        <v>36.0</v>
      </c>
      <c r="I2740" s="13">
        <v>9.0</v>
      </c>
      <c r="J2740" s="13">
        <v>12.0</v>
      </c>
      <c r="K2740" s="12" t="s">
        <v>21</v>
      </c>
      <c r="L2740" s="7">
        <v>40314.510601851856</v>
      </c>
      <c r="M2740" s="16"/>
      <c r="N2740" s="14" t="s">
        <v>6224</v>
      </c>
      <c r="O2740" s="11" t="str">
        <f>HYPERLINK("https://pbs.twimg.com/profile_images/502185985786916864/gkdFh-q7_normal.png","View")</f>
        <v>View</v>
      </c>
      <c r="P2740" s="15"/>
    </row>
    <row r="2741">
      <c r="A2741" s="7">
        <v>42425.98361111111</v>
      </c>
      <c r="B2741" s="8" t="str">
        <f>HYPERLINK("https://twitter.com/monsoontrader","@monsoontrader")</f>
        <v>@monsoontrader</v>
      </c>
      <c r="C2741" s="10" t="s">
        <v>8424</v>
      </c>
      <c r="D2741" s="10" t="s">
        <v>10931</v>
      </c>
      <c r="E2741" s="11" t="str">
        <f>HYPERLINK("https://twitter.com/monsoontrader/status/703121419031310336","703121419031310336")</f>
        <v>703121419031310336</v>
      </c>
      <c r="F2741" s="12" t="s">
        <v>446</v>
      </c>
      <c r="G2741" s="13">
        <v>723.0</v>
      </c>
      <c r="H2741" s="13">
        <v>829.0</v>
      </c>
      <c r="I2741" s="13">
        <v>2.0</v>
      </c>
      <c r="J2741" s="13">
        <v>0.0</v>
      </c>
      <c r="K2741" s="12" t="s">
        <v>21</v>
      </c>
      <c r="L2741" s="7">
        <v>40839.94814814815</v>
      </c>
      <c r="M2741" s="14" t="s">
        <v>8426</v>
      </c>
      <c r="N2741" s="14" t="s">
        <v>8427</v>
      </c>
      <c r="O2741" s="11" t="str">
        <f>HYPERLINK("https://pbs.twimg.com/profile_images/669283346413916161/jH8A_2hk_normal.jpg","View")</f>
        <v>View</v>
      </c>
      <c r="P2741" s="15"/>
    </row>
    <row r="2742">
      <c r="A2742" s="7">
        <v>42425.98637731481</v>
      </c>
      <c r="B2742" s="8" t="str">
        <f>HYPERLINK("https://twitter.com/renato_umeton","@renato_umeton")</f>
        <v>@renato_umeton</v>
      </c>
      <c r="C2742" s="10" t="s">
        <v>1659</v>
      </c>
      <c r="D2742" s="10" t="s">
        <v>10932</v>
      </c>
      <c r="E2742" s="11" t="str">
        <f>HYPERLINK("https://twitter.com/renato_umeton/status/703122423210602497","703122423210602497")</f>
        <v>703122423210602497</v>
      </c>
      <c r="F2742" s="12" t="s">
        <v>38</v>
      </c>
      <c r="G2742" s="13">
        <v>70.0</v>
      </c>
      <c r="H2742" s="13">
        <v>79.0</v>
      </c>
      <c r="I2742" s="13">
        <v>9.0</v>
      </c>
      <c r="J2742" s="13">
        <v>0.0</v>
      </c>
      <c r="K2742" s="12" t="s">
        <v>21</v>
      </c>
      <c r="L2742" s="7">
        <v>39918.052083333336</v>
      </c>
      <c r="M2742" s="14" t="s">
        <v>1660</v>
      </c>
      <c r="N2742" s="14" t="s">
        <v>1661</v>
      </c>
      <c r="O2742" s="11" t="str">
        <f>HYPERLINK("https://pbs.twimg.com/profile_images/701553083537604608/nr8b38eG_normal.jpg","View")</f>
        <v>View</v>
      </c>
      <c r="P2742" s="15"/>
    </row>
    <row r="2743">
      <c r="A2743" s="7">
        <v>42425.99277777778</v>
      </c>
      <c r="B2743" s="8" t="str">
        <f>HYPERLINK("https://twitter.com/mathiaspicker","@mathiaspicker")</f>
        <v>@mathiaspicker</v>
      </c>
      <c r="C2743" s="10" t="s">
        <v>6742</v>
      </c>
      <c r="D2743" s="10" t="s">
        <v>10932</v>
      </c>
      <c r="E2743" s="11" t="str">
        <f>HYPERLINK("https://twitter.com/mathiaspicker/status/703124741578620928","703124741578620928")</f>
        <v>703124741578620928</v>
      </c>
      <c r="F2743" s="12" t="s">
        <v>152</v>
      </c>
      <c r="G2743" s="13">
        <v>334.0</v>
      </c>
      <c r="H2743" s="13">
        <v>1251.0</v>
      </c>
      <c r="I2743" s="13">
        <v>9.0</v>
      </c>
      <c r="J2743" s="13">
        <v>0.0</v>
      </c>
      <c r="K2743" s="12" t="s">
        <v>21</v>
      </c>
      <c r="L2743" s="7">
        <v>39905.57471064815</v>
      </c>
      <c r="M2743" s="14" t="s">
        <v>6743</v>
      </c>
      <c r="N2743" s="14" t="s">
        <v>6744</v>
      </c>
      <c r="O2743" s="11" t="str">
        <f>HYPERLINK("https://pbs.twimg.com/profile_images/121126854/OpenID_normal.jpg","View")</f>
        <v>View</v>
      </c>
      <c r="P2743" s="15"/>
    </row>
    <row r="2744">
      <c r="A2744" s="7">
        <v>42425.994629629626</v>
      </c>
      <c r="B2744" s="8" t="str">
        <f>HYPERLINK("https://twitter.com/Modi2020Ali","@Modi2020Ali")</f>
        <v>@Modi2020Ali</v>
      </c>
      <c r="C2744" s="10" t="s">
        <v>10933</v>
      </c>
      <c r="D2744" s="10" t="s">
        <v>10695</v>
      </c>
      <c r="E2744" s="11" t="str">
        <f>HYPERLINK("https://twitter.com/Modi2020Ali/status/703125413329920002","703125413329920002")</f>
        <v>703125413329920002</v>
      </c>
      <c r="F2744" s="12" t="s">
        <v>152</v>
      </c>
      <c r="G2744" s="13">
        <v>34.0</v>
      </c>
      <c r="H2744" s="13">
        <v>95.0</v>
      </c>
      <c r="I2744" s="13">
        <v>21.0</v>
      </c>
      <c r="J2744" s="13">
        <v>0.0</v>
      </c>
      <c r="K2744" s="12" t="s">
        <v>21</v>
      </c>
      <c r="L2744" s="7">
        <v>40934.275</v>
      </c>
      <c r="M2744" s="16"/>
      <c r="N2744" s="16"/>
      <c r="O2744" s="11" t="str">
        <f>HYPERLINK("https://abs.twimg.com/sticky/default_profile_images/default_profile_3_normal.png","View")</f>
        <v>View</v>
      </c>
      <c r="P2744" s="15"/>
    </row>
    <row r="2745">
      <c r="A2745" s="7">
        <v>42425.994733796295</v>
      </c>
      <c r="B2745" s="8" t="str">
        <f>HYPERLINK("https://twitter.com/thijschr","@thijschr")</f>
        <v>@thijschr</v>
      </c>
      <c r="C2745" s="10" t="s">
        <v>9096</v>
      </c>
      <c r="D2745" s="10" t="s">
        <v>10696</v>
      </c>
      <c r="E2745" s="11" t="str">
        <f>HYPERLINK("https://twitter.com/thijschr/status/703125450378248192","703125450378248192")</f>
        <v>703125450378248192</v>
      </c>
      <c r="F2745" s="12" t="s">
        <v>3344</v>
      </c>
      <c r="G2745" s="13">
        <v>82.0</v>
      </c>
      <c r="H2745" s="13">
        <v>215.0</v>
      </c>
      <c r="I2745" s="13">
        <v>15.0</v>
      </c>
      <c r="J2745" s="13">
        <v>0.0</v>
      </c>
      <c r="K2745" s="12" t="s">
        <v>21</v>
      </c>
      <c r="L2745" s="7">
        <v>40952.49859953704</v>
      </c>
      <c r="M2745" s="14" t="s">
        <v>9098</v>
      </c>
      <c r="N2745" s="14" t="s">
        <v>9099</v>
      </c>
      <c r="O2745" s="11" t="str">
        <f>HYPERLINK("https://pbs.twimg.com/profile_images/556170328229953536/CuvfXisf_normal.jpeg","View")</f>
        <v>View</v>
      </c>
      <c r="P2745" s="15"/>
    </row>
    <row r="2746">
      <c r="A2746" s="7">
        <v>42425.994733796295</v>
      </c>
      <c r="B2746" s="8" t="str">
        <f>HYPERLINK("https://twitter.com/biocs","@biocs")</f>
        <v>@biocs</v>
      </c>
      <c r="C2746" s="10" t="s">
        <v>10934</v>
      </c>
      <c r="D2746" s="10" t="s">
        <v>10735</v>
      </c>
      <c r="E2746" s="11" t="str">
        <f>HYPERLINK("https://twitter.com/biocs/status/703125452315955200","703125452315955200")</f>
        <v>703125452315955200</v>
      </c>
      <c r="F2746" s="12" t="s">
        <v>10935</v>
      </c>
      <c r="G2746" s="13">
        <v>321.0</v>
      </c>
      <c r="H2746" s="13">
        <v>177.0</v>
      </c>
      <c r="I2746" s="13">
        <v>17.0</v>
      </c>
      <c r="J2746" s="13">
        <v>0.0</v>
      </c>
      <c r="K2746" s="12" t="s">
        <v>21</v>
      </c>
      <c r="L2746" s="7">
        <v>39588.30899305556</v>
      </c>
      <c r="M2746" s="14" t="s">
        <v>10936</v>
      </c>
      <c r="N2746" s="14" t="s">
        <v>10937</v>
      </c>
      <c r="O2746" s="11" t="str">
        <f>HYPERLINK("https://pbs.twimg.com/profile_images/378800000828078104/d5aca051fe022be4a561f24d2bedd736_normal.png","View")</f>
        <v>View</v>
      </c>
      <c r="P2746" s="15"/>
    </row>
    <row r="2747">
      <c r="A2747" s="7">
        <v>42425.99648148148</v>
      </c>
      <c r="B2747" s="8" t="str">
        <f>HYPERLINK("https://twitter.com/ErmiaBivatan","@ErmiaBivatan")</f>
        <v>@ErmiaBivatan</v>
      </c>
      <c r="C2747" s="10" t="s">
        <v>6261</v>
      </c>
      <c r="D2747" s="10" t="s">
        <v>10876</v>
      </c>
      <c r="E2747" s="11" t="str">
        <f>HYPERLINK("https://twitter.com/ErmiaBivatan/status/703126085676900352","703126085676900352")</f>
        <v>703126085676900352</v>
      </c>
      <c r="F2747" s="12" t="s">
        <v>152</v>
      </c>
      <c r="G2747" s="13">
        <v>45.0</v>
      </c>
      <c r="H2747" s="13">
        <v>142.0</v>
      </c>
      <c r="I2747" s="13">
        <v>24.0</v>
      </c>
      <c r="J2747" s="13">
        <v>0.0</v>
      </c>
      <c r="K2747" s="12" t="s">
        <v>21</v>
      </c>
      <c r="L2747" s="7">
        <v>41409.883356481485</v>
      </c>
      <c r="M2747" s="16"/>
      <c r="N2747" s="14" t="s">
        <v>6263</v>
      </c>
      <c r="O2747" s="11" t="str">
        <f>HYPERLINK("https://pbs.twimg.com/profile_images/700219041131204608/DZKmHE4-_normal.jpg","View")</f>
        <v>View</v>
      </c>
      <c r="P2747" s="15"/>
    </row>
    <row r="2748">
      <c r="A2748" s="7">
        <v>42425.99668981481</v>
      </c>
      <c r="B2748" s="8" t="str">
        <f>HYPERLINK("https://twitter.com/CMick14","@CMick14")</f>
        <v>@CMick14</v>
      </c>
      <c r="C2748" s="10" t="s">
        <v>10938</v>
      </c>
      <c r="D2748" s="10" t="s">
        <v>10852</v>
      </c>
      <c r="E2748" s="11" t="str">
        <f>HYPERLINK("https://twitter.com/CMick14/status/703126158653550593","703126158653550593")</f>
        <v>703126158653550593</v>
      </c>
      <c r="F2748" s="12" t="s">
        <v>20</v>
      </c>
      <c r="G2748" s="13">
        <v>579.0</v>
      </c>
      <c r="H2748" s="13">
        <v>689.0</v>
      </c>
      <c r="I2748" s="13">
        <v>13.0</v>
      </c>
      <c r="J2748" s="13">
        <v>0.0</v>
      </c>
      <c r="K2748" s="12" t="s">
        <v>21</v>
      </c>
      <c r="L2748" s="7">
        <v>41035.143483796295</v>
      </c>
      <c r="M2748" s="14" t="s">
        <v>489</v>
      </c>
      <c r="N2748" s="14" t="s">
        <v>10939</v>
      </c>
      <c r="O2748" s="11" t="str">
        <f>HYPERLINK("https://pbs.twimg.com/profile_images/651288166498865152/du19Jn6k_normal.jpg","View")</f>
        <v>View</v>
      </c>
      <c r="P2748" s="15"/>
    </row>
    <row r="2749">
      <c r="A2749" s="7">
        <v>42425.99799768519</v>
      </c>
      <c r="B2749" s="8" t="str">
        <f>HYPERLINK("https://twitter.com/nnovrabota","@nnovrabota")</f>
        <v>@nnovrabota</v>
      </c>
      <c r="C2749" s="10" t="s">
        <v>10940</v>
      </c>
      <c r="D2749" s="10" t="s">
        <v>10876</v>
      </c>
      <c r="E2749" s="11" t="str">
        <f>HYPERLINK("https://twitter.com/nnovrabota/status/703126635264913408","703126635264913408")</f>
        <v>703126635264913408</v>
      </c>
      <c r="F2749" s="12" t="s">
        <v>20</v>
      </c>
      <c r="G2749" s="13">
        <v>2947.0</v>
      </c>
      <c r="H2749" s="13">
        <v>3651.0</v>
      </c>
      <c r="I2749" s="13">
        <v>24.0</v>
      </c>
      <c r="J2749" s="13">
        <v>0.0</v>
      </c>
      <c r="K2749" s="12" t="s">
        <v>21</v>
      </c>
      <c r="L2749" s="7">
        <v>42369.49737268519</v>
      </c>
      <c r="M2749" s="14" t="s">
        <v>10941</v>
      </c>
      <c r="N2749" s="14" t="s">
        <v>10942</v>
      </c>
      <c r="O2749" s="11" t="str">
        <f>HYPERLINK("https://pbs.twimg.com/profile_images/696639488517394432/UnGBsD6b_normal.png","View")</f>
        <v>View</v>
      </c>
      <c r="P2749" s="15"/>
    </row>
    <row r="2750">
      <c r="A2750" s="7">
        <v>42426.001793981486</v>
      </c>
      <c r="B2750" s="8" t="str">
        <f>HYPERLINK("https://twitter.com/Pvalsfr","@Pvalsfr")</f>
        <v>@Pvalsfr</v>
      </c>
      <c r="C2750" s="10" t="s">
        <v>771</v>
      </c>
      <c r="D2750" s="10" t="s">
        <v>10932</v>
      </c>
      <c r="E2750" s="11" t="str">
        <f>HYPERLINK("https://twitter.com/Pvalsfr/status/703128010384240640","703128010384240640")</f>
        <v>703128010384240640</v>
      </c>
      <c r="F2750" s="12" t="s">
        <v>152</v>
      </c>
      <c r="G2750" s="13">
        <v>1043.0</v>
      </c>
      <c r="H2750" s="13">
        <v>1081.0</v>
      </c>
      <c r="I2750" s="13">
        <v>9.0</v>
      </c>
      <c r="J2750" s="13">
        <v>0.0</v>
      </c>
      <c r="K2750" s="12" t="s">
        <v>21</v>
      </c>
      <c r="L2750" s="7">
        <v>40867.68900462963</v>
      </c>
      <c r="M2750" s="16"/>
      <c r="N2750" s="16"/>
      <c r="O2750" s="11" t="str">
        <f>HYPERLINK("https://abs.twimg.com/sticky/default_profile_images/default_profile_4_normal.png","View")</f>
        <v>View</v>
      </c>
      <c r="P2750" s="15"/>
    </row>
    <row r="2751">
      <c r="A2751" s="7">
        <v>42426.00361111111</v>
      </c>
      <c r="B2751" s="8" t="str">
        <f>HYPERLINK("https://twitter.com/jen_munozz","@jen_munozz")</f>
        <v>@jen_munozz</v>
      </c>
      <c r="C2751" s="10" t="s">
        <v>10943</v>
      </c>
      <c r="D2751" s="10" t="s">
        <v>10944</v>
      </c>
      <c r="E2751" s="11" t="str">
        <f>HYPERLINK("https://twitter.com/jen_munozz/status/703128668973826048","703128668973826048")</f>
        <v>703128668973826048</v>
      </c>
      <c r="F2751" s="12" t="s">
        <v>20</v>
      </c>
      <c r="G2751" s="13">
        <v>42.0</v>
      </c>
      <c r="H2751" s="13">
        <v>86.0</v>
      </c>
      <c r="I2751" s="13">
        <v>0.0</v>
      </c>
      <c r="J2751" s="13">
        <v>3.0</v>
      </c>
      <c r="K2751" s="12" t="s">
        <v>21</v>
      </c>
      <c r="L2751" s="7">
        <v>42166.75358796296</v>
      </c>
      <c r="M2751" s="16"/>
      <c r="N2751" s="16"/>
      <c r="O2751" s="11" t="str">
        <f>HYPERLINK("https://pbs.twimg.com/profile_images/609166718854807552/t81GUk-e_normal.png","View")</f>
        <v>View</v>
      </c>
      <c r="P2751" s="15"/>
    </row>
    <row r="2752">
      <c r="A2752" s="7">
        <v>42426.004282407404</v>
      </c>
      <c r="B2752" s="8" t="str">
        <f>HYPERLINK("https://twitter.com/DrAndyPardoe","@DrAndyPardoe")</f>
        <v>@DrAndyPardoe</v>
      </c>
      <c r="C2752" s="10" t="s">
        <v>3351</v>
      </c>
      <c r="D2752" s="10" t="s">
        <v>10932</v>
      </c>
      <c r="E2752" s="11" t="str">
        <f>HYPERLINK("https://twitter.com/DrAndyPardoe/status/703128908925808640","703128908925808640")</f>
        <v>703128908925808640</v>
      </c>
      <c r="F2752" s="12" t="s">
        <v>38</v>
      </c>
      <c r="G2752" s="13">
        <v>3759.0</v>
      </c>
      <c r="H2752" s="13">
        <v>2473.0</v>
      </c>
      <c r="I2752" s="13">
        <v>9.0</v>
      </c>
      <c r="J2752" s="13">
        <v>0.0</v>
      </c>
      <c r="K2752" s="12" t="s">
        <v>21</v>
      </c>
      <c r="L2752" s="7">
        <v>41826.237280092595</v>
      </c>
      <c r="M2752" s="14" t="s">
        <v>1093</v>
      </c>
      <c r="N2752" s="14" t="s">
        <v>3352</v>
      </c>
      <c r="O2752" s="11" t="str">
        <f>HYPERLINK("https://pbs.twimg.com/profile_images/485766134268837889/t4PLhSfT_normal.jpeg","View")</f>
        <v>View</v>
      </c>
      <c r="P2752" s="15"/>
    </row>
    <row r="2753">
      <c r="A2753" s="7">
        <v>42426.00842592593</v>
      </c>
      <c r="B2753" s="8" t="str">
        <f>HYPERLINK("https://twitter.com/ukituki","@ukituki")</f>
        <v>@ukituki</v>
      </c>
      <c r="C2753" s="10" t="s">
        <v>7378</v>
      </c>
      <c r="D2753" s="10" t="s">
        <v>10526</v>
      </c>
      <c r="E2753" s="11" t="str">
        <f>HYPERLINK("https://twitter.com/ukituki/status/703130411950444546","703130411950444546")</f>
        <v>703130411950444546</v>
      </c>
      <c r="F2753" s="12" t="s">
        <v>294</v>
      </c>
      <c r="G2753" s="13">
        <v>1035.0</v>
      </c>
      <c r="H2753" s="13">
        <v>2058.0</v>
      </c>
      <c r="I2753" s="13">
        <v>13.0</v>
      </c>
      <c r="J2753" s="13">
        <v>0.0</v>
      </c>
      <c r="K2753" s="12" t="s">
        <v>21</v>
      </c>
      <c r="L2753" s="7">
        <v>39216.46975694445</v>
      </c>
      <c r="M2753" s="14" t="s">
        <v>4621</v>
      </c>
      <c r="N2753" s="14" t="s">
        <v>7380</v>
      </c>
      <c r="O2753" s="11" t="str">
        <f>HYPERLINK("https://pbs.twimg.com/profile_images/1773918608/gravatar_normal.png","View")</f>
        <v>View</v>
      </c>
      <c r="P2753" s="15"/>
    </row>
    <row r="2754">
      <c r="A2754" s="7">
        <v>42426.00949074074</v>
      </c>
      <c r="B2754" s="8" t="str">
        <f t="shared" ref="B2754:B2756" si="301">HYPERLINK("https://twitter.com/CRANberriesFeed","@CRANberriesFeed")</f>
        <v>@CRANberriesFeed</v>
      </c>
      <c r="C2754" s="10" t="s">
        <v>6282</v>
      </c>
      <c r="D2754" s="10" t="s">
        <v>10945</v>
      </c>
      <c r="E2754" s="11" t="str">
        <f>HYPERLINK("https://twitter.com/CRANberriesFeed/status/703130796652007424","703130796652007424")</f>
        <v>703130796652007424</v>
      </c>
      <c r="F2754" s="12" t="s">
        <v>6284</v>
      </c>
      <c r="G2754" s="13">
        <v>657.0</v>
      </c>
      <c r="H2754" s="13">
        <v>0.0</v>
      </c>
      <c r="I2754" s="13">
        <v>0.0</v>
      </c>
      <c r="J2754" s="13">
        <v>1.0</v>
      </c>
      <c r="K2754" s="12" t="s">
        <v>21</v>
      </c>
      <c r="L2754" s="7">
        <v>40546.353425925925</v>
      </c>
      <c r="M2754" s="14" t="s">
        <v>1158</v>
      </c>
      <c r="N2754" s="16"/>
      <c r="O2754" s="11" t="str">
        <f t="shared" ref="O2754:O2756" si="302">HYPERLINK("https://pbs.twimg.com/profile_images/1222779560/cran1_normal.jpg","View")</f>
        <v>View</v>
      </c>
      <c r="P2754" s="15"/>
    </row>
    <row r="2755">
      <c r="A2755" s="7">
        <v>42426.0095949074</v>
      </c>
      <c r="B2755" s="8" t="str">
        <f t="shared" si="301"/>
        <v>@CRANberriesFeed</v>
      </c>
      <c r="C2755" s="10" t="s">
        <v>6282</v>
      </c>
      <c r="D2755" s="10" t="s">
        <v>10946</v>
      </c>
      <c r="E2755" s="11" t="str">
        <f>HYPERLINK("https://twitter.com/CRANberriesFeed/status/703130837353508865","703130837353508865")</f>
        <v>703130837353508865</v>
      </c>
      <c r="F2755" s="12" t="s">
        <v>6284</v>
      </c>
      <c r="G2755" s="13">
        <v>657.0</v>
      </c>
      <c r="H2755" s="13">
        <v>0.0</v>
      </c>
      <c r="I2755" s="13">
        <v>0.0</v>
      </c>
      <c r="J2755" s="13">
        <v>0.0</v>
      </c>
      <c r="K2755" s="12" t="s">
        <v>21</v>
      </c>
      <c r="L2755" s="7">
        <v>40546.353425925925</v>
      </c>
      <c r="M2755" s="14" t="s">
        <v>1158</v>
      </c>
      <c r="N2755" s="16"/>
      <c r="O2755" s="11" t="str">
        <f t="shared" si="302"/>
        <v>View</v>
      </c>
      <c r="P2755" s="15"/>
    </row>
    <row r="2756">
      <c r="A2756" s="7">
        <v>42426.009606481486</v>
      </c>
      <c r="B2756" s="8" t="str">
        <f t="shared" si="301"/>
        <v>@CRANberriesFeed</v>
      </c>
      <c r="C2756" s="10" t="s">
        <v>6282</v>
      </c>
      <c r="D2756" s="10" t="s">
        <v>10947</v>
      </c>
      <c r="E2756" s="11" t="str">
        <f>HYPERLINK("https://twitter.com/CRANberriesFeed/status/703130840704774146","703130840704774146")</f>
        <v>703130840704774146</v>
      </c>
      <c r="F2756" s="12" t="s">
        <v>6284</v>
      </c>
      <c r="G2756" s="13">
        <v>657.0</v>
      </c>
      <c r="H2756" s="13">
        <v>0.0</v>
      </c>
      <c r="I2756" s="13">
        <v>0.0</v>
      </c>
      <c r="J2756" s="13">
        <v>0.0</v>
      </c>
      <c r="K2756" s="12" t="s">
        <v>21</v>
      </c>
      <c r="L2756" s="7">
        <v>40546.353425925925</v>
      </c>
      <c r="M2756" s="14" t="s">
        <v>1158</v>
      </c>
      <c r="N2756" s="16"/>
      <c r="O2756" s="11" t="str">
        <f t="shared" si="302"/>
        <v>View</v>
      </c>
      <c r="P2756" s="15"/>
    </row>
    <row r="2757">
      <c r="A2757" s="7">
        <v>42426.01239583333</v>
      </c>
      <c r="B2757" s="8" t="str">
        <f>HYPERLINK("https://twitter.com/southmapr","@southmapr")</f>
        <v>@southmapr</v>
      </c>
      <c r="C2757" s="10" t="s">
        <v>8482</v>
      </c>
      <c r="D2757" s="10" t="s">
        <v>10735</v>
      </c>
      <c r="E2757" s="11" t="str">
        <f>HYPERLINK("https://twitter.com/southmapr/status/703131848965115907","703131848965115907")</f>
        <v>703131848965115907</v>
      </c>
      <c r="F2757" s="12" t="s">
        <v>152</v>
      </c>
      <c r="G2757" s="13">
        <v>342.0</v>
      </c>
      <c r="H2757" s="13">
        <v>296.0</v>
      </c>
      <c r="I2757" s="13">
        <v>17.0</v>
      </c>
      <c r="J2757" s="13">
        <v>0.0</v>
      </c>
      <c r="K2757" s="12" t="s">
        <v>21</v>
      </c>
      <c r="L2757" s="7">
        <v>41302.16997685185</v>
      </c>
      <c r="M2757" s="14" t="s">
        <v>8484</v>
      </c>
      <c r="N2757" s="14" t="s">
        <v>8485</v>
      </c>
      <c r="O2757" s="11" t="str">
        <f>HYPERLINK("https://pbs.twimg.com/profile_images/411845409284161536/vhIg-rTL_normal.jpeg","View")</f>
        <v>View</v>
      </c>
      <c r="P2757" s="15"/>
    </row>
    <row r="2758">
      <c r="A2758" s="7">
        <v>42426.01395833334</v>
      </c>
      <c r="B2758" s="8" t="str">
        <f>HYPERLINK("https://twitter.com/Harald_U","@Harald_U")</f>
        <v>@Harald_U</v>
      </c>
      <c r="C2758" s="10" t="s">
        <v>10948</v>
      </c>
      <c r="D2758" s="10" t="s">
        <v>10858</v>
      </c>
      <c r="E2758" s="11" t="str">
        <f>HYPERLINK("https://twitter.com/Harald_U/status/703132415410110464","703132415410110464")</f>
        <v>703132415410110464</v>
      </c>
      <c r="F2758" s="12" t="s">
        <v>20</v>
      </c>
      <c r="G2758" s="13">
        <v>150.0</v>
      </c>
      <c r="H2758" s="13">
        <v>73.0</v>
      </c>
      <c r="I2758" s="13">
        <v>7.0</v>
      </c>
      <c r="J2758" s="13">
        <v>0.0</v>
      </c>
      <c r="K2758" s="12" t="s">
        <v>21</v>
      </c>
      <c r="L2758" s="7">
        <v>41737.204930555556</v>
      </c>
      <c r="M2758" s="14" t="s">
        <v>10949</v>
      </c>
      <c r="N2758" s="14" t="s">
        <v>10950</v>
      </c>
      <c r="O2758" s="11" t="str">
        <f>HYPERLINK("https://pbs.twimg.com/profile_images/631084586940899328/_W1qQMW4_normal.jpg","View")</f>
        <v>View</v>
      </c>
      <c r="P2758" s="15"/>
    </row>
    <row r="2759">
      <c r="A2759" s="7">
        <v>42426.01395833334</v>
      </c>
      <c r="B2759" s="8" t="str">
        <f>HYPERLINK("https://twitter.com/homeAIinfo","@homeAIinfo")</f>
        <v>@homeAIinfo</v>
      </c>
      <c r="C2759" s="10" t="s">
        <v>36</v>
      </c>
      <c r="D2759" s="10" t="s">
        <v>10932</v>
      </c>
      <c r="E2759" s="11" t="str">
        <f>HYPERLINK("https://twitter.com/homeAIinfo/status/703132415871492098","703132415871492098")</f>
        <v>703132415871492098</v>
      </c>
      <c r="F2759" s="12" t="s">
        <v>38</v>
      </c>
      <c r="G2759" s="13">
        <v>52868.0</v>
      </c>
      <c r="H2759" s="13">
        <v>1328.0</v>
      </c>
      <c r="I2759" s="13">
        <v>9.0</v>
      </c>
      <c r="J2759" s="13">
        <v>0.0</v>
      </c>
      <c r="K2759" s="12" t="s">
        <v>21</v>
      </c>
      <c r="L2759" s="7">
        <v>42133.34662037037</v>
      </c>
      <c r="M2759" s="14" t="s">
        <v>39</v>
      </c>
      <c r="N2759" s="14" t="s">
        <v>40</v>
      </c>
      <c r="O2759" s="11" t="str">
        <f>HYPERLINK("https://pbs.twimg.com/profile_images/645650110374936580/-oQakt8x_normal.png","View")</f>
        <v>View</v>
      </c>
      <c r="P2759" s="15"/>
    </row>
    <row r="2760">
      <c r="A2760" s="7">
        <v>42426.021099537036</v>
      </c>
      <c r="B2760" s="8" t="str">
        <f>HYPERLINK("https://twitter.com/dauwevercamer","@dauwevercamer")</f>
        <v>@dauwevercamer</v>
      </c>
      <c r="C2760" s="10" t="s">
        <v>10951</v>
      </c>
      <c r="D2760" s="10" t="s">
        <v>8081</v>
      </c>
      <c r="E2760" s="11" t="str">
        <f>HYPERLINK("https://twitter.com/dauwevercamer/status/703135004478406658","703135004478406658")</f>
        <v>703135004478406658</v>
      </c>
      <c r="F2760" s="12" t="s">
        <v>52</v>
      </c>
      <c r="G2760" s="13">
        <v>403.0</v>
      </c>
      <c r="H2760" s="13">
        <v>694.0</v>
      </c>
      <c r="I2760" s="13">
        <v>5.0</v>
      </c>
      <c r="J2760" s="13">
        <v>0.0</v>
      </c>
      <c r="K2760" s="12" t="s">
        <v>21</v>
      </c>
      <c r="L2760" s="7">
        <v>40741.50466435185</v>
      </c>
      <c r="M2760" s="14" t="s">
        <v>3939</v>
      </c>
      <c r="N2760" s="14" t="s">
        <v>10952</v>
      </c>
      <c r="O2760" s="11" t="str">
        <f>HYPERLINK("https://pbs.twimg.com/profile_images/491923236012052480/V0Lu1EV8_normal.jpeg","View")</f>
        <v>View</v>
      </c>
      <c r="P2760" s="15"/>
    </row>
    <row r="2761">
      <c r="A2761" s="7">
        <v>42426.02581018519</v>
      </c>
      <c r="B2761" s="8" t="str">
        <f>HYPERLINK("https://twitter.com/benjguin","@benjguin")</f>
        <v>@benjguin</v>
      </c>
      <c r="C2761" s="10" t="s">
        <v>9426</v>
      </c>
      <c r="D2761" s="10" t="s">
        <v>10953</v>
      </c>
      <c r="E2761" s="11" t="str">
        <f>HYPERLINK("https://twitter.com/benjguin/status/703136710159241216","703136710159241216")</f>
        <v>703136710159241216</v>
      </c>
      <c r="F2761" s="12" t="s">
        <v>446</v>
      </c>
      <c r="G2761" s="13">
        <v>1054.0</v>
      </c>
      <c r="H2761" s="13">
        <v>764.0</v>
      </c>
      <c r="I2761" s="13">
        <v>1.0</v>
      </c>
      <c r="J2761" s="13">
        <v>0.0</v>
      </c>
      <c r="K2761" s="12" t="s">
        <v>21</v>
      </c>
      <c r="L2761" s="7">
        <v>40182.34693287037</v>
      </c>
      <c r="M2761" s="14" t="s">
        <v>416</v>
      </c>
      <c r="N2761" s="14" t="s">
        <v>9428</v>
      </c>
      <c r="O2761" s="11" t="str">
        <f>HYPERLINK("https://pbs.twimg.com/profile_images/636919861105573888/6vFgQ2b7_normal.jpg","View")</f>
        <v>View</v>
      </c>
      <c r="P2761" s="15"/>
    </row>
    <row r="2762">
      <c r="A2762" s="7">
        <v>42426.028067129635</v>
      </c>
      <c r="B2762" s="8" t="str">
        <f>HYPERLINK("https://twitter.com/codepedia_info","@codepedia_info")</f>
        <v>@codepedia_info</v>
      </c>
      <c r="C2762" s="10" t="s">
        <v>6579</v>
      </c>
      <c r="D2762" s="10" t="s">
        <v>10954</v>
      </c>
      <c r="E2762" s="11" t="str">
        <f>HYPERLINK("https://twitter.com/codepedia_info/status/703137528992247808","703137528992247808")</f>
        <v>703137528992247808</v>
      </c>
      <c r="F2762" s="12" t="s">
        <v>6581</v>
      </c>
      <c r="G2762" s="13">
        <v>790.0</v>
      </c>
      <c r="H2762" s="13">
        <v>489.0</v>
      </c>
      <c r="I2762" s="13">
        <v>1.0</v>
      </c>
      <c r="J2762" s="13">
        <v>0.0</v>
      </c>
      <c r="K2762" s="12" t="s">
        <v>21</v>
      </c>
      <c r="L2762" s="7">
        <v>42292.92140046296</v>
      </c>
      <c r="M2762" s="16"/>
      <c r="N2762" s="14" t="s">
        <v>6582</v>
      </c>
      <c r="O2762" s="11" t="str">
        <f>HYPERLINK("https://pbs.twimg.com/profile_images/655054050832969728/3mJGHxhS_normal.jpg","View")</f>
        <v>View</v>
      </c>
      <c r="P2762" s="15"/>
    </row>
    <row r="2763">
      <c r="A2763" s="7">
        <v>42426.02918981481</v>
      </c>
      <c r="B2763" s="8" t="str">
        <f>HYPERLINK("https://twitter.com/fjalolop000","@fjalolop000")</f>
        <v>@fjalolop000</v>
      </c>
      <c r="C2763" s="10" t="s">
        <v>6576</v>
      </c>
      <c r="D2763" s="10" t="s">
        <v>10343</v>
      </c>
      <c r="E2763" s="11" t="str">
        <f>HYPERLINK("https://twitter.com/fjalolop000/status/703137938326982657","703137938326982657")</f>
        <v>703137938326982657</v>
      </c>
      <c r="F2763" s="12" t="s">
        <v>152</v>
      </c>
      <c r="G2763" s="13">
        <v>16.0</v>
      </c>
      <c r="H2763" s="13">
        <v>54.0</v>
      </c>
      <c r="I2763" s="13">
        <v>15.0</v>
      </c>
      <c r="J2763" s="13">
        <v>0.0</v>
      </c>
      <c r="K2763" s="12" t="s">
        <v>21</v>
      </c>
      <c r="L2763" s="7">
        <v>41617.3140625</v>
      </c>
      <c r="M2763" s="16"/>
      <c r="N2763" s="16"/>
      <c r="O2763" s="11" t="str">
        <f>HYPERLINK("https://pbs.twimg.com/profile_images/576799609873428480/V8akQ-mi_normal.jpeg","View")</f>
        <v>View</v>
      </c>
      <c r="P2763" s="15"/>
    </row>
    <row r="2764">
      <c r="A2764" s="7">
        <v>42426.0333912037</v>
      </c>
      <c r="B2764" s="8" t="str">
        <f>HYPERLINK("https://twitter.com/ScientificGems","@ScientificGems")</f>
        <v>@ScientificGems</v>
      </c>
      <c r="C2764" s="10" t="s">
        <v>10955</v>
      </c>
      <c r="D2764" s="10" t="s">
        <v>10956</v>
      </c>
      <c r="E2764" s="11" t="str">
        <f>HYPERLINK("https://twitter.com/ScientificGems/status/703139457713590273","703139457713590273")</f>
        <v>703139457713590273</v>
      </c>
      <c r="F2764" s="17" t="s">
        <v>349</v>
      </c>
      <c r="G2764" s="13">
        <v>171.0</v>
      </c>
      <c r="H2764" s="13">
        <v>115.0</v>
      </c>
      <c r="I2764" s="13">
        <v>0.0</v>
      </c>
      <c r="J2764" s="13">
        <v>1.0</v>
      </c>
      <c r="K2764" s="12" t="s">
        <v>21</v>
      </c>
      <c r="L2764" s="7">
        <v>41555.90969907407</v>
      </c>
      <c r="M2764" s="14" t="s">
        <v>451</v>
      </c>
      <c r="N2764" s="14" t="s">
        <v>10957</v>
      </c>
      <c r="O2764" s="11" t="str">
        <f>HYPERLINK("https://pbs.twimg.com/profile_images/378800000571333500/fd0fb6e42b10401e0530869924ffae10_normal.jpeg","View")</f>
        <v>View</v>
      </c>
      <c r="P2764" s="15"/>
    </row>
    <row r="2765">
      <c r="A2765" s="7">
        <v>42426.03434027778</v>
      </c>
      <c r="B2765" s="8" t="str">
        <f>HYPERLINK("https://twitter.com/AlbCarrascal","@AlbCarrascal")</f>
        <v>@AlbCarrascal</v>
      </c>
      <c r="C2765" s="10" t="s">
        <v>10958</v>
      </c>
      <c r="D2765" s="10" t="s">
        <v>10876</v>
      </c>
      <c r="E2765" s="11" t="str">
        <f>HYPERLINK("https://twitter.com/AlbCarrascal/status/703139804184051713","703139804184051713")</f>
        <v>703139804184051713</v>
      </c>
      <c r="F2765" s="12" t="s">
        <v>20</v>
      </c>
      <c r="G2765" s="13">
        <v>216.0</v>
      </c>
      <c r="H2765" s="13">
        <v>329.0</v>
      </c>
      <c r="I2765" s="13">
        <v>24.0</v>
      </c>
      <c r="J2765" s="13">
        <v>0.0</v>
      </c>
      <c r="K2765" s="12" t="s">
        <v>21</v>
      </c>
      <c r="L2765" s="7">
        <v>40701.59199074074</v>
      </c>
      <c r="M2765" s="14" t="s">
        <v>10959</v>
      </c>
      <c r="N2765" s="14" t="s">
        <v>10960</v>
      </c>
      <c r="O2765" s="11" t="str">
        <f>HYPERLINK("https://pbs.twimg.com/profile_images/378800000401110118/70dd24b2a04e7f60fa2c136692c27784_normal.jpeg","View")</f>
        <v>View</v>
      </c>
      <c r="P2765" s="15"/>
    </row>
    <row r="2766">
      <c r="A2766" s="7">
        <v>42426.03467592593</v>
      </c>
      <c r="B2766" s="8" t="str">
        <f>HYPERLINK("https://twitter.com/TrineBekkby","@TrineBekkby")</f>
        <v>@TrineBekkby</v>
      </c>
      <c r="C2766" s="10" t="s">
        <v>10961</v>
      </c>
      <c r="D2766" s="10" t="s">
        <v>10696</v>
      </c>
      <c r="E2766" s="11" t="str">
        <f>HYPERLINK("https://twitter.com/TrineBekkby/status/703139926594826240","703139926594826240")</f>
        <v>703139926594826240</v>
      </c>
      <c r="F2766" s="12" t="s">
        <v>52</v>
      </c>
      <c r="G2766" s="13">
        <v>163.0</v>
      </c>
      <c r="H2766" s="13">
        <v>125.0</v>
      </c>
      <c r="I2766" s="13">
        <v>15.0</v>
      </c>
      <c r="J2766" s="13">
        <v>0.0</v>
      </c>
      <c r="K2766" s="12" t="s">
        <v>21</v>
      </c>
      <c r="L2766" s="7">
        <v>42010.146099537036</v>
      </c>
      <c r="M2766" s="14" t="s">
        <v>10962</v>
      </c>
      <c r="N2766" s="14" t="s">
        <v>10963</v>
      </c>
      <c r="O2766" s="11" t="str">
        <f>HYPERLINK("https://pbs.twimg.com/profile_images/552429083993198592/NJ0slBnw_normal.jpeg","View")</f>
        <v>View</v>
      </c>
      <c r="P2766" s="15"/>
    </row>
    <row r="2767">
      <c r="A2767" s="7">
        <v>42426.03758101852</v>
      </c>
      <c r="B2767" s="8" t="str">
        <f>HYPERLINK("https://twitter.com/OlegR","@OlegR")</f>
        <v>@OlegR</v>
      </c>
      <c r="C2767" s="10" t="s">
        <v>10920</v>
      </c>
      <c r="D2767" s="10" t="s">
        <v>10964</v>
      </c>
      <c r="E2767" s="11" t="str">
        <f>HYPERLINK("https://twitter.com/OlegR/status/703140976055836672","703140976055836672")</f>
        <v>703140976055836672</v>
      </c>
      <c r="F2767" s="12" t="s">
        <v>294</v>
      </c>
      <c r="G2767" s="13">
        <v>7368.0</v>
      </c>
      <c r="H2767" s="13">
        <v>7448.0</v>
      </c>
      <c r="I2767" s="13">
        <v>0.0</v>
      </c>
      <c r="J2767" s="13">
        <v>1.0</v>
      </c>
      <c r="K2767" s="12" t="s">
        <v>21</v>
      </c>
      <c r="L2767" s="7">
        <v>39608.328946759255</v>
      </c>
      <c r="M2767" s="14" t="s">
        <v>69</v>
      </c>
      <c r="N2767" s="14" t="s">
        <v>10922</v>
      </c>
      <c r="O2767" s="11" t="str">
        <f>HYPERLINK("https://pbs.twimg.com/profile_images/378800000301017700/819f65befc9c0635b63e0d7c47134947_normal.png","View")</f>
        <v>View</v>
      </c>
      <c r="P2767" s="15"/>
    </row>
    <row r="2768">
      <c r="A2768" s="7">
        <v>42426.03774305555</v>
      </c>
      <c r="B2768" s="8" t="str">
        <f>HYPERLINK("https://twitter.com/Frank_Txu","@Frank_Txu")</f>
        <v>@Frank_Txu</v>
      </c>
      <c r="C2768" s="10" t="s">
        <v>10965</v>
      </c>
      <c r="D2768" s="10" t="s">
        <v>8081</v>
      </c>
      <c r="E2768" s="11" t="str">
        <f>HYPERLINK("https://twitter.com/Frank_Txu/status/703141037783420930","703141037783420930")</f>
        <v>703141037783420930</v>
      </c>
      <c r="F2768" s="12" t="s">
        <v>152</v>
      </c>
      <c r="G2768" s="13">
        <v>217.0</v>
      </c>
      <c r="H2768" s="13">
        <v>865.0</v>
      </c>
      <c r="I2768" s="13">
        <v>5.0</v>
      </c>
      <c r="J2768" s="13">
        <v>0.0</v>
      </c>
      <c r="K2768" s="12" t="s">
        <v>21</v>
      </c>
      <c r="L2768" s="7">
        <v>40585.571747685186</v>
      </c>
      <c r="M2768" s="14" t="s">
        <v>10966</v>
      </c>
      <c r="N2768" s="14" t="s">
        <v>10967</v>
      </c>
      <c r="O2768" s="11" t="str">
        <f>HYPERLINK("https://pbs.twimg.com/profile_images/701756818599489536/NdzgwneQ_normal.jpg","View")</f>
        <v>View</v>
      </c>
      <c r="P2768" s="15"/>
    </row>
    <row r="2769">
      <c r="A2769" s="7">
        <v>42426.04104166667</v>
      </c>
      <c r="B2769" s="8" t="str">
        <f>HYPERLINK("https://twitter.com/civanespinosa","@civanespinosa")</f>
        <v>@civanespinosa</v>
      </c>
      <c r="C2769" s="10" t="s">
        <v>10968</v>
      </c>
      <c r="D2769" s="10" t="s">
        <v>10876</v>
      </c>
      <c r="E2769" s="11" t="str">
        <f>HYPERLINK("https://twitter.com/civanespinosa/status/703142231184572417","703142231184572417")</f>
        <v>703142231184572417</v>
      </c>
      <c r="F2769" s="12" t="s">
        <v>52</v>
      </c>
      <c r="G2769" s="13">
        <v>118.0</v>
      </c>
      <c r="H2769" s="13">
        <v>208.0</v>
      </c>
      <c r="I2769" s="13">
        <v>24.0</v>
      </c>
      <c r="J2769" s="13">
        <v>0.0</v>
      </c>
      <c r="K2769" s="12" t="s">
        <v>21</v>
      </c>
      <c r="L2769" s="7">
        <v>41169.382256944446</v>
      </c>
      <c r="M2769" s="14" t="s">
        <v>10969</v>
      </c>
      <c r="N2769" s="14" t="s">
        <v>10970</v>
      </c>
      <c r="O2769" s="11" t="str">
        <f>HYPERLINK("https://pbs.twimg.com/profile_images/2850904816/e8ee012a57d1cd22e15102cc25675a5e_normal.jpeg","View")</f>
        <v>View</v>
      </c>
      <c r="P2769" s="15"/>
    </row>
    <row r="2770">
      <c r="A2770" s="7">
        <v>42426.044085648144</v>
      </c>
      <c r="B2770" s="8" t="str">
        <f>HYPERLINK("https://twitter.com/BawnMatt","@BawnMatt")</f>
        <v>@BawnMatt</v>
      </c>
      <c r="C2770" s="10" t="s">
        <v>7637</v>
      </c>
      <c r="D2770" s="10" t="s">
        <v>10971</v>
      </c>
      <c r="E2770" s="11" t="str">
        <f>HYPERLINK("https://twitter.com/BawnMatt/status/703143336207470592","703143336207470592")</f>
        <v>703143336207470592</v>
      </c>
      <c r="F2770" s="12" t="s">
        <v>20</v>
      </c>
      <c r="G2770" s="13">
        <v>75.0</v>
      </c>
      <c r="H2770" s="13">
        <v>158.0</v>
      </c>
      <c r="I2770" s="13">
        <v>0.0</v>
      </c>
      <c r="J2770" s="13">
        <v>0.0</v>
      </c>
      <c r="K2770" s="12" t="s">
        <v>21</v>
      </c>
      <c r="L2770" s="7">
        <v>41396.35667824074</v>
      </c>
      <c r="M2770" s="14" t="s">
        <v>7639</v>
      </c>
      <c r="N2770" s="14" t="s">
        <v>7640</v>
      </c>
      <c r="O2770" s="11" t="str">
        <f>HYPERLINK("https://pbs.twimg.com/profile_images/462772097593245696/Cr6fAyMs_normal.jpeg","View")</f>
        <v>View</v>
      </c>
      <c r="P2770" s="15"/>
    </row>
    <row r="2771">
      <c r="A2771" s="7">
        <v>42426.04451388889</v>
      </c>
      <c r="B2771" s="8" t="str">
        <f>HYPERLINK("https://twitter.com/ukgav","@ukgav")</f>
        <v>@ukgav</v>
      </c>
      <c r="C2771" s="10" t="s">
        <v>10972</v>
      </c>
      <c r="D2771" s="10" t="s">
        <v>10313</v>
      </c>
      <c r="E2771" s="11" t="str">
        <f>HYPERLINK("https://twitter.com/ukgav/status/703143490243330049","703143490243330049")</f>
        <v>703143490243330049</v>
      </c>
      <c r="F2771" s="12" t="s">
        <v>152</v>
      </c>
      <c r="G2771" s="13">
        <v>1327.0</v>
      </c>
      <c r="H2771" s="13">
        <v>2097.0</v>
      </c>
      <c r="I2771" s="13">
        <v>7.0</v>
      </c>
      <c r="J2771" s="13">
        <v>0.0</v>
      </c>
      <c r="K2771" s="12" t="s">
        <v>21</v>
      </c>
      <c r="L2771" s="7">
        <v>40542.55751157407</v>
      </c>
      <c r="M2771" s="14" t="s">
        <v>1235</v>
      </c>
      <c r="N2771" s="14" t="s">
        <v>10973</v>
      </c>
      <c r="O2771" s="11" t="str">
        <f>HYPERLINK("https://pbs.twimg.com/profile_images/562725943912202240/abtXJzYi_normal.jpeg","View")</f>
        <v>View</v>
      </c>
      <c r="P2771" s="15"/>
    </row>
    <row r="2772">
      <c r="A2772" s="7">
        <v>42426.046064814815</v>
      </c>
      <c r="B2772" s="8" t="str">
        <f t="shared" ref="B2772:B2773" si="303">HYPERLINK("https://twitter.com/SomayehTaheri","@SomayehTaheri")</f>
        <v>@SomayehTaheri</v>
      </c>
      <c r="C2772" s="10" t="s">
        <v>10974</v>
      </c>
      <c r="D2772" s="10" t="s">
        <v>6319</v>
      </c>
      <c r="E2772" s="11" t="str">
        <f>HYPERLINK("https://twitter.com/SomayehTaheri/status/703144053550940160","703144053550940160")</f>
        <v>703144053550940160</v>
      </c>
      <c r="F2772" s="12" t="s">
        <v>152</v>
      </c>
      <c r="G2772" s="13">
        <v>63.0</v>
      </c>
      <c r="H2772" s="13">
        <v>130.0</v>
      </c>
      <c r="I2772" s="13">
        <v>106.0</v>
      </c>
      <c r="J2772" s="13">
        <v>0.0</v>
      </c>
      <c r="K2772" s="12" t="s">
        <v>21</v>
      </c>
      <c r="L2772" s="7">
        <v>40826.20810185185</v>
      </c>
      <c r="M2772" s="14" t="s">
        <v>7274</v>
      </c>
      <c r="N2772" s="14" t="s">
        <v>10975</v>
      </c>
      <c r="O2772" s="11" t="str">
        <f t="shared" ref="O2772:O2773" si="304">HYPERLINK("https://pbs.twimg.com/profile_images/378800000021254026/60b009042977445b1f207b576958e2f6_normal.jpeg","View")</f>
        <v>View</v>
      </c>
      <c r="P2772" s="15"/>
    </row>
    <row r="2773">
      <c r="A2773" s="7">
        <v>42426.04618055555</v>
      </c>
      <c r="B2773" s="8" t="str">
        <f t="shared" si="303"/>
        <v>@SomayehTaheri</v>
      </c>
      <c r="C2773" s="10" t="s">
        <v>10974</v>
      </c>
      <c r="D2773" s="10" t="s">
        <v>6296</v>
      </c>
      <c r="E2773" s="11" t="str">
        <f>HYPERLINK("https://twitter.com/SomayehTaheri/status/703144095057707008","703144095057707008")</f>
        <v>703144095057707008</v>
      </c>
      <c r="F2773" s="12" t="s">
        <v>152</v>
      </c>
      <c r="G2773" s="13">
        <v>63.0</v>
      </c>
      <c r="H2773" s="13">
        <v>130.0</v>
      </c>
      <c r="I2773" s="13">
        <v>49.0</v>
      </c>
      <c r="J2773" s="13">
        <v>0.0</v>
      </c>
      <c r="K2773" s="12" t="s">
        <v>21</v>
      </c>
      <c r="L2773" s="7">
        <v>40826.20810185185</v>
      </c>
      <c r="M2773" s="14" t="s">
        <v>7274</v>
      </c>
      <c r="N2773" s="14" t="s">
        <v>10975</v>
      </c>
      <c r="O2773" s="11" t="str">
        <f t="shared" si="304"/>
        <v>View</v>
      </c>
      <c r="P2773" s="15"/>
    </row>
    <row r="2774">
      <c r="A2774" s="7">
        <v>42426.0477662037</v>
      </c>
      <c r="B2774" s="8" t="str">
        <f>HYPERLINK("https://twitter.com/humorkritik","@humorkritik")</f>
        <v>@humorkritik</v>
      </c>
      <c r="C2774" s="10" t="s">
        <v>10976</v>
      </c>
      <c r="D2774" s="10" t="s">
        <v>10931</v>
      </c>
      <c r="E2774" s="11" t="str">
        <f>HYPERLINK("https://twitter.com/humorkritik/status/703144670101045248","703144670101045248")</f>
        <v>703144670101045248</v>
      </c>
      <c r="F2774" s="12" t="s">
        <v>446</v>
      </c>
      <c r="G2774" s="13">
        <v>466.0</v>
      </c>
      <c r="H2774" s="13">
        <v>867.0</v>
      </c>
      <c r="I2774" s="13">
        <v>2.0</v>
      </c>
      <c r="J2774" s="13">
        <v>0.0</v>
      </c>
      <c r="K2774" s="12" t="s">
        <v>21</v>
      </c>
      <c r="L2774" s="7">
        <v>41593.28420138889</v>
      </c>
      <c r="M2774" s="14" t="s">
        <v>10977</v>
      </c>
      <c r="N2774" s="14" t="s">
        <v>10978</v>
      </c>
      <c r="O2774" s="11" t="str">
        <f>HYPERLINK("https://pbs.twimg.com/profile_images/699546578596536320/kqAMFIWY_normal.jpg","View")</f>
        <v>View</v>
      </c>
      <c r="P2774" s="15"/>
    </row>
    <row r="2775">
      <c r="A2775" s="7">
        <v>42426.04947916667</v>
      </c>
      <c r="B2775" s="8" t="str">
        <f>HYPERLINK("https://twitter.com/MangoTheCat","@MangoTheCat")</f>
        <v>@MangoTheCat</v>
      </c>
      <c r="C2775" s="10" t="s">
        <v>6321</v>
      </c>
      <c r="D2775" s="10" t="s">
        <v>10979</v>
      </c>
      <c r="E2775" s="11" t="str">
        <f>HYPERLINK("https://twitter.com/MangoTheCat/status/703145289364844544","703145289364844544")</f>
        <v>703145289364844544</v>
      </c>
      <c r="F2775" s="12" t="s">
        <v>152</v>
      </c>
      <c r="G2775" s="13">
        <v>2041.0</v>
      </c>
      <c r="H2775" s="13">
        <v>2855.0</v>
      </c>
      <c r="I2775" s="13">
        <v>2.0</v>
      </c>
      <c r="J2775" s="13">
        <v>0.0</v>
      </c>
      <c r="K2775" s="12" t="s">
        <v>21</v>
      </c>
      <c r="L2775" s="7">
        <v>39854.3178587963</v>
      </c>
      <c r="M2775" s="14" t="s">
        <v>6323</v>
      </c>
      <c r="N2775" s="14" t="s">
        <v>6324</v>
      </c>
      <c r="O2775" s="11" t="str">
        <f>HYPERLINK("https://pbs.twimg.com/profile_images/641183991077445633/V7VcBpJI_normal.png","View")</f>
        <v>View</v>
      </c>
      <c r="P2775" s="15"/>
    </row>
    <row r="2776">
      <c r="A2776" s="7">
        <v>42426.050208333334</v>
      </c>
      <c r="B2776" s="8" t="str">
        <f>HYPERLINK("https://twitter.com/earlconf","@earlconf")</f>
        <v>@earlconf</v>
      </c>
      <c r="C2776" s="10" t="s">
        <v>7100</v>
      </c>
      <c r="D2776" s="10" t="s">
        <v>10980</v>
      </c>
      <c r="E2776" s="11" t="str">
        <f>HYPERLINK("https://twitter.com/earlconf/status/703145553509519360","703145553509519360")</f>
        <v>703145553509519360</v>
      </c>
      <c r="F2776" s="12" t="s">
        <v>152</v>
      </c>
      <c r="G2776" s="13">
        <v>1081.0</v>
      </c>
      <c r="H2776" s="13">
        <v>2351.0</v>
      </c>
      <c r="I2776" s="13">
        <v>2.0</v>
      </c>
      <c r="J2776" s="13">
        <v>0.0</v>
      </c>
      <c r="K2776" s="12" t="s">
        <v>21</v>
      </c>
      <c r="L2776" s="7">
        <v>41677.49930555555</v>
      </c>
      <c r="M2776" s="14" t="s">
        <v>7102</v>
      </c>
      <c r="N2776" s="14" t="s">
        <v>7103</v>
      </c>
      <c r="O2776" s="11" t="str">
        <f>HYPERLINK("https://pbs.twimg.com/profile_images/432298122203512833/YDXfWlI__normal.png","View")</f>
        <v>View</v>
      </c>
      <c r="P2776" s="15"/>
    </row>
    <row r="2777">
      <c r="A2777" s="7">
        <v>42426.05385416667</v>
      </c>
      <c r="B2777" s="8" t="str">
        <f>HYPERLINK("https://twitter.com/CmRoycostilla","@CmRoycostilla")</f>
        <v>@CmRoycostilla</v>
      </c>
      <c r="C2777" s="10" t="s">
        <v>6712</v>
      </c>
      <c r="D2777" s="10" t="s">
        <v>10455</v>
      </c>
      <c r="E2777" s="11" t="str">
        <f>HYPERLINK("https://twitter.com/CmRoycostilla/status/703146873721221123","703146873721221123")</f>
        <v>703146873721221123</v>
      </c>
      <c r="F2777" s="12" t="s">
        <v>152</v>
      </c>
      <c r="G2777" s="13">
        <v>53.0</v>
      </c>
      <c r="H2777" s="13">
        <v>151.0</v>
      </c>
      <c r="I2777" s="13">
        <v>22.0</v>
      </c>
      <c r="J2777" s="13">
        <v>0.0</v>
      </c>
      <c r="K2777" s="12" t="s">
        <v>21</v>
      </c>
      <c r="L2777" s="7">
        <v>42344.769791666666</v>
      </c>
      <c r="M2777" s="14" t="s">
        <v>6713</v>
      </c>
      <c r="N2777" s="14" t="s">
        <v>6714</v>
      </c>
      <c r="O2777" s="11" t="str">
        <f>HYPERLINK("https://pbs.twimg.com/profile_images/674172690849120256/_s6p8Xra_normal.jpg","View")</f>
        <v>View</v>
      </c>
      <c r="P2777" s="15"/>
    </row>
    <row r="2778">
      <c r="A2778" s="7">
        <v>42426.055439814816</v>
      </c>
      <c r="B2778" s="8" t="str">
        <f>HYPERLINK("https://twitter.com/jlnlanger","@jlnlanger")</f>
        <v>@jlnlanger</v>
      </c>
      <c r="C2778" s="10" t="s">
        <v>10981</v>
      </c>
      <c r="D2778" s="10" t="s">
        <v>10042</v>
      </c>
      <c r="E2778" s="11" t="str">
        <f>HYPERLINK("https://twitter.com/jlnlanger/status/703147448458293249","703147448458293249")</f>
        <v>703147448458293249</v>
      </c>
      <c r="F2778" s="12" t="s">
        <v>152</v>
      </c>
      <c r="G2778" s="13">
        <v>103.0</v>
      </c>
      <c r="H2778" s="13">
        <v>486.0</v>
      </c>
      <c r="I2778" s="13">
        <v>2.0</v>
      </c>
      <c r="J2778" s="13">
        <v>0.0</v>
      </c>
      <c r="K2778" s="12" t="s">
        <v>21</v>
      </c>
      <c r="L2778" s="7">
        <v>40811.05237268518</v>
      </c>
      <c r="M2778" s="14" t="s">
        <v>7185</v>
      </c>
      <c r="N2778" s="14" t="s">
        <v>10982</v>
      </c>
      <c r="O2778" s="11" t="str">
        <f>HYPERLINK("https://pbs.twimg.com/profile_images/692745486583730177/1WcQGOCf_normal.png","View")</f>
        <v>View</v>
      </c>
      <c r="P2778" s="15"/>
    </row>
    <row r="2779">
      <c r="A2779" s="7">
        <v>42426.057233796295</v>
      </c>
      <c r="B2779" s="8" t="str">
        <f>HYPERLINK("https://twitter.com/brendanbabb","@brendanbabb")</f>
        <v>@brendanbabb</v>
      </c>
      <c r="C2779" s="10" t="s">
        <v>10983</v>
      </c>
      <c r="D2779" s="10" t="s">
        <v>9741</v>
      </c>
      <c r="E2779" s="11" t="str">
        <f>HYPERLINK("https://twitter.com/brendanbabb/status/703148099791794177","703148099791794177")</f>
        <v>703148099791794177</v>
      </c>
      <c r="F2779" s="12" t="s">
        <v>52</v>
      </c>
      <c r="G2779" s="13">
        <v>713.0</v>
      </c>
      <c r="H2779" s="13">
        <v>1392.0</v>
      </c>
      <c r="I2779" s="13">
        <v>12.0</v>
      </c>
      <c r="J2779" s="13">
        <v>0.0</v>
      </c>
      <c r="K2779" s="12" t="s">
        <v>21</v>
      </c>
      <c r="L2779" s="7">
        <v>40591.502430555556</v>
      </c>
      <c r="M2779" s="14" t="s">
        <v>10984</v>
      </c>
      <c r="N2779" s="14" t="s">
        <v>10985</v>
      </c>
      <c r="O2779" s="11" t="str">
        <f>HYPERLINK("https://pbs.twimg.com/profile_images/2829186606/ce9ed7cc870e9b7b810a8a63e6f9453e_normal.jpeg","View")</f>
        <v>View</v>
      </c>
      <c r="P2779" s="15"/>
    </row>
    <row r="2780">
      <c r="A2780" s="7">
        <v>42426.059224537035</v>
      </c>
      <c r="B2780" s="8" t="str">
        <f>HYPERLINK("https://twitter.com/RLangTip","@RLangTip")</f>
        <v>@RLangTip</v>
      </c>
      <c r="C2780" s="10" t="s">
        <v>7460</v>
      </c>
      <c r="D2780" s="10" t="s">
        <v>10986</v>
      </c>
      <c r="E2780" s="11" t="str">
        <f>HYPERLINK("https://twitter.com/RLangTip/status/703148820243218432","703148820243218432")</f>
        <v>703148820243218432</v>
      </c>
      <c r="F2780" s="12" t="s">
        <v>659</v>
      </c>
      <c r="G2780" s="13">
        <v>30041.0</v>
      </c>
      <c r="H2780" s="13">
        <v>11.0</v>
      </c>
      <c r="I2780" s="13">
        <v>12.0</v>
      </c>
      <c r="J2780" s="13">
        <v>20.0</v>
      </c>
      <c r="K2780" s="12" t="s">
        <v>21</v>
      </c>
      <c r="L2780" s="7">
        <v>40671.57754629629</v>
      </c>
      <c r="M2780" s="16"/>
      <c r="N2780" s="14" t="s">
        <v>7462</v>
      </c>
      <c r="O2780" s="11" t="str">
        <f>HYPERLINK("https://pbs.twimg.com/profile_images/1344530309/RLangTip_normal.png","View")</f>
        <v>View</v>
      </c>
      <c r="P2780" s="15"/>
    </row>
    <row r="2781">
      <c r="A2781" s="7">
        <v>42426.0597337963</v>
      </c>
      <c r="B2781" s="8" t="str">
        <f>HYPERLINK("https://twitter.com/chlalanne","@chlalanne")</f>
        <v>@chlalanne</v>
      </c>
      <c r="C2781" s="10" t="s">
        <v>6893</v>
      </c>
      <c r="D2781" s="10" t="s">
        <v>10987</v>
      </c>
      <c r="E2781" s="11" t="str">
        <f>HYPERLINK("https://twitter.com/chlalanne/status/703149006273122304","703149006273122304")</f>
        <v>703149006273122304</v>
      </c>
      <c r="F2781" s="12" t="s">
        <v>991</v>
      </c>
      <c r="G2781" s="13">
        <v>1747.0</v>
      </c>
      <c r="H2781" s="13">
        <v>2020.0</v>
      </c>
      <c r="I2781" s="13">
        <v>1.0</v>
      </c>
      <c r="J2781" s="13">
        <v>0.0</v>
      </c>
      <c r="K2781" s="12" t="s">
        <v>21</v>
      </c>
      <c r="L2781" s="7">
        <v>39893.41826388889</v>
      </c>
      <c r="M2781" s="14" t="s">
        <v>416</v>
      </c>
      <c r="N2781" s="14" t="s">
        <v>6895</v>
      </c>
      <c r="O2781" s="11" t="str">
        <f>HYPERLINK("https://pbs.twimg.com/profile_images/1135754268/chl2bgv2_normal.png","View")</f>
        <v>View</v>
      </c>
      <c r="P2781" s="15"/>
    </row>
    <row r="2782">
      <c r="A2782" s="7">
        <v>42426.05983796297</v>
      </c>
      <c r="B2782" s="8" t="str">
        <f>HYPERLINK("https://twitter.com/LluisR_Tgn","@LluisR_Tgn")</f>
        <v>@LluisR_Tgn</v>
      </c>
      <c r="C2782" s="10" t="s">
        <v>10988</v>
      </c>
      <c r="D2782" s="10" t="s">
        <v>10735</v>
      </c>
      <c r="E2782" s="11" t="str">
        <f>HYPERLINK("https://twitter.com/LluisR_Tgn/status/703149044265144320","703149044265144320")</f>
        <v>703149044265144320</v>
      </c>
      <c r="F2782" s="12" t="s">
        <v>52</v>
      </c>
      <c r="G2782" s="13">
        <v>70.0</v>
      </c>
      <c r="H2782" s="13">
        <v>72.0</v>
      </c>
      <c r="I2782" s="13">
        <v>17.0</v>
      </c>
      <c r="J2782" s="13">
        <v>0.0</v>
      </c>
      <c r="K2782" s="12" t="s">
        <v>21</v>
      </c>
      <c r="L2782" s="7">
        <v>40689.442870370374</v>
      </c>
      <c r="M2782" s="16"/>
      <c r="N2782" s="16"/>
      <c r="O2782" s="11" t="str">
        <f>HYPERLINK("https://pbs.twimg.com/profile_images/3622768817/d14f64b90edbf5b5ba44b1fb312ff805_normal.jpeg","View")</f>
        <v>View</v>
      </c>
      <c r="P2782" s="15"/>
    </row>
    <row r="2783">
      <c r="A2783" s="7">
        <v>42426.06259259259</v>
      </c>
      <c r="B2783" s="8" t="str">
        <f>HYPERLINK("https://twitter.com/dutchlight360","@dutchlight360")</f>
        <v>@dutchlight360</v>
      </c>
      <c r="C2783" s="10" t="s">
        <v>5493</v>
      </c>
      <c r="D2783" s="10" t="s">
        <v>10989</v>
      </c>
      <c r="E2783" s="11" t="str">
        <f>HYPERLINK("https://twitter.com/dutchlight360/status/703150039783206912","703150039783206912")</f>
        <v>703150039783206912</v>
      </c>
      <c r="F2783" s="12" t="s">
        <v>38</v>
      </c>
      <c r="G2783" s="13">
        <v>919.0</v>
      </c>
      <c r="H2783" s="13">
        <v>376.0</v>
      </c>
      <c r="I2783" s="13">
        <v>1.0</v>
      </c>
      <c r="J2783" s="13">
        <v>0.0</v>
      </c>
      <c r="K2783" s="12" t="s">
        <v>21</v>
      </c>
      <c r="L2783" s="7">
        <v>40578.56229166667</v>
      </c>
      <c r="M2783" s="14" t="s">
        <v>5495</v>
      </c>
      <c r="N2783" s="14" t="s">
        <v>5496</v>
      </c>
      <c r="O2783" s="11" t="str">
        <f>HYPERLINK("https://pbs.twimg.com/profile_images/509352548549935105/vUQcEAtE_normal.jpeg","View")</f>
        <v>View</v>
      </c>
      <c r="P2783" s="15"/>
    </row>
    <row r="2784">
      <c r="A2784" s="7">
        <v>42426.06324074074</v>
      </c>
      <c r="B2784" s="8" t="str">
        <f>HYPERLINK("https://twitter.com/Pvalsfr","@Pvalsfr")</f>
        <v>@Pvalsfr</v>
      </c>
      <c r="C2784" s="10" t="s">
        <v>771</v>
      </c>
      <c r="D2784" s="10" t="s">
        <v>10990</v>
      </c>
      <c r="E2784" s="11" t="str">
        <f>HYPERLINK("https://twitter.com/Pvalsfr/status/703150275415007232","703150275415007232")</f>
        <v>703150275415007232</v>
      </c>
      <c r="F2784" s="12" t="s">
        <v>152</v>
      </c>
      <c r="G2784" s="13">
        <v>1043.0</v>
      </c>
      <c r="H2784" s="13">
        <v>1081.0</v>
      </c>
      <c r="I2784" s="13">
        <v>12.0</v>
      </c>
      <c r="J2784" s="13">
        <v>0.0</v>
      </c>
      <c r="K2784" s="12" t="s">
        <v>21</v>
      </c>
      <c r="L2784" s="7">
        <v>40867.68900462963</v>
      </c>
      <c r="M2784" s="16"/>
      <c r="N2784" s="16"/>
      <c r="O2784" s="11" t="str">
        <f>HYPERLINK("https://abs.twimg.com/sticky/default_profile_images/default_profile_4_normal.png","View")</f>
        <v>View</v>
      </c>
      <c r="P2784" s="15"/>
    </row>
    <row r="2785">
      <c r="A2785" s="7">
        <v>42426.06337962963</v>
      </c>
      <c r="B2785" s="8" t="str">
        <f>HYPERLINK("https://twitter.com/bramasolo","@bramasolo")</f>
        <v>@bramasolo</v>
      </c>
      <c r="C2785" s="10" t="s">
        <v>6375</v>
      </c>
      <c r="D2785" s="10" t="s">
        <v>9484</v>
      </c>
      <c r="E2785" s="11" t="str">
        <f>HYPERLINK("https://twitter.com/bramasolo/status/703150325767675905","703150325767675905")</f>
        <v>703150325767675905</v>
      </c>
      <c r="F2785" s="12" t="s">
        <v>20</v>
      </c>
      <c r="G2785" s="13">
        <v>44.0</v>
      </c>
      <c r="H2785" s="13">
        <v>199.0</v>
      </c>
      <c r="I2785" s="13">
        <v>22.0</v>
      </c>
      <c r="J2785" s="13">
        <v>0.0</v>
      </c>
      <c r="K2785" s="12" t="s">
        <v>21</v>
      </c>
      <c r="L2785" s="7">
        <v>40220.3465162037</v>
      </c>
      <c r="M2785" s="14" t="s">
        <v>5646</v>
      </c>
      <c r="N2785" s="14" t="s">
        <v>6376</v>
      </c>
      <c r="O2785" s="11" t="str">
        <f>HYPERLINK("https://pbs.twimg.com/profile_images/671906683891810304/9aPCDSao_normal.jpg","View")</f>
        <v>View</v>
      </c>
      <c r="P2785" s="15"/>
    </row>
    <row r="2786">
      <c r="A2786" s="7">
        <v>42426.063680555555</v>
      </c>
      <c r="B2786" s="8" t="str">
        <f>HYPERLINK("https://twitter.com/GoldsteinDM","@GoldsteinDM")</f>
        <v>@GoldsteinDM</v>
      </c>
      <c r="C2786" s="10" t="s">
        <v>10991</v>
      </c>
      <c r="D2786" s="10" t="s">
        <v>8411</v>
      </c>
      <c r="E2786" s="11" t="str">
        <f>HYPERLINK("https://twitter.com/GoldsteinDM/status/703150434634985477","703150434634985477")</f>
        <v>703150434634985477</v>
      </c>
      <c r="F2786" s="12" t="s">
        <v>52</v>
      </c>
      <c r="G2786" s="13">
        <v>22.0</v>
      </c>
      <c r="H2786" s="13">
        <v>265.0</v>
      </c>
      <c r="I2786" s="13">
        <v>18.0</v>
      </c>
      <c r="J2786" s="13">
        <v>0.0</v>
      </c>
      <c r="K2786" s="12" t="s">
        <v>21</v>
      </c>
      <c r="L2786" s="7">
        <v>40968.43615740741</v>
      </c>
      <c r="M2786" s="16"/>
      <c r="N2786" s="16"/>
      <c r="O2786" s="11" t="str">
        <f>HYPERLINK("https://abs.twimg.com/sticky/default_profile_images/default_profile_6_normal.png","View")</f>
        <v>View</v>
      </c>
      <c r="P2786" s="15"/>
    </row>
    <row r="2787">
      <c r="A2787" s="7">
        <v>42426.06486111111</v>
      </c>
      <c r="B2787" s="8" t="str">
        <f t="shared" ref="B2787:B2788" si="305">HYPERLINK("https://twitter.com/fjalolop000","@fjalolop000")</f>
        <v>@fjalolop000</v>
      </c>
      <c r="C2787" s="10" t="s">
        <v>6576</v>
      </c>
      <c r="D2787" s="10" t="s">
        <v>10426</v>
      </c>
      <c r="E2787" s="11" t="str">
        <f>HYPERLINK("https://twitter.com/fjalolop000/status/703150863506780160","703150863506780160")</f>
        <v>703150863506780160</v>
      </c>
      <c r="F2787" s="12" t="s">
        <v>152</v>
      </c>
      <c r="G2787" s="13">
        <v>16.0</v>
      </c>
      <c r="H2787" s="13">
        <v>54.0</v>
      </c>
      <c r="I2787" s="13">
        <v>15.0</v>
      </c>
      <c r="J2787" s="13">
        <v>0.0</v>
      </c>
      <c r="K2787" s="12" t="s">
        <v>21</v>
      </c>
      <c r="L2787" s="7">
        <v>41617.3140625</v>
      </c>
      <c r="M2787" s="16"/>
      <c r="N2787" s="16"/>
      <c r="O2787" s="11" t="str">
        <f t="shared" ref="O2787:O2788" si="306">HYPERLINK("https://pbs.twimg.com/profile_images/576799609873428480/V8akQ-mi_normal.jpeg","View")</f>
        <v>View</v>
      </c>
      <c r="P2787" s="15"/>
    </row>
    <row r="2788">
      <c r="A2788" s="7">
        <v>42426.06548611111</v>
      </c>
      <c r="B2788" s="8" t="str">
        <f t="shared" si="305"/>
        <v>@fjalolop000</v>
      </c>
      <c r="C2788" s="10" t="s">
        <v>6576</v>
      </c>
      <c r="D2788" s="10" t="s">
        <v>10551</v>
      </c>
      <c r="E2788" s="11" t="str">
        <f>HYPERLINK("https://twitter.com/fjalolop000/status/703151091509125120","703151091509125120")</f>
        <v>703151091509125120</v>
      </c>
      <c r="F2788" s="12" t="s">
        <v>152</v>
      </c>
      <c r="G2788" s="13">
        <v>16.0</v>
      </c>
      <c r="H2788" s="13">
        <v>54.0</v>
      </c>
      <c r="I2788" s="13">
        <v>14.0</v>
      </c>
      <c r="J2788" s="13">
        <v>0.0</v>
      </c>
      <c r="K2788" s="12" t="s">
        <v>21</v>
      </c>
      <c r="L2788" s="7">
        <v>41617.3140625</v>
      </c>
      <c r="M2788" s="16"/>
      <c r="N2788" s="16"/>
      <c r="O2788" s="11" t="str">
        <f t="shared" si="306"/>
        <v>View</v>
      </c>
      <c r="P2788" s="15"/>
    </row>
    <row r="2789">
      <c r="A2789" s="7">
        <v>42426.06733796296</v>
      </c>
      <c r="B2789" s="8" t="str">
        <f>HYPERLINK("https://twitter.com/coolbutuseless","@coolbutuseless")</f>
        <v>@coolbutuseless</v>
      </c>
      <c r="C2789" s="10" t="s">
        <v>3711</v>
      </c>
      <c r="D2789" s="10" t="s">
        <v>10980</v>
      </c>
      <c r="E2789" s="11" t="str">
        <f>HYPERLINK("https://twitter.com/coolbutuseless/status/703151762702622720","703151762702622720")</f>
        <v>703151762702622720</v>
      </c>
      <c r="F2789" s="12" t="s">
        <v>3344</v>
      </c>
      <c r="G2789" s="13">
        <v>218.0</v>
      </c>
      <c r="H2789" s="13">
        <v>222.0</v>
      </c>
      <c r="I2789" s="13">
        <v>2.0</v>
      </c>
      <c r="J2789" s="13">
        <v>0.0</v>
      </c>
      <c r="K2789" s="12" t="s">
        <v>21</v>
      </c>
      <c r="L2789" s="7">
        <v>39944.733090277776</v>
      </c>
      <c r="M2789" s="16"/>
      <c r="N2789" s="14" t="s">
        <v>3712</v>
      </c>
      <c r="O2789" s="11" t="str">
        <f>HYPERLINK("https://pbs.twimg.com/profile_images/1858980277/icon2_normal.png","View")</f>
        <v>View</v>
      </c>
      <c r="P2789" s="15"/>
    </row>
    <row r="2790">
      <c r="A2790" s="7">
        <v>42426.0718287037</v>
      </c>
      <c r="B2790" s="8" t="str">
        <f>HYPERLINK("https://twitter.com/kenwilliams9000","@kenwilliams9000")</f>
        <v>@kenwilliams9000</v>
      </c>
      <c r="C2790" s="10" t="s">
        <v>5526</v>
      </c>
      <c r="D2790" s="10" t="s">
        <v>10990</v>
      </c>
      <c r="E2790" s="11" t="str">
        <f>HYPERLINK("https://twitter.com/kenwilliams9000/status/703153388813324288","703153388813324288")</f>
        <v>703153388813324288</v>
      </c>
      <c r="F2790" s="12" t="s">
        <v>20</v>
      </c>
      <c r="G2790" s="13">
        <v>362.0</v>
      </c>
      <c r="H2790" s="13">
        <v>356.0</v>
      </c>
      <c r="I2790" s="13">
        <v>12.0</v>
      </c>
      <c r="J2790" s="13">
        <v>0.0</v>
      </c>
      <c r="K2790" s="12" t="s">
        <v>21</v>
      </c>
      <c r="L2790" s="7">
        <v>42132.13450231482</v>
      </c>
      <c r="M2790" s="14" t="s">
        <v>2034</v>
      </c>
      <c r="N2790" s="14" t="s">
        <v>5528</v>
      </c>
      <c r="O2790" s="11" t="str">
        <f>HYPERLINK("https://pbs.twimg.com/profile_images/596633642115399680/2C0N2yl1_normal.jpg","View")</f>
        <v>View</v>
      </c>
      <c r="P2790" s="15"/>
    </row>
    <row r="2791">
      <c r="A2791" s="7">
        <v>42426.07189814815</v>
      </c>
      <c r="B2791" s="8" t="str">
        <f>HYPERLINK("https://twitter.com/cutflat","@cutflat")</f>
        <v>@cutflat</v>
      </c>
      <c r="C2791" s="10" t="s">
        <v>10992</v>
      </c>
      <c r="D2791" s="10" t="s">
        <v>10993</v>
      </c>
      <c r="E2791" s="11" t="str">
        <f>HYPERLINK("https://twitter.com/cutflat/status/703153413240987648","703153413240987648")</f>
        <v>703153413240987648</v>
      </c>
      <c r="F2791" s="12" t="s">
        <v>20</v>
      </c>
      <c r="G2791" s="13">
        <v>374.0</v>
      </c>
      <c r="H2791" s="13">
        <v>350.0</v>
      </c>
      <c r="I2791" s="13">
        <v>0.0</v>
      </c>
      <c r="J2791" s="13">
        <v>3.0</v>
      </c>
      <c r="K2791" s="12" t="s">
        <v>21</v>
      </c>
      <c r="L2791" s="7">
        <v>39499.90390046296</v>
      </c>
      <c r="M2791" s="14" t="s">
        <v>10994</v>
      </c>
      <c r="N2791" s="14" t="s">
        <v>10995</v>
      </c>
      <c r="O2791" s="11" t="str">
        <f>HYPERLINK("https://pbs.twimg.com/profile_images/432984233930285056/Lt1EY5ga_normal.jpeg","View")</f>
        <v>View</v>
      </c>
      <c r="P2791" s="15"/>
    </row>
    <row r="2792">
      <c r="A2792" s="7">
        <v>42426.07197916666</v>
      </c>
      <c r="B2792" s="8" t="str">
        <f>HYPERLINK("https://twitter.com/aradnix","@aradnix")</f>
        <v>@aradnix</v>
      </c>
      <c r="C2792" s="10" t="s">
        <v>10996</v>
      </c>
      <c r="D2792" s="10" t="s">
        <v>10990</v>
      </c>
      <c r="E2792" s="11" t="str">
        <f>HYPERLINK("https://twitter.com/aradnix/status/703153445004443648","703153445004443648")</f>
        <v>703153445004443648</v>
      </c>
      <c r="F2792" s="12" t="s">
        <v>4867</v>
      </c>
      <c r="G2792" s="13">
        <v>36.0</v>
      </c>
      <c r="H2792" s="13">
        <v>123.0</v>
      </c>
      <c r="I2792" s="13">
        <v>12.0</v>
      </c>
      <c r="J2792" s="13">
        <v>0.0</v>
      </c>
      <c r="K2792" s="12" t="s">
        <v>21</v>
      </c>
      <c r="L2792" s="7">
        <v>41388.57833333333</v>
      </c>
      <c r="M2792" s="14" t="s">
        <v>10997</v>
      </c>
      <c r="N2792" s="14" t="s">
        <v>10998</v>
      </c>
      <c r="O2792" s="11" t="str">
        <f>HYPERLINK("https://pbs.twimg.com/profile_images/639583486517473280/W7-TM9HG_normal.jpg","View")</f>
        <v>View</v>
      </c>
      <c r="P2792" s="15"/>
    </row>
    <row r="2793">
      <c r="A2793" s="7">
        <v>42426.07445601852</v>
      </c>
      <c r="B2793" s="8" t="str">
        <f>HYPERLINK("https://twitter.com/AkashTandon","@AkashTandon")</f>
        <v>@AkashTandon</v>
      </c>
      <c r="C2793" s="10" t="s">
        <v>10999</v>
      </c>
      <c r="D2793" s="10" t="s">
        <v>11000</v>
      </c>
      <c r="E2793" s="11" t="str">
        <f>HYPERLINK("https://twitter.com/AkashTandon/status/703154341939535873","703154341939535873")</f>
        <v>703154341939535873</v>
      </c>
      <c r="F2793" s="12" t="s">
        <v>20</v>
      </c>
      <c r="G2793" s="13">
        <v>84.0</v>
      </c>
      <c r="H2793" s="13">
        <v>79.0</v>
      </c>
      <c r="I2793" s="13">
        <v>0.0</v>
      </c>
      <c r="J2793" s="13">
        <v>2.0</v>
      </c>
      <c r="K2793" s="12" t="s">
        <v>21</v>
      </c>
      <c r="L2793" s="7">
        <v>40137.09888888889</v>
      </c>
      <c r="M2793" s="14" t="s">
        <v>11001</v>
      </c>
      <c r="N2793" s="14" t="s">
        <v>11002</v>
      </c>
      <c r="O2793" s="11" t="str">
        <f>HYPERLINK("https://pbs.twimg.com/profile_images/587882929642045440/FDm4sg5C_normal.jpg","View")</f>
        <v>View</v>
      </c>
      <c r="P2793" s="15"/>
    </row>
    <row r="2794">
      <c r="A2794" s="7">
        <v>42426.07640046296</v>
      </c>
      <c r="B2794" s="8" t="str">
        <f>HYPERLINK("https://twitter.com/earlconf","@earlconf")</f>
        <v>@earlconf</v>
      </c>
      <c r="C2794" s="10" t="s">
        <v>7100</v>
      </c>
      <c r="D2794" s="10" t="s">
        <v>11003</v>
      </c>
      <c r="E2794" s="11" t="str">
        <f>HYPERLINK("https://twitter.com/earlconf/status/703155046309953536","703155046309953536")</f>
        <v>703155046309953536</v>
      </c>
      <c r="F2794" s="12" t="s">
        <v>47</v>
      </c>
      <c r="G2794" s="13">
        <v>1081.0</v>
      </c>
      <c r="H2794" s="13">
        <v>2351.0</v>
      </c>
      <c r="I2794" s="13">
        <v>0.0</v>
      </c>
      <c r="J2794" s="13">
        <v>0.0</v>
      </c>
      <c r="K2794" s="12" t="s">
        <v>21</v>
      </c>
      <c r="L2794" s="7">
        <v>41677.49930555555</v>
      </c>
      <c r="M2794" s="14" t="s">
        <v>7102</v>
      </c>
      <c r="N2794" s="14" t="s">
        <v>7103</v>
      </c>
      <c r="O2794" s="11" t="str">
        <f>HYPERLINK("https://pbs.twimg.com/profile_images/432298122203512833/YDXfWlI__normal.png","View")</f>
        <v>View</v>
      </c>
      <c r="P2794" s="15"/>
    </row>
    <row r="2795">
      <c r="A2795" s="7">
        <v>42426.07769675926</v>
      </c>
      <c r="B2795" s="8" t="str">
        <f>HYPERLINK("https://twitter.com/AntoViral","@AntoViral")</f>
        <v>@AntoViral</v>
      </c>
      <c r="C2795" s="10" t="s">
        <v>7805</v>
      </c>
      <c r="D2795" s="10" t="s">
        <v>10735</v>
      </c>
      <c r="E2795" s="11" t="str">
        <f>HYPERLINK("https://twitter.com/AntoViral/status/703155515367370752","703155515367370752")</f>
        <v>703155515367370752</v>
      </c>
      <c r="F2795" s="12" t="s">
        <v>152</v>
      </c>
      <c r="G2795" s="13">
        <v>220.0</v>
      </c>
      <c r="H2795" s="13">
        <v>295.0</v>
      </c>
      <c r="I2795" s="13">
        <v>17.0</v>
      </c>
      <c r="J2795" s="13">
        <v>0.0</v>
      </c>
      <c r="K2795" s="12" t="s">
        <v>21</v>
      </c>
      <c r="L2795" s="7">
        <v>41604.57907407408</v>
      </c>
      <c r="M2795" s="16"/>
      <c r="N2795" s="14" t="s">
        <v>7806</v>
      </c>
      <c r="O2795" s="11" t="str">
        <f>HYPERLINK("https://pbs.twimg.com/profile_images/378800000794889152/545ea4ed01fbb17969822e1ee9b0f3fa_normal.jpeg","View")</f>
        <v>View</v>
      </c>
      <c r="P2795" s="15"/>
    </row>
    <row r="2796">
      <c r="A2796" s="7">
        <v>42426.08105324074</v>
      </c>
      <c r="B2796" s="8" t="str">
        <f>HYPERLINK("https://twitter.com/Sal_Keith","@Sal_Keith")</f>
        <v>@Sal_Keith</v>
      </c>
      <c r="C2796" s="10" t="s">
        <v>11004</v>
      </c>
      <c r="D2796" s="10" t="s">
        <v>10990</v>
      </c>
      <c r="E2796" s="11" t="str">
        <f>HYPERLINK("https://twitter.com/Sal_Keith/status/703156732525043714","703156732525043714")</f>
        <v>703156732525043714</v>
      </c>
      <c r="F2796" s="12" t="s">
        <v>446</v>
      </c>
      <c r="G2796" s="13">
        <v>812.0</v>
      </c>
      <c r="H2796" s="13">
        <v>365.0</v>
      </c>
      <c r="I2796" s="13">
        <v>12.0</v>
      </c>
      <c r="J2796" s="13">
        <v>0.0</v>
      </c>
      <c r="K2796" s="12" t="s">
        <v>21</v>
      </c>
      <c r="L2796" s="7">
        <v>40023.15856481482</v>
      </c>
      <c r="M2796" s="14" t="s">
        <v>5161</v>
      </c>
      <c r="N2796" s="14" t="s">
        <v>11005</v>
      </c>
      <c r="O2796" s="11" t="str">
        <f>HYPERLINK("https://pbs.twimg.com/profile_images/378800000527890098/935921d739ef62805ccc24d2b17326a9_normal.jpeg","View")</f>
        <v>View</v>
      </c>
      <c r="P2796" s="15"/>
    </row>
    <row r="2797">
      <c r="A2797" s="7">
        <v>42426.082500000004</v>
      </c>
      <c r="B2797" s="8" t="str">
        <f t="shared" ref="B2797:B2798" si="307">HYPERLINK("https://twitter.com/LessCrime","@LessCrime")</f>
        <v>@LessCrime</v>
      </c>
      <c r="C2797" s="10" t="s">
        <v>11006</v>
      </c>
      <c r="D2797" s="10" t="s">
        <v>11007</v>
      </c>
      <c r="E2797" s="11" t="str">
        <f>HYPERLINK("https://twitter.com/LessCrime/status/703157254728515584","703157254728515584")</f>
        <v>703157254728515584</v>
      </c>
      <c r="F2797" s="12" t="s">
        <v>20</v>
      </c>
      <c r="G2797" s="13">
        <v>799.0</v>
      </c>
      <c r="H2797" s="13">
        <v>380.0</v>
      </c>
      <c r="I2797" s="13">
        <v>0.0</v>
      </c>
      <c r="J2797" s="13">
        <v>0.0</v>
      </c>
      <c r="K2797" s="12" t="s">
        <v>21</v>
      </c>
      <c r="L2797" s="7">
        <v>39913.71152777778</v>
      </c>
      <c r="M2797" s="14" t="s">
        <v>489</v>
      </c>
      <c r="N2797" s="14" t="s">
        <v>11008</v>
      </c>
      <c r="O2797" s="11" t="str">
        <f t="shared" ref="O2797:O2798" si="308">HYPERLINK("https://pbs.twimg.com/profile_images/3569283223/41a2322b7c35fdf5a01ca6a5c915fc8d_normal.jpeg","View")</f>
        <v>View</v>
      </c>
      <c r="P2797" s="15"/>
    </row>
    <row r="2798">
      <c r="A2798" s="7">
        <v>42426.08335648148</v>
      </c>
      <c r="B2798" s="8" t="str">
        <f t="shared" si="307"/>
        <v>@LessCrime</v>
      </c>
      <c r="C2798" s="10" t="s">
        <v>11006</v>
      </c>
      <c r="D2798" s="10" t="s">
        <v>11009</v>
      </c>
      <c r="E2798" s="11" t="str">
        <f>HYPERLINK("https://twitter.com/LessCrime/status/703157566612729856","703157566612729856")</f>
        <v>703157566612729856</v>
      </c>
      <c r="F2798" s="12" t="s">
        <v>20</v>
      </c>
      <c r="G2798" s="13">
        <v>799.0</v>
      </c>
      <c r="H2798" s="13">
        <v>380.0</v>
      </c>
      <c r="I2798" s="13">
        <v>0.0</v>
      </c>
      <c r="J2798" s="13">
        <v>1.0</v>
      </c>
      <c r="K2798" s="12" t="s">
        <v>21</v>
      </c>
      <c r="L2798" s="7">
        <v>39913.71152777778</v>
      </c>
      <c r="M2798" s="14" t="s">
        <v>489</v>
      </c>
      <c r="N2798" s="14" t="s">
        <v>11008</v>
      </c>
      <c r="O2798" s="11" t="str">
        <f t="shared" si="308"/>
        <v>View</v>
      </c>
      <c r="P2798" s="15"/>
    </row>
    <row r="2799">
      <c r="A2799" s="7">
        <v>42426.08388888889</v>
      </c>
      <c r="B2799" s="8" t="str">
        <f>HYPERLINK("https://twitter.com/jcgpz","@jcgpz")</f>
        <v>@jcgpz</v>
      </c>
      <c r="C2799" s="10" t="s">
        <v>10355</v>
      </c>
      <c r="D2799" s="10" t="s">
        <v>10990</v>
      </c>
      <c r="E2799" s="11" t="str">
        <f>HYPERLINK("https://twitter.com/jcgpz/status/703157758892244992","703157758892244992")</f>
        <v>703157758892244992</v>
      </c>
      <c r="F2799" s="12" t="s">
        <v>152</v>
      </c>
      <c r="G2799" s="13">
        <v>141.0</v>
      </c>
      <c r="H2799" s="13">
        <v>298.0</v>
      </c>
      <c r="I2799" s="13">
        <v>12.0</v>
      </c>
      <c r="J2799" s="13">
        <v>0.0</v>
      </c>
      <c r="K2799" s="12" t="s">
        <v>21</v>
      </c>
      <c r="L2799" s="7">
        <v>40458.97891203704</v>
      </c>
      <c r="M2799" s="14" t="s">
        <v>168</v>
      </c>
      <c r="N2799" s="14" t="s">
        <v>10356</v>
      </c>
      <c r="O2799" s="11" t="str">
        <f>HYPERLINK("https://pbs.twimg.com/profile_images/459789900569518080/VTziYNoq_normal.jpeg","View")</f>
        <v>View</v>
      </c>
      <c r="P2799" s="15"/>
    </row>
    <row r="2800">
      <c r="A2800" s="7">
        <v>42426.08714120371</v>
      </c>
      <c r="B2800" s="8" t="str">
        <f>HYPERLINK("https://twitter.com/dr_rtpa","@dr_rtpa")</f>
        <v>@dr_rtpa</v>
      </c>
      <c r="C2800" s="10" t="s">
        <v>11010</v>
      </c>
      <c r="D2800" s="10" t="s">
        <v>11011</v>
      </c>
      <c r="E2800" s="11" t="str">
        <f>HYPERLINK("https://twitter.com/dr_rtpa/status/703158937470636032","703158937470636032")</f>
        <v>703158937470636032</v>
      </c>
      <c r="F2800" s="12" t="s">
        <v>52</v>
      </c>
      <c r="G2800" s="13">
        <v>76.0</v>
      </c>
      <c r="H2800" s="13">
        <v>156.0</v>
      </c>
      <c r="I2800" s="13">
        <v>3.0</v>
      </c>
      <c r="J2800" s="13">
        <v>4.0</v>
      </c>
      <c r="K2800" s="12" t="s">
        <v>21</v>
      </c>
      <c r="L2800" s="7">
        <v>40108.18366898148</v>
      </c>
      <c r="M2800" s="14" t="s">
        <v>1031</v>
      </c>
      <c r="N2800" s="14" t="s">
        <v>11012</v>
      </c>
      <c r="O2800" s="11" t="str">
        <f>HYPERLINK("https://pbs.twimg.com/profile_images/498562709513056256/ZOW61Vjv_normal.jpeg","View")</f>
        <v>View</v>
      </c>
      <c r="P2800" s="15"/>
    </row>
    <row r="2801">
      <c r="A2801" s="7">
        <v>42426.09038194444</v>
      </c>
      <c r="B2801" s="8" t="str">
        <f>HYPERLINK("https://twitter.com/RCSI_Irl","@RCSI_Irl")</f>
        <v>@RCSI_Irl</v>
      </c>
      <c r="C2801" s="10" t="s">
        <v>11013</v>
      </c>
      <c r="D2801" s="10" t="s">
        <v>11014</v>
      </c>
      <c r="E2801" s="11" t="str">
        <f>HYPERLINK("https://twitter.com/RCSI_Irl/status/703160110789439488","703160110789439488")</f>
        <v>703160110789439488</v>
      </c>
      <c r="F2801" s="12" t="s">
        <v>20</v>
      </c>
      <c r="G2801" s="13">
        <v>6844.0</v>
      </c>
      <c r="H2801" s="13">
        <v>558.0</v>
      </c>
      <c r="I2801" s="13">
        <v>3.0</v>
      </c>
      <c r="J2801" s="13">
        <v>0.0</v>
      </c>
      <c r="K2801" s="12" t="s">
        <v>21</v>
      </c>
      <c r="L2801" s="7">
        <v>39972.12335648148</v>
      </c>
      <c r="M2801" s="14" t="s">
        <v>1031</v>
      </c>
      <c r="N2801" s="14" t="s">
        <v>11015</v>
      </c>
      <c r="O2801" s="11" t="str">
        <f>HYPERLINK("https://pbs.twimg.com/profile_images/699983752269795329/qQsapC67_normal.jpg","View")</f>
        <v>View</v>
      </c>
      <c r="P2801" s="15"/>
    </row>
    <row r="2802">
      <c r="A2802" s="7">
        <v>42426.090787037036</v>
      </c>
      <c r="B2802" s="8" t="str">
        <f>HYPERLINK("https://twitter.com/jillykid","@jillykid")</f>
        <v>@jillykid</v>
      </c>
      <c r="C2802" s="10" t="s">
        <v>11016</v>
      </c>
      <c r="D2802" s="10" t="s">
        <v>11014</v>
      </c>
      <c r="E2802" s="11" t="str">
        <f>HYPERLINK("https://twitter.com/jillykid/status/703160257862770688","703160257862770688")</f>
        <v>703160257862770688</v>
      </c>
      <c r="F2802" s="12" t="s">
        <v>52</v>
      </c>
      <c r="G2802" s="13">
        <v>431.0</v>
      </c>
      <c r="H2802" s="13">
        <v>1445.0</v>
      </c>
      <c r="I2802" s="13">
        <v>3.0</v>
      </c>
      <c r="J2802" s="13">
        <v>0.0</v>
      </c>
      <c r="K2802" s="12" t="s">
        <v>21</v>
      </c>
      <c r="L2802" s="7">
        <v>39775.4483912037</v>
      </c>
      <c r="M2802" s="14" t="s">
        <v>11017</v>
      </c>
      <c r="N2802" s="14" t="s">
        <v>11018</v>
      </c>
      <c r="O2802" s="11" t="str">
        <f>HYPERLINK("https://pbs.twimg.com/profile_images/631755709315575808/zhlx1f8R_normal.jpg","View")</f>
        <v>View</v>
      </c>
      <c r="P2802" s="15"/>
    </row>
    <row r="2803">
      <c r="A2803" s="7">
        <v>42426.09248842593</v>
      </c>
      <c r="B2803" s="8" t="str">
        <f>HYPERLINK("https://twitter.com/LessCrime","@LessCrime")</f>
        <v>@LessCrime</v>
      </c>
      <c r="C2803" s="10" t="s">
        <v>11006</v>
      </c>
      <c r="D2803" s="10" t="s">
        <v>11019</v>
      </c>
      <c r="E2803" s="11" t="str">
        <f>HYPERLINK("https://twitter.com/LessCrime/status/703160875113254913","703160875113254913")</f>
        <v>703160875113254913</v>
      </c>
      <c r="F2803" s="12" t="s">
        <v>20</v>
      </c>
      <c r="G2803" s="13">
        <v>799.0</v>
      </c>
      <c r="H2803" s="13">
        <v>380.0</v>
      </c>
      <c r="I2803" s="13">
        <v>1.0</v>
      </c>
      <c r="J2803" s="13">
        <v>0.0</v>
      </c>
      <c r="K2803" s="12" t="s">
        <v>21</v>
      </c>
      <c r="L2803" s="7">
        <v>39913.71152777778</v>
      </c>
      <c r="M2803" s="14" t="s">
        <v>489</v>
      </c>
      <c r="N2803" s="14" t="s">
        <v>11008</v>
      </c>
      <c r="O2803" s="11" t="str">
        <f>HYPERLINK("https://pbs.twimg.com/profile_images/3569283223/41a2322b7c35fdf5a01ca6a5c915fc8d_normal.jpeg","View")</f>
        <v>View</v>
      </c>
      <c r="P2803" s="15"/>
    </row>
    <row r="2804">
      <c r="A2804" s="7">
        <v>42426.09287037037</v>
      </c>
      <c r="B2804" s="8" t="str">
        <f>HYPERLINK("https://twitter.com/CRANberriesFeed","@CRANberriesFeed")</f>
        <v>@CRANberriesFeed</v>
      </c>
      <c r="C2804" s="10" t="s">
        <v>6282</v>
      </c>
      <c r="D2804" s="10" t="s">
        <v>11020</v>
      </c>
      <c r="E2804" s="11" t="str">
        <f>HYPERLINK("https://twitter.com/CRANberriesFeed/status/703161012749340672","703161012749340672")</f>
        <v>703161012749340672</v>
      </c>
      <c r="F2804" s="12" t="s">
        <v>6284</v>
      </c>
      <c r="G2804" s="13">
        <v>657.0</v>
      </c>
      <c r="H2804" s="13">
        <v>0.0</v>
      </c>
      <c r="I2804" s="13">
        <v>0.0</v>
      </c>
      <c r="J2804" s="13">
        <v>0.0</v>
      </c>
      <c r="K2804" s="12" t="s">
        <v>21</v>
      </c>
      <c r="L2804" s="7">
        <v>40546.353425925925</v>
      </c>
      <c r="M2804" s="14" t="s">
        <v>1158</v>
      </c>
      <c r="N2804" s="16"/>
      <c r="O2804" s="11" t="str">
        <f>HYPERLINK("https://pbs.twimg.com/profile_images/1222779560/cran1_normal.jpg","View")</f>
        <v>View</v>
      </c>
      <c r="P2804" s="15"/>
    </row>
    <row r="2805">
      <c r="A2805" s="7">
        <v>42426.09291666667</v>
      </c>
      <c r="B2805" s="8" t="str">
        <f>HYPERLINK("https://twitter.com/coolbutuseless","@coolbutuseless")</f>
        <v>@coolbutuseless</v>
      </c>
      <c r="C2805" s="10" t="s">
        <v>3711</v>
      </c>
      <c r="D2805" s="10" t="s">
        <v>11021</v>
      </c>
      <c r="E2805" s="11" t="str">
        <f>HYPERLINK("https://twitter.com/coolbutuseless/status/703161028754874368","703161028754874368")</f>
        <v>703161028754874368</v>
      </c>
      <c r="F2805" s="12" t="s">
        <v>446</v>
      </c>
      <c r="G2805" s="13">
        <v>218.0</v>
      </c>
      <c r="H2805" s="13">
        <v>222.0</v>
      </c>
      <c r="I2805" s="13">
        <v>1.0</v>
      </c>
      <c r="J2805" s="13">
        <v>0.0</v>
      </c>
      <c r="K2805" s="12" t="s">
        <v>21</v>
      </c>
      <c r="L2805" s="7">
        <v>39944.733090277776</v>
      </c>
      <c r="M2805" s="16"/>
      <c r="N2805" s="14" t="s">
        <v>3712</v>
      </c>
      <c r="O2805" s="11" t="str">
        <f>HYPERLINK("https://pbs.twimg.com/profile_images/1858980277/icon2_normal.png","View")</f>
        <v>View</v>
      </c>
      <c r="P2805" s="15"/>
    </row>
    <row r="2806">
      <c r="A2806" s="7">
        <v>42426.09386574074</v>
      </c>
      <c r="B2806" s="8" t="str">
        <f>HYPERLINK("https://twitter.com/rmn0001","@rmn0001")</f>
        <v>@rmn0001</v>
      </c>
      <c r="C2806" s="10" t="s">
        <v>11022</v>
      </c>
      <c r="D2806" s="10" t="s">
        <v>10852</v>
      </c>
      <c r="E2806" s="11" t="str">
        <f>HYPERLINK("https://twitter.com/rmn0001/status/703161375518912512","703161375518912512")</f>
        <v>703161375518912512</v>
      </c>
      <c r="F2806" s="12" t="s">
        <v>52</v>
      </c>
      <c r="G2806" s="13">
        <v>126.0</v>
      </c>
      <c r="H2806" s="13">
        <v>450.0</v>
      </c>
      <c r="I2806" s="13">
        <v>13.0</v>
      </c>
      <c r="J2806" s="13">
        <v>0.0</v>
      </c>
      <c r="K2806" s="12" t="s">
        <v>21</v>
      </c>
      <c r="L2806" s="7">
        <v>41529.66694444444</v>
      </c>
      <c r="M2806" s="14" t="s">
        <v>11023</v>
      </c>
      <c r="N2806" s="14" t="s">
        <v>11024</v>
      </c>
      <c r="O2806" s="11" t="str">
        <f>HYPERLINK("https://pbs.twimg.com/profile_images/696065224101728256/rWXmSpUS_normal.jpg","View")</f>
        <v>View</v>
      </c>
      <c r="P2806" s="15"/>
    </row>
    <row r="2807">
      <c r="A2807" s="7">
        <v>42426.09451388889</v>
      </c>
      <c r="B2807" s="8" t="str">
        <f>HYPERLINK("https://twitter.com/mikaelhuss","@mikaelhuss")</f>
        <v>@mikaelhuss</v>
      </c>
      <c r="C2807" s="10" t="s">
        <v>11025</v>
      </c>
      <c r="D2807" s="10" t="s">
        <v>11026</v>
      </c>
      <c r="E2807" s="11" t="str">
        <f>HYPERLINK("https://twitter.com/mikaelhuss/status/703161610370592768","703161610370592768")</f>
        <v>703161610370592768</v>
      </c>
      <c r="F2807" s="12" t="s">
        <v>98</v>
      </c>
      <c r="G2807" s="13">
        <v>836.0</v>
      </c>
      <c r="H2807" s="13">
        <v>807.0</v>
      </c>
      <c r="I2807" s="13">
        <v>0.0</v>
      </c>
      <c r="J2807" s="13">
        <v>2.0</v>
      </c>
      <c r="K2807" s="12" t="s">
        <v>21</v>
      </c>
      <c r="L2807" s="7">
        <v>39202.501967592594</v>
      </c>
      <c r="M2807" s="14" t="s">
        <v>5817</v>
      </c>
      <c r="N2807" s="14" t="s">
        <v>11027</v>
      </c>
      <c r="O2807" s="11" t="str">
        <f>HYPERLINK("https://pbs.twimg.com/profile_images/1214071998/Mikael_normal.jpg","View")</f>
        <v>View</v>
      </c>
      <c r="P2807" s="15"/>
    </row>
    <row r="2808">
      <c r="A2808" s="7">
        <v>42426.0997800926</v>
      </c>
      <c r="B2808" s="8" t="str">
        <f>HYPERLINK("https://twitter.com/GGJSuisse","@GGJSuisse")</f>
        <v>@GGJSuisse</v>
      </c>
      <c r="C2808" s="10" t="s">
        <v>11028</v>
      </c>
      <c r="D2808" s="10" t="s">
        <v>7981</v>
      </c>
      <c r="E2808" s="11" t="str">
        <f>HYPERLINK("https://twitter.com/GGJSuisse/status/703163518330081280","703163518330081280")</f>
        <v>703163518330081280</v>
      </c>
      <c r="F2808" s="12" t="s">
        <v>52</v>
      </c>
      <c r="G2808" s="13">
        <v>653.0</v>
      </c>
      <c r="H2808" s="13">
        <v>1001.0</v>
      </c>
      <c r="I2808" s="13">
        <v>3.0</v>
      </c>
      <c r="J2808" s="13">
        <v>0.0</v>
      </c>
      <c r="K2808" s="12" t="s">
        <v>21</v>
      </c>
      <c r="L2808" s="7">
        <v>41660.040810185186</v>
      </c>
      <c r="M2808" s="14" t="s">
        <v>11029</v>
      </c>
      <c r="N2808" s="14" t="s">
        <v>11030</v>
      </c>
      <c r="O2808" s="11" t="str">
        <f>HYPERLINK("https://pbs.twimg.com/profile_images/558355266513543168/eUVU5wPx_normal.png","View")</f>
        <v>View</v>
      </c>
      <c r="P2808" s="15"/>
    </row>
    <row r="2809">
      <c r="A2809" s="7">
        <v>42426.100011574075</v>
      </c>
      <c r="B2809" s="8" t="str">
        <f>HYPERLINK("https://twitter.com/hofser","@hofser")</f>
        <v>@hofser</v>
      </c>
      <c r="C2809" s="10" t="s">
        <v>11031</v>
      </c>
      <c r="D2809" s="10" t="s">
        <v>9932</v>
      </c>
      <c r="E2809" s="11" t="str">
        <f>HYPERLINK("https://twitter.com/hofser/status/703163602971144193","703163602971144193")</f>
        <v>703163602971144193</v>
      </c>
      <c r="F2809" s="12" t="s">
        <v>124</v>
      </c>
      <c r="G2809" s="13">
        <v>27.0</v>
      </c>
      <c r="H2809" s="13">
        <v>195.0</v>
      </c>
      <c r="I2809" s="13">
        <v>7.0</v>
      </c>
      <c r="J2809" s="13">
        <v>0.0</v>
      </c>
      <c r="K2809" s="12" t="s">
        <v>21</v>
      </c>
      <c r="L2809" s="7">
        <v>41300.018842592595</v>
      </c>
      <c r="M2809" s="16"/>
      <c r="N2809" s="16"/>
      <c r="O2809" s="11" t="str">
        <f>HYPERLINK("https://pbs.twimg.com/profile_images/3164607407/aa840e47521937f5c06afd97bdd32ab4_normal.jpeg","View")</f>
        <v>View</v>
      </c>
      <c r="P2809" s="15"/>
    </row>
    <row r="2810">
      <c r="A2810" s="7">
        <v>42426.10050925926</v>
      </c>
      <c r="B2810" s="8" t="str">
        <f>HYPERLINK("https://twitter.com/swainjo","@swainjo")</f>
        <v>@swainjo</v>
      </c>
      <c r="C2810" s="10" t="s">
        <v>11032</v>
      </c>
      <c r="D2810" s="10" t="s">
        <v>11014</v>
      </c>
      <c r="E2810" s="11" t="str">
        <f>HYPERLINK("https://twitter.com/swainjo/status/703163783489818624","703163783489818624")</f>
        <v>703163783489818624</v>
      </c>
      <c r="F2810" s="12" t="s">
        <v>446</v>
      </c>
      <c r="G2810" s="13">
        <v>910.0</v>
      </c>
      <c r="H2810" s="13">
        <v>675.0</v>
      </c>
      <c r="I2810" s="13">
        <v>3.0</v>
      </c>
      <c r="J2810" s="13">
        <v>0.0</v>
      </c>
      <c r="K2810" s="12" t="s">
        <v>21</v>
      </c>
      <c r="L2810" s="7">
        <v>39619.41630787037</v>
      </c>
      <c r="M2810" s="14" t="s">
        <v>3687</v>
      </c>
      <c r="N2810" s="14" t="s">
        <v>11033</v>
      </c>
      <c r="O2810" s="11" t="str">
        <f>HYPERLINK("https://pbs.twimg.com/profile_images/998577429/FC19800101_015120_normal.jpg","View")</f>
        <v>View</v>
      </c>
      <c r="P2810" s="15"/>
    </row>
    <row r="2811">
      <c r="A2811" s="7">
        <v>42426.10113425926</v>
      </c>
      <c r="B2811" s="8" t="str">
        <f>HYPERLINK("https://twitter.com/MangoTheCat","@MangoTheCat")</f>
        <v>@MangoTheCat</v>
      </c>
      <c r="C2811" s="10" t="s">
        <v>6321</v>
      </c>
      <c r="D2811" s="10" t="s">
        <v>11034</v>
      </c>
      <c r="E2811" s="11" t="str">
        <f>HYPERLINK("https://twitter.com/MangoTheCat/status/703164008380047360","703164008380047360")</f>
        <v>703164008380047360</v>
      </c>
      <c r="F2811" s="12" t="s">
        <v>20</v>
      </c>
      <c r="G2811" s="13">
        <v>2041.0</v>
      </c>
      <c r="H2811" s="13">
        <v>2855.0</v>
      </c>
      <c r="I2811" s="13">
        <v>3.0</v>
      </c>
      <c r="J2811" s="13">
        <v>1.0</v>
      </c>
      <c r="K2811" s="12" t="s">
        <v>21</v>
      </c>
      <c r="L2811" s="7">
        <v>39854.3178587963</v>
      </c>
      <c r="M2811" s="14" t="s">
        <v>6323</v>
      </c>
      <c r="N2811" s="14" t="s">
        <v>6324</v>
      </c>
      <c r="O2811" s="11" t="str">
        <f>HYPERLINK("https://pbs.twimg.com/profile_images/641183991077445633/V7VcBpJI_normal.png","View")</f>
        <v>View</v>
      </c>
      <c r="P2811" s="15"/>
    </row>
    <row r="2812">
      <c r="A2812" s="7">
        <v>42426.101481481484</v>
      </c>
      <c r="B2812" s="8" t="str">
        <f>HYPERLINK("https://twitter.com/earlconf","@earlconf")</f>
        <v>@earlconf</v>
      </c>
      <c r="C2812" s="10" t="s">
        <v>7100</v>
      </c>
      <c r="D2812" s="10" t="s">
        <v>11035</v>
      </c>
      <c r="E2812" s="11" t="str">
        <f>HYPERLINK("https://twitter.com/earlconf/status/703164135446417408","703164135446417408")</f>
        <v>703164135446417408</v>
      </c>
      <c r="F2812" s="12" t="s">
        <v>20</v>
      </c>
      <c r="G2812" s="13">
        <v>1081.0</v>
      </c>
      <c r="H2812" s="13">
        <v>2351.0</v>
      </c>
      <c r="I2812" s="13">
        <v>3.0</v>
      </c>
      <c r="J2812" s="13">
        <v>0.0</v>
      </c>
      <c r="K2812" s="12" t="s">
        <v>21</v>
      </c>
      <c r="L2812" s="7">
        <v>41677.49930555555</v>
      </c>
      <c r="M2812" s="14" t="s">
        <v>7102</v>
      </c>
      <c r="N2812" s="14" t="s">
        <v>7103</v>
      </c>
      <c r="O2812" s="11" t="str">
        <f>HYPERLINK("https://pbs.twimg.com/profile_images/432298122203512833/YDXfWlI__normal.png","View")</f>
        <v>View</v>
      </c>
      <c r="P2812" s="15"/>
    </row>
    <row r="2813">
      <c r="A2813" s="7">
        <v>42426.104004629626</v>
      </c>
      <c r="B2813" s="8" t="str">
        <f>HYPERLINK("https://twitter.com/davevicary","@davevicary")</f>
        <v>@davevicary</v>
      </c>
      <c r="C2813" s="10" t="s">
        <v>11036</v>
      </c>
      <c r="D2813" s="10" t="s">
        <v>10313</v>
      </c>
      <c r="E2813" s="11" t="str">
        <f>HYPERLINK("https://twitter.com/davevicary/status/703165049708216320","703165049708216320")</f>
        <v>703165049708216320</v>
      </c>
      <c r="F2813" s="12" t="s">
        <v>152</v>
      </c>
      <c r="G2813" s="13">
        <v>461.0</v>
      </c>
      <c r="H2813" s="13">
        <v>1482.0</v>
      </c>
      <c r="I2813" s="13">
        <v>7.0</v>
      </c>
      <c r="J2813" s="13">
        <v>0.0</v>
      </c>
      <c r="K2813" s="12" t="s">
        <v>21</v>
      </c>
      <c r="L2813" s="7">
        <v>39227.13334490741</v>
      </c>
      <c r="M2813" s="14" t="s">
        <v>1093</v>
      </c>
      <c r="N2813" s="14" t="s">
        <v>11037</v>
      </c>
      <c r="O2813" s="11" t="str">
        <f>HYPERLINK("https://pbs.twimg.com/profile_images/695338874994753538/7aDlCQgM_normal.jpg","View")</f>
        <v>View</v>
      </c>
      <c r="P2813" s="15"/>
    </row>
    <row r="2814">
      <c r="A2814" s="7">
        <v>42426.10490740741</v>
      </c>
      <c r="B2814" s="8" t="str">
        <f>HYPERLINK("https://twitter.com/routineactivity","@routineactivity")</f>
        <v>@routineactivity</v>
      </c>
      <c r="C2814" s="10" t="s">
        <v>11038</v>
      </c>
      <c r="D2814" s="10" t="s">
        <v>11039</v>
      </c>
      <c r="E2814" s="11" t="str">
        <f>HYPERLINK("https://twitter.com/routineactivity/status/703165374473175040","703165374473175040")</f>
        <v>703165374473175040</v>
      </c>
      <c r="F2814" s="12" t="s">
        <v>152</v>
      </c>
      <c r="G2814" s="13">
        <v>50.0</v>
      </c>
      <c r="H2814" s="13">
        <v>302.0</v>
      </c>
      <c r="I2814" s="13">
        <v>1.0</v>
      </c>
      <c r="J2814" s="13">
        <v>0.0</v>
      </c>
      <c r="K2814" s="12" t="s">
        <v>21</v>
      </c>
      <c r="L2814" s="7">
        <v>42304.10415509259</v>
      </c>
      <c r="M2814" s="14" t="s">
        <v>11040</v>
      </c>
      <c r="N2814" s="14" t="s">
        <v>11041</v>
      </c>
      <c r="O2814" s="11" t="str">
        <f>HYPERLINK("https://pbs.twimg.com/profile_images/658948908740190208/YyttFCWg_normal.jpg","View")</f>
        <v>View</v>
      </c>
      <c r="P2814" s="15"/>
    </row>
    <row r="2815">
      <c r="A2815" s="7">
        <v>42426.10503472222</v>
      </c>
      <c r="B2815" s="8" t="str">
        <f>HYPERLINK("https://twitter.com/LessCrime","@LessCrime")</f>
        <v>@LessCrime</v>
      </c>
      <c r="C2815" s="10" t="s">
        <v>11006</v>
      </c>
      <c r="D2815" s="10" t="s">
        <v>11042</v>
      </c>
      <c r="E2815" s="11" t="str">
        <f>HYPERLINK("https://twitter.com/LessCrime/status/703165422502154241","703165422502154241")</f>
        <v>703165422502154241</v>
      </c>
      <c r="F2815" s="12" t="s">
        <v>20</v>
      </c>
      <c r="G2815" s="13">
        <v>799.0</v>
      </c>
      <c r="H2815" s="13">
        <v>380.0</v>
      </c>
      <c r="I2815" s="13">
        <v>0.0</v>
      </c>
      <c r="J2815" s="13">
        <v>1.0</v>
      </c>
      <c r="K2815" s="12" t="s">
        <v>21</v>
      </c>
      <c r="L2815" s="7">
        <v>39913.71152777778</v>
      </c>
      <c r="M2815" s="14" t="s">
        <v>489</v>
      </c>
      <c r="N2815" s="14" t="s">
        <v>11008</v>
      </c>
      <c r="O2815" s="11" t="str">
        <f>HYPERLINK("https://pbs.twimg.com/profile_images/3569283223/41a2322b7c35fdf5a01ca6a5c915fc8d_normal.jpeg","View")</f>
        <v>View</v>
      </c>
      <c r="P2815" s="15"/>
    </row>
    <row r="2816">
      <c r="A2816" s="7">
        <v>42426.11456018519</v>
      </c>
      <c r="B2816" s="8" t="str">
        <f>HYPERLINK("https://twitter.com/mottarafael","@mottarafael")</f>
        <v>@mottarafael</v>
      </c>
      <c r="C2816" s="10" t="s">
        <v>9131</v>
      </c>
      <c r="D2816" s="10" t="s">
        <v>10990</v>
      </c>
      <c r="E2816" s="11" t="str">
        <f>HYPERLINK("https://twitter.com/mottarafael/status/703168875710427136","703168875710427136")</f>
        <v>703168875710427136</v>
      </c>
      <c r="F2816" s="12" t="s">
        <v>152</v>
      </c>
      <c r="G2816" s="13">
        <v>121.0</v>
      </c>
      <c r="H2816" s="13">
        <v>329.0</v>
      </c>
      <c r="I2816" s="13">
        <v>12.0</v>
      </c>
      <c r="J2816" s="13">
        <v>0.0</v>
      </c>
      <c r="K2816" s="12" t="s">
        <v>21</v>
      </c>
      <c r="L2816" s="7">
        <v>40142.69484953704</v>
      </c>
      <c r="M2816" s="14" t="s">
        <v>9132</v>
      </c>
      <c r="N2816" s="14" t="s">
        <v>9133</v>
      </c>
      <c r="O2816" s="11" t="str">
        <f>HYPERLINK("https://pbs.twimg.com/profile_images/544229028/1445949_normal.jpg","View")</f>
        <v>View</v>
      </c>
      <c r="P2816" s="15"/>
    </row>
    <row r="2817">
      <c r="A2817" s="7">
        <v>42426.1162962963</v>
      </c>
      <c r="B2817" s="8" t="str">
        <f>HYPERLINK("https://twitter.com/coolbutuseless","@coolbutuseless")</f>
        <v>@coolbutuseless</v>
      </c>
      <c r="C2817" s="10" t="s">
        <v>3711</v>
      </c>
      <c r="D2817" s="10" t="s">
        <v>11035</v>
      </c>
      <c r="E2817" s="11" t="str">
        <f>HYPERLINK("https://twitter.com/coolbutuseless/status/703169505355169793","703169505355169793")</f>
        <v>703169505355169793</v>
      </c>
      <c r="F2817" s="12" t="s">
        <v>3344</v>
      </c>
      <c r="G2817" s="13">
        <v>218.0</v>
      </c>
      <c r="H2817" s="13">
        <v>222.0</v>
      </c>
      <c r="I2817" s="13">
        <v>3.0</v>
      </c>
      <c r="J2817" s="13">
        <v>0.0</v>
      </c>
      <c r="K2817" s="12" t="s">
        <v>21</v>
      </c>
      <c r="L2817" s="7">
        <v>39944.733090277776</v>
      </c>
      <c r="M2817" s="16"/>
      <c r="N2817" s="14" t="s">
        <v>3712</v>
      </c>
      <c r="O2817" s="11" t="str">
        <f>HYPERLINK("https://pbs.twimg.com/profile_images/1858980277/icon2_normal.png","View")</f>
        <v>View</v>
      </c>
      <c r="P2817" s="15"/>
    </row>
    <row r="2818">
      <c r="A2818" s="7">
        <v>42426.11677083334</v>
      </c>
      <c r="B2818" s="8" t="str">
        <f>HYPERLINK("https://twitter.com/davidetwittin","@davidetwittin")</f>
        <v>@davidetwittin</v>
      </c>
      <c r="C2818" s="10" t="s">
        <v>11043</v>
      </c>
      <c r="D2818" s="10" t="s">
        <v>11044</v>
      </c>
      <c r="E2818" s="11" t="str">
        <f>HYPERLINK("https://twitter.com/davidetwittin/status/703169673299267584","703169673299267584")</f>
        <v>703169673299267584</v>
      </c>
      <c r="F2818" s="12" t="s">
        <v>20</v>
      </c>
      <c r="G2818" s="13">
        <v>36.0</v>
      </c>
      <c r="H2818" s="13">
        <v>135.0</v>
      </c>
      <c r="I2818" s="13">
        <v>0.0</v>
      </c>
      <c r="J2818" s="13">
        <v>0.0</v>
      </c>
      <c r="K2818" s="12" t="s">
        <v>21</v>
      </c>
      <c r="L2818" s="7">
        <v>41027.07524305556</v>
      </c>
      <c r="M2818" s="14" t="s">
        <v>11045</v>
      </c>
      <c r="N2818" s="14" t="s">
        <v>11046</v>
      </c>
      <c r="O2818" s="11" t="str">
        <f>HYPERLINK("https://pbs.twimg.com/profile_images/546384306948427776/yNlUE0kB_normal.jpeg","View")</f>
        <v>View</v>
      </c>
      <c r="P2818" s="15"/>
    </row>
    <row r="2819">
      <c r="A2819" s="7">
        <v>42426.121087962965</v>
      </c>
      <c r="B2819" s="8" t="str">
        <f>HYPERLINK("https://twitter.com/STATCowboy","@STATCowboy")</f>
        <v>@STATCowboy</v>
      </c>
      <c r="C2819" s="10" t="s">
        <v>1852</v>
      </c>
      <c r="D2819" s="10" t="s">
        <v>10932</v>
      </c>
      <c r="E2819" s="11" t="str">
        <f>HYPERLINK("https://twitter.com/STATCowboy/status/703171240048001026","703171240048001026")</f>
        <v>703171240048001026</v>
      </c>
      <c r="F2819" s="12" t="s">
        <v>152</v>
      </c>
      <c r="G2819" s="13">
        <v>438.0</v>
      </c>
      <c r="H2819" s="13">
        <v>1244.0</v>
      </c>
      <c r="I2819" s="13">
        <v>9.0</v>
      </c>
      <c r="J2819" s="13">
        <v>0.0</v>
      </c>
      <c r="K2819" s="12" t="s">
        <v>21</v>
      </c>
      <c r="L2819" s="7">
        <v>39961.456030092595</v>
      </c>
      <c r="M2819" s="16"/>
      <c r="N2819" s="14" t="s">
        <v>1853</v>
      </c>
      <c r="O2819" s="11" t="str">
        <f>HYPERLINK("https://pbs.twimg.com/profile_images/689480986560561152/dXVb8ybD_normal.jpg","View")</f>
        <v>View</v>
      </c>
      <c r="P2819" s="15"/>
    </row>
    <row r="2820">
      <c r="A2820" s="7">
        <v>42426.12430555555</v>
      </c>
      <c r="B2820" s="8" t="str">
        <f>HYPERLINK("https://twitter.com/MangoTheCat","@MangoTheCat")</f>
        <v>@MangoTheCat</v>
      </c>
      <c r="C2820" s="10" t="s">
        <v>6321</v>
      </c>
      <c r="D2820" s="10" t="s">
        <v>11047</v>
      </c>
      <c r="E2820" s="11" t="str">
        <f>HYPERLINK("https://twitter.com/MangoTheCat/status/703172406806876160","703172406806876160")</f>
        <v>703172406806876160</v>
      </c>
      <c r="F2820" s="12" t="s">
        <v>47</v>
      </c>
      <c r="G2820" s="13">
        <v>2041.0</v>
      </c>
      <c r="H2820" s="13">
        <v>2855.0</v>
      </c>
      <c r="I2820" s="13">
        <v>1.0</v>
      </c>
      <c r="J2820" s="13">
        <v>1.0</v>
      </c>
      <c r="K2820" s="12" t="s">
        <v>21</v>
      </c>
      <c r="L2820" s="7">
        <v>39854.3178587963</v>
      </c>
      <c r="M2820" s="14" t="s">
        <v>6323</v>
      </c>
      <c r="N2820" s="14" t="s">
        <v>6324</v>
      </c>
      <c r="O2820" s="11" t="str">
        <f>HYPERLINK("https://pbs.twimg.com/profile_images/641183991077445633/V7VcBpJI_normal.png","View")</f>
        <v>View</v>
      </c>
      <c r="P2820" s="15"/>
    </row>
    <row r="2821">
      <c r="A2821" s="7">
        <v>42426.13251157408</v>
      </c>
      <c r="B2821" s="8" t="str">
        <f>HYPERLINK("https://twitter.com/earlconf","@earlconf")</f>
        <v>@earlconf</v>
      </c>
      <c r="C2821" s="10" t="s">
        <v>7100</v>
      </c>
      <c r="D2821" s="10" t="s">
        <v>11048</v>
      </c>
      <c r="E2821" s="11" t="str">
        <f>HYPERLINK("https://twitter.com/earlconf/status/703175379314307072","703175379314307072")</f>
        <v>703175379314307072</v>
      </c>
      <c r="F2821" s="12" t="s">
        <v>152</v>
      </c>
      <c r="G2821" s="13">
        <v>1081.0</v>
      </c>
      <c r="H2821" s="13">
        <v>2351.0</v>
      </c>
      <c r="I2821" s="13">
        <v>1.0</v>
      </c>
      <c r="J2821" s="13">
        <v>2.0</v>
      </c>
      <c r="K2821" s="12" t="s">
        <v>21</v>
      </c>
      <c r="L2821" s="7">
        <v>41677.49930555555</v>
      </c>
      <c r="M2821" s="14" t="s">
        <v>7102</v>
      </c>
      <c r="N2821" s="14" t="s">
        <v>7103</v>
      </c>
      <c r="O2821" s="11" t="str">
        <f>HYPERLINK("https://pbs.twimg.com/profile_images/432298122203512833/YDXfWlI__normal.png","View")</f>
        <v>View</v>
      </c>
      <c r="P2821" s="15"/>
    </row>
    <row r="2822">
      <c r="A2822" s="7">
        <v>42426.13377314815</v>
      </c>
      <c r="B2822" s="8" t="str">
        <f>HYPERLINK("https://twitter.com/MangoTheCat","@MangoTheCat")</f>
        <v>@MangoTheCat</v>
      </c>
      <c r="C2822" s="10" t="s">
        <v>6321</v>
      </c>
      <c r="D2822" s="10" t="s">
        <v>11049</v>
      </c>
      <c r="E2822" s="11" t="str">
        <f>HYPERLINK("https://twitter.com/MangoTheCat/status/703175838208958464","703175838208958464")</f>
        <v>703175838208958464</v>
      </c>
      <c r="F2822" s="12" t="s">
        <v>152</v>
      </c>
      <c r="G2822" s="13">
        <v>2041.0</v>
      </c>
      <c r="H2822" s="13">
        <v>2855.0</v>
      </c>
      <c r="I2822" s="13">
        <v>1.0</v>
      </c>
      <c r="J2822" s="13">
        <v>0.0</v>
      </c>
      <c r="K2822" s="12" t="s">
        <v>21</v>
      </c>
      <c r="L2822" s="7">
        <v>39854.3178587963</v>
      </c>
      <c r="M2822" s="14" t="s">
        <v>6323</v>
      </c>
      <c r="N2822" s="14" t="s">
        <v>6324</v>
      </c>
      <c r="O2822" s="11" t="str">
        <f>HYPERLINK("https://pbs.twimg.com/profile_images/641183991077445633/V7VcBpJI_normal.png","View")</f>
        <v>View</v>
      </c>
      <c r="P2822" s="15"/>
    </row>
    <row r="2823">
      <c r="A2823" s="7">
        <v>42426.136967592596</v>
      </c>
      <c r="B2823" s="8" t="str">
        <f>HYPERLINK("https://twitter.com/velvetbaldmime","@velvetbaldmime")</f>
        <v>@velvetbaldmime</v>
      </c>
      <c r="C2823" s="10" t="s">
        <v>11050</v>
      </c>
      <c r="D2823" s="10" t="s">
        <v>11051</v>
      </c>
      <c r="E2823" s="11" t="str">
        <f>HYPERLINK("https://twitter.com/velvetbaldmime/status/703176995631468544","703176995631468544")</f>
        <v>703176995631468544</v>
      </c>
      <c r="F2823" s="12" t="s">
        <v>20</v>
      </c>
      <c r="G2823" s="13">
        <v>29.0</v>
      </c>
      <c r="H2823" s="13">
        <v>88.0</v>
      </c>
      <c r="I2823" s="13">
        <v>0.0</v>
      </c>
      <c r="J2823" s="13">
        <v>0.0</v>
      </c>
      <c r="K2823" s="12" t="s">
        <v>21</v>
      </c>
      <c r="L2823" s="7">
        <v>41161.254432870366</v>
      </c>
      <c r="M2823" s="14" t="s">
        <v>489</v>
      </c>
      <c r="N2823" s="14" t="s">
        <v>11052</v>
      </c>
      <c r="O2823" s="11" t="str">
        <f>HYPERLINK("https://pbs.twimg.com/profile_images/630723569522184192/xOWSOI36_normal.jpg","View")</f>
        <v>View</v>
      </c>
      <c r="P2823" s="15"/>
    </row>
    <row r="2824">
      <c r="A2824" s="7">
        <v>42426.13946759259</v>
      </c>
      <c r="B2824" s="8" t="str">
        <f>HYPERLINK("https://twitter.com/Zk433","@Zk433")</f>
        <v>@Zk433</v>
      </c>
      <c r="C2824" s="10" t="s">
        <v>4832</v>
      </c>
      <c r="D2824" s="10" t="s">
        <v>4833</v>
      </c>
      <c r="E2824" s="11" t="str">
        <f>HYPERLINK("https://twitter.com/Zk433/status/703177900070055936","703177900070055936")</f>
        <v>703177900070055936</v>
      </c>
      <c r="F2824" s="12" t="s">
        <v>20</v>
      </c>
      <c r="G2824" s="13">
        <v>18.0</v>
      </c>
      <c r="H2824" s="13">
        <v>94.0</v>
      </c>
      <c r="I2824" s="13">
        <v>0.0</v>
      </c>
      <c r="J2824" s="13">
        <v>0.0</v>
      </c>
      <c r="K2824" s="12" t="s">
        <v>21</v>
      </c>
      <c r="L2824" s="7">
        <v>40400.10403935185</v>
      </c>
      <c r="M2824" s="14" t="s">
        <v>2833</v>
      </c>
      <c r="N2824" s="14" t="s">
        <v>4834</v>
      </c>
      <c r="O2824" s="11" t="str">
        <f>HYPERLINK("https://pbs.twimg.com/profile_images/668051820091166721/uP7X3fI5_normal.jpg","View")</f>
        <v>View</v>
      </c>
      <c r="P2824" s="15"/>
    </row>
    <row r="2825">
      <c r="A2825" s="7">
        <v>42426.14002314815</v>
      </c>
      <c r="B2825" s="8" t="str">
        <f>HYPERLINK("https://twitter.com/Jamieallencook","@Jamieallencook")</f>
        <v>@Jamieallencook</v>
      </c>
      <c r="C2825" s="10" t="s">
        <v>11053</v>
      </c>
      <c r="D2825" s="10" t="s">
        <v>11054</v>
      </c>
      <c r="E2825" s="11" t="str">
        <f>HYPERLINK("https://twitter.com/Jamieallencook/status/703178102466224128","703178102466224128")</f>
        <v>703178102466224128</v>
      </c>
      <c r="F2825" s="12" t="s">
        <v>52</v>
      </c>
      <c r="G2825" s="13">
        <v>27.0</v>
      </c>
      <c r="H2825" s="13">
        <v>96.0</v>
      </c>
      <c r="I2825" s="13">
        <v>1.0</v>
      </c>
      <c r="J2825" s="13">
        <v>0.0</v>
      </c>
      <c r="K2825" s="12" t="s">
        <v>21</v>
      </c>
      <c r="L2825" s="7">
        <v>40963.67292824074</v>
      </c>
      <c r="M2825" s="14" t="s">
        <v>7666</v>
      </c>
      <c r="N2825" s="16"/>
      <c r="O2825" s="11" t="str">
        <f>HYPERLINK("https://pbs.twimg.com/profile_images/518633000917934081/wo03fJNe_normal.jpeg","View")</f>
        <v>View</v>
      </c>
      <c r="P2825" s="15"/>
    </row>
    <row r="2826">
      <c r="A2826" s="7">
        <v>42426.14163194444</v>
      </c>
      <c r="B2826" s="8" t="str">
        <f>HYPERLINK("https://twitter.com/TeebzR","@TeebzR")</f>
        <v>@TeebzR</v>
      </c>
      <c r="C2826" s="10" t="s">
        <v>11055</v>
      </c>
      <c r="D2826" s="10" t="s">
        <v>11056</v>
      </c>
      <c r="E2826" s="11" t="str">
        <f>HYPERLINK("https://twitter.com/TeebzR/status/703178685554163714","703178685554163714")</f>
        <v>703178685554163714</v>
      </c>
      <c r="F2826" s="12" t="s">
        <v>20</v>
      </c>
      <c r="G2826" s="13">
        <v>255.0</v>
      </c>
      <c r="H2826" s="13">
        <v>158.0</v>
      </c>
      <c r="I2826" s="13">
        <v>0.0</v>
      </c>
      <c r="J2826" s="13">
        <v>0.0</v>
      </c>
      <c r="K2826" s="12" t="s">
        <v>21</v>
      </c>
      <c r="L2826" s="7">
        <v>41400.497395833336</v>
      </c>
      <c r="M2826" s="16"/>
      <c r="N2826" s="14" t="s">
        <v>11057</v>
      </c>
      <c r="O2826" s="11" t="str">
        <f>HYPERLINK("https://pbs.twimg.com/profile_images/703178918316998656/ap49QMQf_normal.jpg","View")</f>
        <v>View</v>
      </c>
      <c r="P2826" s="15"/>
    </row>
    <row r="2827">
      <c r="A2827" s="7">
        <v>42426.1475462963</v>
      </c>
      <c r="B2827" s="8" t="str">
        <f>HYPERLINK("https://twitter.com/BestCourses_","@BestCourses_")</f>
        <v>@BestCourses_</v>
      </c>
      <c r="C2827" s="10" t="s">
        <v>409</v>
      </c>
      <c r="D2827" s="10" t="s">
        <v>11058</v>
      </c>
      <c r="E2827" s="11" t="str">
        <f>HYPERLINK("https://twitter.com/BestCourses_/status/703180826641461248","703180826641461248")</f>
        <v>703180826641461248</v>
      </c>
      <c r="F2827" s="12" t="s">
        <v>103</v>
      </c>
      <c r="G2827" s="13">
        <v>528.0</v>
      </c>
      <c r="H2827" s="13">
        <v>40.0</v>
      </c>
      <c r="I2827" s="13">
        <v>0.0</v>
      </c>
      <c r="J2827" s="13">
        <v>0.0</v>
      </c>
      <c r="K2827" s="12" t="s">
        <v>21</v>
      </c>
      <c r="L2827" s="7">
        <v>42294.333125000005</v>
      </c>
      <c r="M2827" s="14" t="s">
        <v>411</v>
      </c>
      <c r="N2827" s="14" t="s">
        <v>412</v>
      </c>
      <c r="O2827" s="11" t="str">
        <f>HYPERLINK("https://pbs.twimg.com/profile_images/655401968802861056/yuPEMhy3_normal.jpg","View")</f>
        <v>View</v>
      </c>
      <c r="P2827" s="15"/>
    </row>
    <row r="2828">
      <c r="A2828" s="7">
        <v>42426.15331018518</v>
      </c>
      <c r="B2828" s="8" t="str">
        <f>HYPERLINK("https://twitter.com/EnedinaTT","@EnedinaTT")</f>
        <v>@EnedinaTT</v>
      </c>
      <c r="C2828" s="10" t="s">
        <v>11059</v>
      </c>
      <c r="D2828" s="10" t="s">
        <v>10691</v>
      </c>
      <c r="E2828" s="11" t="str">
        <f>HYPERLINK("https://twitter.com/EnedinaTT/status/703182915782336514","703182915782336514")</f>
        <v>703182915782336514</v>
      </c>
      <c r="F2828" s="12" t="s">
        <v>4090</v>
      </c>
      <c r="G2828" s="13">
        <v>157.0</v>
      </c>
      <c r="H2828" s="13">
        <v>24.0</v>
      </c>
      <c r="I2828" s="13">
        <v>2.0</v>
      </c>
      <c r="J2828" s="13">
        <v>0.0</v>
      </c>
      <c r="K2828" s="12" t="s">
        <v>21</v>
      </c>
      <c r="L2828" s="7">
        <v>41326.5877662037</v>
      </c>
      <c r="M2828" s="16"/>
      <c r="N2828" s="16"/>
      <c r="O2828" s="11" t="str">
        <f>HYPERLINK("https://abs.twimg.com/sticky/default_profile_images/default_profile_5_normal.png","View")</f>
        <v>View</v>
      </c>
      <c r="P2828" s="15"/>
    </row>
    <row r="2829">
      <c r="A2829" s="7">
        <v>42426.156180555554</v>
      </c>
      <c r="B2829" s="8" t="str">
        <f>HYPERLINK("https://twitter.com/psychemedia","@psychemedia")</f>
        <v>@psychemedia</v>
      </c>
      <c r="C2829" s="10" t="s">
        <v>11060</v>
      </c>
      <c r="D2829" s="10" t="s">
        <v>11061</v>
      </c>
      <c r="E2829" s="11" t="str">
        <f>HYPERLINK("https://twitter.com/psychemedia/status/703183957253165056","703183957253165056")</f>
        <v>703183957253165056</v>
      </c>
      <c r="F2829" s="12" t="s">
        <v>4109</v>
      </c>
      <c r="G2829" s="13">
        <v>5245.0</v>
      </c>
      <c r="H2829" s="13">
        <v>1238.0</v>
      </c>
      <c r="I2829" s="13">
        <v>0.0</v>
      </c>
      <c r="J2829" s="13">
        <v>0.0</v>
      </c>
      <c r="K2829" s="12" t="s">
        <v>21</v>
      </c>
      <c r="L2829" s="7">
        <v>39261.1928125</v>
      </c>
      <c r="M2829" s="14" t="s">
        <v>519</v>
      </c>
      <c r="N2829" s="14" t="s">
        <v>11062</v>
      </c>
      <c r="O2829" s="11" t="str">
        <f>HYPERLINK("https://pbs.twimg.com/profile_images/1195013164/Picture_23_normal.png","View")</f>
        <v>View</v>
      </c>
      <c r="P2829" s="15"/>
    </row>
    <row r="2830">
      <c r="A2830" s="7">
        <v>42426.15831018519</v>
      </c>
      <c r="B2830" s="8" t="str">
        <f>HYPERLINK("https://twitter.com/el_abstemio","@el_abstemio")</f>
        <v>@el_abstemio</v>
      </c>
      <c r="C2830" s="10" t="s">
        <v>11063</v>
      </c>
      <c r="D2830" s="10" t="s">
        <v>10990</v>
      </c>
      <c r="E2830" s="11" t="str">
        <f>HYPERLINK("https://twitter.com/el_abstemio/status/703184727922978816","703184727922978816")</f>
        <v>703184727922978816</v>
      </c>
      <c r="F2830" s="12" t="s">
        <v>52</v>
      </c>
      <c r="G2830" s="13">
        <v>408.0</v>
      </c>
      <c r="H2830" s="13">
        <v>243.0</v>
      </c>
      <c r="I2830" s="13">
        <v>12.0</v>
      </c>
      <c r="J2830" s="13">
        <v>0.0</v>
      </c>
      <c r="K2830" s="12" t="s">
        <v>21</v>
      </c>
      <c r="L2830" s="7">
        <v>40714.26709490741</v>
      </c>
      <c r="M2830" s="14" t="s">
        <v>11064</v>
      </c>
      <c r="N2830" s="14" t="s">
        <v>11065</v>
      </c>
      <c r="O2830" s="11" t="str">
        <f>HYPERLINK("https://pbs.twimg.com/profile_images/654285355198357505/pLAhaH6v_normal.jpg","View")</f>
        <v>View</v>
      </c>
      <c r="P2830" s="15"/>
    </row>
    <row r="2831">
      <c r="A2831" s="7">
        <v>42426.160104166665</v>
      </c>
      <c r="B2831" s="8" t="str">
        <f>HYPERLINK("https://twitter.com/sqL_handLe","@sqL_handLe")</f>
        <v>@sqL_handLe</v>
      </c>
      <c r="C2831" s="10" t="s">
        <v>11066</v>
      </c>
      <c r="D2831" s="10" t="s">
        <v>10620</v>
      </c>
      <c r="E2831" s="11" t="str">
        <f>HYPERLINK("https://twitter.com/sqL_handLe/status/703185377339674624","703185377339674624")</f>
        <v>703185377339674624</v>
      </c>
      <c r="F2831" s="12" t="s">
        <v>52</v>
      </c>
      <c r="G2831" s="13">
        <v>1088.0</v>
      </c>
      <c r="H2831" s="13">
        <v>1247.0</v>
      </c>
      <c r="I2831" s="13">
        <v>2.0</v>
      </c>
      <c r="J2831" s="13">
        <v>0.0</v>
      </c>
      <c r="K2831" s="12" t="s">
        <v>21</v>
      </c>
      <c r="L2831" s="7">
        <v>40657.847604166665</v>
      </c>
      <c r="M2831" s="16"/>
      <c r="N2831" s="14" t="s">
        <v>11067</v>
      </c>
      <c r="O2831" s="11" t="str">
        <f>HYPERLINK("https://pbs.twimg.com/profile_images/632430083739791361/avYMpX74_normal.jpg","View")</f>
        <v>View</v>
      </c>
      <c r="P2831" s="15"/>
    </row>
    <row r="2832">
      <c r="A2832" s="7">
        <v>42426.16210648148</v>
      </c>
      <c r="B2832" s="8" t="str">
        <f>HYPERLINK("https://twitter.com/noticiasSobreR","@noticiasSobreR")</f>
        <v>@noticiasSobreR</v>
      </c>
      <c r="C2832" s="10" t="s">
        <v>8179</v>
      </c>
      <c r="D2832" s="10" t="s">
        <v>11068</v>
      </c>
      <c r="E2832" s="11" t="str">
        <f>HYPERLINK("https://twitter.com/noticiasSobreR/status/703186103365292033","703186103365292033")</f>
        <v>703186103365292033</v>
      </c>
      <c r="F2832" s="12" t="s">
        <v>1961</v>
      </c>
      <c r="G2832" s="13">
        <v>148.0</v>
      </c>
      <c r="H2832" s="13">
        <v>1.0</v>
      </c>
      <c r="I2832" s="13">
        <v>0.0</v>
      </c>
      <c r="J2832" s="13">
        <v>0.0</v>
      </c>
      <c r="K2832" s="12" t="s">
        <v>21</v>
      </c>
      <c r="L2832" s="7">
        <v>40590.68494212963</v>
      </c>
      <c r="M2832" s="16"/>
      <c r="N2832" s="16"/>
      <c r="O2832" s="11" t="str">
        <f>HYPERLINK("https://abs.twimg.com/sticky/default_profile_images/default_profile_3_normal.png","View")</f>
        <v>View</v>
      </c>
      <c r="P2832" s="15"/>
    </row>
    <row r="2833">
      <c r="A2833" s="7">
        <v>42426.16247685185</v>
      </c>
      <c r="B2833" s="8" t="str">
        <f>HYPERLINK("https://twitter.com/vishnebo","@vishnebo")</f>
        <v>@vishnebo</v>
      </c>
      <c r="C2833" s="10" t="s">
        <v>11069</v>
      </c>
      <c r="D2833" s="10" t="s">
        <v>11070</v>
      </c>
      <c r="E2833" s="11" t="str">
        <f>HYPERLINK("https://twitter.com/vishnebo/status/703186238321389568","703186238321389568")</f>
        <v>703186238321389568</v>
      </c>
      <c r="F2833" s="12" t="s">
        <v>1082</v>
      </c>
      <c r="G2833" s="13">
        <v>53.0</v>
      </c>
      <c r="H2833" s="13">
        <v>181.0</v>
      </c>
      <c r="I2833" s="13">
        <v>1.0</v>
      </c>
      <c r="J2833" s="13">
        <v>0.0</v>
      </c>
      <c r="K2833" s="12" t="s">
        <v>21</v>
      </c>
      <c r="L2833" s="7">
        <v>39936.597349537034</v>
      </c>
      <c r="M2833" s="16"/>
      <c r="N2833" s="16"/>
      <c r="O2833" s="11" t="str">
        <f>HYPERLINK("https://abs.twimg.com/sticky/default_profile_images/default_profile_1_normal.png","View")</f>
        <v>View</v>
      </c>
      <c r="P2833" s="15"/>
    </row>
    <row r="2834">
      <c r="A2834" s="7">
        <v>42426.16285879629</v>
      </c>
      <c r="B2834" s="8" t="str">
        <f>HYPERLINK("https://twitter.com/bioinpharmatics","@bioinpharmatics")</f>
        <v>@bioinpharmatics</v>
      </c>
      <c r="C2834" s="10" t="s">
        <v>11071</v>
      </c>
      <c r="D2834" s="10" t="s">
        <v>11072</v>
      </c>
      <c r="E2834" s="11" t="str">
        <f>HYPERLINK("https://twitter.com/bioinpharmatics/status/703186375550509056","703186375550509056")</f>
        <v>703186375550509056</v>
      </c>
      <c r="F2834" s="12" t="s">
        <v>20</v>
      </c>
      <c r="G2834" s="13">
        <v>199.0</v>
      </c>
      <c r="H2834" s="13">
        <v>335.0</v>
      </c>
      <c r="I2834" s="13">
        <v>0.0</v>
      </c>
      <c r="J2834" s="13">
        <v>0.0</v>
      </c>
      <c r="K2834" s="12" t="s">
        <v>21</v>
      </c>
      <c r="L2834" s="7">
        <v>40205.50576388889</v>
      </c>
      <c r="M2834" s="14" t="s">
        <v>2833</v>
      </c>
      <c r="N2834" s="14" t="s">
        <v>11073</v>
      </c>
      <c r="O2834" s="11" t="str">
        <f>HYPERLINK("https://pbs.twimg.com/profile_images/552577033797390336/9qtj1Oci_normal.jpeg","View")</f>
        <v>View</v>
      </c>
      <c r="P2834" s="15"/>
    </row>
    <row r="2835">
      <c r="A2835" s="7">
        <v>42426.16664351852</v>
      </c>
      <c r="B2835" s="8" t="str">
        <f>HYPERLINK("https://twitter.com/yrlaNor","@yrlaNor")</f>
        <v>@yrlaNor</v>
      </c>
      <c r="C2835" s="10" t="s">
        <v>11074</v>
      </c>
      <c r="D2835" s="10" t="s">
        <v>11075</v>
      </c>
      <c r="E2835" s="11" t="str">
        <f>HYPERLINK("https://twitter.com/yrlaNor/status/703187749457637377","703187749457637377")</f>
        <v>703187749457637377</v>
      </c>
      <c r="F2835" s="12" t="s">
        <v>20</v>
      </c>
      <c r="G2835" s="13">
        <v>61.0</v>
      </c>
      <c r="H2835" s="13">
        <v>115.0</v>
      </c>
      <c r="I2835" s="13">
        <v>1.0</v>
      </c>
      <c r="J2835" s="13">
        <v>2.0</v>
      </c>
      <c r="K2835" s="12" t="s">
        <v>21</v>
      </c>
      <c r="L2835" s="7">
        <v>41827.016238425924</v>
      </c>
      <c r="M2835" s="16"/>
      <c r="N2835" s="14" t="s">
        <v>11076</v>
      </c>
      <c r="O2835" s="11" t="str">
        <f>HYPERLINK("https://pbs.twimg.com/profile_images/486057633850220547/pb5fG2GC_normal.png","View")</f>
        <v>View</v>
      </c>
      <c r="P2835" s="15"/>
    </row>
    <row r="2836">
      <c r="A2836" s="7">
        <v>42426.16704861111</v>
      </c>
      <c r="B2836" s="8" t="str">
        <f>HYPERLINK("https://twitter.com/BenBondLamberty","@BenBondLamberty")</f>
        <v>@BenBondLamberty</v>
      </c>
      <c r="C2836" s="10" t="s">
        <v>8359</v>
      </c>
      <c r="D2836" s="10" t="s">
        <v>10872</v>
      </c>
      <c r="E2836" s="11" t="str">
        <f>HYPERLINK("https://twitter.com/BenBondLamberty/status/703187893502791681","703187893502791681")</f>
        <v>703187893502791681</v>
      </c>
      <c r="F2836" s="12" t="s">
        <v>52</v>
      </c>
      <c r="G2836" s="13">
        <v>723.0</v>
      </c>
      <c r="H2836" s="13">
        <v>134.0</v>
      </c>
      <c r="I2836" s="13">
        <v>6.0</v>
      </c>
      <c r="J2836" s="13">
        <v>0.0</v>
      </c>
      <c r="K2836" s="12" t="s">
        <v>21</v>
      </c>
      <c r="L2836" s="7">
        <v>41498.918275462966</v>
      </c>
      <c r="M2836" s="14" t="s">
        <v>8361</v>
      </c>
      <c r="N2836" s="14" t="s">
        <v>8362</v>
      </c>
      <c r="O2836" s="11" t="str">
        <f>HYPERLINK("https://pbs.twimg.com/profile_images/378800000379904772/a5a32945f329f35a345b28adfa8fe081_normal.png","View")</f>
        <v>View</v>
      </c>
      <c r="P2836" s="15"/>
    </row>
    <row r="2837">
      <c r="A2837" s="7">
        <v>42426.16743055556</v>
      </c>
      <c r="B2837" s="8" t="str">
        <f>HYPERLINK("https://twitter.com/RKWardNet","@RKWardNet")</f>
        <v>@RKWardNet</v>
      </c>
      <c r="C2837" s="10" t="s">
        <v>9223</v>
      </c>
      <c r="D2837" s="10" t="s">
        <v>11077</v>
      </c>
      <c r="E2837" s="11" t="str">
        <f>HYPERLINK("https://twitter.com/RKWardNet/status/703188035349839873","703188035349839873")</f>
        <v>703188035349839873</v>
      </c>
      <c r="F2837" s="12" t="s">
        <v>152</v>
      </c>
      <c r="G2837" s="13">
        <v>24.0</v>
      </c>
      <c r="H2837" s="13">
        <v>16.0</v>
      </c>
      <c r="I2837" s="13">
        <v>1.0</v>
      </c>
      <c r="J2837" s="13">
        <v>0.0</v>
      </c>
      <c r="K2837" s="12" t="s">
        <v>21</v>
      </c>
      <c r="L2837" s="7">
        <v>42322.11486111111</v>
      </c>
      <c r="M2837" s="16"/>
      <c r="N2837" s="14" t="s">
        <v>9224</v>
      </c>
      <c r="O2837" s="11" t="str">
        <f>HYPERLINK("https://pbs.twimg.com/profile_images/666345541043884033/DZXZe2HG_normal.jpg","View")</f>
        <v>View</v>
      </c>
      <c r="P2837" s="15"/>
    </row>
    <row r="2838">
      <c r="A2838" s="7">
        <v>42426.17733796296</v>
      </c>
      <c r="B2838" s="8" t="str">
        <f>HYPERLINK("https://twitter.com/harrydcc","@harrydcc")</f>
        <v>@harrydcc</v>
      </c>
      <c r="C2838" s="10" t="s">
        <v>11078</v>
      </c>
      <c r="D2838" s="10" t="s">
        <v>11079</v>
      </c>
      <c r="E2838" s="11" t="str">
        <f>HYPERLINK("https://twitter.com/harrydcc/status/703191622905823232","703191622905823232")</f>
        <v>703191622905823232</v>
      </c>
      <c r="F2838" s="12" t="s">
        <v>20</v>
      </c>
      <c r="G2838" s="13">
        <v>29.0</v>
      </c>
      <c r="H2838" s="13">
        <v>61.0</v>
      </c>
      <c r="I2838" s="13">
        <v>0.0</v>
      </c>
      <c r="J2838" s="13">
        <v>0.0</v>
      </c>
      <c r="K2838" s="12" t="s">
        <v>21</v>
      </c>
      <c r="L2838" s="7">
        <v>42061.257685185185</v>
      </c>
      <c r="M2838" s="14" t="s">
        <v>11080</v>
      </c>
      <c r="N2838" s="14" t="s">
        <v>10439</v>
      </c>
      <c r="O2838" s="11" t="str">
        <f>HYPERLINK("https://pbs.twimg.com/profile_images/572806905865588736/XZQuxWid_normal.jpeg","View")</f>
        <v>View</v>
      </c>
      <c r="P2838" s="15"/>
    </row>
    <row r="2839">
      <c r="A2839" s="7">
        <v>42426.18372685185</v>
      </c>
      <c r="B2839" s="8" t="str">
        <f>HYPERLINK("https://twitter.com/datennutzen","@datennutzen")</f>
        <v>@datennutzen</v>
      </c>
      <c r="C2839" s="10" t="s">
        <v>8625</v>
      </c>
      <c r="D2839" s="10" t="s">
        <v>11081</v>
      </c>
      <c r="E2839" s="11" t="str">
        <f>HYPERLINK("https://twitter.com/datennutzen/status/703193941043232768","703193941043232768")</f>
        <v>703193941043232768</v>
      </c>
      <c r="F2839" s="12" t="s">
        <v>20</v>
      </c>
      <c r="G2839" s="13">
        <v>171.0</v>
      </c>
      <c r="H2839" s="13">
        <v>301.0</v>
      </c>
      <c r="I2839" s="13">
        <v>0.0</v>
      </c>
      <c r="J2839" s="13">
        <v>0.0</v>
      </c>
      <c r="K2839" s="12" t="s">
        <v>21</v>
      </c>
      <c r="L2839" s="7">
        <v>40918.36751157408</v>
      </c>
      <c r="M2839" s="16"/>
      <c r="N2839" s="14" t="s">
        <v>8627</v>
      </c>
      <c r="O2839" s="11" t="str">
        <f>HYPERLINK("https://pbs.twimg.com/profile_images/1746090001/Logo_bullet_normal.jpg","View")</f>
        <v>View</v>
      </c>
      <c r="P2839" s="15"/>
    </row>
    <row r="2840">
      <c r="A2840" s="7">
        <v>42426.184965277775</v>
      </c>
      <c r="B2840" s="8" t="str">
        <f>HYPERLINK("https://twitter.com/yamano357","@yamano357")</f>
        <v>@yamano357</v>
      </c>
      <c r="C2840" s="10" t="s">
        <v>6797</v>
      </c>
      <c r="D2840" s="10" t="s">
        <v>10653</v>
      </c>
      <c r="E2840" s="11" t="str">
        <f>HYPERLINK("https://twitter.com/yamano357/status/703194389712019456","703194389712019456")</f>
        <v>703194389712019456</v>
      </c>
      <c r="F2840" s="12" t="s">
        <v>20</v>
      </c>
      <c r="G2840" s="13">
        <v>554.0</v>
      </c>
      <c r="H2840" s="13">
        <v>341.0</v>
      </c>
      <c r="I2840" s="13">
        <v>28.0</v>
      </c>
      <c r="J2840" s="13">
        <v>0.0</v>
      </c>
      <c r="K2840" s="12" t="s">
        <v>21</v>
      </c>
      <c r="L2840" s="7">
        <v>41595.29126157407</v>
      </c>
      <c r="M2840" s="16"/>
      <c r="N2840" s="14" t="s">
        <v>6798</v>
      </c>
      <c r="O2840" s="11" t="str">
        <f>HYPERLINK("https://pbs.twimg.com/profile_images/603763620393025536/KBmiiFXC_normal.png","View")</f>
        <v>View</v>
      </c>
      <c r="P2840" s="15"/>
    </row>
    <row r="2841">
      <c r="A2841" s="7">
        <v>42426.19173611111</v>
      </c>
      <c r="B2841" s="8" t="str">
        <f>HYPERLINK("https://twitter.com/dwdii","@dwdii")</f>
        <v>@dwdii</v>
      </c>
      <c r="C2841" s="10" t="s">
        <v>11082</v>
      </c>
      <c r="D2841" s="10" t="s">
        <v>11083</v>
      </c>
      <c r="E2841" s="11" t="str">
        <f>HYPERLINK("https://twitter.com/dwdii/status/703196843396734976","703196843396734976")</f>
        <v>703196843396734976</v>
      </c>
      <c r="F2841" s="12" t="s">
        <v>20</v>
      </c>
      <c r="G2841" s="13">
        <v>220.0</v>
      </c>
      <c r="H2841" s="13">
        <v>238.0</v>
      </c>
      <c r="I2841" s="13">
        <v>1.0</v>
      </c>
      <c r="J2841" s="13">
        <v>1.0</v>
      </c>
      <c r="K2841" s="12" t="s">
        <v>21</v>
      </c>
      <c r="L2841" s="7">
        <v>40112.59442129629</v>
      </c>
      <c r="M2841" s="14" t="s">
        <v>608</v>
      </c>
      <c r="N2841" s="14" t="s">
        <v>11084</v>
      </c>
      <c r="O2841" s="11" t="str">
        <f>HYPERLINK("https://pbs.twimg.com/profile_images/654123046991597568/MV6j0afr_normal.jpg","View")</f>
        <v>View</v>
      </c>
      <c r="P2841" s="15"/>
    </row>
    <row r="2842">
      <c r="A2842" s="7">
        <v>42426.192303240736</v>
      </c>
      <c r="B2842" s="8" t="str">
        <f>HYPERLINK("https://twitter.com/HueramoEli","@HueramoEli")</f>
        <v>@HueramoEli</v>
      </c>
      <c r="C2842" s="10" t="s">
        <v>11085</v>
      </c>
      <c r="D2842" s="10" t="s">
        <v>10876</v>
      </c>
      <c r="E2842" s="11" t="str">
        <f>HYPERLINK("https://twitter.com/HueramoEli/status/703197046732238848","703197046732238848")</f>
        <v>703197046732238848</v>
      </c>
      <c r="F2842" s="12" t="s">
        <v>124</v>
      </c>
      <c r="G2842" s="13">
        <v>119.0</v>
      </c>
      <c r="H2842" s="13">
        <v>131.0</v>
      </c>
      <c r="I2842" s="13">
        <v>24.0</v>
      </c>
      <c r="J2842" s="13">
        <v>0.0</v>
      </c>
      <c r="K2842" s="12" t="s">
        <v>21</v>
      </c>
      <c r="L2842" s="7">
        <v>40597.389016203706</v>
      </c>
      <c r="M2842" s="16"/>
      <c r="N2842" s="16"/>
      <c r="O2842" s="11" t="str">
        <f>HYPERLINK("https://pbs.twimg.com/profile_images/1798373705/image_normal.jpg","View")</f>
        <v>View</v>
      </c>
      <c r="P2842" s="15"/>
    </row>
    <row r="2843">
      <c r="A2843" s="7">
        <v>42426.1935300926</v>
      </c>
      <c r="B2843" s="8" t="str">
        <f>HYPERLINK("https://twitter.com/pawwakill","@pawwakill")</f>
        <v>@pawwakill</v>
      </c>
      <c r="C2843" s="10" t="s">
        <v>11086</v>
      </c>
      <c r="D2843" s="10" t="s">
        <v>10695</v>
      </c>
      <c r="E2843" s="11" t="str">
        <f>HYPERLINK("https://twitter.com/pawwakill/status/703197490238124032","703197490238124032")</f>
        <v>703197490238124032</v>
      </c>
      <c r="F2843" s="12" t="s">
        <v>152</v>
      </c>
      <c r="G2843" s="13">
        <v>32.0</v>
      </c>
      <c r="H2843" s="13">
        <v>83.0</v>
      </c>
      <c r="I2843" s="13">
        <v>21.0</v>
      </c>
      <c r="J2843" s="13">
        <v>0.0</v>
      </c>
      <c r="K2843" s="12" t="s">
        <v>21</v>
      </c>
      <c r="L2843" s="7">
        <v>42147.26006944444</v>
      </c>
      <c r="M2843" s="14" t="s">
        <v>1031</v>
      </c>
      <c r="N2843" s="14" t="s">
        <v>11087</v>
      </c>
      <c r="O2843" s="11" t="str">
        <f>HYPERLINK("https://pbs.twimg.com/profile_images/630326577876893696/qpGVG6BD_normal.jpg","View")</f>
        <v>View</v>
      </c>
      <c r="P2843" s="15"/>
    </row>
    <row r="2844">
      <c r="A2844" s="7">
        <v>42426.19474537037</v>
      </c>
      <c r="B2844" s="8" t="str">
        <f>HYPERLINK("https://twitter.com/codepedia_info","@codepedia_info")</f>
        <v>@codepedia_info</v>
      </c>
      <c r="C2844" s="10" t="s">
        <v>6579</v>
      </c>
      <c r="D2844" s="10" t="s">
        <v>11088</v>
      </c>
      <c r="E2844" s="11" t="str">
        <f>HYPERLINK("https://twitter.com/codepedia_info/status/703197932129009664","703197932129009664")</f>
        <v>703197932129009664</v>
      </c>
      <c r="F2844" s="12" t="s">
        <v>6581</v>
      </c>
      <c r="G2844" s="13">
        <v>790.0</v>
      </c>
      <c r="H2844" s="13">
        <v>489.0</v>
      </c>
      <c r="I2844" s="13">
        <v>1.0</v>
      </c>
      <c r="J2844" s="13">
        <v>0.0</v>
      </c>
      <c r="K2844" s="12" t="s">
        <v>21</v>
      </c>
      <c r="L2844" s="7">
        <v>42292.92140046296</v>
      </c>
      <c r="M2844" s="16"/>
      <c r="N2844" s="14" t="s">
        <v>6582</v>
      </c>
      <c r="O2844" s="11" t="str">
        <f>HYPERLINK("https://pbs.twimg.com/profile_images/655054050832969728/3mJGHxhS_normal.jpg","View")</f>
        <v>View</v>
      </c>
      <c r="P2844" s="15"/>
    </row>
    <row r="2845">
      <c r="A2845" s="7">
        <v>42426.19828703704</v>
      </c>
      <c r="B2845" s="8" t="str">
        <f t="shared" ref="B2845:B2846" si="309">HYPERLINK("https://twitter.com/DataWookie","@DataWookie")</f>
        <v>@DataWookie</v>
      </c>
      <c r="C2845" s="10" t="s">
        <v>6231</v>
      </c>
      <c r="D2845" s="10" t="s">
        <v>11089</v>
      </c>
      <c r="E2845" s="11" t="str">
        <f>HYPERLINK("https://twitter.com/DataWookie/status/703199217724952576","703199217724952576")</f>
        <v>703199217724952576</v>
      </c>
      <c r="F2845" s="12" t="s">
        <v>6233</v>
      </c>
      <c r="G2845" s="13">
        <v>426.0</v>
      </c>
      <c r="H2845" s="13">
        <v>296.0</v>
      </c>
      <c r="I2845" s="13">
        <v>0.0</v>
      </c>
      <c r="J2845" s="13">
        <v>0.0</v>
      </c>
      <c r="K2845" s="12" t="s">
        <v>21</v>
      </c>
      <c r="L2845" s="7">
        <v>42166.966678240744</v>
      </c>
      <c r="M2845" s="14" t="s">
        <v>6234</v>
      </c>
      <c r="N2845" s="14" t="s">
        <v>6235</v>
      </c>
      <c r="O2845" s="11" t="str">
        <f t="shared" ref="O2845:O2846" si="310">HYPERLINK("https://pbs.twimg.com/profile_images/612471608725213184/eXKo2Kmo_normal.jpg","View")</f>
        <v>View</v>
      </c>
      <c r="P2845" s="15"/>
    </row>
    <row r="2846">
      <c r="A2846" s="7">
        <v>42426.19899305556</v>
      </c>
      <c r="B2846" s="8" t="str">
        <f t="shared" si="309"/>
        <v>@DataWookie</v>
      </c>
      <c r="C2846" s="10" t="s">
        <v>6231</v>
      </c>
      <c r="D2846" s="10" t="s">
        <v>11090</v>
      </c>
      <c r="E2846" s="11" t="str">
        <f>HYPERLINK("https://twitter.com/DataWookie/status/703199470800900098","703199470800900098")</f>
        <v>703199470800900098</v>
      </c>
      <c r="F2846" s="12" t="s">
        <v>6233</v>
      </c>
      <c r="G2846" s="13">
        <v>426.0</v>
      </c>
      <c r="H2846" s="13">
        <v>296.0</v>
      </c>
      <c r="I2846" s="13">
        <v>0.0</v>
      </c>
      <c r="J2846" s="13">
        <v>0.0</v>
      </c>
      <c r="K2846" s="12" t="s">
        <v>21</v>
      </c>
      <c r="L2846" s="7">
        <v>42166.966678240744</v>
      </c>
      <c r="M2846" s="14" t="s">
        <v>6234</v>
      </c>
      <c r="N2846" s="14" t="s">
        <v>6235</v>
      </c>
      <c r="O2846" s="11" t="str">
        <f t="shared" si="310"/>
        <v>View</v>
      </c>
      <c r="P2846" s="15"/>
    </row>
    <row r="2847">
      <c r="A2847" s="7">
        <v>42426.199270833335</v>
      </c>
      <c r="B2847" s="8" t="str">
        <f>HYPERLINK("https://twitter.com/nekrum","@nekrum")</f>
        <v>@nekrum</v>
      </c>
      <c r="C2847" s="10" t="s">
        <v>6885</v>
      </c>
      <c r="D2847" s="10" t="s">
        <v>11091</v>
      </c>
      <c r="E2847" s="11" t="str">
        <f>HYPERLINK("https://twitter.com/nekrum/status/703199572110110720","703199572110110720")</f>
        <v>703199572110110720</v>
      </c>
      <c r="F2847" s="12" t="s">
        <v>20</v>
      </c>
      <c r="G2847" s="13">
        <v>116.0</v>
      </c>
      <c r="H2847" s="13">
        <v>307.0</v>
      </c>
      <c r="I2847" s="13">
        <v>1.0</v>
      </c>
      <c r="J2847" s="13">
        <v>0.0</v>
      </c>
      <c r="K2847" s="12" t="s">
        <v>21</v>
      </c>
      <c r="L2847" s="7">
        <v>39800.53101851852</v>
      </c>
      <c r="M2847" s="14" t="s">
        <v>6886</v>
      </c>
      <c r="N2847" s="14" t="s">
        <v>6887</v>
      </c>
      <c r="O2847" s="11" t="str">
        <f>HYPERLINK("https://pbs.twimg.com/profile_images/119769350/logo-azul-blanco_normal.png","View")</f>
        <v>View</v>
      </c>
      <c r="P2847" s="15"/>
    </row>
    <row r="2848">
      <c r="A2848" s="7">
        <v>42426.20008101852</v>
      </c>
      <c r="B2848" s="8" t="str">
        <f>HYPERLINK("https://twitter.com/JacobLevenson","@JacobLevenson")</f>
        <v>@JacobLevenson</v>
      </c>
      <c r="C2848" s="10" t="s">
        <v>11092</v>
      </c>
      <c r="D2848" s="10" t="s">
        <v>10876</v>
      </c>
      <c r="E2848" s="11" t="str">
        <f>HYPERLINK("https://twitter.com/JacobLevenson/status/703199866617524224","703199866617524224")</f>
        <v>703199866617524224</v>
      </c>
      <c r="F2848" s="12" t="s">
        <v>52</v>
      </c>
      <c r="G2848" s="13">
        <v>1153.0</v>
      </c>
      <c r="H2848" s="13">
        <v>757.0</v>
      </c>
      <c r="I2848" s="13">
        <v>24.0</v>
      </c>
      <c r="J2848" s="13">
        <v>0.0</v>
      </c>
      <c r="K2848" s="12" t="s">
        <v>21</v>
      </c>
      <c r="L2848" s="7">
        <v>39812.5025</v>
      </c>
      <c r="M2848" s="14" t="s">
        <v>11093</v>
      </c>
      <c r="N2848" s="14" t="s">
        <v>11094</v>
      </c>
      <c r="O2848" s="11" t="str">
        <f>HYPERLINK("https://pbs.twimg.com/profile_images/2713559227/130a43577c4f7b8a05d33d643eacbece_normal.jpeg","View")</f>
        <v>View</v>
      </c>
      <c r="P2848" s="15"/>
    </row>
    <row r="2849">
      <c r="A2849" s="7">
        <v>42426.200208333335</v>
      </c>
      <c r="B2849" s="8" t="str">
        <f>HYPERLINK("https://twitter.com/WebScraperDB","@WebScraperDB")</f>
        <v>@WebScraperDB</v>
      </c>
      <c r="C2849" s="10" t="s">
        <v>2743</v>
      </c>
      <c r="D2849" s="10" t="s">
        <v>11095</v>
      </c>
      <c r="E2849" s="11" t="str">
        <f>HYPERLINK("https://twitter.com/WebScraperDB/status/703199913652461568","703199913652461568")</f>
        <v>703199913652461568</v>
      </c>
      <c r="F2849" s="12" t="s">
        <v>2743</v>
      </c>
      <c r="G2849" s="13">
        <v>298.0</v>
      </c>
      <c r="H2849" s="13">
        <v>927.0</v>
      </c>
      <c r="I2849" s="13">
        <v>0.0</v>
      </c>
      <c r="J2849" s="13">
        <v>1.0</v>
      </c>
      <c r="K2849" s="12" t="s">
        <v>21</v>
      </c>
      <c r="L2849" s="7">
        <v>42410.33493055556</v>
      </c>
      <c r="M2849" s="14" t="s">
        <v>2745</v>
      </c>
      <c r="N2849" s="14" t="s">
        <v>2746</v>
      </c>
      <c r="O2849" s="11" t="str">
        <f>HYPERLINK("https://pbs.twimg.com/profile_images/699545598450606080/s8CU8cVg_normal.png","View")</f>
        <v>View</v>
      </c>
      <c r="P2849" s="15"/>
    </row>
    <row r="2850">
      <c r="A2850" s="7">
        <v>42426.20043981481</v>
      </c>
      <c r="B2850" s="8" t="str">
        <f>HYPERLINK("https://twitter.com/BroVic","@BroVic")</f>
        <v>@BroVic</v>
      </c>
      <c r="C2850" s="10" t="s">
        <v>8946</v>
      </c>
      <c r="D2850" s="10" t="s">
        <v>11096</v>
      </c>
      <c r="E2850" s="11" t="str">
        <f>HYPERLINK("https://twitter.com/BroVic/status/703199996540272641","703199996540272641")</f>
        <v>703199996540272641</v>
      </c>
      <c r="F2850" s="12" t="s">
        <v>20</v>
      </c>
      <c r="G2850" s="13">
        <v>555.0</v>
      </c>
      <c r="H2850" s="13">
        <v>246.0</v>
      </c>
      <c r="I2850" s="13">
        <v>0.0</v>
      </c>
      <c r="J2850" s="13">
        <v>0.0</v>
      </c>
      <c r="K2850" s="12" t="s">
        <v>21</v>
      </c>
      <c r="L2850" s="7">
        <v>39862.59972222222</v>
      </c>
      <c r="M2850" s="14" t="s">
        <v>8948</v>
      </c>
      <c r="N2850" s="14" t="s">
        <v>8949</v>
      </c>
      <c r="O2850" s="11" t="str">
        <f>HYPERLINK("https://pbs.twimg.com/profile_images/639528574362472448/PgHltNjE_normal.jpg","View")</f>
        <v>View</v>
      </c>
      <c r="P2850" s="15"/>
    </row>
    <row r="2851">
      <c r="A2851" s="7">
        <v>42426.20086805556</v>
      </c>
      <c r="B2851" s="8" t="str">
        <f>HYPERLINK("https://twitter.com/nekrum","@nekrum")</f>
        <v>@nekrum</v>
      </c>
      <c r="C2851" s="10" t="s">
        <v>6885</v>
      </c>
      <c r="D2851" s="10" t="s">
        <v>11035</v>
      </c>
      <c r="E2851" s="11" t="str">
        <f>HYPERLINK("https://twitter.com/nekrum/status/703200151754526720","703200151754526720")</f>
        <v>703200151754526720</v>
      </c>
      <c r="F2851" s="12" t="s">
        <v>20</v>
      </c>
      <c r="G2851" s="13">
        <v>116.0</v>
      </c>
      <c r="H2851" s="13">
        <v>307.0</v>
      </c>
      <c r="I2851" s="13">
        <v>3.0</v>
      </c>
      <c r="J2851" s="13">
        <v>0.0</v>
      </c>
      <c r="K2851" s="12" t="s">
        <v>21</v>
      </c>
      <c r="L2851" s="7">
        <v>39800.53101851852</v>
      </c>
      <c r="M2851" s="14" t="s">
        <v>6886</v>
      </c>
      <c r="N2851" s="14" t="s">
        <v>6887</v>
      </c>
      <c r="O2851" s="11" t="str">
        <f>HYPERLINK("https://pbs.twimg.com/profile_images/119769350/logo-azul-blanco_normal.png","View")</f>
        <v>View</v>
      </c>
      <c r="P2851" s="15"/>
    </row>
    <row r="2852">
      <c r="A2852" s="7">
        <v>42426.20313657407</v>
      </c>
      <c r="B2852" s="8" t="str">
        <f>HYPERLINK("https://twitter.com/jmsallan","@jmsallan")</f>
        <v>@jmsallan</v>
      </c>
      <c r="C2852" s="10" t="s">
        <v>11097</v>
      </c>
      <c r="D2852" s="10" t="s">
        <v>10653</v>
      </c>
      <c r="E2852" s="11" t="str">
        <f>HYPERLINK("https://twitter.com/jmsallan/status/703200971288018944","703200971288018944")</f>
        <v>703200971288018944</v>
      </c>
      <c r="F2852" s="12" t="s">
        <v>152</v>
      </c>
      <c r="G2852" s="13">
        <v>441.0</v>
      </c>
      <c r="H2852" s="13">
        <v>899.0</v>
      </c>
      <c r="I2852" s="13">
        <v>28.0</v>
      </c>
      <c r="J2852" s="13">
        <v>0.0</v>
      </c>
      <c r="K2852" s="12" t="s">
        <v>21</v>
      </c>
      <c r="L2852" s="7">
        <v>40481.4534837963</v>
      </c>
      <c r="M2852" s="16"/>
      <c r="N2852" s="14" t="s">
        <v>11098</v>
      </c>
      <c r="O2852" s="11" t="str">
        <f>HYPERLINK("https://pbs.twimg.com/profile_images/1340092350/38_normal.jpg","View")</f>
        <v>View</v>
      </c>
      <c r="P2852" s="15"/>
    </row>
    <row r="2853">
      <c r="A2853" s="7">
        <v>42426.21388888889</v>
      </c>
      <c r="B2853" s="8" t="str">
        <f t="shared" ref="B2853:B2854" si="311">HYPERLINK("https://twitter.com/DataWookie","@DataWookie")</f>
        <v>@DataWookie</v>
      </c>
      <c r="C2853" s="10" t="s">
        <v>6231</v>
      </c>
      <c r="D2853" s="10" t="s">
        <v>11099</v>
      </c>
      <c r="E2853" s="11" t="str">
        <f>HYPERLINK("https://twitter.com/DataWookie/status/703204867783811074","703204867783811074")</f>
        <v>703204867783811074</v>
      </c>
      <c r="F2853" s="12" t="s">
        <v>6233</v>
      </c>
      <c r="G2853" s="13">
        <v>426.0</v>
      </c>
      <c r="H2853" s="13">
        <v>296.0</v>
      </c>
      <c r="I2853" s="13">
        <v>0.0</v>
      </c>
      <c r="J2853" s="13">
        <v>0.0</v>
      </c>
      <c r="K2853" s="12" t="s">
        <v>21</v>
      </c>
      <c r="L2853" s="7">
        <v>42166.966678240744</v>
      </c>
      <c r="M2853" s="14" t="s">
        <v>6234</v>
      </c>
      <c r="N2853" s="14" t="s">
        <v>6235</v>
      </c>
      <c r="O2853" s="11" t="str">
        <f t="shared" ref="O2853:O2854" si="312">HYPERLINK("https://pbs.twimg.com/profile_images/612471608725213184/eXKo2Kmo_normal.jpg","View")</f>
        <v>View</v>
      </c>
      <c r="P2853" s="15"/>
    </row>
    <row r="2854">
      <c r="A2854" s="7">
        <v>42426.21436342593</v>
      </c>
      <c r="B2854" s="8" t="str">
        <f t="shared" si="311"/>
        <v>@DataWookie</v>
      </c>
      <c r="C2854" s="10" t="s">
        <v>6231</v>
      </c>
      <c r="D2854" s="10" t="s">
        <v>11100</v>
      </c>
      <c r="E2854" s="11" t="str">
        <f>HYPERLINK("https://twitter.com/DataWookie/status/703205043508359168","703205043508359168")</f>
        <v>703205043508359168</v>
      </c>
      <c r="F2854" s="12" t="s">
        <v>6233</v>
      </c>
      <c r="G2854" s="13">
        <v>426.0</v>
      </c>
      <c r="H2854" s="13">
        <v>296.0</v>
      </c>
      <c r="I2854" s="13">
        <v>0.0</v>
      </c>
      <c r="J2854" s="13">
        <v>0.0</v>
      </c>
      <c r="K2854" s="12" t="s">
        <v>21</v>
      </c>
      <c r="L2854" s="7">
        <v>42166.966678240744</v>
      </c>
      <c r="M2854" s="14" t="s">
        <v>6234</v>
      </c>
      <c r="N2854" s="14" t="s">
        <v>6235</v>
      </c>
      <c r="O2854" s="11" t="str">
        <f t="shared" si="312"/>
        <v>View</v>
      </c>
      <c r="P2854" s="15"/>
    </row>
    <row r="2855">
      <c r="A2855" s="7">
        <v>42426.2205787037</v>
      </c>
      <c r="B2855" s="8" t="str">
        <f>HYPERLINK("https://twitter.com/BenBondLamberty","@BenBondLamberty")</f>
        <v>@BenBondLamberty</v>
      </c>
      <c r="C2855" s="10" t="s">
        <v>8359</v>
      </c>
      <c r="D2855" s="10" t="s">
        <v>10695</v>
      </c>
      <c r="E2855" s="11" t="str">
        <f>HYPERLINK("https://twitter.com/BenBondLamberty/status/703207294725709824","703207294725709824")</f>
        <v>703207294725709824</v>
      </c>
      <c r="F2855" s="12" t="s">
        <v>20</v>
      </c>
      <c r="G2855" s="13">
        <v>723.0</v>
      </c>
      <c r="H2855" s="13">
        <v>134.0</v>
      </c>
      <c r="I2855" s="13">
        <v>21.0</v>
      </c>
      <c r="J2855" s="13">
        <v>0.0</v>
      </c>
      <c r="K2855" s="12" t="s">
        <v>21</v>
      </c>
      <c r="L2855" s="7">
        <v>41498.918275462966</v>
      </c>
      <c r="M2855" s="14" t="s">
        <v>8361</v>
      </c>
      <c r="N2855" s="14" t="s">
        <v>8362</v>
      </c>
      <c r="O2855" s="11" t="str">
        <f>HYPERLINK("https://pbs.twimg.com/profile_images/378800000379904772/a5a32945f329f35a345b28adfa8fe081_normal.png","View")</f>
        <v>View</v>
      </c>
      <c r="P2855" s="15"/>
    </row>
    <row r="2856">
      <c r="A2856" s="7">
        <v>42426.22287037037</v>
      </c>
      <c r="B2856" s="8" t="str">
        <f>HYPERLINK("https://twitter.com/geschichtenpost","@geschichtenpost")</f>
        <v>@geschichtenpost</v>
      </c>
      <c r="C2856" s="10" t="s">
        <v>11101</v>
      </c>
      <c r="D2856" s="10" t="s">
        <v>10695</v>
      </c>
      <c r="E2856" s="11" t="str">
        <f>HYPERLINK("https://twitter.com/geschichtenpost/status/703208123490660352","703208123490660352")</f>
        <v>703208123490660352</v>
      </c>
      <c r="F2856" s="12" t="s">
        <v>152</v>
      </c>
      <c r="G2856" s="13">
        <v>771.0</v>
      </c>
      <c r="H2856" s="13">
        <v>676.0</v>
      </c>
      <c r="I2856" s="13">
        <v>21.0</v>
      </c>
      <c r="J2856" s="13">
        <v>0.0</v>
      </c>
      <c r="K2856" s="12" t="s">
        <v>21</v>
      </c>
      <c r="L2856" s="7">
        <v>40443.53296296296</v>
      </c>
      <c r="M2856" s="14" t="s">
        <v>11102</v>
      </c>
      <c r="N2856" s="14" t="s">
        <v>11103</v>
      </c>
      <c r="O2856" s="11" t="str">
        <f>HYPERLINK("https://pbs.twimg.com/profile_images/617640384232034304/3ng8tFdy_normal.jpg","View")</f>
        <v>View</v>
      </c>
      <c r="P2856" s="15"/>
    </row>
    <row r="2857">
      <c r="A2857" s="7">
        <v>42426.22451388889</v>
      </c>
      <c r="B2857" s="8" t="str">
        <f>HYPERLINK("https://twitter.com/CajamarDataLab","@CajamarDataLab")</f>
        <v>@CajamarDataLab</v>
      </c>
      <c r="C2857" s="10" t="s">
        <v>11104</v>
      </c>
      <c r="D2857" s="10" t="s">
        <v>9741</v>
      </c>
      <c r="E2857" s="11" t="str">
        <f>HYPERLINK("https://twitter.com/CajamarDataLab/status/703208718784040960","703208718784040960")</f>
        <v>703208718784040960</v>
      </c>
      <c r="F2857" s="12" t="s">
        <v>152</v>
      </c>
      <c r="G2857" s="13">
        <v>132.0</v>
      </c>
      <c r="H2857" s="13">
        <v>81.0</v>
      </c>
      <c r="I2857" s="13">
        <v>12.0</v>
      </c>
      <c r="J2857" s="13">
        <v>0.0</v>
      </c>
      <c r="K2857" s="12" t="s">
        <v>21</v>
      </c>
      <c r="L2857" s="7">
        <v>42186.17271990741</v>
      </c>
      <c r="M2857" s="14" t="s">
        <v>168</v>
      </c>
      <c r="N2857" s="14" t="s">
        <v>11105</v>
      </c>
      <c r="O2857" s="11" t="str">
        <f>HYPERLINK("https://pbs.twimg.com/profile_images/689855563933597696/BQtoDRs3_normal.png","View")</f>
        <v>View</v>
      </c>
      <c r="P2857" s="15"/>
    </row>
    <row r="2858">
      <c r="A2858" s="7">
        <v>42426.22792824074</v>
      </c>
      <c r="B2858" s="8" t="str">
        <f>HYPERLINK("https://twitter.com/kyle_e_walker","@kyle_e_walker")</f>
        <v>@kyle_e_walker</v>
      </c>
      <c r="C2858" s="10" t="s">
        <v>7852</v>
      </c>
      <c r="D2858" s="10" t="s">
        <v>10761</v>
      </c>
      <c r="E2858" s="11" t="str">
        <f>HYPERLINK("https://twitter.com/kyle_e_walker/status/703209956707700738","703209956707700738")</f>
        <v>703209956707700738</v>
      </c>
      <c r="F2858" s="12" t="s">
        <v>52</v>
      </c>
      <c r="G2858" s="13">
        <v>704.0</v>
      </c>
      <c r="H2858" s="13">
        <v>455.0</v>
      </c>
      <c r="I2858" s="13">
        <v>4.0</v>
      </c>
      <c r="J2858" s="13">
        <v>0.0</v>
      </c>
      <c r="K2858" s="12" t="s">
        <v>21</v>
      </c>
      <c r="L2858" s="7">
        <v>40314.349594907406</v>
      </c>
      <c r="M2858" s="14" t="s">
        <v>7853</v>
      </c>
      <c r="N2858" s="14" t="s">
        <v>7854</v>
      </c>
      <c r="O2858" s="11" t="str">
        <f>HYPERLINK("https://pbs.twimg.com/profile_images/535539844479332354/CA9doTjY_normal.jpeg","View")</f>
        <v>View</v>
      </c>
      <c r="P2858" s="15"/>
    </row>
    <row r="2859">
      <c r="A2859" s="7">
        <v>42426.22928240741</v>
      </c>
      <c r="B2859" s="8" t="str">
        <f>HYPERLINK("https://twitter.com/tonyojeda3","@tonyojeda3")</f>
        <v>@tonyojeda3</v>
      </c>
      <c r="C2859" s="10" t="s">
        <v>2407</v>
      </c>
      <c r="D2859" s="10" t="s">
        <v>11106</v>
      </c>
      <c r="E2859" s="11" t="str">
        <f>HYPERLINK("https://twitter.com/tonyojeda3/status/703210446187315200","703210446187315200")</f>
        <v>703210446187315200</v>
      </c>
      <c r="F2859" s="12" t="s">
        <v>294</v>
      </c>
      <c r="G2859" s="13">
        <v>3519.0</v>
      </c>
      <c r="H2859" s="13">
        <v>538.0</v>
      </c>
      <c r="I2859" s="13">
        <v>3.0</v>
      </c>
      <c r="J2859" s="13">
        <v>2.0</v>
      </c>
      <c r="K2859" s="12" t="s">
        <v>21</v>
      </c>
      <c r="L2859" s="7">
        <v>39969.75782407408</v>
      </c>
      <c r="M2859" s="14" t="s">
        <v>784</v>
      </c>
      <c r="N2859" s="14" t="s">
        <v>2409</v>
      </c>
      <c r="O2859" s="11" t="str">
        <f>HYPERLINK("https://pbs.twimg.com/profile_images/1211123351/Tony-Ojeda2_normal.JPG","View")</f>
        <v>View</v>
      </c>
      <c r="P2859" s="15"/>
    </row>
    <row r="2860">
      <c r="A2860" s="7">
        <v>42426.22928240741</v>
      </c>
      <c r="B2860" s="8" t="str">
        <f>HYPERLINK("https://twitter.com/itknowingness","@itknowingness")</f>
        <v>@itknowingness</v>
      </c>
      <c r="C2860" s="10" t="s">
        <v>3465</v>
      </c>
      <c r="D2860" s="10" t="s">
        <v>11107</v>
      </c>
      <c r="E2860" s="11" t="str">
        <f>HYPERLINK("https://twitter.com/itknowingness/status/703210448720695296","703210448720695296")</f>
        <v>703210448720695296</v>
      </c>
      <c r="F2860" s="12" t="s">
        <v>3467</v>
      </c>
      <c r="G2860" s="13">
        <v>6904.0</v>
      </c>
      <c r="H2860" s="13">
        <v>3191.0</v>
      </c>
      <c r="I2860" s="13">
        <v>3.0</v>
      </c>
      <c r="J2860" s="13">
        <v>0.0</v>
      </c>
      <c r="K2860" s="12" t="s">
        <v>21</v>
      </c>
      <c r="L2860" s="7">
        <v>40490.39297453704</v>
      </c>
      <c r="M2860" s="14" t="s">
        <v>269</v>
      </c>
      <c r="N2860" s="14" t="s">
        <v>3468</v>
      </c>
      <c r="O2860" s="11" t="str">
        <f>HYPERLINK("https://pbs.twimg.com/profile_images/1164716874/favicon-triada-azul_normal.png","View")</f>
        <v>View</v>
      </c>
      <c r="P2860" s="15"/>
    </row>
    <row r="2861">
      <c r="A2861" s="7">
        <v>42426.236550925925</v>
      </c>
      <c r="B2861" s="8" t="str">
        <f>HYPERLINK("https://twitter.com/ma_salmon","@ma_salmon")</f>
        <v>@ma_salmon</v>
      </c>
      <c r="C2861" s="10" t="s">
        <v>6494</v>
      </c>
      <c r="D2861" s="10" t="s">
        <v>11108</v>
      </c>
      <c r="E2861" s="11" t="str">
        <f>HYPERLINK("https://twitter.com/ma_salmon/status/703213084165300225","703213084165300225")</f>
        <v>703213084165300225</v>
      </c>
      <c r="F2861" s="12" t="s">
        <v>20</v>
      </c>
      <c r="G2861" s="13">
        <v>47.0</v>
      </c>
      <c r="H2861" s="13">
        <v>54.0</v>
      </c>
      <c r="I2861" s="13">
        <v>0.0</v>
      </c>
      <c r="J2861" s="13">
        <v>0.0</v>
      </c>
      <c r="K2861" s="12" t="s">
        <v>21</v>
      </c>
      <c r="L2861" s="7">
        <v>41950.10041666667</v>
      </c>
      <c r="M2861" s="14" t="s">
        <v>6496</v>
      </c>
      <c r="N2861" s="14" t="s">
        <v>6497</v>
      </c>
      <c r="O2861" s="11" t="str">
        <f>HYPERLINK("https://pbs.twimg.com/profile_images/630648570228666368/azCx-w8Z_normal.jpg","View")</f>
        <v>View</v>
      </c>
      <c r="P2861" s="15"/>
    </row>
    <row r="2862">
      <c r="A2862" s="7">
        <v>42426.23806712963</v>
      </c>
      <c r="B2862" s="8" t="str">
        <f>HYPERLINK("https://twitter.com/BobOHara","@BobOHara")</f>
        <v>@BobOHara</v>
      </c>
      <c r="C2862" s="10" t="s">
        <v>10906</v>
      </c>
      <c r="D2862" s="10" t="s">
        <v>11109</v>
      </c>
      <c r="E2862" s="11" t="str">
        <f>HYPERLINK("https://twitter.com/BobOHara/status/703213632360992768","703213632360992768")</f>
        <v>703213632360992768</v>
      </c>
      <c r="F2862" s="12" t="s">
        <v>446</v>
      </c>
      <c r="G2862" s="13">
        <v>2160.0</v>
      </c>
      <c r="H2862" s="13">
        <v>1234.0</v>
      </c>
      <c r="I2862" s="13">
        <v>1.0</v>
      </c>
      <c r="J2862" s="13">
        <v>1.0</v>
      </c>
      <c r="K2862" s="12" t="s">
        <v>21</v>
      </c>
      <c r="L2862" s="7">
        <v>39831.312523148146</v>
      </c>
      <c r="M2862" s="14" t="s">
        <v>9104</v>
      </c>
      <c r="N2862" s="16"/>
      <c r="O2862" s="11" t="str">
        <f>HYPERLINK("https://pbs.twimg.com/profile_images/624292977/twitterProfilePhoto_normal.jpg","View")</f>
        <v>View</v>
      </c>
      <c r="P2862" s="15"/>
    </row>
    <row r="2863">
      <c r="A2863" s="7">
        <v>42426.238078703704</v>
      </c>
      <c r="B2863" s="8" t="str">
        <f>HYPERLINK("https://twitter.com/Tweets4Vegans","@Tweets4Vegans")</f>
        <v>@Tweets4Vegans</v>
      </c>
      <c r="C2863" s="10" t="s">
        <v>11110</v>
      </c>
      <c r="D2863" s="10" t="s">
        <v>11111</v>
      </c>
      <c r="E2863" s="11" t="str">
        <f>HYPERLINK("https://twitter.com/Tweets4Vegans/status/703213637691940864","703213637691940864")</f>
        <v>703213637691940864</v>
      </c>
      <c r="F2863" s="12" t="s">
        <v>11112</v>
      </c>
      <c r="G2863" s="13">
        <v>7241.0</v>
      </c>
      <c r="H2863" s="13">
        <v>7247.0</v>
      </c>
      <c r="I2863" s="13">
        <v>1.0</v>
      </c>
      <c r="J2863" s="13">
        <v>0.0</v>
      </c>
      <c r="K2863" s="12" t="s">
        <v>21</v>
      </c>
      <c r="L2863" s="7">
        <v>42120.27085648148</v>
      </c>
      <c r="M2863" s="14" t="s">
        <v>11113</v>
      </c>
      <c r="N2863" s="14" t="s">
        <v>11114</v>
      </c>
      <c r="O2863" s="11" t="str">
        <f>HYPERLINK("https://pbs.twimg.com/profile_images/593378341270515713/-wuK53e__normal.jpg","View")</f>
        <v>View</v>
      </c>
      <c r="P2863" s="15"/>
    </row>
    <row r="2864">
      <c r="A2864" s="7">
        <v>42426.239756944444</v>
      </c>
      <c r="B2864" s="8" t="str">
        <f>HYPERLINK("https://twitter.com/DataSciFact","@DataSciFact")</f>
        <v>@DataSciFact</v>
      </c>
      <c r="C2864" s="10" t="s">
        <v>11115</v>
      </c>
      <c r="D2864" s="10" t="s">
        <v>6773</v>
      </c>
      <c r="E2864" s="11" t="str">
        <f>HYPERLINK("https://twitter.com/DataSciFact/status/703214243168976897","703214243168976897")</f>
        <v>703214243168976897</v>
      </c>
      <c r="F2864" s="12" t="s">
        <v>659</v>
      </c>
      <c r="G2864" s="13">
        <v>47843.0</v>
      </c>
      <c r="H2864" s="13">
        <v>16.0</v>
      </c>
      <c r="I2864" s="13">
        <v>61.0</v>
      </c>
      <c r="J2864" s="13">
        <v>0.0</v>
      </c>
      <c r="K2864" s="12" t="s">
        <v>21</v>
      </c>
      <c r="L2864" s="7">
        <v>40508.59315972222</v>
      </c>
      <c r="M2864" s="14" t="s">
        <v>11116</v>
      </c>
      <c r="N2864" s="14" t="s">
        <v>11117</v>
      </c>
      <c r="O2864" s="11" t="str">
        <f>HYPERLINK("https://pbs.twimg.com/profile_images/1176432323/Product_normal.png","View")</f>
        <v>View</v>
      </c>
      <c r="P2864" s="15"/>
    </row>
    <row r="2865">
      <c r="A2865" s="7">
        <v>42426.24186342592</v>
      </c>
      <c r="B2865" s="8" t="str">
        <f>HYPERLINK("https://twitter.com/bruce_swihart","@bruce_swihart")</f>
        <v>@bruce_swihart</v>
      </c>
      <c r="C2865" s="10" t="s">
        <v>8568</v>
      </c>
      <c r="D2865" s="10" t="s">
        <v>6773</v>
      </c>
      <c r="E2865" s="11" t="str">
        <f>HYPERLINK("https://twitter.com/bruce_swihart/status/703215007320903681","703215007320903681")</f>
        <v>703215007320903681</v>
      </c>
      <c r="F2865" s="12" t="s">
        <v>52</v>
      </c>
      <c r="G2865" s="13">
        <v>138.0</v>
      </c>
      <c r="H2865" s="13">
        <v>325.0</v>
      </c>
      <c r="I2865" s="13">
        <v>61.0</v>
      </c>
      <c r="J2865" s="13">
        <v>0.0</v>
      </c>
      <c r="K2865" s="12" t="s">
        <v>21</v>
      </c>
      <c r="L2865" s="7">
        <v>42061.76924768518</v>
      </c>
      <c r="M2865" s="16"/>
      <c r="N2865" s="14" t="s">
        <v>8569</v>
      </c>
      <c r="O2865" s="11" t="str">
        <f>HYPERLINK("https://pbs.twimg.com/profile_images/571135675643092992/CGML23Za_normal.jpeg","View")</f>
        <v>View</v>
      </c>
      <c r="P2865" s="15"/>
    </row>
    <row r="2866">
      <c r="A2866" s="7">
        <v>42426.241875</v>
      </c>
      <c r="B2866" s="8" t="str">
        <f>HYPERLINK("https://twitter.com/tuxErrante","@tuxErrante")</f>
        <v>@tuxErrante</v>
      </c>
      <c r="C2866" s="10" t="s">
        <v>11118</v>
      </c>
      <c r="D2866" s="10" t="s">
        <v>11119</v>
      </c>
      <c r="E2866" s="11" t="str">
        <f>HYPERLINK("https://twitter.com/tuxErrante/status/703215013100650496","703215013100650496")</f>
        <v>703215013100650496</v>
      </c>
      <c r="F2866" s="12" t="s">
        <v>20</v>
      </c>
      <c r="G2866" s="13">
        <v>161.0</v>
      </c>
      <c r="H2866" s="13">
        <v>795.0</v>
      </c>
      <c r="I2866" s="13">
        <v>0.0</v>
      </c>
      <c r="J2866" s="13">
        <v>0.0</v>
      </c>
      <c r="K2866" s="12" t="s">
        <v>21</v>
      </c>
      <c r="L2866" s="7">
        <v>40221.4515625</v>
      </c>
      <c r="M2866" s="14" t="s">
        <v>11120</v>
      </c>
      <c r="N2866" s="14" t="s">
        <v>11121</v>
      </c>
      <c r="O2866" s="11" t="str">
        <f>HYPERLINK("https://pbs.twimg.com/profile_images/459245075726209024/QfpKQnYp_normal.jpeg","View")</f>
        <v>View</v>
      </c>
      <c r="P2866" s="15"/>
    </row>
    <row r="2867">
      <c r="A2867" s="7">
        <v>42426.2421875</v>
      </c>
      <c r="B2867" s="8" t="str">
        <f>HYPERLINK("https://twitter.com/zopazoza","@zopazoza")</f>
        <v>@zopazoza</v>
      </c>
      <c r="C2867" s="10" t="s">
        <v>11122</v>
      </c>
      <c r="D2867" s="10" t="s">
        <v>6773</v>
      </c>
      <c r="E2867" s="11" t="str">
        <f>HYPERLINK("https://twitter.com/zopazoza/status/703215123779878913","703215123779878913")</f>
        <v>703215123779878913</v>
      </c>
      <c r="F2867" s="12" t="s">
        <v>52</v>
      </c>
      <c r="G2867" s="13">
        <v>1403.0</v>
      </c>
      <c r="H2867" s="13">
        <v>232.0</v>
      </c>
      <c r="I2867" s="13">
        <v>61.0</v>
      </c>
      <c r="J2867" s="13">
        <v>0.0</v>
      </c>
      <c r="K2867" s="12" t="s">
        <v>21</v>
      </c>
      <c r="L2867" s="7">
        <v>40364.91248842592</v>
      </c>
      <c r="M2867" s="16"/>
      <c r="N2867" s="14" t="s">
        <v>11123</v>
      </c>
      <c r="O2867" s="11" t="str">
        <f>HYPERLINK("https://pbs.twimg.com/profile_images/699099691435208704/Lz3rUmjZ_normal.jpg","View")</f>
        <v>View</v>
      </c>
      <c r="P2867" s="15"/>
    </row>
    <row r="2868">
      <c r="A2868" s="7">
        <v>42426.242384259254</v>
      </c>
      <c r="B2868" s="8" t="str">
        <f>HYPERLINK("https://twitter.com/__gcd","@__gcd")</f>
        <v>@__gcd</v>
      </c>
      <c r="C2868" s="10" t="s">
        <v>11124</v>
      </c>
      <c r="D2868" s="10" t="s">
        <v>6773</v>
      </c>
      <c r="E2868" s="11" t="str">
        <f>HYPERLINK("https://twitter.com/__gcd/status/703215194013462528","703215194013462528")</f>
        <v>703215194013462528</v>
      </c>
      <c r="F2868" s="12" t="s">
        <v>20</v>
      </c>
      <c r="G2868" s="13">
        <v>495.0</v>
      </c>
      <c r="H2868" s="13">
        <v>1825.0</v>
      </c>
      <c r="I2868" s="13">
        <v>61.0</v>
      </c>
      <c r="J2868" s="13">
        <v>0.0</v>
      </c>
      <c r="K2868" s="12" t="s">
        <v>21</v>
      </c>
      <c r="L2868" s="7">
        <v>40180.43047453704</v>
      </c>
      <c r="M2868" s="16"/>
      <c r="N2868" s="14" t="s">
        <v>11125</v>
      </c>
      <c r="O2868" s="11" t="str">
        <f>HYPERLINK("https://pbs.twimg.com/profile_images/567098605828206592/WL7eL4va_normal.jpeg","View")</f>
        <v>View</v>
      </c>
      <c r="P2868" s="15"/>
    </row>
    <row r="2869">
      <c r="A2869" s="7">
        <v>42426.242627314816</v>
      </c>
      <c r="B2869" s="8" t="str">
        <f>HYPERLINK("https://twitter.com/danbarua","@danbarua")</f>
        <v>@danbarua</v>
      </c>
      <c r="C2869" s="10" t="s">
        <v>11126</v>
      </c>
      <c r="D2869" s="10" t="s">
        <v>6773</v>
      </c>
      <c r="E2869" s="11" t="str">
        <f>HYPERLINK("https://twitter.com/danbarua/status/703215284962914304","703215284962914304")</f>
        <v>703215284962914304</v>
      </c>
      <c r="F2869" s="12" t="s">
        <v>52</v>
      </c>
      <c r="G2869" s="13">
        <v>347.0</v>
      </c>
      <c r="H2869" s="13">
        <v>775.0</v>
      </c>
      <c r="I2869" s="13">
        <v>61.0</v>
      </c>
      <c r="J2869" s="13">
        <v>0.0</v>
      </c>
      <c r="K2869" s="12" t="s">
        <v>21</v>
      </c>
      <c r="L2869" s="7">
        <v>39877.142905092594</v>
      </c>
      <c r="M2869" s="14" t="s">
        <v>11127</v>
      </c>
      <c r="N2869" s="14" t="s">
        <v>11128</v>
      </c>
      <c r="O2869" s="11" t="str">
        <f>HYPERLINK("https://pbs.twimg.com/profile_images/630378501011566592/QEx7wI8C_normal.jpg","View")</f>
        <v>View</v>
      </c>
      <c r="P2869" s="15"/>
    </row>
    <row r="2870">
      <c r="A2870" s="7">
        <v>42426.243935185186</v>
      </c>
      <c r="B2870" s="8" t="str">
        <f>HYPERLINK("https://twitter.com/chaquator","@chaquator")</f>
        <v>@chaquator</v>
      </c>
      <c r="C2870" s="10" t="s">
        <v>11129</v>
      </c>
      <c r="D2870" s="10" t="s">
        <v>6773</v>
      </c>
      <c r="E2870" s="11" t="str">
        <f>HYPERLINK("https://twitter.com/chaquator/status/703215756498960385","703215756498960385")</f>
        <v>703215756498960385</v>
      </c>
      <c r="F2870" s="12" t="s">
        <v>152</v>
      </c>
      <c r="G2870" s="13">
        <v>80.0</v>
      </c>
      <c r="H2870" s="13">
        <v>96.0</v>
      </c>
      <c r="I2870" s="13">
        <v>61.0</v>
      </c>
      <c r="J2870" s="13">
        <v>0.0</v>
      </c>
      <c r="K2870" s="12" t="s">
        <v>21</v>
      </c>
      <c r="L2870" s="7">
        <v>40028.80081018519</v>
      </c>
      <c r="M2870" s="16"/>
      <c r="N2870" s="14" t="s">
        <v>11130</v>
      </c>
      <c r="O2870" s="11" t="str">
        <f>HYPERLINK("https://pbs.twimg.com/profile_images/681200732347879424/HN6plj63_normal.png","View")</f>
        <v>View</v>
      </c>
      <c r="P2870" s="15"/>
    </row>
    <row r="2871">
      <c r="A2871" s="7">
        <v>42426.24423611111</v>
      </c>
      <c r="B2871" s="8" t="str">
        <f>HYPERLINK("https://twitter.com/Naren_Legha","@Naren_Legha")</f>
        <v>@Naren_Legha</v>
      </c>
      <c r="C2871" s="10" t="s">
        <v>11131</v>
      </c>
      <c r="D2871" s="10" t="s">
        <v>6773</v>
      </c>
      <c r="E2871" s="11" t="str">
        <f>HYPERLINK("https://twitter.com/Naren_Legha/status/703215865349574657","703215865349574657")</f>
        <v>703215865349574657</v>
      </c>
      <c r="F2871" s="12" t="s">
        <v>20</v>
      </c>
      <c r="G2871" s="13">
        <v>104.0</v>
      </c>
      <c r="H2871" s="13">
        <v>178.0</v>
      </c>
      <c r="I2871" s="13">
        <v>61.0</v>
      </c>
      <c r="J2871" s="13">
        <v>0.0</v>
      </c>
      <c r="K2871" s="12" t="s">
        <v>21</v>
      </c>
      <c r="L2871" s="7">
        <v>40661.56476851852</v>
      </c>
      <c r="M2871" s="14" t="s">
        <v>11132</v>
      </c>
      <c r="N2871" s="14" t="s">
        <v>11133</v>
      </c>
      <c r="O2871" s="11" t="str">
        <f>HYPERLINK("https://pbs.twimg.com/profile_images/573559088098902017/xB0RuMmX_normal.jpeg","View")</f>
        <v>View</v>
      </c>
      <c r="P2871" s="15"/>
    </row>
    <row r="2872">
      <c r="A2872" s="7">
        <v>42426.2443287037</v>
      </c>
      <c r="B2872" s="8" t="str">
        <f>HYPERLINK("https://twitter.com/vsatayamas","@vsatayamas")</f>
        <v>@vsatayamas</v>
      </c>
      <c r="C2872" s="10" t="s">
        <v>5068</v>
      </c>
      <c r="D2872" s="10" t="s">
        <v>6773</v>
      </c>
      <c r="E2872" s="11" t="str">
        <f>HYPERLINK("https://twitter.com/vsatayamas/status/703215898862026753","703215898862026753")</f>
        <v>703215898862026753</v>
      </c>
      <c r="F2872" s="12" t="s">
        <v>20</v>
      </c>
      <c r="G2872" s="13">
        <v>891.0</v>
      </c>
      <c r="H2872" s="13">
        <v>179.0</v>
      </c>
      <c r="I2872" s="13">
        <v>61.0</v>
      </c>
      <c r="J2872" s="13">
        <v>0.0</v>
      </c>
      <c r="K2872" s="12" t="s">
        <v>21</v>
      </c>
      <c r="L2872" s="7">
        <v>39378.86481481481</v>
      </c>
      <c r="M2872" s="14" t="s">
        <v>5069</v>
      </c>
      <c r="N2872" s="14" t="s">
        <v>5070</v>
      </c>
      <c r="O2872" s="11" t="str">
        <f>HYPERLINK("https://pbs.twimg.com/profile_images/652770622192287745/tHCGcol4_normal.jpg","View")</f>
        <v>View</v>
      </c>
      <c r="P2872" s="15"/>
    </row>
    <row r="2873">
      <c r="A2873" s="7">
        <v>42426.24655092593</v>
      </c>
      <c r="B2873" s="8" t="str">
        <f>HYPERLINK("https://twitter.com/ArturoErdely","@ArturoErdely")</f>
        <v>@ArturoErdely</v>
      </c>
      <c r="C2873" s="10" t="s">
        <v>6604</v>
      </c>
      <c r="D2873" s="10" t="s">
        <v>10284</v>
      </c>
      <c r="E2873" s="11" t="str">
        <f>HYPERLINK("https://twitter.com/ArturoErdely/status/703216705716092928","703216705716092928")</f>
        <v>703216705716092928</v>
      </c>
      <c r="F2873" s="12" t="s">
        <v>20</v>
      </c>
      <c r="G2873" s="13">
        <v>349.0</v>
      </c>
      <c r="H2873" s="13">
        <v>27.0</v>
      </c>
      <c r="I2873" s="13">
        <v>9.0</v>
      </c>
      <c r="J2873" s="13">
        <v>0.0</v>
      </c>
      <c r="K2873" s="12" t="s">
        <v>21</v>
      </c>
      <c r="L2873" s="7">
        <v>40488.30488425926</v>
      </c>
      <c r="M2873" s="14" t="s">
        <v>6605</v>
      </c>
      <c r="N2873" s="14" t="s">
        <v>6606</v>
      </c>
      <c r="O2873" s="11" t="str">
        <f>HYPERLINK("https://pbs.twimg.com/profile_images/3199598780/253af0e6b8fa63bf5b969ccc9a3486e7_normal.jpeg","View")</f>
        <v>View</v>
      </c>
      <c r="P2873" s="15"/>
    </row>
    <row r="2874">
      <c r="A2874" s="7">
        <v>42426.24702546296</v>
      </c>
      <c r="B2874" s="8" t="str">
        <f>HYPERLINK("https://twitter.com/markpetersjr","@markpetersjr")</f>
        <v>@markpetersjr</v>
      </c>
      <c r="C2874" s="10" t="s">
        <v>11134</v>
      </c>
      <c r="D2874" s="10" t="s">
        <v>11135</v>
      </c>
      <c r="E2874" s="11" t="str">
        <f>HYPERLINK("https://twitter.com/markpetersjr/status/703216877775003648","703216877775003648")</f>
        <v>703216877775003648</v>
      </c>
      <c r="F2874" s="12" t="s">
        <v>659</v>
      </c>
      <c r="G2874" s="13">
        <v>601.0</v>
      </c>
      <c r="H2874" s="13">
        <v>600.0</v>
      </c>
      <c r="I2874" s="13">
        <v>0.0</v>
      </c>
      <c r="J2874" s="13">
        <v>0.0</v>
      </c>
      <c r="K2874" s="12" t="s">
        <v>21</v>
      </c>
      <c r="L2874" s="7">
        <v>40384.47907407407</v>
      </c>
      <c r="M2874" s="14" t="s">
        <v>11136</v>
      </c>
      <c r="N2874" s="14" t="s">
        <v>11137</v>
      </c>
      <c r="O2874" s="11" t="str">
        <f>HYPERLINK("https://pbs.twimg.com/profile_images/643576889806729216/DSH7ge0e_normal.jpg","View")</f>
        <v>View</v>
      </c>
      <c r="P2874" s="15"/>
    </row>
    <row r="2875">
      <c r="A2875" s="7">
        <v>42426.24765046296</v>
      </c>
      <c r="B2875" s="8" t="str">
        <f>HYPERLINK("https://twitter.com/chibaf","@chibaf")</f>
        <v>@chibaf</v>
      </c>
      <c r="C2875" s="10" t="s">
        <v>6184</v>
      </c>
      <c r="D2875" s="10" t="s">
        <v>6773</v>
      </c>
      <c r="E2875" s="11" t="str">
        <f>HYPERLINK("https://twitter.com/chibaf/status/703217105055821824","703217105055821824")</f>
        <v>703217105055821824</v>
      </c>
      <c r="F2875" s="12" t="s">
        <v>446</v>
      </c>
      <c r="G2875" s="13">
        <v>1496.0</v>
      </c>
      <c r="H2875" s="13">
        <v>1400.0</v>
      </c>
      <c r="I2875" s="13">
        <v>61.0</v>
      </c>
      <c r="J2875" s="13">
        <v>0.0</v>
      </c>
      <c r="K2875" s="12" t="s">
        <v>21</v>
      </c>
      <c r="L2875" s="7">
        <v>39895.91591435185</v>
      </c>
      <c r="M2875" s="14" t="s">
        <v>6186</v>
      </c>
      <c r="N2875" s="14" t="s">
        <v>6187</v>
      </c>
      <c r="O2875" s="11" t="str">
        <f>HYPERLINK("https://pbs.twimg.com/profile_images/681923556561666049/XHDxWC8g_normal.png","View")</f>
        <v>View</v>
      </c>
      <c r="P2875" s="15"/>
    </row>
    <row r="2876">
      <c r="A2876" s="7">
        <v>42426.24810185185</v>
      </c>
      <c r="B2876" s="8" t="str">
        <f>HYPERLINK("https://twitter.com/MajkWu","@MajkWu")</f>
        <v>@MajkWu</v>
      </c>
      <c r="C2876" s="10" t="s">
        <v>11138</v>
      </c>
      <c r="D2876" s="10" t="s">
        <v>11139</v>
      </c>
      <c r="E2876" s="11" t="str">
        <f>HYPERLINK("https://twitter.com/MajkWu/status/703217268818354176","703217268818354176")</f>
        <v>703217268818354176</v>
      </c>
      <c r="F2876" s="12" t="s">
        <v>20</v>
      </c>
      <c r="G2876" s="13">
        <v>92.0</v>
      </c>
      <c r="H2876" s="13">
        <v>256.0</v>
      </c>
      <c r="I2876" s="13">
        <v>0.0</v>
      </c>
      <c r="J2876" s="13">
        <v>0.0</v>
      </c>
      <c r="K2876" s="12" t="s">
        <v>21</v>
      </c>
      <c r="L2876" s="7">
        <v>41438.30296296296</v>
      </c>
      <c r="M2876" s="14" t="s">
        <v>6143</v>
      </c>
      <c r="N2876" s="14" t="s">
        <v>11140</v>
      </c>
      <c r="O2876" s="11" t="str">
        <f>HYPERLINK("https://pbs.twimg.com/profile_images/678321853786492928/dVngRfhj_normal.png","View")</f>
        <v>View</v>
      </c>
      <c r="P2876" s="15"/>
    </row>
    <row r="2877">
      <c r="A2877" s="7">
        <v>42426.248553240745</v>
      </c>
      <c r="B2877" s="8" t="str">
        <f>HYPERLINK("https://twitter.com/bidkarpc","@bidkarpc")</f>
        <v>@bidkarpc</v>
      </c>
      <c r="C2877" s="10" t="s">
        <v>11141</v>
      </c>
      <c r="D2877" s="10" t="s">
        <v>6773</v>
      </c>
      <c r="E2877" s="11" t="str">
        <f>HYPERLINK("https://twitter.com/bidkarpc/status/703217432735916032","703217432735916032")</f>
        <v>703217432735916032</v>
      </c>
      <c r="F2877" s="12" t="s">
        <v>659</v>
      </c>
      <c r="G2877" s="13">
        <v>350.0</v>
      </c>
      <c r="H2877" s="13">
        <v>775.0</v>
      </c>
      <c r="I2877" s="13">
        <v>61.0</v>
      </c>
      <c r="J2877" s="13">
        <v>0.0</v>
      </c>
      <c r="K2877" s="12" t="s">
        <v>21</v>
      </c>
      <c r="L2877" s="7">
        <v>39949.791597222225</v>
      </c>
      <c r="M2877" s="14" t="s">
        <v>3315</v>
      </c>
      <c r="N2877" s="14" t="s">
        <v>11142</v>
      </c>
      <c r="O2877" s="11" t="str">
        <f>HYPERLINK("https://pbs.twimg.com/profile_images/1812999218/usesless_normal.jpg","View")</f>
        <v>View</v>
      </c>
      <c r="P2877" s="15"/>
    </row>
    <row r="2878">
      <c r="A2878" s="7">
        <v>42426.24896990741</v>
      </c>
      <c r="B2878" s="8" t="str">
        <f>HYPERLINK("https://twitter.com/Charlotte_WPS","@Charlotte_WPS")</f>
        <v>@Charlotte_WPS</v>
      </c>
      <c r="C2878" s="10" t="s">
        <v>11143</v>
      </c>
      <c r="D2878" s="10" t="s">
        <v>11144</v>
      </c>
      <c r="E2878" s="11" t="str">
        <f>HYPERLINK("https://twitter.com/Charlotte_WPS/status/703217582405509121","703217582405509121")</f>
        <v>703217582405509121</v>
      </c>
      <c r="F2878" s="12" t="s">
        <v>152</v>
      </c>
      <c r="G2878" s="13">
        <v>21.0</v>
      </c>
      <c r="H2878" s="13">
        <v>87.0</v>
      </c>
      <c r="I2878" s="13">
        <v>0.0</v>
      </c>
      <c r="J2878" s="13">
        <v>0.0</v>
      </c>
      <c r="K2878" s="12" t="s">
        <v>21</v>
      </c>
      <c r="L2878" s="7">
        <v>42178.17964120371</v>
      </c>
      <c r="M2878" s="14" t="s">
        <v>11145</v>
      </c>
      <c r="N2878" s="14" t="s">
        <v>11146</v>
      </c>
      <c r="O2878" s="11" t="str">
        <f>HYPERLINK("https://pbs.twimg.com/profile_images/613310175206866944/SgRjdRWL_normal.jpg","View")</f>
        <v>View</v>
      </c>
      <c r="P2878" s="15"/>
    </row>
    <row r="2879">
      <c r="A2879" s="7">
        <v>42426.249027777776</v>
      </c>
      <c r="B2879" s="8" t="str">
        <f>HYPERLINK("https://twitter.com/CharlesJolyB","@CharlesJolyB")</f>
        <v>@CharlesJolyB</v>
      </c>
      <c r="C2879" s="10" t="s">
        <v>11147</v>
      </c>
      <c r="D2879" s="10" t="s">
        <v>11148</v>
      </c>
      <c r="E2879" s="11" t="str">
        <f>HYPERLINK("https://twitter.com/CharlesJolyB/status/703217603326701568","703217603326701568")</f>
        <v>703217603326701568</v>
      </c>
      <c r="F2879" s="12" t="s">
        <v>20</v>
      </c>
      <c r="G2879" s="13">
        <v>22.0</v>
      </c>
      <c r="H2879" s="13">
        <v>128.0</v>
      </c>
      <c r="I2879" s="13">
        <v>0.0</v>
      </c>
      <c r="J2879" s="13">
        <v>0.0</v>
      </c>
      <c r="K2879" s="12" t="s">
        <v>21</v>
      </c>
      <c r="L2879" s="7">
        <v>41297.209189814814</v>
      </c>
      <c r="M2879" s="16"/>
      <c r="N2879" s="14" t="s">
        <v>11149</v>
      </c>
      <c r="O2879" s="11" t="str">
        <f>HYPERLINK("https://pbs.twimg.com/profile_images/3760067162/f59a16505c80bf7292fa74cdc8e8cf7e_normal.jpeg","View")</f>
        <v>View</v>
      </c>
      <c r="P2879" s="15"/>
    </row>
    <row r="2880">
      <c r="A2880" s="7">
        <v>42426.25025462963</v>
      </c>
      <c r="B2880" s="8" t="str">
        <f>HYPERLINK("https://twitter.com/rmflight","@rmflight")</f>
        <v>@rmflight</v>
      </c>
      <c r="C2880" s="10" t="s">
        <v>7754</v>
      </c>
      <c r="D2880" s="10" t="s">
        <v>11150</v>
      </c>
      <c r="E2880" s="11" t="str">
        <f>HYPERLINK("https://twitter.com/rmflight/status/703218048325525504","703218048325525504")</f>
        <v>703218048325525504</v>
      </c>
      <c r="F2880" s="12" t="s">
        <v>446</v>
      </c>
      <c r="G2880" s="13">
        <v>559.0</v>
      </c>
      <c r="H2880" s="13">
        <v>430.0</v>
      </c>
      <c r="I2880" s="13">
        <v>0.0</v>
      </c>
      <c r="J2880" s="13">
        <v>0.0</v>
      </c>
      <c r="K2880" s="12" t="s">
        <v>21</v>
      </c>
      <c r="L2880" s="7">
        <v>40949.25619212963</v>
      </c>
      <c r="M2880" s="14" t="s">
        <v>7755</v>
      </c>
      <c r="N2880" s="14" t="s">
        <v>7756</v>
      </c>
      <c r="O2880" s="11" t="str">
        <f>HYPERLINK("https://pbs.twimg.com/profile_images/2150342436/Picture_1_normal.jpg","View")</f>
        <v>View</v>
      </c>
      <c r="P2880" s="15"/>
    </row>
    <row r="2881">
      <c r="A2881" s="7">
        <v>42426.25083333333</v>
      </c>
      <c r="B2881" s="8" t="str">
        <f>HYPERLINK("https://twitter.com/BawnMatt","@BawnMatt")</f>
        <v>@BawnMatt</v>
      </c>
      <c r="C2881" s="10" t="s">
        <v>7637</v>
      </c>
      <c r="D2881" s="10" t="s">
        <v>11151</v>
      </c>
      <c r="E2881" s="11" t="str">
        <f>HYPERLINK("https://twitter.com/BawnMatt/status/703218256686026752","703218256686026752")</f>
        <v>703218256686026752</v>
      </c>
      <c r="F2881" s="12" t="s">
        <v>20</v>
      </c>
      <c r="G2881" s="13">
        <v>75.0</v>
      </c>
      <c r="H2881" s="13">
        <v>158.0</v>
      </c>
      <c r="I2881" s="13">
        <v>0.0</v>
      </c>
      <c r="J2881" s="13">
        <v>1.0</v>
      </c>
      <c r="K2881" s="12" t="s">
        <v>21</v>
      </c>
      <c r="L2881" s="7">
        <v>41396.35667824074</v>
      </c>
      <c r="M2881" s="14" t="s">
        <v>7639</v>
      </c>
      <c r="N2881" s="14" t="s">
        <v>7640</v>
      </c>
      <c r="O2881" s="11" t="str">
        <f>HYPERLINK("https://pbs.twimg.com/profile_images/462772097593245696/Cr6fAyMs_normal.jpeg","View")</f>
        <v>View</v>
      </c>
      <c r="P2881" s="15"/>
    </row>
    <row r="2882">
      <c r="A2882" s="7">
        <v>42426.25145833333</v>
      </c>
      <c r="B2882" s="8" t="str">
        <f>HYPERLINK("https://twitter.com/ErmiaBivatan","@ErmiaBivatan")</f>
        <v>@ErmiaBivatan</v>
      </c>
      <c r="C2882" s="10" t="s">
        <v>6261</v>
      </c>
      <c r="D2882" s="10" t="s">
        <v>6773</v>
      </c>
      <c r="E2882" s="11" t="str">
        <f>HYPERLINK("https://twitter.com/ErmiaBivatan/status/703218482314346496","703218482314346496")</f>
        <v>703218482314346496</v>
      </c>
      <c r="F2882" s="12" t="s">
        <v>152</v>
      </c>
      <c r="G2882" s="13">
        <v>45.0</v>
      </c>
      <c r="H2882" s="13">
        <v>142.0</v>
      </c>
      <c r="I2882" s="13">
        <v>61.0</v>
      </c>
      <c r="J2882" s="13">
        <v>0.0</v>
      </c>
      <c r="K2882" s="12" t="s">
        <v>21</v>
      </c>
      <c r="L2882" s="7">
        <v>41409.883356481485</v>
      </c>
      <c r="M2882" s="16"/>
      <c r="N2882" s="14" t="s">
        <v>6263</v>
      </c>
      <c r="O2882" s="11" t="str">
        <f>HYPERLINK("https://pbs.twimg.com/profile_images/700219041131204608/DZKmHE4-_normal.jpg","View")</f>
        <v>View</v>
      </c>
      <c r="P2882" s="15"/>
    </row>
    <row r="2883">
      <c r="A2883" s="7">
        <v>42426.25162037037</v>
      </c>
      <c r="B2883" s="8" t="str">
        <f>HYPERLINK("https://twitter.com/GLEONetwork","@GLEONetwork")</f>
        <v>@GLEONetwork</v>
      </c>
      <c r="C2883" s="10" t="s">
        <v>11152</v>
      </c>
      <c r="D2883" s="10" t="s">
        <v>10569</v>
      </c>
      <c r="E2883" s="11" t="str">
        <f>HYPERLINK("https://twitter.com/GLEONetwork/status/703218544784310272","703218544784310272")</f>
        <v>703218544784310272</v>
      </c>
      <c r="F2883" s="12" t="s">
        <v>52</v>
      </c>
      <c r="G2883" s="13">
        <v>778.0</v>
      </c>
      <c r="H2883" s="13">
        <v>349.0</v>
      </c>
      <c r="I2883" s="13">
        <v>7.0</v>
      </c>
      <c r="J2883" s="13">
        <v>0.0</v>
      </c>
      <c r="K2883" s="12" t="s">
        <v>21</v>
      </c>
      <c r="L2883" s="7">
        <v>40687.969675925924</v>
      </c>
      <c r="M2883" s="14" t="s">
        <v>11153</v>
      </c>
      <c r="N2883" s="14" t="s">
        <v>11154</v>
      </c>
      <c r="O2883" s="11" t="str">
        <f>HYPERLINK("https://pbs.twimg.com/profile_images/514240734304546816/fyDpdgci_normal.jpeg","View")</f>
        <v>View</v>
      </c>
      <c r="P2883" s="15"/>
    </row>
    <row r="2884">
      <c r="A2884" s="7">
        <v>42426.253483796296</v>
      </c>
      <c r="B2884" s="8" t="str">
        <f>HYPERLINK("https://twitter.com/SP_Keegan","@SP_Keegan")</f>
        <v>@SP_Keegan</v>
      </c>
      <c r="C2884" s="10" t="s">
        <v>11155</v>
      </c>
      <c r="D2884" s="10" t="s">
        <v>6773</v>
      </c>
      <c r="E2884" s="11" t="str">
        <f>HYPERLINK("https://twitter.com/SP_Keegan/status/703219216367927296","703219216367927296")</f>
        <v>703219216367927296</v>
      </c>
      <c r="F2884" s="12" t="s">
        <v>52</v>
      </c>
      <c r="G2884" s="13">
        <v>138.0</v>
      </c>
      <c r="H2884" s="13">
        <v>205.0</v>
      </c>
      <c r="I2884" s="13">
        <v>61.0</v>
      </c>
      <c r="J2884" s="13">
        <v>0.0</v>
      </c>
      <c r="K2884" s="12" t="s">
        <v>21</v>
      </c>
      <c r="L2884" s="7">
        <v>41989.26622685185</v>
      </c>
      <c r="M2884" s="14" t="s">
        <v>11156</v>
      </c>
      <c r="N2884" s="14" t="s">
        <v>11157</v>
      </c>
      <c r="O2884" s="11" t="str">
        <f>HYPERLINK("https://pbs.twimg.com/profile_images/698323439174733824/O8bDvbDj_normal.jpg","View")</f>
        <v>View</v>
      </c>
      <c r="P2884" s="15"/>
    </row>
    <row r="2885">
      <c r="A2885" s="7">
        <v>42426.25424768518</v>
      </c>
      <c r="B2885" s="8" t="str">
        <f>HYPERLINK("https://twitter.com/dougashton","@dougashton")</f>
        <v>@dougashton</v>
      </c>
      <c r="C2885" s="10" t="s">
        <v>9011</v>
      </c>
      <c r="D2885" s="10" t="s">
        <v>11158</v>
      </c>
      <c r="E2885" s="11" t="str">
        <f>HYPERLINK("https://twitter.com/dougashton/status/703219494571868160","703219494571868160")</f>
        <v>703219494571868160</v>
      </c>
      <c r="F2885" s="12" t="s">
        <v>20</v>
      </c>
      <c r="G2885" s="13">
        <v>124.0</v>
      </c>
      <c r="H2885" s="13">
        <v>91.0</v>
      </c>
      <c r="I2885" s="13">
        <v>0.0</v>
      </c>
      <c r="J2885" s="13">
        <v>0.0</v>
      </c>
      <c r="K2885" s="12" t="s">
        <v>21</v>
      </c>
      <c r="L2885" s="7">
        <v>40238.15414351852</v>
      </c>
      <c r="M2885" s="14" t="s">
        <v>519</v>
      </c>
      <c r="N2885" s="14" t="s">
        <v>9013</v>
      </c>
      <c r="O2885" s="11" t="str">
        <f>HYPERLINK("https://pbs.twimg.com/profile_images/652081177344540672/AudgFCJl_normal.jpg","View")</f>
        <v>View</v>
      </c>
      <c r="P2885" s="15"/>
    </row>
    <row r="2886">
      <c r="A2886" s="7">
        <v>42426.25493055556</v>
      </c>
      <c r="B2886" s="8" t="str">
        <f>HYPERLINK("https://twitter.com/tylerrinker","@tylerrinker")</f>
        <v>@tylerrinker</v>
      </c>
      <c r="C2886" s="10" t="s">
        <v>9208</v>
      </c>
      <c r="D2886" s="10" t="s">
        <v>11159</v>
      </c>
      <c r="E2886" s="11" t="str">
        <f>HYPERLINK("https://twitter.com/tylerrinker/status/703219743486976000","703219743486976000")</f>
        <v>703219743486976000</v>
      </c>
      <c r="F2886" s="12" t="s">
        <v>20</v>
      </c>
      <c r="G2886" s="13">
        <v>217.0</v>
      </c>
      <c r="H2886" s="13">
        <v>117.0</v>
      </c>
      <c r="I2886" s="13">
        <v>0.0</v>
      </c>
      <c r="J2886" s="13">
        <v>2.0</v>
      </c>
      <c r="K2886" s="12" t="s">
        <v>21</v>
      </c>
      <c r="L2886" s="7">
        <v>40075.54701388889</v>
      </c>
      <c r="M2886" s="14" t="s">
        <v>9210</v>
      </c>
      <c r="N2886" s="14" t="s">
        <v>9211</v>
      </c>
      <c r="O2886" s="11" t="str">
        <f>HYPERLINK("https://pbs.twimg.com/profile_images/3409396165/3df155436a5f9201830bcc65f7a836f7_normal.jpeg","View")</f>
        <v>View</v>
      </c>
      <c r="P2886" s="15"/>
    </row>
    <row r="2887">
      <c r="A2887" s="7">
        <v>42426.256793981476</v>
      </c>
      <c r="B2887" s="8" t="str">
        <f>HYPERLINK("https://twitter.com/darinself","@darinself")</f>
        <v>@darinself</v>
      </c>
      <c r="C2887" s="10" t="s">
        <v>7687</v>
      </c>
      <c r="D2887" s="10" t="s">
        <v>11160</v>
      </c>
      <c r="E2887" s="11" t="str">
        <f>HYPERLINK("https://twitter.com/darinself/status/703220416312123396","703220416312123396")</f>
        <v>703220416312123396</v>
      </c>
      <c r="F2887" s="12" t="s">
        <v>20</v>
      </c>
      <c r="G2887" s="13">
        <v>505.0</v>
      </c>
      <c r="H2887" s="13">
        <v>649.0</v>
      </c>
      <c r="I2887" s="13">
        <v>0.0</v>
      </c>
      <c r="J2887" s="13">
        <v>1.0</v>
      </c>
      <c r="K2887" s="12" t="s">
        <v>21</v>
      </c>
      <c r="L2887" s="7">
        <v>40025.954050925924</v>
      </c>
      <c r="M2887" s="16"/>
      <c r="N2887" s="14" t="s">
        <v>7689</v>
      </c>
      <c r="O2887" s="11" t="str">
        <f>HYPERLINK("https://pbs.twimg.com/profile_images/701932214477578240/n5qec4i3_normal.jpg","View")</f>
        <v>View</v>
      </c>
      <c r="P2887" s="15"/>
    </row>
    <row r="2888">
      <c r="A2888" s="7">
        <v>42426.25759259259</v>
      </c>
      <c r="B2888" s="8" t="str">
        <f>HYPERLINK("https://twitter.com/NUSLinguistics","@NUSLinguistics")</f>
        <v>@NUSLinguistics</v>
      </c>
      <c r="C2888" s="10" t="s">
        <v>11161</v>
      </c>
      <c r="D2888" s="10" t="s">
        <v>10628</v>
      </c>
      <c r="E2888" s="11" t="str">
        <f>HYPERLINK("https://twitter.com/NUSLinguistics/status/703220706876661760","703220706876661760")</f>
        <v>703220706876661760</v>
      </c>
      <c r="F2888" s="12" t="s">
        <v>152</v>
      </c>
      <c r="G2888" s="13">
        <v>168.0</v>
      </c>
      <c r="H2888" s="13">
        <v>78.0</v>
      </c>
      <c r="I2888" s="13">
        <v>9.0</v>
      </c>
      <c r="J2888" s="13">
        <v>0.0</v>
      </c>
      <c r="K2888" s="12" t="s">
        <v>21</v>
      </c>
      <c r="L2888" s="7">
        <v>41479.75392361111</v>
      </c>
      <c r="M2888" s="16"/>
      <c r="N2888" s="14" t="s">
        <v>11162</v>
      </c>
      <c r="O2888" s="11" t="str">
        <f>HYPERLINK("https://pbs.twimg.com/profile_images/378800000831118506/5ec7912272a9368c70b1f7ba99296c54_normal.jpeg","View")</f>
        <v>View</v>
      </c>
      <c r="P2888" s="15"/>
    </row>
    <row r="2889">
      <c r="A2889" s="7">
        <v>42426.25828703704</v>
      </c>
      <c r="B2889" s="8" t="str">
        <f>HYPERLINK("https://twitter.com/dr_eldersveld","@dr_eldersveld")</f>
        <v>@dr_eldersveld</v>
      </c>
      <c r="C2889" s="10" t="s">
        <v>9819</v>
      </c>
      <c r="D2889" s="10" t="s">
        <v>11163</v>
      </c>
      <c r="E2889" s="11" t="str">
        <f>HYPERLINK("https://twitter.com/dr_eldersveld/status/703220957167673345","703220957167673345")</f>
        <v>703220957167673345</v>
      </c>
      <c r="F2889" s="12" t="s">
        <v>20</v>
      </c>
      <c r="G2889" s="13">
        <v>237.0</v>
      </c>
      <c r="H2889" s="13">
        <v>376.0</v>
      </c>
      <c r="I2889" s="13">
        <v>1.0</v>
      </c>
      <c r="J2889" s="13">
        <v>6.0</v>
      </c>
      <c r="K2889" s="12" t="s">
        <v>21</v>
      </c>
      <c r="L2889" s="7">
        <v>41565.423680555556</v>
      </c>
      <c r="M2889" s="14" t="s">
        <v>6416</v>
      </c>
      <c r="N2889" s="14" t="s">
        <v>9821</v>
      </c>
      <c r="O2889" s="11" t="str">
        <f>HYPERLINK("https://pbs.twimg.com/profile_images/622068124599238656/7mJZq698_normal.png","View")</f>
        <v>View</v>
      </c>
      <c r="P2889" s="15"/>
    </row>
    <row r="2890">
      <c r="A2890" s="7">
        <v>42426.25914351852</v>
      </c>
      <c r="B2890" s="8" t="str">
        <f>HYPERLINK("https://twitter.com/ngamita","@ngamita")</f>
        <v>@ngamita</v>
      </c>
      <c r="C2890" s="10" t="s">
        <v>7560</v>
      </c>
      <c r="D2890" s="10" t="s">
        <v>11164</v>
      </c>
      <c r="E2890" s="11" t="str">
        <f>HYPERLINK("https://twitter.com/ngamita/status/703221268661858304","703221268661858304")</f>
        <v>703221268661858304</v>
      </c>
      <c r="F2890" s="12" t="s">
        <v>20</v>
      </c>
      <c r="G2890" s="13">
        <v>1298.0</v>
      </c>
      <c r="H2890" s="13">
        <v>1239.0</v>
      </c>
      <c r="I2890" s="13">
        <v>0.0</v>
      </c>
      <c r="J2890" s="13">
        <v>1.0</v>
      </c>
      <c r="K2890" s="12" t="s">
        <v>21</v>
      </c>
      <c r="L2890" s="7">
        <v>40066.2893287037</v>
      </c>
      <c r="M2890" s="14" t="s">
        <v>7562</v>
      </c>
      <c r="N2890" s="14" t="s">
        <v>7563</v>
      </c>
      <c r="O2890" s="11" t="str">
        <f>HYPERLINK("https://pbs.twimg.com/profile_images/538251729419001857/kIvht2bF_normal.jpeg","View")</f>
        <v>View</v>
      </c>
      <c r="P2890" s="15"/>
    </row>
    <row r="2891">
      <c r="A2891" s="7">
        <v>42426.259363425925</v>
      </c>
      <c r="B2891" s="8" t="str">
        <f>HYPERLINK("https://twitter.com/Flowfields_","@Flowfields_")</f>
        <v>@Flowfields_</v>
      </c>
      <c r="C2891" s="10" t="s">
        <v>7985</v>
      </c>
      <c r="D2891" s="10" t="s">
        <v>11165</v>
      </c>
      <c r="E2891" s="11" t="str">
        <f>HYPERLINK("https://twitter.com/Flowfields_/status/703221350626947072","703221350626947072")</f>
        <v>703221350626947072</v>
      </c>
      <c r="F2891" s="12" t="s">
        <v>38</v>
      </c>
      <c r="G2891" s="13">
        <v>449.0</v>
      </c>
      <c r="H2891" s="13">
        <v>352.0</v>
      </c>
      <c r="I2891" s="13">
        <v>1.0</v>
      </c>
      <c r="J2891" s="13">
        <v>0.0</v>
      </c>
      <c r="K2891" s="12" t="s">
        <v>21</v>
      </c>
      <c r="L2891" s="7">
        <v>41606.35060185185</v>
      </c>
      <c r="M2891" s="14" t="s">
        <v>5954</v>
      </c>
      <c r="N2891" s="14" t="s">
        <v>7986</v>
      </c>
      <c r="O2891" s="11" t="str">
        <f>HYPERLINK("https://pbs.twimg.com/profile_images/378800000809810536/f245ca2d284ae20da862971ef93ecc6b_normal.png","View")</f>
        <v>View</v>
      </c>
      <c r="P2891" s="15"/>
    </row>
    <row r="2892">
      <c r="A2892" s="7">
        <v>42426.25951388889</v>
      </c>
      <c r="B2892" s="8" t="str">
        <f t="shared" ref="B2892:B2894" si="313">HYPERLINK("https://twitter.com/CRANberriesFeed","@CRANberriesFeed")</f>
        <v>@CRANberriesFeed</v>
      </c>
      <c r="C2892" s="10" t="s">
        <v>6282</v>
      </c>
      <c r="D2892" s="10" t="s">
        <v>11166</v>
      </c>
      <c r="E2892" s="11" t="str">
        <f>HYPERLINK("https://twitter.com/CRANberriesFeed/status/703221402879582208","703221402879582208")</f>
        <v>703221402879582208</v>
      </c>
      <c r="F2892" s="12" t="s">
        <v>6284</v>
      </c>
      <c r="G2892" s="13">
        <v>657.0</v>
      </c>
      <c r="H2892" s="13">
        <v>0.0</v>
      </c>
      <c r="I2892" s="13">
        <v>0.0</v>
      </c>
      <c r="J2892" s="13">
        <v>0.0</v>
      </c>
      <c r="K2892" s="12" t="s">
        <v>21</v>
      </c>
      <c r="L2892" s="7">
        <v>40546.353425925925</v>
      </c>
      <c r="M2892" s="14" t="s">
        <v>1158</v>
      </c>
      <c r="N2892" s="16"/>
      <c r="O2892" s="11" t="str">
        <f t="shared" ref="O2892:O2894" si="314">HYPERLINK("https://pbs.twimg.com/profile_images/1222779560/cran1_normal.jpg","View")</f>
        <v>View</v>
      </c>
      <c r="P2892" s="15"/>
    </row>
    <row r="2893">
      <c r="A2893" s="7">
        <v>42426.25957175926</v>
      </c>
      <c r="B2893" s="8" t="str">
        <f t="shared" si="313"/>
        <v>@CRANberriesFeed</v>
      </c>
      <c r="C2893" s="10" t="s">
        <v>6282</v>
      </c>
      <c r="D2893" s="10" t="s">
        <v>11167</v>
      </c>
      <c r="E2893" s="11" t="str">
        <f>HYPERLINK("https://twitter.com/CRANberriesFeed/status/703221423519756289","703221423519756289")</f>
        <v>703221423519756289</v>
      </c>
      <c r="F2893" s="12" t="s">
        <v>6284</v>
      </c>
      <c r="G2893" s="13">
        <v>657.0</v>
      </c>
      <c r="H2893" s="13">
        <v>0.0</v>
      </c>
      <c r="I2893" s="13">
        <v>0.0</v>
      </c>
      <c r="J2893" s="13">
        <v>0.0</v>
      </c>
      <c r="K2893" s="12" t="s">
        <v>21</v>
      </c>
      <c r="L2893" s="7">
        <v>40546.353425925925</v>
      </c>
      <c r="M2893" s="14" t="s">
        <v>1158</v>
      </c>
      <c r="N2893" s="16"/>
      <c r="O2893" s="11" t="str">
        <f t="shared" si="314"/>
        <v>View</v>
      </c>
      <c r="P2893" s="15"/>
    </row>
    <row r="2894">
      <c r="A2894" s="7">
        <v>42426.25969907407</v>
      </c>
      <c r="B2894" s="8" t="str">
        <f t="shared" si="313"/>
        <v>@CRANberriesFeed</v>
      </c>
      <c r="C2894" s="10" t="s">
        <v>6282</v>
      </c>
      <c r="D2894" s="10" t="s">
        <v>11168</v>
      </c>
      <c r="E2894" s="11" t="str">
        <f>HYPERLINK("https://twitter.com/CRANberriesFeed/status/703221468772093952","703221468772093952")</f>
        <v>703221468772093952</v>
      </c>
      <c r="F2894" s="12" t="s">
        <v>6284</v>
      </c>
      <c r="G2894" s="13">
        <v>657.0</v>
      </c>
      <c r="H2894" s="13">
        <v>0.0</v>
      </c>
      <c r="I2894" s="13">
        <v>0.0</v>
      </c>
      <c r="J2894" s="13">
        <v>0.0</v>
      </c>
      <c r="K2894" s="12" t="s">
        <v>21</v>
      </c>
      <c r="L2894" s="7">
        <v>40546.353425925925</v>
      </c>
      <c r="M2894" s="14" t="s">
        <v>1158</v>
      </c>
      <c r="N2894" s="16"/>
      <c r="O2894" s="11" t="str">
        <f t="shared" si="314"/>
        <v>View</v>
      </c>
      <c r="P2894" s="15"/>
    </row>
    <row r="2895">
      <c r="A2895" s="7">
        <v>42426.26053240741</v>
      </c>
      <c r="B2895" s="8" t="str">
        <f>HYPERLINK("https://twitter.com/skilloak","@skilloak")</f>
        <v>@skilloak</v>
      </c>
      <c r="C2895" s="10" t="s">
        <v>5999</v>
      </c>
      <c r="D2895" s="10" t="s">
        <v>11169</v>
      </c>
      <c r="E2895" s="11" t="str">
        <f>HYPERLINK("https://twitter.com/skilloak/status/703221773320323072","703221773320323072")</f>
        <v>703221773320323072</v>
      </c>
      <c r="F2895" s="12" t="s">
        <v>446</v>
      </c>
      <c r="G2895" s="13">
        <v>2427.0</v>
      </c>
      <c r="H2895" s="13">
        <v>338.0</v>
      </c>
      <c r="I2895" s="13">
        <v>0.0</v>
      </c>
      <c r="J2895" s="13">
        <v>0.0</v>
      </c>
      <c r="K2895" s="12" t="s">
        <v>21</v>
      </c>
      <c r="L2895" s="7">
        <v>41308.39502314815</v>
      </c>
      <c r="M2895" s="16"/>
      <c r="N2895" s="14" t="s">
        <v>6001</v>
      </c>
      <c r="O2895" s="11" t="str">
        <f>HYPERLINK("https://pbs.twimg.com/profile_images/670315479517413376/Kkf5JA8s_normal.png","View")</f>
        <v>View</v>
      </c>
      <c r="P2895" s="15"/>
    </row>
    <row r="2896">
      <c r="A2896" s="7">
        <v>42426.26155092593</v>
      </c>
      <c r="B2896" s="8" t="str">
        <f>HYPERLINK("https://twitter.com/ma_salmon","@ma_salmon")</f>
        <v>@ma_salmon</v>
      </c>
      <c r="C2896" s="10" t="s">
        <v>6494</v>
      </c>
      <c r="D2896" s="10" t="s">
        <v>11170</v>
      </c>
      <c r="E2896" s="11" t="str">
        <f>HYPERLINK("https://twitter.com/ma_salmon/status/703222142310195200","703222142310195200")</f>
        <v>703222142310195200</v>
      </c>
      <c r="F2896" s="12" t="s">
        <v>20</v>
      </c>
      <c r="G2896" s="13">
        <v>47.0</v>
      </c>
      <c r="H2896" s="13">
        <v>54.0</v>
      </c>
      <c r="I2896" s="13">
        <v>0.0</v>
      </c>
      <c r="J2896" s="13">
        <v>0.0</v>
      </c>
      <c r="K2896" s="12" t="s">
        <v>21</v>
      </c>
      <c r="L2896" s="7">
        <v>41950.10041666667</v>
      </c>
      <c r="M2896" s="14" t="s">
        <v>6496</v>
      </c>
      <c r="N2896" s="14" t="s">
        <v>6497</v>
      </c>
      <c r="O2896" s="11" t="str">
        <f>HYPERLINK("https://pbs.twimg.com/profile_images/630648570228666368/azCx-w8Z_normal.jpg","View")</f>
        <v>View</v>
      </c>
      <c r="P2896" s="15"/>
    </row>
    <row r="2897">
      <c r="A2897" s="7">
        <v>42426.262465277774</v>
      </c>
      <c r="B2897" s="8" t="str">
        <f>HYPERLINK("https://twitter.com/julianaseu","@julianaseu")</f>
        <v>@julianaseu</v>
      </c>
      <c r="C2897" s="10" t="s">
        <v>1652</v>
      </c>
      <c r="D2897" s="10" t="s">
        <v>10876</v>
      </c>
      <c r="E2897" s="11" t="str">
        <f>HYPERLINK("https://twitter.com/julianaseu/status/703222474004156416","703222474004156416")</f>
        <v>703222474004156416</v>
      </c>
      <c r="F2897" s="12" t="s">
        <v>152</v>
      </c>
      <c r="G2897" s="13">
        <v>209.0</v>
      </c>
      <c r="H2897" s="13">
        <v>145.0</v>
      </c>
      <c r="I2897" s="13">
        <v>24.0</v>
      </c>
      <c r="J2897" s="13">
        <v>0.0</v>
      </c>
      <c r="K2897" s="12" t="s">
        <v>21</v>
      </c>
      <c r="L2897" s="7">
        <v>40216.33519675926</v>
      </c>
      <c r="M2897" s="14" t="s">
        <v>1654</v>
      </c>
      <c r="N2897" s="14" t="s">
        <v>1655</v>
      </c>
      <c r="O2897" s="11" t="str">
        <f>HYPERLINK("https://pbs.twimg.com/profile_images/580413138891382785/yDJj-8tb_normal.jpg","View")</f>
        <v>View</v>
      </c>
      <c r="P2897" s="15"/>
    </row>
    <row r="2898">
      <c r="A2898" s="7">
        <v>42426.26324074074</v>
      </c>
      <c r="B2898" s="8" t="str">
        <f>HYPERLINK("https://twitter.com/samphippen","@samphippen")</f>
        <v>@samphippen</v>
      </c>
      <c r="C2898" s="10" t="s">
        <v>11171</v>
      </c>
      <c r="D2898" s="10" t="s">
        <v>6773</v>
      </c>
      <c r="E2898" s="11" t="str">
        <f>HYPERLINK("https://twitter.com/samphippen/status/703222752954748928","703222752954748928")</f>
        <v>703222752954748928</v>
      </c>
      <c r="F2898" s="12" t="s">
        <v>240</v>
      </c>
      <c r="G2898" s="13">
        <v>1610.0</v>
      </c>
      <c r="H2898" s="13">
        <v>695.0</v>
      </c>
      <c r="I2898" s="13">
        <v>61.0</v>
      </c>
      <c r="J2898" s="13">
        <v>0.0</v>
      </c>
      <c r="K2898" s="12" t="s">
        <v>21</v>
      </c>
      <c r="L2898" s="7">
        <v>39967.195486111115</v>
      </c>
      <c r="M2898" s="14" t="s">
        <v>11172</v>
      </c>
      <c r="N2898" s="14" t="s">
        <v>11173</v>
      </c>
      <c r="O2898" s="11" t="str">
        <f>HYPERLINK("https://pbs.twimg.com/profile_images/647307147060084736/j1IJLy7S_normal.jpg","View")</f>
        <v>View</v>
      </c>
      <c r="P2898" s="15"/>
    </row>
    <row r="2899">
      <c r="A2899" s="7">
        <v>42426.26324074074</v>
      </c>
      <c r="B2899" s="8" t="str">
        <f>HYPERLINK("https://twitter.com/ChCariou","@ChCariou")</f>
        <v>@ChCariou</v>
      </c>
      <c r="C2899" s="10" t="s">
        <v>10159</v>
      </c>
      <c r="D2899" s="10" t="s">
        <v>11174</v>
      </c>
      <c r="E2899" s="11" t="str">
        <f>HYPERLINK("https://twitter.com/ChCariou/status/703222755337105409","703222755337105409")</f>
        <v>703222755337105409</v>
      </c>
      <c r="F2899" s="12" t="s">
        <v>20</v>
      </c>
      <c r="G2899" s="13">
        <v>402.0</v>
      </c>
      <c r="H2899" s="13">
        <v>442.0</v>
      </c>
      <c r="I2899" s="13">
        <v>2.0</v>
      </c>
      <c r="J2899" s="13">
        <v>0.0</v>
      </c>
      <c r="K2899" s="12" t="s">
        <v>21</v>
      </c>
      <c r="L2899" s="7">
        <v>40836.00261574074</v>
      </c>
      <c r="M2899" s="14" t="s">
        <v>10161</v>
      </c>
      <c r="N2899" s="14" t="s">
        <v>10162</v>
      </c>
      <c r="O2899" s="11" t="str">
        <f>HYPERLINK("https://pbs.twimg.com/profile_images/646034538691461121/EtcgHvoh_normal.jpg","View")</f>
        <v>View</v>
      </c>
      <c r="P2899" s="15"/>
    </row>
    <row r="2900">
      <c r="A2900" s="7">
        <v>42426.26349537037</v>
      </c>
      <c r="B2900" s="8" t="str">
        <f>HYPERLINK("https://twitter.com/ppiixx","@ppiixx")</f>
        <v>@ppiixx</v>
      </c>
      <c r="C2900" s="10" t="s">
        <v>11175</v>
      </c>
      <c r="D2900" s="10" t="s">
        <v>6773</v>
      </c>
      <c r="E2900" s="11" t="str">
        <f>HYPERLINK("https://twitter.com/ppiixx/status/703222844688359426","703222844688359426")</f>
        <v>703222844688359426</v>
      </c>
      <c r="F2900" s="12" t="s">
        <v>240</v>
      </c>
      <c r="G2900" s="13">
        <v>473.0</v>
      </c>
      <c r="H2900" s="13">
        <v>2218.0</v>
      </c>
      <c r="I2900" s="13">
        <v>61.0</v>
      </c>
      <c r="J2900" s="13">
        <v>0.0</v>
      </c>
      <c r="K2900" s="12" t="s">
        <v>21</v>
      </c>
      <c r="L2900" s="7">
        <v>39689.234456018516</v>
      </c>
      <c r="M2900" s="16"/>
      <c r="N2900" s="16"/>
      <c r="O2900" s="11" t="str">
        <f>HYPERLINK("https://pbs.twimg.com/profile_images/1666118242/c7lVUYrl_normal","View")</f>
        <v>View</v>
      </c>
      <c r="P2900" s="15"/>
    </row>
    <row r="2901">
      <c r="A2901" s="7">
        <v>42426.26362268519</v>
      </c>
      <c r="B2901" s="8" t="str">
        <f>HYPERLINK("https://twitter.com/darachennis","@darachennis")</f>
        <v>@darachennis</v>
      </c>
      <c r="C2901" s="10" t="s">
        <v>11176</v>
      </c>
      <c r="D2901" s="10" t="s">
        <v>6773</v>
      </c>
      <c r="E2901" s="11" t="str">
        <f>HYPERLINK("https://twitter.com/darachennis/status/703222891815505921","703222891815505921")</f>
        <v>703222891815505921</v>
      </c>
      <c r="F2901" s="12" t="s">
        <v>20</v>
      </c>
      <c r="G2901" s="13">
        <v>2040.0</v>
      </c>
      <c r="H2901" s="13">
        <v>2098.0</v>
      </c>
      <c r="I2901" s="13">
        <v>61.0</v>
      </c>
      <c r="J2901" s="13">
        <v>0.0</v>
      </c>
      <c r="K2901" s="12" t="s">
        <v>21</v>
      </c>
      <c r="L2901" s="7">
        <v>39700.56148148148</v>
      </c>
      <c r="M2901" s="14" t="s">
        <v>1093</v>
      </c>
      <c r="N2901" s="14" t="s">
        <v>11177</v>
      </c>
      <c r="O2901" s="11" t="str">
        <f>HYPERLINK("https://pbs.twimg.com/profile_images/2224518169/Screen_shot_2012-05-16_at_22.57.49_normal.png","View")</f>
        <v>View</v>
      </c>
      <c r="P2901" s="15"/>
    </row>
    <row r="2902">
      <c r="A2902" s="7">
        <v>42426.26403935185</v>
      </c>
      <c r="B2902" s="8" t="str">
        <f>HYPERLINK("https://twitter.com/polesasunder","@polesasunder")</f>
        <v>@polesasunder</v>
      </c>
      <c r="C2902" s="10" t="s">
        <v>7496</v>
      </c>
      <c r="D2902" s="10" t="s">
        <v>11178</v>
      </c>
      <c r="E2902" s="11" t="str">
        <f>HYPERLINK("https://twitter.com/polesasunder/status/703223042940383232","703223042940383232")</f>
        <v>703223042940383232</v>
      </c>
      <c r="F2902" s="12" t="s">
        <v>446</v>
      </c>
      <c r="G2902" s="13">
        <v>1560.0</v>
      </c>
      <c r="H2902" s="13">
        <v>1353.0</v>
      </c>
      <c r="I2902" s="13">
        <v>0.0</v>
      </c>
      <c r="J2902" s="13">
        <v>1.0</v>
      </c>
      <c r="K2902" s="12" t="s">
        <v>21</v>
      </c>
      <c r="L2902" s="7">
        <v>40268.41755787037</v>
      </c>
      <c r="M2902" s="14" t="s">
        <v>2216</v>
      </c>
      <c r="N2902" s="14" t="s">
        <v>7498</v>
      </c>
      <c r="O2902" s="11" t="str">
        <f>HYPERLINK("https://pbs.twimg.com/profile_images/499358811564425216/jiX57F1h_normal.jpeg","View")</f>
        <v>View</v>
      </c>
      <c r="P2902" s="15"/>
    </row>
    <row r="2903">
      <c r="A2903" s="7">
        <v>42426.264560185184</v>
      </c>
      <c r="B2903" s="8" t="str">
        <f>HYPERLINK("https://twitter.com/JackkStat","@JackkStat")</f>
        <v>@JackkStat</v>
      </c>
      <c r="C2903" s="10" t="s">
        <v>10181</v>
      </c>
      <c r="D2903" s="10" t="s">
        <v>10735</v>
      </c>
      <c r="E2903" s="11" t="str">
        <f>HYPERLINK("https://twitter.com/JackkStat/status/703223230685818880","703223230685818880")</f>
        <v>703223230685818880</v>
      </c>
      <c r="F2903" s="12" t="s">
        <v>152</v>
      </c>
      <c r="G2903" s="13">
        <v>42.0</v>
      </c>
      <c r="H2903" s="13">
        <v>73.0</v>
      </c>
      <c r="I2903" s="13">
        <v>17.0</v>
      </c>
      <c r="J2903" s="13">
        <v>0.0</v>
      </c>
      <c r="K2903" s="12" t="s">
        <v>21</v>
      </c>
      <c r="L2903" s="7">
        <v>41428.697233796294</v>
      </c>
      <c r="M2903" s="14" t="s">
        <v>10182</v>
      </c>
      <c r="N2903" s="14" t="s">
        <v>10183</v>
      </c>
      <c r="O2903" s="11" t="str">
        <f>HYPERLINK("https://pbs.twimg.com/profile_images/378800000390483857/cc12f079276669c75efe2d29039d6163_normal.jpeg","View")</f>
        <v>View</v>
      </c>
      <c r="P2903" s="15"/>
    </row>
    <row r="2904">
      <c r="A2904" s="7">
        <v>42426.2653125</v>
      </c>
      <c r="B2904" s="8" t="str">
        <f>HYPERLINK("https://twitter.com/kyeagerKSU","@kyeagerKSU")</f>
        <v>@kyeagerKSU</v>
      </c>
      <c r="C2904" s="10" t="s">
        <v>11179</v>
      </c>
      <c r="D2904" s="10" t="s">
        <v>10735</v>
      </c>
      <c r="E2904" s="11" t="str">
        <f>HYPERLINK("https://twitter.com/kyeagerKSU/status/703223505286987776","703223505286987776")</f>
        <v>703223505286987776</v>
      </c>
      <c r="F2904" s="12" t="s">
        <v>7184</v>
      </c>
      <c r="G2904" s="13">
        <v>32.0</v>
      </c>
      <c r="H2904" s="13">
        <v>61.0</v>
      </c>
      <c r="I2904" s="13">
        <v>17.0</v>
      </c>
      <c r="J2904" s="13">
        <v>0.0</v>
      </c>
      <c r="K2904" s="12" t="s">
        <v>21</v>
      </c>
      <c r="L2904" s="7">
        <v>41486.303252314814</v>
      </c>
      <c r="M2904" s="16"/>
      <c r="N2904" s="16"/>
      <c r="O2904" s="11" t="str">
        <f>HYPERLINK("https://pbs.twimg.com/profile_images/378800000511160001/69759bcd6f2cde99a57f765358fa3f93_normal.png","View")</f>
        <v>View</v>
      </c>
      <c r="P2904" s="15"/>
    </row>
    <row r="2905">
      <c r="A2905" s="7">
        <v>42426.26625</v>
      </c>
      <c r="B2905" s="8" t="str">
        <f>HYPERLINK("https://twitter.com/JackkStat","@JackkStat")</f>
        <v>@JackkStat</v>
      </c>
      <c r="C2905" s="10" t="s">
        <v>10181</v>
      </c>
      <c r="D2905" s="10" t="s">
        <v>10852</v>
      </c>
      <c r="E2905" s="11" t="str">
        <f>HYPERLINK("https://twitter.com/JackkStat/status/703223842697646081","703223842697646081")</f>
        <v>703223842697646081</v>
      </c>
      <c r="F2905" s="12" t="s">
        <v>152</v>
      </c>
      <c r="G2905" s="13">
        <v>42.0</v>
      </c>
      <c r="H2905" s="13">
        <v>73.0</v>
      </c>
      <c r="I2905" s="13">
        <v>13.0</v>
      </c>
      <c r="J2905" s="13">
        <v>0.0</v>
      </c>
      <c r="K2905" s="12" t="s">
        <v>21</v>
      </c>
      <c r="L2905" s="7">
        <v>41428.697233796294</v>
      </c>
      <c r="M2905" s="14" t="s">
        <v>10182</v>
      </c>
      <c r="N2905" s="14" t="s">
        <v>10183</v>
      </c>
      <c r="O2905" s="11" t="str">
        <f>HYPERLINK("https://pbs.twimg.com/profile_images/378800000390483857/cc12f079276669c75efe2d29039d6163_normal.jpeg","View")</f>
        <v>View</v>
      </c>
      <c r="P2905" s="15"/>
    </row>
    <row r="2906">
      <c r="A2906" s="7">
        <v>42426.2674074074</v>
      </c>
      <c r="B2906" s="8" t="str">
        <f>HYPERLINK("https://twitter.com/historysquared","@historysquared")</f>
        <v>@historysquared</v>
      </c>
      <c r="C2906" s="10" t="s">
        <v>11180</v>
      </c>
      <c r="D2906" s="10" t="s">
        <v>11181</v>
      </c>
      <c r="E2906" s="11" t="str">
        <f>HYPERLINK("https://twitter.com/historysquared/status/703224264070139908","703224264070139908")</f>
        <v>703224264070139908</v>
      </c>
      <c r="F2906" s="12" t="s">
        <v>446</v>
      </c>
      <c r="G2906" s="13">
        <v>3965.0</v>
      </c>
      <c r="H2906" s="13">
        <v>1610.0</v>
      </c>
      <c r="I2906" s="13">
        <v>2.0</v>
      </c>
      <c r="J2906" s="13">
        <v>0.0</v>
      </c>
      <c r="K2906" s="12" t="s">
        <v>21</v>
      </c>
      <c r="L2906" s="7">
        <v>39881.368113425924</v>
      </c>
      <c r="M2906" s="14" t="s">
        <v>11182</v>
      </c>
      <c r="N2906" s="14" t="s">
        <v>11183</v>
      </c>
      <c r="O2906" s="11" t="str">
        <f>HYPERLINK("https://pbs.twimg.com/profile_images/1575535649/HS2_normal.png","View")</f>
        <v>View</v>
      </c>
      <c r="P2906" s="15"/>
    </row>
    <row r="2907">
      <c r="A2907" s="7">
        <v>42426.269282407404</v>
      </c>
      <c r="B2907" s="8" t="str">
        <f>HYPERLINK("https://twitter.com/MannyBernabe","@MannyBernabe")</f>
        <v>@MannyBernabe</v>
      </c>
      <c r="C2907" s="10" t="s">
        <v>11184</v>
      </c>
      <c r="D2907" s="10" t="s">
        <v>11185</v>
      </c>
      <c r="E2907" s="11" t="str">
        <f>HYPERLINK("https://twitter.com/MannyBernabe/status/703224944268804102","703224944268804102")</f>
        <v>703224944268804102</v>
      </c>
      <c r="F2907" s="12" t="s">
        <v>20</v>
      </c>
      <c r="G2907" s="13">
        <v>103.0</v>
      </c>
      <c r="H2907" s="13">
        <v>344.0</v>
      </c>
      <c r="I2907" s="13">
        <v>1.0</v>
      </c>
      <c r="J2907" s="13">
        <v>1.0</v>
      </c>
      <c r="K2907" s="12" t="s">
        <v>21</v>
      </c>
      <c r="L2907" s="7">
        <v>40923.67393518519</v>
      </c>
      <c r="M2907" s="16"/>
      <c r="N2907" s="14" t="s">
        <v>11186</v>
      </c>
      <c r="O2907" s="11" t="str">
        <f>HYPERLINK("https://pbs.twimg.com/profile_images/658091969797836800/PqzBkwPG_normal.jpg","View")</f>
        <v>View</v>
      </c>
      <c r="P2907" s="15"/>
    </row>
    <row r="2908">
      <c r="A2908" s="7">
        <v>42426.27030092593</v>
      </c>
      <c r="B2908" s="8" t="str">
        <f>HYPERLINK("https://twitter.com/carlcarrie","@carlcarrie")</f>
        <v>@carlcarrie</v>
      </c>
      <c r="C2908" s="10" t="s">
        <v>6365</v>
      </c>
      <c r="D2908" s="10" t="s">
        <v>11181</v>
      </c>
      <c r="E2908" s="11" t="str">
        <f>HYPERLINK("https://twitter.com/carlcarrie/status/703225311480188928","703225311480188928")</f>
        <v>703225311480188928</v>
      </c>
      <c r="F2908" s="12" t="s">
        <v>52</v>
      </c>
      <c r="G2908" s="13">
        <v>3281.0</v>
      </c>
      <c r="H2908" s="13">
        <v>866.0</v>
      </c>
      <c r="I2908" s="13">
        <v>2.0</v>
      </c>
      <c r="J2908" s="13">
        <v>0.0</v>
      </c>
      <c r="K2908" s="12" t="s">
        <v>21</v>
      </c>
      <c r="L2908" s="7">
        <v>39991.62917824074</v>
      </c>
      <c r="M2908" s="14" t="s">
        <v>1693</v>
      </c>
      <c r="N2908" s="14" t="s">
        <v>6367</v>
      </c>
      <c r="O2908" s="11" t="str">
        <f>HYPERLINK("https://pbs.twimg.com/profile_images/297743194/My_headshot_normal.png","View")</f>
        <v>View</v>
      </c>
      <c r="P2908" s="15"/>
    </row>
    <row r="2909">
      <c r="A2909" s="7">
        <v>42426.27045138889</v>
      </c>
      <c r="B2909" s="8" t="str">
        <f>HYPERLINK("https://twitter.com/DataSci4Good","@DataSci4Good")</f>
        <v>@DataSci4Good</v>
      </c>
      <c r="C2909" s="10" t="s">
        <v>11187</v>
      </c>
      <c r="D2909" s="10" t="s">
        <v>11188</v>
      </c>
      <c r="E2909" s="11" t="str">
        <f>HYPERLINK("https://twitter.com/DataSci4Good/status/703225367318781954","703225367318781954")</f>
        <v>703225367318781954</v>
      </c>
      <c r="F2909" s="12" t="s">
        <v>20</v>
      </c>
      <c r="G2909" s="13">
        <v>754.0</v>
      </c>
      <c r="H2909" s="13">
        <v>903.0</v>
      </c>
      <c r="I2909" s="13">
        <v>3.0</v>
      </c>
      <c r="J2909" s="13">
        <v>9.0</v>
      </c>
      <c r="K2909" s="12" t="s">
        <v>21</v>
      </c>
      <c r="L2909" s="7">
        <v>42407.827835648146</v>
      </c>
      <c r="M2909" s="16"/>
      <c r="N2909" s="14" t="s">
        <v>11189</v>
      </c>
      <c r="O2909" s="11" t="str">
        <f>HYPERLINK("https://pbs.twimg.com/profile_images/696543998761115648/ZoCmJRxo_normal.jpg","View")</f>
        <v>View</v>
      </c>
      <c r="P2909" s="15"/>
    </row>
    <row r="2910">
      <c r="A2910" s="7">
        <v>42426.27077546297</v>
      </c>
      <c r="B2910" s="8" t="str">
        <f>HYPERLINK("https://twitter.com/KirkDBorne","@KirkDBorne")</f>
        <v>@KirkDBorne</v>
      </c>
      <c r="C2910" s="10" t="s">
        <v>4099</v>
      </c>
      <c r="D2910" s="10" t="s">
        <v>11190</v>
      </c>
      <c r="E2910" s="11" t="str">
        <f>HYPERLINK("https://twitter.com/KirkDBorne/status/703225485887725568","703225485887725568")</f>
        <v>703225485887725568</v>
      </c>
      <c r="F2910" s="12" t="s">
        <v>20</v>
      </c>
      <c r="G2910" s="13">
        <v>64191.0</v>
      </c>
      <c r="H2910" s="13">
        <v>62659.0</v>
      </c>
      <c r="I2910" s="13">
        <v>3.0</v>
      </c>
      <c r="J2910" s="13">
        <v>0.0</v>
      </c>
      <c r="K2910" s="12" t="s">
        <v>21</v>
      </c>
      <c r="L2910" s="7">
        <v>40991.399502314816</v>
      </c>
      <c r="M2910" s="14" t="s">
        <v>4101</v>
      </c>
      <c r="N2910" s="14" t="s">
        <v>4102</v>
      </c>
      <c r="O2910" s="11" t="str">
        <f>HYPERLINK("https://pbs.twimg.com/profile_images/680246148762828801/flXTNSKT_normal.jpg","View")</f>
        <v>View</v>
      </c>
      <c r="P2910" s="15"/>
    </row>
    <row r="2911">
      <c r="A2911" s="7">
        <v>42426.27113425926</v>
      </c>
      <c r="B2911" s="8" t="str">
        <f>HYPERLINK("https://twitter.com/Emaasit","@Emaasit")</f>
        <v>@Emaasit</v>
      </c>
      <c r="C2911" s="10" t="s">
        <v>7313</v>
      </c>
      <c r="D2911" s="10" t="s">
        <v>11191</v>
      </c>
      <c r="E2911" s="11" t="str">
        <f>HYPERLINK("https://twitter.com/Emaasit/status/703225615130845186","703225615130845186")</f>
        <v>703225615130845186</v>
      </c>
      <c r="F2911" s="12" t="s">
        <v>152</v>
      </c>
      <c r="G2911" s="13">
        <v>1025.0</v>
      </c>
      <c r="H2911" s="13">
        <v>2909.0</v>
      </c>
      <c r="I2911" s="13">
        <v>1.0</v>
      </c>
      <c r="J2911" s="13">
        <v>0.0</v>
      </c>
      <c r="K2911" s="12" t="s">
        <v>21</v>
      </c>
      <c r="L2911" s="7">
        <v>39981.148981481485</v>
      </c>
      <c r="M2911" s="14" t="s">
        <v>7315</v>
      </c>
      <c r="N2911" s="14" t="s">
        <v>7316</v>
      </c>
      <c r="O2911" s="11" t="str">
        <f>HYPERLINK("https://pbs.twimg.com/profile_images/567588045927354370/NN8xp_M5_normal.jpeg","View")</f>
        <v>View</v>
      </c>
      <c r="P2911" s="15"/>
    </row>
    <row r="2912">
      <c r="A2912" s="7">
        <v>42426.27295138889</v>
      </c>
      <c r="B2912" s="8" t="str">
        <f>HYPERLINK("https://twitter.com/ashwinswarup","@ashwinswarup")</f>
        <v>@ashwinswarup</v>
      </c>
      <c r="C2912" s="10" t="s">
        <v>6440</v>
      </c>
      <c r="D2912" s="10" t="s">
        <v>11190</v>
      </c>
      <c r="E2912" s="11" t="str">
        <f>HYPERLINK("https://twitter.com/ashwinswarup/status/703226273863241728","703226273863241728")</f>
        <v>703226273863241728</v>
      </c>
      <c r="F2912" s="12" t="s">
        <v>38</v>
      </c>
      <c r="G2912" s="13">
        <v>50.0</v>
      </c>
      <c r="H2912" s="13">
        <v>144.0</v>
      </c>
      <c r="I2912" s="13">
        <v>3.0</v>
      </c>
      <c r="J2912" s="13">
        <v>0.0</v>
      </c>
      <c r="K2912" s="12" t="s">
        <v>21</v>
      </c>
      <c r="L2912" s="7">
        <v>40174.95818287037</v>
      </c>
      <c r="M2912" s="14" t="s">
        <v>1148</v>
      </c>
      <c r="N2912" s="16"/>
      <c r="O2912" s="11" t="str">
        <f>HYPERLINK("https://pbs.twimg.com/profile_images/690624026616553472/Jrtvx19B_normal.jpg","View")</f>
        <v>View</v>
      </c>
      <c r="P2912" s="15"/>
    </row>
    <row r="2913">
      <c r="A2913" s="7">
        <v>42426.273368055554</v>
      </c>
      <c r="B2913" s="8" t="str">
        <f>HYPERLINK("https://twitter.com/kristenobacter","@kristenobacter")</f>
        <v>@kristenobacter</v>
      </c>
      <c r="C2913" s="10" t="s">
        <v>11192</v>
      </c>
      <c r="D2913" s="10" t="s">
        <v>10990</v>
      </c>
      <c r="E2913" s="11" t="str">
        <f>HYPERLINK("https://twitter.com/kristenobacter/status/703226425252380672","703226425252380672")</f>
        <v>703226425252380672</v>
      </c>
      <c r="F2913" s="12" t="s">
        <v>20</v>
      </c>
      <c r="G2913" s="13">
        <v>929.0</v>
      </c>
      <c r="H2913" s="13">
        <v>562.0</v>
      </c>
      <c r="I2913" s="13">
        <v>12.0</v>
      </c>
      <c r="J2913" s="13">
        <v>0.0</v>
      </c>
      <c r="K2913" s="12" t="s">
        <v>21</v>
      </c>
      <c r="L2913" s="7">
        <v>39828.717824074076</v>
      </c>
      <c r="M2913" s="14" t="s">
        <v>6486</v>
      </c>
      <c r="N2913" s="14" t="s">
        <v>11193</v>
      </c>
      <c r="O2913" s="11" t="str">
        <f>HYPERLINK("https://pbs.twimg.com/profile_images/2162349475/KMD_lab_photo2011_normal.jpg","View")</f>
        <v>View</v>
      </c>
      <c r="P2913" s="15"/>
    </row>
    <row r="2914">
      <c r="A2914" s="7">
        <v>42426.27510416666</v>
      </c>
      <c r="B2914" s="8" t="str">
        <f>HYPERLINK("https://twitter.com/fjalolop000","@fjalolop000")</f>
        <v>@fjalolop000</v>
      </c>
      <c r="C2914" s="10" t="s">
        <v>6576</v>
      </c>
      <c r="D2914" s="10" t="s">
        <v>10696</v>
      </c>
      <c r="E2914" s="11" t="str">
        <f>HYPERLINK("https://twitter.com/fjalolop000/status/703227052175052800","703227052175052800")</f>
        <v>703227052175052800</v>
      </c>
      <c r="F2914" s="12" t="s">
        <v>152</v>
      </c>
      <c r="G2914" s="13">
        <v>16.0</v>
      </c>
      <c r="H2914" s="13">
        <v>54.0</v>
      </c>
      <c r="I2914" s="13">
        <v>15.0</v>
      </c>
      <c r="J2914" s="13">
        <v>0.0</v>
      </c>
      <c r="K2914" s="12" t="s">
        <v>21</v>
      </c>
      <c r="L2914" s="7">
        <v>41617.3140625</v>
      </c>
      <c r="M2914" s="16"/>
      <c r="N2914" s="16"/>
      <c r="O2914" s="11" t="str">
        <f>HYPERLINK("https://pbs.twimg.com/profile_images/576799609873428480/V8akQ-mi_normal.jpeg","View")</f>
        <v>View</v>
      </c>
      <c r="P2914" s="15"/>
    </row>
    <row r="2915">
      <c r="A2915" s="7">
        <v>42426.275254629625</v>
      </c>
      <c r="B2915" s="8" t="str">
        <f>HYPERLINK("https://twitter.com/kanTulan","@kanTulan")</f>
        <v>@kanTulan</v>
      </c>
      <c r="C2915" s="10" t="s">
        <v>11194</v>
      </c>
      <c r="D2915" s="10" t="s">
        <v>11195</v>
      </c>
      <c r="E2915" s="11" t="str">
        <f>HYPERLINK("https://twitter.com/kanTulan/status/703227108915605504","703227108915605504")</f>
        <v>703227108915605504</v>
      </c>
      <c r="F2915" s="12" t="s">
        <v>20</v>
      </c>
      <c r="G2915" s="13">
        <v>1618.0</v>
      </c>
      <c r="H2915" s="13">
        <v>303.0</v>
      </c>
      <c r="I2915" s="13">
        <v>0.0</v>
      </c>
      <c r="J2915" s="13">
        <v>0.0</v>
      </c>
      <c r="K2915" s="12" t="s">
        <v>21</v>
      </c>
      <c r="L2915" s="7">
        <v>40341.496516203704</v>
      </c>
      <c r="M2915" s="14" t="s">
        <v>11196</v>
      </c>
      <c r="N2915" s="14" t="s">
        <v>11197</v>
      </c>
      <c r="O2915" s="11" t="str">
        <f>HYPERLINK("https://pbs.twimg.com/profile_images/685831005043855360/j6Kz0jei_normal.jpg","View")</f>
        <v>View</v>
      </c>
      <c r="P2915" s="15"/>
    </row>
    <row r="2916">
      <c r="A2916" s="7">
        <v>42426.275451388894</v>
      </c>
      <c r="B2916" s="8" t="str">
        <f>HYPERLINK("https://twitter.com/fjalolop000","@fjalolop000")</f>
        <v>@fjalolop000</v>
      </c>
      <c r="C2916" s="10" t="s">
        <v>6576</v>
      </c>
      <c r="D2916" s="10" t="s">
        <v>10695</v>
      </c>
      <c r="E2916" s="11" t="str">
        <f>HYPERLINK("https://twitter.com/fjalolop000/status/703227177245003776","703227177245003776")</f>
        <v>703227177245003776</v>
      </c>
      <c r="F2916" s="12" t="s">
        <v>152</v>
      </c>
      <c r="G2916" s="13">
        <v>16.0</v>
      </c>
      <c r="H2916" s="13">
        <v>54.0</v>
      </c>
      <c r="I2916" s="13">
        <v>21.0</v>
      </c>
      <c r="J2916" s="13">
        <v>0.0</v>
      </c>
      <c r="K2916" s="12" t="s">
        <v>21</v>
      </c>
      <c r="L2916" s="7">
        <v>41617.3140625</v>
      </c>
      <c r="M2916" s="16"/>
      <c r="N2916" s="16"/>
      <c r="O2916" s="11" t="str">
        <f>HYPERLINK("https://pbs.twimg.com/profile_images/576799609873428480/V8akQ-mi_normal.jpeg","View")</f>
        <v>View</v>
      </c>
      <c r="P2916" s="15"/>
    </row>
    <row r="2917">
      <c r="A2917" s="7">
        <v>42426.27731481481</v>
      </c>
      <c r="B2917" s="8" t="str">
        <f>HYPERLINK("https://twitter.com/ekinodermata","@ekinodermata")</f>
        <v>@ekinodermata</v>
      </c>
      <c r="C2917" s="10" t="s">
        <v>11198</v>
      </c>
      <c r="D2917" s="10" t="s">
        <v>10876</v>
      </c>
      <c r="E2917" s="11" t="str">
        <f>HYPERLINK("https://twitter.com/ekinodermata/status/703227856264962048","703227856264962048")</f>
        <v>703227856264962048</v>
      </c>
      <c r="F2917" s="12" t="s">
        <v>152</v>
      </c>
      <c r="G2917" s="13">
        <v>274.0</v>
      </c>
      <c r="H2917" s="13">
        <v>301.0</v>
      </c>
      <c r="I2917" s="13">
        <v>24.0</v>
      </c>
      <c r="J2917" s="13">
        <v>0.0</v>
      </c>
      <c r="K2917" s="12" t="s">
        <v>21</v>
      </c>
      <c r="L2917" s="7">
        <v>40694.440046296295</v>
      </c>
      <c r="M2917" s="14" t="s">
        <v>11199</v>
      </c>
      <c r="N2917" s="14" t="s">
        <v>11200</v>
      </c>
      <c r="O2917" s="11" t="str">
        <f>HYPERLINK("https://pbs.twimg.com/profile_images/664006351887069184/Ik2QJ3-4_normal.jpg","View")</f>
        <v>View</v>
      </c>
      <c r="P2917" s="15"/>
    </row>
    <row r="2918">
      <c r="A2918" s="7">
        <v>42426.279085648144</v>
      </c>
      <c r="B2918" s="8" t="str">
        <f>HYPERLINK("https://twitter.com/Hoog10HK","@Hoog10HK")</f>
        <v>@Hoog10HK</v>
      </c>
      <c r="C2918" s="10" t="s">
        <v>7300</v>
      </c>
      <c r="D2918" s="10" t="s">
        <v>10526</v>
      </c>
      <c r="E2918" s="11" t="str">
        <f>HYPERLINK("https://twitter.com/Hoog10HK/status/703228497808871424","703228497808871424")</f>
        <v>703228497808871424</v>
      </c>
      <c r="F2918" s="12" t="s">
        <v>52</v>
      </c>
      <c r="G2918" s="13">
        <v>244.0</v>
      </c>
      <c r="H2918" s="13">
        <v>449.0</v>
      </c>
      <c r="I2918" s="13">
        <v>13.0</v>
      </c>
      <c r="J2918" s="13">
        <v>0.0</v>
      </c>
      <c r="K2918" s="12" t="s">
        <v>21</v>
      </c>
      <c r="L2918" s="7">
        <v>41924.79883101852</v>
      </c>
      <c r="M2918" s="14" t="s">
        <v>7301</v>
      </c>
      <c r="N2918" s="14" t="s">
        <v>7302</v>
      </c>
      <c r="O2918" s="11" t="str">
        <f>HYPERLINK("https://pbs.twimg.com/profile_images/554924936985206786/FBkNWZp8_normal.png","View")</f>
        <v>View</v>
      </c>
      <c r="P2918" s="15"/>
    </row>
    <row r="2919">
      <c r="A2919" s="7">
        <v>42426.28085648148</v>
      </c>
      <c r="B2919" s="8" t="str">
        <f>HYPERLINK("https://twitter.com/zerazobz","@zerazobz")</f>
        <v>@zerazobz</v>
      </c>
      <c r="C2919" s="10" t="s">
        <v>11201</v>
      </c>
      <c r="D2919" s="10" t="s">
        <v>6773</v>
      </c>
      <c r="E2919" s="11" t="str">
        <f>HYPERLINK("https://twitter.com/zerazobz/status/703229139763994624","703229139763994624")</f>
        <v>703229139763994624</v>
      </c>
      <c r="F2919" s="12" t="s">
        <v>20</v>
      </c>
      <c r="G2919" s="13">
        <v>175.0</v>
      </c>
      <c r="H2919" s="13">
        <v>621.0</v>
      </c>
      <c r="I2919" s="13">
        <v>61.0</v>
      </c>
      <c r="J2919" s="13">
        <v>0.0</v>
      </c>
      <c r="K2919" s="12" t="s">
        <v>21</v>
      </c>
      <c r="L2919" s="7">
        <v>40138.53443287037</v>
      </c>
      <c r="M2919" s="14" t="s">
        <v>11202</v>
      </c>
      <c r="N2919" s="14" t="s">
        <v>11203</v>
      </c>
      <c r="O2919" s="11" t="str">
        <f>HYPERLINK("https://pbs.twimg.com/profile_images/532927951407296512/HYhSzJ3U_normal.jpeg","View")</f>
        <v>View</v>
      </c>
      <c r="P2919" s="15"/>
    </row>
    <row r="2920">
      <c r="A2920" s="7">
        <v>42426.28150462963</v>
      </c>
      <c r="B2920" s="8" t="str">
        <f>HYPERLINK("https://twitter.com/DougW09","@DougW09")</f>
        <v>@DougW09</v>
      </c>
      <c r="C2920" s="10" t="s">
        <v>10605</v>
      </c>
      <c r="D2920" s="10" t="s">
        <v>10695</v>
      </c>
      <c r="E2920" s="11" t="str">
        <f>HYPERLINK("https://twitter.com/DougW09/status/703229374640721920","703229374640721920")</f>
        <v>703229374640721920</v>
      </c>
      <c r="F2920" s="12" t="s">
        <v>20</v>
      </c>
      <c r="G2920" s="13">
        <v>86.0</v>
      </c>
      <c r="H2920" s="13">
        <v>31.0</v>
      </c>
      <c r="I2920" s="13">
        <v>21.0</v>
      </c>
      <c r="J2920" s="13">
        <v>0.0</v>
      </c>
      <c r="K2920" s="12" t="s">
        <v>21</v>
      </c>
      <c r="L2920" s="7">
        <v>39930.83862268519</v>
      </c>
      <c r="M2920" s="14" t="s">
        <v>10606</v>
      </c>
      <c r="N2920" s="14" t="s">
        <v>10607</v>
      </c>
      <c r="O2920" s="11" t="str">
        <f>HYPERLINK("https://pbs.twimg.com/profile_images/195479194/IM000197_normal.jpg","View")</f>
        <v>View</v>
      </c>
      <c r="P2920" s="15"/>
    </row>
    <row r="2921">
      <c r="A2921" s="7">
        <v>42426.28493055556</v>
      </c>
      <c r="B2921" s="8" t="str">
        <f>HYPERLINK("https://twitter.com/logosity","@logosity")</f>
        <v>@logosity</v>
      </c>
      <c r="C2921" s="10" t="s">
        <v>11204</v>
      </c>
      <c r="D2921" s="10" t="s">
        <v>6773</v>
      </c>
      <c r="E2921" s="11" t="str">
        <f>HYPERLINK("https://twitter.com/logosity/status/703230616163246081","703230616163246081")</f>
        <v>703230616163246081</v>
      </c>
      <c r="F2921" s="12" t="s">
        <v>8691</v>
      </c>
      <c r="G2921" s="13">
        <v>691.0</v>
      </c>
      <c r="H2921" s="13">
        <v>360.0</v>
      </c>
      <c r="I2921" s="13">
        <v>61.0</v>
      </c>
      <c r="J2921" s="13">
        <v>0.0</v>
      </c>
      <c r="K2921" s="12" t="s">
        <v>21</v>
      </c>
      <c r="L2921" s="7">
        <v>40074.3780787037</v>
      </c>
      <c r="M2921" s="14" t="s">
        <v>2544</v>
      </c>
      <c r="N2921" s="14" t="s">
        <v>11205</v>
      </c>
      <c r="O2921" s="11" t="str">
        <f>HYPERLINK("https://pbs.twimg.com/profile_images/1329454536/twitter_20110427_normal.jpg","View")</f>
        <v>View</v>
      </c>
      <c r="P2921" s="15"/>
    </row>
    <row r="2922">
      <c r="A2922" s="7">
        <v>42426.28780092593</v>
      </c>
      <c r="B2922" s="8" t="str">
        <f>HYPERLINK("https://twitter.com/Hoog10HK","@Hoog10HK")</f>
        <v>@Hoog10HK</v>
      </c>
      <c r="C2922" s="10" t="s">
        <v>7300</v>
      </c>
      <c r="D2922" s="10" t="s">
        <v>10258</v>
      </c>
      <c r="E2922" s="11" t="str">
        <f>HYPERLINK("https://twitter.com/Hoog10HK/status/703231652621778945","703231652621778945")</f>
        <v>703231652621778945</v>
      </c>
      <c r="F2922" s="12" t="s">
        <v>52</v>
      </c>
      <c r="G2922" s="13">
        <v>244.0</v>
      </c>
      <c r="H2922" s="13">
        <v>449.0</v>
      </c>
      <c r="I2922" s="13">
        <v>4.0</v>
      </c>
      <c r="J2922" s="13">
        <v>0.0</v>
      </c>
      <c r="K2922" s="12" t="s">
        <v>21</v>
      </c>
      <c r="L2922" s="7">
        <v>41924.79883101852</v>
      </c>
      <c r="M2922" s="14" t="s">
        <v>7301</v>
      </c>
      <c r="N2922" s="14" t="s">
        <v>7302</v>
      </c>
      <c r="O2922" s="11" t="str">
        <f>HYPERLINK("https://pbs.twimg.com/profile_images/554924936985206786/FBkNWZp8_normal.png","View")</f>
        <v>View</v>
      </c>
      <c r="P2922" s="15"/>
    </row>
    <row r="2923">
      <c r="A2923" s="7">
        <v>42426.28792824074</v>
      </c>
      <c r="B2923" s="8" t="str">
        <f>HYPERLINK("https://twitter.com/Ardubal","@Ardubal")</f>
        <v>@Ardubal</v>
      </c>
      <c r="C2923" s="10" t="s">
        <v>11206</v>
      </c>
      <c r="D2923" s="10" t="s">
        <v>6773</v>
      </c>
      <c r="E2923" s="11" t="str">
        <f>HYPERLINK("https://twitter.com/Ardubal/status/703231701925937157","703231701925937157")</f>
        <v>703231701925937157</v>
      </c>
      <c r="F2923" s="12" t="s">
        <v>20</v>
      </c>
      <c r="G2923" s="13">
        <v>69.0</v>
      </c>
      <c r="H2923" s="13">
        <v>173.0</v>
      </c>
      <c r="I2923" s="13">
        <v>61.0</v>
      </c>
      <c r="J2923" s="13">
        <v>0.0</v>
      </c>
      <c r="K2923" s="12" t="s">
        <v>21</v>
      </c>
      <c r="L2923" s="7">
        <v>40429.478842592594</v>
      </c>
      <c r="M2923" s="16"/>
      <c r="N2923" s="16"/>
      <c r="O2923" s="11" t="str">
        <f>HYPERLINK("https://pbs.twimg.com/profile_images/1119885825/brain_normal.png","View")</f>
        <v>View</v>
      </c>
      <c r="P2923" s="15"/>
    </row>
    <row r="2924">
      <c r="A2924" s="7">
        <v>42426.29099537037</v>
      </c>
      <c r="B2924" s="8" t="str">
        <f>HYPERLINK("https://twitter.com/TradingTrooper","@TradingTrooper")</f>
        <v>@TradingTrooper</v>
      </c>
      <c r="C2924" s="10" t="s">
        <v>11207</v>
      </c>
      <c r="D2924" s="10" t="s">
        <v>11208</v>
      </c>
      <c r="E2924" s="11" t="str">
        <f>HYPERLINK("https://twitter.com/TradingTrooper/status/703232811508101120","703232811508101120")</f>
        <v>703232811508101120</v>
      </c>
      <c r="F2924" s="12" t="s">
        <v>446</v>
      </c>
      <c r="G2924" s="13">
        <v>1484.0</v>
      </c>
      <c r="H2924" s="13">
        <v>62.0</v>
      </c>
      <c r="I2924" s="13">
        <v>0.0</v>
      </c>
      <c r="J2924" s="13">
        <v>1.0</v>
      </c>
      <c r="K2924" s="12" t="s">
        <v>21</v>
      </c>
      <c r="L2924" s="7">
        <v>40891.485034722224</v>
      </c>
      <c r="M2924" s="16"/>
      <c r="N2924" s="14" t="s">
        <v>11209</v>
      </c>
      <c r="O2924" s="11" t="str">
        <f>HYPERLINK("https://pbs.twimg.com/profile_images/378800000011607901/6e3fde86ba59fe99c0ff178d42ace7b3_normal.jpeg","View")</f>
        <v>View</v>
      </c>
      <c r="P2924" s="15"/>
    </row>
    <row r="2925">
      <c r="A2925" s="7">
        <v>42426.29104166667</v>
      </c>
      <c r="B2925" s="8" t="str">
        <f>HYPERLINK("https://twitter.com/jwaalaAmarnath","@jwaalaAmarnath")</f>
        <v>@jwaalaAmarnath</v>
      </c>
      <c r="C2925" s="10" t="s">
        <v>11210</v>
      </c>
      <c r="D2925" s="10" t="s">
        <v>6319</v>
      </c>
      <c r="E2925" s="11" t="str">
        <f>HYPERLINK("https://twitter.com/jwaalaAmarnath/status/703232830046871552","703232830046871552")</f>
        <v>703232830046871552</v>
      </c>
      <c r="F2925" s="12" t="s">
        <v>152</v>
      </c>
      <c r="G2925" s="13">
        <v>104.0</v>
      </c>
      <c r="H2925" s="13">
        <v>411.0</v>
      </c>
      <c r="I2925" s="13">
        <v>106.0</v>
      </c>
      <c r="J2925" s="13">
        <v>0.0</v>
      </c>
      <c r="K2925" s="12" t="s">
        <v>21</v>
      </c>
      <c r="L2925" s="7">
        <v>40279.110659722224</v>
      </c>
      <c r="M2925" s="14" t="s">
        <v>1054</v>
      </c>
      <c r="N2925" s="14" t="s">
        <v>11211</v>
      </c>
      <c r="O2925" s="11" t="str">
        <f>HYPERLINK("https://abs.twimg.com/sticky/default_profile_images/default_profile_5_normal.png","View")</f>
        <v>View</v>
      </c>
      <c r="P2925" s="15"/>
    </row>
    <row r="2926">
      <c r="A2926" s="7">
        <v>42426.2921875</v>
      </c>
      <c r="B2926" s="8" t="str">
        <f>HYPERLINK("https://twitter.com/catintp","@catintp")</f>
        <v>@catintp</v>
      </c>
      <c r="C2926" s="10" t="s">
        <v>11212</v>
      </c>
      <c r="D2926" s="10" t="s">
        <v>10455</v>
      </c>
      <c r="E2926" s="11" t="str">
        <f>HYPERLINK("https://twitter.com/catintp/status/703233245190598656","703233245190598656")</f>
        <v>703233245190598656</v>
      </c>
      <c r="F2926" s="12" t="s">
        <v>152</v>
      </c>
      <c r="G2926" s="13">
        <v>279.0</v>
      </c>
      <c r="H2926" s="13">
        <v>567.0</v>
      </c>
      <c r="I2926" s="13">
        <v>22.0</v>
      </c>
      <c r="J2926" s="13">
        <v>0.0</v>
      </c>
      <c r="K2926" s="12" t="s">
        <v>21</v>
      </c>
      <c r="L2926" s="7">
        <v>39493.21269675926</v>
      </c>
      <c r="M2926" s="14" t="s">
        <v>11213</v>
      </c>
      <c r="N2926" s="14" t="s">
        <v>11214</v>
      </c>
      <c r="O2926" s="11" t="str">
        <f>HYPERLINK("https://pbs.twimg.com/profile_images/378800000555272020/702afe1aef40f1afe8f4eb8a4174bbcb_normal.jpeg","View")</f>
        <v>View</v>
      </c>
      <c r="P2926" s="15"/>
    </row>
    <row r="2927">
      <c r="A2927" s="7">
        <v>42426.29229166667</v>
      </c>
      <c r="B2927" s="8" t="str">
        <f>HYPERLINK("https://twitter.com/AntoViral","@AntoViral")</f>
        <v>@AntoViral</v>
      </c>
      <c r="C2927" s="10" t="s">
        <v>7805</v>
      </c>
      <c r="D2927" s="10" t="s">
        <v>10872</v>
      </c>
      <c r="E2927" s="11" t="str">
        <f>HYPERLINK("https://twitter.com/AntoViral/status/703233282465521664","703233282465521664")</f>
        <v>703233282465521664</v>
      </c>
      <c r="F2927" s="12" t="s">
        <v>152</v>
      </c>
      <c r="G2927" s="13">
        <v>220.0</v>
      </c>
      <c r="H2927" s="13">
        <v>295.0</v>
      </c>
      <c r="I2927" s="13">
        <v>6.0</v>
      </c>
      <c r="J2927" s="13">
        <v>0.0</v>
      </c>
      <c r="K2927" s="12" t="s">
        <v>21</v>
      </c>
      <c r="L2927" s="7">
        <v>41604.57907407408</v>
      </c>
      <c r="M2927" s="16"/>
      <c r="N2927" s="14" t="s">
        <v>7806</v>
      </c>
      <c r="O2927" s="11" t="str">
        <f>HYPERLINK("https://pbs.twimg.com/profile_images/378800000794889152/545ea4ed01fbb17969822e1ee9b0f3fa_normal.jpeg","View")</f>
        <v>View</v>
      </c>
      <c r="P2927" s="15"/>
    </row>
    <row r="2928">
      <c r="A2928" s="7">
        <v>42426.29366898148</v>
      </c>
      <c r="B2928" s="8" t="str">
        <f>HYPERLINK("https://twitter.com/sharon000","@sharon000")</f>
        <v>@sharon000</v>
      </c>
      <c r="C2928" s="10" t="s">
        <v>9245</v>
      </c>
      <c r="D2928" s="10" t="s">
        <v>11215</v>
      </c>
      <c r="E2928" s="11" t="str">
        <f>HYPERLINK("https://twitter.com/sharon000/status/703233779872227328","703233779872227328")</f>
        <v>703233779872227328</v>
      </c>
      <c r="F2928" s="12" t="s">
        <v>446</v>
      </c>
      <c r="G2928" s="13">
        <v>4083.0</v>
      </c>
      <c r="H2928" s="13">
        <v>655.0</v>
      </c>
      <c r="I2928" s="13">
        <v>25.0</v>
      </c>
      <c r="J2928" s="13">
        <v>52.0</v>
      </c>
      <c r="K2928" s="12" t="s">
        <v>21</v>
      </c>
      <c r="L2928" s="7">
        <v>39422.53226851852</v>
      </c>
      <c r="M2928" s="16"/>
      <c r="N2928" s="14" t="s">
        <v>9247</v>
      </c>
      <c r="O2928" s="11" t="str">
        <f>HYPERLINK("https://pbs.twimg.com/profile_images/1174545663/SharonMachlis_sm2_normal.jpg","View")</f>
        <v>View</v>
      </c>
      <c r="P2928" s="15"/>
    </row>
    <row r="2929">
      <c r="A2929" s="7">
        <v>42426.295381944445</v>
      </c>
      <c r="B2929" s="8" t="str">
        <f>HYPERLINK("https://twitter.com/Rbloggers","@Rbloggers")</f>
        <v>@Rbloggers</v>
      </c>
      <c r="C2929" s="10" t="s">
        <v>6221</v>
      </c>
      <c r="D2929" s="10" t="s">
        <v>11216</v>
      </c>
      <c r="E2929" s="11" t="str">
        <f>HYPERLINK("https://twitter.com/Rbloggers/status/703234401111379968","703234401111379968")</f>
        <v>703234401111379968</v>
      </c>
      <c r="F2929" s="17" t="s">
        <v>6223</v>
      </c>
      <c r="G2929" s="13">
        <v>28572.0</v>
      </c>
      <c r="H2929" s="13">
        <v>36.0</v>
      </c>
      <c r="I2929" s="13">
        <v>9.0</v>
      </c>
      <c r="J2929" s="13">
        <v>8.0</v>
      </c>
      <c r="K2929" s="12" t="s">
        <v>21</v>
      </c>
      <c r="L2929" s="7">
        <v>40314.510601851856</v>
      </c>
      <c r="M2929" s="16"/>
      <c r="N2929" s="14" t="s">
        <v>6224</v>
      </c>
      <c r="O2929" s="11" t="str">
        <f>HYPERLINK("https://pbs.twimg.com/profile_images/502185985786916864/gkdFh-q7_normal.png","View")</f>
        <v>View</v>
      </c>
      <c r="P2929" s="15"/>
    </row>
    <row r="2930">
      <c r="A2930" s="7">
        <v>42426.29586805556</v>
      </c>
      <c r="B2930" s="8" t="str">
        <f>HYPERLINK("https://twitter.com/SunitJain","@SunitJain")</f>
        <v>@SunitJain</v>
      </c>
      <c r="C2930" s="10" t="s">
        <v>7305</v>
      </c>
      <c r="D2930" s="10" t="s">
        <v>11217</v>
      </c>
      <c r="E2930" s="11" t="str">
        <f>HYPERLINK("https://twitter.com/SunitJain/status/703234579444998144","703234579444998144")</f>
        <v>703234579444998144</v>
      </c>
      <c r="F2930" s="12" t="s">
        <v>7306</v>
      </c>
      <c r="G2930" s="13">
        <v>284.0</v>
      </c>
      <c r="H2930" s="13">
        <v>345.0</v>
      </c>
      <c r="I2930" s="13">
        <v>25.0</v>
      </c>
      <c r="J2930" s="13">
        <v>0.0</v>
      </c>
      <c r="K2930" s="12" t="s">
        <v>21</v>
      </c>
      <c r="L2930" s="7">
        <v>39743.199479166666</v>
      </c>
      <c r="M2930" s="14" t="s">
        <v>69</v>
      </c>
      <c r="N2930" s="14" t="s">
        <v>7307</v>
      </c>
      <c r="O2930" s="11" t="str">
        <f>HYPERLINK("https://pbs.twimg.com/profile_images/699125339264569344/xOJ82wQq_normal.jpg","View")</f>
        <v>View</v>
      </c>
      <c r="P2930" s="15"/>
    </row>
    <row r="2931">
      <c r="A2931" s="7">
        <v>42426.296423611115</v>
      </c>
      <c r="B2931" s="8" t="str">
        <f>HYPERLINK("https://twitter.com/eFe_Gil","@eFe_Gil")</f>
        <v>@eFe_Gil</v>
      </c>
      <c r="C2931" s="10" t="s">
        <v>7601</v>
      </c>
      <c r="D2931" s="10" t="s">
        <v>10990</v>
      </c>
      <c r="E2931" s="11" t="str">
        <f>HYPERLINK("https://twitter.com/eFe_Gil/status/703234777328050177","703234777328050177")</f>
        <v>703234777328050177</v>
      </c>
      <c r="F2931" s="12" t="s">
        <v>20</v>
      </c>
      <c r="G2931" s="13">
        <v>43.0</v>
      </c>
      <c r="H2931" s="13">
        <v>64.0</v>
      </c>
      <c r="I2931" s="13">
        <v>12.0</v>
      </c>
      <c r="J2931" s="13">
        <v>0.0</v>
      </c>
      <c r="K2931" s="12" t="s">
        <v>21</v>
      </c>
      <c r="L2931" s="7">
        <v>41283.50839120371</v>
      </c>
      <c r="M2931" s="16"/>
      <c r="N2931" s="14" t="s">
        <v>7602</v>
      </c>
      <c r="O2931" s="11" t="str">
        <f>HYPERLINK("https://pbs.twimg.com/profile_images/674700358166388736/pWBofWfu_normal.jpg","View")</f>
        <v>View</v>
      </c>
      <c r="P2931" s="15"/>
    </row>
    <row r="2932">
      <c r="A2932" s="7">
        <v>42426.29645833334</v>
      </c>
      <c r="B2932" s="8" t="str">
        <f>HYPERLINK("https://twitter.com/joeharris76","@joeharris76")</f>
        <v>@joeharris76</v>
      </c>
      <c r="C2932" s="10" t="s">
        <v>11218</v>
      </c>
      <c r="D2932" s="10" t="s">
        <v>6773</v>
      </c>
      <c r="E2932" s="11" t="str">
        <f>HYPERLINK("https://twitter.com/joeharris76/status/703234790179397633","703234790179397633")</f>
        <v>703234790179397633</v>
      </c>
      <c r="F2932" s="12" t="s">
        <v>240</v>
      </c>
      <c r="G2932" s="13">
        <v>1417.0</v>
      </c>
      <c r="H2932" s="13">
        <v>932.0</v>
      </c>
      <c r="I2932" s="13">
        <v>61.0</v>
      </c>
      <c r="J2932" s="13">
        <v>0.0</v>
      </c>
      <c r="K2932" s="12" t="s">
        <v>21</v>
      </c>
      <c r="L2932" s="7">
        <v>39819.348125000004</v>
      </c>
      <c r="M2932" s="14" t="s">
        <v>11219</v>
      </c>
      <c r="N2932" s="14" t="s">
        <v>11220</v>
      </c>
      <c r="O2932" s="11" t="str">
        <f>HYPERLINK("https://pbs.twimg.com/profile_images/692392377760243713/jrU17yZ9_normal.jpg","View")</f>
        <v>View</v>
      </c>
      <c r="P2932" s="15"/>
    </row>
    <row r="2933">
      <c r="A2933" s="7">
        <v>42426.297118055554</v>
      </c>
      <c r="B2933" s="8" t="str">
        <f>HYPERLINK("https://twitter.com/canerturkmen","@canerturkmen")</f>
        <v>@canerturkmen</v>
      </c>
      <c r="C2933" s="10" t="s">
        <v>11221</v>
      </c>
      <c r="D2933" s="10" t="s">
        <v>6773</v>
      </c>
      <c r="E2933" s="11" t="str">
        <f>HYPERLINK("https://twitter.com/canerturkmen/status/703235032530489344","703235032530489344")</f>
        <v>703235032530489344</v>
      </c>
      <c r="F2933" s="12" t="s">
        <v>52</v>
      </c>
      <c r="G2933" s="13">
        <v>309.0</v>
      </c>
      <c r="H2933" s="13">
        <v>107.0</v>
      </c>
      <c r="I2933" s="13">
        <v>61.0</v>
      </c>
      <c r="J2933" s="13">
        <v>0.0</v>
      </c>
      <c r="K2933" s="12" t="s">
        <v>21</v>
      </c>
      <c r="L2933" s="7">
        <v>39854.11496527778</v>
      </c>
      <c r="M2933" s="14" t="s">
        <v>3023</v>
      </c>
      <c r="N2933" s="14" t="s">
        <v>11222</v>
      </c>
      <c r="O2933" s="11" t="str">
        <f>HYPERLINK("https://pbs.twimg.com/profile_images/857813342/twitter_av_normal.jpg","View")</f>
        <v>View</v>
      </c>
      <c r="P2933" s="15"/>
    </row>
    <row r="2934">
      <c r="A2934" s="7">
        <v>42426.29715277778</v>
      </c>
      <c r="B2934" s="8" t="str">
        <f>HYPERLINK("https://twitter.com/hadleywickham","@hadleywickham")</f>
        <v>@hadleywickham</v>
      </c>
      <c r="C2934" s="10" t="s">
        <v>6659</v>
      </c>
      <c r="D2934" s="10" t="s">
        <v>11217</v>
      </c>
      <c r="E2934" s="11" t="str">
        <f>HYPERLINK("https://twitter.com/hadleywickham/status/703235044383420419","703235044383420419")</f>
        <v>703235044383420419</v>
      </c>
      <c r="F2934" s="12" t="s">
        <v>1082</v>
      </c>
      <c r="G2934" s="13">
        <v>24816.0</v>
      </c>
      <c r="H2934" s="13">
        <v>244.0</v>
      </c>
      <c r="I2934" s="13">
        <v>25.0</v>
      </c>
      <c r="J2934" s="13">
        <v>0.0</v>
      </c>
      <c r="K2934" s="12" t="s">
        <v>21</v>
      </c>
      <c r="L2934" s="7">
        <v>40051.69081018519</v>
      </c>
      <c r="M2934" s="14" t="s">
        <v>719</v>
      </c>
      <c r="N2934" s="14" t="s">
        <v>6661</v>
      </c>
      <c r="O2934" s="11" t="str">
        <f>HYPERLINK("https://pbs.twimg.com/profile_images/677589103710306304/m56O6Wgf_normal.jpg","View")</f>
        <v>View</v>
      </c>
      <c r="P2934" s="15"/>
    </row>
    <row r="2935">
      <c r="A2935" s="7">
        <v>42426.298171296294</v>
      </c>
      <c r="B2935" s="8" t="str">
        <f>HYPERLINK("https://twitter.com/bertvar","@bertvar")</f>
        <v>@bertvar</v>
      </c>
      <c r="C2935" s="10" t="s">
        <v>11223</v>
      </c>
      <c r="D2935" s="10" t="s">
        <v>11217</v>
      </c>
      <c r="E2935" s="11" t="str">
        <f>HYPERLINK("https://twitter.com/bertvar/status/703235413452972032","703235413452972032")</f>
        <v>703235413452972032</v>
      </c>
      <c r="F2935" s="12" t="s">
        <v>52</v>
      </c>
      <c r="G2935" s="13">
        <v>89.0</v>
      </c>
      <c r="H2935" s="13">
        <v>360.0</v>
      </c>
      <c r="I2935" s="13">
        <v>25.0</v>
      </c>
      <c r="J2935" s="13">
        <v>0.0</v>
      </c>
      <c r="K2935" s="12" t="s">
        <v>21</v>
      </c>
      <c r="L2935" s="7">
        <v>42136.02453703704</v>
      </c>
      <c r="M2935" s="14" t="s">
        <v>11224</v>
      </c>
      <c r="N2935" s="14" t="s">
        <v>11225</v>
      </c>
      <c r="O2935" s="11" t="str">
        <f>HYPERLINK("https://abs.twimg.com/sticky/default_profile_images/default_profile_6_normal.png","View")</f>
        <v>View</v>
      </c>
      <c r="P2935" s="15"/>
    </row>
    <row r="2936">
      <c r="A2936" s="7">
        <v>42426.29834490741</v>
      </c>
      <c r="B2936" s="8" t="str">
        <f>HYPERLINK("https://twitter.com/gpavolini","@gpavolini")</f>
        <v>@gpavolini</v>
      </c>
      <c r="C2936" s="10" t="s">
        <v>11226</v>
      </c>
      <c r="D2936" s="10" t="s">
        <v>10727</v>
      </c>
      <c r="E2936" s="11" t="str">
        <f>HYPERLINK("https://twitter.com/gpavolini/status/703235475755167744","703235475755167744")</f>
        <v>703235475755167744</v>
      </c>
      <c r="F2936" s="12" t="s">
        <v>152</v>
      </c>
      <c r="G2936" s="13">
        <v>200.0</v>
      </c>
      <c r="H2936" s="13">
        <v>308.0</v>
      </c>
      <c r="I2936" s="13">
        <v>3.0</v>
      </c>
      <c r="J2936" s="13">
        <v>0.0</v>
      </c>
      <c r="K2936" s="12" t="s">
        <v>21</v>
      </c>
      <c r="L2936" s="7">
        <v>40711.647986111115</v>
      </c>
      <c r="M2936" s="14" t="s">
        <v>969</v>
      </c>
      <c r="N2936" s="14" t="s">
        <v>11227</v>
      </c>
      <c r="O2936" s="11" t="str">
        <f>HYPERLINK("https://pbs.twimg.com/profile_images/567031757854502913/N0cjg-M-_normal.jpeg","View")</f>
        <v>View</v>
      </c>
      <c r="P2936" s="15"/>
    </row>
    <row r="2937">
      <c r="A2937" s="7">
        <v>42426.29837962963</v>
      </c>
      <c r="B2937" s="8" t="str">
        <f>HYPERLINK("https://twitter.com/Luca_Parlamento","@Luca_Parlamento")</f>
        <v>@Luca_Parlamento</v>
      </c>
      <c r="C2937" s="10" t="s">
        <v>9232</v>
      </c>
      <c r="D2937" s="10" t="s">
        <v>11217</v>
      </c>
      <c r="E2937" s="11" t="str">
        <f>HYPERLINK("https://twitter.com/Luca_Parlamento/status/703235489885659137","703235489885659137")</f>
        <v>703235489885659137</v>
      </c>
      <c r="F2937" s="12" t="s">
        <v>52</v>
      </c>
      <c r="G2937" s="13">
        <v>218.0</v>
      </c>
      <c r="H2937" s="13">
        <v>1057.0</v>
      </c>
      <c r="I2937" s="13">
        <v>25.0</v>
      </c>
      <c r="J2937" s="13">
        <v>0.0</v>
      </c>
      <c r="K2937" s="12" t="s">
        <v>21</v>
      </c>
      <c r="L2937" s="7">
        <v>41368.83186342593</v>
      </c>
      <c r="M2937" s="14" t="s">
        <v>3802</v>
      </c>
      <c r="N2937" s="14" t="s">
        <v>9233</v>
      </c>
      <c r="O2937" s="11" t="str">
        <f>HYPERLINK("https://pbs.twimg.com/profile_images/695620608231497728/wCFZOMYh_normal.jpg","View")</f>
        <v>View</v>
      </c>
      <c r="P2937" s="15"/>
    </row>
    <row r="2938">
      <c r="A2938" s="7">
        <v>42426.29875</v>
      </c>
      <c r="B2938" s="8" t="str">
        <f>HYPERLINK("https://twitter.com/JohanDH2O","@JohanDH2O")</f>
        <v>@JohanDH2O</v>
      </c>
      <c r="C2938" s="10" t="s">
        <v>11228</v>
      </c>
      <c r="D2938" s="10" t="s">
        <v>10221</v>
      </c>
      <c r="E2938" s="11" t="str">
        <f>HYPERLINK("https://twitter.com/JohanDH2O/status/703235621926600704","703235621926600704")</f>
        <v>703235621926600704</v>
      </c>
      <c r="F2938" s="12" t="s">
        <v>52</v>
      </c>
      <c r="G2938" s="13">
        <v>292.0</v>
      </c>
      <c r="H2938" s="13">
        <v>1557.0</v>
      </c>
      <c r="I2938" s="13">
        <v>7.0</v>
      </c>
      <c r="J2938" s="13">
        <v>0.0</v>
      </c>
      <c r="K2938" s="12" t="s">
        <v>21</v>
      </c>
      <c r="L2938" s="7">
        <v>40639.487488425926</v>
      </c>
      <c r="M2938" s="14" t="s">
        <v>11229</v>
      </c>
      <c r="N2938" s="14" t="s">
        <v>11230</v>
      </c>
      <c r="O2938" s="11" t="str">
        <f>HYPERLINK("https://pbs.twimg.com/profile_images/702192820015202306/FO7LL3hU_normal.jpg","View")</f>
        <v>View</v>
      </c>
      <c r="P2938" s="15"/>
    </row>
    <row r="2939">
      <c r="A2939" s="7">
        <v>42426.29917824074</v>
      </c>
      <c r="B2939" s="8" t="str">
        <f>HYPERLINK("https://twitter.com/renato_umeton","@renato_umeton")</f>
        <v>@renato_umeton</v>
      </c>
      <c r="C2939" s="10" t="s">
        <v>1659</v>
      </c>
      <c r="D2939" s="10" t="s">
        <v>11231</v>
      </c>
      <c r="E2939" s="11" t="str">
        <f>HYPERLINK("https://twitter.com/renato_umeton/status/703235778420281344","703235778420281344")</f>
        <v>703235778420281344</v>
      </c>
      <c r="F2939" s="12" t="s">
        <v>38</v>
      </c>
      <c r="G2939" s="13">
        <v>70.0</v>
      </c>
      <c r="H2939" s="13">
        <v>79.0</v>
      </c>
      <c r="I2939" s="13">
        <v>9.0</v>
      </c>
      <c r="J2939" s="13">
        <v>0.0</v>
      </c>
      <c r="K2939" s="12" t="s">
        <v>21</v>
      </c>
      <c r="L2939" s="7">
        <v>39918.052083333336</v>
      </c>
      <c r="M2939" s="14" t="s">
        <v>1660</v>
      </c>
      <c r="N2939" s="14" t="s">
        <v>1661</v>
      </c>
      <c r="O2939" s="11" t="str">
        <f>HYPERLINK("https://pbs.twimg.com/profile_images/701553083537604608/nr8b38eG_normal.jpg","View")</f>
        <v>View</v>
      </c>
      <c r="P2939" s="15"/>
    </row>
    <row r="2940">
      <c r="A2940" s="7">
        <v>42426.29939814815</v>
      </c>
      <c r="B2940" s="8" t="str">
        <f>HYPERLINK("https://twitter.com/ContinuumIO","@ContinuumIO")</f>
        <v>@ContinuumIO</v>
      </c>
      <c r="C2940" s="10" t="s">
        <v>2020</v>
      </c>
      <c r="D2940" s="10" t="s">
        <v>10461</v>
      </c>
      <c r="E2940" s="11" t="str">
        <f>HYPERLINK("https://twitter.com/ContinuumIO/status/703235855775739904","703235855775739904")</f>
        <v>703235855775739904</v>
      </c>
      <c r="F2940" s="12" t="s">
        <v>20</v>
      </c>
      <c r="G2940" s="13">
        <v>9548.0</v>
      </c>
      <c r="H2940" s="13">
        <v>1427.0</v>
      </c>
      <c r="I2940" s="13">
        <v>6.0</v>
      </c>
      <c r="J2940" s="13">
        <v>0.0</v>
      </c>
      <c r="K2940" s="12" t="s">
        <v>21</v>
      </c>
      <c r="L2940" s="7">
        <v>40841.34633101852</v>
      </c>
      <c r="M2940" s="14" t="s">
        <v>2022</v>
      </c>
      <c r="N2940" s="14" t="s">
        <v>2023</v>
      </c>
      <c r="O2940" s="11" t="str">
        <f>HYPERLINK("https://pbs.twimg.com/profile_images/624030560457850880/17LrFnZt_normal.png","View")</f>
        <v>View</v>
      </c>
      <c r="P2940" s="15"/>
    </row>
    <row r="2941">
      <c r="A2941" s="7">
        <v>42426.300046296295</v>
      </c>
      <c r="B2941" s="8" t="str">
        <f>HYPERLINK("https://twitter.com/ayirpelle","@ayirpelle")</f>
        <v>@ayirpelle</v>
      </c>
      <c r="C2941" s="10" t="s">
        <v>5607</v>
      </c>
      <c r="D2941" s="10" t="s">
        <v>6740</v>
      </c>
      <c r="E2941" s="11" t="str">
        <f>HYPERLINK("https://twitter.com/ayirpelle/status/703236090665111552","703236090665111552")</f>
        <v>703236090665111552</v>
      </c>
      <c r="F2941" s="12" t="s">
        <v>52</v>
      </c>
      <c r="G2941" s="13">
        <v>1327.0</v>
      </c>
      <c r="H2941" s="13">
        <v>2069.0</v>
      </c>
      <c r="I2941" s="13">
        <v>8.0</v>
      </c>
      <c r="J2941" s="13">
        <v>0.0</v>
      </c>
      <c r="K2941" s="12" t="s">
        <v>21</v>
      </c>
      <c r="L2941" s="7">
        <v>40959.997881944444</v>
      </c>
      <c r="M2941" s="14" t="s">
        <v>3391</v>
      </c>
      <c r="N2941" s="14" t="s">
        <v>5608</v>
      </c>
      <c r="O2941" s="11" t="str">
        <f>HYPERLINK("https://pbs.twimg.com/profile_images/412126192150401024/BGjaQNXk_normal.jpeg","View")</f>
        <v>View</v>
      </c>
      <c r="P2941" s="15"/>
    </row>
    <row r="2942">
      <c r="A2942" s="7">
        <v>42426.300891203704</v>
      </c>
      <c r="B2942" s="8" t="str">
        <f>HYPERLINK("https://twitter.com/gpavolini","@gpavolini")</f>
        <v>@gpavolini</v>
      </c>
      <c r="C2942" s="10" t="s">
        <v>11226</v>
      </c>
      <c r="D2942" s="10" t="s">
        <v>11217</v>
      </c>
      <c r="E2942" s="11" t="str">
        <f>HYPERLINK("https://twitter.com/gpavolini/status/703236396539125760","703236396539125760")</f>
        <v>703236396539125760</v>
      </c>
      <c r="F2942" s="12" t="s">
        <v>152</v>
      </c>
      <c r="G2942" s="13">
        <v>200.0</v>
      </c>
      <c r="H2942" s="13">
        <v>308.0</v>
      </c>
      <c r="I2942" s="13">
        <v>25.0</v>
      </c>
      <c r="J2942" s="13">
        <v>0.0</v>
      </c>
      <c r="K2942" s="12" t="s">
        <v>21</v>
      </c>
      <c r="L2942" s="7">
        <v>40711.647986111115</v>
      </c>
      <c r="M2942" s="14" t="s">
        <v>969</v>
      </c>
      <c r="N2942" s="14" t="s">
        <v>11227</v>
      </c>
      <c r="O2942" s="11" t="str">
        <f>HYPERLINK("https://pbs.twimg.com/profile_images/567031757854502913/N0cjg-M-_normal.jpeg","View")</f>
        <v>View</v>
      </c>
      <c r="P2942" s="15"/>
    </row>
    <row r="2943">
      <c r="A2943" s="7">
        <v>42426.300891203704</v>
      </c>
      <c r="B2943" s="8" t="str">
        <f>HYPERLINK("https://twitter.com/JohanDH2O","@JohanDH2O")</f>
        <v>@JohanDH2O</v>
      </c>
      <c r="C2943" s="10" t="s">
        <v>11228</v>
      </c>
      <c r="D2943" s="10" t="s">
        <v>10426</v>
      </c>
      <c r="E2943" s="11" t="str">
        <f>HYPERLINK("https://twitter.com/JohanDH2O/status/703236397570904064","703236397570904064")</f>
        <v>703236397570904064</v>
      </c>
      <c r="F2943" s="12" t="s">
        <v>52</v>
      </c>
      <c r="G2943" s="13">
        <v>292.0</v>
      </c>
      <c r="H2943" s="13">
        <v>1557.0</v>
      </c>
      <c r="I2943" s="13">
        <v>15.0</v>
      </c>
      <c r="J2943" s="13">
        <v>0.0</v>
      </c>
      <c r="K2943" s="12" t="s">
        <v>21</v>
      </c>
      <c r="L2943" s="7">
        <v>40639.487488425926</v>
      </c>
      <c r="M2943" s="14" t="s">
        <v>11229</v>
      </c>
      <c r="N2943" s="14" t="s">
        <v>11230</v>
      </c>
      <c r="O2943" s="11" t="str">
        <f>HYPERLINK("https://pbs.twimg.com/profile_images/702192820015202306/FO7LL3hU_normal.jpg","View")</f>
        <v>View</v>
      </c>
      <c r="P2943" s="15"/>
    </row>
    <row r="2944">
      <c r="A2944" s="7">
        <v>42426.300983796296</v>
      </c>
      <c r="B2944" s="8" t="str">
        <f>HYPERLINK("https://twitter.com/winston_chang","@winston_chang")</f>
        <v>@winston_chang</v>
      </c>
      <c r="C2944" s="10" t="s">
        <v>11232</v>
      </c>
      <c r="D2944" s="10" t="s">
        <v>11217</v>
      </c>
      <c r="E2944" s="11" t="str">
        <f>HYPERLINK("https://twitter.com/winston_chang/status/703236431330738176","703236431330738176")</f>
        <v>703236431330738176</v>
      </c>
      <c r="F2944" s="12" t="s">
        <v>20</v>
      </c>
      <c r="G2944" s="13">
        <v>1704.0</v>
      </c>
      <c r="H2944" s="13">
        <v>129.0</v>
      </c>
      <c r="I2944" s="13">
        <v>25.0</v>
      </c>
      <c r="J2944" s="13">
        <v>0.0</v>
      </c>
      <c r="K2944" s="12" t="s">
        <v>21</v>
      </c>
      <c r="L2944" s="7">
        <v>41291.386458333334</v>
      </c>
      <c r="M2944" s="16"/>
      <c r="N2944" s="16"/>
      <c r="O2944" s="11" t="str">
        <f>HYPERLINK("https://pbs.twimg.com/profile_images/452916682550308864/BrzrjV5i_normal.jpeg","View")</f>
        <v>View</v>
      </c>
      <c r="P2944" s="15"/>
    </row>
    <row r="2945">
      <c r="A2945" s="7">
        <v>42426.301400462966</v>
      </c>
      <c r="B2945" s="8" t="str">
        <f t="shared" ref="B2945:B2946" si="315">HYPERLINK("https://twitter.com/JohanDH2O","@JohanDH2O")</f>
        <v>@JohanDH2O</v>
      </c>
      <c r="C2945" s="10" t="s">
        <v>11228</v>
      </c>
      <c r="D2945" s="10" t="s">
        <v>10550</v>
      </c>
      <c r="E2945" s="11" t="str">
        <f>HYPERLINK("https://twitter.com/JohanDH2O/status/703236582631985152","703236582631985152")</f>
        <v>703236582631985152</v>
      </c>
      <c r="F2945" s="12" t="s">
        <v>52</v>
      </c>
      <c r="G2945" s="13">
        <v>292.0</v>
      </c>
      <c r="H2945" s="13">
        <v>1557.0</v>
      </c>
      <c r="I2945" s="13">
        <v>11.0</v>
      </c>
      <c r="J2945" s="13">
        <v>0.0</v>
      </c>
      <c r="K2945" s="12" t="s">
        <v>21</v>
      </c>
      <c r="L2945" s="7">
        <v>40639.487488425926</v>
      </c>
      <c r="M2945" s="14" t="s">
        <v>11229</v>
      </c>
      <c r="N2945" s="14" t="s">
        <v>11230</v>
      </c>
      <c r="O2945" s="11" t="str">
        <f t="shared" ref="O2945:O2946" si="316">HYPERLINK("https://pbs.twimg.com/profile_images/702192820015202306/FO7LL3hU_normal.jpg","View")</f>
        <v>View</v>
      </c>
      <c r="P2945" s="15"/>
    </row>
    <row r="2946">
      <c r="A2946" s="7">
        <v>42426.30149305555</v>
      </c>
      <c r="B2946" s="8" t="str">
        <f t="shared" si="315"/>
        <v>@JohanDH2O</v>
      </c>
      <c r="C2946" s="10" t="s">
        <v>11228</v>
      </c>
      <c r="D2946" s="10" t="s">
        <v>10551</v>
      </c>
      <c r="E2946" s="11" t="str">
        <f>HYPERLINK("https://twitter.com/JohanDH2O/status/703236615892803584","703236615892803584")</f>
        <v>703236615892803584</v>
      </c>
      <c r="F2946" s="12" t="s">
        <v>52</v>
      </c>
      <c r="G2946" s="13">
        <v>292.0</v>
      </c>
      <c r="H2946" s="13">
        <v>1557.0</v>
      </c>
      <c r="I2946" s="13">
        <v>14.0</v>
      </c>
      <c r="J2946" s="13">
        <v>0.0</v>
      </c>
      <c r="K2946" s="12" t="s">
        <v>21</v>
      </c>
      <c r="L2946" s="7">
        <v>40639.487488425926</v>
      </c>
      <c r="M2946" s="14" t="s">
        <v>11229</v>
      </c>
      <c r="N2946" s="14" t="s">
        <v>11230</v>
      </c>
      <c r="O2946" s="11" t="str">
        <f t="shared" si="316"/>
        <v>View</v>
      </c>
      <c r="P2946" s="15"/>
    </row>
    <row r="2947">
      <c r="A2947" s="7">
        <v>42426.30184027778</v>
      </c>
      <c r="B2947" s="8" t="str">
        <f>HYPERLINK("https://twitter.com/ayirpelle","@ayirpelle")</f>
        <v>@ayirpelle</v>
      </c>
      <c r="C2947" s="10" t="s">
        <v>5607</v>
      </c>
      <c r="D2947" s="10" t="s">
        <v>11217</v>
      </c>
      <c r="E2947" s="11" t="str">
        <f>HYPERLINK("https://twitter.com/ayirpelle/status/703236740295725056","703236740295725056")</f>
        <v>703236740295725056</v>
      </c>
      <c r="F2947" s="12" t="s">
        <v>52</v>
      </c>
      <c r="G2947" s="13">
        <v>1327.0</v>
      </c>
      <c r="H2947" s="13">
        <v>2069.0</v>
      </c>
      <c r="I2947" s="13">
        <v>25.0</v>
      </c>
      <c r="J2947" s="13">
        <v>0.0</v>
      </c>
      <c r="K2947" s="12" t="s">
        <v>21</v>
      </c>
      <c r="L2947" s="7">
        <v>40959.997881944444</v>
      </c>
      <c r="M2947" s="14" t="s">
        <v>3391</v>
      </c>
      <c r="N2947" s="14" t="s">
        <v>5608</v>
      </c>
      <c r="O2947" s="11" t="str">
        <f>HYPERLINK("https://pbs.twimg.com/profile_images/412126192150401024/BGjaQNXk_normal.jpeg","View")</f>
        <v>View</v>
      </c>
      <c r="P2947" s="15"/>
    </row>
    <row r="2948">
      <c r="A2948" s="7">
        <v>42426.30202546297</v>
      </c>
      <c r="B2948" s="8" t="str">
        <f>HYPERLINK("https://twitter.com/rmn0001","@rmn0001")</f>
        <v>@rmn0001</v>
      </c>
      <c r="C2948" s="10" t="s">
        <v>11022</v>
      </c>
      <c r="D2948" s="10" t="s">
        <v>11217</v>
      </c>
      <c r="E2948" s="11" t="str">
        <f>HYPERLINK("https://twitter.com/rmn0001/status/703236808595914752","703236808595914752")</f>
        <v>703236808595914752</v>
      </c>
      <c r="F2948" s="12" t="s">
        <v>20</v>
      </c>
      <c r="G2948" s="13">
        <v>126.0</v>
      </c>
      <c r="H2948" s="13">
        <v>450.0</v>
      </c>
      <c r="I2948" s="13">
        <v>25.0</v>
      </c>
      <c r="J2948" s="13">
        <v>0.0</v>
      </c>
      <c r="K2948" s="12" t="s">
        <v>21</v>
      </c>
      <c r="L2948" s="7">
        <v>41529.66694444444</v>
      </c>
      <c r="M2948" s="14" t="s">
        <v>11023</v>
      </c>
      <c r="N2948" s="14" t="s">
        <v>11024</v>
      </c>
      <c r="O2948" s="11" t="str">
        <f>HYPERLINK("https://pbs.twimg.com/profile_images/696065224101728256/rWXmSpUS_normal.jpg","View")</f>
        <v>View</v>
      </c>
      <c r="P2948" s="15"/>
    </row>
    <row r="2949">
      <c r="A2949" s="7">
        <v>42426.30247685185</v>
      </c>
      <c r="B2949" s="8" t="str">
        <f>HYPERLINK("https://twitter.com/DataAndDataViz","@DataAndDataViz")</f>
        <v>@DataAndDataViz</v>
      </c>
      <c r="C2949" s="10" t="s">
        <v>5145</v>
      </c>
      <c r="D2949" s="10" t="s">
        <v>11217</v>
      </c>
      <c r="E2949" s="11" t="str">
        <f>HYPERLINK("https://twitter.com/DataAndDataViz/status/703236971515256833","703236971515256833")</f>
        <v>703236971515256833</v>
      </c>
      <c r="F2949" s="12" t="s">
        <v>5146</v>
      </c>
      <c r="G2949" s="13">
        <v>473.0</v>
      </c>
      <c r="H2949" s="13">
        <v>140.0</v>
      </c>
      <c r="I2949" s="13">
        <v>25.0</v>
      </c>
      <c r="J2949" s="13">
        <v>0.0</v>
      </c>
      <c r="K2949" s="12" t="s">
        <v>21</v>
      </c>
      <c r="L2949" s="7">
        <v>41603.30427083334</v>
      </c>
      <c r="M2949" s="16"/>
      <c r="N2949" s="14" t="s">
        <v>5147</v>
      </c>
      <c r="O2949" s="11" t="str">
        <f>HYPERLINK("https://pbs.twimg.com/profile_images/412249095110008832/J_K4--iQ_normal.png","View")</f>
        <v>View</v>
      </c>
      <c r="P2949" s="15"/>
    </row>
    <row r="2950">
      <c r="A2950" s="7">
        <v>42426.30296296296</v>
      </c>
      <c r="B2950" s="8" t="str">
        <f>HYPERLINK("https://twitter.com/jnricaldi","@jnricaldi")</f>
        <v>@jnricaldi</v>
      </c>
      <c r="C2950" s="10" t="s">
        <v>11233</v>
      </c>
      <c r="D2950" s="10" t="s">
        <v>11217</v>
      </c>
      <c r="E2950" s="11" t="str">
        <f>HYPERLINK("https://twitter.com/jnricaldi/status/703237150565859329","703237150565859329")</f>
        <v>703237150565859329</v>
      </c>
      <c r="F2950" s="12" t="s">
        <v>52</v>
      </c>
      <c r="G2950" s="13">
        <v>179.0</v>
      </c>
      <c r="H2950" s="13">
        <v>458.0</v>
      </c>
      <c r="I2950" s="13">
        <v>25.0</v>
      </c>
      <c r="J2950" s="13">
        <v>0.0</v>
      </c>
      <c r="K2950" s="12" t="s">
        <v>21</v>
      </c>
      <c r="L2950" s="7">
        <v>40596.22603009259</v>
      </c>
      <c r="M2950" s="14" t="s">
        <v>11234</v>
      </c>
      <c r="N2950" s="14" t="s">
        <v>11235</v>
      </c>
      <c r="O2950" s="11" t="str">
        <f>HYPERLINK("https://pbs.twimg.com/profile_images/499604998804623361/SeflMNAI_normal.jpeg","View")</f>
        <v>View</v>
      </c>
      <c r="P2950" s="15"/>
    </row>
    <row r="2951">
      <c r="A2951" s="7">
        <v>42426.303495370375</v>
      </c>
      <c r="B2951" s="8" t="str">
        <f>HYPERLINK("https://twitter.com/skilloak","@skilloak")</f>
        <v>@skilloak</v>
      </c>
      <c r="C2951" s="10" t="s">
        <v>5999</v>
      </c>
      <c r="D2951" s="10" t="s">
        <v>11236</v>
      </c>
      <c r="E2951" s="11" t="str">
        <f>HYPERLINK("https://twitter.com/skilloak/status/703237342656536577","703237342656536577")</f>
        <v>703237342656536577</v>
      </c>
      <c r="F2951" s="12" t="s">
        <v>446</v>
      </c>
      <c r="G2951" s="13">
        <v>2427.0</v>
      </c>
      <c r="H2951" s="13">
        <v>338.0</v>
      </c>
      <c r="I2951" s="13">
        <v>0.0</v>
      </c>
      <c r="J2951" s="13">
        <v>0.0</v>
      </c>
      <c r="K2951" s="12" t="s">
        <v>21</v>
      </c>
      <c r="L2951" s="7">
        <v>41308.39502314815</v>
      </c>
      <c r="M2951" s="16"/>
      <c r="N2951" s="14" t="s">
        <v>6001</v>
      </c>
      <c r="O2951" s="11" t="str">
        <f>HYPERLINK("https://pbs.twimg.com/profile_images/670315479517413376/Kkf5JA8s_normal.png","View")</f>
        <v>View</v>
      </c>
      <c r="P2951" s="15"/>
    </row>
    <row r="2952">
      <c r="A2952" s="7">
        <v>42426.30425925926</v>
      </c>
      <c r="B2952" s="8" t="str">
        <f>HYPERLINK("https://twitter.com/JohanDH2O","@JohanDH2O")</f>
        <v>@JohanDH2O</v>
      </c>
      <c r="C2952" s="10" t="s">
        <v>11228</v>
      </c>
      <c r="D2952" s="10" t="s">
        <v>11231</v>
      </c>
      <c r="E2952" s="11" t="str">
        <f>HYPERLINK("https://twitter.com/JohanDH2O/status/703237617123516418","703237617123516418")</f>
        <v>703237617123516418</v>
      </c>
      <c r="F2952" s="12" t="s">
        <v>52</v>
      </c>
      <c r="G2952" s="13">
        <v>292.0</v>
      </c>
      <c r="H2952" s="13">
        <v>1557.0</v>
      </c>
      <c r="I2952" s="13">
        <v>9.0</v>
      </c>
      <c r="J2952" s="13">
        <v>0.0</v>
      </c>
      <c r="K2952" s="12" t="s">
        <v>21</v>
      </c>
      <c r="L2952" s="7">
        <v>40639.487488425926</v>
      </c>
      <c r="M2952" s="14" t="s">
        <v>11229</v>
      </c>
      <c r="N2952" s="14" t="s">
        <v>11230</v>
      </c>
      <c r="O2952" s="11" t="str">
        <f>HYPERLINK("https://pbs.twimg.com/profile_images/702192820015202306/FO7LL3hU_normal.jpg","View")</f>
        <v>View</v>
      </c>
      <c r="P2952" s="15"/>
    </row>
    <row r="2953">
      <c r="A2953" s="7">
        <v>42426.305138888885</v>
      </c>
      <c r="B2953" s="8" t="str">
        <f>HYPERLINK("https://twitter.com/eFe_Gil","@eFe_Gil")</f>
        <v>@eFe_Gil</v>
      </c>
      <c r="C2953" s="10" t="s">
        <v>7601</v>
      </c>
      <c r="D2953" s="10" t="s">
        <v>11217</v>
      </c>
      <c r="E2953" s="11" t="str">
        <f>HYPERLINK("https://twitter.com/eFe_Gil/status/703237939124371456","703237939124371456")</f>
        <v>703237939124371456</v>
      </c>
      <c r="F2953" s="12" t="s">
        <v>20</v>
      </c>
      <c r="G2953" s="13">
        <v>43.0</v>
      </c>
      <c r="H2953" s="13">
        <v>64.0</v>
      </c>
      <c r="I2953" s="13">
        <v>25.0</v>
      </c>
      <c r="J2953" s="13">
        <v>0.0</v>
      </c>
      <c r="K2953" s="12" t="s">
        <v>21</v>
      </c>
      <c r="L2953" s="7">
        <v>41283.50839120371</v>
      </c>
      <c r="M2953" s="16"/>
      <c r="N2953" s="14" t="s">
        <v>7602</v>
      </c>
      <c r="O2953" s="11" t="str">
        <f>HYPERLINK("https://pbs.twimg.com/profile_images/674700358166388736/pWBofWfu_normal.jpg","View")</f>
        <v>View</v>
      </c>
      <c r="P2953" s="15"/>
    </row>
    <row r="2954">
      <c r="A2954" s="7">
        <v>42426.305243055554</v>
      </c>
      <c r="B2954" s="8" t="str">
        <f>HYPERLINK("https://twitter.com/DominoDataLab","@DominoDataLab")</f>
        <v>@DominoDataLab</v>
      </c>
      <c r="C2954" s="10" t="s">
        <v>9367</v>
      </c>
      <c r="D2954" s="10" t="s">
        <v>10696</v>
      </c>
      <c r="E2954" s="11" t="str">
        <f>HYPERLINK("https://twitter.com/DominoDataLab/status/703237976113811456","703237976113811456")</f>
        <v>703237976113811456</v>
      </c>
      <c r="F2954" s="12" t="s">
        <v>20</v>
      </c>
      <c r="G2954" s="13">
        <v>4951.0</v>
      </c>
      <c r="H2954" s="13">
        <v>1636.0</v>
      </c>
      <c r="I2954" s="13">
        <v>15.0</v>
      </c>
      <c r="J2954" s="13">
        <v>0.0</v>
      </c>
      <c r="K2954" s="12" t="s">
        <v>21</v>
      </c>
      <c r="L2954" s="7">
        <v>41521.31863425926</v>
      </c>
      <c r="M2954" s="14" t="s">
        <v>69</v>
      </c>
      <c r="N2954" s="14" t="s">
        <v>9368</v>
      </c>
      <c r="O2954" s="11" t="str">
        <f>HYPERLINK("https://pbs.twimg.com/profile_images/671154942380400641/ySYpd-P3_normal.jpg","View")</f>
        <v>View</v>
      </c>
      <c r="P2954" s="15"/>
    </row>
    <row r="2955">
      <c r="A2955" s="7">
        <v>42426.30563657408</v>
      </c>
      <c r="B2955" s="8" t="str">
        <f>HYPERLINK("https://twitter.com/AnnaOnTheWeb","@AnnaOnTheWeb")</f>
        <v>@AnnaOnTheWeb</v>
      </c>
      <c r="C2955" s="10" t="s">
        <v>9369</v>
      </c>
      <c r="D2955" s="10" t="s">
        <v>11237</v>
      </c>
      <c r="E2955" s="11" t="str">
        <f>HYPERLINK("https://twitter.com/AnnaOnTheWeb/status/703238117734506496","703238117734506496")</f>
        <v>703238117734506496</v>
      </c>
      <c r="F2955" s="12" t="s">
        <v>20</v>
      </c>
      <c r="G2955" s="13">
        <v>11572.0</v>
      </c>
      <c r="H2955" s="13">
        <v>1698.0</v>
      </c>
      <c r="I2955" s="13">
        <v>1.0</v>
      </c>
      <c r="J2955" s="13">
        <v>1.0</v>
      </c>
      <c r="K2955" s="12" t="s">
        <v>21</v>
      </c>
      <c r="L2955" s="7">
        <v>39772.503437499996</v>
      </c>
      <c r="M2955" s="14" t="s">
        <v>9370</v>
      </c>
      <c r="N2955" s="14" t="s">
        <v>9371</v>
      </c>
      <c r="O2955" s="11" t="str">
        <f>HYPERLINK("https://pbs.twimg.com/profile_images/570287724578344960/siyYKMC7_normal.png","View")</f>
        <v>View</v>
      </c>
      <c r="P2955" s="15"/>
    </row>
    <row r="2956">
      <c r="A2956" s="7">
        <v>42426.30578703704</v>
      </c>
      <c r="B2956" s="8" t="str">
        <f>HYPERLINK("https://twitter.com/Zahedasghar","@Zahedasghar")</f>
        <v>@Zahedasghar</v>
      </c>
      <c r="C2956" s="10" t="s">
        <v>11238</v>
      </c>
      <c r="D2956" s="10" t="s">
        <v>11231</v>
      </c>
      <c r="E2956" s="11" t="str">
        <f>HYPERLINK("https://twitter.com/Zahedasghar/status/703238170918395904","703238170918395904")</f>
        <v>703238170918395904</v>
      </c>
      <c r="F2956" s="12" t="s">
        <v>20</v>
      </c>
      <c r="G2956" s="13">
        <v>175.0</v>
      </c>
      <c r="H2956" s="13">
        <v>115.0</v>
      </c>
      <c r="I2956" s="13">
        <v>9.0</v>
      </c>
      <c r="J2956" s="13">
        <v>0.0</v>
      </c>
      <c r="K2956" s="12" t="s">
        <v>21</v>
      </c>
      <c r="L2956" s="7">
        <v>41187.43987268519</v>
      </c>
      <c r="M2956" s="16"/>
      <c r="N2956" s="14" t="s">
        <v>11239</v>
      </c>
      <c r="O2956" s="11" t="str">
        <f>HYPERLINK("https://pbs.twimg.com/profile_images/507438186746769409/NZnG_h44_normal.jpeg","View")</f>
        <v>View</v>
      </c>
      <c r="P2956" s="15"/>
    </row>
    <row r="2957">
      <c r="A2957" s="7">
        <v>42426.30583333333</v>
      </c>
      <c r="B2957" s="8" t="str">
        <f>HYPERLINK("https://twitter.com/ayirpelle","@ayirpelle")</f>
        <v>@ayirpelle</v>
      </c>
      <c r="C2957" s="10" t="s">
        <v>5607</v>
      </c>
      <c r="D2957" s="10" t="s">
        <v>10696</v>
      </c>
      <c r="E2957" s="11" t="str">
        <f>HYPERLINK("https://twitter.com/ayirpelle/status/703238188882505728","703238188882505728")</f>
        <v>703238188882505728</v>
      </c>
      <c r="F2957" s="12" t="s">
        <v>52</v>
      </c>
      <c r="G2957" s="13">
        <v>1327.0</v>
      </c>
      <c r="H2957" s="13">
        <v>2069.0</v>
      </c>
      <c r="I2957" s="13">
        <v>15.0</v>
      </c>
      <c r="J2957" s="13">
        <v>0.0</v>
      </c>
      <c r="K2957" s="12" t="s">
        <v>21</v>
      </c>
      <c r="L2957" s="7">
        <v>40959.997881944444</v>
      </c>
      <c r="M2957" s="14" t="s">
        <v>3391</v>
      </c>
      <c r="N2957" s="14" t="s">
        <v>5608</v>
      </c>
      <c r="O2957" s="11" t="str">
        <f>HYPERLINK("https://pbs.twimg.com/profile_images/412126192150401024/BGjaQNXk_normal.jpeg","View")</f>
        <v>View</v>
      </c>
      <c r="P2957" s="15"/>
    </row>
    <row r="2958">
      <c r="A2958" s="7">
        <v>42426.30594907407</v>
      </c>
      <c r="B2958" s="8" t="str">
        <f>HYPERLINK("https://twitter.com/Gayathri_raj","@Gayathri_raj")</f>
        <v>@Gayathri_raj</v>
      </c>
      <c r="C2958" s="10" t="s">
        <v>5544</v>
      </c>
      <c r="D2958" s="10" t="s">
        <v>10696</v>
      </c>
      <c r="E2958" s="11" t="str">
        <f>HYPERLINK("https://twitter.com/Gayathri_raj/status/703238231504982016","703238231504982016")</f>
        <v>703238231504982016</v>
      </c>
      <c r="F2958" s="12" t="s">
        <v>52</v>
      </c>
      <c r="G2958" s="13">
        <v>63.0</v>
      </c>
      <c r="H2958" s="13">
        <v>343.0</v>
      </c>
      <c r="I2958" s="13">
        <v>15.0</v>
      </c>
      <c r="J2958" s="13">
        <v>0.0</v>
      </c>
      <c r="K2958" s="12" t="s">
        <v>21</v>
      </c>
      <c r="L2958" s="7">
        <v>40162.50679398148</v>
      </c>
      <c r="M2958" s="16"/>
      <c r="N2958" s="16"/>
      <c r="O2958" s="11" t="str">
        <f>HYPERLINK("https://pbs.twimg.com/profile_images/573703400522706945/iP-c63Fr_normal.jpeg","View")</f>
        <v>View</v>
      </c>
      <c r="P2958" s="15"/>
    </row>
    <row r="2959">
      <c r="A2959" s="7">
        <v>42426.30658564815</v>
      </c>
      <c r="B2959" s="8" t="str">
        <f>HYPERLINK("https://twitter.com/ahmtkdr","@ahmtkdr")</f>
        <v>@ahmtkdr</v>
      </c>
      <c r="C2959" s="10" t="s">
        <v>11240</v>
      </c>
      <c r="D2959" s="10" t="s">
        <v>10310</v>
      </c>
      <c r="E2959" s="11" t="str">
        <f>HYPERLINK("https://twitter.com/ahmtkdr/status/703238462984433664","703238462984433664")</f>
        <v>703238462984433664</v>
      </c>
      <c r="F2959" s="12" t="s">
        <v>20</v>
      </c>
      <c r="G2959" s="13">
        <v>7.0</v>
      </c>
      <c r="H2959" s="13">
        <v>125.0</v>
      </c>
      <c r="I2959" s="13">
        <v>6.0</v>
      </c>
      <c r="J2959" s="13">
        <v>0.0</v>
      </c>
      <c r="K2959" s="12" t="s">
        <v>21</v>
      </c>
      <c r="L2959" s="7">
        <v>42295.582604166666</v>
      </c>
      <c r="M2959" s="16"/>
      <c r="N2959" s="16"/>
      <c r="O2959" s="11" t="str">
        <f>HYPERLINK("https://abs.twimg.com/sticky/default_profile_images/default_profile_4_normal.png","View")</f>
        <v>View</v>
      </c>
      <c r="P2959" s="15"/>
    </row>
    <row r="2960">
      <c r="A2960" s="7">
        <v>42426.30673611111</v>
      </c>
      <c r="B2960" s="8" t="str">
        <f>HYPERLINK("https://twitter.com/tz33cu","@tz33cu")</f>
        <v>@tz33cu</v>
      </c>
      <c r="C2960" s="10" t="s">
        <v>7118</v>
      </c>
      <c r="D2960" s="10" t="s">
        <v>11217</v>
      </c>
      <c r="E2960" s="11" t="str">
        <f>HYPERLINK("https://twitter.com/tz33cu/status/703238514574491648","703238514574491648")</f>
        <v>703238514574491648</v>
      </c>
      <c r="F2960" s="12" t="s">
        <v>20</v>
      </c>
      <c r="G2960" s="13">
        <v>242.0</v>
      </c>
      <c r="H2960" s="13">
        <v>111.0</v>
      </c>
      <c r="I2960" s="13">
        <v>25.0</v>
      </c>
      <c r="J2960" s="13">
        <v>0.0</v>
      </c>
      <c r="K2960" s="12" t="s">
        <v>21</v>
      </c>
      <c r="L2960" s="7">
        <v>40625.59646990741</v>
      </c>
      <c r="M2960" s="16"/>
      <c r="N2960" s="14" t="s">
        <v>7120</v>
      </c>
      <c r="O2960" s="11" t="str">
        <f>HYPERLINK("https://pbs.twimg.com/profile_images/640243239388246016/yEAuMN4t_normal.jpg","View")</f>
        <v>View</v>
      </c>
      <c r="P2960" s="15"/>
    </row>
    <row r="2961">
      <c r="A2961" s="7">
        <v>42426.30741898148</v>
      </c>
      <c r="B2961" s="8" t="str">
        <f>HYPERLINK("https://twitter.com/datanalitik","@datanalitik")</f>
        <v>@datanalitik</v>
      </c>
      <c r="C2961" s="10" t="s">
        <v>11241</v>
      </c>
      <c r="D2961" s="10" t="s">
        <v>11217</v>
      </c>
      <c r="E2961" s="11" t="str">
        <f>HYPERLINK("https://twitter.com/datanalitik/status/703238764643160064","703238764643160064")</f>
        <v>703238764643160064</v>
      </c>
      <c r="F2961" s="12" t="s">
        <v>20</v>
      </c>
      <c r="G2961" s="13">
        <v>145.0</v>
      </c>
      <c r="H2961" s="13">
        <v>383.0</v>
      </c>
      <c r="I2961" s="13">
        <v>25.0</v>
      </c>
      <c r="J2961" s="13">
        <v>0.0</v>
      </c>
      <c r="K2961" s="12" t="s">
        <v>21</v>
      </c>
      <c r="L2961" s="7">
        <v>41910.52068287037</v>
      </c>
      <c r="M2961" s="16"/>
      <c r="N2961" s="14" t="s">
        <v>11242</v>
      </c>
      <c r="O2961" s="11" t="str">
        <f>HYPERLINK("https://pbs.twimg.com/profile_images/693496731191767040/CRB2hW7r_normal.png","View")</f>
        <v>View</v>
      </c>
      <c r="P2961" s="15"/>
    </row>
    <row r="2962">
      <c r="A2962" s="7">
        <v>42426.308854166666</v>
      </c>
      <c r="B2962" s="8" t="str">
        <f>HYPERLINK("https://twitter.com/biotweeps","@biotweeps")</f>
        <v>@biotweeps</v>
      </c>
      <c r="C2962" s="10" t="s">
        <v>11243</v>
      </c>
      <c r="D2962" s="10" t="s">
        <v>11244</v>
      </c>
      <c r="E2962" s="11" t="str">
        <f>HYPERLINK("https://twitter.com/biotweeps/status/703239282023141376","703239282023141376")</f>
        <v>703239282023141376</v>
      </c>
      <c r="F2962" s="12" t="s">
        <v>20</v>
      </c>
      <c r="G2962" s="13">
        <v>4780.0</v>
      </c>
      <c r="H2962" s="13">
        <v>2906.0</v>
      </c>
      <c r="I2962" s="13">
        <v>2.0</v>
      </c>
      <c r="J2962" s="13">
        <v>2.0</v>
      </c>
      <c r="K2962" s="12" t="s">
        <v>21</v>
      </c>
      <c r="L2962" s="7">
        <v>41801.29818287037</v>
      </c>
      <c r="M2962" s="14" t="s">
        <v>1745</v>
      </c>
      <c r="N2962" s="14" t="s">
        <v>11245</v>
      </c>
      <c r="O2962" s="11" t="str">
        <f>HYPERLINK("https://pbs.twimg.com/profile_images/701554470900125696/NgOAQWKH_normal.jpg","View")</f>
        <v>View</v>
      </c>
      <c r="P2962" s="15"/>
    </row>
    <row r="2963">
      <c r="A2963" s="7">
        <v>42426.3091087963</v>
      </c>
      <c r="B2963" s="8" t="str">
        <f>HYPERLINK("https://twitter.com/ShinyappsRecent","@ShinyappsRecent")</f>
        <v>@ShinyappsRecent</v>
      </c>
      <c r="C2963" s="10" t="s">
        <v>6422</v>
      </c>
      <c r="D2963" s="10" t="s">
        <v>11246</v>
      </c>
      <c r="E2963" s="11" t="str">
        <f>HYPERLINK("https://twitter.com/ShinyappsRecent/status/703239374440280064","703239374440280064")</f>
        <v>703239374440280064</v>
      </c>
      <c r="F2963" s="12" t="s">
        <v>6424</v>
      </c>
      <c r="G2963" s="13">
        <v>212.0</v>
      </c>
      <c r="H2963" s="13">
        <v>6.0</v>
      </c>
      <c r="I2963" s="13">
        <v>0.0</v>
      </c>
      <c r="J2963" s="13">
        <v>0.0</v>
      </c>
      <c r="K2963" s="12" t="s">
        <v>21</v>
      </c>
      <c r="L2963" s="7">
        <v>42004.08681712963</v>
      </c>
      <c r="M2963" s="14" t="s">
        <v>6425</v>
      </c>
      <c r="N2963" s="14" t="s">
        <v>6426</v>
      </c>
      <c r="O2963" s="11" t="str">
        <f>HYPERLINK("https://pbs.twimg.com/profile_images/550280885480603648/jye_0y8s_normal.png","View")</f>
        <v>View</v>
      </c>
      <c r="P2963" s="15"/>
    </row>
    <row r="2964">
      <c r="A2964" s="7">
        <v>42426.30917824074</v>
      </c>
      <c r="B2964" s="8" t="str">
        <f>HYPERLINK("https://twitter.com/PlethodoNick","@PlethodoNick")</f>
        <v>@PlethodoNick</v>
      </c>
      <c r="C2964" s="10" t="s">
        <v>11247</v>
      </c>
      <c r="D2964" s="10" t="s">
        <v>11248</v>
      </c>
      <c r="E2964" s="11" t="str">
        <f>HYPERLINK("https://twitter.com/PlethodoNick/status/703239401896329216","703239401896329216")</f>
        <v>703239401896329216</v>
      </c>
      <c r="F2964" s="12" t="s">
        <v>152</v>
      </c>
      <c r="G2964" s="13">
        <v>814.0</v>
      </c>
      <c r="H2964" s="13">
        <v>1204.0</v>
      </c>
      <c r="I2964" s="13">
        <v>2.0</v>
      </c>
      <c r="J2964" s="13">
        <v>0.0</v>
      </c>
      <c r="K2964" s="12" t="s">
        <v>21</v>
      </c>
      <c r="L2964" s="7">
        <v>41128.211643518516</v>
      </c>
      <c r="M2964" s="14" t="s">
        <v>11249</v>
      </c>
      <c r="N2964" s="14" t="s">
        <v>11250</v>
      </c>
      <c r="O2964" s="11" t="str">
        <f>HYPERLINK("https://pbs.twimg.com/profile_images/665573957467160576/A9JW4dde_normal.jpg","View")</f>
        <v>View</v>
      </c>
      <c r="P2964" s="15"/>
    </row>
    <row r="2965">
      <c r="A2965" s="7">
        <v>42426.30945601852</v>
      </c>
      <c r="B2965" s="8" t="str">
        <f>HYPERLINK("https://twitter.com/AriLamstein","@AriLamstein")</f>
        <v>@AriLamstein</v>
      </c>
      <c r="C2965" s="10" t="s">
        <v>6680</v>
      </c>
      <c r="D2965" s="10" t="s">
        <v>11251</v>
      </c>
      <c r="E2965" s="11" t="str">
        <f>HYPERLINK("https://twitter.com/AriLamstein/status/703239503687733248","703239503687733248")</f>
        <v>703239503687733248</v>
      </c>
      <c r="F2965" s="12" t="s">
        <v>20</v>
      </c>
      <c r="G2965" s="13">
        <v>577.0</v>
      </c>
      <c r="H2965" s="13">
        <v>254.0</v>
      </c>
      <c r="I2965" s="13">
        <v>0.0</v>
      </c>
      <c r="J2965" s="13">
        <v>1.0</v>
      </c>
      <c r="K2965" s="12" t="s">
        <v>21</v>
      </c>
      <c r="L2965" s="7">
        <v>41654.58315972222</v>
      </c>
      <c r="M2965" s="14" t="s">
        <v>69</v>
      </c>
      <c r="N2965" s="14" t="s">
        <v>6682</v>
      </c>
      <c r="O2965" s="11" t="str">
        <f>HYPERLINK("https://pbs.twimg.com/profile_images/424265489666162688/OSt8nLEe_normal.jpeg","View")</f>
        <v>View</v>
      </c>
      <c r="P2965" s="15"/>
    </row>
    <row r="2966">
      <c r="A2966" s="7">
        <v>42426.30991898148</v>
      </c>
      <c r="B2966" s="8" t="str">
        <f>HYPERLINK("https://twitter.com/abresler","@abresler")</f>
        <v>@abresler</v>
      </c>
      <c r="C2966" s="10" t="s">
        <v>6436</v>
      </c>
      <c r="D2966" s="10" t="s">
        <v>10767</v>
      </c>
      <c r="E2966" s="11" t="str">
        <f>HYPERLINK("https://twitter.com/abresler/status/703239670969331713","703239670969331713")</f>
        <v>703239670969331713</v>
      </c>
      <c r="F2966" s="12" t="s">
        <v>152</v>
      </c>
      <c r="G2966" s="13">
        <v>1626.0</v>
      </c>
      <c r="H2966" s="13">
        <v>2074.0</v>
      </c>
      <c r="I2966" s="13">
        <v>7.0</v>
      </c>
      <c r="J2966" s="13">
        <v>0.0</v>
      </c>
      <c r="K2966" s="12" t="s">
        <v>21</v>
      </c>
      <c r="L2966" s="7">
        <v>39796.802407407406</v>
      </c>
      <c r="M2966" s="14" t="s">
        <v>6438</v>
      </c>
      <c r="N2966" s="14" t="s">
        <v>6439</v>
      </c>
      <c r="O2966" s="11" t="str">
        <f>HYPERLINK("https://pbs.twimg.com/profile_images/669441951192760324/zJylEnJ7_normal.jpg","View")</f>
        <v>View</v>
      </c>
      <c r="P2966" s="15"/>
    </row>
    <row r="2967">
      <c r="A2967" s="7">
        <v>42426.31010416667</v>
      </c>
      <c r="B2967" s="8" t="str">
        <f>HYPERLINK("https://twitter.com/biotweeps","@biotweeps")</f>
        <v>@biotweeps</v>
      </c>
      <c r="C2967" s="10" t="s">
        <v>11243</v>
      </c>
      <c r="D2967" s="10" t="s">
        <v>11252</v>
      </c>
      <c r="E2967" s="11" t="str">
        <f>HYPERLINK("https://twitter.com/biotweeps/status/703239735695769601","703239735695769601")</f>
        <v>703239735695769601</v>
      </c>
      <c r="F2967" s="12" t="s">
        <v>20</v>
      </c>
      <c r="G2967" s="13">
        <v>4780.0</v>
      </c>
      <c r="H2967" s="13">
        <v>2906.0</v>
      </c>
      <c r="I2967" s="13">
        <v>1.0</v>
      </c>
      <c r="J2967" s="13">
        <v>3.0</v>
      </c>
      <c r="K2967" s="12" t="s">
        <v>21</v>
      </c>
      <c r="L2967" s="7">
        <v>41801.29818287037</v>
      </c>
      <c r="M2967" s="14" t="s">
        <v>1745</v>
      </c>
      <c r="N2967" s="14" t="s">
        <v>11245</v>
      </c>
      <c r="O2967" s="11" t="str">
        <f>HYPERLINK("https://pbs.twimg.com/profile_images/701554470900125696/NgOAQWKH_normal.jpg","View")</f>
        <v>View</v>
      </c>
      <c r="P2967" s="15"/>
    </row>
    <row r="2968">
      <c r="A2968" s="7">
        <v>42426.31017361111</v>
      </c>
      <c r="B2968" s="8" t="str">
        <f>HYPERLINK("https://twitter.com/oceansresearch","@oceansresearch")</f>
        <v>@oceansresearch</v>
      </c>
      <c r="C2968" s="10" t="s">
        <v>11253</v>
      </c>
      <c r="D2968" s="10" t="s">
        <v>10872</v>
      </c>
      <c r="E2968" s="11" t="str">
        <f>HYPERLINK("https://twitter.com/oceansresearch/status/703239763919114240","703239763919114240")</f>
        <v>703239763919114240</v>
      </c>
      <c r="F2968" s="12" t="s">
        <v>52</v>
      </c>
      <c r="G2968" s="13">
        <v>12536.0</v>
      </c>
      <c r="H2968" s="13">
        <v>1176.0</v>
      </c>
      <c r="I2968" s="13">
        <v>6.0</v>
      </c>
      <c r="J2968" s="13">
        <v>0.0</v>
      </c>
      <c r="K2968" s="12" t="s">
        <v>21</v>
      </c>
      <c r="L2968" s="7">
        <v>40016.89771990741</v>
      </c>
      <c r="M2968" s="14" t="s">
        <v>11254</v>
      </c>
      <c r="N2968" s="14" t="s">
        <v>11255</v>
      </c>
      <c r="O2968" s="11" t="str">
        <f>HYPERLINK("https://pbs.twimg.com/profile_images/2283864705/eexg47icrs422nvoy034_normal.jpeg","View")</f>
        <v>View</v>
      </c>
      <c r="P2968" s="15"/>
    </row>
    <row r="2969">
      <c r="A2969" s="7">
        <v>42426.31186342593</v>
      </c>
      <c r="B2969" s="8" t="str">
        <f>HYPERLINK("https://twitter.com/a_hartikainen","@a_hartikainen")</f>
        <v>@a_hartikainen</v>
      </c>
      <c r="C2969" s="10" t="s">
        <v>4382</v>
      </c>
      <c r="D2969" s="10" t="s">
        <v>6773</v>
      </c>
      <c r="E2969" s="11" t="str">
        <f>HYPERLINK("https://twitter.com/a_hartikainen/status/703240373058052096","703240373058052096")</f>
        <v>703240373058052096</v>
      </c>
      <c r="F2969" s="12" t="s">
        <v>152</v>
      </c>
      <c r="G2969" s="13">
        <v>14.0</v>
      </c>
      <c r="H2969" s="13">
        <v>96.0</v>
      </c>
      <c r="I2969" s="13">
        <v>61.0</v>
      </c>
      <c r="J2969" s="13">
        <v>0.0</v>
      </c>
      <c r="K2969" s="12" t="s">
        <v>21</v>
      </c>
      <c r="L2969" s="7">
        <v>42160.14613425926</v>
      </c>
      <c r="M2969" s="16"/>
      <c r="N2969" s="16"/>
      <c r="O2969" s="11" t="str">
        <f>HYPERLINK("https://abs.twimg.com/sticky/default_profile_images/default_profile_1_normal.png","View")</f>
        <v>View</v>
      </c>
      <c r="P2969" s="15"/>
    </row>
    <row r="2970">
      <c r="A2970" s="7">
        <v>42426.31263888889</v>
      </c>
      <c r="B2970" s="8" t="str">
        <f>HYPERLINK("https://twitter.com/pacehrb","@pacehrb")</f>
        <v>@pacehrb</v>
      </c>
      <c r="C2970" s="10" t="s">
        <v>4103</v>
      </c>
      <c r="D2970" s="10" t="s">
        <v>11190</v>
      </c>
      <c r="E2970" s="11" t="str">
        <f>HYPERLINK("https://twitter.com/pacehrb/status/703240656626458625","703240656626458625")</f>
        <v>703240656626458625</v>
      </c>
      <c r="F2970" s="12" t="s">
        <v>152</v>
      </c>
      <c r="G2970" s="13">
        <v>938.0</v>
      </c>
      <c r="H2970" s="13">
        <v>2382.0</v>
      </c>
      <c r="I2970" s="13">
        <v>3.0</v>
      </c>
      <c r="J2970" s="13">
        <v>0.0</v>
      </c>
      <c r="K2970" s="12" t="s">
        <v>21</v>
      </c>
      <c r="L2970" s="7">
        <v>40316.03534722222</v>
      </c>
      <c r="M2970" s="14" t="s">
        <v>34</v>
      </c>
      <c r="N2970" s="14" t="s">
        <v>4105</v>
      </c>
      <c r="O2970" s="11" t="str">
        <f>HYPERLINK("https://pbs.twimg.com/profile_images/1144625930/hanmant_normal.jpg","View")</f>
        <v>View</v>
      </c>
      <c r="P2970" s="15"/>
    </row>
    <row r="2971">
      <c r="A2971" s="7">
        <v>42426.31270833334</v>
      </c>
      <c r="B2971" s="8" t="str">
        <f>HYPERLINK("https://twitter.com/MagicalSystems","@MagicalSystems")</f>
        <v>@MagicalSystems</v>
      </c>
      <c r="C2971" s="10" t="s">
        <v>11256</v>
      </c>
      <c r="D2971" s="10" t="s">
        <v>11217</v>
      </c>
      <c r="E2971" s="11" t="str">
        <f>HYPERLINK("https://twitter.com/MagicalSystems/status/703240681712648192","703240681712648192")</f>
        <v>703240681712648192</v>
      </c>
      <c r="F2971" s="12" t="s">
        <v>152</v>
      </c>
      <c r="G2971" s="13">
        <v>90.0</v>
      </c>
      <c r="H2971" s="13">
        <v>128.0</v>
      </c>
      <c r="I2971" s="13">
        <v>25.0</v>
      </c>
      <c r="J2971" s="13">
        <v>0.0</v>
      </c>
      <c r="K2971" s="12" t="s">
        <v>21</v>
      </c>
      <c r="L2971" s="7">
        <v>42187.47431712963</v>
      </c>
      <c r="M2971" s="14" t="s">
        <v>2861</v>
      </c>
      <c r="N2971" s="14" t="s">
        <v>11257</v>
      </c>
      <c r="O2971" s="11" t="str">
        <f>HYPERLINK("https://pbs.twimg.com/profile_images/616675341080350720/RmhsWBiD_normal.jpg","View")</f>
        <v>View</v>
      </c>
      <c r="P2971" s="15"/>
    </row>
    <row r="2972">
      <c r="A2972" s="7">
        <v>42426.31454861111</v>
      </c>
      <c r="B2972" s="8" t="str">
        <f t="shared" ref="B2972:B2973" si="317">HYPERLINK("https://twitter.com/HollyKindsvater","@HollyKindsvater")</f>
        <v>@HollyKindsvater</v>
      </c>
      <c r="C2972" s="10" t="s">
        <v>11258</v>
      </c>
      <c r="D2972" s="10" t="s">
        <v>11259</v>
      </c>
      <c r="E2972" s="11" t="str">
        <f>HYPERLINK("https://twitter.com/HollyKindsvater/status/703241347998871552","703241347998871552")</f>
        <v>703241347998871552</v>
      </c>
      <c r="F2972" s="12" t="s">
        <v>20</v>
      </c>
      <c r="G2972" s="13">
        <v>501.0</v>
      </c>
      <c r="H2972" s="13">
        <v>650.0</v>
      </c>
      <c r="I2972" s="13">
        <v>1.0</v>
      </c>
      <c r="J2972" s="13">
        <v>0.0</v>
      </c>
      <c r="K2972" s="12" t="s">
        <v>21</v>
      </c>
      <c r="L2972" s="7">
        <v>41176.93636574074</v>
      </c>
      <c r="M2972" s="14" t="s">
        <v>4787</v>
      </c>
      <c r="N2972" s="14" t="s">
        <v>11260</v>
      </c>
      <c r="O2972" s="11" t="str">
        <f t="shared" ref="O2972:O2973" si="318">HYPERLINK("https://pbs.twimg.com/profile_images/503642811820806144/t9Kh3aVj_normal.jpeg","View")</f>
        <v>View</v>
      </c>
      <c r="P2972" s="15"/>
    </row>
    <row r="2973">
      <c r="A2973" s="7">
        <v>42426.31476851852</v>
      </c>
      <c r="B2973" s="8" t="str">
        <f t="shared" si="317"/>
        <v>@HollyKindsvater</v>
      </c>
      <c r="C2973" s="10" t="s">
        <v>11258</v>
      </c>
      <c r="D2973" s="10" t="s">
        <v>11248</v>
      </c>
      <c r="E2973" s="11" t="str">
        <f>HYPERLINK("https://twitter.com/HollyKindsvater/status/703241427732602880","703241427732602880")</f>
        <v>703241427732602880</v>
      </c>
      <c r="F2973" s="12" t="s">
        <v>20</v>
      </c>
      <c r="G2973" s="13">
        <v>501.0</v>
      </c>
      <c r="H2973" s="13">
        <v>650.0</v>
      </c>
      <c r="I2973" s="13">
        <v>2.0</v>
      </c>
      <c r="J2973" s="13">
        <v>0.0</v>
      </c>
      <c r="K2973" s="12" t="s">
        <v>21</v>
      </c>
      <c r="L2973" s="7">
        <v>41176.93636574074</v>
      </c>
      <c r="M2973" s="14" t="s">
        <v>4787</v>
      </c>
      <c r="N2973" s="14" t="s">
        <v>11260</v>
      </c>
      <c r="O2973" s="11" t="str">
        <f t="shared" si="318"/>
        <v>View</v>
      </c>
      <c r="P2973" s="15"/>
    </row>
    <row r="2974">
      <c r="A2974" s="7">
        <v>42426.31509259259</v>
      </c>
      <c r="B2974" s="8" t="str">
        <f>HYPERLINK("https://twitter.com/hrbrmstr","@hrbrmstr")</f>
        <v>@hrbrmstr</v>
      </c>
      <c r="C2974" s="10" t="s">
        <v>7276</v>
      </c>
      <c r="D2974" s="10" t="s">
        <v>11261</v>
      </c>
      <c r="E2974" s="11" t="str">
        <f>HYPERLINK("https://twitter.com/hrbrmstr/status/703241546255220736","703241546255220736")</f>
        <v>703241546255220736</v>
      </c>
      <c r="F2974" s="12" t="s">
        <v>20</v>
      </c>
      <c r="G2974" s="13">
        <v>6135.0</v>
      </c>
      <c r="H2974" s="13">
        <v>2926.0</v>
      </c>
      <c r="I2974" s="13">
        <v>1.0</v>
      </c>
      <c r="J2974" s="13">
        <v>4.0</v>
      </c>
      <c r="K2974" s="12" t="s">
        <v>21</v>
      </c>
      <c r="L2974" s="7">
        <v>39203.29472222222</v>
      </c>
      <c r="M2974" s="14" t="s">
        <v>7278</v>
      </c>
      <c r="N2974" s="14" t="s">
        <v>7279</v>
      </c>
      <c r="O2974" s="11" t="str">
        <f>HYPERLINK("https://pbs.twimg.com/profile_images/557592259298729985/kpCUQWH1_normal.png","View")</f>
        <v>View</v>
      </c>
      <c r="P2974" s="15"/>
    </row>
    <row r="2975">
      <c r="A2975" s="7">
        <v>42426.31709490741</v>
      </c>
      <c r="B2975" s="8" t="str">
        <f>HYPERLINK("https://twitter.com/astudillo_cesar","@astudillo_cesar")</f>
        <v>@astudillo_cesar</v>
      </c>
      <c r="C2975" s="10" t="s">
        <v>11262</v>
      </c>
      <c r="D2975" s="10" t="s">
        <v>11217</v>
      </c>
      <c r="E2975" s="11" t="str">
        <f>HYPERLINK("https://twitter.com/astudillo_cesar/status/703242269768478720","703242269768478720")</f>
        <v>703242269768478720</v>
      </c>
      <c r="F2975" s="12" t="s">
        <v>20</v>
      </c>
      <c r="G2975" s="13">
        <v>134.0</v>
      </c>
      <c r="H2975" s="13">
        <v>177.0</v>
      </c>
      <c r="I2975" s="13">
        <v>25.0</v>
      </c>
      <c r="J2975" s="13">
        <v>0.0</v>
      </c>
      <c r="K2975" s="12" t="s">
        <v>21</v>
      </c>
      <c r="L2975" s="7">
        <v>41192.79046296296</v>
      </c>
      <c r="M2975" s="14" t="s">
        <v>11263</v>
      </c>
      <c r="N2975" s="14" t="s">
        <v>11264</v>
      </c>
      <c r="O2975" s="11" t="str">
        <f>HYPERLINK("https://pbs.twimg.com/profile_images/630833965298003968/PCyT1dnA_normal.jpg","View")</f>
        <v>View</v>
      </c>
      <c r="P2975" s="15"/>
    </row>
    <row r="2976">
      <c r="A2976" s="7">
        <v>42426.31809027778</v>
      </c>
      <c r="B2976" s="8" t="str">
        <f>HYPERLINK("https://twitter.com/paulalc76","@paulalc76")</f>
        <v>@paulalc76</v>
      </c>
      <c r="C2976" s="10" t="s">
        <v>11265</v>
      </c>
      <c r="D2976" s="10" t="s">
        <v>7151</v>
      </c>
      <c r="E2976" s="11" t="str">
        <f>HYPERLINK("https://twitter.com/paulalc76/status/703242630600237056","703242630600237056")</f>
        <v>703242630600237056</v>
      </c>
      <c r="F2976" s="12" t="s">
        <v>152</v>
      </c>
      <c r="G2976" s="13">
        <v>232.0</v>
      </c>
      <c r="H2976" s="13">
        <v>365.0</v>
      </c>
      <c r="I2976" s="13">
        <v>11.0</v>
      </c>
      <c r="J2976" s="13">
        <v>0.0</v>
      </c>
      <c r="K2976" s="12" t="s">
        <v>21</v>
      </c>
      <c r="L2976" s="7">
        <v>41086.64199074074</v>
      </c>
      <c r="M2976" s="14" t="s">
        <v>194</v>
      </c>
      <c r="N2976" s="14" t="s">
        <v>11266</v>
      </c>
      <c r="O2976" s="11" t="str">
        <f>HYPERLINK("https://pbs.twimg.com/profile_images/592822039918043136/V5Qc6eUy_normal.jpg","View")</f>
        <v>View</v>
      </c>
      <c r="P2976" s="15"/>
    </row>
    <row r="2977">
      <c r="A2977" s="7">
        <v>42426.31943287037</v>
      </c>
      <c r="B2977" s="8" t="str">
        <f>HYPERLINK("https://twitter.com/Emaasit","@Emaasit")</f>
        <v>@Emaasit</v>
      </c>
      <c r="C2977" s="10" t="s">
        <v>7313</v>
      </c>
      <c r="D2977" s="10" t="s">
        <v>11267</v>
      </c>
      <c r="E2977" s="11" t="str">
        <f>HYPERLINK("https://twitter.com/Emaasit/status/703243115973337089","703243115973337089")</f>
        <v>703243115973337089</v>
      </c>
      <c r="F2977" s="12" t="s">
        <v>152</v>
      </c>
      <c r="G2977" s="13">
        <v>1025.0</v>
      </c>
      <c r="H2977" s="13">
        <v>2909.0</v>
      </c>
      <c r="I2977" s="13">
        <v>1.0</v>
      </c>
      <c r="J2977" s="13">
        <v>0.0</v>
      </c>
      <c r="K2977" s="12" t="s">
        <v>21</v>
      </c>
      <c r="L2977" s="7">
        <v>39981.148981481485</v>
      </c>
      <c r="M2977" s="14" t="s">
        <v>7315</v>
      </c>
      <c r="N2977" s="14" t="s">
        <v>7316</v>
      </c>
      <c r="O2977" s="11" t="str">
        <f>HYPERLINK("https://pbs.twimg.com/profile_images/567588045927354370/NN8xp_M5_normal.jpeg","View")</f>
        <v>View</v>
      </c>
      <c r="P2977" s="15"/>
    </row>
    <row r="2978">
      <c r="A2978" s="7">
        <v>42426.320069444446</v>
      </c>
      <c r="B2978" s="8" t="str">
        <f>HYPERLINK("https://twitter.com/westbrobby","@westbrobby")</f>
        <v>@westbrobby</v>
      </c>
      <c r="C2978" s="10" t="s">
        <v>8323</v>
      </c>
      <c r="D2978" s="10" t="s">
        <v>11268</v>
      </c>
      <c r="E2978" s="11" t="str">
        <f>HYPERLINK("https://twitter.com/westbrobby/status/703243348551864322","703243348551864322")</f>
        <v>703243348551864322</v>
      </c>
      <c r="F2978" s="12" t="s">
        <v>20</v>
      </c>
      <c r="G2978" s="13">
        <v>293.0</v>
      </c>
      <c r="H2978" s="13">
        <v>769.0</v>
      </c>
      <c r="I2978" s="13">
        <v>0.0</v>
      </c>
      <c r="J2978" s="13">
        <v>0.0</v>
      </c>
      <c r="K2978" s="12" t="s">
        <v>21</v>
      </c>
      <c r="L2978" s="7">
        <v>41016.263715277775</v>
      </c>
      <c r="M2978" s="14" t="s">
        <v>8325</v>
      </c>
      <c r="N2978" s="14" t="s">
        <v>8326</v>
      </c>
      <c r="O2978" s="11" t="str">
        <f>HYPERLINK("https://pbs.twimg.com/profile_images/494183080949579776/ErmJ49WR_normal.jpeg","View")</f>
        <v>View</v>
      </c>
      <c r="P2978" s="15"/>
    </row>
    <row r="2979">
      <c r="A2979" s="7">
        <v>42426.32054398148</v>
      </c>
      <c r="B2979" s="8" t="str">
        <f>HYPERLINK("https://twitter.com/Emaasit","@Emaasit")</f>
        <v>@Emaasit</v>
      </c>
      <c r="C2979" s="10" t="s">
        <v>7313</v>
      </c>
      <c r="D2979" s="10" t="s">
        <v>11269</v>
      </c>
      <c r="E2979" s="11" t="str">
        <f>HYPERLINK("https://twitter.com/Emaasit/status/703243520300027904","703243520300027904")</f>
        <v>703243520300027904</v>
      </c>
      <c r="F2979" s="12" t="s">
        <v>152</v>
      </c>
      <c r="G2979" s="13">
        <v>1025.0</v>
      </c>
      <c r="H2979" s="13">
        <v>2909.0</v>
      </c>
      <c r="I2979" s="13">
        <v>0.0</v>
      </c>
      <c r="J2979" s="13">
        <v>0.0</v>
      </c>
      <c r="K2979" s="12" t="s">
        <v>21</v>
      </c>
      <c r="L2979" s="7">
        <v>39981.148981481485</v>
      </c>
      <c r="M2979" s="14" t="s">
        <v>7315</v>
      </c>
      <c r="N2979" s="14" t="s">
        <v>7316</v>
      </c>
      <c r="O2979" s="11" t="str">
        <f>HYPERLINK("https://pbs.twimg.com/profile_images/567588045927354370/NN8xp_M5_normal.jpeg","View")</f>
        <v>View</v>
      </c>
      <c r="P2979" s="15"/>
    </row>
    <row r="2980">
      <c r="A2980" s="7">
        <v>42426.32074074074</v>
      </c>
      <c r="B2980" s="8" t="str">
        <f>HYPERLINK("https://twitter.com/tjmahr","@tjmahr")</f>
        <v>@tjmahr</v>
      </c>
      <c r="C2980" s="10" t="s">
        <v>7778</v>
      </c>
      <c r="D2980" s="10" t="s">
        <v>10628</v>
      </c>
      <c r="E2980" s="11" t="str">
        <f>HYPERLINK("https://twitter.com/tjmahr/status/703243593012662272","703243593012662272")</f>
        <v>703243593012662272</v>
      </c>
      <c r="F2980" s="12" t="s">
        <v>52</v>
      </c>
      <c r="G2980" s="13">
        <v>446.0</v>
      </c>
      <c r="H2980" s="13">
        <v>638.0</v>
      </c>
      <c r="I2980" s="13">
        <v>9.0</v>
      </c>
      <c r="J2980" s="13">
        <v>0.0</v>
      </c>
      <c r="K2980" s="12" t="s">
        <v>21</v>
      </c>
      <c r="L2980" s="7">
        <v>40393.656747685185</v>
      </c>
      <c r="M2980" s="14" t="s">
        <v>7780</v>
      </c>
      <c r="N2980" s="14" t="s">
        <v>7781</v>
      </c>
      <c r="O2980" s="11" t="str">
        <f>HYPERLINK("https://pbs.twimg.com/profile_images/703243921011417091/jicOr_09_normal.jpg","View")</f>
        <v>View</v>
      </c>
      <c r="P2980" s="15"/>
    </row>
    <row r="2981">
      <c r="A2981" s="7">
        <v>42426.32219907407</v>
      </c>
      <c r="B2981" s="8" t="str">
        <f>HYPERLINK("https://twitter.com/JeremyNeedle","@JeremyNeedle")</f>
        <v>@JeremyNeedle</v>
      </c>
      <c r="C2981" s="10" t="s">
        <v>11270</v>
      </c>
      <c r="D2981" s="10" t="s">
        <v>10628</v>
      </c>
      <c r="E2981" s="11" t="str">
        <f>HYPERLINK("https://twitter.com/JeremyNeedle/status/703244120119242753","703244120119242753")</f>
        <v>703244120119242753</v>
      </c>
      <c r="F2981" s="12" t="s">
        <v>446</v>
      </c>
      <c r="G2981" s="13">
        <v>225.0</v>
      </c>
      <c r="H2981" s="13">
        <v>369.0</v>
      </c>
      <c r="I2981" s="13">
        <v>9.0</v>
      </c>
      <c r="J2981" s="13">
        <v>0.0</v>
      </c>
      <c r="K2981" s="12" t="s">
        <v>21</v>
      </c>
      <c r="L2981" s="7">
        <v>40582.563055555554</v>
      </c>
      <c r="M2981" s="14" t="s">
        <v>1158</v>
      </c>
      <c r="N2981" s="14" t="s">
        <v>11271</v>
      </c>
      <c r="O2981" s="11" t="str">
        <f>HYPERLINK("https://pbs.twimg.com/profile_images/472270801333280768/RQtI0MHH_normal.jpeg","View")</f>
        <v>View</v>
      </c>
      <c r="P2981" s="15"/>
    </row>
    <row r="2982">
      <c r="A2982" s="7">
        <v>42426.32293981481</v>
      </c>
      <c r="B2982" s="8" t="str">
        <f>HYPERLINK("https://twitter.com/MangoTheCat","@MangoTheCat")</f>
        <v>@MangoTheCat</v>
      </c>
      <c r="C2982" s="10" t="s">
        <v>6321</v>
      </c>
      <c r="D2982" s="10" t="s">
        <v>11272</v>
      </c>
      <c r="E2982" s="11" t="str">
        <f>HYPERLINK("https://twitter.com/MangoTheCat/status/703244388441284608","703244388441284608")</f>
        <v>703244388441284608</v>
      </c>
      <c r="F2982" s="12" t="s">
        <v>47</v>
      </c>
      <c r="G2982" s="13">
        <v>2041.0</v>
      </c>
      <c r="H2982" s="13">
        <v>2855.0</v>
      </c>
      <c r="I2982" s="13">
        <v>1.0</v>
      </c>
      <c r="J2982" s="13">
        <v>0.0</v>
      </c>
      <c r="K2982" s="12" t="s">
        <v>21</v>
      </c>
      <c r="L2982" s="7">
        <v>39854.3178587963</v>
      </c>
      <c r="M2982" s="14" t="s">
        <v>6323</v>
      </c>
      <c r="N2982" s="14" t="s">
        <v>6324</v>
      </c>
      <c r="O2982" s="11" t="str">
        <f>HYPERLINK("https://pbs.twimg.com/profile_images/641183991077445633/V7VcBpJI_normal.png","View")</f>
        <v>View</v>
      </c>
      <c r="P2982" s="15"/>
    </row>
    <row r="2983">
      <c r="A2983" s="7">
        <v>42426.32298611111</v>
      </c>
      <c r="B2983" s="8" t="str">
        <f>HYPERLINK("https://twitter.com/ax15k","@ax15k")</f>
        <v>@ax15k</v>
      </c>
      <c r="C2983" s="10" t="s">
        <v>11273</v>
      </c>
      <c r="D2983" s="10" t="s">
        <v>11217</v>
      </c>
      <c r="E2983" s="11" t="str">
        <f>HYPERLINK("https://twitter.com/ax15k/status/703244404631465984","703244404631465984")</f>
        <v>703244404631465984</v>
      </c>
      <c r="F2983" s="12" t="s">
        <v>1082</v>
      </c>
      <c r="G2983" s="13">
        <v>248.0</v>
      </c>
      <c r="H2983" s="13">
        <v>885.0</v>
      </c>
      <c r="I2983" s="13">
        <v>25.0</v>
      </c>
      <c r="J2983" s="13">
        <v>0.0</v>
      </c>
      <c r="K2983" s="12" t="s">
        <v>21</v>
      </c>
      <c r="L2983" s="7">
        <v>40952.306597222225</v>
      </c>
      <c r="M2983" s="14" t="s">
        <v>11274</v>
      </c>
      <c r="N2983" s="14" t="s">
        <v>11275</v>
      </c>
      <c r="O2983" s="11" t="str">
        <f>HYPERLINK("https://pbs.twimg.com/profile_images/532547720490127360/I8h1WpVf_normal.jpeg","View")</f>
        <v>View</v>
      </c>
      <c r="P2983" s="15"/>
    </row>
    <row r="2984">
      <c r="A2984" s="7">
        <v>42426.3237037037</v>
      </c>
      <c r="B2984" s="8" t="str">
        <f>HYPERLINK("https://twitter.com/pacoramon","@pacoramon")</f>
        <v>@pacoramon</v>
      </c>
      <c r="C2984" s="10" t="s">
        <v>5643</v>
      </c>
      <c r="D2984" s="10" t="s">
        <v>11217</v>
      </c>
      <c r="E2984" s="11" t="str">
        <f>HYPERLINK("https://twitter.com/pacoramon/status/703244664325988354","703244664325988354")</f>
        <v>703244664325988354</v>
      </c>
      <c r="F2984" s="12" t="s">
        <v>52</v>
      </c>
      <c r="G2984" s="13">
        <v>808.0</v>
      </c>
      <c r="H2984" s="13">
        <v>2044.0</v>
      </c>
      <c r="I2984" s="13">
        <v>25.0</v>
      </c>
      <c r="J2984" s="13">
        <v>0.0</v>
      </c>
      <c r="K2984" s="12" t="s">
        <v>21</v>
      </c>
      <c r="L2984" s="7">
        <v>40023.25795138889</v>
      </c>
      <c r="M2984" s="14" t="s">
        <v>232</v>
      </c>
      <c r="N2984" s="14" t="s">
        <v>5644</v>
      </c>
      <c r="O2984" s="11" t="str">
        <f>HYPERLINK("https://pbs.twimg.com/profile_images/378800000859434127/2hj0SxQo_normal.jpeg","View")</f>
        <v>View</v>
      </c>
      <c r="P2984" s="15"/>
    </row>
    <row r="2985">
      <c r="A2985" s="7">
        <v>42426.32513888889</v>
      </c>
      <c r="B2985" s="8" t="str">
        <f>HYPERLINK("https://twitter.com/eFe_Gil","@eFe_Gil")</f>
        <v>@eFe_Gil</v>
      </c>
      <c r="C2985" s="10" t="s">
        <v>7601</v>
      </c>
      <c r="D2985" s="10" t="s">
        <v>11231</v>
      </c>
      <c r="E2985" s="11" t="str">
        <f>HYPERLINK("https://twitter.com/eFe_Gil/status/703245184239325184","703245184239325184")</f>
        <v>703245184239325184</v>
      </c>
      <c r="F2985" s="12" t="s">
        <v>20</v>
      </c>
      <c r="G2985" s="13">
        <v>43.0</v>
      </c>
      <c r="H2985" s="13">
        <v>64.0</v>
      </c>
      <c r="I2985" s="13">
        <v>9.0</v>
      </c>
      <c r="J2985" s="13">
        <v>0.0</v>
      </c>
      <c r="K2985" s="12" t="s">
        <v>21</v>
      </c>
      <c r="L2985" s="7">
        <v>41283.50839120371</v>
      </c>
      <c r="M2985" s="16"/>
      <c r="N2985" s="14" t="s">
        <v>7602</v>
      </c>
      <c r="O2985" s="11" t="str">
        <f>HYPERLINK("https://pbs.twimg.com/profile_images/674700358166388736/pWBofWfu_normal.jpg","View")</f>
        <v>View</v>
      </c>
      <c r="P2985" s="15"/>
    </row>
    <row r="2986">
      <c r="A2986" s="7">
        <v>42426.32528935185</v>
      </c>
      <c r="B2986" s="8" t="str">
        <f>HYPERLINK("https://twitter.com/pacoramon","@pacoramon")</f>
        <v>@pacoramon</v>
      </c>
      <c r="C2986" s="10" t="s">
        <v>5643</v>
      </c>
      <c r="D2986" s="10" t="s">
        <v>11231</v>
      </c>
      <c r="E2986" s="11" t="str">
        <f>HYPERLINK("https://twitter.com/pacoramon/status/703245238559776770","703245238559776770")</f>
        <v>703245238559776770</v>
      </c>
      <c r="F2986" s="12" t="s">
        <v>52</v>
      </c>
      <c r="G2986" s="13">
        <v>808.0</v>
      </c>
      <c r="H2986" s="13">
        <v>2044.0</v>
      </c>
      <c r="I2986" s="13">
        <v>9.0</v>
      </c>
      <c r="J2986" s="13">
        <v>0.0</v>
      </c>
      <c r="K2986" s="12" t="s">
        <v>21</v>
      </c>
      <c r="L2986" s="7">
        <v>40023.25795138889</v>
      </c>
      <c r="M2986" s="14" t="s">
        <v>232</v>
      </c>
      <c r="N2986" s="14" t="s">
        <v>5644</v>
      </c>
      <c r="O2986" s="11" t="str">
        <f>HYPERLINK("https://pbs.twimg.com/profile_images/378800000859434127/2hj0SxQo_normal.jpeg","View")</f>
        <v>View</v>
      </c>
      <c r="P2986" s="15"/>
    </row>
    <row r="2987">
      <c r="A2987" s="7">
        <v>42426.32552083333</v>
      </c>
      <c r="B2987" s="8" t="str">
        <f>HYPERLINK("https://twitter.com/swainjo","@swainjo")</f>
        <v>@swainjo</v>
      </c>
      <c r="C2987" s="10" t="s">
        <v>11032</v>
      </c>
      <c r="D2987" s="10" t="s">
        <v>11276</v>
      </c>
      <c r="E2987" s="11" t="str">
        <f>HYPERLINK("https://twitter.com/swainjo/status/703245325566414848","703245325566414848")</f>
        <v>703245325566414848</v>
      </c>
      <c r="F2987" s="12" t="s">
        <v>446</v>
      </c>
      <c r="G2987" s="13">
        <v>910.0</v>
      </c>
      <c r="H2987" s="13">
        <v>675.0</v>
      </c>
      <c r="I2987" s="13">
        <v>0.0</v>
      </c>
      <c r="J2987" s="13">
        <v>1.0</v>
      </c>
      <c r="K2987" s="12" t="s">
        <v>21</v>
      </c>
      <c r="L2987" s="7">
        <v>39619.41630787037</v>
      </c>
      <c r="M2987" s="14" t="s">
        <v>3687</v>
      </c>
      <c r="N2987" s="14" t="s">
        <v>11033</v>
      </c>
      <c r="O2987" s="11" t="str">
        <f>HYPERLINK("https://pbs.twimg.com/profile_images/998577429/FC19800101_015120_normal.jpg","View")</f>
        <v>View</v>
      </c>
      <c r="P2987" s="15"/>
    </row>
    <row r="2988">
      <c r="A2988" s="7">
        <v>42426.32553240741</v>
      </c>
      <c r="B2988" s="8" t="str">
        <f>HYPERLINK("https://twitter.com/bigboardsio","@bigboardsio")</f>
        <v>@bigboardsio</v>
      </c>
      <c r="C2988" s="10" t="s">
        <v>5651</v>
      </c>
      <c r="D2988" s="10" t="s">
        <v>11231</v>
      </c>
      <c r="E2988" s="11" t="str">
        <f>HYPERLINK("https://twitter.com/bigboardsio/status/703245328296878080","703245328296878080")</f>
        <v>703245328296878080</v>
      </c>
      <c r="F2988" s="12" t="s">
        <v>38</v>
      </c>
      <c r="G2988" s="13">
        <v>3089.0</v>
      </c>
      <c r="H2988" s="13">
        <v>2635.0</v>
      </c>
      <c r="I2988" s="13">
        <v>9.0</v>
      </c>
      <c r="J2988" s="13">
        <v>0.0</v>
      </c>
      <c r="K2988" s="12" t="s">
        <v>21</v>
      </c>
      <c r="L2988" s="7">
        <v>41449.67438657407</v>
      </c>
      <c r="M2988" s="14" t="s">
        <v>5652</v>
      </c>
      <c r="N2988" s="14" t="s">
        <v>5653</v>
      </c>
      <c r="O2988" s="11" t="str">
        <f>HYPERLINK("https://pbs.twimg.com/profile_images/489375332743409664/P4sYDY1__normal.png","View")</f>
        <v>View</v>
      </c>
      <c r="P2988" s="15"/>
    </row>
    <row r="2989">
      <c r="A2989" s="7">
        <v>42426.326053240744</v>
      </c>
      <c r="B2989" s="8" t="str">
        <f>HYPERLINK("https://twitter.com/VerbingNouns","@VerbingNouns")</f>
        <v>@VerbingNouns</v>
      </c>
      <c r="C2989" s="10" t="s">
        <v>11277</v>
      </c>
      <c r="D2989" s="10" t="s">
        <v>10628</v>
      </c>
      <c r="E2989" s="11" t="str">
        <f>HYPERLINK("https://twitter.com/VerbingNouns/status/703245516973289473","703245516973289473")</f>
        <v>703245516973289473</v>
      </c>
      <c r="F2989" s="12" t="s">
        <v>152</v>
      </c>
      <c r="G2989" s="13">
        <v>1929.0</v>
      </c>
      <c r="H2989" s="13">
        <v>308.0</v>
      </c>
      <c r="I2989" s="13">
        <v>9.0</v>
      </c>
      <c r="J2989" s="13">
        <v>0.0</v>
      </c>
      <c r="K2989" s="12" t="s">
        <v>21</v>
      </c>
      <c r="L2989" s="7">
        <v>40053.49451388889</v>
      </c>
      <c r="M2989" s="14" t="s">
        <v>11278</v>
      </c>
      <c r="N2989" s="14" t="s">
        <v>11279</v>
      </c>
      <c r="O2989" s="11" t="str">
        <f>HYPERLINK("https://pbs.twimg.com/profile_images/685552795554992128/p9vix-G3_normal.jpg","View")</f>
        <v>View</v>
      </c>
      <c r="P2989" s="15"/>
    </row>
    <row r="2990">
      <c r="A2990" s="7">
        <v>42426.32628472222</v>
      </c>
      <c r="B2990" s="8" t="str">
        <f>HYPERLINK("https://twitter.com/semevadlalengua","@semevadlalengua")</f>
        <v>@semevadlalengua</v>
      </c>
      <c r="C2990" s="10" t="s">
        <v>11280</v>
      </c>
      <c r="D2990" s="10" t="s">
        <v>10628</v>
      </c>
      <c r="E2990" s="11" t="str">
        <f>HYPERLINK("https://twitter.com/semevadlalengua/status/703245599424942080","703245599424942080")</f>
        <v>703245599424942080</v>
      </c>
      <c r="F2990" s="12" t="s">
        <v>446</v>
      </c>
      <c r="G2990" s="13">
        <v>668.0</v>
      </c>
      <c r="H2990" s="13">
        <v>860.0</v>
      </c>
      <c r="I2990" s="13">
        <v>9.0</v>
      </c>
      <c r="J2990" s="13">
        <v>0.0</v>
      </c>
      <c r="K2990" s="12" t="s">
        <v>21</v>
      </c>
      <c r="L2990" s="7">
        <v>40680.58541666667</v>
      </c>
      <c r="M2990" s="14" t="s">
        <v>11281</v>
      </c>
      <c r="N2990" s="14" t="s">
        <v>11282</v>
      </c>
      <c r="O2990" s="11" t="str">
        <f>HYPERLINK("https://pbs.twimg.com/profile_images/686255522618732544/taQUosL2_normal.jpg","View")</f>
        <v>View</v>
      </c>
      <c r="P2990" s="15"/>
    </row>
    <row r="2991">
      <c r="A2991" s="7">
        <v>42426.32671296297</v>
      </c>
      <c r="B2991" s="8" t="str">
        <f>HYPERLINK("https://twitter.com/ChCariou","@ChCariou")</f>
        <v>@ChCariou</v>
      </c>
      <c r="C2991" s="10" t="s">
        <v>10159</v>
      </c>
      <c r="D2991" s="10" t="s">
        <v>11283</v>
      </c>
      <c r="E2991" s="11" t="str">
        <f>HYPERLINK("https://twitter.com/ChCariou/status/703245756405256196","703245756405256196")</f>
        <v>703245756405256196</v>
      </c>
      <c r="F2991" s="12" t="s">
        <v>20</v>
      </c>
      <c r="G2991" s="13">
        <v>402.0</v>
      </c>
      <c r="H2991" s="13">
        <v>442.0</v>
      </c>
      <c r="I2991" s="13">
        <v>1.0</v>
      </c>
      <c r="J2991" s="13">
        <v>1.0</v>
      </c>
      <c r="K2991" s="12" t="s">
        <v>21</v>
      </c>
      <c r="L2991" s="7">
        <v>40836.00261574074</v>
      </c>
      <c r="M2991" s="14" t="s">
        <v>10161</v>
      </c>
      <c r="N2991" s="14" t="s">
        <v>10162</v>
      </c>
      <c r="O2991" s="11" t="str">
        <f>HYPERLINK("https://pbs.twimg.com/profile_images/646034538691461121/EtcgHvoh_normal.jpg","View")</f>
        <v>View</v>
      </c>
      <c r="P2991" s="15"/>
    </row>
    <row r="2992">
      <c r="A2992" s="7">
        <v>42426.32680555555</v>
      </c>
      <c r="B2992" s="8" t="str">
        <f>HYPERLINK("https://twitter.com/liu_yulun","@liu_yulun")</f>
        <v>@liu_yulun</v>
      </c>
      <c r="C2992" s="10" t="s">
        <v>11284</v>
      </c>
      <c r="D2992" s="10" t="s">
        <v>11217</v>
      </c>
      <c r="E2992" s="11" t="str">
        <f>HYPERLINK("https://twitter.com/liu_yulun/status/703245790865559552","703245790865559552")</f>
        <v>703245790865559552</v>
      </c>
      <c r="F2992" s="12" t="s">
        <v>152</v>
      </c>
      <c r="G2992" s="13">
        <v>67.0</v>
      </c>
      <c r="H2992" s="13">
        <v>454.0</v>
      </c>
      <c r="I2992" s="13">
        <v>25.0</v>
      </c>
      <c r="J2992" s="13">
        <v>0.0</v>
      </c>
      <c r="K2992" s="12" t="s">
        <v>21</v>
      </c>
      <c r="L2992" s="7">
        <v>41428.95578703703</v>
      </c>
      <c r="M2992" s="16"/>
      <c r="N2992" s="16"/>
      <c r="O2992" s="11" t="str">
        <f>HYPERLINK("https://abs.twimg.com/sticky/default_profile_images/default_profile_6_normal.png","View")</f>
        <v>View</v>
      </c>
      <c r="P2992" s="15"/>
    </row>
    <row r="2993">
      <c r="A2993" s="7">
        <v>42426.32686342593</v>
      </c>
      <c r="B2993" s="8" t="str">
        <f>HYPERLINK("https://twitter.com/keannka","@keannka")</f>
        <v>@keannka</v>
      </c>
      <c r="C2993" s="10" t="s">
        <v>11285</v>
      </c>
      <c r="D2993" s="10" t="s">
        <v>10628</v>
      </c>
      <c r="E2993" s="11" t="str">
        <f>HYPERLINK("https://twitter.com/keannka/status/703245809073197056","703245809073197056")</f>
        <v>703245809073197056</v>
      </c>
      <c r="F2993" s="12" t="s">
        <v>20</v>
      </c>
      <c r="G2993" s="13">
        <v>266.0</v>
      </c>
      <c r="H2993" s="13">
        <v>877.0</v>
      </c>
      <c r="I2993" s="13">
        <v>9.0</v>
      </c>
      <c r="J2993" s="13">
        <v>0.0</v>
      </c>
      <c r="K2993" s="12" t="s">
        <v>21</v>
      </c>
      <c r="L2993" s="7">
        <v>39775.743009259255</v>
      </c>
      <c r="M2993" s="14" t="s">
        <v>11286</v>
      </c>
      <c r="N2993" s="14" t="s">
        <v>11287</v>
      </c>
      <c r="O2993" s="11" t="str">
        <f>HYPERLINK("https://pbs.twimg.com/profile_images/617153494022275072/5L7JYGII_normal.jpg","View")</f>
        <v>View</v>
      </c>
      <c r="P2993" s="15"/>
    </row>
    <row r="2994">
      <c r="A2994" s="7">
        <v>42426.32734953704</v>
      </c>
      <c r="B2994" s="8" t="str">
        <f>HYPERLINK("https://twitter.com/StefanZeiger","@StefanZeiger")</f>
        <v>@StefanZeiger</v>
      </c>
      <c r="C2994" s="10" t="s">
        <v>11288</v>
      </c>
      <c r="D2994" s="10" t="s">
        <v>6773</v>
      </c>
      <c r="E2994" s="11" t="str">
        <f>HYPERLINK("https://twitter.com/StefanZeiger/status/703245985699504128","703245985699504128")</f>
        <v>703245985699504128</v>
      </c>
      <c r="F2994" s="12" t="s">
        <v>20</v>
      </c>
      <c r="G2994" s="13">
        <v>2100.0</v>
      </c>
      <c r="H2994" s="13">
        <v>176.0</v>
      </c>
      <c r="I2994" s="13">
        <v>61.0</v>
      </c>
      <c r="J2994" s="13">
        <v>0.0</v>
      </c>
      <c r="K2994" s="12" t="s">
        <v>21</v>
      </c>
      <c r="L2994" s="7">
        <v>40320.533796296295</v>
      </c>
      <c r="M2994" s="14" t="s">
        <v>11289</v>
      </c>
      <c r="N2994" s="14" t="s">
        <v>11290</v>
      </c>
      <c r="O2994" s="11" t="str">
        <f>HYPERLINK("https://pbs.twimg.com/profile_images/1082018577/szeiger_normal.jpg","View")</f>
        <v>View</v>
      </c>
      <c r="P2994" s="15"/>
    </row>
    <row r="2995">
      <c r="A2995" s="7">
        <v>42426.327951388885</v>
      </c>
      <c r="B2995" s="8" t="str">
        <f>HYPERLINK("https://twitter.com/jrdnmdhl","@jrdnmdhl")</f>
        <v>@jrdnmdhl</v>
      </c>
      <c r="C2995" s="10" t="s">
        <v>8749</v>
      </c>
      <c r="D2995" s="10" t="s">
        <v>11291</v>
      </c>
      <c r="E2995" s="11" t="str">
        <f>HYPERLINK("https://twitter.com/jrdnmdhl/status/703246202746355712","703246202746355712")</f>
        <v>703246202746355712</v>
      </c>
      <c r="F2995" s="12" t="s">
        <v>20</v>
      </c>
      <c r="G2995" s="13">
        <v>47.0</v>
      </c>
      <c r="H2995" s="13">
        <v>226.0</v>
      </c>
      <c r="I2995" s="13">
        <v>1.0</v>
      </c>
      <c r="J2995" s="13">
        <v>0.0</v>
      </c>
      <c r="K2995" s="12" t="s">
        <v>21</v>
      </c>
      <c r="L2995" s="7">
        <v>42378.92321759259</v>
      </c>
      <c r="M2995" s="14" t="s">
        <v>8751</v>
      </c>
      <c r="N2995" s="14" t="s">
        <v>8752</v>
      </c>
      <c r="O2995" s="11" t="str">
        <f>HYPERLINK("https://pbs.twimg.com/profile_images/686829356220608512/Xvuztyrm_normal.jpg","View")</f>
        <v>View</v>
      </c>
      <c r="P2995" s="15"/>
    </row>
    <row r="2996">
      <c r="A2996" s="7">
        <v>42426.3284837963</v>
      </c>
      <c r="B2996" s="8" t="str">
        <f>HYPERLINK("https://twitter.com/ErikM727","@ErikM727")</f>
        <v>@ErikM727</v>
      </c>
      <c r="C2996" s="10" t="s">
        <v>11292</v>
      </c>
      <c r="D2996" s="10" t="s">
        <v>11217</v>
      </c>
      <c r="E2996" s="11" t="str">
        <f>HYPERLINK("https://twitter.com/ErikM727/status/703246397827641344","703246397827641344")</f>
        <v>703246397827641344</v>
      </c>
      <c r="F2996" s="12" t="s">
        <v>52</v>
      </c>
      <c r="G2996" s="13">
        <v>67.0</v>
      </c>
      <c r="H2996" s="13">
        <v>117.0</v>
      </c>
      <c r="I2996" s="13">
        <v>25.0</v>
      </c>
      <c r="J2996" s="13">
        <v>0.0</v>
      </c>
      <c r="K2996" s="12" t="s">
        <v>21</v>
      </c>
      <c r="L2996" s="7">
        <v>42019.28582175926</v>
      </c>
      <c r="M2996" s="16"/>
      <c r="N2996" s="14" t="s">
        <v>11293</v>
      </c>
      <c r="O2996" s="11" t="str">
        <f>HYPERLINK("https://abs.twimg.com/sticky/default_profile_images/default_profile_2_normal.png","View")</f>
        <v>View</v>
      </c>
      <c r="P2996" s="15"/>
    </row>
    <row r="2997">
      <c r="A2997" s="7">
        <v>42426.33049768519</v>
      </c>
      <c r="B2997" s="8" t="str">
        <f>HYPERLINK("https://twitter.com/tripartio","@tripartio")</f>
        <v>@tripartio</v>
      </c>
      <c r="C2997" s="10" t="s">
        <v>6827</v>
      </c>
      <c r="D2997" s="10" t="s">
        <v>11294</v>
      </c>
      <c r="E2997" s="11" t="str">
        <f>HYPERLINK("https://twitter.com/tripartio/status/703247125644230656","703247125644230656")</f>
        <v>703247125644230656</v>
      </c>
      <c r="F2997" s="12" t="s">
        <v>446</v>
      </c>
      <c r="G2997" s="13">
        <v>33.0</v>
      </c>
      <c r="H2997" s="13">
        <v>64.0</v>
      </c>
      <c r="I2997" s="13">
        <v>0.0</v>
      </c>
      <c r="J2997" s="13">
        <v>0.0</v>
      </c>
      <c r="K2997" s="12" t="s">
        <v>21</v>
      </c>
      <c r="L2997" s="7">
        <v>41946.83112268519</v>
      </c>
      <c r="M2997" s="14" t="s">
        <v>1806</v>
      </c>
      <c r="N2997" s="14" t="s">
        <v>6829</v>
      </c>
      <c r="O2997" s="11" t="str">
        <f>HYPERLINK("https://pbs.twimg.com/profile_images/529482878543867904/H-UGY1d0_normal.png","View")</f>
        <v>View</v>
      </c>
      <c r="P2997" s="15"/>
    </row>
    <row r="2998">
      <c r="A2998" s="7">
        <v>42426.33163194444</v>
      </c>
      <c r="B2998" s="8" t="str">
        <f>HYPERLINK("https://twitter.com/edwindjonge","@edwindjonge")</f>
        <v>@edwindjonge</v>
      </c>
      <c r="C2998" s="10" t="s">
        <v>9299</v>
      </c>
      <c r="D2998" s="10" t="s">
        <v>10527</v>
      </c>
      <c r="E2998" s="11" t="str">
        <f>HYPERLINK("https://twitter.com/edwindjonge/status/703247539391303682","703247539391303682")</f>
        <v>703247539391303682</v>
      </c>
      <c r="F2998" s="12" t="s">
        <v>152</v>
      </c>
      <c r="G2998" s="13">
        <v>235.0</v>
      </c>
      <c r="H2998" s="13">
        <v>516.0</v>
      </c>
      <c r="I2998" s="13">
        <v>3.0</v>
      </c>
      <c r="J2998" s="13">
        <v>0.0</v>
      </c>
      <c r="K2998" s="12" t="s">
        <v>21</v>
      </c>
      <c r="L2998" s="7">
        <v>41201.126539351855</v>
      </c>
      <c r="M2998" s="14" t="s">
        <v>9300</v>
      </c>
      <c r="N2998" s="14" t="s">
        <v>9301</v>
      </c>
      <c r="O2998" s="11" t="str">
        <f>HYPERLINK("https://pbs.twimg.com/profile_images/2885910319/315395bcb6ecce9fc9d94ddd95a49679_normal.jpeg","View")</f>
        <v>View</v>
      </c>
      <c r="P2998" s="15"/>
    </row>
    <row r="2999">
      <c r="A2999" s="7">
        <v>42426.33195601852</v>
      </c>
      <c r="B2999" s="8" t="str">
        <f>HYPERLINK("https://twitter.com/Mairos_B","@Mairos_B")</f>
        <v>@Mairos_B</v>
      </c>
      <c r="C2999" s="10" t="s">
        <v>7763</v>
      </c>
      <c r="D2999" s="10" t="s">
        <v>11217</v>
      </c>
      <c r="E2999" s="11" t="str">
        <f>HYPERLINK("https://twitter.com/Mairos_B/status/703247654260776962","703247654260776962")</f>
        <v>703247654260776962</v>
      </c>
      <c r="F2999" s="12" t="s">
        <v>20</v>
      </c>
      <c r="G2999" s="13">
        <v>54.0</v>
      </c>
      <c r="H2999" s="13">
        <v>48.0</v>
      </c>
      <c r="I2999" s="13">
        <v>25.0</v>
      </c>
      <c r="J2999" s="13">
        <v>0.0</v>
      </c>
      <c r="K2999" s="12" t="s">
        <v>21</v>
      </c>
      <c r="L2999" s="7">
        <v>42255.493206018524</v>
      </c>
      <c r="M2999" s="14" t="s">
        <v>7764</v>
      </c>
      <c r="N2999" s="14" t="s">
        <v>7765</v>
      </c>
      <c r="O2999" s="11" t="str">
        <f>HYPERLINK("https://pbs.twimg.com/profile_images/674745269339189252/a3K1eGSs_normal.jpg","View")</f>
        <v>View</v>
      </c>
      <c r="P2999" s="15"/>
    </row>
    <row r="3000">
      <c r="A3000" s="7">
        <v>42426.33211805555</v>
      </c>
      <c r="B3000" s="8" t="str">
        <f>HYPERLINK("https://twitter.com/Emaasit","@Emaasit")</f>
        <v>@Emaasit</v>
      </c>
      <c r="C3000" s="10" t="s">
        <v>7313</v>
      </c>
      <c r="D3000" s="10" t="s">
        <v>10455</v>
      </c>
      <c r="E3000" s="11" t="str">
        <f>HYPERLINK("https://twitter.com/Emaasit/status/703247715338027008","703247715338027008")</f>
        <v>703247715338027008</v>
      </c>
      <c r="F3000" s="12" t="s">
        <v>152</v>
      </c>
      <c r="G3000" s="13">
        <v>1025.0</v>
      </c>
      <c r="H3000" s="13">
        <v>2909.0</v>
      </c>
      <c r="I3000" s="13">
        <v>22.0</v>
      </c>
      <c r="J3000" s="13">
        <v>0.0</v>
      </c>
      <c r="K3000" s="12" t="s">
        <v>21</v>
      </c>
      <c r="L3000" s="7">
        <v>39981.148981481485</v>
      </c>
      <c r="M3000" s="14" t="s">
        <v>7315</v>
      </c>
      <c r="N3000" s="14" t="s">
        <v>7316</v>
      </c>
      <c r="O3000" s="11" t="str">
        <f>HYPERLINK("https://pbs.twimg.com/profile_images/567588045927354370/NN8xp_M5_normal.jpeg","View")</f>
        <v>View</v>
      </c>
      <c r="P3000" s="15"/>
    </row>
    <row r="3001">
      <c r="A3001" s="7">
        <v>42426.33535879629</v>
      </c>
      <c r="B3001" s="8" t="str">
        <f>HYPERLINK("https://twitter.com/CjMrcamiel","@CjMrcamiel")</f>
        <v>@CjMrcamiel</v>
      </c>
      <c r="C3001" s="10" t="s">
        <v>7701</v>
      </c>
      <c r="D3001" s="10" t="s">
        <v>11217</v>
      </c>
      <c r="E3001" s="11" t="str">
        <f>HYPERLINK("https://twitter.com/CjMrcamiel/status/703248890556887042","703248890556887042")</f>
        <v>703248890556887042</v>
      </c>
      <c r="F3001" s="12" t="s">
        <v>52</v>
      </c>
      <c r="G3001" s="13">
        <v>11.0</v>
      </c>
      <c r="H3001" s="13">
        <v>24.0</v>
      </c>
      <c r="I3001" s="13">
        <v>25.0</v>
      </c>
      <c r="J3001" s="13">
        <v>0.0</v>
      </c>
      <c r="K3001" s="12" t="s">
        <v>21</v>
      </c>
      <c r="L3001" s="7">
        <v>41455.6708912037</v>
      </c>
      <c r="M3001" s="16"/>
      <c r="N3001" s="16"/>
      <c r="O3001" s="11" t="str">
        <f>HYPERLINK("https://pbs.twimg.com/profile_images/378800000254021542/887553be439db2d83c346af322b2e8ec_normal.jpeg","View")</f>
        <v>View</v>
      </c>
      <c r="P3001" s="15"/>
    </row>
    <row r="3002">
      <c r="A3002" s="7">
        <v>42426.336863425924</v>
      </c>
      <c r="B3002" s="8" t="str">
        <f>HYPERLINK("https://twitter.com/exaptive","@exaptive")</f>
        <v>@exaptive</v>
      </c>
      <c r="C3002" s="10" t="s">
        <v>7410</v>
      </c>
      <c r="D3002" s="10" t="s">
        <v>11295</v>
      </c>
      <c r="E3002" s="11" t="str">
        <f>HYPERLINK("https://twitter.com/exaptive/status/703249432687550464","703249432687550464")</f>
        <v>703249432687550464</v>
      </c>
      <c r="F3002" s="12" t="s">
        <v>2737</v>
      </c>
      <c r="G3002" s="13">
        <v>379.0</v>
      </c>
      <c r="H3002" s="13">
        <v>301.0</v>
      </c>
      <c r="I3002" s="13">
        <v>0.0</v>
      </c>
      <c r="J3002" s="13">
        <v>2.0</v>
      </c>
      <c r="K3002" s="12" t="s">
        <v>21</v>
      </c>
      <c r="L3002" s="7">
        <v>41727.46494212963</v>
      </c>
      <c r="M3002" s="14" t="s">
        <v>1660</v>
      </c>
      <c r="N3002" s="14" t="s">
        <v>7412</v>
      </c>
      <c r="O3002" s="11" t="str">
        <f>HYPERLINK("https://pbs.twimg.com/profile_images/449982291742183424/FExvLFdl_normal.png","View")</f>
        <v>View</v>
      </c>
      <c r="P3002" s="15"/>
    </row>
    <row r="3003">
      <c r="A3003" s="7">
        <v>42426.33699074074</v>
      </c>
      <c r="B3003" s="8" t="str">
        <f t="shared" ref="B3003:B3004" si="319">HYPERLINK("https://twitter.com/MarcosFontela","@MarcosFontela")</f>
        <v>@MarcosFontela</v>
      </c>
      <c r="C3003" s="10" t="s">
        <v>11296</v>
      </c>
      <c r="D3003" s="10" t="s">
        <v>11297</v>
      </c>
      <c r="E3003" s="11" t="str">
        <f>HYPERLINK("https://twitter.com/MarcosFontela/status/703249481970622467","703249481970622467")</f>
        <v>703249481970622467</v>
      </c>
      <c r="F3003" s="12" t="s">
        <v>52</v>
      </c>
      <c r="G3003" s="13">
        <v>145.0</v>
      </c>
      <c r="H3003" s="13">
        <v>426.0</v>
      </c>
      <c r="I3003" s="13">
        <v>1.0</v>
      </c>
      <c r="J3003" s="13">
        <v>0.0</v>
      </c>
      <c r="K3003" s="12" t="s">
        <v>21</v>
      </c>
      <c r="L3003" s="7">
        <v>41688.37605324074</v>
      </c>
      <c r="M3003" s="14" t="s">
        <v>11298</v>
      </c>
      <c r="N3003" s="14" t="s">
        <v>11299</v>
      </c>
      <c r="O3003" s="11" t="str">
        <f t="shared" ref="O3003:O3004" si="320">HYPERLINK("https://pbs.twimg.com/profile_images/657225471109627904/WMoGNEGJ_normal.jpg","View")</f>
        <v>View</v>
      </c>
      <c r="P3003" s="15"/>
    </row>
    <row r="3004">
      <c r="A3004" s="7">
        <v>42426.33820601852</v>
      </c>
      <c r="B3004" s="8" t="str">
        <f t="shared" si="319"/>
        <v>@MarcosFontela</v>
      </c>
      <c r="C3004" s="10" t="s">
        <v>11296</v>
      </c>
      <c r="D3004" s="10" t="s">
        <v>11300</v>
      </c>
      <c r="E3004" s="11" t="str">
        <f>HYPERLINK("https://twitter.com/MarcosFontela/status/703249919105220609","703249919105220609")</f>
        <v>703249919105220609</v>
      </c>
      <c r="F3004" s="12" t="s">
        <v>52</v>
      </c>
      <c r="G3004" s="13">
        <v>145.0</v>
      </c>
      <c r="H3004" s="13">
        <v>426.0</v>
      </c>
      <c r="I3004" s="13">
        <v>1.0</v>
      </c>
      <c r="J3004" s="13">
        <v>0.0</v>
      </c>
      <c r="K3004" s="12" t="s">
        <v>21</v>
      </c>
      <c r="L3004" s="7">
        <v>41688.37605324074</v>
      </c>
      <c r="M3004" s="14" t="s">
        <v>11298</v>
      </c>
      <c r="N3004" s="14" t="s">
        <v>11299</v>
      </c>
      <c r="O3004" s="11" t="str">
        <f t="shared" si="320"/>
        <v>View</v>
      </c>
      <c r="P3004" s="15"/>
    </row>
    <row r="3005">
      <c r="A3005" s="7">
        <v>42426.33956018518</v>
      </c>
      <c r="B3005" s="8" t="str">
        <f>HYPERLINK("https://twitter.com/lapply","@lapply")</f>
        <v>@lapply</v>
      </c>
      <c r="C3005" s="10" t="s">
        <v>11301</v>
      </c>
      <c r="D3005" s="10" t="s">
        <v>11302</v>
      </c>
      <c r="E3005" s="11" t="str">
        <f>HYPERLINK("https://twitter.com/lapply/status/703250412405702656","703250412405702656")</f>
        <v>703250412405702656</v>
      </c>
      <c r="F3005" s="12" t="s">
        <v>446</v>
      </c>
      <c r="G3005" s="13">
        <v>102.0</v>
      </c>
      <c r="H3005" s="13">
        <v>58.0</v>
      </c>
      <c r="I3005" s="13">
        <v>0.0</v>
      </c>
      <c r="J3005" s="13">
        <v>1.0</v>
      </c>
      <c r="K3005" s="12" t="s">
        <v>21</v>
      </c>
      <c r="L3005" s="7">
        <v>40554.65761574074</v>
      </c>
      <c r="M3005" s="14" t="s">
        <v>132</v>
      </c>
      <c r="N3005" s="14" t="s">
        <v>11303</v>
      </c>
      <c r="O3005" s="11" t="str">
        <f>HYPERLINK("https://pbs.twimg.com/profile_images/671264548473712641/0ReHbQ1S_normal.jpg","View")</f>
        <v>View</v>
      </c>
      <c r="P3005" s="15"/>
    </row>
    <row r="3006">
      <c r="A3006" s="7">
        <v>42426.339733796296</v>
      </c>
      <c r="B3006" s="8" t="str">
        <f>HYPERLINK("https://twitter.com/DataWookie","@DataWookie")</f>
        <v>@DataWookie</v>
      </c>
      <c r="C3006" s="10" t="s">
        <v>6231</v>
      </c>
      <c r="D3006" s="10" t="s">
        <v>11304</v>
      </c>
      <c r="E3006" s="11" t="str">
        <f>HYPERLINK("https://twitter.com/DataWookie/status/703250474175102976","703250474175102976")</f>
        <v>703250474175102976</v>
      </c>
      <c r="F3006" s="12" t="s">
        <v>6233</v>
      </c>
      <c r="G3006" s="13">
        <v>426.0</v>
      </c>
      <c r="H3006" s="13">
        <v>296.0</v>
      </c>
      <c r="I3006" s="13">
        <v>0.0</v>
      </c>
      <c r="J3006" s="13">
        <v>0.0</v>
      </c>
      <c r="K3006" s="12" t="s">
        <v>21</v>
      </c>
      <c r="L3006" s="7">
        <v>42166.966678240744</v>
      </c>
      <c r="M3006" s="14" t="s">
        <v>6234</v>
      </c>
      <c r="N3006" s="14" t="s">
        <v>6235</v>
      </c>
      <c r="O3006" s="11" t="str">
        <f>HYPERLINK("https://pbs.twimg.com/profile_images/612471608725213184/eXKo2Kmo_normal.jpg","View")</f>
        <v>View</v>
      </c>
      <c r="P3006" s="15"/>
    </row>
    <row r="3007">
      <c r="A3007" s="7">
        <v>42426.34101851852</v>
      </c>
      <c r="B3007" s="8" t="str">
        <f>HYPERLINK("https://twitter.com/fjalolop000","@fjalolop000")</f>
        <v>@fjalolop000</v>
      </c>
      <c r="C3007" s="10" t="s">
        <v>6576</v>
      </c>
      <c r="D3007" s="10" t="s">
        <v>10852</v>
      </c>
      <c r="E3007" s="11" t="str">
        <f>HYPERLINK("https://twitter.com/fjalolop000/status/703250938308517888","703250938308517888")</f>
        <v>703250938308517888</v>
      </c>
      <c r="F3007" s="12" t="s">
        <v>152</v>
      </c>
      <c r="G3007" s="13">
        <v>16.0</v>
      </c>
      <c r="H3007" s="13">
        <v>54.0</v>
      </c>
      <c r="I3007" s="13">
        <v>13.0</v>
      </c>
      <c r="J3007" s="13">
        <v>0.0</v>
      </c>
      <c r="K3007" s="12" t="s">
        <v>21</v>
      </c>
      <c r="L3007" s="7">
        <v>41617.3140625</v>
      </c>
      <c r="M3007" s="16"/>
      <c r="N3007" s="16"/>
      <c r="O3007" s="11" t="str">
        <f>HYPERLINK("https://pbs.twimg.com/profile_images/576799609873428480/V8akQ-mi_normal.jpeg","View")</f>
        <v>View</v>
      </c>
      <c r="P3007" s="15"/>
    </row>
    <row r="3008">
      <c r="A3008" s="7">
        <v>42426.342835648145</v>
      </c>
      <c r="B3008" s="8" t="str">
        <f>HYPERLINK("https://twitter.com/CRANberriesFeed","@CRANberriesFeed")</f>
        <v>@CRANberriesFeed</v>
      </c>
      <c r="C3008" s="10" t="s">
        <v>6282</v>
      </c>
      <c r="D3008" s="10" t="s">
        <v>11305</v>
      </c>
      <c r="E3008" s="11" t="str">
        <f>HYPERLINK("https://twitter.com/CRANberriesFeed/status/703251599670571008","703251599670571008")</f>
        <v>703251599670571008</v>
      </c>
      <c r="F3008" s="12" t="s">
        <v>6284</v>
      </c>
      <c r="G3008" s="13">
        <v>657.0</v>
      </c>
      <c r="H3008" s="13">
        <v>0.0</v>
      </c>
      <c r="I3008" s="13">
        <v>0.0</v>
      </c>
      <c r="J3008" s="13">
        <v>0.0</v>
      </c>
      <c r="K3008" s="12" t="s">
        <v>21</v>
      </c>
      <c r="L3008" s="7">
        <v>40546.353425925925</v>
      </c>
      <c r="M3008" s="14" t="s">
        <v>1158</v>
      </c>
      <c r="N3008" s="16"/>
      <c r="O3008" s="11" t="str">
        <f>HYPERLINK("https://pbs.twimg.com/profile_images/1222779560/cran1_normal.jpg","View")</f>
        <v>View</v>
      </c>
      <c r="P3008" s="15"/>
    </row>
    <row r="3009">
      <c r="A3009" s="7">
        <v>42426.34322916667</v>
      </c>
      <c r="B3009" s="8" t="str">
        <f>HYPERLINK("https://twitter.com/AntoViral","@AntoViral")</f>
        <v>@AntoViral</v>
      </c>
      <c r="C3009" s="10" t="s">
        <v>7805</v>
      </c>
      <c r="D3009" s="10" t="s">
        <v>11306</v>
      </c>
      <c r="E3009" s="11" t="str">
        <f>HYPERLINK("https://twitter.com/AntoViral/status/703251739273797632","703251739273797632")</f>
        <v>703251739273797632</v>
      </c>
      <c r="F3009" s="12" t="s">
        <v>152</v>
      </c>
      <c r="G3009" s="13">
        <v>220.0</v>
      </c>
      <c r="H3009" s="13">
        <v>295.0</v>
      </c>
      <c r="I3009" s="13">
        <v>0.0</v>
      </c>
      <c r="J3009" s="13">
        <v>0.0</v>
      </c>
      <c r="K3009" s="12" t="s">
        <v>21</v>
      </c>
      <c r="L3009" s="7">
        <v>41604.57907407408</v>
      </c>
      <c r="M3009" s="16"/>
      <c r="N3009" s="14" t="s">
        <v>7806</v>
      </c>
      <c r="O3009" s="11" t="str">
        <f>HYPERLINK("https://pbs.twimg.com/profile_images/378800000794889152/545ea4ed01fbb17969822e1ee9b0f3fa_normal.jpeg","View")</f>
        <v>View</v>
      </c>
      <c r="P3009" s="15"/>
    </row>
    <row r="3010">
      <c r="A3010" s="7">
        <v>42426.34409722222</v>
      </c>
      <c r="B3010" s="8" t="str">
        <f>HYPERLINK("https://twitter.com/EleanorJennin11","@EleanorJennin11")</f>
        <v>@EleanorJennin11</v>
      </c>
      <c r="C3010" s="10" t="s">
        <v>11307</v>
      </c>
      <c r="D3010" s="10" t="s">
        <v>10569</v>
      </c>
      <c r="E3010" s="11" t="str">
        <f>HYPERLINK("https://twitter.com/EleanorJennin11/status/703252055134236672","703252055134236672")</f>
        <v>703252055134236672</v>
      </c>
      <c r="F3010" s="12" t="s">
        <v>20</v>
      </c>
      <c r="G3010" s="13">
        <v>107.0</v>
      </c>
      <c r="H3010" s="13">
        <v>74.0</v>
      </c>
      <c r="I3010" s="13">
        <v>7.0</v>
      </c>
      <c r="J3010" s="13">
        <v>0.0</v>
      </c>
      <c r="K3010" s="12" t="s">
        <v>21</v>
      </c>
      <c r="L3010" s="7">
        <v>41325.537245370375</v>
      </c>
      <c r="M3010" s="16"/>
      <c r="N3010" s="16"/>
      <c r="O3010" s="11" t="str">
        <f>HYPERLINK("https://pbs.twimg.com/profile_images/634853199871090688/sW-g7hZa_normal.jpg","View")</f>
        <v>View</v>
      </c>
      <c r="P3010" s="15"/>
    </row>
    <row r="3011">
      <c r="A3011" s="7">
        <v>42426.34423611111</v>
      </c>
      <c r="B3011" s="8" t="str">
        <f>HYPERLINK("https://twitter.com/AntoViral","@AntoViral")</f>
        <v>@AntoViral</v>
      </c>
      <c r="C3011" s="10" t="s">
        <v>7805</v>
      </c>
      <c r="D3011" s="10" t="s">
        <v>11308</v>
      </c>
      <c r="E3011" s="11" t="str">
        <f>HYPERLINK("https://twitter.com/AntoViral/status/703252105717555201","703252105717555201")</f>
        <v>703252105717555201</v>
      </c>
      <c r="F3011" s="12" t="s">
        <v>152</v>
      </c>
      <c r="G3011" s="13">
        <v>220.0</v>
      </c>
      <c r="H3011" s="13">
        <v>295.0</v>
      </c>
      <c r="I3011" s="13">
        <v>0.0</v>
      </c>
      <c r="J3011" s="13">
        <v>1.0</v>
      </c>
      <c r="K3011" s="12" t="s">
        <v>21</v>
      </c>
      <c r="L3011" s="7">
        <v>41604.57907407408</v>
      </c>
      <c r="M3011" s="16"/>
      <c r="N3011" s="14" t="s">
        <v>7806</v>
      </c>
      <c r="O3011" s="11" t="str">
        <f>HYPERLINK("https://pbs.twimg.com/profile_images/378800000794889152/545ea4ed01fbb17969822e1ee9b0f3fa_normal.jpeg","View")</f>
        <v>View</v>
      </c>
      <c r="P3011" s="15"/>
    </row>
    <row r="3012">
      <c r="A3012" s="7">
        <v>42426.346041666664</v>
      </c>
      <c r="B3012" s="8" t="str">
        <f>HYPERLINK("https://twitter.com/SteffLocke","@SteffLocke")</f>
        <v>@SteffLocke</v>
      </c>
      <c r="C3012" s="10" t="s">
        <v>9035</v>
      </c>
      <c r="D3012" s="10" t="s">
        <v>10767</v>
      </c>
      <c r="E3012" s="11" t="str">
        <f>HYPERLINK("https://twitter.com/SteffLocke/status/703252758820954112","703252758820954112")</f>
        <v>703252758820954112</v>
      </c>
      <c r="F3012" s="12" t="s">
        <v>20</v>
      </c>
      <c r="G3012" s="13">
        <v>951.0</v>
      </c>
      <c r="H3012" s="13">
        <v>700.0</v>
      </c>
      <c r="I3012" s="13">
        <v>7.0</v>
      </c>
      <c r="J3012" s="13">
        <v>0.0</v>
      </c>
      <c r="K3012" s="12" t="s">
        <v>21</v>
      </c>
      <c r="L3012" s="7">
        <v>41405.37332175926</v>
      </c>
      <c r="M3012" s="14" t="s">
        <v>9037</v>
      </c>
      <c r="N3012" s="14" t="s">
        <v>9038</v>
      </c>
      <c r="O3012" s="11" t="str">
        <f>HYPERLINK("https://pbs.twimg.com/profile_images/549872383104790528/GzfOw30g_normal.jpeg","View")</f>
        <v>View</v>
      </c>
      <c r="P3012" s="15"/>
    </row>
    <row r="3013">
      <c r="A3013" s="7">
        <v>42426.34730324074</v>
      </c>
      <c r="B3013" s="8" t="str">
        <f>HYPERLINK("https://twitter.com/skilloak","@skilloak")</f>
        <v>@skilloak</v>
      </c>
      <c r="C3013" s="10" t="s">
        <v>5999</v>
      </c>
      <c r="D3013" s="10" t="s">
        <v>11309</v>
      </c>
      <c r="E3013" s="11" t="str">
        <f>HYPERLINK("https://twitter.com/skilloak/status/703253218541719552","703253218541719552")</f>
        <v>703253218541719552</v>
      </c>
      <c r="F3013" s="12" t="s">
        <v>446</v>
      </c>
      <c r="G3013" s="13">
        <v>2427.0</v>
      </c>
      <c r="H3013" s="13">
        <v>338.0</v>
      </c>
      <c r="I3013" s="13">
        <v>0.0</v>
      </c>
      <c r="J3013" s="13">
        <v>1.0</v>
      </c>
      <c r="K3013" s="12" t="s">
        <v>21</v>
      </c>
      <c r="L3013" s="7">
        <v>41308.39502314815</v>
      </c>
      <c r="M3013" s="16"/>
      <c r="N3013" s="14" t="s">
        <v>6001</v>
      </c>
      <c r="O3013" s="11" t="str">
        <f>HYPERLINK("https://pbs.twimg.com/profile_images/670315479517413376/Kkf5JA8s_normal.png","View")</f>
        <v>View</v>
      </c>
      <c r="P3013" s="15"/>
    </row>
    <row r="3014">
      <c r="A3014" s="7">
        <v>42426.347557870366</v>
      </c>
      <c r="B3014" s="8" t="str">
        <f>HYPERLINK("https://twitter.com/amuzaj","@amuzaj")</f>
        <v>@amuzaj</v>
      </c>
      <c r="C3014" s="10" t="s">
        <v>11310</v>
      </c>
      <c r="D3014" s="10" t="s">
        <v>11311</v>
      </c>
      <c r="E3014" s="11" t="str">
        <f>HYPERLINK("https://twitter.com/amuzaj/status/703253311542140928","703253311542140928")</f>
        <v>703253311542140928</v>
      </c>
      <c r="F3014" s="12" t="s">
        <v>446</v>
      </c>
      <c r="G3014" s="13">
        <v>232.0</v>
      </c>
      <c r="H3014" s="13">
        <v>288.0</v>
      </c>
      <c r="I3014" s="13">
        <v>1.0</v>
      </c>
      <c r="J3014" s="13">
        <v>0.0</v>
      </c>
      <c r="K3014" s="12" t="s">
        <v>21</v>
      </c>
      <c r="L3014" s="7">
        <v>41080.066712962966</v>
      </c>
      <c r="M3014" s="14" t="s">
        <v>11312</v>
      </c>
      <c r="N3014" s="14" t="s">
        <v>11313</v>
      </c>
      <c r="O3014" s="11" t="str">
        <f>HYPERLINK("https://pbs.twimg.com/profile_images/2511025558/losdg6ijjr45u5hwq0sm_normal.jpeg","View")</f>
        <v>View</v>
      </c>
      <c r="P3014" s="15"/>
    </row>
    <row r="3015">
      <c r="A3015" s="7">
        <v>42426.34773148148</v>
      </c>
      <c r="B3015" s="8" t="str">
        <f>HYPERLINK("https://twitter.com/HarlanH","@HarlanH")</f>
        <v>@HarlanH</v>
      </c>
      <c r="C3015" s="10" t="s">
        <v>11314</v>
      </c>
      <c r="D3015" s="10" t="s">
        <v>10767</v>
      </c>
      <c r="E3015" s="11" t="str">
        <f>HYPERLINK("https://twitter.com/HarlanH/status/703253374188331008","703253374188331008")</f>
        <v>703253374188331008</v>
      </c>
      <c r="F3015" s="12" t="s">
        <v>2289</v>
      </c>
      <c r="G3015" s="13">
        <v>3152.0</v>
      </c>
      <c r="H3015" s="13">
        <v>958.0</v>
      </c>
      <c r="I3015" s="13">
        <v>7.0</v>
      </c>
      <c r="J3015" s="13">
        <v>0.0</v>
      </c>
      <c r="K3015" s="12" t="s">
        <v>21</v>
      </c>
      <c r="L3015" s="7">
        <v>39832.328680555554</v>
      </c>
      <c r="M3015" s="14" t="s">
        <v>784</v>
      </c>
      <c r="N3015" s="14" t="s">
        <v>11315</v>
      </c>
      <c r="O3015" s="11" t="str">
        <f>HYPERLINK("https://pbs.twimg.com/profile_images/460916501738835969/gFuvWDgl_normal.jpeg","View")</f>
        <v>View</v>
      </c>
      <c r="P3015" s="15"/>
    </row>
    <row r="3016">
      <c r="A3016" s="7">
        <v>42426.34862268518</v>
      </c>
      <c r="B3016" s="8" t="str">
        <f>HYPERLINK("https://twitter.com/earlconf","@earlconf")</f>
        <v>@earlconf</v>
      </c>
      <c r="C3016" s="10" t="s">
        <v>7100</v>
      </c>
      <c r="D3016" s="10" t="s">
        <v>11316</v>
      </c>
      <c r="E3016" s="11" t="str">
        <f>HYPERLINK("https://twitter.com/earlconf/status/703253697208389632","703253697208389632")</f>
        <v>703253697208389632</v>
      </c>
      <c r="F3016" s="12" t="s">
        <v>47</v>
      </c>
      <c r="G3016" s="13">
        <v>1081.0</v>
      </c>
      <c r="H3016" s="13">
        <v>2351.0</v>
      </c>
      <c r="I3016" s="13">
        <v>1.0</v>
      </c>
      <c r="J3016" s="13">
        <v>1.0</v>
      </c>
      <c r="K3016" s="12" t="s">
        <v>21</v>
      </c>
      <c r="L3016" s="7">
        <v>41677.49930555555</v>
      </c>
      <c r="M3016" s="14" t="s">
        <v>7102</v>
      </c>
      <c r="N3016" s="14" t="s">
        <v>7103</v>
      </c>
      <c r="O3016" s="11" t="str">
        <f>HYPERLINK("https://pbs.twimg.com/profile_images/432298122203512833/YDXfWlI__normal.png","View")</f>
        <v>View</v>
      </c>
      <c r="P3016" s="15"/>
    </row>
    <row r="3017">
      <c r="A3017" s="7">
        <v>42426.348773148144</v>
      </c>
      <c r="B3017" s="8" t="str">
        <f>HYPERLINK("https://twitter.com/MangoMattGlover","@MangoMattGlover")</f>
        <v>@MangoMattGlover</v>
      </c>
      <c r="C3017" s="10" t="s">
        <v>7437</v>
      </c>
      <c r="D3017" s="10" t="s">
        <v>11317</v>
      </c>
      <c r="E3017" s="11" t="str">
        <f>HYPERLINK("https://twitter.com/MangoMattGlover/status/703253750446694400","703253750446694400")</f>
        <v>703253750446694400</v>
      </c>
      <c r="F3017" s="12" t="s">
        <v>20</v>
      </c>
      <c r="G3017" s="13">
        <v>27.0</v>
      </c>
      <c r="H3017" s="13">
        <v>40.0</v>
      </c>
      <c r="I3017" s="13">
        <v>1.0</v>
      </c>
      <c r="J3017" s="13">
        <v>0.0</v>
      </c>
      <c r="K3017" s="12" t="s">
        <v>21</v>
      </c>
      <c r="L3017" s="7">
        <v>42300.29976851852</v>
      </c>
      <c r="M3017" s="14" t="s">
        <v>7439</v>
      </c>
      <c r="N3017" s="16"/>
      <c r="O3017" s="11" t="str">
        <f>HYPERLINK("https://pbs.twimg.com/profile_images/658671552783896576/qahSiVSy_normal.jpg","View")</f>
        <v>View</v>
      </c>
      <c r="P3017" s="15"/>
    </row>
    <row r="3018">
      <c r="A3018" s="7">
        <v>42426.35422453703</v>
      </c>
      <c r="B3018" s="8" t="str">
        <f>HYPERLINK("https://twitter.com/sig_stats","@sig_stats")</f>
        <v>@sig_stats</v>
      </c>
      <c r="C3018" s="10" t="s">
        <v>6359</v>
      </c>
      <c r="D3018" s="10" t="s">
        <v>10343</v>
      </c>
      <c r="E3018" s="11" t="str">
        <f>HYPERLINK("https://twitter.com/sig_stats/status/703255724911104001","703255724911104001")</f>
        <v>703255724911104001</v>
      </c>
      <c r="F3018" s="12" t="s">
        <v>6360</v>
      </c>
      <c r="G3018" s="13">
        <v>26.0</v>
      </c>
      <c r="H3018" s="13">
        <v>9.0</v>
      </c>
      <c r="I3018" s="13">
        <v>15.0</v>
      </c>
      <c r="J3018" s="13">
        <v>0.0</v>
      </c>
      <c r="K3018" s="12" t="s">
        <v>21</v>
      </c>
      <c r="L3018" s="7">
        <v>42336.639606481476</v>
      </c>
      <c r="M3018" s="14" t="s">
        <v>765</v>
      </c>
      <c r="N3018" s="14" t="s">
        <v>6361</v>
      </c>
      <c r="O3018" s="11" t="str">
        <f>HYPERLINK("https://pbs.twimg.com/profile_images/672029237029793792/_qKmCzM8_normal.png","View")</f>
        <v>View</v>
      </c>
      <c r="P3018" s="15"/>
    </row>
    <row r="3019">
      <c r="A3019" s="7">
        <v>42426.35449074074</v>
      </c>
      <c r="B3019" s="8" t="str">
        <f>HYPERLINK("https://twitter.com/ThomasJanek","@ThomasJanek")</f>
        <v>@ThomasJanek</v>
      </c>
      <c r="C3019" s="10" t="s">
        <v>11318</v>
      </c>
      <c r="D3019" s="10" t="s">
        <v>11319</v>
      </c>
      <c r="E3019" s="11" t="str">
        <f>HYPERLINK("https://twitter.com/ThomasJanek/status/703255821468225540","703255821468225540")</f>
        <v>703255821468225540</v>
      </c>
      <c r="F3019" s="12" t="s">
        <v>20</v>
      </c>
      <c r="G3019" s="13">
        <v>42.0</v>
      </c>
      <c r="H3019" s="13">
        <v>53.0</v>
      </c>
      <c r="I3019" s="13">
        <v>0.0</v>
      </c>
      <c r="J3019" s="13">
        <v>0.0</v>
      </c>
      <c r="K3019" s="12" t="s">
        <v>21</v>
      </c>
      <c r="L3019" s="7">
        <v>41733.378229166665</v>
      </c>
      <c r="M3019" s="16"/>
      <c r="N3019" s="16"/>
      <c r="O3019" s="11" t="str">
        <f>HYPERLINK("https://pbs.twimg.com/profile_images/529377372617703424/CI8jT-WZ_normal.jpeg","View")</f>
        <v>View</v>
      </c>
      <c r="P3019" s="15"/>
    </row>
    <row r="3020">
      <c r="A3020" s="7">
        <v>42426.35594907407</v>
      </c>
      <c r="B3020" s="8" t="str">
        <f>HYPERLINK("https://twitter.com/NelfeCapharnaum","@NelfeCapharnaum")</f>
        <v>@NelfeCapharnaum</v>
      </c>
      <c r="C3020" s="10" t="s">
        <v>11320</v>
      </c>
      <c r="D3020" s="10" t="s">
        <v>11321</v>
      </c>
      <c r="E3020" s="11" t="str">
        <f>HYPERLINK("https://twitter.com/NelfeCapharnaum/status/703256351674376197","703256351674376197")</f>
        <v>703256351674376197</v>
      </c>
      <c r="F3020" s="12" t="s">
        <v>20</v>
      </c>
      <c r="G3020" s="13">
        <v>470.0</v>
      </c>
      <c r="H3020" s="13">
        <v>433.0</v>
      </c>
      <c r="I3020" s="13">
        <v>1.0</v>
      </c>
      <c r="J3020" s="13">
        <v>0.0</v>
      </c>
      <c r="K3020" s="12" t="s">
        <v>21</v>
      </c>
      <c r="L3020" s="7">
        <v>41925.41663194445</v>
      </c>
      <c r="M3020" s="14" t="s">
        <v>11322</v>
      </c>
      <c r="N3020" s="14" t="s">
        <v>11323</v>
      </c>
      <c r="O3020" s="11" t="str">
        <f>HYPERLINK("https://pbs.twimg.com/profile_images/521709588559564800/yMU8_7LD_normal.jpeg","View")</f>
        <v>View</v>
      </c>
      <c r="P3020" s="15"/>
    </row>
    <row r="3021">
      <c r="A3021" s="7">
        <v>42426.358310185184</v>
      </c>
      <c r="B3021" s="8" t="str">
        <f>HYPERLINK("https://twitter.com/jomilo75","@jomilo75")</f>
        <v>@jomilo75</v>
      </c>
      <c r="C3021" s="10" t="s">
        <v>11324</v>
      </c>
      <c r="D3021" s="10" t="s">
        <v>11325</v>
      </c>
      <c r="E3021" s="11" t="str">
        <f>HYPERLINK("https://twitter.com/jomilo75/status/703257205580046336","703257205580046336")</f>
        <v>703257205580046336</v>
      </c>
      <c r="F3021" s="12" t="s">
        <v>52</v>
      </c>
      <c r="G3021" s="13">
        <v>51.0</v>
      </c>
      <c r="H3021" s="13">
        <v>245.0</v>
      </c>
      <c r="I3021" s="13">
        <v>1.0</v>
      </c>
      <c r="J3021" s="13">
        <v>1.0</v>
      </c>
      <c r="K3021" s="12" t="s">
        <v>21</v>
      </c>
      <c r="L3021" s="7">
        <v>39169.98836805556</v>
      </c>
      <c r="M3021" s="14" t="s">
        <v>5548</v>
      </c>
      <c r="N3021" s="16"/>
      <c r="O3021" s="11" t="str">
        <f>HYPERLINK("https://pbs.twimg.com/profile_images/691734245727797248/OCcgCcTE_normal.jpg","View")</f>
        <v>View</v>
      </c>
      <c r="P3021" s="15"/>
    </row>
    <row r="3022">
      <c r="A3022" s="7">
        <v>42426.358923611115</v>
      </c>
      <c r="B3022" s="8" t="str">
        <f>HYPERLINK("https://twitter.com/mtorchiano","@mtorchiano")</f>
        <v>@mtorchiano</v>
      </c>
      <c r="C3022" s="10" t="s">
        <v>11326</v>
      </c>
      <c r="D3022" s="10" t="s">
        <v>11327</v>
      </c>
      <c r="E3022" s="11" t="str">
        <f>HYPERLINK("https://twitter.com/mtorchiano/status/703257426540294144","703257426540294144")</f>
        <v>703257426540294144</v>
      </c>
      <c r="F3022" s="12" t="s">
        <v>446</v>
      </c>
      <c r="G3022" s="13">
        <v>321.0</v>
      </c>
      <c r="H3022" s="13">
        <v>87.0</v>
      </c>
      <c r="I3022" s="13">
        <v>0.0</v>
      </c>
      <c r="J3022" s="13">
        <v>1.0</v>
      </c>
      <c r="K3022" s="12" t="s">
        <v>21</v>
      </c>
      <c r="L3022" s="7">
        <v>40604.06427083333</v>
      </c>
      <c r="M3022" s="14" t="s">
        <v>6675</v>
      </c>
      <c r="N3022" s="14" t="s">
        <v>11328</v>
      </c>
      <c r="O3022" s="11" t="str">
        <f>HYPERLINK("https://pbs.twimg.com/profile_images/508369142949244928/WjFdblux_normal.jpeg","View")</f>
        <v>View</v>
      </c>
      <c r="P3022" s="15"/>
    </row>
    <row r="3023">
      <c r="A3023" s="7">
        <v>42426.36135416667</v>
      </c>
      <c r="B3023" s="8" t="str">
        <f>HYPERLINK("https://twitter.com/DataScienceLA","@DataScienceLA")</f>
        <v>@DataScienceLA</v>
      </c>
      <c r="C3023" s="10" t="s">
        <v>11329</v>
      </c>
      <c r="D3023" s="10" t="s">
        <v>10925</v>
      </c>
      <c r="E3023" s="11" t="str">
        <f>HYPERLINK("https://twitter.com/DataScienceLA/status/703258307390115840","703258307390115840")</f>
        <v>703258307390115840</v>
      </c>
      <c r="F3023" s="12" t="s">
        <v>20</v>
      </c>
      <c r="G3023" s="13">
        <v>841.0</v>
      </c>
      <c r="H3023" s="13">
        <v>171.0</v>
      </c>
      <c r="I3023" s="13">
        <v>3.0</v>
      </c>
      <c r="J3023" s="13">
        <v>0.0</v>
      </c>
      <c r="K3023" s="12" t="s">
        <v>21</v>
      </c>
      <c r="L3023" s="7">
        <v>41696.57439814815</v>
      </c>
      <c r="M3023" s="14" t="s">
        <v>11330</v>
      </c>
      <c r="N3023" s="14" t="s">
        <v>11331</v>
      </c>
      <c r="O3023" s="11" t="str">
        <f>HYPERLINK("https://pbs.twimg.com/profile_images/472050859430252544/h7xnGa7q_normal.png","View")</f>
        <v>View</v>
      </c>
      <c r="P3023" s="15"/>
    </row>
    <row r="3024">
      <c r="A3024" s="7">
        <v>42426.36310185185</v>
      </c>
      <c r="B3024" s="8" t="str">
        <f>HYPERLINK("https://twitter.com/NowLivecodingtv","@NowLivecodingtv")</f>
        <v>@NowLivecodingtv</v>
      </c>
      <c r="C3024" s="10" t="s">
        <v>2320</v>
      </c>
      <c r="D3024" s="10" t="s">
        <v>10858</v>
      </c>
      <c r="E3024" s="11" t="str">
        <f>HYPERLINK("https://twitter.com/NowLivecodingtv/status/703258941061468160","703258941061468160")</f>
        <v>703258941061468160</v>
      </c>
      <c r="F3024" s="12" t="s">
        <v>2321</v>
      </c>
      <c r="G3024" s="13">
        <v>131.0</v>
      </c>
      <c r="H3024" s="13">
        <v>16.0</v>
      </c>
      <c r="I3024" s="13">
        <v>7.0</v>
      </c>
      <c r="J3024" s="13">
        <v>0.0</v>
      </c>
      <c r="K3024" s="12" t="s">
        <v>21</v>
      </c>
      <c r="L3024" s="7">
        <v>42346.15972222222</v>
      </c>
      <c r="M3024" s="14" t="s">
        <v>69</v>
      </c>
      <c r="N3024" s="14" t="s">
        <v>633</v>
      </c>
      <c r="O3024" s="11" t="str">
        <f>HYPERLINK("https://pbs.twimg.com/profile_images/699984077877874688/aR2ovqId_normal.png","View")</f>
        <v>View</v>
      </c>
      <c r="P3024" s="15"/>
    </row>
    <row r="3025">
      <c r="A3025" s="7">
        <v>42426.36452546297</v>
      </c>
      <c r="B3025" s="8" t="str">
        <f>HYPERLINK("https://twitter.com/TraineeGeek","@TraineeGeek")</f>
        <v>@TraineeGeek</v>
      </c>
      <c r="C3025" s="10" t="s">
        <v>11332</v>
      </c>
      <c r="D3025" s="10" t="s">
        <v>7453</v>
      </c>
      <c r="E3025" s="11" t="str">
        <f>HYPERLINK("https://twitter.com/TraineeGeek/status/703259456969318402","703259456969318402")</f>
        <v>703259456969318402</v>
      </c>
      <c r="F3025" s="12" t="s">
        <v>8691</v>
      </c>
      <c r="G3025" s="13">
        <v>321.0</v>
      </c>
      <c r="H3025" s="13">
        <v>654.0</v>
      </c>
      <c r="I3025" s="13">
        <v>1.0</v>
      </c>
      <c r="J3025" s="13">
        <v>0.0</v>
      </c>
      <c r="K3025" s="12" t="s">
        <v>21</v>
      </c>
      <c r="L3025" s="7">
        <v>40165.30496527778</v>
      </c>
      <c r="M3025" s="14" t="s">
        <v>11333</v>
      </c>
      <c r="N3025" s="14" t="s">
        <v>11334</v>
      </c>
      <c r="O3025" s="11" t="str">
        <f>HYPERLINK("https://pbs.twimg.com/profile_images/1126156365/trainee_geek__1__normal.jpg","View")</f>
        <v>View</v>
      </c>
      <c r="P3025" s="15"/>
    </row>
    <row r="3026">
      <c r="A3026" s="7">
        <v>42426.36546296296</v>
      </c>
      <c r="B3026" s="8" t="str">
        <f>HYPERLINK("https://twitter.com/WeekendArchaeo","@WeekendArchaeo")</f>
        <v>@WeekendArchaeo</v>
      </c>
      <c r="C3026" s="10" t="s">
        <v>11335</v>
      </c>
      <c r="D3026" s="10" t="s">
        <v>11217</v>
      </c>
      <c r="E3026" s="11" t="str">
        <f>HYPERLINK("https://twitter.com/WeekendArchaeo/status/703259797156659200","703259797156659200")</f>
        <v>703259797156659200</v>
      </c>
      <c r="F3026" s="12" t="s">
        <v>20</v>
      </c>
      <c r="G3026" s="13">
        <v>79.0</v>
      </c>
      <c r="H3026" s="13">
        <v>174.0</v>
      </c>
      <c r="I3026" s="13">
        <v>25.0</v>
      </c>
      <c r="J3026" s="13">
        <v>0.0</v>
      </c>
      <c r="K3026" s="12" t="s">
        <v>21</v>
      </c>
      <c r="L3026" s="7">
        <v>41914.55677083333</v>
      </c>
      <c r="M3026" s="14" t="s">
        <v>11336</v>
      </c>
      <c r="N3026" s="14" t="s">
        <v>11337</v>
      </c>
      <c r="O3026" s="11" t="str">
        <f>HYPERLINK("https://pbs.twimg.com/profile_images/666324246356979712/baQ2cKge_normal.jpg","View")</f>
        <v>View</v>
      </c>
      <c r="P3026" s="15"/>
    </row>
    <row r="3027">
      <c r="A3027" s="7">
        <v>42426.3675</v>
      </c>
      <c r="B3027" s="8" t="str">
        <f>HYPERLINK("https://twitter.com/brendantierney","@brendantierney")</f>
        <v>@brendantierney</v>
      </c>
      <c r="C3027" s="10" t="s">
        <v>11338</v>
      </c>
      <c r="D3027" s="10" t="s">
        <v>11339</v>
      </c>
      <c r="E3027" s="11" t="str">
        <f>HYPERLINK("https://twitter.com/brendantierney/status/703260537157771264","703260537157771264")</f>
        <v>703260537157771264</v>
      </c>
      <c r="F3027" s="12" t="s">
        <v>446</v>
      </c>
      <c r="G3027" s="13">
        <v>1079.0</v>
      </c>
      <c r="H3027" s="13">
        <v>258.0</v>
      </c>
      <c r="I3027" s="13">
        <v>0.0</v>
      </c>
      <c r="J3027" s="13">
        <v>1.0</v>
      </c>
      <c r="K3027" s="12" t="s">
        <v>21</v>
      </c>
      <c r="L3027" s="7">
        <v>39869.26877314815</v>
      </c>
      <c r="M3027" s="14" t="s">
        <v>11340</v>
      </c>
      <c r="N3027" s="14" t="s">
        <v>11341</v>
      </c>
      <c r="O3027" s="11" t="str">
        <f>HYPERLINK("https://pbs.twimg.com/profile_images/3447656961/756ce55df422525f8f74642907dd1d9f_normal.jpeg","View")</f>
        <v>View</v>
      </c>
      <c r="P3027" s="15"/>
    </row>
    <row r="3028">
      <c r="A3028" s="7">
        <v>42426.36778935185</v>
      </c>
      <c r="B3028" s="8" t="str">
        <f>HYPERLINK("https://twitter.com/jimRsmiley","@jimRsmiley")</f>
        <v>@jimRsmiley</v>
      </c>
      <c r="C3028" s="10" t="s">
        <v>11342</v>
      </c>
      <c r="D3028" s="10" t="s">
        <v>10776</v>
      </c>
      <c r="E3028" s="11" t="str">
        <f>HYPERLINK("https://twitter.com/jimRsmiley/status/703260640417353729","703260640417353729")</f>
        <v>703260640417353729</v>
      </c>
      <c r="F3028" s="12" t="s">
        <v>20</v>
      </c>
      <c r="G3028" s="13">
        <v>531.0</v>
      </c>
      <c r="H3028" s="13">
        <v>174.0</v>
      </c>
      <c r="I3028" s="13">
        <v>5.0</v>
      </c>
      <c r="J3028" s="13">
        <v>0.0</v>
      </c>
      <c r="K3028" s="12" t="s">
        <v>21</v>
      </c>
      <c r="L3028" s="7">
        <v>40344.41458333333</v>
      </c>
      <c r="M3028" s="14" t="s">
        <v>11343</v>
      </c>
      <c r="N3028" s="14" t="s">
        <v>11344</v>
      </c>
      <c r="O3028" s="11" t="str">
        <f>HYPERLINK("https://pbs.twimg.com/profile_images/568406261310300161/LXCB-GIZ_normal.jpeg","View")</f>
        <v>View</v>
      </c>
      <c r="P3028" s="15"/>
    </row>
    <row r="3029">
      <c r="A3029" s="7">
        <v>42426.36902777778</v>
      </c>
      <c r="B3029" s="8" t="str">
        <f>HYPERLINK("https://twitter.com/carbonphilia","@carbonphilia")</f>
        <v>@carbonphilia</v>
      </c>
      <c r="C3029" s="10" t="s">
        <v>11345</v>
      </c>
      <c r="D3029" s="10" t="s">
        <v>10653</v>
      </c>
      <c r="E3029" s="11" t="str">
        <f>HYPERLINK("https://twitter.com/carbonphilia/status/703261088159125504","703261088159125504")</f>
        <v>703261088159125504</v>
      </c>
      <c r="F3029" s="12" t="s">
        <v>20</v>
      </c>
      <c r="G3029" s="13">
        <v>18.0</v>
      </c>
      <c r="H3029" s="13">
        <v>42.0</v>
      </c>
      <c r="I3029" s="13">
        <v>28.0</v>
      </c>
      <c r="J3029" s="13">
        <v>0.0</v>
      </c>
      <c r="K3029" s="12" t="s">
        <v>21</v>
      </c>
      <c r="L3029" s="7">
        <v>41796.27700231482</v>
      </c>
      <c r="M3029" s="16"/>
      <c r="N3029" s="14" t="s">
        <v>11346</v>
      </c>
      <c r="O3029" s="11" t="str">
        <f>HYPERLINK("https://pbs.twimg.com/profile_images/564424575169986560/oM3kAlrd_normal.jpeg","View")</f>
        <v>View</v>
      </c>
      <c r="P3029" s="15"/>
    </row>
    <row r="3030">
      <c r="A3030" s="7">
        <v>42426.36949074074</v>
      </c>
      <c r="B3030" s="8" t="str">
        <f t="shared" ref="B3030:B3031" si="321">HYPERLINK("https://twitter.com/mitchdata","@mitchdata")</f>
        <v>@mitchdata</v>
      </c>
      <c r="C3030" s="10" t="s">
        <v>11347</v>
      </c>
      <c r="D3030" s="10" t="s">
        <v>11348</v>
      </c>
      <c r="E3030" s="11" t="str">
        <f>HYPERLINK("https://twitter.com/mitchdata/status/703261259286892544","703261259286892544")</f>
        <v>703261259286892544</v>
      </c>
      <c r="F3030" s="17" t="s">
        <v>518</v>
      </c>
      <c r="G3030" s="13">
        <v>3790.0</v>
      </c>
      <c r="H3030" s="13">
        <v>257.0</v>
      </c>
      <c r="I3030" s="13">
        <v>0.0</v>
      </c>
      <c r="J3030" s="13">
        <v>1.0</v>
      </c>
      <c r="K3030" s="12" t="s">
        <v>21</v>
      </c>
      <c r="L3030" s="7">
        <v>41743.74951388889</v>
      </c>
      <c r="M3030" s="14" t="s">
        <v>11349</v>
      </c>
      <c r="N3030" s="14" t="s">
        <v>11350</v>
      </c>
      <c r="O3030" s="11" t="str">
        <f t="shared" ref="O3030:O3031" si="322">HYPERLINK("https://pbs.twimg.com/profile_images/455879123718512640/QIegeSuQ_normal.jpeg","View")</f>
        <v>View</v>
      </c>
      <c r="P3030" s="15"/>
    </row>
    <row r="3031">
      <c r="A3031" s="7">
        <v>42426.37152777778</v>
      </c>
      <c r="B3031" s="8" t="str">
        <f t="shared" si="321"/>
        <v>@mitchdata</v>
      </c>
      <c r="C3031" s="10" t="s">
        <v>11347</v>
      </c>
      <c r="D3031" s="10" t="s">
        <v>11351</v>
      </c>
      <c r="E3031" s="11" t="str">
        <f>HYPERLINK("https://twitter.com/mitchdata/status/703261995567419392","703261995567419392")</f>
        <v>703261995567419392</v>
      </c>
      <c r="F3031" s="12" t="s">
        <v>20</v>
      </c>
      <c r="G3031" s="13">
        <v>3790.0</v>
      </c>
      <c r="H3031" s="13">
        <v>257.0</v>
      </c>
      <c r="I3031" s="13">
        <v>0.0</v>
      </c>
      <c r="J3031" s="13">
        <v>1.0</v>
      </c>
      <c r="K3031" s="12" t="s">
        <v>21</v>
      </c>
      <c r="L3031" s="7">
        <v>41743.74951388889</v>
      </c>
      <c r="M3031" s="14" t="s">
        <v>11349</v>
      </c>
      <c r="N3031" s="14" t="s">
        <v>11350</v>
      </c>
      <c r="O3031" s="11" t="str">
        <f t="shared" si="322"/>
        <v>View</v>
      </c>
      <c r="P3031" s="15"/>
    </row>
    <row r="3032">
      <c r="A3032" s="7">
        <v>42426.373078703706</v>
      </c>
      <c r="B3032" s="8" t="str">
        <f>HYPERLINK("https://twitter.com/hexheadtn","@hexheadtn")</f>
        <v>@hexheadtn</v>
      </c>
      <c r="C3032" s="10" t="s">
        <v>7335</v>
      </c>
      <c r="D3032" s="10" t="s">
        <v>10767</v>
      </c>
      <c r="E3032" s="11" t="str">
        <f>HYPERLINK("https://twitter.com/hexheadtn/status/703262558782816257","703262558782816257")</f>
        <v>703262558782816257</v>
      </c>
      <c r="F3032" s="12" t="s">
        <v>20</v>
      </c>
      <c r="G3032" s="13">
        <v>211.0</v>
      </c>
      <c r="H3032" s="13">
        <v>244.0</v>
      </c>
      <c r="I3032" s="13">
        <v>7.0</v>
      </c>
      <c r="J3032" s="13">
        <v>0.0</v>
      </c>
      <c r="K3032" s="12" t="s">
        <v>21</v>
      </c>
      <c r="L3032" s="7">
        <v>39798.211377314816</v>
      </c>
      <c r="M3032" s="14" t="s">
        <v>7337</v>
      </c>
      <c r="N3032" s="14" t="s">
        <v>7338</v>
      </c>
      <c r="O3032" s="11" t="str">
        <f>HYPERLINK("https://pbs.twimg.com/profile_images/716369722/MeThinker_normal.jpg","View")</f>
        <v>View</v>
      </c>
      <c r="P3032" s="15"/>
    </row>
    <row r="3033">
      <c r="A3033" s="7">
        <v>42426.37603009259</v>
      </c>
      <c r="B3033" s="8" t="str">
        <f>HYPERLINK("https://twitter.com/tejaykodali","@tejaykodali")</f>
        <v>@tejaykodali</v>
      </c>
      <c r="C3033" s="10" t="s">
        <v>11352</v>
      </c>
      <c r="D3033" s="10" t="s">
        <v>10461</v>
      </c>
      <c r="E3033" s="11" t="str">
        <f>HYPERLINK("https://twitter.com/tejaykodali/status/703263629097832448","703263629097832448")</f>
        <v>703263629097832448</v>
      </c>
      <c r="F3033" s="12" t="s">
        <v>20</v>
      </c>
      <c r="G3033" s="13">
        <v>385.0</v>
      </c>
      <c r="H3033" s="13">
        <v>404.0</v>
      </c>
      <c r="I3033" s="13">
        <v>6.0</v>
      </c>
      <c r="J3033" s="13">
        <v>0.0</v>
      </c>
      <c r="K3033" s="12" t="s">
        <v>21</v>
      </c>
      <c r="L3033" s="7">
        <v>40041.29423611111</v>
      </c>
      <c r="M3033" s="14" t="s">
        <v>11353</v>
      </c>
      <c r="N3033" s="14" t="s">
        <v>11354</v>
      </c>
      <c r="O3033" s="11" t="str">
        <f>HYPERLINK("https://pbs.twimg.com/profile_images/557700337499246592/GNhhuM_7_normal.jpeg","View")</f>
        <v>View</v>
      </c>
      <c r="P3033" s="15"/>
    </row>
    <row r="3034">
      <c r="A3034" s="7">
        <v>42426.377858796295</v>
      </c>
      <c r="B3034" s="8" t="str">
        <f>HYPERLINK("https://twitter.com/davidmeza1","@davidmeza1")</f>
        <v>@davidmeza1</v>
      </c>
      <c r="C3034" s="10" t="s">
        <v>7219</v>
      </c>
      <c r="D3034" s="10" t="s">
        <v>11217</v>
      </c>
      <c r="E3034" s="11" t="str">
        <f>HYPERLINK("https://twitter.com/davidmeza1/status/703264289449222144","703264289449222144")</f>
        <v>703264289449222144</v>
      </c>
      <c r="F3034" s="12" t="s">
        <v>1573</v>
      </c>
      <c r="G3034" s="13">
        <v>69.0</v>
      </c>
      <c r="H3034" s="13">
        <v>55.0</v>
      </c>
      <c r="I3034" s="13">
        <v>25.0</v>
      </c>
      <c r="J3034" s="13">
        <v>0.0</v>
      </c>
      <c r="K3034" s="12" t="s">
        <v>21</v>
      </c>
      <c r="L3034" s="7">
        <v>39895.805625</v>
      </c>
      <c r="M3034" s="14" t="s">
        <v>4302</v>
      </c>
      <c r="N3034" s="14" t="s">
        <v>7220</v>
      </c>
      <c r="O3034" s="11" t="str">
        <f>HYPERLINK("https://pbs.twimg.com/profile_images/3760071618/d215633771a2732f1c5df22f9ecfa54e_normal.jpeg","View")</f>
        <v>View</v>
      </c>
      <c r="P3034" s="15"/>
    </row>
    <row r="3035">
      <c r="A3035" s="7">
        <v>42426.382893518516</v>
      </c>
      <c r="B3035" s="8" t="str">
        <f>HYPERLINK("https://twitter.com/tonyfujs","@tonyfujs")</f>
        <v>@tonyfujs</v>
      </c>
      <c r="C3035" s="10" t="s">
        <v>11355</v>
      </c>
      <c r="D3035" s="10" t="s">
        <v>11107</v>
      </c>
      <c r="E3035" s="11" t="str">
        <f>HYPERLINK("https://twitter.com/tonyfujs/status/703266113099067392","703266113099067392")</f>
        <v>703266113099067392</v>
      </c>
      <c r="F3035" s="12" t="s">
        <v>152</v>
      </c>
      <c r="G3035" s="13">
        <v>278.0</v>
      </c>
      <c r="H3035" s="13">
        <v>677.0</v>
      </c>
      <c r="I3035" s="13">
        <v>3.0</v>
      </c>
      <c r="J3035" s="13">
        <v>0.0</v>
      </c>
      <c r="K3035" s="12" t="s">
        <v>21</v>
      </c>
      <c r="L3035" s="7">
        <v>41313.86172453704</v>
      </c>
      <c r="M3035" s="16"/>
      <c r="N3035" s="16"/>
      <c r="O3035" s="11" t="str">
        <f>HYPERLINK("https://pbs.twimg.com/profile_images/522421820893327360/ibxzf4n7_normal.jpeg","View")</f>
        <v>View</v>
      </c>
      <c r="P3035" s="15"/>
    </row>
    <row r="3036">
      <c r="A3036" s="7">
        <v>42426.39074074074</v>
      </c>
      <c r="B3036" s="8" t="str">
        <f>HYPERLINK("https://twitter.com/overleaf","@overleaf")</f>
        <v>@overleaf</v>
      </c>
      <c r="C3036" s="10" t="s">
        <v>11356</v>
      </c>
      <c r="D3036" s="10" t="s">
        <v>10846</v>
      </c>
      <c r="E3036" s="11" t="str">
        <f>HYPERLINK("https://twitter.com/overleaf/status/703268956837191680","703268956837191680")</f>
        <v>703268956837191680</v>
      </c>
      <c r="F3036" s="12" t="s">
        <v>20</v>
      </c>
      <c r="G3036" s="13">
        <v>23723.0</v>
      </c>
      <c r="H3036" s="13">
        <v>5735.0</v>
      </c>
      <c r="I3036" s="13">
        <v>2.0</v>
      </c>
      <c r="J3036" s="13">
        <v>0.0</v>
      </c>
      <c r="K3036" s="12" t="s">
        <v>21</v>
      </c>
      <c r="L3036" s="7">
        <v>41182.20179398148</v>
      </c>
      <c r="M3036" s="16"/>
      <c r="N3036" s="14" t="s">
        <v>11357</v>
      </c>
      <c r="O3036" s="11" t="str">
        <f>HYPERLINK("https://pbs.twimg.com/profile_images/551035690234834945/JhdUiOPP_normal.png","View")</f>
        <v>View</v>
      </c>
      <c r="P3036" s="15"/>
    </row>
    <row r="3037">
      <c r="A3037" s="7">
        <v>42426.39273148148</v>
      </c>
      <c r="B3037" s="8" t="str">
        <f>HYPERLINK("https://twitter.com/USGS_R","@USGS_R")</f>
        <v>@USGS_R</v>
      </c>
      <c r="C3037" s="10" t="s">
        <v>7429</v>
      </c>
      <c r="D3037" s="10" t="s">
        <v>11358</v>
      </c>
      <c r="E3037" s="11" t="str">
        <f>HYPERLINK("https://twitter.com/USGS_R/status/703269680069386244","703269680069386244")</f>
        <v>703269680069386244</v>
      </c>
      <c r="F3037" s="12" t="s">
        <v>446</v>
      </c>
      <c r="G3037" s="13">
        <v>407.0</v>
      </c>
      <c r="H3037" s="13">
        <v>43.0</v>
      </c>
      <c r="I3037" s="13">
        <v>0.0</v>
      </c>
      <c r="J3037" s="13">
        <v>2.0</v>
      </c>
      <c r="K3037" s="12" t="s">
        <v>21</v>
      </c>
      <c r="L3037" s="7">
        <v>42228.35309027778</v>
      </c>
      <c r="M3037" s="16"/>
      <c r="N3037" s="14" t="s">
        <v>7430</v>
      </c>
      <c r="O3037" s="11" t="str">
        <f>HYPERLINK("https://pbs.twimg.com/profile_images/631488083863584769/gDqhLdAL_normal.png","View")</f>
        <v>View</v>
      </c>
      <c r="P3037" s="15"/>
    </row>
    <row r="3038">
      <c r="A3038" s="7">
        <v>42426.39549768518</v>
      </c>
      <c r="B3038" s="8" t="str">
        <f>HYPERLINK("https://twitter.com/tripartio","@tripartio")</f>
        <v>@tripartio</v>
      </c>
      <c r="C3038" s="10" t="s">
        <v>6827</v>
      </c>
      <c r="D3038" s="10" t="s">
        <v>11359</v>
      </c>
      <c r="E3038" s="11" t="str">
        <f>HYPERLINK("https://twitter.com/tripartio/status/703270683661438976","703270683661438976")</f>
        <v>703270683661438976</v>
      </c>
      <c r="F3038" s="12" t="s">
        <v>20</v>
      </c>
      <c r="G3038" s="13">
        <v>33.0</v>
      </c>
      <c r="H3038" s="13">
        <v>64.0</v>
      </c>
      <c r="I3038" s="13">
        <v>1.0</v>
      </c>
      <c r="J3038" s="13">
        <v>1.0</v>
      </c>
      <c r="K3038" s="12" t="s">
        <v>21</v>
      </c>
      <c r="L3038" s="7">
        <v>41946.83112268519</v>
      </c>
      <c r="M3038" s="14" t="s">
        <v>1806</v>
      </c>
      <c r="N3038" s="14" t="s">
        <v>6829</v>
      </c>
      <c r="O3038" s="11" t="str">
        <f>HYPERLINK("https://pbs.twimg.com/profile_images/529482878543867904/H-UGY1d0_normal.png","View")</f>
        <v>View</v>
      </c>
      <c r="P3038" s="15"/>
    </row>
    <row r="3039">
      <c r="A3039" s="7">
        <v>42426.39943287037</v>
      </c>
      <c r="B3039" s="8" t="str">
        <f>HYPERLINK("https://twitter.com/DistrictDataLab","@DistrictDataLab")</f>
        <v>@DistrictDataLab</v>
      </c>
      <c r="C3039" s="10" t="s">
        <v>2228</v>
      </c>
      <c r="D3039" s="10" t="s">
        <v>11360</v>
      </c>
      <c r="E3039" s="11" t="str">
        <f>HYPERLINK("https://twitter.com/DistrictDataLab/status/703272108126834688","703272108126834688")</f>
        <v>703272108126834688</v>
      </c>
      <c r="F3039" s="12" t="s">
        <v>294</v>
      </c>
      <c r="G3039" s="13">
        <v>1844.0</v>
      </c>
      <c r="H3039" s="13">
        <v>1146.0</v>
      </c>
      <c r="I3039" s="13">
        <v>1.0</v>
      </c>
      <c r="J3039" s="13">
        <v>0.0</v>
      </c>
      <c r="K3039" s="12" t="s">
        <v>21</v>
      </c>
      <c r="L3039" s="7">
        <v>41599.44584490741</v>
      </c>
      <c r="M3039" s="14" t="s">
        <v>784</v>
      </c>
      <c r="N3039" s="14" t="s">
        <v>2230</v>
      </c>
      <c r="O3039" s="11" t="str">
        <f>HYPERLINK("https://pbs.twimg.com/profile_images/676095885575634944/NXl4o2HU_normal.png","View")</f>
        <v>View</v>
      </c>
      <c r="P3039" s="15"/>
    </row>
    <row r="3040">
      <c r="A3040" s="7">
        <v>42426.401446759264</v>
      </c>
      <c r="B3040" s="8" t="str">
        <f>HYPERLINK("https://twitter.com/LeahAWasser","@LeahAWasser")</f>
        <v>@LeahAWasser</v>
      </c>
      <c r="C3040" s="10" t="s">
        <v>9473</v>
      </c>
      <c r="D3040" s="10" t="s">
        <v>11361</v>
      </c>
      <c r="E3040" s="11" t="str">
        <f>HYPERLINK("https://twitter.com/LeahAWasser/status/703272836924776448","703272836924776448")</f>
        <v>703272836924776448</v>
      </c>
      <c r="F3040" s="12" t="s">
        <v>294</v>
      </c>
      <c r="G3040" s="13">
        <v>788.0</v>
      </c>
      <c r="H3040" s="13">
        <v>893.0</v>
      </c>
      <c r="I3040" s="13">
        <v>4.0</v>
      </c>
      <c r="J3040" s="13">
        <v>4.0</v>
      </c>
      <c r="K3040" s="12" t="s">
        <v>21</v>
      </c>
      <c r="L3040" s="7">
        <v>40975.52924768518</v>
      </c>
      <c r="M3040" s="14" t="s">
        <v>9475</v>
      </c>
      <c r="N3040" s="14" t="s">
        <v>9476</v>
      </c>
      <c r="O3040" s="11" t="str">
        <f>HYPERLINK("https://pbs.twimg.com/profile_images/633416207165689856/-nZq_x05_normal.jpg","View")</f>
        <v>View</v>
      </c>
      <c r="P3040" s="15"/>
    </row>
    <row r="3041">
      <c r="A3041" s="7">
        <v>42426.401712962965</v>
      </c>
      <c r="B3041" s="8" t="str">
        <f>HYPERLINK("https://twitter.com/tonyojeda3","@tonyojeda3")</f>
        <v>@tonyojeda3</v>
      </c>
      <c r="C3041" s="10" t="s">
        <v>2407</v>
      </c>
      <c r="D3041" s="10" t="s">
        <v>11362</v>
      </c>
      <c r="E3041" s="11" t="str">
        <f>HYPERLINK("https://twitter.com/tonyojeda3/status/703272936485076998","703272936485076998")</f>
        <v>703272936485076998</v>
      </c>
      <c r="F3041" s="12" t="s">
        <v>294</v>
      </c>
      <c r="G3041" s="13">
        <v>3519.0</v>
      </c>
      <c r="H3041" s="13">
        <v>538.0</v>
      </c>
      <c r="I3041" s="13">
        <v>2.0</v>
      </c>
      <c r="J3041" s="13">
        <v>1.0</v>
      </c>
      <c r="K3041" s="12" t="s">
        <v>21</v>
      </c>
      <c r="L3041" s="7">
        <v>39969.75782407408</v>
      </c>
      <c r="M3041" s="14" t="s">
        <v>784</v>
      </c>
      <c r="N3041" s="14" t="s">
        <v>2409</v>
      </c>
      <c r="O3041" s="11" t="str">
        <f>HYPERLINK("https://pbs.twimg.com/profile_images/1211123351/Tony-Ojeda2_normal.JPG","View")</f>
        <v>View</v>
      </c>
      <c r="P3041" s="15"/>
    </row>
    <row r="3042">
      <c r="A3042" s="7">
        <v>42426.40366898148</v>
      </c>
      <c r="B3042" s="8" t="str">
        <f t="shared" ref="B3042:B3043" si="323">HYPERLINK("https://twitter.com/BigDataTweetBot","@BigDataTweetBot")</f>
        <v>@BigDataTweetBot</v>
      </c>
      <c r="C3042" s="10" t="s">
        <v>1440</v>
      </c>
      <c r="D3042" s="10" t="s">
        <v>11363</v>
      </c>
      <c r="E3042" s="11" t="str">
        <f>HYPERLINK("https://twitter.com/BigDataTweetBot/status/703273643166580737","703273643166580737")</f>
        <v>703273643166580737</v>
      </c>
      <c r="F3042" s="12" t="s">
        <v>1442</v>
      </c>
      <c r="G3042" s="13">
        <v>8622.0</v>
      </c>
      <c r="H3042" s="13">
        <v>243.0</v>
      </c>
      <c r="I3042" s="13">
        <v>1.0</v>
      </c>
      <c r="J3042" s="13">
        <v>0.0</v>
      </c>
      <c r="K3042" s="12" t="s">
        <v>21</v>
      </c>
      <c r="L3042" s="7">
        <v>42187.77106481481</v>
      </c>
      <c r="M3042" s="16"/>
      <c r="N3042" s="14" t="s">
        <v>1443</v>
      </c>
      <c r="O3042" s="11" t="str">
        <f t="shared" ref="O3042:O3043" si="324">HYPERLINK("https://pbs.twimg.com/profile_images/616793252524650496/bQbxJqmz_normal.jpg","View")</f>
        <v>View</v>
      </c>
      <c r="P3042" s="15"/>
    </row>
    <row r="3043">
      <c r="A3043" s="7">
        <v>42426.40398148148</v>
      </c>
      <c r="B3043" s="8" t="str">
        <f t="shared" si="323"/>
        <v>@BigDataTweetBot</v>
      </c>
      <c r="C3043" s="10" t="s">
        <v>1440</v>
      </c>
      <c r="D3043" s="10" t="s">
        <v>11364</v>
      </c>
      <c r="E3043" s="11" t="str">
        <f>HYPERLINK("https://twitter.com/BigDataTweetBot/status/703273756387647488","703273756387647488")</f>
        <v>703273756387647488</v>
      </c>
      <c r="F3043" s="12" t="s">
        <v>1442</v>
      </c>
      <c r="G3043" s="13">
        <v>8622.0</v>
      </c>
      <c r="H3043" s="13">
        <v>243.0</v>
      </c>
      <c r="I3043" s="13">
        <v>2.0</v>
      </c>
      <c r="J3043" s="13">
        <v>0.0</v>
      </c>
      <c r="K3043" s="12" t="s">
        <v>21</v>
      </c>
      <c r="L3043" s="7">
        <v>42187.77106481481</v>
      </c>
      <c r="M3043" s="16"/>
      <c r="N3043" s="14" t="s">
        <v>1443</v>
      </c>
      <c r="O3043" s="11" t="str">
        <f t="shared" si="324"/>
        <v>View</v>
      </c>
      <c r="P3043" s="15"/>
    </row>
    <row r="3044">
      <c r="A3044" s="7">
        <v>42426.404375</v>
      </c>
      <c r="B3044" s="8" t="str">
        <f>HYPERLINK("https://twitter.com/revodavid","@revodavid")</f>
        <v>@revodavid</v>
      </c>
      <c r="C3044" s="10" t="s">
        <v>7648</v>
      </c>
      <c r="D3044" s="10" t="s">
        <v>11365</v>
      </c>
      <c r="E3044" s="11" t="str">
        <f>HYPERLINK("https://twitter.com/revodavid/status/703273900285829120","703273900285829120")</f>
        <v>703273900285829120</v>
      </c>
      <c r="F3044" s="12" t="s">
        <v>446</v>
      </c>
      <c r="G3044" s="13">
        <v>18983.0</v>
      </c>
      <c r="H3044" s="13">
        <v>1103.0</v>
      </c>
      <c r="I3044" s="13">
        <v>12.0</v>
      </c>
      <c r="J3044" s="13">
        <v>10.0</v>
      </c>
      <c r="K3044" s="12" t="s">
        <v>21</v>
      </c>
      <c r="L3044" s="7">
        <v>39926.45226851852</v>
      </c>
      <c r="M3044" s="14" t="s">
        <v>1158</v>
      </c>
      <c r="N3044" s="14" t="s">
        <v>7650</v>
      </c>
      <c r="O3044" s="11" t="str">
        <f>HYPERLINK("https://pbs.twimg.com/profile_images/580043996723974144/_Oyvwa9c_normal.jpg","View")</f>
        <v>View</v>
      </c>
      <c r="P3044" s="15"/>
    </row>
    <row r="3045">
      <c r="A3045" s="7">
        <v>42426.404699074075</v>
      </c>
      <c r="B3045" s="8" t="str">
        <f>HYPERLINK("https://twitter.com/GorwayGlobal","@GorwayGlobal")</f>
        <v>@GorwayGlobal</v>
      </c>
      <c r="C3045" s="10" t="s">
        <v>11366</v>
      </c>
      <c r="D3045" s="10" t="s">
        <v>11367</v>
      </c>
      <c r="E3045" s="11" t="str">
        <f>HYPERLINK("https://twitter.com/GorwayGlobal/status/703274018045095936","703274018045095936")</f>
        <v>703274018045095936</v>
      </c>
      <c r="F3045" s="12" t="s">
        <v>152</v>
      </c>
      <c r="G3045" s="13">
        <v>418.0</v>
      </c>
      <c r="H3045" s="13">
        <v>452.0</v>
      </c>
      <c r="I3045" s="13">
        <v>12.0</v>
      </c>
      <c r="J3045" s="13">
        <v>0.0</v>
      </c>
      <c r="K3045" s="12" t="s">
        <v>21</v>
      </c>
      <c r="L3045" s="7">
        <v>40723.25115740741</v>
      </c>
      <c r="M3045" s="14" t="s">
        <v>11368</v>
      </c>
      <c r="N3045" s="14" t="s">
        <v>11369</v>
      </c>
      <c r="O3045" s="11" t="str">
        <f>HYPERLINK("https://pbs.twimg.com/profile_images/2003536800/JNR_forOfficial_use_normal.jpg","View")</f>
        <v>View</v>
      </c>
      <c r="P3045" s="15"/>
    </row>
    <row r="3046">
      <c r="A3046" s="7">
        <v>42426.405</v>
      </c>
      <c r="B3046" s="8" t="str">
        <f>HYPERLINK("https://twitter.com/UrbanDemog","@UrbanDemog")</f>
        <v>@UrbanDemog</v>
      </c>
      <c r="C3046" s="10" t="s">
        <v>8003</v>
      </c>
      <c r="D3046" s="10" t="s">
        <v>11367</v>
      </c>
      <c r="E3046" s="11" t="str">
        <f>HYPERLINK("https://twitter.com/UrbanDemog/status/703274124685221888","703274124685221888")</f>
        <v>703274124685221888</v>
      </c>
      <c r="F3046" s="12" t="s">
        <v>20</v>
      </c>
      <c r="G3046" s="13">
        <v>3499.0</v>
      </c>
      <c r="H3046" s="13">
        <v>1225.0</v>
      </c>
      <c r="I3046" s="13">
        <v>12.0</v>
      </c>
      <c r="J3046" s="13">
        <v>0.0</v>
      </c>
      <c r="K3046" s="12" t="s">
        <v>21</v>
      </c>
      <c r="L3046" s="7">
        <v>40875.70255787037</v>
      </c>
      <c r="M3046" s="14" t="s">
        <v>8004</v>
      </c>
      <c r="N3046" s="14" t="s">
        <v>8005</v>
      </c>
      <c r="O3046" s="11" t="str">
        <f>HYPERLINK("https://pbs.twimg.com/profile_images/378800000856110283/ca1b515aeb1dca4c69dff0fb385dae78_normal.jpeg","View")</f>
        <v>View</v>
      </c>
      <c r="P3046" s="15"/>
    </row>
    <row r="3047">
      <c r="A3047" s="7">
        <v>42426.40537037037</v>
      </c>
      <c r="B3047" s="8" t="str">
        <f>HYPERLINK("https://twitter.com/DrAeolus","@DrAeolus")</f>
        <v>@DrAeolus</v>
      </c>
      <c r="C3047" s="10" t="s">
        <v>11370</v>
      </c>
      <c r="D3047" s="10" t="s">
        <v>11371</v>
      </c>
      <c r="E3047" s="11" t="str">
        <f>HYPERLINK("https://twitter.com/DrAeolus/status/703274260987572224","703274260987572224")</f>
        <v>703274260987572224</v>
      </c>
      <c r="F3047" s="12" t="s">
        <v>446</v>
      </c>
      <c r="G3047" s="13">
        <v>897.0</v>
      </c>
      <c r="H3047" s="13">
        <v>842.0</v>
      </c>
      <c r="I3047" s="13">
        <v>4.0</v>
      </c>
      <c r="J3047" s="13">
        <v>0.0</v>
      </c>
      <c r="K3047" s="12" t="s">
        <v>21</v>
      </c>
      <c r="L3047" s="7">
        <v>41006.320138888885</v>
      </c>
      <c r="M3047" s="14" t="s">
        <v>5113</v>
      </c>
      <c r="N3047" s="14" t="s">
        <v>11372</v>
      </c>
      <c r="O3047" s="11" t="str">
        <f>HYPERLINK("https://pbs.twimg.com/profile_images/646332742960050176/nasDowSt_normal.jpg","View")</f>
        <v>View</v>
      </c>
      <c r="P3047" s="15"/>
    </row>
    <row r="3048">
      <c r="A3048" s="7">
        <v>42426.40615740741</v>
      </c>
      <c r="B3048" s="8" t="str">
        <f>HYPERLINK("https://twitter.com/jjstache","@jjstache")</f>
        <v>@jjstache</v>
      </c>
      <c r="C3048" s="10" t="s">
        <v>9177</v>
      </c>
      <c r="D3048" s="10" t="s">
        <v>11371</v>
      </c>
      <c r="E3048" s="11" t="str">
        <f>HYPERLINK("https://twitter.com/jjstache/status/703274547177508865","703274547177508865")</f>
        <v>703274547177508865</v>
      </c>
      <c r="F3048" s="12" t="s">
        <v>20</v>
      </c>
      <c r="G3048" s="13">
        <v>80.0</v>
      </c>
      <c r="H3048" s="13">
        <v>304.0</v>
      </c>
      <c r="I3048" s="13">
        <v>4.0</v>
      </c>
      <c r="J3048" s="13">
        <v>0.0</v>
      </c>
      <c r="K3048" s="12" t="s">
        <v>21</v>
      </c>
      <c r="L3048" s="7">
        <v>42063.734131944446</v>
      </c>
      <c r="M3048" s="16"/>
      <c r="N3048" s="14" t="s">
        <v>9178</v>
      </c>
      <c r="O3048" s="11" t="str">
        <f>HYPERLINK("https://pbs.twimg.com/profile_images/574402802732003329/6xGdxR4M_normal.jpeg","View")</f>
        <v>View</v>
      </c>
      <c r="P3048" s="15"/>
    </row>
    <row r="3049">
      <c r="A3049" s="7">
        <v>42426.40701388889</v>
      </c>
      <c r="B3049" s="8" t="str">
        <f>HYPERLINK("https://twitter.com/jletteboer","@jletteboer")</f>
        <v>@jletteboer</v>
      </c>
      <c r="C3049" s="10" t="s">
        <v>3886</v>
      </c>
      <c r="D3049" s="10" t="s">
        <v>11373</v>
      </c>
      <c r="E3049" s="11" t="str">
        <f>HYPERLINK("https://twitter.com/jletteboer/status/703274854804488192","703274854804488192")</f>
        <v>703274854804488192</v>
      </c>
      <c r="F3049" s="12" t="s">
        <v>52</v>
      </c>
      <c r="G3049" s="13">
        <v>818.0</v>
      </c>
      <c r="H3049" s="13">
        <v>786.0</v>
      </c>
      <c r="I3049" s="13">
        <v>0.0</v>
      </c>
      <c r="J3049" s="13">
        <v>1.0</v>
      </c>
      <c r="K3049" s="12" t="s">
        <v>21</v>
      </c>
      <c r="L3049" s="7">
        <v>40142.24915509259</v>
      </c>
      <c r="M3049" s="14" t="s">
        <v>1007</v>
      </c>
      <c r="N3049" s="14" t="s">
        <v>3888</v>
      </c>
      <c r="O3049" s="11" t="str">
        <f>HYPERLINK("https://pbs.twimg.com/profile_images/524199331365015552/O94t9yIe_normal.jpeg","View")</f>
        <v>View</v>
      </c>
      <c r="P3049" s="15"/>
    </row>
    <row r="3050">
      <c r="A3050" s="7">
        <v>42426.407326388886</v>
      </c>
      <c r="B3050" s="8" t="str">
        <f>HYPERLINK("https://twitter.com/plablo09","@plablo09")</f>
        <v>@plablo09</v>
      </c>
      <c r="C3050" s="10" t="s">
        <v>11374</v>
      </c>
      <c r="D3050" s="10" t="s">
        <v>11367</v>
      </c>
      <c r="E3050" s="11" t="str">
        <f>HYPERLINK("https://twitter.com/plablo09/status/703274970583953408","703274970583953408")</f>
        <v>703274970583953408</v>
      </c>
      <c r="F3050" s="12" t="s">
        <v>446</v>
      </c>
      <c r="G3050" s="13">
        <v>409.0</v>
      </c>
      <c r="H3050" s="13">
        <v>644.0</v>
      </c>
      <c r="I3050" s="13">
        <v>12.0</v>
      </c>
      <c r="J3050" s="13">
        <v>0.0</v>
      </c>
      <c r="K3050" s="12" t="s">
        <v>21</v>
      </c>
      <c r="L3050" s="7">
        <v>40219.66175925926</v>
      </c>
      <c r="M3050" s="16"/>
      <c r="N3050" s="14" t="s">
        <v>11375</v>
      </c>
      <c r="O3050" s="11" t="str">
        <f>HYPERLINK("https://pbs.twimg.com/profile_images/450297907715907584/DOiGpz7o_normal.jpeg","View")</f>
        <v>View</v>
      </c>
      <c r="P3050" s="15"/>
    </row>
    <row r="3051">
      <c r="A3051" s="7">
        <v>42426.40762731481</v>
      </c>
      <c r="B3051" s="8" t="str">
        <f>HYPERLINK("https://twitter.com/christian_hudon","@christian_hudon")</f>
        <v>@christian_hudon</v>
      </c>
      <c r="C3051" s="10" t="s">
        <v>11376</v>
      </c>
      <c r="D3051" s="10" t="s">
        <v>11367</v>
      </c>
      <c r="E3051" s="11" t="str">
        <f>HYPERLINK("https://twitter.com/christian_hudon/status/703275076460929025","703275076460929025")</f>
        <v>703275076460929025</v>
      </c>
      <c r="F3051" s="12" t="s">
        <v>152</v>
      </c>
      <c r="G3051" s="13">
        <v>145.0</v>
      </c>
      <c r="H3051" s="13">
        <v>718.0</v>
      </c>
      <c r="I3051" s="13">
        <v>12.0</v>
      </c>
      <c r="J3051" s="13">
        <v>0.0</v>
      </c>
      <c r="K3051" s="12" t="s">
        <v>21</v>
      </c>
      <c r="L3051" s="7">
        <v>40733.44428240741</v>
      </c>
      <c r="M3051" s="14" t="s">
        <v>11377</v>
      </c>
      <c r="N3051" s="16"/>
      <c r="O3051" s="11" t="str">
        <f>HYPERLINK("https://pbs.twimg.com/profile_images/1434049096/12635_183542861919_584521919_3397362_8334230_n_normal.jpg","View")</f>
        <v>View</v>
      </c>
      <c r="P3051" s="15"/>
    </row>
    <row r="3052">
      <c r="A3052" s="7">
        <v>42426.408055555556</v>
      </c>
      <c r="B3052" s="8" t="str">
        <f>HYPERLINK("https://twitter.com/pensarinfog","@pensarinfog")</f>
        <v>@pensarinfog</v>
      </c>
      <c r="C3052" s="10" t="s">
        <v>11378</v>
      </c>
      <c r="D3052" s="10" t="s">
        <v>11367</v>
      </c>
      <c r="E3052" s="11" t="str">
        <f>HYPERLINK("https://twitter.com/pensarinfog/status/703275233063669762","703275233063669762")</f>
        <v>703275233063669762</v>
      </c>
      <c r="F3052" s="12" t="s">
        <v>20</v>
      </c>
      <c r="G3052" s="13">
        <v>84.0</v>
      </c>
      <c r="H3052" s="13">
        <v>407.0</v>
      </c>
      <c r="I3052" s="13">
        <v>12.0</v>
      </c>
      <c r="J3052" s="13">
        <v>0.0</v>
      </c>
      <c r="K3052" s="12" t="s">
        <v>21</v>
      </c>
      <c r="L3052" s="7">
        <v>42321.357569444444</v>
      </c>
      <c r="M3052" s="14" t="s">
        <v>1386</v>
      </c>
      <c r="N3052" s="14" t="s">
        <v>11379</v>
      </c>
      <c r="O3052" s="11" t="str">
        <f>HYPERLINK("https://pbs.twimg.com/profile_images/665208833787232257/ze5nMIal_normal.png","View")</f>
        <v>View</v>
      </c>
      <c r="P3052" s="15"/>
    </row>
    <row r="3053">
      <c r="A3053" s="7">
        <v>42426.40863425926</v>
      </c>
      <c r="B3053" s="8" t="str">
        <f>HYPERLINK("https://twitter.com/pedrogois","@pedrogois")</f>
        <v>@pedrogois</v>
      </c>
      <c r="C3053" s="10" t="s">
        <v>11380</v>
      </c>
      <c r="D3053" s="10" t="s">
        <v>11367</v>
      </c>
      <c r="E3053" s="11" t="str">
        <f>HYPERLINK("https://twitter.com/pedrogois/status/703275443709943808","703275443709943808")</f>
        <v>703275443709943808</v>
      </c>
      <c r="F3053" s="12" t="s">
        <v>446</v>
      </c>
      <c r="G3053" s="13">
        <v>883.0</v>
      </c>
      <c r="H3053" s="13">
        <v>1234.0</v>
      </c>
      <c r="I3053" s="13">
        <v>12.0</v>
      </c>
      <c r="J3053" s="13">
        <v>0.0</v>
      </c>
      <c r="K3053" s="12" t="s">
        <v>21</v>
      </c>
      <c r="L3053" s="7">
        <v>39906.56297453704</v>
      </c>
      <c r="M3053" s="14" t="s">
        <v>11381</v>
      </c>
      <c r="N3053" s="14" t="s">
        <v>11382</v>
      </c>
      <c r="O3053" s="11" t="str">
        <f>HYPERLINK("https://pbs.twimg.com/profile_images/378800000110168292/8f97b0887ee7856a2bec52caa3c23695_normal.jpeg","View")</f>
        <v>View</v>
      </c>
      <c r="P3053" s="15"/>
    </row>
    <row r="3054">
      <c r="A3054" s="7">
        <v>42426.40885416667</v>
      </c>
      <c r="B3054" s="8" t="str">
        <f>HYPERLINK("https://twitter.com/kyle_e_walker","@kyle_e_walker")</f>
        <v>@kyle_e_walker</v>
      </c>
      <c r="C3054" s="10" t="s">
        <v>7852</v>
      </c>
      <c r="D3054" s="10" t="s">
        <v>11367</v>
      </c>
      <c r="E3054" s="11" t="str">
        <f>HYPERLINK("https://twitter.com/kyle_e_walker/status/703275524647313408","703275524647313408")</f>
        <v>703275524647313408</v>
      </c>
      <c r="F3054" s="12" t="s">
        <v>52</v>
      </c>
      <c r="G3054" s="13">
        <v>704.0</v>
      </c>
      <c r="H3054" s="13">
        <v>455.0</v>
      </c>
      <c r="I3054" s="13">
        <v>12.0</v>
      </c>
      <c r="J3054" s="13">
        <v>0.0</v>
      </c>
      <c r="K3054" s="12" t="s">
        <v>21</v>
      </c>
      <c r="L3054" s="7">
        <v>40314.349594907406</v>
      </c>
      <c r="M3054" s="14" t="s">
        <v>7853</v>
      </c>
      <c r="N3054" s="14" t="s">
        <v>7854</v>
      </c>
      <c r="O3054" s="11" t="str">
        <f>HYPERLINK("https://pbs.twimg.com/profile_images/535539844479332354/CA9doTjY_normal.jpeg","View")</f>
        <v>View</v>
      </c>
      <c r="P3054" s="15"/>
    </row>
    <row r="3055">
      <c r="A3055" s="7">
        <v>42426.40934027778</v>
      </c>
      <c r="B3055" s="8" t="str">
        <f>HYPERLINK("https://twitter.com/HauserDonna","@HauserDonna")</f>
        <v>@HauserDonna</v>
      </c>
      <c r="C3055" s="10" t="s">
        <v>11383</v>
      </c>
      <c r="D3055" s="10" t="s">
        <v>11384</v>
      </c>
      <c r="E3055" s="11" t="str">
        <f>HYPERLINK("https://twitter.com/HauserDonna/status/703275700065701888","703275700065701888")</f>
        <v>703275700065701888</v>
      </c>
      <c r="F3055" s="12" t="s">
        <v>152</v>
      </c>
      <c r="G3055" s="13">
        <v>337.0</v>
      </c>
      <c r="H3055" s="13">
        <v>622.0</v>
      </c>
      <c r="I3055" s="13">
        <v>1.0</v>
      </c>
      <c r="J3055" s="13">
        <v>0.0</v>
      </c>
      <c r="K3055" s="12" t="s">
        <v>21</v>
      </c>
      <c r="L3055" s="7">
        <v>41571.48032407407</v>
      </c>
      <c r="M3055" s="14" t="s">
        <v>11385</v>
      </c>
      <c r="N3055" s="14" t="s">
        <v>11386</v>
      </c>
      <c r="O3055" s="11" t="str">
        <f>HYPERLINK("https://pbs.twimg.com/profile_images/378800000642447206/0c0db6bc87da60b59cc4d959c7daa3cb_normal.jpeg","View")</f>
        <v>View</v>
      </c>
      <c r="P3055" s="15"/>
    </row>
    <row r="3056">
      <c r="A3056" s="7">
        <v>42426.409629629634</v>
      </c>
      <c r="B3056" s="8" t="str">
        <f>HYPERLINK("https://twitter.com/dancklam","@dancklam")</f>
        <v>@dancklam</v>
      </c>
      <c r="C3056" s="10" t="s">
        <v>11387</v>
      </c>
      <c r="D3056" s="10" t="s">
        <v>11367</v>
      </c>
      <c r="E3056" s="11" t="str">
        <f>HYPERLINK("https://twitter.com/dancklam/status/703275802985680896","703275802985680896")</f>
        <v>703275802985680896</v>
      </c>
      <c r="F3056" s="12" t="s">
        <v>20</v>
      </c>
      <c r="G3056" s="13">
        <v>80.0</v>
      </c>
      <c r="H3056" s="13">
        <v>221.0</v>
      </c>
      <c r="I3056" s="13">
        <v>12.0</v>
      </c>
      <c r="J3056" s="13">
        <v>0.0</v>
      </c>
      <c r="K3056" s="12" t="s">
        <v>21</v>
      </c>
      <c r="L3056" s="7">
        <v>41237.27240740741</v>
      </c>
      <c r="M3056" s="14" t="s">
        <v>489</v>
      </c>
      <c r="N3056" s="14" t="s">
        <v>11388</v>
      </c>
      <c r="O3056" s="11" t="str">
        <f>HYPERLINK("https://pbs.twimg.com/profile_images/2957965454/038936db79a234eb61ed7e0951fa0c21_normal.jpeg","View")</f>
        <v>View</v>
      </c>
      <c r="P3056" s="15"/>
    </row>
    <row r="3057">
      <c r="A3057" s="7">
        <v>42426.410046296296</v>
      </c>
      <c r="B3057" s="8" t="str">
        <f>HYPERLINK("https://twitter.com/IanCroos","@IanCroos")</f>
        <v>@IanCroos</v>
      </c>
      <c r="C3057" s="10" t="s">
        <v>10031</v>
      </c>
      <c r="D3057" s="10" t="s">
        <v>11367</v>
      </c>
      <c r="E3057" s="11" t="str">
        <f>HYPERLINK("https://twitter.com/IanCroos/status/703275954764955648","703275954764955648")</f>
        <v>703275954764955648</v>
      </c>
      <c r="F3057" s="12" t="s">
        <v>1573</v>
      </c>
      <c r="G3057" s="13">
        <v>528.0</v>
      </c>
      <c r="H3057" s="13">
        <v>1476.0</v>
      </c>
      <c r="I3057" s="13">
        <v>12.0</v>
      </c>
      <c r="J3057" s="13">
        <v>0.0</v>
      </c>
      <c r="K3057" s="12" t="s">
        <v>21</v>
      </c>
      <c r="L3057" s="7">
        <v>40683.41784722223</v>
      </c>
      <c r="M3057" s="14" t="s">
        <v>10032</v>
      </c>
      <c r="N3057" s="14" t="s">
        <v>10033</v>
      </c>
      <c r="O3057" s="11" t="str">
        <f>HYPERLINK("https://pbs.twimg.com/profile_images/586952830503759872/wqAJlxDf_normal.jpg","View")</f>
        <v>View</v>
      </c>
      <c r="P3057" s="15"/>
    </row>
    <row r="3058">
      <c r="A3058" s="7">
        <v>42426.411261574074</v>
      </c>
      <c r="B3058" s="8" t="str">
        <f>HYPERLINK("https://twitter.com/biconnections","@biconnections")</f>
        <v>@biconnections</v>
      </c>
      <c r="C3058" s="10" t="s">
        <v>3938</v>
      </c>
      <c r="D3058" s="10" t="s">
        <v>11371</v>
      </c>
      <c r="E3058" s="11" t="str">
        <f>HYPERLINK("https://twitter.com/biconnections/status/703276396005695488","703276396005695488")</f>
        <v>703276396005695488</v>
      </c>
      <c r="F3058" s="12" t="s">
        <v>20</v>
      </c>
      <c r="G3058" s="13">
        <v>8024.0</v>
      </c>
      <c r="H3058" s="13">
        <v>9.0</v>
      </c>
      <c r="I3058" s="13">
        <v>4.0</v>
      </c>
      <c r="J3058" s="13">
        <v>0.0</v>
      </c>
      <c r="K3058" s="12" t="s">
        <v>21</v>
      </c>
      <c r="L3058" s="7">
        <v>40970.119305555556</v>
      </c>
      <c r="M3058" s="14" t="s">
        <v>3939</v>
      </c>
      <c r="N3058" s="14" t="s">
        <v>3940</v>
      </c>
      <c r="O3058" s="11" t="str">
        <f>HYPERLINK("https://pbs.twimg.com/profile_images/1866862979/50519_388209157862059_947380685_n_normal.jpg","View")</f>
        <v>View</v>
      </c>
      <c r="P3058" s="15"/>
    </row>
    <row r="3059">
      <c r="A3059" s="7">
        <v>42426.41140046297</v>
      </c>
      <c r="B3059" s="8" t="str">
        <f>HYPERLINK("https://twitter.com/westbrobby","@westbrobby")</f>
        <v>@westbrobby</v>
      </c>
      <c r="C3059" s="10" t="s">
        <v>8323</v>
      </c>
      <c r="D3059" s="10" t="s">
        <v>11389</v>
      </c>
      <c r="E3059" s="11" t="str">
        <f>HYPERLINK("https://twitter.com/westbrobby/status/703276444332507136","703276444332507136")</f>
        <v>703276444332507136</v>
      </c>
      <c r="F3059" s="12" t="s">
        <v>20</v>
      </c>
      <c r="G3059" s="13">
        <v>293.0</v>
      </c>
      <c r="H3059" s="13">
        <v>769.0</v>
      </c>
      <c r="I3059" s="13">
        <v>0.0</v>
      </c>
      <c r="J3059" s="13">
        <v>0.0</v>
      </c>
      <c r="K3059" s="12" t="s">
        <v>21</v>
      </c>
      <c r="L3059" s="7">
        <v>41016.263715277775</v>
      </c>
      <c r="M3059" s="14" t="s">
        <v>8325</v>
      </c>
      <c r="N3059" s="14" t="s">
        <v>8326</v>
      </c>
      <c r="O3059" s="11" t="str">
        <f>HYPERLINK("https://pbs.twimg.com/profile_images/494183080949579776/ErmJ49WR_normal.jpeg","View")</f>
        <v>View</v>
      </c>
      <c r="P3059" s="15"/>
    </row>
    <row r="3060">
      <c r="A3060" s="7">
        <v>42426.412777777776</v>
      </c>
      <c r="B3060" s="8" t="str">
        <f>HYPERLINK("https://twitter.com/sfrechette","@sfrechette")</f>
        <v>@sfrechette</v>
      </c>
      <c r="C3060" s="10" t="s">
        <v>6564</v>
      </c>
      <c r="D3060" s="10" t="s">
        <v>11390</v>
      </c>
      <c r="E3060" s="11" t="str">
        <f>HYPERLINK("https://twitter.com/sfrechette/status/703276944826241024","703276944826241024")</f>
        <v>703276944826241024</v>
      </c>
      <c r="F3060" s="12" t="s">
        <v>6566</v>
      </c>
      <c r="G3060" s="13">
        <v>1352.0</v>
      </c>
      <c r="H3060" s="13">
        <v>1178.0</v>
      </c>
      <c r="I3060" s="13">
        <v>0.0</v>
      </c>
      <c r="J3060" s="13">
        <v>0.0</v>
      </c>
      <c r="K3060" s="12" t="s">
        <v>21</v>
      </c>
      <c r="L3060" s="7">
        <v>39873.53702546297</v>
      </c>
      <c r="M3060" s="14" t="s">
        <v>6567</v>
      </c>
      <c r="N3060" s="14" t="s">
        <v>6568</v>
      </c>
      <c r="O3060" s="11" t="str">
        <f>HYPERLINK("https://pbs.twimg.com/profile_images/662342111799304192/Xtv8MZ-P_normal.jpg","View")</f>
        <v>View</v>
      </c>
      <c r="P3060" s="15"/>
    </row>
    <row r="3061">
      <c r="A3061" s="7">
        <v>42426.4134375</v>
      </c>
      <c r="B3061" s="8" t="str">
        <f>HYPERLINK("https://twitter.com/nils_gehlenborg","@nils_gehlenborg")</f>
        <v>@nils_gehlenborg</v>
      </c>
      <c r="C3061" s="10" t="s">
        <v>11391</v>
      </c>
      <c r="D3061" s="10" t="s">
        <v>10767</v>
      </c>
      <c r="E3061" s="11" t="str">
        <f>HYPERLINK("https://twitter.com/nils_gehlenborg/status/703277184673251329","703277184673251329")</f>
        <v>703277184673251329</v>
      </c>
      <c r="F3061" s="12" t="s">
        <v>98</v>
      </c>
      <c r="G3061" s="13">
        <v>567.0</v>
      </c>
      <c r="H3061" s="13">
        <v>336.0</v>
      </c>
      <c r="I3061" s="13">
        <v>7.0</v>
      </c>
      <c r="J3061" s="13">
        <v>0.0</v>
      </c>
      <c r="K3061" s="12" t="s">
        <v>21</v>
      </c>
      <c r="L3061" s="7">
        <v>39723.181655092594</v>
      </c>
      <c r="M3061" s="14" t="s">
        <v>11392</v>
      </c>
      <c r="N3061" s="14" t="s">
        <v>11393</v>
      </c>
      <c r="O3061" s="11" t="str">
        <f>HYPERLINK("https://pbs.twimg.com/profile_images/464529285085003776/vfS9KY7D_normal.png","View")</f>
        <v>View</v>
      </c>
      <c r="P3061" s="15"/>
    </row>
    <row r="3062">
      <c r="A3062" s="7">
        <v>42426.41392361111</v>
      </c>
      <c r="B3062" s="8" t="str">
        <f>HYPERLINK("https://twitter.com/Libardopez","@Libardopez")</f>
        <v>@Libardopez</v>
      </c>
      <c r="C3062" s="10" t="s">
        <v>9653</v>
      </c>
      <c r="D3062" s="10" t="s">
        <v>11371</v>
      </c>
      <c r="E3062" s="11" t="str">
        <f>HYPERLINK("https://twitter.com/Libardopez/status/703277361102512130","703277361102512130")</f>
        <v>703277361102512130</v>
      </c>
      <c r="F3062" s="12" t="s">
        <v>20</v>
      </c>
      <c r="G3062" s="13">
        <v>542.0</v>
      </c>
      <c r="H3062" s="13">
        <v>1503.0</v>
      </c>
      <c r="I3062" s="13">
        <v>4.0</v>
      </c>
      <c r="J3062" s="13">
        <v>0.0</v>
      </c>
      <c r="K3062" s="12" t="s">
        <v>21</v>
      </c>
      <c r="L3062" s="7">
        <v>41340.33980324074</v>
      </c>
      <c r="M3062" s="14" t="s">
        <v>9654</v>
      </c>
      <c r="N3062" s="14" t="s">
        <v>9655</v>
      </c>
      <c r="O3062" s="11" t="str">
        <f>HYPERLINK("https://pbs.twimg.com/profile_images/3350285193/ce39db4d30863e74cf9033c743a6e5b8_normal.jpeg","View")</f>
        <v>View</v>
      </c>
      <c r="P3062" s="15"/>
    </row>
    <row r="3063">
      <c r="A3063" s="7">
        <v>42426.41412037037</v>
      </c>
      <c r="B3063" s="8" t="str">
        <f>HYPERLINK("https://twitter.com/mishra1_PK","@mishra1_PK")</f>
        <v>@mishra1_PK</v>
      </c>
      <c r="C3063" s="10" t="s">
        <v>7016</v>
      </c>
      <c r="D3063" s="10" t="s">
        <v>10070</v>
      </c>
      <c r="E3063" s="11" t="str">
        <f>HYPERLINK("https://twitter.com/mishra1_PK/status/703277429586944001","703277429586944001")</f>
        <v>703277429586944001</v>
      </c>
      <c r="F3063" s="12" t="s">
        <v>52</v>
      </c>
      <c r="G3063" s="13">
        <v>373.0</v>
      </c>
      <c r="H3063" s="13">
        <v>197.0</v>
      </c>
      <c r="I3063" s="13">
        <v>13.0</v>
      </c>
      <c r="J3063" s="13">
        <v>0.0</v>
      </c>
      <c r="K3063" s="12" t="s">
        <v>21</v>
      </c>
      <c r="L3063" s="7">
        <v>40327.5</v>
      </c>
      <c r="M3063" s="14" t="s">
        <v>1877</v>
      </c>
      <c r="N3063" s="14" t="s">
        <v>7017</v>
      </c>
      <c r="O3063" s="11" t="str">
        <f>HYPERLINK("https://pbs.twimg.com/profile_images/663979354486018048/1NZ2hiBE_normal.jpg","View")</f>
        <v>View</v>
      </c>
      <c r="P3063" s="15"/>
    </row>
    <row r="3064">
      <c r="A3064" s="7">
        <v>42426.4144212963</v>
      </c>
      <c r="B3064" s="8" t="str">
        <f>HYPERLINK("https://twitter.com/Datablabla","@Datablabla")</f>
        <v>@Datablabla</v>
      </c>
      <c r="C3064" s="10" t="s">
        <v>3256</v>
      </c>
      <c r="D3064" s="10" t="s">
        <v>11367</v>
      </c>
      <c r="E3064" s="11" t="str">
        <f>HYPERLINK("https://twitter.com/Datablabla/status/703277541063311360","703277541063311360")</f>
        <v>703277541063311360</v>
      </c>
      <c r="F3064" s="12" t="s">
        <v>20</v>
      </c>
      <c r="G3064" s="13">
        <v>138.0</v>
      </c>
      <c r="H3064" s="13">
        <v>232.0</v>
      </c>
      <c r="I3064" s="13">
        <v>12.0</v>
      </c>
      <c r="J3064" s="13">
        <v>0.0</v>
      </c>
      <c r="K3064" s="12" t="s">
        <v>21</v>
      </c>
      <c r="L3064" s="7">
        <v>42136.520277777774</v>
      </c>
      <c r="M3064" s="14" t="s">
        <v>3258</v>
      </c>
      <c r="N3064" s="14" t="s">
        <v>3259</v>
      </c>
      <c r="O3064" s="11" t="str">
        <f>HYPERLINK("https://pbs.twimg.com/profile_images/602274133083365376/dc0LC6zM_normal.png","View")</f>
        <v>View</v>
      </c>
      <c r="P3064" s="15"/>
    </row>
    <row r="3065">
      <c r="A3065" s="7">
        <v>42426.414768518516</v>
      </c>
      <c r="B3065" s="8" t="str">
        <f>HYPERLINK("https://twitter.com/sckottie","@sckottie")</f>
        <v>@sckottie</v>
      </c>
      <c r="C3065" s="10" t="s">
        <v>7836</v>
      </c>
      <c r="D3065" s="10" t="s">
        <v>11394</v>
      </c>
      <c r="E3065" s="11" t="str">
        <f>HYPERLINK("https://twitter.com/sckottie/status/703277664870600704","703277664870600704")</f>
        <v>703277664870600704</v>
      </c>
      <c r="F3065" s="12" t="s">
        <v>446</v>
      </c>
      <c r="G3065" s="13">
        <v>3140.0</v>
      </c>
      <c r="H3065" s="13">
        <v>990.0</v>
      </c>
      <c r="I3065" s="13">
        <v>1.0</v>
      </c>
      <c r="J3065" s="13">
        <v>0.0</v>
      </c>
      <c r="K3065" s="12" t="s">
        <v>21</v>
      </c>
      <c r="L3065" s="7">
        <v>40186.2953587963</v>
      </c>
      <c r="M3065" s="14" t="s">
        <v>7838</v>
      </c>
      <c r="N3065" s="14" t="s">
        <v>7839</v>
      </c>
      <c r="O3065" s="11" t="str">
        <f>HYPERLINK("https://pbs.twimg.com/profile_images/628062474491670529/KOOABG9v_normal.jpg","View")</f>
        <v>View</v>
      </c>
      <c r="P3065" s="15"/>
    </row>
    <row r="3066">
      <c r="A3066" s="7">
        <v>42426.419861111106</v>
      </c>
      <c r="B3066" s="8" t="str">
        <f>HYPERLINK("https://twitter.com/LoopGM","@LoopGM")</f>
        <v>@LoopGM</v>
      </c>
      <c r="C3066" s="10" t="s">
        <v>3617</v>
      </c>
      <c r="D3066" s="10" t="s">
        <v>11364</v>
      </c>
      <c r="E3066" s="11" t="str">
        <f>HYPERLINK("https://twitter.com/LoopGM/status/703279509479542785","703279509479542785")</f>
        <v>703279509479542785</v>
      </c>
      <c r="F3066" s="12" t="s">
        <v>38</v>
      </c>
      <c r="G3066" s="13">
        <v>1057.0</v>
      </c>
      <c r="H3066" s="13">
        <v>1378.0</v>
      </c>
      <c r="I3066" s="13">
        <v>2.0</v>
      </c>
      <c r="J3066" s="13">
        <v>0.0</v>
      </c>
      <c r="K3066" s="12" t="s">
        <v>21</v>
      </c>
      <c r="L3066" s="7">
        <v>42023.89238425926</v>
      </c>
      <c r="M3066" s="16"/>
      <c r="N3066" s="14" t="s">
        <v>3618</v>
      </c>
      <c r="O3066" s="11" t="str">
        <f>HYPERLINK("https://pbs.twimg.com/profile_images/557757725342326784/Nvoty5Cl_normal.png","View")</f>
        <v>View</v>
      </c>
      <c r="P3066" s="15"/>
    </row>
    <row r="3067">
      <c r="A3067" s="7">
        <v>42426.422048611115</v>
      </c>
      <c r="B3067" s="8" t="str">
        <f>HYPERLINK("https://twitter.com/bhaskar_vk","@bhaskar_vk")</f>
        <v>@bhaskar_vk</v>
      </c>
      <c r="C3067" s="10" t="s">
        <v>7634</v>
      </c>
      <c r="D3067" s="10" t="s">
        <v>11395</v>
      </c>
      <c r="E3067" s="11" t="str">
        <f>HYPERLINK("https://twitter.com/bhaskar_vk/status/703280304191053824","703280304191053824")</f>
        <v>703280304191053824</v>
      </c>
      <c r="F3067" s="12" t="s">
        <v>446</v>
      </c>
      <c r="G3067" s="13">
        <v>768.0</v>
      </c>
      <c r="H3067" s="13">
        <v>2215.0</v>
      </c>
      <c r="I3067" s="13">
        <v>0.0</v>
      </c>
      <c r="J3067" s="13">
        <v>0.0</v>
      </c>
      <c r="K3067" s="12" t="s">
        <v>21</v>
      </c>
      <c r="L3067" s="7">
        <v>41040.30097222222</v>
      </c>
      <c r="M3067" s="14" t="s">
        <v>5287</v>
      </c>
      <c r="N3067" s="14" t="s">
        <v>7636</v>
      </c>
      <c r="O3067" s="11" t="str">
        <f>HYPERLINK("https://pbs.twimg.com/profile_images/3654916643/41e86ccffc771868940fb53a41c3b712_normal.jpeg","View")</f>
        <v>View</v>
      </c>
      <c r="P3067" s="15"/>
    </row>
    <row r="3068">
      <c r="A3068" s="7">
        <v>42426.42361111111</v>
      </c>
      <c r="B3068" s="8" t="str">
        <f>HYPERLINK("https://twitter.com/tomtom_m","@tomtom_m")</f>
        <v>@tomtom_m</v>
      </c>
      <c r="C3068" s="10" t="s">
        <v>11396</v>
      </c>
      <c r="D3068" s="10" t="s">
        <v>11367</v>
      </c>
      <c r="E3068" s="11" t="str">
        <f>HYPERLINK("https://twitter.com/tomtom_m/status/703280871827234816","703280871827234816")</f>
        <v>703280871827234816</v>
      </c>
      <c r="F3068" s="12" t="s">
        <v>446</v>
      </c>
      <c r="G3068" s="13">
        <v>421.0</v>
      </c>
      <c r="H3068" s="13">
        <v>146.0</v>
      </c>
      <c r="I3068" s="13">
        <v>12.0</v>
      </c>
      <c r="J3068" s="13">
        <v>0.0</v>
      </c>
      <c r="K3068" s="12" t="s">
        <v>21</v>
      </c>
      <c r="L3068" s="7">
        <v>39856.16116898148</v>
      </c>
      <c r="M3068" s="14" t="s">
        <v>11397</v>
      </c>
      <c r="N3068" s="14" t="s">
        <v>11398</v>
      </c>
      <c r="O3068" s="11" t="str">
        <f>HYPERLINK("https://pbs.twimg.com/profile_images/1539577065/197340_5976182754_669917754_107348_1471_n_normal.jpg","View")</f>
        <v>View</v>
      </c>
      <c r="P3068" s="15"/>
    </row>
    <row r="3069">
      <c r="A3069" s="7">
        <v>42426.42375</v>
      </c>
      <c r="B3069" s="8" t="str">
        <f>HYPERLINK("https://twitter.com/moneywithwings","@moneywithwings")</f>
        <v>@moneywithwings</v>
      </c>
      <c r="C3069" s="10" t="s">
        <v>11399</v>
      </c>
      <c r="D3069" s="10" t="s">
        <v>11400</v>
      </c>
      <c r="E3069" s="11" t="str">
        <f>HYPERLINK("https://twitter.com/moneywithwings/status/703280920854401025","703280920854401025")</f>
        <v>703280920854401025</v>
      </c>
      <c r="F3069" s="12" t="s">
        <v>20</v>
      </c>
      <c r="G3069" s="13">
        <v>331.0</v>
      </c>
      <c r="H3069" s="13">
        <v>2051.0</v>
      </c>
      <c r="I3069" s="13">
        <v>0.0</v>
      </c>
      <c r="J3069" s="13">
        <v>0.0</v>
      </c>
      <c r="K3069" s="12" t="s">
        <v>21</v>
      </c>
      <c r="L3069" s="7">
        <v>40746.69063657407</v>
      </c>
      <c r="M3069" s="14" t="s">
        <v>11401</v>
      </c>
      <c r="N3069" s="14" t="s">
        <v>11402</v>
      </c>
      <c r="O3069" s="11" t="str">
        <f>HYPERLINK("https://pbs.twimg.com/profile_images/669136937538732032/-n5yMz0L_normal.jpg","View")</f>
        <v>View</v>
      </c>
      <c r="P3069" s="15"/>
    </row>
    <row r="3070">
      <c r="A3070" s="7">
        <v>42426.42398148148</v>
      </c>
      <c r="B3070" s="8" t="str">
        <f>HYPERLINK("https://twitter.com/mishra1_PK","@mishra1_PK")</f>
        <v>@mishra1_PK</v>
      </c>
      <c r="C3070" s="10" t="s">
        <v>7016</v>
      </c>
      <c r="D3070" s="10" t="s">
        <v>11231</v>
      </c>
      <c r="E3070" s="11" t="str">
        <f>HYPERLINK("https://twitter.com/mishra1_PK/status/703281002982944768","703281002982944768")</f>
        <v>703281002982944768</v>
      </c>
      <c r="F3070" s="12" t="s">
        <v>52</v>
      </c>
      <c r="G3070" s="13">
        <v>373.0</v>
      </c>
      <c r="H3070" s="13">
        <v>197.0</v>
      </c>
      <c r="I3070" s="13">
        <v>9.0</v>
      </c>
      <c r="J3070" s="13">
        <v>0.0</v>
      </c>
      <c r="K3070" s="12" t="s">
        <v>21</v>
      </c>
      <c r="L3070" s="7">
        <v>40327.5</v>
      </c>
      <c r="M3070" s="14" t="s">
        <v>1877</v>
      </c>
      <c r="N3070" s="14" t="s">
        <v>7017</v>
      </c>
      <c r="O3070" s="11" t="str">
        <f>HYPERLINK("https://pbs.twimg.com/profile_images/663979354486018048/1NZ2hiBE_normal.jpg","View")</f>
        <v>View</v>
      </c>
      <c r="P3070" s="15"/>
    </row>
    <row r="3071">
      <c r="A3071" s="7">
        <v>42426.42545138889</v>
      </c>
      <c r="B3071" s="8" t="str">
        <f>HYPERLINK("https://twitter.com/asifsalam","@asifsalam")</f>
        <v>@asifsalam</v>
      </c>
      <c r="C3071" s="10" t="s">
        <v>11403</v>
      </c>
      <c r="D3071" s="10" t="s">
        <v>11367</v>
      </c>
      <c r="E3071" s="11" t="str">
        <f>HYPERLINK("https://twitter.com/asifsalam/status/703281537178062849","703281537178062849")</f>
        <v>703281537178062849</v>
      </c>
      <c r="F3071" s="12" t="s">
        <v>52</v>
      </c>
      <c r="G3071" s="13">
        <v>35.0</v>
      </c>
      <c r="H3071" s="13">
        <v>85.0</v>
      </c>
      <c r="I3071" s="13">
        <v>12.0</v>
      </c>
      <c r="J3071" s="13">
        <v>0.0</v>
      </c>
      <c r="K3071" s="12" t="s">
        <v>21</v>
      </c>
      <c r="L3071" s="7">
        <v>39891.14849537037</v>
      </c>
      <c r="M3071" s="16"/>
      <c r="N3071" s="16"/>
      <c r="O3071" s="11" t="str">
        <f>HYPERLINK("https://pbs.twimg.com/profile_images/1865524401/image_normal.jpg","View")</f>
        <v>View</v>
      </c>
      <c r="P3071" s="15"/>
    </row>
    <row r="3072">
      <c r="A3072" s="7">
        <v>42426.4262962963</v>
      </c>
      <c r="B3072" s="8" t="str">
        <f>HYPERLINK("https://twitter.com/CRANberriesFeed","@CRANberriesFeed")</f>
        <v>@CRANberriesFeed</v>
      </c>
      <c r="C3072" s="10" t="s">
        <v>6282</v>
      </c>
      <c r="D3072" s="10" t="s">
        <v>11404</v>
      </c>
      <c r="E3072" s="11" t="str">
        <f>HYPERLINK("https://twitter.com/CRANberriesFeed/status/703281843567779843","703281843567779843")</f>
        <v>703281843567779843</v>
      </c>
      <c r="F3072" s="12" t="s">
        <v>6284</v>
      </c>
      <c r="G3072" s="13">
        <v>657.0</v>
      </c>
      <c r="H3072" s="13">
        <v>0.0</v>
      </c>
      <c r="I3072" s="13">
        <v>0.0</v>
      </c>
      <c r="J3072" s="13">
        <v>0.0</v>
      </c>
      <c r="K3072" s="12" t="s">
        <v>21</v>
      </c>
      <c r="L3072" s="7">
        <v>40546.353425925925</v>
      </c>
      <c r="M3072" s="14" t="s">
        <v>1158</v>
      </c>
      <c r="N3072" s="16"/>
      <c r="O3072" s="11" t="str">
        <f>HYPERLINK("https://pbs.twimg.com/profile_images/1222779560/cran1_normal.jpg","View")</f>
        <v>View</v>
      </c>
      <c r="P3072" s="15"/>
    </row>
    <row r="3073">
      <c r="A3073" s="15"/>
      <c r="B3073" s="22"/>
      <c r="C3073" s="22"/>
      <c r="D3073" s="22"/>
      <c r="E3073" s="15"/>
      <c r="F3073" s="15"/>
      <c r="G3073" s="15"/>
      <c r="H3073" s="15"/>
      <c r="I3073" s="15"/>
      <c r="J3073" s="15"/>
      <c r="K3073" s="15"/>
      <c r="L3073" s="15"/>
      <c r="M3073" s="16"/>
      <c r="N3073" s="16"/>
      <c r="O3073" s="15"/>
      <c r="P3073" s="15"/>
    </row>
    <row r="3074">
      <c r="A3074" s="15"/>
      <c r="B3074" s="22"/>
      <c r="C3074" s="22"/>
      <c r="D3074" s="22"/>
      <c r="E3074" s="15"/>
      <c r="F3074" s="15"/>
      <c r="G3074" s="15"/>
      <c r="H3074" s="15"/>
      <c r="I3074" s="15"/>
      <c r="J3074" s="15"/>
      <c r="K3074" s="15"/>
      <c r="L3074" s="15"/>
      <c r="M3074" s="16"/>
      <c r="N3074" s="16"/>
      <c r="O3074" s="15"/>
      <c r="P3074" s="15"/>
    </row>
    <row r="3075">
      <c r="A3075" s="15"/>
      <c r="B3075" s="22"/>
      <c r="C3075" s="22"/>
      <c r="D3075" s="23"/>
      <c r="E3075" s="15"/>
      <c r="F3075" s="15"/>
      <c r="G3075" s="15"/>
      <c r="H3075" s="15"/>
      <c r="I3075" s="15"/>
      <c r="J3075" s="15"/>
      <c r="K3075" s="15"/>
      <c r="L3075" s="15"/>
      <c r="M3075" s="16"/>
      <c r="N3075" s="16"/>
      <c r="O3075" s="15"/>
      <c r="P3075" s="15"/>
    </row>
    <row r="3076">
      <c r="A3076" s="15"/>
      <c r="B3076" s="22"/>
      <c r="C3076" s="22"/>
      <c r="D3076" s="22"/>
      <c r="E3076" s="15"/>
      <c r="F3076" s="15"/>
      <c r="G3076" s="15"/>
      <c r="H3076" s="15"/>
      <c r="I3076" s="15"/>
      <c r="J3076" s="15"/>
      <c r="K3076" s="15"/>
      <c r="L3076" s="15"/>
      <c r="M3076" s="16"/>
      <c r="N3076" s="16"/>
      <c r="O3076" s="15"/>
      <c r="P3076" s="15"/>
    </row>
    <row r="3077">
      <c r="A3077" s="15"/>
      <c r="B3077" s="22"/>
      <c r="C3077" s="22"/>
      <c r="D3077" s="22"/>
      <c r="E3077" s="15"/>
      <c r="F3077" s="15"/>
      <c r="G3077" s="15"/>
      <c r="H3077" s="15"/>
      <c r="I3077" s="15"/>
      <c r="J3077" s="15"/>
      <c r="K3077" s="15"/>
      <c r="L3077" s="15"/>
      <c r="M3077" s="16"/>
      <c r="N3077" s="16"/>
      <c r="O3077" s="15"/>
      <c r="P3077" s="15"/>
    </row>
    <row r="3078">
      <c r="A3078" s="15"/>
      <c r="B3078" s="22"/>
      <c r="C3078" s="22"/>
      <c r="D3078" s="22"/>
      <c r="E3078" s="15"/>
      <c r="F3078" s="15"/>
      <c r="G3078" s="15"/>
      <c r="H3078" s="15"/>
      <c r="I3078" s="15"/>
      <c r="J3078" s="15"/>
      <c r="K3078" s="15"/>
      <c r="L3078" s="15"/>
      <c r="M3078" s="16"/>
      <c r="N3078" s="16"/>
      <c r="O3078" s="15"/>
      <c r="P3078" s="15"/>
    </row>
    <row r="3079">
      <c r="A3079" s="15"/>
      <c r="B3079" s="22"/>
      <c r="C3079" s="22"/>
      <c r="D3079" s="22"/>
      <c r="E3079" s="15"/>
      <c r="F3079" s="15"/>
      <c r="G3079" s="15"/>
      <c r="H3079" s="15"/>
      <c r="I3079" s="15"/>
      <c r="J3079" s="15"/>
      <c r="K3079" s="15"/>
      <c r="L3079" s="15"/>
      <c r="M3079" s="16"/>
      <c r="N3079" s="16"/>
      <c r="O3079" s="15"/>
      <c r="P3079" s="15"/>
    </row>
    <row r="3080">
      <c r="A3080" s="15"/>
      <c r="B3080" s="22"/>
      <c r="C3080" s="22"/>
      <c r="D3080" s="22"/>
      <c r="E3080" s="15"/>
      <c r="F3080" s="15"/>
      <c r="G3080" s="15"/>
      <c r="H3080" s="15"/>
      <c r="I3080" s="15"/>
      <c r="J3080" s="15"/>
      <c r="K3080" s="15"/>
      <c r="L3080" s="15"/>
      <c r="M3080" s="16"/>
      <c r="N3080" s="16"/>
      <c r="O3080" s="15"/>
      <c r="P3080" s="15"/>
    </row>
    <row r="3081">
      <c r="A3081" s="15"/>
      <c r="B3081" s="22"/>
      <c r="C3081" s="22"/>
      <c r="D3081" s="22"/>
      <c r="E3081" s="15"/>
      <c r="F3081" s="15"/>
      <c r="G3081" s="15"/>
      <c r="H3081" s="15"/>
      <c r="I3081" s="15"/>
      <c r="J3081" s="15"/>
      <c r="K3081" s="15"/>
      <c r="L3081" s="15"/>
      <c r="M3081" s="16"/>
      <c r="N3081" s="16"/>
      <c r="O3081" s="15"/>
      <c r="P3081" s="15"/>
    </row>
    <row r="3082">
      <c r="A3082" s="15"/>
      <c r="B3082" s="22"/>
      <c r="C3082" s="22"/>
      <c r="D3082" s="22"/>
      <c r="E3082" s="15"/>
      <c r="F3082" s="15"/>
      <c r="G3082" s="15"/>
      <c r="H3082" s="15"/>
      <c r="I3082" s="15"/>
      <c r="J3082" s="15"/>
      <c r="K3082" s="15"/>
      <c r="L3082" s="15"/>
      <c r="M3082" s="16"/>
      <c r="N3082" s="16"/>
      <c r="O3082" s="15"/>
      <c r="P3082" s="15"/>
    </row>
    <row r="3083">
      <c r="A3083" s="15"/>
      <c r="B3083" s="22"/>
      <c r="C3083" s="22"/>
      <c r="D3083" s="22"/>
      <c r="E3083" s="15"/>
      <c r="F3083" s="15"/>
      <c r="G3083" s="15"/>
      <c r="H3083" s="15"/>
      <c r="I3083" s="15"/>
      <c r="J3083" s="15"/>
      <c r="K3083" s="15"/>
      <c r="L3083" s="15"/>
      <c r="M3083" s="16"/>
      <c r="N3083" s="16"/>
      <c r="O3083" s="15"/>
      <c r="P3083" s="15"/>
    </row>
    <row r="3084">
      <c r="A3084" s="15"/>
      <c r="B3084" s="22"/>
      <c r="C3084" s="22"/>
      <c r="D3084" s="22"/>
      <c r="E3084" s="15"/>
      <c r="F3084" s="15"/>
      <c r="G3084" s="15"/>
      <c r="H3084" s="15"/>
      <c r="I3084" s="15"/>
      <c r="J3084" s="15"/>
      <c r="K3084" s="15"/>
      <c r="L3084" s="15"/>
      <c r="M3084" s="16"/>
      <c r="N3084" s="16"/>
      <c r="O3084" s="15"/>
      <c r="P3084" s="15"/>
    </row>
    <row r="3085">
      <c r="A3085" s="15"/>
      <c r="B3085" s="22"/>
      <c r="C3085" s="22"/>
      <c r="D3085" s="22"/>
      <c r="E3085" s="15"/>
      <c r="F3085" s="15"/>
      <c r="G3085" s="15"/>
      <c r="H3085" s="15"/>
      <c r="I3085" s="15"/>
      <c r="J3085" s="15"/>
      <c r="K3085" s="15"/>
      <c r="L3085" s="15"/>
      <c r="M3085" s="16"/>
      <c r="N3085" s="16"/>
      <c r="O3085" s="15"/>
      <c r="P3085" s="15"/>
    </row>
    <row r="3086">
      <c r="A3086" s="15"/>
      <c r="B3086" s="22"/>
      <c r="C3086" s="22"/>
      <c r="D3086" s="22"/>
      <c r="E3086" s="15"/>
      <c r="F3086" s="15"/>
      <c r="G3086" s="15"/>
      <c r="H3086" s="15"/>
      <c r="I3086" s="15"/>
      <c r="J3086" s="15"/>
      <c r="K3086" s="15"/>
      <c r="L3086" s="15"/>
      <c r="M3086" s="16"/>
      <c r="N3086" s="16"/>
      <c r="O3086" s="15"/>
      <c r="P3086" s="15"/>
    </row>
    <row r="3087">
      <c r="A3087" s="15"/>
      <c r="B3087" s="22"/>
      <c r="C3087" s="22"/>
      <c r="D3087" s="22"/>
      <c r="E3087" s="15"/>
      <c r="F3087" s="15"/>
      <c r="G3087" s="15"/>
      <c r="H3087" s="15"/>
      <c r="I3087" s="15"/>
      <c r="J3087" s="15"/>
      <c r="K3087" s="15"/>
      <c r="L3087" s="15"/>
      <c r="M3087" s="16"/>
      <c r="N3087" s="16"/>
      <c r="O3087" s="15"/>
      <c r="P3087" s="15"/>
    </row>
    <row r="3088">
      <c r="A3088" s="15"/>
      <c r="B3088" s="22"/>
      <c r="C3088" s="22"/>
      <c r="D3088" s="22"/>
      <c r="E3088" s="15"/>
      <c r="F3088" s="15"/>
      <c r="G3088" s="15"/>
      <c r="H3088" s="15"/>
      <c r="I3088" s="15"/>
      <c r="J3088" s="15"/>
      <c r="K3088" s="15"/>
      <c r="L3088" s="15"/>
      <c r="M3088" s="16"/>
      <c r="N3088" s="16"/>
      <c r="O3088" s="15"/>
      <c r="P3088" s="15"/>
    </row>
    <row r="3089">
      <c r="A3089" s="15"/>
      <c r="B3089" s="22"/>
      <c r="C3089" s="22"/>
      <c r="D3089" s="22"/>
      <c r="E3089" s="15"/>
      <c r="F3089" s="15"/>
      <c r="G3089" s="15"/>
      <c r="H3089" s="15"/>
      <c r="I3089" s="15"/>
      <c r="J3089" s="15"/>
      <c r="K3089" s="15"/>
      <c r="L3089" s="15"/>
      <c r="M3089" s="16"/>
      <c r="N3089" s="16"/>
      <c r="O3089" s="15"/>
      <c r="P3089" s="15"/>
    </row>
    <row r="3090">
      <c r="A3090" s="15"/>
      <c r="B3090" s="22"/>
      <c r="C3090" s="22"/>
      <c r="D3090" s="22"/>
      <c r="E3090" s="15"/>
      <c r="F3090" s="15"/>
      <c r="G3090" s="15"/>
      <c r="H3090" s="15"/>
      <c r="I3090" s="15"/>
      <c r="J3090" s="15"/>
      <c r="K3090" s="15"/>
      <c r="L3090" s="15"/>
      <c r="M3090" s="16"/>
      <c r="N3090" s="16"/>
      <c r="O3090" s="15"/>
      <c r="P3090" s="15"/>
    </row>
    <row r="3091">
      <c r="A3091" s="15"/>
      <c r="B3091" s="22"/>
      <c r="C3091" s="22"/>
      <c r="D3091" s="22"/>
      <c r="E3091" s="15"/>
      <c r="F3091" s="15"/>
      <c r="G3091" s="15"/>
      <c r="H3091" s="15"/>
      <c r="I3091" s="15"/>
      <c r="J3091" s="15"/>
      <c r="K3091" s="15"/>
      <c r="L3091" s="15"/>
      <c r="M3091" s="16"/>
      <c r="N3091" s="16"/>
      <c r="O3091" s="15"/>
      <c r="P3091" s="15"/>
    </row>
    <row r="3092">
      <c r="A3092" s="15"/>
      <c r="B3092" s="22"/>
      <c r="C3092" s="22"/>
      <c r="D3092" s="22"/>
      <c r="E3092" s="15"/>
      <c r="F3092" s="15"/>
      <c r="G3092" s="15"/>
      <c r="H3092" s="15"/>
      <c r="I3092" s="15"/>
      <c r="J3092" s="15"/>
      <c r="K3092" s="15"/>
      <c r="L3092" s="15"/>
      <c r="M3092" s="16"/>
      <c r="N3092" s="16"/>
      <c r="O3092" s="15"/>
      <c r="P3092" s="15"/>
    </row>
    <row r="3093">
      <c r="A3093" s="15"/>
      <c r="B3093" s="22"/>
      <c r="C3093" s="22"/>
      <c r="D3093" s="22"/>
      <c r="E3093" s="15"/>
      <c r="F3093" s="15"/>
      <c r="G3093" s="15"/>
      <c r="H3093" s="15"/>
      <c r="I3093" s="15"/>
      <c r="J3093" s="15"/>
      <c r="K3093" s="15"/>
      <c r="L3093" s="15"/>
      <c r="M3093" s="16"/>
      <c r="N3093" s="16"/>
      <c r="O3093" s="15"/>
      <c r="P3093" s="15"/>
    </row>
    <row r="3094">
      <c r="A3094" s="15"/>
      <c r="B3094" s="22"/>
      <c r="C3094" s="22"/>
      <c r="D3094" s="22"/>
      <c r="E3094" s="15"/>
      <c r="F3094" s="15"/>
      <c r="G3094" s="15"/>
      <c r="H3094" s="15"/>
      <c r="I3094" s="15"/>
      <c r="J3094" s="15"/>
      <c r="K3094" s="15"/>
      <c r="L3094" s="15"/>
      <c r="M3094" s="16"/>
      <c r="N3094" s="16"/>
      <c r="O3094" s="15"/>
      <c r="P3094" s="15"/>
    </row>
    <row r="3095">
      <c r="A3095" s="15"/>
      <c r="B3095" s="22"/>
      <c r="C3095" s="22"/>
      <c r="D3095" s="22"/>
      <c r="E3095" s="15"/>
      <c r="F3095" s="15"/>
      <c r="G3095" s="15"/>
      <c r="H3095" s="15"/>
      <c r="I3095" s="15"/>
      <c r="J3095" s="15"/>
      <c r="K3095" s="15"/>
      <c r="L3095" s="15"/>
      <c r="M3095" s="16"/>
      <c r="N3095" s="16"/>
      <c r="O3095" s="15"/>
      <c r="P3095" s="15"/>
    </row>
    <row r="3096">
      <c r="A3096" s="15"/>
      <c r="B3096" s="22"/>
      <c r="C3096" s="22"/>
      <c r="D3096" s="22"/>
      <c r="E3096" s="15"/>
      <c r="F3096" s="15"/>
      <c r="G3096" s="15"/>
      <c r="H3096" s="15"/>
      <c r="I3096" s="15"/>
      <c r="J3096" s="15"/>
      <c r="K3096" s="15"/>
      <c r="L3096" s="15"/>
      <c r="M3096" s="16"/>
      <c r="N3096" s="16"/>
      <c r="O3096" s="15"/>
      <c r="P3096" s="15"/>
    </row>
    <row r="3097">
      <c r="A3097" s="15"/>
      <c r="B3097" s="22"/>
      <c r="C3097" s="22"/>
      <c r="D3097" s="22"/>
      <c r="E3097" s="15"/>
      <c r="F3097" s="15"/>
      <c r="G3097" s="15"/>
      <c r="H3097" s="15"/>
      <c r="I3097" s="15"/>
      <c r="J3097" s="15"/>
      <c r="K3097" s="15"/>
      <c r="L3097" s="15"/>
      <c r="M3097" s="16"/>
      <c r="N3097" s="16"/>
      <c r="O3097" s="15"/>
      <c r="P3097" s="15"/>
    </row>
    <row r="3098">
      <c r="A3098" s="15"/>
      <c r="B3098" s="22"/>
      <c r="C3098" s="22"/>
      <c r="D3098" s="22"/>
      <c r="E3098" s="15"/>
      <c r="F3098" s="15"/>
      <c r="G3098" s="15"/>
      <c r="H3098" s="15"/>
      <c r="I3098" s="15"/>
      <c r="J3098" s="15"/>
      <c r="K3098" s="15"/>
      <c r="L3098" s="15"/>
      <c r="M3098" s="16"/>
      <c r="N3098" s="16"/>
      <c r="O3098" s="15"/>
      <c r="P3098" s="15"/>
    </row>
    <row r="3099">
      <c r="A3099" s="15"/>
      <c r="B3099" s="22"/>
      <c r="C3099" s="22"/>
      <c r="D3099" s="22"/>
      <c r="E3099" s="15"/>
      <c r="F3099" s="15"/>
      <c r="G3099" s="15"/>
      <c r="H3099" s="15"/>
      <c r="I3099" s="15"/>
      <c r="J3099" s="15"/>
      <c r="K3099" s="15"/>
      <c r="L3099" s="15"/>
      <c r="M3099" s="16"/>
      <c r="N3099" s="16"/>
      <c r="O3099" s="15"/>
      <c r="P3099" s="15"/>
    </row>
    <row r="3100">
      <c r="A3100" s="15"/>
      <c r="B3100" s="22"/>
      <c r="C3100" s="22"/>
      <c r="D3100" s="22"/>
      <c r="E3100" s="15"/>
      <c r="F3100" s="15"/>
      <c r="G3100" s="15"/>
      <c r="H3100" s="15"/>
      <c r="I3100" s="15"/>
      <c r="J3100" s="15"/>
      <c r="K3100" s="15"/>
      <c r="L3100" s="15"/>
      <c r="M3100" s="16"/>
      <c r="N3100" s="16"/>
      <c r="O3100" s="15"/>
      <c r="P3100" s="15"/>
    </row>
    <row r="3101">
      <c r="A3101" s="15"/>
      <c r="B3101" s="22"/>
      <c r="C3101" s="22"/>
      <c r="D3101" s="22"/>
      <c r="E3101" s="15"/>
      <c r="F3101" s="15"/>
      <c r="G3101" s="15"/>
      <c r="H3101" s="15"/>
      <c r="I3101" s="15"/>
      <c r="J3101" s="15"/>
      <c r="K3101" s="15"/>
      <c r="L3101" s="15"/>
      <c r="M3101" s="16"/>
      <c r="N3101" s="16"/>
      <c r="O3101" s="15"/>
      <c r="P3101" s="15"/>
    </row>
    <row r="3102">
      <c r="A3102" s="15"/>
      <c r="B3102" s="22"/>
      <c r="C3102" s="22"/>
      <c r="D3102" s="22"/>
      <c r="E3102" s="15"/>
      <c r="F3102" s="15"/>
      <c r="G3102" s="15"/>
      <c r="H3102" s="15"/>
      <c r="I3102" s="15"/>
      <c r="J3102" s="15"/>
      <c r="K3102" s="15"/>
      <c r="L3102" s="15"/>
      <c r="M3102" s="16"/>
      <c r="N3102" s="16"/>
      <c r="O3102" s="15"/>
      <c r="P3102" s="15"/>
    </row>
    <row r="3103">
      <c r="A3103" s="15"/>
      <c r="B3103" s="22"/>
      <c r="C3103" s="22"/>
      <c r="D3103" s="22"/>
      <c r="E3103" s="15"/>
      <c r="F3103" s="15"/>
      <c r="G3103" s="15"/>
      <c r="H3103" s="15"/>
      <c r="I3103" s="15"/>
      <c r="J3103" s="15"/>
      <c r="K3103" s="15"/>
      <c r="L3103" s="15"/>
      <c r="M3103" s="16"/>
      <c r="N3103" s="16"/>
      <c r="O3103" s="15"/>
      <c r="P3103" s="15"/>
    </row>
    <row r="3104">
      <c r="A3104" s="15"/>
      <c r="B3104" s="22"/>
      <c r="C3104" s="22"/>
      <c r="D3104" s="22"/>
      <c r="E3104" s="15"/>
      <c r="F3104" s="15"/>
      <c r="G3104" s="15"/>
      <c r="H3104" s="15"/>
      <c r="I3104" s="15"/>
      <c r="J3104" s="15"/>
      <c r="K3104" s="15"/>
      <c r="L3104" s="15"/>
      <c r="M3104" s="16"/>
      <c r="N3104" s="16"/>
      <c r="O3104" s="15"/>
      <c r="P3104" s="15"/>
    </row>
    <row r="3105">
      <c r="A3105" s="15"/>
      <c r="B3105" s="22"/>
      <c r="C3105" s="22"/>
      <c r="D3105" s="22"/>
      <c r="E3105" s="15"/>
      <c r="F3105" s="15"/>
      <c r="G3105" s="15"/>
      <c r="H3105" s="15"/>
      <c r="I3105" s="15"/>
      <c r="J3105" s="15"/>
      <c r="K3105" s="15"/>
      <c r="L3105" s="15"/>
      <c r="M3105" s="16"/>
      <c r="N3105" s="16"/>
      <c r="O3105" s="15"/>
      <c r="P3105" s="15"/>
    </row>
    <row r="3106">
      <c r="A3106" s="15"/>
      <c r="B3106" s="22"/>
      <c r="C3106" s="22"/>
      <c r="D3106" s="22"/>
      <c r="E3106" s="15"/>
      <c r="F3106" s="15"/>
      <c r="G3106" s="15"/>
      <c r="H3106" s="15"/>
      <c r="I3106" s="15"/>
      <c r="J3106" s="15"/>
      <c r="K3106" s="15"/>
      <c r="L3106" s="15"/>
      <c r="M3106" s="16"/>
      <c r="N3106" s="16"/>
      <c r="O3106" s="15"/>
      <c r="P3106" s="15"/>
    </row>
    <row r="3107">
      <c r="A3107" s="15"/>
      <c r="B3107" s="22"/>
      <c r="C3107" s="22"/>
      <c r="D3107" s="22"/>
      <c r="E3107" s="15"/>
      <c r="F3107" s="15"/>
      <c r="G3107" s="15"/>
      <c r="H3107" s="15"/>
      <c r="I3107" s="15"/>
      <c r="J3107" s="15"/>
      <c r="K3107" s="15"/>
      <c r="L3107" s="15"/>
      <c r="M3107" s="16"/>
      <c r="N3107" s="16"/>
      <c r="O3107" s="15"/>
      <c r="P3107" s="15"/>
    </row>
    <row r="3108">
      <c r="A3108" s="15"/>
      <c r="B3108" s="22"/>
      <c r="C3108" s="22"/>
      <c r="D3108" s="22"/>
      <c r="E3108" s="15"/>
      <c r="F3108" s="15"/>
      <c r="G3108" s="15"/>
      <c r="H3108" s="15"/>
      <c r="I3108" s="15"/>
      <c r="J3108" s="15"/>
      <c r="K3108" s="15"/>
      <c r="L3108" s="15"/>
      <c r="M3108" s="16"/>
      <c r="N3108" s="16"/>
      <c r="O3108" s="15"/>
      <c r="P3108" s="15"/>
    </row>
    <row r="3109">
      <c r="A3109" s="15"/>
      <c r="B3109" s="22"/>
      <c r="C3109" s="22"/>
      <c r="D3109" s="22"/>
      <c r="E3109" s="15"/>
      <c r="F3109" s="15"/>
      <c r="G3109" s="15"/>
      <c r="H3109" s="15"/>
      <c r="I3109" s="15"/>
      <c r="J3109" s="15"/>
      <c r="K3109" s="15"/>
      <c r="L3109" s="15"/>
      <c r="M3109" s="16"/>
      <c r="N3109" s="16"/>
      <c r="O3109" s="15"/>
      <c r="P3109" s="15"/>
    </row>
    <row r="3110">
      <c r="A3110" s="15"/>
      <c r="B3110" s="22"/>
      <c r="C3110" s="22"/>
      <c r="D3110" s="22"/>
      <c r="E3110" s="15"/>
      <c r="F3110" s="15"/>
      <c r="G3110" s="15"/>
      <c r="H3110" s="15"/>
      <c r="I3110" s="15"/>
      <c r="J3110" s="15"/>
      <c r="K3110" s="15"/>
      <c r="L3110" s="15"/>
      <c r="M3110" s="16"/>
      <c r="N3110" s="16"/>
      <c r="O3110" s="15"/>
      <c r="P3110" s="15"/>
    </row>
    <row r="3111">
      <c r="A3111" s="15"/>
      <c r="B3111" s="22"/>
      <c r="C3111" s="22"/>
      <c r="D3111" s="22"/>
      <c r="E3111" s="15"/>
      <c r="F3111" s="15"/>
      <c r="G3111" s="15"/>
      <c r="H3111" s="15"/>
      <c r="I3111" s="15"/>
      <c r="J3111" s="15"/>
      <c r="K3111" s="15"/>
      <c r="L3111" s="15"/>
      <c r="M3111" s="16"/>
      <c r="N3111" s="16"/>
      <c r="O3111" s="15"/>
      <c r="P3111" s="15"/>
    </row>
    <row r="3112">
      <c r="A3112" s="15"/>
      <c r="B3112" s="22"/>
      <c r="C3112" s="22"/>
      <c r="D3112" s="22"/>
      <c r="E3112" s="15"/>
      <c r="F3112" s="15"/>
      <c r="G3112" s="15"/>
      <c r="H3112" s="15"/>
      <c r="I3112" s="15"/>
      <c r="J3112" s="15"/>
      <c r="K3112" s="15"/>
      <c r="L3112" s="15"/>
      <c r="M3112" s="16"/>
      <c r="N3112" s="16"/>
      <c r="O3112" s="15"/>
      <c r="P3112" s="15"/>
    </row>
    <row r="3113">
      <c r="A3113" s="15"/>
      <c r="B3113" s="22"/>
      <c r="C3113" s="22"/>
      <c r="D3113" s="22"/>
      <c r="E3113" s="15"/>
      <c r="F3113" s="15"/>
      <c r="G3113" s="15"/>
      <c r="H3113" s="15"/>
      <c r="I3113" s="15"/>
      <c r="J3113" s="15"/>
      <c r="K3113" s="15"/>
      <c r="L3113" s="15"/>
      <c r="M3113" s="16"/>
      <c r="N3113" s="16"/>
      <c r="O3113" s="15"/>
      <c r="P3113" s="15"/>
    </row>
    <row r="3114">
      <c r="A3114" s="15"/>
      <c r="B3114" s="22"/>
      <c r="C3114" s="22"/>
      <c r="D3114" s="22"/>
      <c r="E3114" s="15"/>
      <c r="F3114" s="15"/>
      <c r="G3114" s="15"/>
      <c r="H3114" s="15"/>
      <c r="I3114" s="15"/>
      <c r="J3114" s="15"/>
      <c r="K3114" s="15"/>
      <c r="L3114" s="15"/>
      <c r="M3114" s="16"/>
      <c r="N3114" s="16"/>
      <c r="O3114" s="15"/>
      <c r="P3114" s="15"/>
    </row>
    <row r="3115">
      <c r="A3115" s="15"/>
      <c r="B3115" s="22"/>
      <c r="C3115" s="22"/>
      <c r="D3115" s="22"/>
      <c r="E3115" s="15"/>
      <c r="F3115" s="15"/>
      <c r="G3115" s="15"/>
      <c r="H3115" s="15"/>
      <c r="I3115" s="15"/>
      <c r="J3115" s="15"/>
      <c r="K3115" s="15"/>
      <c r="L3115" s="15"/>
      <c r="M3115" s="16"/>
      <c r="N3115" s="16"/>
      <c r="O3115" s="15"/>
      <c r="P3115" s="15"/>
    </row>
    <row r="3116">
      <c r="A3116" s="15"/>
      <c r="B3116" s="22"/>
      <c r="C3116" s="22"/>
      <c r="D3116" s="22"/>
      <c r="E3116" s="15"/>
      <c r="F3116" s="15"/>
      <c r="G3116" s="15"/>
      <c r="H3116" s="15"/>
      <c r="I3116" s="15"/>
      <c r="J3116" s="15"/>
      <c r="K3116" s="15"/>
      <c r="L3116" s="15"/>
      <c r="M3116" s="16"/>
      <c r="N3116" s="16"/>
      <c r="O3116" s="15"/>
      <c r="P3116" s="15"/>
    </row>
    <row r="3117">
      <c r="A3117" s="15"/>
      <c r="B3117" s="22"/>
      <c r="C3117" s="22"/>
      <c r="D3117" s="22"/>
      <c r="E3117" s="15"/>
      <c r="F3117" s="15"/>
      <c r="G3117" s="15"/>
      <c r="H3117" s="15"/>
      <c r="I3117" s="15"/>
      <c r="J3117" s="15"/>
      <c r="K3117" s="15"/>
      <c r="L3117" s="15"/>
      <c r="M3117" s="16"/>
      <c r="N3117" s="16"/>
      <c r="O3117" s="15"/>
      <c r="P3117" s="15"/>
    </row>
    <row r="3118">
      <c r="A3118" s="15"/>
      <c r="B3118" s="22"/>
      <c r="C3118" s="22"/>
      <c r="D3118" s="22"/>
      <c r="E3118" s="15"/>
      <c r="F3118" s="15"/>
      <c r="G3118" s="15"/>
      <c r="H3118" s="15"/>
      <c r="I3118" s="15"/>
      <c r="J3118" s="15"/>
      <c r="K3118" s="15"/>
      <c r="L3118" s="15"/>
      <c r="M3118" s="16"/>
      <c r="N3118" s="16"/>
      <c r="O3118" s="15"/>
      <c r="P3118" s="15"/>
    </row>
    <row r="3119">
      <c r="A3119" s="15"/>
      <c r="B3119" s="22"/>
      <c r="C3119" s="22"/>
      <c r="D3119" s="22"/>
      <c r="E3119" s="15"/>
      <c r="F3119" s="15"/>
      <c r="G3119" s="15"/>
      <c r="H3119" s="15"/>
      <c r="I3119" s="15"/>
      <c r="J3119" s="15"/>
      <c r="K3119" s="15"/>
      <c r="L3119" s="15"/>
      <c r="M3119" s="16"/>
      <c r="N3119" s="16"/>
      <c r="O3119" s="15"/>
      <c r="P3119" s="15"/>
    </row>
    <row r="3120">
      <c r="A3120" s="15"/>
      <c r="B3120" s="22"/>
      <c r="C3120" s="22"/>
      <c r="D3120" s="22"/>
      <c r="E3120" s="15"/>
      <c r="F3120" s="15"/>
      <c r="G3120" s="15"/>
      <c r="H3120" s="15"/>
      <c r="I3120" s="15"/>
      <c r="J3120" s="15"/>
      <c r="K3120" s="15"/>
      <c r="L3120" s="15"/>
      <c r="M3120" s="16"/>
      <c r="N3120" s="16"/>
      <c r="O3120" s="15"/>
      <c r="P3120" s="15"/>
    </row>
    <row r="3121">
      <c r="A3121" s="15"/>
      <c r="B3121" s="22"/>
      <c r="C3121" s="22"/>
      <c r="D3121" s="22"/>
      <c r="E3121" s="15"/>
      <c r="F3121" s="15"/>
      <c r="G3121" s="15"/>
      <c r="H3121" s="15"/>
      <c r="I3121" s="15"/>
      <c r="J3121" s="15"/>
      <c r="K3121" s="15"/>
      <c r="L3121" s="15"/>
      <c r="M3121" s="16"/>
      <c r="N3121" s="16"/>
      <c r="O3121" s="15"/>
      <c r="P3121" s="15"/>
    </row>
    <row r="3122">
      <c r="A3122" s="15"/>
      <c r="B3122" s="22"/>
      <c r="C3122" s="22"/>
      <c r="D3122" s="22"/>
      <c r="E3122" s="15"/>
      <c r="F3122" s="15"/>
      <c r="G3122" s="15"/>
      <c r="H3122" s="15"/>
      <c r="I3122" s="15"/>
      <c r="J3122" s="15"/>
      <c r="K3122" s="15"/>
      <c r="L3122" s="15"/>
      <c r="M3122" s="16"/>
      <c r="N3122" s="16"/>
      <c r="O3122" s="15"/>
      <c r="P3122" s="15"/>
    </row>
    <row r="3123">
      <c r="A3123" s="15"/>
      <c r="B3123" s="22"/>
      <c r="C3123" s="22"/>
      <c r="D3123" s="22"/>
      <c r="E3123" s="15"/>
      <c r="F3123" s="15"/>
      <c r="G3123" s="15"/>
      <c r="H3123" s="15"/>
      <c r="I3123" s="15"/>
      <c r="J3123" s="15"/>
      <c r="K3123" s="15"/>
      <c r="L3123" s="15"/>
      <c r="M3123" s="16"/>
      <c r="N3123" s="16"/>
      <c r="O3123" s="15"/>
      <c r="P3123" s="15"/>
    </row>
    <row r="3124">
      <c r="A3124" s="15"/>
      <c r="B3124" s="22"/>
      <c r="C3124" s="22"/>
      <c r="D3124" s="22"/>
      <c r="E3124" s="15"/>
      <c r="F3124" s="15"/>
      <c r="G3124" s="15"/>
      <c r="H3124" s="15"/>
      <c r="I3124" s="15"/>
      <c r="J3124" s="15"/>
      <c r="K3124" s="15"/>
      <c r="L3124" s="15"/>
      <c r="M3124" s="16"/>
      <c r="N3124" s="16"/>
      <c r="O3124" s="15"/>
      <c r="P3124" s="15"/>
    </row>
    <row r="3125">
      <c r="A3125" s="15"/>
      <c r="B3125" s="22"/>
      <c r="C3125" s="22"/>
      <c r="D3125" s="22"/>
      <c r="E3125" s="15"/>
      <c r="F3125" s="15"/>
      <c r="G3125" s="15"/>
      <c r="H3125" s="15"/>
      <c r="I3125" s="15"/>
      <c r="J3125" s="15"/>
      <c r="K3125" s="15"/>
      <c r="L3125" s="15"/>
      <c r="M3125" s="16"/>
      <c r="N3125" s="16"/>
      <c r="O3125" s="15"/>
      <c r="P3125" s="15"/>
    </row>
    <row r="3126">
      <c r="A3126" s="15"/>
      <c r="B3126" s="22"/>
      <c r="C3126" s="22"/>
      <c r="D3126" s="22"/>
      <c r="E3126" s="15"/>
      <c r="F3126" s="15"/>
      <c r="G3126" s="15"/>
      <c r="H3126" s="15"/>
      <c r="I3126" s="15"/>
      <c r="J3126" s="15"/>
      <c r="K3126" s="15"/>
      <c r="L3126" s="15"/>
      <c r="M3126" s="16"/>
      <c r="N3126" s="16"/>
      <c r="O3126" s="15"/>
      <c r="P3126" s="15"/>
    </row>
    <row r="3127">
      <c r="A3127" s="15"/>
      <c r="B3127" s="22"/>
      <c r="C3127" s="22"/>
      <c r="D3127" s="22"/>
      <c r="E3127" s="15"/>
      <c r="F3127" s="15"/>
      <c r="G3127" s="15"/>
      <c r="H3127" s="15"/>
      <c r="I3127" s="15"/>
      <c r="J3127" s="15"/>
      <c r="K3127" s="15"/>
      <c r="L3127" s="15"/>
      <c r="M3127" s="16"/>
      <c r="N3127" s="16"/>
      <c r="O3127" s="15"/>
      <c r="P3127" s="15"/>
    </row>
    <row r="3128">
      <c r="A3128" s="15"/>
      <c r="B3128" s="22"/>
      <c r="C3128" s="22"/>
      <c r="D3128" s="22"/>
      <c r="E3128" s="15"/>
      <c r="F3128" s="15"/>
      <c r="G3128" s="15"/>
      <c r="H3128" s="15"/>
      <c r="I3128" s="15"/>
      <c r="J3128" s="15"/>
      <c r="K3128" s="15"/>
      <c r="L3128" s="15"/>
      <c r="M3128" s="16"/>
      <c r="N3128" s="16"/>
      <c r="O3128" s="15"/>
      <c r="P3128" s="15"/>
    </row>
    <row r="3129">
      <c r="A3129" s="15"/>
      <c r="B3129" s="22"/>
      <c r="C3129" s="22"/>
      <c r="D3129" s="22"/>
      <c r="E3129" s="15"/>
      <c r="F3129" s="15"/>
      <c r="G3129" s="15"/>
      <c r="H3129" s="15"/>
      <c r="I3129" s="15"/>
      <c r="J3129" s="15"/>
      <c r="K3129" s="15"/>
      <c r="L3129" s="15"/>
      <c r="M3129" s="16"/>
      <c r="N3129" s="16"/>
      <c r="O3129" s="15"/>
      <c r="P3129" s="15"/>
    </row>
    <row r="3130">
      <c r="A3130" s="15"/>
      <c r="B3130" s="22"/>
      <c r="C3130" s="22"/>
      <c r="D3130" s="22"/>
      <c r="E3130" s="15"/>
      <c r="F3130" s="15"/>
      <c r="G3130" s="15"/>
      <c r="H3130" s="15"/>
      <c r="I3130" s="15"/>
      <c r="J3130" s="15"/>
      <c r="K3130" s="15"/>
      <c r="L3130" s="15"/>
      <c r="M3130" s="16"/>
      <c r="N3130" s="16"/>
      <c r="O3130" s="15"/>
      <c r="P3130" s="15"/>
    </row>
    <row r="3131">
      <c r="A3131" s="15"/>
      <c r="B3131" s="22"/>
      <c r="C3131" s="22"/>
      <c r="D3131" s="22"/>
      <c r="E3131" s="15"/>
      <c r="F3131" s="15"/>
      <c r="G3131" s="15"/>
      <c r="H3131" s="15"/>
      <c r="I3131" s="15"/>
      <c r="J3131" s="15"/>
      <c r="K3131" s="15"/>
      <c r="L3131" s="15"/>
      <c r="M3131" s="16"/>
      <c r="N3131" s="16"/>
      <c r="O3131" s="15"/>
      <c r="P3131" s="15"/>
    </row>
    <row r="3132">
      <c r="A3132" s="15"/>
      <c r="B3132" s="22"/>
      <c r="C3132" s="22"/>
      <c r="D3132" s="22"/>
      <c r="E3132" s="15"/>
      <c r="F3132" s="15"/>
      <c r="G3132" s="15"/>
      <c r="H3132" s="15"/>
      <c r="I3132" s="15"/>
      <c r="J3132" s="15"/>
      <c r="K3132" s="15"/>
      <c r="L3132" s="15"/>
      <c r="M3132" s="16"/>
      <c r="N3132" s="16"/>
      <c r="O3132" s="15"/>
      <c r="P3132" s="15"/>
    </row>
    <row r="3133">
      <c r="A3133" s="15"/>
      <c r="B3133" s="22"/>
      <c r="C3133" s="22"/>
      <c r="D3133" s="22"/>
      <c r="E3133" s="15"/>
      <c r="F3133" s="15"/>
      <c r="G3133" s="15"/>
      <c r="H3133" s="15"/>
      <c r="I3133" s="15"/>
      <c r="J3133" s="15"/>
      <c r="K3133" s="15"/>
      <c r="L3133" s="15"/>
      <c r="M3133" s="16"/>
      <c r="N3133" s="16"/>
      <c r="O3133" s="15"/>
      <c r="P3133" s="15"/>
    </row>
    <row r="3134">
      <c r="A3134" s="15"/>
      <c r="B3134" s="22"/>
      <c r="C3134" s="22"/>
      <c r="D3134" s="22"/>
      <c r="E3134" s="15"/>
      <c r="F3134" s="15"/>
      <c r="G3134" s="15"/>
      <c r="H3134" s="15"/>
      <c r="I3134" s="15"/>
      <c r="J3134" s="15"/>
      <c r="K3134" s="15"/>
      <c r="L3134" s="15"/>
      <c r="M3134" s="16"/>
      <c r="N3134" s="16"/>
      <c r="O3134" s="15"/>
      <c r="P3134" s="15"/>
    </row>
    <row r="3135">
      <c r="A3135" s="15"/>
      <c r="B3135" s="22"/>
      <c r="C3135" s="22"/>
      <c r="D3135" s="22"/>
      <c r="E3135" s="15"/>
      <c r="F3135" s="15"/>
      <c r="G3135" s="15"/>
      <c r="H3135" s="15"/>
      <c r="I3135" s="15"/>
      <c r="J3135" s="15"/>
      <c r="K3135" s="15"/>
      <c r="L3135" s="15"/>
      <c r="M3135" s="16"/>
      <c r="N3135" s="16"/>
      <c r="O3135" s="15"/>
      <c r="P3135" s="15"/>
    </row>
    <row r="3136">
      <c r="A3136" s="15"/>
      <c r="B3136" s="22"/>
      <c r="C3136" s="22"/>
      <c r="D3136" s="22"/>
      <c r="E3136" s="15"/>
      <c r="F3136" s="15"/>
      <c r="G3136" s="15"/>
      <c r="H3136" s="15"/>
      <c r="I3136" s="15"/>
      <c r="J3136" s="15"/>
      <c r="K3136" s="15"/>
      <c r="L3136" s="15"/>
      <c r="M3136" s="16"/>
      <c r="N3136" s="16"/>
      <c r="O3136" s="15"/>
      <c r="P3136" s="15"/>
    </row>
    <row r="3137">
      <c r="A3137" s="15"/>
      <c r="B3137" s="22"/>
      <c r="C3137" s="22"/>
      <c r="D3137" s="22"/>
      <c r="E3137" s="15"/>
      <c r="F3137" s="15"/>
      <c r="G3137" s="15"/>
      <c r="H3137" s="15"/>
      <c r="I3137" s="15"/>
      <c r="J3137" s="15"/>
      <c r="K3137" s="15"/>
      <c r="L3137" s="15"/>
      <c r="M3137" s="16"/>
      <c r="N3137" s="16"/>
      <c r="O3137" s="15"/>
      <c r="P3137" s="15"/>
    </row>
    <row r="3138">
      <c r="A3138" s="15"/>
      <c r="B3138" s="22"/>
      <c r="C3138" s="22"/>
      <c r="D3138" s="22"/>
      <c r="E3138" s="15"/>
      <c r="F3138" s="15"/>
      <c r="G3138" s="15"/>
      <c r="H3138" s="15"/>
      <c r="I3138" s="15"/>
      <c r="J3138" s="15"/>
      <c r="K3138" s="15"/>
      <c r="L3138" s="15"/>
      <c r="M3138" s="16"/>
      <c r="N3138" s="16"/>
      <c r="O3138" s="15"/>
      <c r="P3138" s="15"/>
    </row>
    <row r="3139">
      <c r="A3139" s="15"/>
      <c r="B3139" s="22"/>
      <c r="C3139" s="22"/>
      <c r="D3139" s="22"/>
      <c r="E3139" s="15"/>
      <c r="F3139" s="15"/>
      <c r="G3139" s="15"/>
      <c r="H3139" s="15"/>
      <c r="I3139" s="15"/>
      <c r="J3139" s="15"/>
      <c r="K3139" s="15"/>
      <c r="L3139" s="15"/>
      <c r="M3139" s="16"/>
      <c r="N3139" s="16"/>
      <c r="O3139" s="15"/>
      <c r="P3139" s="15"/>
    </row>
    <row r="3140">
      <c r="A3140" s="15"/>
      <c r="B3140" s="22"/>
      <c r="C3140" s="22"/>
      <c r="D3140" s="22"/>
      <c r="E3140" s="15"/>
      <c r="F3140" s="15"/>
      <c r="G3140" s="15"/>
      <c r="H3140" s="15"/>
      <c r="I3140" s="15"/>
      <c r="J3140" s="15"/>
      <c r="K3140" s="15"/>
      <c r="L3140" s="15"/>
      <c r="M3140" s="16"/>
      <c r="N3140" s="16"/>
      <c r="O3140" s="15"/>
      <c r="P3140" s="15"/>
    </row>
    <row r="3141">
      <c r="A3141" s="15"/>
      <c r="B3141" s="22"/>
      <c r="C3141" s="22"/>
      <c r="D3141" s="22"/>
      <c r="E3141" s="15"/>
      <c r="F3141" s="15"/>
      <c r="G3141" s="15"/>
      <c r="H3141" s="15"/>
      <c r="I3141" s="15"/>
      <c r="J3141" s="15"/>
      <c r="K3141" s="15"/>
      <c r="L3141" s="15"/>
      <c r="M3141" s="16"/>
      <c r="N3141" s="16"/>
      <c r="O3141" s="15"/>
      <c r="P3141" s="15"/>
    </row>
    <row r="3142">
      <c r="A3142" s="15"/>
      <c r="B3142" s="22"/>
      <c r="C3142" s="22"/>
      <c r="D3142" s="22"/>
      <c r="E3142" s="15"/>
      <c r="F3142" s="15"/>
      <c r="G3142" s="15"/>
      <c r="H3142" s="15"/>
      <c r="I3142" s="15"/>
      <c r="J3142" s="15"/>
      <c r="K3142" s="15"/>
      <c r="L3142" s="15"/>
      <c r="M3142" s="16"/>
      <c r="N3142" s="16"/>
      <c r="O3142" s="15"/>
      <c r="P3142" s="15"/>
    </row>
    <row r="3143">
      <c r="A3143" s="15"/>
      <c r="B3143" s="22"/>
      <c r="C3143" s="22"/>
      <c r="D3143" s="22"/>
      <c r="E3143" s="15"/>
      <c r="F3143" s="15"/>
      <c r="G3143" s="15"/>
      <c r="H3143" s="15"/>
      <c r="I3143" s="15"/>
      <c r="J3143" s="15"/>
      <c r="K3143" s="15"/>
      <c r="L3143" s="15"/>
      <c r="M3143" s="16"/>
      <c r="N3143" s="16"/>
      <c r="O3143" s="15"/>
      <c r="P3143" s="15"/>
    </row>
    <row r="3144">
      <c r="A3144" s="15"/>
      <c r="B3144" s="22"/>
      <c r="C3144" s="22"/>
      <c r="D3144" s="22"/>
      <c r="E3144" s="15"/>
      <c r="F3144" s="15"/>
      <c r="G3144" s="15"/>
      <c r="H3144" s="15"/>
      <c r="I3144" s="15"/>
      <c r="J3144" s="15"/>
      <c r="K3144" s="15"/>
      <c r="L3144" s="15"/>
      <c r="M3144" s="16"/>
      <c r="N3144" s="16"/>
      <c r="O3144" s="15"/>
      <c r="P3144" s="15"/>
    </row>
    <row r="3145">
      <c r="A3145" s="15"/>
      <c r="B3145" s="22"/>
      <c r="C3145" s="22"/>
      <c r="D3145" s="22"/>
      <c r="E3145" s="15"/>
      <c r="F3145" s="15"/>
      <c r="G3145" s="15"/>
      <c r="H3145" s="15"/>
      <c r="I3145" s="15"/>
      <c r="J3145" s="15"/>
      <c r="K3145" s="15"/>
      <c r="L3145" s="15"/>
      <c r="M3145" s="16"/>
      <c r="N3145" s="16"/>
      <c r="O3145" s="15"/>
      <c r="P3145" s="15"/>
    </row>
    <row r="3146">
      <c r="A3146" s="15"/>
      <c r="B3146" s="22"/>
      <c r="C3146" s="22"/>
      <c r="D3146" s="22"/>
      <c r="E3146" s="15"/>
      <c r="F3146" s="15"/>
      <c r="G3146" s="15"/>
      <c r="H3146" s="15"/>
      <c r="I3146" s="15"/>
      <c r="J3146" s="15"/>
      <c r="K3146" s="15"/>
      <c r="L3146" s="15"/>
      <c r="M3146" s="16"/>
      <c r="N3146" s="16"/>
      <c r="O3146" s="15"/>
      <c r="P3146" s="15"/>
    </row>
    <row r="3147">
      <c r="A3147" s="15"/>
      <c r="B3147" s="22"/>
      <c r="C3147" s="22"/>
      <c r="D3147" s="22"/>
      <c r="E3147" s="15"/>
      <c r="F3147" s="15"/>
      <c r="G3147" s="15"/>
      <c r="H3147" s="15"/>
      <c r="I3147" s="15"/>
      <c r="J3147" s="15"/>
      <c r="K3147" s="15"/>
      <c r="L3147" s="15"/>
      <c r="M3147" s="16"/>
      <c r="N3147" s="16"/>
      <c r="O3147" s="15"/>
      <c r="P3147" s="15"/>
    </row>
    <row r="3148">
      <c r="A3148" s="15"/>
      <c r="B3148" s="22"/>
      <c r="C3148" s="22"/>
      <c r="D3148" s="22"/>
      <c r="E3148" s="15"/>
      <c r="F3148" s="15"/>
      <c r="G3148" s="15"/>
      <c r="H3148" s="15"/>
      <c r="I3148" s="15"/>
      <c r="J3148" s="15"/>
      <c r="K3148" s="15"/>
      <c r="L3148" s="15"/>
      <c r="M3148" s="16"/>
      <c r="N3148" s="16"/>
      <c r="O3148" s="15"/>
      <c r="P3148" s="15"/>
    </row>
    <row r="3149">
      <c r="A3149" s="15"/>
      <c r="B3149" s="22"/>
      <c r="C3149" s="22"/>
      <c r="D3149" s="22"/>
      <c r="E3149" s="15"/>
      <c r="F3149" s="15"/>
      <c r="G3149" s="15"/>
      <c r="H3149" s="15"/>
      <c r="I3149" s="15"/>
      <c r="J3149" s="15"/>
      <c r="K3149" s="15"/>
      <c r="L3149" s="15"/>
      <c r="M3149" s="16"/>
      <c r="N3149" s="16"/>
      <c r="O3149" s="15"/>
      <c r="P3149" s="15"/>
    </row>
    <row r="3150">
      <c r="A3150" s="15"/>
      <c r="B3150" s="22"/>
      <c r="C3150" s="22"/>
      <c r="D3150" s="22"/>
      <c r="E3150" s="15"/>
      <c r="F3150" s="15"/>
      <c r="G3150" s="15"/>
      <c r="H3150" s="15"/>
      <c r="I3150" s="15"/>
      <c r="J3150" s="15"/>
      <c r="K3150" s="15"/>
      <c r="L3150" s="15"/>
      <c r="M3150" s="16"/>
      <c r="N3150" s="16"/>
      <c r="O3150" s="15"/>
      <c r="P3150" s="15"/>
    </row>
    <row r="3151">
      <c r="A3151" s="15"/>
      <c r="B3151" s="22"/>
      <c r="C3151" s="22"/>
      <c r="D3151" s="22"/>
      <c r="E3151" s="15"/>
      <c r="F3151" s="15"/>
      <c r="G3151" s="15"/>
      <c r="H3151" s="15"/>
      <c r="I3151" s="15"/>
      <c r="J3151" s="15"/>
      <c r="K3151" s="15"/>
      <c r="L3151" s="15"/>
      <c r="M3151" s="16"/>
      <c r="N3151" s="16"/>
      <c r="O3151" s="15"/>
      <c r="P3151" s="15"/>
    </row>
    <row r="3152">
      <c r="A3152" s="15"/>
      <c r="B3152" s="22"/>
      <c r="C3152" s="22"/>
      <c r="D3152" s="22"/>
      <c r="E3152" s="15"/>
      <c r="F3152" s="15"/>
      <c r="G3152" s="15"/>
      <c r="H3152" s="15"/>
      <c r="I3152" s="15"/>
      <c r="J3152" s="15"/>
      <c r="K3152" s="15"/>
      <c r="L3152" s="15"/>
      <c r="M3152" s="16"/>
      <c r="N3152" s="16"/>
      <c r="O3152" s="15"/>
      <c r="P3152" s="15"/>
    </row>
    <row r="3153">
      <c r="A3153" s="15"/>
      <c r="B3153" s="22"/>
      <c r="C3153" s="22"/>
      <c r="D3153" s="22"/>
      <c r="E3153" s="15"/>
      <c r="F3153" s="15"/>
      <c r="G3153" s="15"/>
      <c r="H3153" s="15"/>
      <c r="I3153" s="15"/>
      <c r="J3153" s="15"/>
      <c r="K3153" s="15"/>
      <c r="L3153" s="15"/>
      <c r="M3153" s="16"/>
      <c r="N3153" s="16"/>
      <c r="O3153" s="15"/>
      <c r="P3153" s="15"/>
    </row>
    <row r="3154">
      <c r="A3154" s="15"/>
      <c r="B3154" s="22"/>
      <c r="C3154" s="22"/>
      <c r="D3154" s="22"/>
      <c r="E3154" s="15"/>
      <c r="F3154" s="15"/>
      <c r="G3154" s="15"/>
      <c r="H3154" s="15"/>
      <c r="I3154" s="15"/>
      <c r="J3154" s="15"/>
      <c r="K3154" s="15"/>
      <c r="L3154" s="15"/>
      <c r="M3154" s="16"/>
      <c r="N3154" s="16"/>
      <c r="O3154" s="15"/>
      <c r="P3154" s="15"/>
    </row>
    <row r="3155">
      <c r="A3155" s="15"/>
      <c r="B3155" s="22"/>
      <c r="C3155" s="22"/>
      <c r="D3155" s="22"/>
      <c r="E3155" s="15"/>
      <c r="F3155" s="15"/>
      <c r="G3155" s="15"/>
      <c r="H3155" s="15"/>
      <c r="I3155" s="15"/>
      <c r="J3155" s="15"/>
      <c r="K3155" s="15"/>
      <c r="L3155" s="15"/>
      <c r="M3155" s="16"/>
      <c r="N3155" s="16"/>
      <c r="O3155" s="15"/>
      <c r="P3155" s="15"/>
    </row>
    <row r="3156">
      <c r="A3156" s="15"/>
      <c r="B3156" s="22"/>
      <c r="C3156" s="22"/>
      <c r="D3156" s="22"/>
      <c r="E3156" s="15"/>
      <c r="F3156" s="15"/>
      <c r="G3156" s="15"/>
      <c r="H3156" s="15"/>
      <c r="I3156" s="15"/>
      <c r="J3156" s="15"/>
      <c r="K3156" s="15"/>
      <c r="L3156" s="15"/>
      <c r="M3156" s="16"/>
      <c r="N3156" s="16"/>
      <c r="O3156" s="15"/>
      <c r="P3156" s="15"/>
    </row>
    <row r="3157">
      <c r="A3157" s="15"/>
      <c r="B3157" s="22"/>
      <c r="C3157" s="22"/>
      <c r="D3157" s="22"/>
      <c r="E3157" s="15"/>
      <c r="F3157" s="15"/>
      <c r="G3157" s="15"/>
      <c r="H3157" s="15"/>
      <c r="I3157" s="15"/>
      <c r="J3157" s="15"/>
      <c r="K3157" s="15"/>
      <c r="L3157" s="15"/>
      <c r="M3157" s="16"/>
      <c r="N3157" s="16"/>
      <c r="O3157" s="15"/>
      <c r="P3157" s="15"/>
    </row>
    <row r="3158">
      <c r="A3158" s="15"/>
      <c r="B3158" s="22"/>
      <c r="C3158" s="22"/>
      <c r="D3158" s="22"/>
      <c r="E3158" s="15"/>
      <c r="F3158" s="15"/>
      <c r="G3158" s="15"/>
      <c r="H3158" s="15"/>
      <c r="I3158" s="15"/>
      <c r="J3158" s="15"/>
      <c r="K3158" s="15"/>
      <c r="L3158" s="15"/>
      <c r="M3158" s="16"/>
      <c r="N3158" s="16"/>
      <c r="O3158" s="15"/>
      <c r="P3158" s="15"/>
    </row>
    <row r="3159">
      <c r="A3159" s="15"/>
      <c r="B3159" s="22"/>
      <c r="C3159" s="22"/>
      <c r="D3159" s="22"/>
      <c r="E3159" s="15"/>
      <c r="F3159" s="15"/>
      <c r="G3159" s="15"/>
      <c r="H3159" s="15"/>
      <c r="I3159" s="15"/>
      <c r="J3159" s="15"/>
      <c r="K3159" s="15"/>
      <c r="L3159" s="15"/>
      <c r="M3159" s="16"/>
      <c r="N3159" s="16"/>
      <c r="O3159" s="15"/>
      <c r="P3159" s="15"/>
    </row>
    <row r="3160">
      <c r="A3160" s="15"/>
      <c r="B3160" s="22"/>
      <c r="C3160" s="22"/>
      <c r="D3160" s="22"/>
      <c r="E3160" s="15"/>
      <c r="F3160" s="15"/>
      <c r="G3160" s="15"/>
      <c r="H3160" s="15"/>
      <c r="I3160" s="15"/>
      <c r="J3160" s="15"/>
      <c r="K3160" s="15"/>
      <c r="L3160" s="15"/>
      <c r="M3160" s="16"/>
      <c r="N3160" s="16"/>
      <c r="O3160" s="15"/>
      <c r="P3160" s="15"/>
    </row>
    <row r="3161">
      <c r="A3161" s="15"/>
      <c r="B3161" s="22"/>
      <c r="C3161" s="22"/>
      <c r="D3161" s="22"/>
      <c r="E3161" s="15"/>
      <c r="F3161" s="15"/>
      <c r="G3161" s="15"/>
      <c r="H3161" s="15"/>
      <c r="I3161" s="15"/>
      <c r="J3161" s="15"/>
      <c r="K3161" s="15"/>
      <c r="L3161" s="15"/>
      <c r="M3161" s="16"/>
      <c r="N3161" s="16"/>
      <c r="O3161" s="15"/>
      <c r="P3161" s="15"/>
    </row>
    <row r="3162">
      <c r="A3162" s="15"/>
      <c r="B3162" s="22"/>
      <c r="C3162" s="22"/>
      <c r="D3162" s="22"/>
      <c r="E3162" s="15"/>
      <c r="F3162" s="15"/>
      <c r="G3162" s="15"/>
      <c r="H3162" s="15"/>
      <c r="I3162" s="15"/>
      <c r="J3162" s="15"/>
      <c r="K3162" s="15"/>
      <c r="L3162" s="15"/>
      <c r="M3162" s="16"/>
      <c r="N3162" s="16"/>
      <c r="O3162" s="15"/>
      <c r="P3162" s="15"/>
    </row>
    <row r="3163">
      <c r="A3163" s="15"/>
      <c r="B3163" s="22"/>
      <c r="C3163" s="22"/>
      <c r="D3163" s="22"/>
      <c r="E3163" s="15"/>
      <c r="F3163" s="15"/>
      <c r="G3163" s="15"/>
      <c r="H3163" s="15"/>
      <c r="I3163" s="15"/>
      <c r="J3163" s="15"/>
      <c r="K3163" s="15"/>
      <c r="L3163" s="15"/>
      <c r="M3163" s="16"/>
      <c r="N3163" s="16"/>
      <c r="O3163" s="15"/>
      <c r="P3163" s="15"/>
    </row>
    <row r="3164">
      <c r="A3164" s="15"/>
      <c r="B3164" s="22"/>
      <c r="C3164" s="22"/>
      <c r="D3164" s="22"/>
      <c r="E3164" s="15"/>
      <c r="F3164" s="15"/>
      <c r="G3164" s="15"/>
      <c r="H3164" s="15"/>
      <c r="I3164" s="15"/>
      <c r="J3164" s="15"/>
      <c r="K3164" s="15"/>
      <c r="L3164" s="15"/>
      <c r="M3164" s="16"/>
      <c r="N3164" s="16"/>
      <c r="O3164" s="15"/>
      <c r="P3164" s="15"/>
    </row>
    <row r="3165">
      <c r="A3165" s="15"/>
      <c r="B3165" s="22"/>
      <c r="C3165" s="22"/>
      <c r="D3165" s="22"/>
      <c r="E3165" s="15"/>
      <c r="F3165" s="15"/>
      <c r="G3165" s="15"/>
      <c r="H3165" s="15"/>
      <c r="I3165" s="15"/>
      <c r="J3165" s="15"/>
      <c r="K3165" s="15"/>
      <c r="L3165" s="15"/>
      <c r="M3165" s="16"/>
      <c r="N3165" s="16"/>
      <c r="O3165" s="15"/>
      <c r="P3165" s="15"/>
    </row>
    <row r="3166">
      <c r="A3166" s="15"/>
      <c r="B3166" s="22"/>
      <c r="C3166" s="22"/>
      <c r="D3166" s="22"/>
      <c r="E3166" s="15"/>
      <c r="F3166" s="15"/>
      <c r="G3166" s="15"/>
      <c r="H3166" s="15"/>
      <c r="I3166" s="15"/>
      <c r="J3166" s="15"/>
      <c r="K3166" s="15"/>
      <c r="L3166" s="15"/>
      <c r="M3166" s="16"/>
      <c r="N3166" s="16"/>
      <c r="O3166" s="15"/>
      <c r="P3166" s="15"/>
    </row>
    <row r="3167">
      <c r="A3167" s="15"/>
      <c r="B3167" s="22"/>
      <c r="C3167" s="22"/>
      <c r="D3167" s="22"/>
      <c r="E3167" s="15"/>
      <c r="F3167" s="15"/>
      <c r="G3167" s="15"/>
      <c r="H3167" s="15"/>
      <c r="I3167" s="15"/>
      <c r="J3167" s="15"/>
      <c r="K3167" s="15"/>
      <c r="L3167" s="15"/>
      <c r="M3167" s="16"/>
      <c r="N3167" s="16"/>
      <c r="O3167" s="15"/>
      <c r="P3167" s="15"/>
    </row>
    <row r="3168">
      <c r="A3168" s="15"/>
      <c r="B3168" s="22"/>
      <c r="C3168" s="22"/>
      <c r="D3168" s="22"/>
      <c r="E3168" s="15"/>
      <c r="F3168" s="15"/>
      <c r="G3168" s="15"/>
      <c r="H3168" s="15"/>
      <c r="I3168" s="15"/>
      <c r="J3168" s="15"/>
      <c r="K3168" s="15"/>
      <c r="L3168" s="15"/>
      <c r="M3168" s="16"/>
      <c r="N3168" s="16"/>
      <c r="O3168" s="15"/>
      <c r="P3168" s="15"/>
    </row>
    <row r="3169">
      <c r="A3169" s="15"/>
      <c r="B3169" s="22"/>
      <c r="C3169" s="22"/>
      <c r="D3169" s="22"/>
      <c r="E3169" s="15"/>
      <c r="F3169" s="15"/>
      <c r="G3169" s="15"/>
      <c r="H3169" s="15"/>
      <c r="I3169" s="15"/>
      <c r="J3169" s="15"/>
      <c r="K3169" s="15"/>
      <c r="L3169" s="15"/>
      <c r="M3169" s="16"/>
      <c r="N3169" s="16"/>
      <c r="O3169" s="15"/>
      <c r="P3169" s="15"/>
    </row>
    <row r="3170">
      <c r="A3170" s="15"/>
      <c r="B3170" s="22"/>
      <c r="C3170" s="22"/>
      <c r="D3170" s="22"/>
      <c r="E3170" s="15"/>
      <c r="F3170" s="15"/>
      <c r="G3170" s="15"/>
      <c r="H3170" s="15"/>
      <c r="I3170" s="15"/>
      <c r="J3170" s="15"/>
      <c r="K3170" s="15"/>
      <c r="L3170" s="15"/>
      <c r="M3170" s="16"/>
      <c r="N3170" s="16"/>
      <c r="O3170" s="15"/>
      <c r="P3170" s="15"/>
    </row>
    <row r="3171">
      <c r="A3171" s="15"/>
      <c r="B3171" s="22"/>
      <c r="C3171" s="22"/>
      <c r="D3171" s="22"/>
      <c r="E3171" s="15"/>
      <c r="F3171" s="15"/>
      <c r="G3171" s="15"/>
      <c r="H3171" s="15"/>
      <c r="I3171" s="15"/>
      <c r="J3171" s="15"/>
      <c r="K3171" s="15"/>
      <c r="L3171" s="15"/>
      <c r="M3171" s="16"/>
      <c r="N3171" s="16"/>
      <c r="O3171" s="15"/>
      <c r="P3171" s="15"/>
    </row>
    <row r="3172">
      <c r="A3172" s="15"/>
      <c r="B3172" s="22"/>
      <c r="C3172" s="22"/>
      <c r="D3172" s="22"/>
      <c r="E3172" s="15"/>
      <c r="F3172" s="15"/>
      <c r="G3172" s="15"/>
      <c r="H3172" s="15"/>
      <c r="I3172" s="15"/>
      <c r="J3172" s="15"/>
      <c r="K3172" s="15"/>
      <c r="L3172" s="15"/>
      <c r="M3172" s="16"/>
      <c r="N3172" s="16"/>
      <c r="O3172" s="15"/>
      <c r="P3172" s="15"/>
    </row>
    <row r="3173">
      <c r="A3173" s="15"/>
      <c r="B3173" s="22"/>
      <c r="C3173" s="22"/>
      <c r="D3173" s="22"/>
      <c r="E3173" s="15"/>
      <c r="F3173" s="15"/>
      <c r="G3173" s="15"/>
      <c r="H3173" s="15"/>
      <c r="I3173" s="15"/>
      <c r="J3173" s="15"/>
      <c r="K3173" s="15"/>
      <c r="L3173" s="15"/>
      <c r="M3173" s="16"/>
      <c r="N3173" s="16"/>
      <c r="O3173" s="15"/>
      <c r="P3173" s="15"/>
    </row>
    <row r="3174">
      <c r="A3174" s="15"/>
      <c r="B3174" s="22"/>
      <c r="C3174" s="22"/>
      <c r="D3174" s="22"/>
      <c r="E3174" s="15"/>
      <c r="F3174" s="15"/>
      <c r="G3174" s="15"/>
      <c r="H3174" s="15"/>
      <c r="I3174" s="15"/>
      <c r="J3174" s="15"/>
      <c r="K3174" s="15"/>
      <c r="L3174" s="15"/>
      <c r="M3174" s="16"/>
      <c r="N3174" s="16"/>
      <c r="O3174" s="15"/>
      <c r="P3174" s="15"/>
    </row>
    <row r="3175">
      <c r="A3175" s="15"/>
      <c r="B3175" s="22"/>
      <c r="C3175" s="22"/>
      <c r="D3175" s="22"/>
      <c r="E3175" s="15"/>
      <c r="F3175" s="15"/>
      <c r="G3175" s="15"/>
      <c r="H3175" s="15"/>
      <c r="I3175" s="15"/>
      <c r="J3175" s="15"/>
      <c r="K3175" s="15"/>
      <c r="L3175" s="15"/>
      <c r="M3175" s="16"/>
      <c r="N3175" s="16"/>
      <c r="O3175" s="15"/>
      <c r="P3175" s="15"/>
    </row>
    <row r="3176">
      <c r="A3176" s="15"/>
      <c r="B3176" s="22"/>
      <c r="C3176" s="22"/>
      <c r="D3176" s="22"/>
      <c r="E3176" s="15"/>
      <c r="F3176" s="15"/>
      <c r="G3176" s="15"/>
      <c r="H3176" s="15"/>
      <c r="I3176" s="15"/>
      <c r="J3176" s="15"/>
      <c r="K3176" s="15"/>
      <c r="L3176" s="15"/>
      <c r="M3176" s="16"/>
      <c r="N3176" s="16"/>
      <c r="O3176" s="15"/>
      <c r="P3176" s="15"/>
    </row>
    <row r="3177">
      <c r="A3177" s="15"/>
      <c r="B3177" s="22"/>
      <c r="C3177" s="22"/>
      <c r="D3177" s="22"/>
      <c r="E3177" s="15"/>
      <c r="F3177" s="15"/>
      <c r="G3177" s="15"/>
      <c r="H3177" s="15"/>
      <c r="I3177" s="15"/>
      <c r="J3177" s="15"/>
      <c r="K3177" s="15"/>
      <c r="L3177" s="15"/>
      <c r="M3177" s="16"/>
      <c r="N3177" s="16"/>
      <c r="O3177" s="15"/>
      <c r="P3177" s="15"/>
    </row>
    <row r="3178">
      <c r="A3178" s="15"/>
      <c r="B3178" s="22"/>
      <c r="C3178" s="22"/>
      <c r="D3178" s="22"/>
      <c r="E3178" s="15"/>
      <c r="F3178" s="15"/>
      <c r="G3178" s="15"/>
      <c r="H3178" s="15"/>
      <c r="I3178" s="15"/>
      <c r="J3178" s="15"/>
      <c r="K3178" s="15"/>
      <c r="L3178" s="15"/>
      <c r="M3178" s="16"/>
      <c r="N3178" s="16"/>
      <c r="O3178" s="15"/>
      <c r="P3178" s="15"/>
    </row>
    <row r="3179">
      <c r="A3179" s="15"/>
      <c r="B3179" s="22"/>
      <c r="C3179" s="22"/>
      <c r="D3179" s="22"/>
      <c r="E3179" s="15"/>
      <c r="F3179" s="15"/>
      <c r="G3179" s="15"/>
      <c r="H3179" s="15"/>
      <c r="I3179" s="15"/>
      <c r="J3179" s="15"/>
      <c r="K3179" s="15"/>
      <c r="L3179" s="15"/>
      <c r="M3179" s="16"/>
      <c r="N3179" s="16"/>
      <c r="O3179" s="15"/>
      <c r="P3179" s="15"/>
    </row>
    <row r="3180">
      <c r="A3180" s="15"/>
      <c r="B3180" s="22"/>
      <c r="C3180" s="22"/>
      <c r="D3180" s="22"/>
      <c r="E3180" s="15"/>
      <c r="F3180" s="15"/>
      <c r="G3180" s="15"/>
      <c r="H3180" s="15"/>
      <c r="I3180" s="15"/>
      <c r="J3180" s="15"/>
      <c r="K3180" s="15"/>
      <c r="L3180" s="15"/>
      <c r="M3180" s="16"/>
      <c r="N3180" s="16"/>
      <c r="O3180" s="15"/>
      <c r="P3180" s="15"/>
    </row>
    <row r="3181">
      <c r="A3181" s="15"/>
      <c r="B3181" s="22"/>
      <c r="C3181" s="22"/>
      <c r="D3181" s="22"/>
      <c r="E3181" s="15"/>
      <c r="F3181" s="15"/>
      <c r="G3181" s="15"/>
      <c r="H3181" s="15"/>
      <c r="I3181" s="15"/>
      <c r="J3181" s="15"/>
      <c r="K3181" s="15"/>
      <c r="L3181" s="15"/>
      <c r="M3181" s="16"/>
      <c r="N3181" s="16"/>
      <c r="O3181" s="15"/>
      <c r="P3181" s="15"/>
    </row>
    <row r="3182">
      <c r="A3182" s="15"/>
      <c r="B3182" s="22"/>
      <c r="C3182" s="22"/>
      <c r="D3182" s="22"/>
      <c r="E3182" s="15"/>
      <c r="F3182" s="15"/>
      <c r="G3182" s="15"/>
      <c r="H3182" s="15"/>
      <c r="I3182" s="15"/>
      <c r="J3182" s="15"/>
      <c r="K3182" s="15"/>
      <c r="L3182" s="15"/>
      <c r="M3182" s="16"/>
      <c r="N3182" s="16"/>
      <c r="O3182" s="15"/>
      <c r="P3182" s="15"/>
    </row>
    <row r="3183">
      <c r="A3183" s="15"/>
      <c r="B3183" s="22"/>
      <c r="C3183" s="22"/>
      <c r="D3183" s="22"/>
      <c r="E3183" s="15"/>
      <c r="F3183" s="15"/>
      <c r="G3183" s="15"/>
      <c r="H3183" s="15"/>
      <c r="I3183" s="15"/>
      <c r="J3183" s="15"/>
      <c r="K3183" s="15"/>
      <c r="L3183" s="15"/>
      <c r="M3183" s="16"/>
      <c r="N3183" s="16"/>
      <c r="O3183" s="15"/>
      <c r="P3183" s="15"/>
    </row>
    <row r="3184">
      <c r="A3184" s="15"/>
      <c r="B3184" s="22"/>
      <c r="C3184" s="22"/>
      <c r="D3184" s="22"/>
      <c r="E3184" s="15"/>
      <c r="F3184" s="15"/>
      <c r="G3184" s="15"/>
      <c r="H3184" s="15"/>
      <c r="I3184" s="15"/>
      <c r="J3184" s="15"/>
      <c r="K3184" s="15"/>
      <c r="L3184" s="15"/>
      <c r="M3184" s="16"/>
      <c r="N3184" s="16"/>
      <c r="O3184" s="15"/>
      <c r="P3184" s="15"/>
    </row>
    <row r="3185">
      <c r="A3185" s="15"/>
      <c r="B3185" s="22"/>
      <c r="C3185" s="22"/>
      <c r="D3185" s="22"/>
      <c r="E3185" s="15"/>
      <c r="F3185" s="15"/>
      <c r="G3185" s="15"/>
      <c r="H3185" s="15"/>
      <c r="I3185" s="15"/>
      <c r="J3185" s="15"/>
      <c r="K3185" s="15"/>
      <c r="L3185" s="15"/>
      <c r="M3185" s="16"/>
      <c r="N3185" s="16"/>
      <c r="O3185" s="15"/>
      <c r="P3185" s="15"/>
    </row>
    <row r="3186">
      <c r="A3186" s="15"/>
      <c r="B3186" s="22"/>
      <c r="C3186" s="22"/>
      <c r="D3186" s="22"/>
      <c r="E3186" s="15"/>
      <c r="F3186" s="15"/>
      <c r="G3186" s="15"/>
      <c r="H3186" s="15"/>
      <c r="I3186" s="15"/>
      <c r="J3186" s="15"/>
      <c r="K3186" s="15"/>
      <c r="L3186" s="15"/>
      <c r="M3186" s="16"/>
      <c r="N3186" s="16"/>
      <c r="O3186" s="15"/>
      <c r="P3186" s="15"/>
    </row>
    <row r="3187">
      <c r="A3187" s="15"/>
      <c r="B3187" s="22"/>
      <c r="C3187" s="22"/>
      <c r="D3187" s="22"/>
      <c r="E3187" s="15"/>
      <c r="F3187" s="15"/>
      <c r="G3187" s="15"/>
      <c r="H3187" s="15"/>
      <c r="I3187" s="15"/>
      <c r="J3187" s="15"/>
      <c r="K3187" s="15"/>
      <c r="L3187" s="15"/>
      <c r="M3187" s="16"/>
      <c r="N3187" s="16"/>
      <c r="O3187" s="15"/>
      <c r="P3187" s="15"/>
    </row>
    <row r="3188">
      <c r="A3188" s="15"/>
      <c r="B3188" s="22"/>
      <c r="C3188" s="22"/>
      <c r="D3188" s="22"/>
      <c r="E3188" s="15"/>
      <c r="F3188" s="15"/>
      <c r="G3188" s="15"/>
      <c r="H3188" s="15"/>
      <c r="I3188" s="15"/>
      <c r="J3188" s="15"/>
      <c r="K3188" s="15"/>
      <c r="L3188" s="15"/>
      <c r="M3188" s="16"/>
      <c r="N3188" s="16"/>
      <c r="O3188" s="15"/>
      <c r="P3188" s="15"/>
    </row>
    <row r="3189">
      <c r="A3189" s="15"/>
      <c r="B3189" s="22"/>
      <c r="C3189" s="22"/>
      <c r="D3189" s="22"/>
      <c r="E3189" s="15"/>
      <c r="F3189" s="15"/>
      <c r="G3189" s="15"/>
      <c r="H3189" s="15"/>
      <c r="I3189" s="15"/>
      <c r="J3189" s="15"/>
      <c r="K3189" s="15"/>
      <c r="L3189" s="15"/>
      <c r="M3189" s="16"/>
      <c r="N3189" s="16"/>
      <c r="O3189" s="15"/>
      <c r="P3189" s="15"/>
    </row>
    <row r="3190">
      <c r="A3190" s="15"/>
      <c r="B3190" s="22"/>
      <c r="C3190" s="22"/>
      <c r="D3190" s="22"/>
      <c r="E3190" s="15"/>
      <c r="F3190" s="15"/>
      <c r="G3190" s="15"/>
      <c r="H3190" s="15"/>
      <c r="I3190" s="15"/>
      <c r="J3190" s="15"/>
      <c r="K3190" s="15"/>
      <c r="L3190" s="15"/>
      <c r="M3190" s="16"/>
      <c r="N3190" s="16"/>
      <c r="O3190" s="15"/>
      <c r="P3190" s="15"/>
    </row>
    <row r="3191">
      <c r="A3191" s="15"/>
      <c r="B3191" s="22"/>
      <c r="C3191" s="22"/>
      <c r="D3191" s="22"/>
      <c r="E3191" s="15"/>
      <c r="F3191" s="15"/>
      <c r="G3191" s="15"/>
      <c r="H3191" s="15"/>
      <c r="I3191" s="15"/>
      <c r="J3191" s="15"/>
      <c r="K3191" s="15"/>
      <c r="L3191" s="15"/>
      <c r="M3191" s="16"/>
      <c r="N3191" s="16"/>
      <c r="O3191" s="15"/>
      <c r="P3191" s="15"/>
    </row>
    <row r="3192">
      <c r="A3192" s="15"/>
      <c r="B3192" s="22"/>
      <c r="C3192" s="22"/>
      <c r="D3192" s="22"/>
      <c r="E3192" s="15"/>
      <c r="F3192" s="15"/>
      <c r="G3192" s="15"/>
      <c r="H3192" s="15"/>
      <c r="I3192" s="15"/>
      <c r="J3192" s="15"/>
      <c r="K3192" s="15"/>
      <c r="L3192" s="15"/>
      <c r="M3192" s="16"/>
      <c r="N3192" s="16"/>
      <c r="O3192" s="15"/>
      <c r="P3192" s="15"/>
    </row>
    <row r="3193">
      <c r="A3193" s="15"/>
      <c r="B3193" s="22"/>
      <c r="C3193" s="22"/>
      <c r="D3193" s="22"/>
      <c r="E3193" s="15"/>
      <c r="F3193" s="15"/>
      <c r="G3193" s="15"/>
      <c r="H3193" s="15"/>
      <c r="I3193" s="15"/>
      <c r="J3193" s="15"/>
      <c r="K3193" s="15"/>
      <c r="L3193" s="15"/>
      <c r="M3193" s="16"/>
      <c r="N3193" s="16"/>
      <c r="O3193" s="15"/>
      <c r="P3193" s="15"/>
    </row>
    <row r="3194">
      <c r="A3194" s="15"/>
      <c r="B3194" s="22"/>
      <c r="C3194" s="22"/>
      <c r="D3194" s="22"/>
      <c r="E3194" s="15"/>
      <c r="F3194" s="15"/>
      <c r="G3194" s="15"/>
      <c r="H3194" s="15"/>
      <c r="I3194" s="15"/>
      <c r="J3194" s="15"/>
      <c r="K3194" s="15"/>
      <c r="L3194" s="15"/>
      <c r="M3194" s="16"/>
      <c r="N3194" s="16"/>
      <c r="O3194" s="15"/>
      <c r="P3194" s="15"/>
    </row>
    <row r="3195">
      <c r="A3195" s="15"/>
      <c r="B3195" s="22"/>
      <c r="C3195" s="22"/>
      <c r="D3195" s="22"/>
      <c r="E3195" s="15"/>
      <c r="F3195" s="15"/>
      <c r="G3195" s="15"/>
      <c r="H3195" s="15"/>
      <c r="I3195" s="15"/>
      <c r="J3195" s="15"/>
      <c r="K3195" s="15"/>
      <c r="L3195" s="15"/>
      <c r="M3195" s="16"/>
      <c r="N3195" s="16"/>
      <c r="O3195" s="15"/>
      <c r="P3195" s="15"/>
    </row>
    <row r="3196">
      <c r="A3196" s="15"/>
      <c r="B3196" s="22"/>
      <c r="C3196" s="22"/>
      <c r="D3196" s="22"/>
      <c r="E3196" s="15"/>
      <c r="F3196" s="15"/>
      <c r="G3196" s="15"/>
      <c r="H3196" s="15"/>
      <c r="I3196" s="15"/>
      <c r="J3196" s="15"/>
      <c r="K3196" s="15"/>
      <c r="L3196" s="15"/>
      <c r="M3196" s="16"/>
      <c r="N3196" s="16"/>
      <c r="O3196" s="15"/>
      <c r="P3196" s="15"/>
    </row>
    <row r="3197">
      <c r="A3197" s="15"/>
      <c r="B3197" s="22"/>
      <c r="C3197" s="22"/>
      <c r="D3197" s="22"/>
      <c r="E3197" s="15"/>
      <c r="F3197" s="15"/>
      <c r="G3197" s="15"/>
      <c r="H3197" s="15"/>
      <c r="I3197" s="15"/>
      <c r="J3197" s="15"/>
      <c r="K3197" s="15"/>
      <c r="L3197" s="15"/>
      <c r="M3197" s="16"/>
      <c r="N3197" s="16"/>
      <c r="O3197" s="15"/>
      <c r="P3197" s="15"/>
    </row>
    <row r="3198">
      <c r="A3198" s="15"/>
      <c r="B3198" s="22"/>
      <c r="C3198" s="22"/>
      <c r="D3198" s="22"/>
      <c r="E3198" s="15"/>
      <c r="F3198" s="15"/>
      <c r="G3198" s="15"/>
      <c r="H3198" s="15"/>
      <c r="I3198" s="15"/>
      <c r="J3198" s="15"/>
      <c r="K3198" s="15"/>
      <c r="L3198" s="15"/>
      <c r="M3198" s="16"/>
      <c r="N3198" s="16"/>
      <c r="O3198" s="15"/>
      <c r="P3198" s="15"/>
    </row>
    <row r="3199">
      <c r="A3199" s="15"/>
      <c r="B3199" s="22"/>
      <c r="C3199" s="22"/>
      <c r="D3199" s="22"/>
      <c r="E3199" s="15"/>
      <c r="F3199" s="15"/>
      <c r="G3199" s="15"/>
      <c r="H3199" s="15"/>
      <c r="I3199" s="15"/>
      <c r="J3199" s="15"/>
      <c r="K3199" s="15"/>
      <c r="L3199" s="15"/>
      <c r="M3199" s="16"/>
      <c r="N3199" s="16"/>
      <c r="O3199" s="15"/>
      <c r="P3199" s="15"/>
    </row>
    <row r="3200">
      <c r="A3200" s="15"/>
      <c r="B3200" s="22"/>
      <c r="C3200" s="22"/>
      <c r="D3200" s="22"/>
      <c r="E3200" s="15"/>
      <c r="F3200" s="15"/>
      <c r="G3200" s="15"/>
      <c r="H3200" s="15"/>
      <c r="I3200" s="15"/>
      <c r="J3200" s="15"/>
      <c r="K3200" s="15"/>
      <c r="L3200" s="15"/>
      <c r="M3200" s="16"/>
      <c r="N3200" s="16"/>
      <c r="O3200" s="15"/>
      <c r="P3200" s="15"/>
    </row>
    <row r="3201">
      <c r="A3201" s="15"/>
      <c r="B3201" s="22"/>
      <c r="C3201" s="22"/>
      <c r="D3201" s="22"/>
      <c r="E3201" s="15"/>
      <c r="F3201" s="15"/>
      <c r="G3201" s="15"/>
      <c r="H3201" s="15"/>
      <c r="I3201" s="15"/>
      <c r="J3201" s="15"/>
      <c r="K3201" s="15"/>
      <c r="L3201" s="15"/>
      <c r="M3201" s="16"/>
      <c r="N3201" s="16"/>
      <c r="O3201" s="15"/>
      <c r="P3201" s="15"/>
    </row>
    <row r="3202">
      <c r="A3202" s="15"/>
      <c r="B3202" s="22"/>
      <c r="C3202" s="22"/>
      <c r="D3202" s="22"/>
      <c r="E3202" s="15"/>
      <c r="F3202" s="15"/>
      <c r="G3202" s="15"/>
      <c r="H3202" s="15"/>
      <c r="I3202" s="15"/>
      <c r="J3202" s="15"/>
      <c r="K3202" s="15"/>
      <c r="L3202" s="15"/>
      <c r="M3202" s="16"/>
      <c r="N3202" s="16"/>
      <c r="O3202" s="15"/>
      <c r="P3202" s="15"/>
    </row>
    <row r="3203">
      <c r="A3203" s="15"/>
      <c r="B3203" s="22"/>
      <c r="C3203" s="22"/>
      <c r="D3203" s="22"/>
      <c r="E3203" s="15"/>
      <c r="F3203" s="15"/>
      <c r="G3203" s="15"/>
      <c r="H3203" s="15"/>
      <c r="I3203" s="15"/>
      <c r="J3203" s="15"/>
      <c r="K3203" s="15"/>
      <c r="L3203" s="15"/>
      <c r="M3203" s="16"/>
      <c r="N3203" s="16"/>
      <c r="O3203" s="15"/>
      <c r="P3203" s="15"/>
    </row>
    <row r="3204">
      <c r="A3204" s="15"/>
      <c r="B3204" s="22"/>
      <c r="C3204" s="22"/>
      <c r="D3204" s="22"/>
      <c r="E3204" s="15"/>
      <c r="F3204" s="15"/>
      <c r="G3204" s="15"/>
      <c r="H3204" s="15"/>
      <c r="I3204" s="15"/>
      <c r="J3204" s="15"/>
      <c r="K3204" s="15"/>
      <c r="L3204" s="15"/>
      <c r="M3204" s="16"/>
      <c r="N3204" s="16"/>
      <c r="O3204" s="15"/>
      <c r="P3204" s="15"/>
    </row>
    <row r="3205">
      <c r="A3205" s="15"/>
      <c r="B3205" s="22"/>
      <c r="C3205" s="22"/>
      <c r="D3205" s="22"/>
      <c r="E3205" s="15"/>
      <c r="F3205" s="15"/>
      <c r="G3205" s="15"/>
      <c r="H3205" s="15"/>
      <c r="I3205" s="15"/>
      <c r="J3205" s="15"/>
      <c r="K3205" s="15"/>
      <c r="L3205" s="15"/>
      <c r="M3205" s="16"/>
      <c r="N3205" s="16"/>
      <c r="O3205" s="15"/>
      <c r="P3205" s="15"/>
    </row>
    <row r="3206">
      <c r="A3206" s="15"/>
      <c r="B3206" s="22"/>
      <c r="C3206" s="22"/>
      <c r="D3206" s="22"/>
      <c r="E3206" s="15"/>
      <c r="F3206" s="15"/>
      <c r="G3206" s="15"/>
      <c r="H3206" s="15"/>
      <c r="I3206" s="15"/>
      <c r="J3206" s="15"/>
      <c r="K3206" s="15"/>
      <c r="L3206" s="15"/>
      <c r="M3206" s="16"/>
      <c r="N3206" s="16"/>
      <c r="O3206" s="15"/>
      <c r="P3206" s="15"/>
    </row>
    <row r="3207">
      <c r="A3207" s="15"/>
      <c r="B3207" s="22"/>
      <c r="C3207" s="22"/>
      <c r="D3207" s="22"/>
      <c r="E3207" s="15"/>
      <c r="F3207" s="15"/>
      <c r="G3207" s="15"/>
      <c r="H3207" s="15"/>
      <c r="I3207" s="15"/>
      <c r="J3207" s="15"/>
      <c r="K3207" s="15"/>
      <c r="L3207" s="15"/>
      <c r="M3207" s="16"/>
      <c r="N3207" s="16"/>
      <c r="O3207" s="15"/>
      <c r="P3207" s="15"/>
    </row>
    <row r="3208">
      <c r="A3208" s="15"/>
      <c r="B3208" s="22"/>
      <c r="C3208" s="22"/>
      <c r="D3208" s="22"/>
      <c r="E3208" s="15"/>
      <c r="F3208" s="15"/>
      <c r="G3208" s="15"/>
      <c r="H3208" s="15"/>
      <c r="I3208" s="15"/>
      <c r="J3208" s="15"/>
      <c r="K3208" s="15"/>
      <c r="L3208" s="15"/>
      <c r="M3208" s="16"/>
      <c r="N3208" s="16"/>
      <c r="O3208" s="15"/>
      <c r="P3208" s="15"/>
    </row>
    <row r="3209">
      <c r="A3209" s="15"/>
      <c r="B3209" s="22"/>
      <c r="C3209" s="22"/>
      <c r="D3209" s="22"/>
      <c r="E3209" s="15"/>
      <c r="F3209" s="15"/>
      <c r="G3209" s="15"/>
      <c r="H3209" s="15"/>
      <c r="I3209" s="15"/>
      <c r="J3209" s="15"/>
      <c r="K3209" s="15"/>
      <c r="L3209" s="15"/>
      <c r="M3209" s="16"/>
      <c r="N3209" s="16"/>
      <c r="O3209" s="15"/>
      <c r="P3209" s="15"/>
    </row>
    <row r="3210">
      <c r="A3210" s="15"/>
      <c r="B3210" s="22"/>
      <c r="C3210" s="22"/>
      <c r="D3210" s="22"/>
      <c r="E3210" s="15"/>
      <c r="F3210" s="15"/>
      <c r="G3210" s="15"/>
      <c r="H3210" s="15"/>
      <c r="I3210" s="15"/>
      <c r="J3210" s="15"/>
      <c r="K3210" s="15"/>
      <c r="L3210" s="15"/>
      <c r="M3210" s="16"/>
      <c r="N3210" s="16"/>
      <c r="O3210" s="15"/>
      <c r="P3210" s="15"/>
    </row>
    <row r="3211">
      <c r="A3211" s="15"/>
      <c r="B3211" s="22"/>
      <c r="C3211" s="22"/>
      <c r="D3211" s="22"/>
      <c r="E3211" s="15"/>
      <c r="F3211" s="15"/>
      <c r="G3211" s="15"/>
      <c r="H3211" s="15"/>
      <c r="I3211" s="15"/>
      <c r="J3211" s="15"/>
      <c r="K3211" s="15"/>
      <c r="L3211" s="15"/>
      <c r="M3211" s="16"/>
      <c r="N3211" s="16"/>
      <c r="O3211" s="15"/>
      <c r="P3211" s="15"/>
    </row>
    <row r="3212">
      <c r="A3212" s="15"/>
      <c r="B3212" s="22"/>
      <c r="C3212" s="22"/>
      <c r="D3212" s="22"/>
      <c r="E3212" s="15"/>
      <c r="F3212" s="15"/>
      <c r="G3212" s="15"/>
      <c r="H3212" s="15"/>
      <c r="I3212" s="15"/>
      <c r="J3212" s="15"/>
      <c r="K3212" s="15"/>
      <c r="L3212" s="15"/>
      <c r="M3212" s="16"/>
      <c r="N3212" s="16"/>
      <c r="O3212" s="15"/>
      <c r="P3212" s="15"/>
    </row>
    <row r="3213">
      <c r="A3213" s="15"/>
      <c r="B3213" s="22"/>
      <c r="C3213" s="22"/>
      <c r="D3213" s="22"/>
      <c r="E3213" s="15"/>
      <c r="F3213" s="15"/>
      <c r="G3213" s="15"/>
      <c r="H3213" s="15"/>
      <c r="I3213" s="15"/>
      <c r="J3213" s="15"/>
      <c r="K3213" s="15"/>
      <c r="L3213" s="15"/>
      <c r="M3213" s="16"/>
      <c r="N3213" s="16"/>
      <c r="O3213" s="15"/>
      <c r="P3213" s="15"/>
    </row>
    <row r="3214">
      <c r="A3214" s="15"/>
      <c r="B3214" s="22"/>
      <c r="C3214" s="22"/>
      <c r="D3214" s="22"/>
      <c r="E3214" s="15"/>
      <c r="F3214" s="15"/>
      <c r="G3214" s="15"/>
      <c r="H3214" s="15"/>
      <c r="I3214" s="15"/>
      <c r="J3214" s="15"/>
      <c r="K3214" s="15"/>
      <c r="L3214" s="15"/>
      <c r="M3214" s="16"/>
      <c r="N3214" s="16"/>
      <c r="O3214" s="15"/>
      <c r="P3214" s="15"/>
    </row>
    <row r="3215">
      <c r="A3215" s="15"/>
      <c r="B3215" s="22"/>
      <c r="C3215" s="22"/>
      <c r="D3215" s="22"/>
      <c r="E3215" s="15"/>
      <c r="F3215" s="15"/>
      <c r="G3215" s="15"/>
      <c r="H3215" s="15"/>
      <c r="I3215" s="15"/>
      <c r="J3215" s="15"/>
      <c r="K3215" s="15"/>
      <c r="L3215" s="15"/>
      <c r="M3215" s="16"/>
      <c r="N3215" s="16"/>
      <c r="O3215" s="15"/>
      <c r="P3215" s="15"/>
    </row>
    <row r="3216">
      <c r="A3216" s="15"/>
      <c r="B3216" s="22"/>
      <c r="C3216" s="22"/>
      <c r="D3216" s="22"/>
      <c r="E3216" s="15"/>
      <c r="F3216" s="15"/>
      <c r="G3216" s="15"/>
      <c r="H3216" s="15"/>
      <c r="I3216" s="15"/>
      <c r="J3216" s="15"/>
      <c r="K3216" s="15"/>
      <c r="L3216" s="15"/>
      <c r="M3216" s="16"/>
      <c r="N3216" s="16"/>
      <c r="O3216" s="15"/>
      <c r="P3216" s="15"/>
    </row>
    <row r="3217">
      <c r="A3217" s="15"/>
      <c r="B3217" s="22"/>
      <c r="C3217" s="22"/>
      <c r="D3217" s="22"/>
      <c r="E3217" s="15"/>
      <c r="F3217" s="15"/>
      <c r="G3217" s="15"/>
      <c r="H3217" s="15"/>
      <c r="I3217" s="15"/>
      <c r="J3217" s="15"/>
      <c r="K3217" s="15"/>
      <c r="L3217" s="15"/>
      <c r="M3217" s="16"/>
      <c r="N3217" s="16"/>
      <c r="O3217" s="15"/>
      <c r="P3217" s="15"/>
    </row>
    <row r="3218">
      <c r="A3218" s="15"/>
      <c r="B3218" s="22"/>
      <c r="C3218" s="22"/>
      <c r="D3218" s="22"/>
      <c r="E3218" s="15"/>
      <c r="F3218" s="15"/>
      <c r="G3218" s="15"/>
      <c r="H3218" s="15"/>
      <c r="I3218" s="15"/>
      <c r="J3218" s="15"/>
      <c r="K3218" s="15"/>
      <c r="L3218" s="15"/>
      <c r="M3218" s="16"/>
      <c r="N3218" s="16"/>
      <c r="O3218" s="15"/>
      <c r="P3218" s="15"/>
    </row>
    <row r="3219">
      <c r="A3219" s="15"/>
      <c r="B3219" s="22"/>
      <c r="C3219" s="22"/>
      <c r="D3219" s="22"/>
      <c r="E3219" s="15"/>
      <c r="F3219" s="15"/>
      <c r="G3219" s="15"/>
      <c r="H3219" s="15"/>
      <c r="I3219" s="15"/>
      <c r="J3219" s="15"/>
      <c r="K3219" s="15"/>
      <c r="L3219" s="15"/>
      <c r="M3219" s="16"/>
      <c r="N3219" s="16"/>
      <c r="O3219" s="15"/>
      <c r="P3219" s="15"/>
    </row>
    <row r="3220">
      <c r="A3220" s="15"/>
      <c r="B3220" s="22"/>
      <c r="C3220" s="22"/>
      <c r="D3220" s="22"/>
      <c r="E3220" s="15"/>
      <c r="F3220" s="15"/>
      <c r="G3220" s="15"/>
      <c r="H3220" s="15"/>
      <c r="I3220" s="15"/>
      <c r="J3220" s="15"/>
      <c r="K3220" s="15"/>
      <c r="L3220" s="15"/>
      <c r="M3220" s="16"/>
      <c r="N3220" s="16"/>
      <c r="O3220" s="15"/>
      <c r="P3220" s="15"/>
    </row>
    <row r="3221">
      <c r="A3221" s="15"/>
      <c r="B3221" s="22"/>
      <c r="C3221" s="22"/>
      <c r="D3221" s="22"/>
      <c r="E3221" s="15"/>
      <c r="F3221" s="15"/>
      <c r="G3221" s="15"/>
      <c r="H3221" s="15"/>
      <c r="I3221" s="15"/>
      <c r="J3221" s="15"/>
      <c r="K3221" s="15"/>
      <c r="L3221" s="15"/>
      <c r="M3221" s="16"/>
      <c r="N3221" s="16"/>
      <c r="O3221" s="15"/>
      <c r="P3221" s="15"/>
    </row>
    <row r="3222">
      <c r="A3222" s="15"/>
      <c r="B3222" s="22"/>
      <c r="C3222" s="22"/>
      <c r="D3222" s="22"/>
      <c r="E3222" s="15"/>
      <c r="F3222" s="15"/>
      <c r="G3222" s="15"/>
      <c r="H3222" s="15"/>
      <c r="I3222" s="15"/>
      <c r="J3222" s="15"/>
      <c r="K3222" s="15"/>
      <c r="L3222" s="15"/>
      <c r="M3222" s="16"/>
      <c r="N3222" s="16"/>
      <c r="O3222" s="15"/>
      <c r="P3222" s="15"/>
    </row>
    <row r="3223">
      <c r="A3223" s="15"/>
      <c r="B3223" s="22"/>
      <c r="C3223" s="22"/>
      <c r="D3223" s="22"/>
      <c r="E3223" s="15"/>
      <c r="F3223" s="15"/>
      <c r="G3223" s="15"/>
      <c r="H3223" s="15"/>
      <c r="I3223" s="15"/>
      <c r="J3223" s="15"/>
      <c r="K3223" s="15"/>
      <c r="L3223" s="15"/>
      <c r="M3223" s="16"/>
      <c r="N3223" s="16"/>
      <c r="O3223" s="15"/>
      <c r="P3223" s="15"/>
    </row>
    <row r="3224">
      <c r="A3224" s="15"/>
      <c r="B3224" s="22"/>
      <c r="C3224" s="22"/>
      <c r="D3224" s="22"/>
      <c r="E3224" s="15"/>
      <c r="F3224" s="15"/>
      <c r="G3224" s="15"/>
      <c r="H3224" s="15"/>
      <c r="I3224" s="15"/>
      <c r="J3224" s="15"/>
      <c r="K3224" s="15"/>
      <c r="L3224" s="15"/>
      <c r="M3224" s="16"/>
      <c r="N3224" s="16"/>
      <c r="O3224" s="15"/>
      <c r="P3224" s="15"/>
    </row>
    <row r="3225">
      <c r="A3225" s="15"/>
      <c r="B3225" s="22"/>
      <c r="C3225" s="22"/>
      <c r="D3225" s="22"/>
      <c r="E3225" s="15"/>
      <c r="F3225" s="15"/>
      <c r="G3225" s="15"/>
      <c r="H3225" s="15"/>
      <c r="I3225" s="15"/>
      <c r="J3225" s="15"/>
      <c r="K3225" s="15"/>
      <c r="L3225" s="15"/>
      <c r="M3225" s="16"/>
      <c r="N3225" s="16"/>
      <c r="O3225" s="15"/>
      <c r="P3225" s="15"/>
    </row>
    <row r="3226">
      <c r="A3226" s="15"/>
      <c r="B3226" s="22"/>
      <c r="C3226" s="22"/>
      <c r="D3226" s="22"/>
      <c r="E3226" s="15"/>
      <c r="F3226" s="15"/>
      <c r="G3226" s="15"/>
      <c r="H3226" s="15"/>
      <c r="I3226" s="15"/>
      <c r="J3226" s="15"/>
      <c r="K3226" s="15"/>
      <c r="L3226" s="15"/>
      <c r="M3226" s="16"/>
      <c r="N3226" s="16"/>
      <c r="O3226" s="15"/>
      <c r="P3226" s="15"/>
    </row>
    <row r="3227">
      <c r="A3227" s="15"/>
      <c r="B3227" s="22"/>
      <c r="C3227" s="22"/>
      <c r="D3227" s="22"/>
      <c r="E3227" s="15"/>
      <c r="F3227" s="15"/>
      <c r="G3227" s="15"/>
      <c r="H3227" s="15"/>
      <c r="I3227" s="15"/>
      <c r="J3227" s="15"/>
      <c r="K3227" s="15"/>
      <c r="L3227" s="15"/>
      <c r="M3227" s="16"/>
      <c r="N3227" s="16"/>
      <c r="O3227" s="15"/>
      <c r="P3227" s="15"/>
    </row>
    <row r="3228">
      <c r="A3228" s="15"/>
      <c r="B3228" s="22"/>
      <c r="C3228" s="22"/>
      <c r="D3228" s="22"/>
      <c r="E3228" s="15"/>
      <c r="F3228" s="15"/>
      <c r="G3228" s="15"/>
      <c r="H3228" s="15"/>
      <c r="I3228" s="15"/>
      <c r="J3228" s="15"/>
      <c r="K3228" s="15"/>
      <c r="L3228" s="15"/>
      <c r="M3228" s="16"/>
      <c r="N3228" s="16"/>
      <c r="O3228" s="15"/>
      <c r="P3228" s="15"/>
    </row>
    <row r="3229">
      <c r="A3229" s="15"/>
      <c r="B3229" s="22"/>
      <c r="C3229" s="22"/>
      <c r="D3229" s="22"/>
      <c r="E3229" s="15"/>
      <c r="F3229" s="15"/>
      <c r="G3229" s="15"/>
      <c r="H3229" s="15"/>
      <c r="I3229" s="15"/>
      <c r="J3229" s="15"/>
      <c r="K3229" s="15"/>
      <c r="L3229" s="15"/>
      <c r="M3229" s="16"/>
      <c r="N3229" s="16"/>
      <c r="O3229" s="15"/>
      <c r="P3229" s="15"/>
    </row>
    <row r="3230">
      <c r="A3230" s="15"/>
      <c r="B3230" s="22"/>
      <c r="C3230" s="22"/>
      <c r="D3230" s="22"/>
      <c r="E3230" s="15"/>
      <c r="F3230" s="15"/>
      <c r="G3230" s="15"/>
      <c r="H3230" s="15"/>
      <c r="I3230" s="15"/>
      <c r="J3230" s="15"/>
      <c r="K3230" s="15"/>
      <c r="L3230" s="15"/>
      <c r="M3230" s="16"/>
      <c r="N3230" s="16"/>
      <c r="O3230" s="15"/>
      <c r="P3230" s="15"/>
    </row>
    <row r="3231">
      <c r="A3231" s="15"/>
      <c r="B3231" s="22"/>
      <c r="C3231" s="22"/>
      <c r="D3231" s="22"/>
      <c r="E3231" s="15"/>
      <c r="F3231" s="15"/>
      <c r="G3231" s="15"/>
      <c r="H3231" s="15"/>
      <c r="I3231" s="15"/>
      <c r="J3231" s="15"/>
      <c r="K3231" s="15"/>
      <c r="L3231" s="15"/>
      <c r="M3231" s="16"/>
      <c r="N3231" s="16"/>
      <c r="O3231" s="15"/>
      <c r="P3231" s="15"/>
    </row>
    <row r="3232">
      <c r="A3232" s="15"/>
      <c r="B3232" s="22"/>
      <c r="C3232" s="22"/>
      <c r="D3232" s="22"/>
      <c r="E3232" s="15"/>
      <c r="F3232" s="15"/>
      <c r="G3232" s="15"/>
      <c r="H3232" s="15"/>
      <c r="I3232" s="15"/>
      <c r="J3232" s="15"/>
      <c r="K3232" s="15"/>
      <c r="L3232" s="15"/>
      <c r="M3232" s="16"/>
      <c r="N3232" s="16"/>
      <c r="O3232" s="15"/>
      <c r="P3232" s="15"/>
    </row>
    <row r="3233">
      <c r="A3233" s="15"/>
      <c r="B3233" s="22"/>
      <c r="C3233" s="22"/>
      <c r="D3233" s="22"/>
      <c r="E3233" s="15"/>
      <c r="F3233" s="15"/>
      <c r="G3233" s="15"/>
      <c r="H3233" s="15"/>
      <c r="I3233" s="15"/>
      <c r="J3233" s="15"/>
      <c r="K3233" s="15"/>
      <c r="L3233" s="15"/>
      <c r="M3233" s="16"/>
      <c r="N3233" s="16"/>
      <c r="O3233" s="15"/>
      <c r="P3233" s="15"/>
    </row>
    <row r="3234">
      <c r="A3234" s="15"/>
      <c r="B3234" s="22"/>
      <c r="C3234" s="22"/>
      <c r="D3234" s="22"/>
      <c r="E3234" s="15"/>
      <c r="F3234" s="15"/>
      <c r="G3234" s="15"/>
      <c r="H3234" s="15"/>
      <c r="I3234" s="15"/>
      <c r="J3234" s="15"/>
      <c r="K3234" s="15"/>
      <c r="L3234" s="15"/>
      <c r="M3234" s="16"/>
      <c r="N3234" s="16"/>
      <c r="O3234" s="15"/>
      <c r="P3234" s="15"/>
    </row>
    <row r="3235">
      <c r="A3235" s="15"/>
      <c r="B3235" s="22"/>
      <c r="C3235" s="22"/>
      <c r="D3235" s="22"/>
      <c r="E3235" s="15"/>
      <c r="F3235" s="15"/>
      <c r="G3235" s="15"/>
      <c r="H3235" s="15"/>
      <c r="I3235" s="15"/>
      <c r="J3235" s="15"/>
      <c r="K3235" s="15"/>
      <c r="L3235" s="15"/>
      <c r="M3235" s="16"/>
      <c r="N3235" s="16"/>
      <c r="O3235" s="15"/>
      <c r="P3235" s="15"/>
    </row>
    <row r="3236">
      <c r="A3236" s="15"/>
      <c r="B3236" s="22"/>
      <c r="C3236" s="22"/>
      <c r="D3236" s="22"/>
      <c r="E3236" s="15"/>
      <c r="F3236" s="15"/>
      <c r="G3236" s="15"/>
      <c r="H3236" s="15"/>
      <c r="I3236" s="15"/>
      <c r="J3236" s="15"/>
      <c r="K3236" s="15"/>
      <c r="L3236" s="15"/>
      <c r="M3236" s="16"/>
      <c r="N3236" s="16"/>
      <c r="O3236" s="15"/>
      <c r="P3236" s="15"/>
    </row>
    <row r="3237">
      <c r="A3237" s="15"/>
      <c r="B3237" s="22"/>
      <c r="C3237" s="22"/>
      <c r="D3237" s="22"/>
      <c r="E3237" s="15"/>
      <c r="F3237" s="15"/>
      <c r="G3237" s="15"/>
      <c r="H3237" s="15"/>
      <c r="I3237" s="15"/>
      <c r="J3237" s="15"/>
      <c r="K3237" s="15"/>
      <c r="L3237" s="15"/>
      <c r="M3237" s="16"/>
      <c r="N3237" s="16"/>
      <c r="O3237" s="15"/>
      <c r="P3237" s="15"/>
    </row>
    <row r="3238">
      <c r="A3238" s="15"/>
      <c r="B3238" s="22"/>
      <c r="C3238" s="22"/>
      <c r="D3238" s="22"/>
      <c r="E3238" s="15"/>
      <c r="F3238" s="15"/>
      <c r="G3238" s="15"/>
      <c r="H3238" s="15"/>
      <c r="I3238" s="15"/>
      <c r="J3238" s="15"/>
      <c r="K3238" s="15"/>
      <c r="L3238" s="15"/>
      <c r="M3238" s="16"/>
      <c r="N3238" s="16"/>
      <c r="O3238" s="15"/>
      <c r="P3238" s="15"/>
    </row>
    <row r="3239">
      <c r="A3239" s="15"/>
      <c r="B3239" s="22"/>
      <c r="C3239" s="22"/>
      <c r="D3239" s="22"/>
      <c r="E3239" s="15"/>
      <c r="F3239" s="15"/>
      <c r="G3239" s="15"/>
      <c r="H3239" s="15"/>
      <c r="I3239" s="15"/>
      <c r="J3239" s="15"/>
      <c r="K3239" s="15"/>
      <c r="L3239" s="15"/>
      <c r="M3239" s="16"/>
      <c r="N3239" s="16"/>
      <c r="O3239" s="15"/>
      <c r="P3239" s="15"/>
    </row>
    <row r="3240">
      <c r="A3240" s="15"/>
      <c r="B3240" s="22"/>
      <c r="C3240" s="22"/>
      <c r="D3240" s="22"/>
      <c r="E3240" s="15"/>
      <c r="F3240" s="15"/>
      <c r="G3240" s="15"/>
      <c r="H3240" s="15"/>
      <c r="I3240" s="15"/>
      <c r="J3240" s="15"/>
      <c r="K3240" s="15"/>
      <c r="L3240" s="15"/>
      <c r="M3240" s="16"/>
      <c r="N3240" s="16"/>
      <c r="O3240" s="15"/>
      <c r="P3240" s="15"/>
    </row>
    <row r="3241">
      <c r="A3241" s="15"/>
      <c r="B3241" s="22"/>
      <c r="C3241" s="22"/>
      <c r="D3241" s="22"/>
      <c r="E3241" s="15"/>
      <c r="F3241" s="15"/>
      <c r="G3241" s="15"/>
      <c r="H3241" s="15"/>
      <c r="I3241" s="15"/>
      <c r="J3241" s="15"/>
      <c r="K3241" s="15"/>
      <c r="L3241" s="15"/>
      <c r="M3241" s="16"/>
      <c r="N3241" s="16"/>
      <c r="O3241" s="15"/>
      <c r="P3241" s="15"/>
    </row>
    <row r="3242">
      <c r="A3242" s="15"/>
      <c r="B3242" s="22"/>
      <c r="C3242" s="22"/>
      <c r="D3242" s="22"/>
      <c r="E3242" s="15"/>
      <c r="F3242" s="15"/>
      <c r="G3242" s="15"/>
      <c r="H3242" s="15"/>
      <c r="I3242" s="15"/>
      <c r="J3242" s="15"/>
      <c r="K3242" s="15"/>
      <c r="L3242" s="15"/>
      <c r="M3242" s="16"/>
      <c r="N3242" s="16"/>
      <c r="O3242" s="15"/>
      <c r="P3242" s="15"/>
    </row>
    <row r="3243">
      <c r="A3243" s="15"/>
      <c r="B3243" s="22"/>
      <c r="C3243" s="22"/>
      <c r="D3243" s="22"/>
      <c r="E3243" s="15"/>
      <c r="F3243" s="15"/>
      <c r="G3243" s="15"/>
      <c r="H3243" s="15"/>
      <c r="I3243" s="15"/>
      <c r="J3243" s="15"/>
      <c r="K3243" s="15"/>
      <c r="L3243" s="15"/>
      <c r="M3243" s="16"/>
      <c r="N3243" s="16"/>
      <c r="O3243" s="15"/>
      <c r="P3243" s="15"/>
    </row>
    <row r="3244">
      <c r="A3244" s="15"/>
      <c r="B3244" s="22"/>
      <c r="C3244" s="22"/>
      <c r="D3244" s="22"/>
      <c r="E3244" s="15"/>
      <c r="F3244" s="15"/>
      <c r="G3244" s="15"/>
      <c r="H3244" s="15"/>
      <c r="I3244" s="15"/>
      <c r="J3244" s="15"/>
      <c r="K3244" s="15"/>
      <c r="L3244" s="15"/>
      <c r="M3244" s="16"/>
      <c r="N3244" s="16"/>
      <c r="O3244" s="15"/>
      <c r="P3244" s="15"/>
    </row>
    <row r="3245">
      <c r="A3245" s="15"/>
      <c r="B3245" s="22"/>
      <c r="C3245" s="22"/>
      <c r="D3245" s="22"/>
      <c r="E3245" s="15"/>
      <c r="F3245" s="15"/>
      <c r="G3245" s="15"/>
      <c r="H3245" s="15"/>
      <c r="I3245" s="15"/>
      <c r="J3245" s="15"/>
      <c r="K3245" s="15"/>
      <c r="L3245" s="15"/>
      <c r="M3245" s="16"/>
      <c r="N3245" s="16"/>
      <c r="O3245" s="15"/>
      <c r="P3245" s="15"/>
    </row>
    <row r="3246">
      <c r="A3246" s="15"/>
      <c r="B3246" s="22"/>
      <c r="C3246" s="22"/>
      <c r="D3246" s="22"/>
      <c r="E3246" s="15"/>
      <c r="F3246" s="15"/>
      <c r="G3246" s="15"/>
      <c r="H3246" s="15"/>
      <c r="I3246" s="15"/>
      <c r="J3246" s="15"/>
      <c r="K3246" s="15"/>
      <c r="L3246" s="15"/>
      <c r="M3246" s="16"/>
      <c r="N3246" s="16"/>
      <c r="O3246" s="15"/>
      <c r="P3246" s="15"/>
    </row>
    <row r="3247">
      <c r="A3247" s="15"/>
      <c r="B3247" s="22"/>
      <c r="C3247" s="22"/>
      <c r="D3247" s="22"/>
      <c r="E3247" s="15"/>
      <c r="F3247" s="15"/>
      <c r="G3247" s="15"/>
      <c r="H3247" s="15"/>
      <c r="I3247" s="15"/>
      <c r="J3247" s="15"/>
      <c r="K3247" s="15"/>
      <c r="L3247" s="15"/>
      <c r="M3247" s="16"/>
      <c r="N3247" s="16"/>
      <c r="O3247" s="15"/>
      <c r="P3247" s="15"/>
    </row>
    <row r="3248">
      <c r="A3248" s="15"/>
      <c r="B3248" s="22"/>
      <c r="C3248" s="22"/>
      <c r="D3248" s="22"/>
      <c r="E3248" s="15"/>
      <c r="F3248" s="15"/>
      <c r="G3248" s="15"/>
      <c r="H3248" s="15"/>
      <c r="I3248" s="15"/>
      <c r="J3248" s="15"/>
      <c r="K3248" s="15"/>
      <c r="L3248" s="15"/>
      <c r="M3248" s="16"/>
      <c r="N3248" s="16"/>
      <c r="O3248" s="15"/>
      <c r="P3248" s="15"/>
    </row>
    <row r="3249">
      <c r="A3249" s="15"/>
      <c r="B3249" s="22"/>
      <c r="C3249" s="22"/>
      <c r="D3249" s="22"/>
      <c r="E3249" s="15"/>
      <c r="F3249" s="15"/>
      <c r="G3249" s="15"/>
      <c r="H3249" s="15"/>
      <c r="I3249" s="15"/>
      <c r="J3249" s="15"/>
      <c r="K3249" s="15"/>
      <c r="L3249" s="15"/>
      <c r="M3249" s="16"/>
      <c r="N3249" s="16"/>
      <c r="O3249" s="15"/>
      <c r="P3249" s="15"/>
    </row>
    <row r="3250">
      <c r="A3250" s="15"/>
      <c r="B3250" s="22"/>
      <c r="C3250" s="22"/>
      <c r="D3250" s="22"/>
      <c r="E3250" s="15"/>
      <c r="F3250" s="15"/>
      <c r="G3250" s="15"/>
      <c r="H3250" s="15"/>
      <c r="I3250" s="15"/>
      <c r="J3250" s="15"/>
      <c r="K3250" s="15"/>
      <c r="L3250" s="15"/>
      <c r="M3250" s="16"/>
      <c r="N3250" s="16"/>
      <c r="O3250" s="15"/>
      <c r="P3250" s="15"/>
    </row>
    <row r="3251">
      <c r="A3251" s="15"/>
      <c r="B3251" s="22"/>
      <c r="C3251" s="22"/>
      <c r="D3251" s="22"/>
      <c r="E3251" s="15"/>
      <c r="F3251" s="15"/>
      <c r="G3251" s="15"/>
      <c r="H3251" s="15"/>
      <c r="I3251" s="15"/>
      <c r="J3251" s="15"/>
      <c r="K3251" s="15"/>
      <c r="L3251" s="15"/>
      <c r="M3251" s="16"/>
      <c r="N3251" s="16"/>
      <c r="O3251" s="15"/>
      <c r="P3251" s="15"/>
    </row>
    <row r="3252">
      <c r="A3252" s="15"/>
      <c r="B3252" s="22"/>
      <c r="C3252" s="22"/>
      <c r="D3252" s="22"/>
      <c r="E3252" s="15"/>
      <c r="F3252" s="15"/>
      <c r="G3252" s="15"/>
      <c r="H3252" s="15"/>
      <c r="I3252" s="15"/>
      <c r="J3252" s="15"/>
      <c r="K3252" s="15"/>
      <c r="L3252" s="15"/>
      <c r="M3252" s="16"/>
      <c r="N3252" s="16"/>
      <c r="O3252" s="15"/>
      <c r="P3252" s="15"/>
    </row>
    <row r="3253">
      <c r="A3253" s="15"/>
      <c r="B3253" s="22"/>
      <c r="C3253" s="22"/>
      <c r="D3253" s="22"/>
      <c r="E3253" s="15"/>
      <c r="F3253" s="15"/>
      <c r="G3253" s="15"/>
      <c r="H3253" s="15"/>
      <c r="I3253" s="15"/>
      <c r="J3253" s="15"/>
      <c r="K3253" s="15"/>
      <c r="L3253" s="15"/>
      <c r="M3253" s="16"/>
      <c r="N3253" s="16"/>
      <c r="O3253" s="15"/>
      <c r="P3253" s="15"/>
    </row>
    <row r="3254">
      <c r="A3254" s="15"/>
      <c r="B3254" s="22"/>
      <c r="C3254" s="22"/>
      <c r="D3254" s="22"/>
      <c r="E3254" s="15"/>
      <c r="F3254" s="15"/>
      <c r="G3254" s="15"/>
      <c r="H3254" s="15"/>
      <c r="I3254" s="15"/>
      <c r="J3254" s="15"/>
      <c r="K3254" s="15"/>
      <c r="L3254" s="15"/>
      <c r="M3254" s="16"/>
      <c r="N3254" s="16"/>
      <c r="O3254" s="15"/>
      <c r="P3254" s="15"/>
    </row>
    <row r="3255">
      <c r="A3255" s="15"/>
      <c r="B3255" s="22"/>
      <c r="C3255" s="22"/>
      <c r="D3255" s="22"/>
      <c r="E3255" s="15"/>
      <c r="F3255" s="15"/>
      <c r="G3255" s="15"/>
      <c r="H3255" s="15"/>
      <c r="I3255" s="15"/>
      <c r="J3255" s="15"/>
      <c r="K3255" s="15"/>
      <c r="L3255" s="15"/>
      <c r="M3255" s="16"/>
      <c r="N3255" s="16"/>
      <c r="O3255" s="15"/>
      <c r="P3255" s="15"/>
    </row>
    <row r="3256">
      <c r="A3256" s="15"/>
      <c r="B3256" s="22"/>
      <c r="C3256" s="22"/>
      <c r="D3256" s="22"/>
      <c r="E3256" s="15"/>
      <c r="F3256" s="15"/>
      <c r="G3256" s="15"/>
      <c r="H3256" s="15"/>
      <c r="I3256" s="15"/>
      <c r="J3256" s="15"/>
      <c r="K3256" s="15"/>
      <c r="L3256" s="15"/>
      <c r="M3256" s="16"/>
      <c r="N3256" s="16"/>
      <c r="O3256" s="15"/>
      <c r="P3256" s="15"/>
    </row>
    <row r="3257">
      <c r="A3257" s="15"/>
      <c r="B3257" s="22"/>
      <c r="C3257" s="22"/>
      <c r="D3257" s="22"/>
      <c r="E3257" s="15"/>
      <c r="F3257" s="15"/>
      <c r="G3257" s="15"/>
      <c r="H3257" s="15"/>
      <c r="I3257" s="15"/>
      <c r="J3257" s="15"/>
      <c r="K3257" s="15"/>
      <c r="L3257" s="15"/>
      <c r="M3257" s="16"/>
      <c r="N3257" s="16"/>
      <c r="O3257" s="15"/>
      <c r="P3257" s="15"/>
    </row>
    <row r="3258">
      <c r="A3258" s="15"/>
      <c r="B3258" s="22"/>
      <c r="C3258" s="22"/>
      <c r="D3258" s="22"/>
      <c r="E3258" s="15"/>
      <c r="F3258" s="15"/>
      <c r="G3258" s="15"/>
      <c r="H3258" s="15"/>
      <c r="I3258" s="15"/>
      <c r="J3258" s="15"/>
      <c r="K3258" s="15"/>
      <c r="L3258" s="15"/>
      <c r="M3258" s="16"/>
      <c r="N3258" s="16"/>
      <c r="O3258" s="15"/>
      <c r="P3258" s="15"/>
    </row>
    <row r="3259">
      <c r="A3259" s="15"/>
      <c r="B3259" s="22"/>
      <c r="C3259" s="22"/>
      <c r="D3259" s="22"/>
      <c r="E3259" s="15"/>
      <c r="F3259" s="15"/>
      <c r="G3259" s="15"/>
      <c r="H3259" s="15"/>
      <c r="I3259" s="15"/>
      <c r="J3259" s="15"/>
      <c r="K3259" s="15"/>
      <c r="L3259" s="15"/>
      <c r="M3259" s="16"/>
      <c r="N3259" s="16"/>
      <c r="O3259" s="15"/>
      <c r="P3259" s="15"/>
    </row>
    <row r="3260">
      <c r="A3260" s="15"/>
      <c r="B3260" s="22"/>
      <c r="C3260" s="22"/>
      <c r="D3260" s="22"/>
      <c r="E3260" s="15"/>
      <c r="F3260" s="15"/>
      <c r="G3260" s="15"/>
      <c r="H3260" s="15"/>
      <c r="I3260" s="15"/>
      <c r="J3260" s="15"/>
      <c r="K3260" s="15"/>
      <c r="L3260" s="15"/>
      <c r="M3260" s="16"/>
      <c r="N3260" s="16"/>
      <c r="O3260" s="15"/>
      <c r="P3260" s="15"/>
    </row>
    <row r="3261">
      <c r="A3261" s="15"/>
      <c r="B3261" s="22"/>
      <c r="C3261" s="22"/>
      <c r="D3261" s="22"/>
      <c r="E3261" s="15"/>
      <c r="F3261" s="15"/>
      <c r="G3261" s="15"/>
      <c r="H3261" s="15"/>
      <c r="I3261" s="15"/>
      <c r="J3261" s="15"/>
      <c r="K3261" s="15"/>
      <c r="L3261" s="15"/>
      <c r="M3261" s="16"/>
      <c r="N3261" s="16"/>
      <c r="O3261" s="15"/>
      <c r="P3261" s="15"/>
    </row>
    <row r="3262">
      <c r="A3262" s="15"/>
      <c r="B3262" s="22"/>
      <c r="C3262" s="22"/>
      <c r="D3262" s="22"/>
      <c r="E3262" s="15"/>
      <c r="F3262" s="15"/>
      <c r="G3262" s="15"/>
      <c r="H3262" s="15"/>
      <c r="I3262" s="15"/>
      <c r="J3262" s="15"/>
      <c r="K3262" s="15"/>
      <c r="L3262" s="15"/>
      <c r="M3262" s="16"/>
      <c r="N3262" s="16"/>
      <c r="O3262" s="15"/>
      <c r="P3262" s="15"/>
    </row>
    <row r="3263">
      <c r="A3263" s="15"/>
      <c r="B3263" s="22"/>
      <c r="C3263" s="22"/>
      <c r="D3263" s="22"/>
      <c r="E3263" s="15"/>
      <c r="F3263" s="15"/>
      <c r="G3263" s="15"/>
      <c r="H3263" s="15"/>
      <c r="I3263" s="15"/>
      <c r="J3263" s="15"/>
      <c r="K3263" s="15"/>
      <c r="L3263" s="15"/>
      <c r="M3263" s="16"/>
      <c r="N3263" s="16"/>
      <c r="O3263" s="15"/>
      <c r="P3263" s="15"/>
    </row>
    <row r="3264">
      <c r="A3264" s="15"/>
      <c r="B3264" s="22"/>
      <c r="C3264" s="22"/>
      <c r="D3264" s="22"/>
      <c r="E3264" s="15"/>
      <c r="F3264" s="15"/>
      <c r="G3264" s="15"/>
      <c r="H3264" s="15"/>
      <c r="I3264" s="15"/>
      <c r="J3264" s="15"/>
      <c r="K3264" s="15"/>
      <c r="L3264" s="15"/>
      <c r="M3264" s="16"/>
      <c r="N3264" s="16"/>
      <c r="O3264" s="15"/>
      <c r="P3264" s="15"/>
    </row>
    <row r="3265">
      <c r="A3265" s="15"/>
      <c r="B3265" s="22"/>
      <c r="C3265" s="22"/>
      <c r="D3265" s="22"/>
      <c r="E3265" s="15"/>
      <c r="F3265" s="15"/>
      <c r="G3265" s="15"/>
      <c r="H3265" s="15"/>
      <c r="I3265" s="15"/>
      <c r="J3265" s="15"/>
      <c r="K3265" s="15"/>
      <c r="L3265" s="15"/>
      <c r="M3265" s="16"/>
      <c r="N3265" s="16"/>
      <c r="O3265" s="15"/>
      <c r="P3265" s="15"/>
    </row>
    <row r="3266">
      <c r="A3266" s="15"/>
      <c r="B3266" s="22"/>
      <c r="C3266" s="22"/>
      <c r="D3266" s="22"/>
      <c r="E3266" s="15"/>
      <c r="F3266" s="15"/>
      <c r="G3266" s="15"/>
      <c r="H3266" s="15"/>
      <c r="I3266" s="15"/>
      <c r="J3266" s="15"/>
      <c r="K3266" s="15"/>
      <c r="L3266" s="15"/>
      <c r="M3266" s="16"/>
      <c r="N3266" s="16"/>
      <c r="O3266" s="15"/>
      <c r="P3266" s="15"/>
    </row>
    <row r="3267">
      <c r="A3267" s="15"/>
      <c r="B3267" s="22"/>
      <c r="C3267" s="22"/>
      <c r="D3267" s="22"/>
      <c r="E3267" s="15"/>
      <c r="F3267" s="15"/>
      <c r="G3267" s="15"/>
      <c r="H3267" s="15"/>
      <c r="I3267" s="15"/>
      <c r="J3267" s="15"/>
      <c r="K3267" s="15"/>
      <c r="L3267" s="15"/>
      <c r="M3267" s="16"/>
      <c r="N3267" s="16"/>
      <c r="O3267" s="15"/>
      <c r="P3267" s="15"/>
    </row>
    <row r="3268">
      <c r="A3268" s="15"/>
      <c r="B3268" s="22"/>
      <c r="C3268" s="22"/>
      <c r="D3268" s="22"/>
      <c r="E3268" s="15"/>
      <c r="F3268" s="15"/>
      <c r="G3268" s="15"/>
      <c r="H3268" s="15"/>
      <c r="I3268" s="15"/>
      <c r="J3268" s="15"/>
      <c r="K3268" s="15"/>
      <c r="L3268" s="15"/>
      <c r="M3268" s="16"/>
      <c r="N3268" s="16"/>
      <c r="O3268" s="15"/>
      <c r="P3268" s="15"/>
    </row>
    <row r="3269">
      <c r="A3269" s="15"/>
      <c r="B3269" s="22"/>
      <c r="C3269" s="22"/>
      <c r="D3269" s="22"/>
      <c r="E3269" s="15"/>
      <c r="F3269" s="15"/>
      <c r="G3269" s="15"/>
      <c r="H3269" s="15"/>
      <c r="I3269" s="15"/>
      <c r="J3269" s="15"/>
      <c r="K3269" s="15"/>
      <c r="L3269" s="15"/>
      <c r="M3269" s="16"/>
      <c r="N3269" s="16"/>
      <c r="O3269" s="15"/>
      <c r="P3269" s="15"/>
    </row>
    <row r="3270">
      <c r="A3270" s="15"/>
      <c r="B3270" s="22"/>
      <c r="C3270" s="22"/>
      <c r="D3270" s="22"/>
      <c r="E3270" s="15"/>
      <c r="F3270" s="15"/>
      <c r="G3270" s="15"/>
      <c r="H3270" s="15"/>
      <c r="I3270" s="15"/>
      <c r="J3270" s="15"/>
      <c r="K3270" s="15"/>
      <c r="L3270" s="15"/>
      <c r="M3270" s="16"/>
      <c r="N3270" s="16"/>
      <c r="O3270" s="15"/>
      <c r="P3270" s="15"/>
    </row>
    <row r="3271">
      <c r="A3271" s="15"/>
      <c r="B3271" s="22"/>
      <c r="C3271" s="22"/>
      <c r="D3271" s="22"/>
      <c r="E3271" s="15"/>
      <c r="F3271" s="15"/>
      <c r="G3271" s="15"/>
      <c r="H3271" s="15"/>
      <c r="I3271" s="15"/>
      <c r="J3271" s="15"/>
      <c r="K3271" s="15"/>
      <c r="L3271" s="15"/>
      <c r="M3271" s="16"/>
      <c r="N3271" s="16"/>
      <c r="O3271" s="15"/>
      <c r="P3271" s="15"/>
    </row>
    <row r="3272">
      <c r="A3272" s="15"/>
      <c r="B3272" s="22"/>
      <c r="C3272" s="22"/>
      <c r="D3272" s="22"/>
      <c r="E3272" s="15"/>
      <c r="F3272" s="15"/>
      <c r="G3272" s="15"/>
      <c r="H3272" s="15"/>
      <c r="I3272" s="15"/>
      <c r="J3272" s="15"/>
      <c r="K3272" s="15"/>
      <c r="L3272" s="15"/>
      <c r="M3272" s="16"/>
      <c r="N3272" s="16"/>
      <c r="O3272" s="15"/>
      <c r="P3272" s="15"/>
    </row>
    <row r="3273">
      <c r="A3273" s="15"/>
      <c r="B3273" s="22"/>
      <c r="C3273" s="22"/>
      <c r="D3273" s="22"/>
      <c r="E3273" s="15"/>
      <c r="F3273" s="15"/>
      <c r="G3273" s="15"/>
      <c r="H3273" s="15"/>
      <c r="I3273" s="15"/>
      <c r="J3273" s="15"/>
      <c r="K3273" s="15"/>
      <c r="L3273" s="15"/>
      <c r="M3273" s="16"/>
      <c r="N3273" s="16"/>
      <c r="O3273" s="15"/>
      <c r="P3273" s="15"/>
    </row>
    <row r="3274">
      <c r="A3274" s="15"/>
      <c r="B3274" s="22"/>
      <c r="C3274" s="22"/>
      <c r="D3274" s="22"/>
      <c r="E3274" s="15"/>
      <c r="F3274" s="15"/>
      <c r="G3274" s="15"/>
      <c r="H3274" s="15"/>
      <c r="I3274" s="15"/>
      <c r="J3274" s="15"/>
      <c r="K3274" s="15"/>
      <c r="L3274" s="15"/>
      <c r="M3274" s="16"/>
      <c r="N3274" s="16"/>
      <c r="O3274" s="15"/>
      <c r="P3274" s="15"/>
    </row>
    <row r="3275">
      <c r="A3275" s="15"/>
      <c r="B3275" s="22"/>
      <c r="C3275" s="22"/>
      <c r="D3275" s="22"/>
      <c r="E3275" s="15"/>
      <c r="F3275" s="15"/>
      <c r="G3275" s="15"/>
      <c r="H3275" s="15"/>
      <c r="I3275" s="15"/>
      <c r="J3275" s="15"/>
      <c r="K3275" s="15"/>
      <c r="L3275" s="15"/>
      <c r="M3275" s="16"/>
      <c r="N3275" s="16"/>
      <c r="O3275" s="15"/>
      <c r="P3275" s="15"/>
    </row>
    <row r="3276">
      <c r="A3276" s="15"/>
      <c r="B3276" s="22"/>
      <c r="C3276" s="22"/>
      <c r="D3276" s="22"/>
      <c r="E3276" s="15"/>
      <c r="F3276" s="15"/>
      <c r="G3276" s="15"/>
      <c r="H3276" s="15"/>
      <c r="I3276" s="15"/>
      <c r="J3276" s="15"/>
      <c r="K3276" s="15"/>
      <c r="L3276" s="15"/>
      <c r="M3276" s="16"/>
      <c r="N3276" s="16"/>
      <c r="O3276" s="15"/>
      <c r="P3276" s="15"/>
    </row>
    <row r="3277">
      <c r="A3277" s="15"/>
      <c r="B3277" s="22"/>
      <c r="C3277" s="22"/>
      <c r="D3277" s="22"/>
      <c r="E3277" s="15"/>
      <c r="F3277" s="15"/>
      <c r="G3277" s="15"/>
      <c r="H3277" s="15"/>
      <c r="I3277" s="15"/>
      <c r="J3277" s="15"/>
      <c r="K3277" s="15"/>
      <c r="L3277" s="15"/>
      <c r="M3277" s="16"/>
      <c r="N3277" s="16"/>
      <c r="O3277" s="15"/>
      <c r="P3277" s="15"/>
    </row>
    <row r="3278">
      <c r="A3278" s="15"/>
      <c r="B3278" s="22"/>
      <c r="C3278" s="22"/>
      <c r="D3278" s="22"/>
      <c r="E3278" s="15"/>
      <c r="F3278" s="15"/>
      <c r="G3278" s="15"/>
      <c r="H3278" s="15"/>
      <c r="I3278" s="15"/>
      <c r="J3278" s="15"/>
      <c r="K3278" s="15"/>
      <c r="L3278" s="15"/>
      <c r="M3278" s="16"/>
      <c r="N3278" s="16"/>
      <c r="O3278" s="15"/>
      <c r="P3278" s="15"/>
    </row>
    <row r="3279">
      <c r="A3279" s="15"/>
      <c r="B3279" s="22"/>
      <c r="C3279" s="22"/>
      <c r="D3279" s="22"/>
      <c r="E3279" s="15"/>
      <c r="F3279" s="15"/>
      <c r="G3279" s="15"/>
      <c r="H3279" s="15"/>
      <c r="I3279" s="15"/>
      <c r="J3279" s="15"/>
      <c r="K3279" s="15"/>
      <c r="L3279" s="15"/>
      <c r="M3279" s="16"/>
      <c r="N3279" s="16"/>
      <c r="O3279" s="15"/>
      <c r="P3279" s="15"/>
    </row>
    <row r="3280">
      <c r="A3280" s="15"/>
      <c r="B3280" s="22"/>
      <c r="C3280" s="22"/>
      <c r="D3280" s="22"/>
      <c r="E3280" s="15"/>
      <c r="F3280" s="15"/>
      <c r="G3280" s="15"/>
      <c r="H3280" s="15"/>
      <c r="I3280" s="15"/>
      <c r="J3280" s="15"/>
      <c r="K3280" s="15"/>
      <c r="L3280" s="15"/>
      <c r="M3280" s="16"/>
      <c r="N3280" s="16"/>
      <c r="O3280" s="15"/>
      <c r="P3280" s="15"/>
    </row>
    <row r="3281">
      <c r="A3281" s="15"/>
      <c r="B3281" s="22"/>
      <c r="C3281" s="22"/>
      <c r="D3281" s="22"/>
      <c r="E3281" s="15"/>
      <c r="F3281" s="15"/>
      <c r="G3281" s="15"/>
      <c r="H3281" s="15"/>
      <c r="I3281" s="15"/>
      <c r="J3281" s="15"/>
      <c r="K3281" s="15"/>
      <c r="L3281" s="15"/>
      <c r="M3281" s="16"/>
      <c r="N3281" s="16"/>
      <c r="O3281" s="15"/>
      <c r="P3281" s="15"/>
    </row>
    <row r="3282">
      <c r="A3282" s="15"/>
      <c r="B3282" s="22"/>
      <c r="C3282" s="22"/>
      <c r="D3282" s="22"/>
      <c r="E3282" s="15"/>
      <c r="F3282" s="15"/>
      <c r="G3282" s="15"/>
      <c r="H3282" s="15"/>
      <c r="I3282" s="15"/>
      <c r="J3282" s="15"/>
      <c r="K3282" s="15"/>
      <c r="L3282" s="15"/>
      <c r="M3282" s="16"/>
      <c r="N3282" s="16"/>
      <c r="O3282" s="15"/>
      <c r="P3282" s="15"/>
    </row>
    <row r="3283">
      <c r="A3283" s="15"/>
      <c r="B3283" s="22"/>
      <c r="C3283" s="22"/>
      <c r="D3283" s="22"/>
      <c r="E3283" s="15"/>
      <c r="F3283" s="15"/>
      <c r="G3283" s="15"/>
      <c r="H3283" s="15"/>
      <c r="I3283" s="15"/>
      <c r="J3283" s="15"/>
      <c r="K3283" s="15"/>
      <c r="L3283" s="15"/>
      <c r="M3283" s="16"/>
      <c r="N3283" s="16"/>
      <c r="O3283" s="15"/>
      <c r="P3283" s="15"/>
    </row>
    <row r="3284">
      <c r="A3284" s="15"/>
      <c r="B3284" s="22"/>
      <c r="C3284" s="22"/>
      <c r="D3284" s="22"/>
      <c r="E3284" s="15"/>
      <c r="F3284" s="15"/>
      <c r="G3284" s="15"/>
      <c r="H3284" s="15"/>
      <c r="I3284" s="15"/>
      <c r="J3284" s="15"/>
      <c r="K3284" s="15"/>
      <c r="L3284" s="15"/>
      <c r="M3284" s="16"/>
      <c r="N3284" s="16"/>
      <c r="O3284" s="15"/>
      <c r="P3284" s="15"/>
    </row>
    <row r="3285">
      <c r="A3285" s="15"/>
      <c r="B3285" s="22"/>
      <c r="C3285" s="22"/>
      <c r="D3285" s="22"/>
      <c r="E3285" s="15"/>
      <c r="F3285" s="15"/>
      <c r="G3285" s="15"/>
      <c r="H3285" s="15"/>
      <c r="I3285" s="15"/>
      <c r="J3285" s="15"/>
      <c r="K3285" s="15"/>
      <c r="L3285" s="15"/>
      <c r="M3285" s="16"/>
      <c r="N3285" s="16"/>
      <c r="O3285" s="15"/>
      <c r="P3285" s="15"/>
    </row>
    <row r="3286">
      <c r="A3286" s="15"/>
      <c r="B3286" s="22"/>
      <c r="C3286" s="22"/>
      <c r="D3286" s="22"/>
      <c r="E3286" s="15"/>
      <c r="F3286" s="15"/>
      <c r="G3286" s="15"/>
      <c r="H3286" s="15"/>
      <c r="I3286" s="15"/>
      <c r="J3286" s="15"/>
      <c r="K3286" s="15"/>
      <c r="L3286" s="15"/>
      <c r="M3286" s="16"/>
      <c r="N3286" s="16"/>
      <c r="O3286" s="15"/>
      <c r="P3286" s="15"/>
    </row>
    <row r="3287">
      <c r="A3287" s="15"/>
      <c r="B3287" s="22"/>
      <c r="C3287" s="22"/>
      <c r="D3287" s="22"/>
      <c r="E3287" s="15"/>
      <c r="F3287" s="15"/>
      <c r="G3287" s="15"/>
      <c r="H3287" s="15"/>
      <c r="I3287" s="15"/>
      <c r="J3287" s="15"/>
      <c r="K3287" s="15"/>
      <c r="L3287" s="15"/>
      <c r="M3287" s="16"/>
      <c r="N3287" s="16"/>
      <c r="O3287" s="15"/>
      <c r="P3287" s="15"/>
    </row>
    <row r="3288">
      <c r="A3288" s="15"/>
      <c r="B3288" s="22"/>
      <c r="C3288" s="22"/>
      <c r="D3288" s="22"/>
      <c r="E3288" s="15"/>
      <c r="F3288" s="15"/>
      <c r="G3288" s="15"/>
      <c r="H3288" s="15"/>
      <c r="I3288" s="15"/>
      <c r="J3288" s="15"/>
      <c r="K3288" s="15"/>
      <c r="L3288" s="15"/>
      <c r="M3288" s="16"/>
      <c r="N3288" s="16"/>
      <c r="O3288" s="15"/>
      <c r="P3288" s="15"/>
    </row>
    <row r="3289">
      <c r="A3289" s="15"/>
      <c r="B3289" s="22"/>
      <c r="C3289" s="22"/>
      <c r="D3289" s="22"/>
      <c r="E3289" s="15"/>
      <c r="F3289" s="15"/>
      <c r="G3289" s="15"/>
      <c r="H3289" s="15"/>
      <c r="I3289" s="15"/>
      <c r="J3289" s="15"/>
      <c r="K3289" s="15"/>
      <c r="L3289" s="15"/>
      <c r="M3289" s="16"/>
      <c r="N3289" s="16"/>
      <c r="O3289" s="15"/>
      <c r="P3289" s="15"/>
    </row>
    <row r="3290">
      <c r="A3290" s="15"/>
      <c r="B3290" s="22"/>
      <c r="C3290" s="22"/>
      <c r="D3290" s="22"/>
      <c r="E3290" s="15"/>
      <c r="F3290" s="15"/>
      <c r="G3290" s="15"/>
      <c r="H3290" s="15"/>
      <c r="I3290" s="15"/>
      <c r="J3290" s="15"/>
      <c r="K3290" s="15"/>
      <c r="L3290" s="15"/>
      <c r="M3290" s="16"/>
      <c r="N3290" s="16"/>
      <c r="O3290" s="15"/>
      <c r="P3290" s="15"/>
    </row>
    <row r="3291">
      <c r="A3291" s="15"/>
      <c r="B3291" s="22"/>
      <c r="C3291" s="22"/>
      <c r="D3291" s="22"/>
      <c r="E3291" s="15"/>
      <c r="F3291" s="15"/>
      <c r="G3291" s="15"/>
      <c r="H3291" s="15"/>
      <c r="I3291" s="15"/>
      <c r="J3291" s="15"/>
      <c r="K3291" s="15"/>
      <c r="L3291" s="15"/>
      <c r="M3291" s="16"/>
      <c r="N3291" s="16"/>
      <c r="O3291" s="15"/>
      <c r="P3291" s="15"/>
    </row>
    <row r="3292">
      <c r="A3292" s="15"/>
      <c r="B3292" s="22"/>
      <c r="C3292" s="22"/>
      <c r="D3292" s="22"/>
      <c r="E3292" s="15"/>
      <c r="F3292" s="15"/>
      <c r="G3292" s="15"/>
      <c r="H3292" s="15"/>
      <c r="I3292" s="15"/>
      <c r="J3292" s="15"/>
      <c r="K3292" s="15"/>
      <c r="L3292" s="15"/>
      <c r="M3292" s="16"/>
      <c r="N3292" s="16"/>
      <c r="O3292" s="15"/>
      <c r="P3292" s="15"/>
    </row>
    <row r="3293">
      <c r="A3293" s="15"/>
      <c r="B3293" s="22"/>
      <c r="C3293" s="22"/>
      <c r="D3293" s="22"/>
      <c r="E3293" s="15"/>
      <c r="F3293" s="15"/>
      <c r="G3293" s="15"/>
      <c r="H3293" s="15"/>
      <c r="I3293" s="15"/>
      <c r="J3293" s="15"/>
      <c r="K3293" s="15"/>
      <c r="L3293" s="15"/>
      <c r="M3293" s="16"/>
      <c r="N3293" s="16"/>
      <c r="O3293" s="15"/>
      <c r="P3293" s="15"/>
    </row>
    <row r="3294">
      <c r="A3294" s="15"/>
      <c r="B3294" s="22"/>
      <c r="C3294" s="22"/>
      <c r="D3294" s="22"/>
      <c r="E3294" s="15"/>
      <c r="F3294" s="15"/>
      <c r="G3294" s="15"/>
      <c r="H3294" s="15"/>
      <c r="I3294" s="15"/>
      <c r="J3294" s="15"/>
      <c r="K3294" s="15"/>
      <c r="L3294" s="15"/>
      <c r="M3294" s="16"/>
      <c r="N3294" s="16"/>
      <c r="O3294" s="15"/>
      <c r="P3294" s="15"/>
    </row>
    <row r="3295">
      <c r="A3295" s="15"/>
      <c r="B3295" s="22"/>
      <c r="C3295" s="22"/>
      <c r="D3295" s="22"/>
      <c r="E3295" s="15"/>
      <c r="F3295" s="15"/>
      <c r="G3295" s="15"/>
      <c r="H3295" s="15"/>
      <c r="I3295" s="15"/>
      <c r="J3295" s="15"/>
      <c r="K3295" s="15"/>
      <c r="L3295" s="15"/>
      <c r="M3295" s="16"/>
      <c r="N3295" s="16"/>
      <c r="O3295" s="15"/>
      <c r="P3295" s="15"/>
    </row>
    <row r="3296">
      <c r="A3296" s="15"/>
      <c r="B3296" s="22"/>
      <c r="C3296" s="22"/>
      <c r="D3296" s="22"/>
      <c r="E3296" s="15"/>
      <c r="F3296" s="15"/>
      <c r="G3296" s="15"/>
      <c r="H3296" s="15"/>
      <c r="I3296" s="15"/>
      <c r="J3296" s="15"/>
      <c r="K3296" s="15"/>
      <c r="L3296" s="15"/>
      <c r="M3296" s="16"/>
      <c r="N3296" s="16"/>
      <c r="O3296" s="15"/>
      <c r="P3296" s="15"/>
    </row>
    <row r="3297">
      <c r="A3297" s="15"/>
      <c r="B3297" s="22"/>
      <c r="C3297" s="22"/>
      <c r="D3297" s="22"/>
      <c r="E3297" s="15"/>
      <c r="F3297" s="15"/>
      <c r="G3297" s="15"/>
      <c r="H3297" s="15"/>
      <c r="I3297" s="15"/>
      <c r="J3297" s="15"/>
      <c r="K3297" s="15"/>
      <c r="L3297" s="15"/>
      <c r="M3297" s="16"/>
      <c r="N3297" s="16"/>
      <c r="O3297" s="15"/>
      <c r="P3297" s="15"/>
    </row>
    <row r="3298">
      <c r="A3298" s="15"/>
      <c r="B3298" s="22"/>
      <c r="C3298" s="22"/>
      <c r="D3298" s="22"/>
      <c r="E3298" s="15"/>
      <c r="F3298" s="15"/>
      <c r="G3298" s="15"/>
      <c r="H3298" s="15"/>
      <c r="I3298" s="15"/>
      <c r="J3298" s="15"/>
      <c r="K3298" s="15"/>
      <c r="L3298" s="15"/>
      <c r="M3298" s="16"/>
      <c r="N3298" s="16"/>
      <c r="O3298" s="15"/>
      <c r="P3298" s="15"/>
    </row>
    <row r="3299">
      <c r="A3299" s="15"/>
      <c r="B3299" s="22"/>
      <c r="C3299" s="22"/>
      <c r="D3299" s="22"/>
      <c r="E3299" s="15"/>
      <c r="F3299" s="15"/>
      <c r="G3299" s="15"/>
      <c r="H3299" s="15"/>
      <c r="I3299" s="15"/>
      <c r="J3299" s="15"/>
      <c r="K3299" s="15"/>
      <c r="L3299" s="15"/>
      <c r="M3299" s="16"/>
      <c r="N3299" s="16"/>
      <c r="O3299" s="15"/>
      <c r="P3299" s="15"/>
    </row>
    <row r="3300">
      <c r="A3300" s="15"/>
      <c r="B3300" s="22"/>
      <c r="C3300" s="22"/>
      <c r="D3300" s="22"/>
      <c r="E3300" s="15"/>
      <c r="F3300" s="15"/>
      <c r="G3300" s="15"/>
      <c r="H3300" s="15"/>
      <c r="I3300" s="15"/>
      <c r="J3300" s="15"/>
      <c r="K3300" s="15"/>
      <c r="L3300" s="15"/>
      <c r="M3300" s="16"/>
      <c r="N3300" s="16"/>
      <c r="O3300" s="15"/>
      <c r="P3300" s="15"/>
    </row>
    <row r="3301">
      <c r="A3301" s="15"/>
      <c r="B3301" s="22"/>
      <c r="C3301" s="22"/>
      <c r="D3301" s="22"/>
      <c r="E3301" s="15"/>
      <c r="F3301" s="15"/>
      <c r="G3301" s="15"/>
      <c r="H3301" s="15"/>
      <c r="I3301" s="15"/>
      <c r="J3301" s="15"/>
      <c r="K3301" s="15"/>
      <c r="L3301" s="15"/>
      <c r="M3301" s="16"/>
      <c r="N3301" s="16"/>
      <c r="O3301" s="15"/>
      <c r="P3301" s="15"/>
    </row>
    <row r="3302">
      <c r="A3302" s="15"/>
      <c r="B3302" s="22"/>
      <c r="C3302" s="22"/>
      <c r="D3302" s="22"/>
      <c r="E3302" s="15"/>
      <c r="F3302" s="15"/>
      <c r="G3302" s="15"/>
      <c r="H3302" s="15"/>
      <c r="I3302" s="15"/>
      <c r="J3302" s="15"/>
      <c r="K3302" s="15"/>
      <c r="L3302" s="15"/>
      <c r="M3302" s="16"/>
      <c r="N3302" s="16"/>
      <c r="O3302" s="15"/>
      <c r="P3302" s="15"/>
    </row>
    <row r="3303">
      <c r="A3303" s="15"/>
      <c r="B3303" s="22"/>
      <c r="C3303" s="22"/>
      <c r="D3303" s="22"/>
      <c r="E3303" s="15"/>
      <c r="F3303" s="15"/>
      <c r="G3303" s="15"/>
      <c r="H3303" s="15"/>
      <c r="I3303" s="15"/>
      <c r="J3303" s="15"/>
      <c r="K3303" s="15"/>
      <c r="L3303" s="15"/>
      <c r="M3303" s="16"/>
      <c r="N3303" s="16"/>
      <c r="O3303" s="15"/>
      <c r="P3303" s="15"/>
    </row>
    <row r="3304">
      <c r="A3304" s="15"/>
      <c r="B3304" s="22"/>
      <c r="C3304" s="22"/>
      <c r="D3304" s="22"/>
      <c r="E3304" s="15"/>
      <c r="F3304" s="15"/>
      <c r="G3304" s="15"/>
      <c r="H3304" s="15"/>
      <c r="I3304" s="15"/>
      <c r="J3304" s="15"/>
      <c r="K3304" s="15"/>
      <c r="L3304" s="15"/>
      <c r="M3304" s="16"/>
      <c r="N3304" s="16"/>
      <c r="O3304" s="15"/>
      <c r="P3304" s="15"/>
    </row>
    <row r="3305">
      <c r="A3305" s="15"/>
      <c r="B3305" s="22"/>
      <c r="C3305" s="22"/>
      <c r="D3305" s="22"/>
      <c r="E3305" s="15"/>
      <c r="F3305" s="15"/>
      <c r="G3305" s="15"/>
      <c r="H3305" s="15"/>
      <c r="I3305" s="15"/>
      <c r="J3305" s="15"/>
      <c r="K3305" s="15"/>
      <c r="L3305" s="15"/>
      <c r="M3305" s="16"/>
      <c r="N3305" s="16"/>
      <c r="O3305" s="15"/>
      <c r="P3305" s="15"/>
    </row>
    <row r="3306">
      <c r="A3306" s="15"/>
      <c r="B3306" s="22"/>
      <c r="C3306" s="22"/>
      <c r="D3306" s="22"/>
      <c r="E3306" s="15"/>
      <c r="F3306" s="15"/>
      <c r="G3306" s="15"/>
      <c r="H3306" s="15"/>
      <c r="I3306" s="15"/>
      <c r="J3306" s="15"/>
      <c r="K3306" s="15"/>
      <c r="L3306" s="15"/>
      <c r="M3306" s="16"/>
      <c r="N3306" s="16"/>
      <c r="O3306" s="15"/>
      <c r="P3306" s="15"/>
    </row>
    <row r="3307">
      <c r="A3307" s="15"/>
      <c r="B3307" s="22"/>
      <c r="C3307" s="22"/>
      <c r="D3307" s="22"/>
      <c r="E3307" s="15"/>
      <c r="F3307" s="15"/>
      <c r="G3307" s="15"/>
      <c r="H3307" s="15"/>
      <c r="I3307" s="15"/>
      <c r="J3307" s="15"/>
      <c r="K3307" s="15"/>
      <c r="L3307" s="15"/>
      <c r="M3307" s="16"/>
      <c r="N3307" s="16"/>
      <c r="O3307" s="15"/>
      <c r="P3307" s="15"/>
    </row>
    <row r="3308">
      <c r="A3308" s="15"/>
      <c r="B3308" s="22"/>
      <c r="C3308" s="22"/>
      <c r="D3308" s="22"/>
      <c r="E3308" s="15"/>
      <c r="F3308" s="15"/>
      <c r="G3308" s="15"/>
      <c r="H3308" s="15"/>
      <c r="I3308" s="15"/>
      <c r="J3308" s="15"/>
      <c r="K3308" s="15"/>
      <c r="L3308" s="15"/>
      <c r="M3308" s="16"/>
      <c r="N3308" s="16"/>
      <c r="O3308" s="15"/>
      <c r="P3308" s="15"/>
    </row>
    <row r="3309">
      <c r="A3309" s="15"/>
      <c r="B3309" s="22"/>
      <c r="C3309" s="22"/>
      <c r="D3309" s="22"/>
      <c r="E3309" s="15"/>
      <c r="F3309" s="15"/>
      <c r="G3309" s="15"/>
      <c r="H3309" s="15"/>
      <c r="I3309" s="15"/>
      <c r="J3309" s="15"/>
      <c r="K3309" s="15"/>
      <c r="L3309" s="15"/>
      <c r="M3309" s="16"/>
      <c r="N3309" s="16"/>
      <c r="O3309" s="15"/>
      <c r="P3309" s="15"/>
    </row>
    <row r="3310">
      <c r="A3310" s="15"/>
      <c r="B3310" s="22"/>
      <c r="C3310" s="22"/>
      <c r="D3310" s="22"/>
      <c r="E3310" s="15"/>
      <c r="F3310" s="15"/>
      <c r="G3310" s="15"/>
      <c r="H3310" s="15"/>
      <c r="I3310" s="15"/>
      <c r="J3310" s="15"/>
      <c r="K3310" s="15"/>
      <c r="L3310" s="15"/>
      <c r="M3310" s="16"/>
      <c r="N3310" s="16"/>
      <c r="O3310" s="15"/>
      <c r="P3310" s="15"/>
    </row>
    <row r="3311">
      <c r="A3311" s="15"/>
      <c r="B3311" s="22"/>
      <c r="C3311" s="22"/>
      <c r="D3311" s="22"/>
      <c r="E3311" s="15"/>
      <c r="F3311" s="15"/>
      <c r="G3311" s="15"/>
      <c r="H3311" s="15"/>
      <c r="I3311" s="15"/>
      <c r="J3311" s="15"/>
      <c r="K3311" s="15"/>
      <c r="L3311" s="15"/>
      <c r="M3311" s="16"/>
      <c r="N3311" s="16"/>
      <c r="O3311" s="15"/>
      <c r="P3311" s="15"/>
    </row>
    <row r="3312">
      <c r="A3312" s="15"/>
      <c r="B3312" s="22"/>
      <c r="C3312" s="22"/>
      <c r="D3312" s="22"/>
      <c r="E3312" s="15"/>
      <c r="F3312" s="15"/>
      <c r="G3312" s="15"/>
      <c r="H3312" s="15"/>
      <c r="I3312" s="15"/>
      <c r="J3312" s="15"/>
      <c r="K3312" s="15"/>
      <c r="L3312" s="15"/>
      <c r="M3312" s="16"/>
      <c r="N3312" s="16"/>
      <c r="O3312" s="15"/>
      <c r="P3312" s="15"/>
    </row>
    <row r="3313">
      <c r="A3313" s="15"/>
      <c r="B3313" s="22"/>
      <c r="C3313" s="22"/>
      <c r="D3313" s="22"/>
      <c r="E3313" s="15"/>
      <c r="F3313" s="15"/>
      <c r="G3313" s="15"/>
      <c r="H3313" s="15"/>
      <c r="I3313" s="15"/>
      <c r="J3313" s="15"/>
      <c r="K3313" s="15"/>
      <c r="L3313" s="15"/>
      <c r="M3313" s="16"/>
      <c r="N3313" s="16"/>
      <c r="O3313" s="15"/>
      <c r="P3313" s="15"/>
    </row>
    <row r="3314">
      <c r="A3314" s="15"/>
      <c r="B3314" s="22"/>
      <c r="C3314" s="22"/>
      <c r="D3314" s="22"/>
      <c r="E3314" s="15"/>
      <c r="F3314" s="15"/>
      <c r="G3314" s="15"/>
      <c r="H3314" s="15"/>
      <c r="I3314" s="15"/>
      <c r="J3314" s="15"/>
      <c r="K3314" s="15"/>
      <c r="L3314" s="15"/>
      <c r="M3314" s="16"/>
      <c r="N3314" s="16"/>
      <c r="O3314" s="15"/>
      <c r="P3314" s="15"/>
    </row>
    <row r="3315">
      <c r="A3315" s="15"/>
      <c r="B3315" s="22"/>
      <c r="C3315" s="22"/>
      <c r="D3315" s="22"/>
      <c r="E3315" s="15"/>
      <c r="F3315" s="15"/>
      <c r="G3315" s="15"/>
      <c r="H3315" s="15"/>
      <c r="I3315" s="15"/>
      <c r="J3315" s="15"/>
      <c r="K3315" s="15"/>
      <c r="L3315" s="15"/>
      <c r="M3315" s="16"/>
      <c r="N3315" s="16"/>
      <c r="O3315" s="15"/>
      <c r="P3315" s="15"/>
    </row>
    <row r="3316">
      <c r="A3316" s="15"/>
      <c r="B3316" s="22"/>
      <c r="C3316" s="22"/>
      <c r="D3316" s="22"/>
      <c r="E3316" s="15"/>
      <c r="F3316" s="15"/>
      <c r="G3316" s="15"/>
      <c r="H3316" s="15"/>
      <c r="I3316" s="15"/>
      <c r="J3316" s="15"/>
      <c r="K3316" s="15"/>
      <c r="L3316" s="15"/>
      <c r="M3316" s="16"/>
      <c r="N3316" s="16"/>
      <c r="O3316" s="15"/>
      <c r="P3316" s="15"/>
    </row>
    <row r="3317">
      <c r="A3317" s="15"/>
      <c r="B3317" s="22"/>
      <c r="C3317" s="22"/>
      <c r="D3317" s="22"/>
      <c r="E3317" s="15"/>
      <c r="F3317" s="15"/>
      <c r="G3317" s="15"/>
      <c r="H3317" s="15"/>
      <c r="I3317" s="15"/>
      <c r="J3317" s="15"/>
      <c r="K3317" s="15"/>
      <c r="L3317" s="15"/>
      <c r="M3317" s="16"/>
      <c r="N3317" s="16"/>
      <c r="O3317" s="15"/>
      <c r="P3317" s="15"/>
    </row>
    <row r="3318">
      <c r="A3318" s="15"/>
      <c r="B3318" s="22"/>
      <c r="C3318" s="22"/>
      <c r="D3318" s="22"/>
      <c r="E3318" s="15"/>
      <c r="F3318" s="15"/>
      <c r="G3318" s="15"/>
      <c r="H3318" s="15"/>
      <c r="I3318" s="15"/>
      <c r="J3318" s="15"/>
      <c r="K3318" s="15"/>
      <c r="L3318" s="15"/>
      <c r="M3318" s="16"/>
      <c r="N3318" s="16"/>
      <c r="O3318" s="15"/>
      <c r="P3318" s="15"/>
    </row>
    <row r="3319">
      <c r="A3319" s="15"/>
      <c r="B3319" s="22"/>
      <c r="C3319" s="22"/>
      <c r="D3319" s="22"/>
      <c r="E3319" s="15"/>
      <c r="F3319" s="15"/>
      <c r="G3319" s="15"/>
      <c r="H3319" s="15"/>
      <c r="I3319" s="15"/>
      <c r="J3319" s="15"/>
      <c r="K3319" s="15"/>
      <c r="L3319" s="15"/>
      <c r="M3319" s="16"/>
      <c r="N3319" s="16"/>
      <c r="O3319" s="15"/>
      <c r="P3319" s="15"/>
    </row>
    <row r="3320">
      <c r="A3320" s="15"/>
      <c r="B3320" s="22"/>
      <c r="C3320" s="22"/>
      <c r="D3320" s="22"/>
      <c r="E3320" s="15"/>
      <c r="F3320" s="15"/>
      <c r="G3320" s="15"/>
      <c r="H3320" s="15"/>
      <c r="I3320" s="15"/>
      <c r="J3320" s="15"/>
      <c r="K3320" s="15"/>
      <c r="L3320" s="15"/>
      <c r="M3320" s="16"/>
      <c r="N3320" s="16"/>
      <c r="O3320" s="15"/>
      <c r="P3320" s="15"/>
    </row>
    <row r="3321">
      <c r="A3321" s="15"/>
      <c r="B3321" s="22"/>
      <c r="C3321" s="22"/>
      <c r="D3321" s="22"/>
      <c r="E3321" s="15"/>
      <c r="F3321" s="15"/>
      <c r="G3321" s="15"/>
      <c r="H3321" s="15"/>
      <c r="I3321" s="15"/>
      <c r="J3321" s="15"/>
      <c r="K3321" s="15"/>
      <c r="L3321" s="15"/>
      <c r="M3321" s="16"/>
      <c r="N3321" s="16"/>
      <c r="O3321" s="15"/>
      <c r="P3321" s="15"/>
    </row>
    <row r="3322">
      <c r="A3322" s="15"/>
      <c r="B3322" s="22"/>
      <c r="C3322" s="22"/>
      <c r="D3322" s="22"/>
      <c r="E3322" s="15"/>
      <c r="F3322" s="15"/>
      <c r="G3322" s="15"/>
      <c r="H3322" s="15"/>
      <c r="I3322" s="15"/>
      <c r="J3322" s="15"/>
      <c r="K3322" s="15"/>
      <c r="L3322" s="15"/>
      <c r="M3322" s="16"/>
      <c r="N3322" s="16"/>
      <c r="O3322" s="15"/>
      <c r="P3322" s="15"/>
    </row>
    <row r="3323">
      <c r="A3323" s="15"/>
      <c r="B3323" s="22"/>
      <c r="C3323" s="22"/>
      <c r="D3323" s="22"/>
      <c r="E3323" s="15"/>
      <c r="F3323" s="15"/>
      <c r="G3323" s="15"/>
      <c r="H3323" s="15"/>
      <c r="I3323" s="15"/>
      <c r="J3323" s="15"/>
      <c r="K3323" s="15"/>
      <c r="L3323" s="15"/>
      <c r="M3323" s="16"/>
      <c r="N3323" s="16"/>
      <c r="O3323" s="15"/>
      <c r="P3323" s="15"/>
    </row>
    <row r="3324">
      <c r="A3324" s="15"/>
      <c r="B3324" s="22"/>
      <c r="C3324" s="22"/>
      <c r="D3324" s="22"/>
      <c r="E3324" s="15"/>
      <c r="F3324" s="15"/>
      <c r="G3324" s="15"/>
      <c r="H3324" s="15"/>
      <c r="I3324" s="15"/>
      <c r="J3324" s="15"/>
      <c r="K3324" s="15"/>
      <c r="L3324" s="15"/>
      <c r="M3324" s="16"/>
      <c r="N3324" s="16"/>
      <c r="O3324" s="15"/>
      <c r="P3324" s="15"/>
    </row>
    <row r="3325">
      <c r="A3325" s="15"/>
      <c r="B3325" s="22"/>
      <c r="C3325" s="22"/>
      <c r="D3325" s="22"/>
      <c r="E3325" s="15"/>
      <c r="F3325" s="15"/>
      <c r="G3325" s="15"/>
      <c r="H3325" s="15"/>
      <c r="I3325" s="15"/>
      <c r="J3325" s="15"/>
      <c r="K3325" s="15"/>
      <c r="L3325" s="15"/>
      <c r="M3325" s="16"/>
      <c r="N3325" s="16"/>
      <c r="O3325" s="15"/>
      <c r="P3325" s="15"/>
    </row>
    <row r="3326">
      <c r="A3326" s="15"/>
      <c r="B3326" s="22"/>
      <c r="C3326" s="22"/>
      <c r="D3326" s="22"/>
      <c r="E3326" s="15"/>
      <c r="F3326" s="15"/>
      <c r="G3326" s="15"/>
      <c r="H3326" s="15"/>
      <c r="I3326" s="15"/>
      <c r="J3326" s="15"/>
      <c r="K3326" s="15"/>
      <c r="L3326" s="15"/>
      <c r="M3326" s="16"/>
      <c r="N3326" s="16"/>
      <c r="O3326" s="15"/>
      <c r="P3326" s="15"/>
    </row>
    <row r="3327">
      <c r="A3327" s="15"/>
      <c r="B3327" s="22"/>
      <c r="C3327" s="22"/>
      <c r="D3327" s="22"/>
      <c r="E3327" s="15"/>
      <c r="F3327" s="15"/>
      <c r="G3327" s="15"/>
      <c r="H3327" s="15"/>
      <c r="I3327" s="15"/>
      <c r="J3327" s="15"/>
      <c r="K3327" s="15"/>
      <c r="L3327" s="15"/>
      <c r="M3327" s="16"/>
      <c r="N3327" s="16"/>
      <c r="O3327" s="15"/>
      <c r="P3327" s="15"/>
    </row>
    <row r="3328">
      <c r="A3328" s="15"/>
      <c r="B3328" s="22"/>
      <c r="C3328" s="22"/>
      <c r="D3328" s="22"/>
      <c r="E3328" s="15"/>
      <c r="F3328" s="15"/>
      <c r="G3328" s="15"/>
      <c r="H3328" s="15"/>
      <c r="I3328" s="15"/>
      <c r="J3328" s="15"/>
      <c r="K3328" s="15"/>
      <c r="L3328" s="15"/>
      <c r="M3328" s="16"/>
      <c r="N3328" s="16"/>
      <c r="O3328" s="15"/>
      <c r="P3328" s="15"/>
    </row>
    <row r="3329">
      <c r="A3329" s="15"/>
      <c r="B3329" s="22"/>
      <c r="C3329" s="22"/>
      <c r="D3329" s="22"/>
      <c r="E3329" s="15"/>
      <c r="F3329" s="15"/>
      <c r="G3329" s="15"/>
      <c r="H3329" s="15"/>
      <c r="I3329" s="15"/>
      <c r="J3329" s="15"/>
      <c r="K3329" s="15"/>
      <c r="L3329" s="15"/>
      <c r="M3329" s="16"/>
      <c r="N3329" s="16"/>
      <c r="O3329" s="15"/>
      <c r="P3329" s="15"/>
    </row>
    <row r="3330">
      <c r="A3330" s="15"/>
      <c r="B3330" s="22"/>
      <c r="C3330" s="22"/>
      <c r="D3330" s="22"/>
      <c r="E3330" s="15"/>
      <c r="F3330" s="15"/>
      <c r="G3330" s="15"/>
      <c r="H3330" s="15"/>
      <c r="I3330" s="15"/>
      <c r="J3330" s="15"/>
      <c r="K3330" s="15"/>
      <c r="L3330" s="15"/>
      <c r="M3330" s="16"/>
      <c r="N3330" s="16"/>
      <c r="O3330" s="15"/>
      <c r="P3330" s="15"/>
    </row>
    <row r="3331">
      <c r="A3331" s="15"/>
      <c r="B3331" s="22"/>
      <c r="C3331" s="22"/>
      <c r="D3331" s="22"/>
      <c r="E3331" s="15"/>
      <c r="F3331" s="15"/>
      <c r="G3331" s="15"/>
      <c r="H3331" s="15"/>
      <c r="I3331" s="15"/>
      <c r="J3331" s="15"/>
      <c r="K3331" s="15"/>
      <c r="L3331" s="15"/>
      <c r="M3331" s="16"/>
      <c r="N3331" s="16"/>
      <c r="O3331" s="15"/>
      <c r="P3331" s="15"/>
    </row>
    <row r="3332">
      <c r="A3332" s="15"/>
      <c r="B3332" s="22"/>
      <c r="C3332" s="22"/>
      <c r="D3332" s="22"/>
      <c r="E3332" s="15"/>
      <c r="F3332" s="15"/>
      <c r="G3332" s="15"/>
      <c r="H3332" s="15"/>
      <c r="I3332" s="15"/>
      <c r="J3332" s="15"/>
      <c r="K3332" s="15"/>
      <c r="L3332" s="15"/>
      <c r="M3332" s="16"/>
      <c r="N3332" s="16"/>
      <c r="O3332" s="15"/>
      <c r="P3332" s="15"/>
    </row>
    <row r="3333">
      <c r="A3333" s="15"/>
      <c r="B3333" s="22"/>
      <c r="C3333" s="22"/>
      <c r="D3333" s="22"/>
      <c r="E3333" s="15"/>
      <c r="F3333" s="15"/>
      <c r="G3333" s="15"/>
      <c r="H3333" s="15"/>
      <c r="I3333" s="15"/>
      <c r="J3333" s="15"/>
      <c r="K3333" s="15"/>
      <c r="L3333" s="15"/>
      <c r="M3333" s="16"/>
      <c r="N3333" s="16"/>
      <c r="O3333" s="15"/>
      <c r="P3333" s="15"/>
    </row>
    <row r="3334">
      <c r="A3334" s="15"/>
      <c r="B3334" s="22"/>
      <c r="C3334" s="22"/>
      <c r="D3334" s="22"/>
      <c r="E3334" s="15"/>
      <c r="F3334" s="15"/>
      <c r="G3334" s="15"/>
      <c r="H3334" s="15"/>
      <c r="I3334" s="15"/>
      <c r="J3334" s="15"/>
      <c r="K3334" s="15"/>
      <c r="L3334" s="15"/>
      <c r="M3334" s="16"/>
      <c r="N3334" s="16"/>
      <c r="O3334" s="15"/>
      <c r="P3334" s="15"/>
    </row>
    <row r="3335">
      <c r="A3335" s="15"/>
      <c r="B3335" s="22"/>
      <c r="C3335" s="22"/>
      <c r="D3335" s="22"/>
      <c r="E3335" s="15"/>
      <c r="F3335" s="15"/>
      <c r="G3335" s="15"/>
      <c r="H3335" s="15"/>
      <c r="I3335" s="15"/>
      <c r="J3335" s="15"/>
      <c r="K3335" s="15"/>
      <c r="L3335" s="15"/>
      <c r="M3335" s="16"/>
      <c r="N3335" s="16"/>
      <c r="O3335" s="15"/>
      <c r="P3335" s="15"/>
    </row>
    <row r="3336">
      <c r="A3336" s="15"/>
      <c r="B3336" s="22"/>
      <c r="C3336" s="22"/>
      <c r="D3336" s="22"/>
      <c r="E3336" s="15"/>
      <c r="F3336" s="15"/>
      <c r="G3336" s="15"/>
      <c r="H3336" s="15"/>
      <c r="I3336" s="15"/>
      <c r="J3336" s="15"/>
      <c r="K3336" s="15"/>
      <c r="L3336" s="15"/>
      <c r="M3336" s="16"/>
      <c r="N3336" s="16"/>
      <c r="O3336" s="15"/>
      <c r="P3336" s="15"/>
    </row>
    <row r="3337">
      <c r="A3337" s="15"/>
      <c r="B3337" s="22"/>
      <c r="C3337" s="22"/>
      <c r="D3337" s="22"/>
      <c r="E3337" s="15"/>
      <c r="F3337" s="15"/>
      <c r="G3337" s="15"/>
      <c r="H3337" s="15"/>
      <c r="I3337" s="15"/>
      <c r="J3337" s="15"/>
      <c r="K3337" s="15"/>
      <c r="L3337" s="15"/>
      <c r="M3337" s="16"/>
      <c r="N3337" s="16"/>
      <c r="O3337" s="15"/>
      <c r="P3337" s="15"/>
    </row>
    <row r="3338">
      <c r="A3338" s="15"/>
      <c r="B3338" s="22"/>
      <c r="C3338" s="22"/>
      <c r="D3338" s="22"/>
      <c r="E3338" s="15"/>
      <c r="F3338" s="15"/>
      <c r="G3338" s="15"/>
      <c r="H3338" s="15"/>
      <c r="I3338" s="15"/>
      <c r="J3338" s="15"/>
      <c r="K3338" s="15"/>
      <c r="L3338" s="15"/>
      <c r="M3338" s="16"/>
      <c r="N3338" s="16"/>
      <c r="O3338" s="15"/>
      <c r="P3338" s="15"/>
    </row>
    <row r="3339">
      <c r="A3339" s="15"/>
      <c r="B3339" s="22"/>
      <c r="C3339" s="22"/>
      <c r="D3339" s="22"/>
      <c r="E3339" s="15"/>
      <c r="F3339" s="15"/>
      <c r="G3339" s="15"/>
      <c r="H3339" s="15"/>
      <c r="I3339" s="15"/>
      <c r="J3339" s="15"/>
      <c r="K3339" s="15"/>
      <c r="L3339" s="15"/>
      <c r="M3339" s="16"/>
      <c r="N3339" s="16"/>
      <c r="O3339" s="15"/>
      <c r="P3339" s="15"/>
    </row>
    <row r="3340">
      <c r="A3340" s="15"/>
      <c r="B3340" s="22"/>
      <c r="C3340" s="22"/>
      <c r="D3340" s="22"/>
      <c r="E3340" s="15"/>
      <c r="F3340" s="15"/>
      <c r="G3340" s="15"/>
      <c r="H3340" s="15"/>
      <c r="I3340" s="15"/>
      <c r="J3340" s="15"/>
      <c r="K3340" s="15"/>
      <c r="L3340" s="15"/>
      <c r="M3340" s="16"/>
      <c r="N3340" s="16"/>
      <c r="O3340" s="15"/>
      <c r="P3340" s="15"/>
    </row>
    <row r="3341">
      <c r="A3341" s="15"/>
      <c r="B3341" s="22"/>
      <c r="C3341" s="22"/>
      <c r="D3341" s="22"/>
      <c r="E3341" s="15"/>
      <c r="F3341" s="15"/>
      <c r="G3341" s="15"/>
      <c r="H3341" s="15"/>
      <c r="I3341" s="15"/>
      <c r="J3341" s="15"/>
      <c r="K3341" s="15"/>
      <c r="L3341" s="15"/>
      <c r="M3341" s="16"/>
      <c r="N3341" s="16"/>
      <c r="O3341" s="15"/>
      <c r="P3341" s="15"/>
    </row>
    <row r="3342">
      <c r="A3342" s="15"/>
      <c r="B3342" s="22"/>
      <c r="C3342" s="22"/>
      <c r="D3342" s="22"/>
      <c r="E3342" s="15"/>
      <c r="F3342" s="15"/>
      <c r="G3342" s="15"/>
      <c r="H3342" s="15"/>
      <c r="I3342" s="15"/>
      <c r="J3342" s="15"/>
      <c r="K3342" s="15"/>
      <c r="L3342" s="15"/>
      <c r="M3342" s="16"/>
      <c r="N3342" s="16"/>
      <c r="O3342" s="15"/>
      <c r="P3342" s="15"/>
    </row>
    <row r="3343">
      <c r="A3343" s="15"/>
      <c r="B3343" s="22"/>
      <c r="C3343" s="22"/>
      <c r="D3343" s="22"/>
      <c r="E3343" s="15"/>
      <c r="F3343" s="15"/>
      <c r="G3343" s="15"/>
      <c r="H3343" s="15"/>
      <c r="I3343" s="15"/>
      <c r="J3343" s="15"/>
      <c r="K3343" s="15"/>
      <c r="L3343" s="15"/>
      <c r="M3343" s="16"/>
      <c r="N3343" s="16"/>
      <c r="O3343" s="15"/>
      <c r="P3343" s="15"/>
    </row>
    <row r="3344">
      <c r="A3344" s="15"/>
      <c r="B3344" s="22"/>
      <c r="C3344" s="22"/>
      <c r="D3344" s="22"/>
      <c r="E3344" s="15"/>
      <c r="F3344" s="15"/>
      <c r="G3344" s="15"/>
      <c r="H3344" s="15"/>
      <c r="I3344" s="15"/>
      <c r="J3344" s="15"/>
      <c r="K3344" s="15"/>
      <c r="L3344" s="15"/>
      <c r="M3344" s="16"/>
      <c r="N3344" s="16"/>
      <c r="O3344" s="15"/>
      <c r="P3344" s="15"/>
    </row>
    <row r="3345">
      <c r="A3345" s="15"/>
      <c r="B3345" s="22"/>
      <c r="C3345" s="22"/>
      <c r="D3345" s="22"/>
      <c r="E3345" s="15"/>
      <c r="F3345" s="15"/>
      <c r="G3345" s="15"/>
      <c r="H3345" s="15"/>
      <c r="I3345" s="15"/>
      <c r="J3345" s="15"/>
      <c r="K3345" s="15"/>
      <c r="L3345" s="15"/>
      <c r="M3345" s="16"/>
      <c r="N3345" s="16"/>
      <c r="O3345" s="15"/>
      <c r="P3345" s="15"/>
    </row>
    <row r="3346">
      <c r="A3346" s="15"/>
      <c r="B3346" s="22"/>
      <c r="C3346" s="22"/>
      <c r="D3346" s="22"/>
      <c r="E3346" s="15"/>
      <c r="F3346" s="15"/>
      <c r="G3346" s="15"/>
      <c r="H3346" s="15"/>
      <c r="I3346" s="15"/>
      <c r="J3346" s="15"/>
      <c r="K3346" s="15"/>
      <c r="L3346" s="15"/>
      <c r="M3346" s="16"/>
      <c r="N3346" s="16"/>
      <c r="O3346" s="15"/>
      <c r="P3346" s="15"/>
    </row>
    <row r="3347">
      <c r="A3347" s="15"/>
      <c r="B3347" s="22"/>
      <c r="C3347" s="22"/>
      <c r="D3347" s="22"/>
      <c r="E3347" s="15"/>
      <c r="F3347" s="15"/>
      <c r="G3347" s="15"/>
      <c r="H3347" s="15"/>
      <c r="I3347" s="15"/>
      <c r="J3347" s="15"/>
      <c r="K3347" s="15"/>
      <c r="L3347" s="15"/>
      <c r="M3347" s="16"/>
      <c r="N3347" s="16"/>
      <c r="O3347" s="15"/>
      <c r="P3347" s="15"/>
    </row>
    <row r="3348">
      <c r="A3348" s="15"/>
      <c r="B3348" s="22"/>
      <c r="C3348" s="22"/>
      <c r="D3348" s="22"/>
      <c r="E3348" s="15"/>
      <c r="F3348" s="15"/>
      <c r="G3348" s="15"/>
      <c r="H3348" s="15"/>
      <c r="I3348" s="15"/>
      <c r="J3348" s="15"/>
      <c r="K3348" s="15"/>
      <c r="L3348" s="15"/>
      <c r="M3348" s="16"/>
      <c r="N3348" s="16"/>
      <c r="O3348" s="15"/>
      <c r="P3348" s="15"/>
    </row>
    <row r="3349">
      <c r="A3349" s="15"/>
      <c r="B3349" s="22"/>
      <c r="C3349" s="22"/>
      <c r="D3349" s="22"/>
      <c r="E3349" s="15"/>
      <c r="F3349" s="15"/>
      <c r="G3349" s="15"/>
      <c r="H3349" s="15"/>
      <c r="I3349" s="15"/>
      <c r="J3349" s="15"/>
      <c r="K3349" s="15"/>
      <c r="L3349" s="15"/>
      <c r="M3349" s="16"/>
      <c r="N3349" s="16"/>
      <c r="O3349" s="15"/>
      <c r="P3349" s="15"/>
    </row>
    <row r="3350">
      <c r="A3350" s="15"/>
      <c r="B3350" s="22"/>
      <c r="C3350" s="22"/>
      <c r="D3350" s="22"/>
      <c r="E3350" s="15"/>
      <c r="F3350" s="15"/>
      <c r="G3350" s="15"/>
      <c r="H3350" s="15"/>
      <c r="I3350" s="15"/>
      <c r="J3350" s="15"/>
      <c r="K3350" s="15"/>
      <c r="L3350" s="15"/>
      <c r="M3350" s="16"/>
      <c r="N3350" s="16"/>
      <c r="O3350" s="15"/>
      <c r="P3350" s="15"/>
    </row>
    <row r="3351">
      <c r="A3351" s="15"/>
      <c r="B3351" s="22"/>
      <c r="C3351" s="22"/>
      <c r="D3351" s="22"/>
      <c r="E3351" s="15"/>
      <c r="F3351" s="15"/>
      <c r="G3351" s="15"/>
      <c r="H3351" s="15"/>
      <c r="I3351" s="15"/>
      <c r="J3351" s="15"/>
      <c r="K3351" s="15"/>
      <c r="L3351" s="15"/>
      <c r="M3351" s="16"/>
      <c r="N3351" s="16"/>
      <c r="O3351" s="15"/>
      <c r="P3351" s="15"/>
    </row>
    <row r="3352">
      <c r="A3352" s="15"/>
      <c r="B3352" s="22"/>
      <c r="C3352" s="22"/>
      <c r="D3352" s="22"/>
      <c r="E3352" s="15"/>
      <c r="F3352" s="15"/>
      <c r="G3352" s="15"/>
      <c r="H3352" s="15"/>
      <c r="I3352" s="15"/>
      <c r="J3352" s="15"/>
      <c r="K3352" s="15"/>
      <c r="L3352" s="15"/>
      <c r="M3352" s="16"/>
      <c r="N3352" s="16"/>
      <c r="O3352" s="15"/>
      <c r="P3352" s="15"/>
    </row>
    <row r="3353">
      <c r="A3353" s="15"/>
      <c r="B3353" s="22"/>
      <c r="C3353" s="22"/>
      <c r="D3353" s="22"/>
      <c r="E3353" s="15"/>
      <c r="F3353" s="15"/>
      <c r="G3353" s="15"/>
      <c r="H3353" s="15"/>
      <c r="I3353" s="15"/>
      <c r="J3353" s="15"/>
      <c r="K3353" s="15"/>
      <c r="L3353" s="15"/>
      <c r="M3353" s="16"/>
      <c r="N3353" s="16"/>
      <c r="O3353" s="15"/>
      <c r="P3353" s="15"/>
    </row>
    <row r="3354">
      <c r="A3354" s="15"/>
      <c r="B3354" s="22"/>
      <c r="C3354" s="22"/>
      <c r="D3354" s="22"/>
      <c r="E3354" s="15"/>
      <c r="F3354" s="15"/>
      <c r="G3354" s="15"/>
      <c r="H3354" s="15"/>
      <c r="I3354" s="15"/>
      <c r="J3354" s="15"/>
      <c r="K3354" s="15"/>
      <c r="L3354" s="15"/>
      <c r="M3354" s="16"/>
      <c r="N3354" s="16"/>
      <c r="O3354" s="15"/>
      <c r="P3354" s="15"/>
    </row>
    <row r="3355">
      <c r="A3355" s="15"/>
      <c r="B3355" s="22"/>
      <c r="C3355" s="22"/>
      <c r="D3355" s="22"/>
      <c r="E3355" s="15"/>
      <c r="F3355" s="15"/>
      <c r="G3355" s="15"/>
      <c r="H3355" s="15"/>
      <c r="I3355" s="15"/>
      <c r="J3355" s="15"/>
      <c r="K3355" s="15"/>
      <c r="L3355" s="15"/>
      <c r="M3355" s="16"/>
      <c r="N3355" s="16"/>
      <c r="O3355" s="15"/>
      <c r="P3355" s="15"/>
    </row>
    <row r="3356">
      <c r="A3356" s="15"/>
      <c r="B3356" s="22"/>
      <c r="C3356" s="22"/>
      <c r="D3356" s="22"/>
      <c r="E3356" s="15"/>
      <c r="F3356" s="15"/>
      <c r="G3356" s="15"/>
      <c r="H3356" s="15"/>
      <c r="I3356" s="15"/>
      <c r="J3356" s="15"/>
      <c r="K3356" s="15"/>
      <c r="L3356" s="15"/>
      <c r="M3356" s="16"/>
      <c r="N3356" s="16"/>
      <c r="O3356" s="15"/>
      <c r="P3356" s="15"/>
    </row>
    <row r="3357">
      <c r="A3357" s="15"/>
      <c r="B3357" s="22"/>
      <c r="C3357" s="22"/>
      <c r="D3357" s="22"/>
      <c r="E3357" s="15"/>
      <c r="F3357" s="15"/>
      <c r="G3357" s="15"/>
      <c r="H3357" s="15"/>
      <c r="I3357" s="15"/>
      <c r="J3357" s="15"/>
      <c r="K3357" s="15"/>
      <c r="L3357" s="15"/>
      <c r="M3357" s="16"/>
      <c r="N3357" s="16"/>
      <c r="O3357" s="15"/>
      <c r="P3357" s="15"/>
    </row>
    <row r="3358">
      <c r="A3358" s="15"/>
      <c r="B3358" s="22"/>
      <c r="C3358" s="22"/>
      <c r="D3358" s="22"/>
      <c r="E3358" s="15"/>
      <c r="F3358" s="15"/>
      <c r="G3358" s="15"/>
      <c r="H3358" s="15"/>
      <c r="I3358" s="15"/>
      <c r="J3358" s="15"/>
      <c r="K3358" s="15"/>
      <c r="L3358" s="15"/>
      <c r="M3358" s="16"/>
      <c r="N3358" s="16"/>
      <c r="O3358" s="15"/>
      <c r="P3358" s="15"/>
    </row>
    <row r="3359">
      <c r="A3359" s="15"/>
      <c r="B3359" s="22"/>
      <c r="C3359" s="22"/>
      <c r="D3359" s="22"/>
      <c r="E3359" s="15"/>
      <c r="F3359" s="15"/>
      <c r="G3359" s="15"/>
      <c r="H3359" s="15"/>
      <c r="I3359" s="15"/>
      <c r="J3359" s="15"/>
      <c r="K3359" s="15"/>
      <c r="L3359" s="15"/>
      <c r="M3359" s="16"/>
      <c r="N3359" s="16"/>
      <c r="O3359" s="15"/>
      <c r="P3359" s="15"/>
    </row>
    <row r="3360">
      <c r="A3360" s="15"/>
      <c r="B3360" s="22"/>
      <c r="C3360" s="22"/>
      <c r="D3360" s="22"/>
      <c r="E3360" s="15"/>
      <c r="F3360" s="15"/>
      <c r="G3360" s="15"/>
      <c r="H3360" s="15"/>
      <c r="I3360" s="15"/>
      <c r="J3360" s="15"/>
      <c r="K3360" s="15"/>
      <c r="L3360" s="15"/>
      <c r="M3360" s="16"/>
      <c r="N3360" s="16"/>
      <c r="O3360" s="15"/>
      <c r="P3360" s="15"/>
    </row>
    <row r="3361">
      <c r="A3361" s="15"/>
      <c r="B3361" s="22"/>
      <c r="C3361" s="22"/>
      <c r="D3361" s="22"/>
      <c r="E3361" s="15"/>
      <c r="F3361" s="15"/>
      <c r="G3361" s="15"/>
      <c r="H3361" s="15"/>
      <c r="I3361" s="15"/>
      <c r="J3361" s="15"/>
      <c r="K3361" s="15"/>
      <c r="L3361" s="15"/>
      <c r="M3361" s="16"/>
      <c r="N3361" s="16"/>
      <c r="O3361" s="15"/>
      <c r="P3361" s="15"/>
    </row>
    <row r="3362">
      <c r="A3362" s="15"/>
      <c r="B3362" s="22"/>
      <c r="C3362" s="22"/>
      <c r="D3362" s="22"/>
      <c r="E3362" s="15"/>
      <c r="F3362" s="15"/>
      <c r="G3362" s="15"/>
      <c r="H3362" s="15"/>
      <c r="I3362" s="15"/>
      <c r="J3362" s="15"/>
      <c r="K3362" s="15"/>
      <c r="L3362" s="15"/>
      <c r="M3362" s="16"/>
      <c r="N3362" s="16"/>
      <c r="O3362" s="15"/>
      <c r="P3362" s="15"/>
    </row>
    <row r="3363">
      <c r="A3363" s="15"/>
      <c r="B3363" s="22"/>
      <c r="C3363" s="22"/>
      <c r="D3363" s="22"/>
      <c r="E3363" s="15"/>
      <c r="F3363" s="15"/>
      <c r="G3363" s="15"/>
      <c r="H3363" s="15"/>
      <c r="I3363" s="15"/>
      <c r="J3363" s="15"/>
      <c r="K3363" s="15"/>
      <c r="L3363" s="15"/>
      <c r="M3363" s="16"/>
      <c r="N3363" s="16"/>
      <c r="O3363" s="15"/>
      <c r="P3363" s="15"/>
    </row>
    <row r="3364">
      <c r="A3364" s="15"/>
      <c r="B3364" s="22"/>
      <c r="C3364" s="22"/>
      <c r="D3364" s="22"/>
      <c r="E3364" s="15"/>
      <c r="F3364" s="15"/>
      <c r="G3364" s="15"/>
      <c r="H3364" s="15"/>
      <c r="I3364" s="15"/>
      <c r="J3364" s="15"/>
      <c r="K3364" s="15"/>
      <c r="L3364" s="15"/>
      <c r="M3364" s="16"/>
      <c r="N3364" s="16"/>
      <c r="O3364" s="15"/>
      <c r="P3364" s="15"/>
    </row>
    <row r="3365">
      <c r="A3365" s="15"/>
      <c r="B3365" s="22"/>
      <c r="C3365" s="22"/>
      <c r="D3365" s="22"/>
      <c r="E3365" s="15"/>
      <c r="F3365" s="15"/>
      <c r="G3365" s="15"/>
      <c r="H3365" s="15"/>
      <c r="I3365" s="15"/>
      <c r="J3365" s="15"/>
      <c r="K3365" s="15"/>
      <c r="L3365" s="15"/>
      <c r="M3365" s="16"/>
      <c r="N3365" s="16"/>
      <c r="O3365" s="15"/>
      <c r="P3365" s="15"/>
    </row>
    <row r="3366">
      <c r="A3366" s="15"/>
      <c r="B3366" s="22"/>
      <c r="C3366" s="22"/>
      <c r="D3366" s="22"/>
      <c r="E3366" s="15"/>
      <c r="F3366" s="15"/>
      <c r="G3366" s="15"/>
      <c r="H3366" s="15"/>
      <c r="I3366" s="15"/>
      <c r="J3366" s="15"/>
      <c r="K3366" s="15"/>
      <c r="L3366" s="15"/>
      <c r="M3366" s="16"/>
      <c r="N3366" s="16"/>
      <c r="O3366" s="15"/>
      <c r="P3366" s="15"/>
    </row>
    <row r="3367">
      <c r="A3367" s="15"/>
      <c r="B3367" s="22"/>
      <c r="C3367" s="22"/>
      <c r="D3367" s="22"/>
      <c r="E3367" s="15"/>
      <c r="F3367" s="15"/>
      <c r="G3367" s="15"/>
      <c r="H3367" s="15"/>
      <c r="I3367" s="15"/>
      <c r="J3367" s="15"/>
      <c r="K3367" s="15"/>
      <c r="L3367" s="15"/>
      <c r="M3367" s="16"/>
      <c r="N3367" s="16"/>
      <c r="O3367" s="15"/>
      <c r="P3367" s="15"/>
    </row>
    <row r="3368">
      <c r="A3368" s="15"/>
      <c r="B3368" s="22"/>
      <c r="C3368" s="22"/>
      <c r="D3368" s="22"/>
      <c r="E3368" s="15"/>
      <c r="F3368" s="15"/>
      <c r="G3368" s="15"/>
      <c r="H3368" s="15"/>
      <c r="I3368" s="15"/>
      <c r="J3368" s="15"/>
      <c r="K3368" s="15"/>
      <c r="L3368" s="15"/>
      <c r="M3368" s="16"/>
      <c r="N3368" s="16"/>
      <c r="O3368" s="15"/>
      <c r="P3368" s="15"/>
    </row>
    <row r="3369">
      <c r="A3369" s="15"/>
      <c r="B3369" s="22"/>
      <c r="C3369" s="22"/>
      <c r="D3369" s="22"/>
      <c r="E3369" s="15"/>
      <c r="F3369" s="15"/>
      <c r="G3369" s="15"/>
      <c r="H3369" s="15"/>
      <c r="I3369" s="15"/>
      <c r="J3369" s="15"/>
      <c r="K3369" s="15"/>
      <c r="L3369" s="15"/>
      <c r="M3369" s="16"/>
      <c r="N3369" s="16"/>
      <c r="O3369" s="15"/>
      <c r="P3369" s="15"/>
    </row>
    <row r="3370">
      <c r="A3370" s="15"/>
      <c r="B3370" s="22"/>
      <c r="C3370" s="22"/>
      <c r="D3370" s="22"/>
      <c r="E3370" s="15"/>
      <c r="F3370" s="15"/>
      <c r="G3370" s="15"/>
      <c r="H3370" s="15"/>
      <c r="I3370" s="15"/>
      <c r="J3370" s="15"/>
      <c r="K3370" s="15"/>
      <c r="L3370" s="15"/>
      <c r="M3370" s="16"/>
      <c r="N3370" s="16"/>
      <c r="O3370" s="15"/>
      <c r="P3370" s="15"/>
    </row>
    <row r="3371">
      <c r="A3371" s="15"/>
      <c r="B3371" s="22"/>
      <c r="C3371" s="22"/>
      <c r="D3371" s="22"/>
      <c r="E3371" s="15"/>
      <c r="F3371" s="15"/>
      <c r="G3371" s="15"/>
      <c r="H3371" s="15"/>
      <c r="I3371" s="15"/>
      <c r="J3371" s="15"/>
      <c r="K3371" s="15"/>
      <c r="L3371" s="15"/>
      <c r="M3371" s="16"/>
      <c r="N3371" s="16"/>
      <c r="O3371" s="15"/>
      <c r="P3371" s="15"/>
    </row>
    <row r="3372">
      <c r="A3372" s="15"/>
      <c r="B3372" s="22"/>
      <c r="C3372" s="22"/>
      <c r="D3372" s="22"/>
      <c r="E3372" s="15"/>
      <c r="F3372" s="15"/>
      <c r="G3372" s="15"/>
      <c r="H3372" s="15"/>
      <c r="I3372" s="15"/>
      <c r="J3372" s="15"/>
      <c r="K3372" s="15"/>
      <c r="L3372" s="15"/>
      <c r="M3372" s="16"/>
      <c r="N3372" s="16"/>
      <c r="O3372" s="15"/>
      <c r="P3372" s="15"/>
    </row>
    <row r="3373">
      <c r="A3373" s="15"/>
      <c r="B3373" s="22"/>
      <c r="C3373" s="22"/>
      <c r="D3373" s="22"/>
      <c r="E3373" s="15"/>
      <c r="F3373" s="15"/>
      <c r="G3373" s="15"/>
      <c r="H3373" s="15"/>
      <c r="I3373" s="15"/>
      <c r="J3373" s="15"/>
      <c r="K3373" s="15"/>
      <c r="L3373" s="15"/>
      <c r="M3373" s="16"/>
      <c r="N3373" s="16"/>
      <c r="O3373" s="15"/>
      <c r="P3373" s="15"/>
    </row>
    <row r="3374">
      <c r="A3374" s="15"/>
      <c r="B3374" s="22"/>
      <c r="C3374" s="22"/>
      <c r="D3374" s="22"/>
      <c r="E3374" s="15"/>
      <c r="F3374" s="15"/>
      <c r="G3374" s="15"/>
      <c r="H3374" s="15"/>
      <c r="I3374" s="15"/>
      <c r="J3374" s="15"/>
      <c r="K3374" s="15"/>
      <c r="L3374" s="15"/>
      <c r="M3374" s="16"/>
      <c r="N3374" s="16"/>
      <c r="O3374" s="15"/>
      <c r="P3374" s="15"/>
    </row>
    <row r="3375">
      <c r="A3375" s="15"/>
      <c r="B3375" s="22"/>
      <c r="C3375" s="22"/>
      <c r="D3375" s="22"/>
      <c r="E3375" s="15"/>
      <c r="F3375" s="15"/>
      <c r="G3375" s="15"/>
      <c r="H3375" s="15"/>
      <c r="I3375" s="15"/>
      <c r="J3375" s="15"/>
      <c r="K3375" s="15"/>
      <c r="L3375" s="15"/>
      <c r="M3375" s="16"/>
      <c r="N3375" s="16"/>
      <c r="O3375" s="15"/>
      <c r="P3375" s="15"/>
    </row>
    <row r="3376">
      <c r="A3376" s="15"/>
      <c r="B3376" s="22"/>
      <c r="C3376" s="22"/>
      <c r="D3376" s="22"/>
      <c r="E3376" s="15"/>
      <c r="F3376" s="15"/>
      <c r="G3376" s="15"/>
      <c r="H3376" s="15"/>
      <c r="I3376" s="15"/>
      <c r="J3376" s="15"/>
      <c r="K3376" s="15"/>
      <c r="L3376" s="15"/>
      <c r="M3376" s="16"/>
      <c r="N3376" s="16"/>
      <c r="O3376" s="15"/>
      <c r="P3376" s="15"/>
    </row>
    <row r="3377">
      <c r="A3377" s="15"/>
      <c r="B3377" s="22"/>
      <c r="C3377" s="22"/>
      <c r="D3377" s="22"/>
      <c r="E3377" s="15"/>
      <c r="F3377" s="15"/>
      <c r="G3377" s="15"/>
      <c r="H3377" s="15"/>
      <c r="I3377" s="15"/>
      <c r="J3377" s="15"/>
      <c r="K3377" s="15"/>
      <c r="L3377" s="15"/>
      <c r="M3377" s="16"/>
      <c r="N3377" s="16"/>
      <c r="O3377" s="15"/>
      <c r="P3377" s="15"/>
    </row>
    <row r="3378">
      <c r="A3378" s="15"/>
      <c r="B3378" s="22"/>
      <c r="C3378" s="22"/>
      <c r="D3378" s="22"/>
      <c r="E3378" s="15"/>
      <c r="F3378" s="15"/>
      <c r="G3378" s="15"/>
      <c r="H3378" s="15"/>
      <c r="I3378" s="15"/>
      <c r="J3378" s="15"/>
      <c r="K3378" s="15"/>
      <c r="L3378" s="15"/>
      <c r="M3378" s="16"/>
      <c r="N3378" s="16"/>
      <c r="O3378" s="15"/>
      <c r="P3378" s="15"/>
    </row>
    <row r="3379">
      <c r="A3379" s="15"/>
      <c r="B3379" s="22"/>
      <c r="C3379" s="22"/>
      <c r="D3379" s="22"/>
      <c r="E3379" s="15"/>
      <c r="F3379" s="15"/>
      <c r="G3379" s="15"/>
      <c r="H3379" s="15"/>
      <c r="I3379" s="15"/>
      <c r="J3379" s="15"/>
      <c r="K3379" s="15"/>
      <c r="L3379" s="15"/>
      <c r="M3379" s="16"/>
      <c r="N3379" s="16"/>
      <c r="O3379" s="15"/>
      <c r="P3379" s="15"/>
    </row>
    <row r="3380">
      <c r="A3380" s="15"/>
      <c r="B3380" s="22"/>
      <c r="C3380" s="22"/>
      <c r="D3380" s="22"/>
      <c r="E3380" s="15"/>
      <c r="F3380" s="15"/>
      <c r="G3380" s="15"/>
      <c r="H3380" s="15"/>
      <c r="I3380" s="15"/>
      <c r="J3380" s="15"/>
      <c r="K3380" s="15"/>
      <c r="L3380" s="15"/>
      <c r="M3380" s="16"/>
      <c r="N3380" s="16"/>
      <c r="O3380" s="15"/>
      <c r="P3380" s="15"/>
    </row>
    <row r="3381">
      <c r="A3381" s="15"/>
      <c r="B3381" s="22"/>
      <c r="C3381" s="22"/>
      <c r="D3381" s="22"/>
      <c r="E3381" s="15"/>
      <c r="F3381" s="15"/>
      <c r="G3381" s="15"/>
      <c r="H3381" s="15"/>
      <c r="I3381" s="15"/>
      <c r="J3381" s="15"/>
      <c r="K3381" s="15"/>
      <c r="L3381" s="15"/>
      <c r="M3381" s="16"/>
      <c r="N3381" s="16"/>
      <c r="O3381" s="15"/>
      <c r="P3381" s="15"/>
    </row>
    <row r="3382">
      <c r="A3382" s="15"/>
      <c r="B3382" s="22"/>
      <c r="C3382" s="22"/>
      <c r="D3382" s="22"/>
      <c r="E3382" s="15"/>
      <c r="F3382" s="15"/>
      <c r="G3382" s="15"/>
      <c r="H3382" s="15"/>
      <c r="I3382" s="15"/>
      <c r="J3382" s="15"/>
      <c r="K3382" s="15"/>
      <c r="L3382" s="15"/>
      <c r="M3382" s="16"/>
      <c r="N3382" s="16"/>
      <c r="O3382" s="15"/>
      <c r="P3382" s="15"/>
    </row>
    <row r="3383">
      <c r="A3383" s="15"/>
      <c r="B3383" s="22"/>
      <c r="C3383" s="22"/>
      <c r="D3383" s="22"/>
      <c r="E3383" s="15"/>
      <c r="F3383" s="15"/>
      <c r="G3383" s="15"/>
      <c r="H3383" s="15"/>
      <c r="I3383" s="15"/>
      <c r="J3383" s="15"/>
      <c r="K3383" s="15"/>
      <c r="L3383" s="15"/>
      <c r="M3383" s="16"/>
      <c r="N3383" s="16"/>
      <c r="O3383" s="15"/>
      <c r="P3383" s="15"/>
    </row>
    <row r="3384">
      <c r="A3384" s="15"/>
      <c r="B3384" s="22"/>
      <c r="C3384" s="22"/>
      <c r="D3384" s="22"/>
      <c r="E3384" s="15"/>
      <c r="F3384" s="15"/>
      <c r="G3384" s="15"/>
      <c r="H3384" s="15"/>
      <c r="I3384" s="15"/>
      <c r="J3384" s="15"/>
      <c r="K3384" s="15"/>
      <c r="L3384" s="15"/>
      <c r="M3384" s="16"/>
      <c r="N3384" s="16"/>
      <c r="O3384" s="15"/>
      <c r="P3384" s="15"/>
    </row>
    <row r="3385">
      <c r="A3385" s="15"/>
      <c r="B3385" s="22"/>
      <c r="C3385" s="22"/>
      <c r="D3385" s="22"/>
      <c r="E3385" s="15"/>
      <c r="F3385" s="15"/>
      <c r="G3385" s="15"/>
      <c r="H3385" s="15"/>
      <c r="I3385" s="15"/>
      <c r="J3385" s="15"/>
      <c r="K3385" s="15"/>
      <c r="L3385" s="15"/>
      <c r="M3385" s="16"/>
      <c r="N3385" s="16"/>
      <c r="O3385" s="15"/>
      <c r="P3385" s="15"/>
    </row>
    <row r="3386">
      <c r="A3386" s="15"/>
      <c r="B3386" s="22"/>
      <c r="C3386" s="22"/>
      <c r="D3386" s="22"/>
      <c r="E3386" s="15"/>
      <c r="F3386" s="15"/>
      <c r="G3386" s="15"/>
      <c r="H3386" s="15"/>
      <c r="I3386" s="15"/>
      <c r="J3386" s="15"/>
      <c r="K3386" s="15"/>
      <c r="L3386" s="15"/>
      <c r="M3386" s="16"/>
      <c r="N3386" s="16"/>
      <c r="O3386" s="15"/>
      <c r="P3386" s="15"/>
    </row>
    <row r="3387">
      <c r="A3387" s="15"/>
      <c r="B3387" s="22"/>
      <c r="C3387" s="22"/>
      <c r="D3387" s="22"/>
      <c r="E3387" s="15"/>
      <c r="F3387" s="15"/>
      <c r="G3387" s="15"/>
      <c r="H3387" s="15"/>
      <c r="I3387" s="15"/>
      <c r="J3387" s="15"/>
      <c r="K3387" s="15"/>
      <c r="L3387" s="15"/>
      <c r="M3387" s="16"/>
      <c r="N3387" s="16"/>
      <c r="O3387" s="15"/>
      <c r="P3387" s="15"/>
    </row>
    <row r="3388">
      <c r="A3388" s="15"/>
      <c r="B3388" s="22"/>
      <c r="C3388" s="22"/>
      <c r="D3388" s="22"/>
      <c r="E3388" s="15"/>
      <c r="F3388" s="15"/>
      <c r="G3388" s="15"/>
      <c r="H3388" s="15"/>
      <c r="I3388" s="15"/>
      <c r="J3388" s="15"/>
      <c r="K3388" s="15"/>
      <c r="L3388" s="15"/>
      <c r="M3388" s="16"/>
      <c r="N3388" s="16"/>
      <c r="O3388" s="15"/>
      <c r="P3388" s="15"/>
    </row>
    <row r="3389">
      <c r="A3389" s="15"/>
      <c r="B3389" s="22"/>
      <c r="C3389" s="22"/>
      <c r="D3389" s="22"/>
      <c r="E3389" s="15"/>
      <c r="F3389" s="15"/>
      <c r="G3389" s="15"/>
      <c r="H3389" s="15"/>
      <c r="I3389" s="15"/>
      <c r="J3389" s="15"/>
      <c r="K3389" s="15"/>
      <c r="L3389" s="15"/>
      <c r="M3389" s="16"/>
      <c r="N3389" s="16"/>
      <c r="O3389" s="15"/>
      <c r="P3389" s="15"/>
    </row>
    <row r="3390">
      <c r="A3390" s="15"/>
      <c r="B3390" s="22"/>
      <c r="C3390" s="22"/>
      <c r="D3390" s="22"/>
      <c r="E3390" s="15"/>
      <c r="F3390" s="15"/>
      <c r="G3390" s="15"/>
      <c r="H3390" s="15"/>
      <c r="I3390" s="15"/>
      <c r="J3390" s="15"/>
      <c r="K3390" s="15"/>
      <c r="L3390" s="15"/>
      <c r="M3390" s="16"/>
      <c r="N3390" s="16"/>
      <c r="O3390" s="15"/>
      <c r="P3390" s="15"/>
    </row>
    <row r="3391">
      <c r="A3391" s="15"/>
      <c r="B3391" s="22"/>
      <c r="C3391" s="22"/>
      <c r="D3391" s="22"/>
      <c r="E3391" s="15"/>
      <c r="F3391" s="15"/>
      <c r="G3391" s="15"/>
      <c r="H3391" s="15"/>
      <c r="I3391" s="15"/>
      <c r="J3391" s="15"/>
      <c r="K3391" s="15"/>
      <c r="L3391" s="15"/>
      <c r="M3391" s="16"/>
      <c r="N3391" s="16"/>
      <c r="O3391" s="15"/>
      <c r="P3391" s="15"/>
    </row>
    <row r="3392">
      <c r="A3392" s="15"/>
      <c r="B3392" s="22"/>
      <c r="C3392" s="22"/>
      <c r="D3392" s="22"/>
      <c r="E3392" s="15"/>
      <c r="F3392" s="15"/>
      <c r="G3392" s="15"/>
      <c r="H3392" s="15"/>
      <c r="I3392" s="15"/>
      <c r="J3392" s="15"/>
      <c r="K3392" s="15"/>
      <c r="L3392" s="15"/>
      <c r="M3392" s="16"/>
      <c r="N3392" s="16"/>
      <c r="O3392" s="15"/>
      <c r="P3392" s="15"/>
    </row>
    <row r="3393">
      <c r="A3393" s="15"/>
      <c r="B3393" s="22"/>
      <c r="C3393" s="22"/>
      <c r="D3393" s="22"/>
      <c r="E3393" s="15"/>
      <c r="F3393" s="15"/>
      <c r="G3393" s="15"/>
      <c r="H3393" s="15"/>
      <c r="I3393" s="15"/>
      <c r="J3393" s="15"/>
      <c r="K3393" s="15"/>
      <c r="L3393" s="15"/>
      <c r="M3393" s="16"/>
      <c r="N3393" s="16"/>
      <c r="O3393" s="15"/>
      <c r="P3393" s="15"/>
    </row>
    <row r="3394">
      <c r="A3394" s="15"/>
      <c r="B3394" s="22"/>
      <c r="C3394" s="22"/>
      <c r="D3394" s="22"/>
      <c r="E3394" s="15"/>
      <c r="F3394" s="15"/>
      <c r="G3394" s="15"/>
      <c r="H3394" s="15"/>
      <c r="I3394" s="15"/>
      <c r="J3394" s="15"/>
      <c r="K3394" s="15"/>
      <c r="L3394" s="15"/>
      <c r="M3394" s="16"/>
      <c r="N3394" s="16"/>
      <c r="O3394" s="15"/>
      <c r="P3394" s="15"/>
    </row>
    <row r="3395">
      <c r="A3395" s="15"/>
      <c r="B3395" s="22"/>
      <c r="C3395" s="22"/>
      <c r="D3395" s="22"/>
      <c r="E3395" s="15"/>
      <c r="F3395" s="15"/>
      <c r="G3395" s="15"/>
      <c r="H3395" s="15"/>
      <c r="I3395" s="15"/>
      <c r="J3395" s="15"/>
      <c r="K3395" s="15"/>
      <c r="L3395" s="15"/>
      <c r="M3395" s="16"/>
      <c r="N3395" s="16"/>
      <c r="O3395" s="15"/>
      <c r="P3395" s="15"/>
    </row>
    <row r="3396">
      <c r="A3396" s="15"/>
      <c r="B3396" s="22"/>
      <c r="C3396" s="22"/>
      <c r="D3396" s="22"/>
      <c r="E3396" s="15"/>
      <c r="F3396" s="15"/>
      <c r="G3396" s="15"/>
      <c r="H3396" s="15"/>
      <c r="I3396" s="15"/>
      <c r="J3396" s="15"/>
      <c r="K3396" s="15"/>
      <c r="L3396" s="15"/>
      <c r="M3396" s="16"/>
      <c r="N3396" s="16"/>
      <c r="O3396" s="15"/>
      <c r="P3396" s="15"/>
    </row>
    <row r="3397">
      <c r="A3397" s="15"/>
      <c r="B3397" s="22"/>
      <c r="C3397" s="22"/>
      <c r="D3397" s="22"/>
      <c r="E3397" s="15"/>
      <c r="F3397" s="15"/>
      <c r="G3397" s="15"/>
      <c r="H3397" s="15"/>
      <c r="I3397" s="15"/>
      <c r="J3397" s="15"/>
      <c r="K3397" s="15"/>
      <c r="L3397" s="15"/>
      <c r="M3397" s="16"/>
      <c r="N3397" s="16"/>
      <c r="O3397" s="15"/>
      <c r="P3397" s="15"/>
    </row>
    <row r="3398">
      <c r="A3398" s="15"/>
      <c r="B3398" s="22"/>
      <c r="C3398" s="22"/>
      <c r="D3398" s="22"/>
      <c r="E3398" s="15"/>
      <c r="F3398" s="15"/>
      <c r="G3398" s="15"/>
      <c r="H3398" s="15"/>
      <c r="I3398" s="15"/>
      <c r="J3398" s="15"/>
      <c r="K3398" s="15"/>
      <c r="L3398" s="15"/>
      <c r="M3398" s="16"/>
      <c r="N3398" s="16"/>
      <c r="O3398" s="15"/>
      <c r="P3398" s="15"/>
    </row>
    <row r="3399">
      <c r="A3399" s="15"/>
      <c r="B3399" s="22"/>
      <c r="C3399" s="22"/>
      <c r="D3399" s="22"/>
      <c r="E3399" s="15"/>
      <c r="F3399" s="15"/>
      <c r="G3399" s="15"/>
      <c r="H3399" s="15"/>
      <c r="I3399" s="15"/>
      <c r="J3399" s="15"/>
      <c r="K3399" s="15"/>
      <c r="L3399" s="15"/>
      <c r="M3399" s="16"/>
      <c r="N3399" s="16"/>
      <c r="O3399" s="15"/>
      <c r="P3399" s="15"/>
    </row>
    <row r="3400">
      <c r="A3400" s="15"/>
      <c r="B3400" s="22"/>
      <c r="C3400" s="22"/>
      <c r="D3400" s="22"/>
      <c r="E3400" s="15"/>
      <c r="F3400" s="15"/>
      <c r="G3400" s="15"/>
      <c r="H3400" s="15"/>
      <c r="I3400" s="15"/>
      <c r="J3400" s="15"/>
      <c r="K3400" s="15"/>
      <c r="L3400" s="15"/>
      <c r="M3400" s="16"/>
      <c r="N3400" s="16"/>
      <c r="O3400" s="15"/>
      <c r="P3400" s="15"/>
    </row>
    <row r="3401">
      <c r="A3401" s="15"/>
      <c r="B3401" s="22"/>
      <c r="C3401" s="22"/>
      <c r="D3401" s="22"/>
      <c r="E3401" s="15"/>
      <c r="F3401" s="15"/>
      <c r="G3401" s="15"/>
      <c r="H3401" s="15"/>
      <c r="I3401" s="15"/>
      <c r="J3401" s="15"/>
      <c r="K3401" s="15"/>
      <c r="L3401" s="15"/>
      <c r="M3401" s="16"/>
      <c r="N3401" s="16"/>
      <c r="O3401" s="15"/>
      <c r="P3401" s="15"/>
    </row>
    <row r="3402">
      <c r="A3402" s="15"/>
      <c r="B3402" s="22"/>
      <c r="C3402" s="22"/>
      <c r="D3402" s="22"/>
      <c r="E3402" s="15"/>
      <c r="F3402" s="15"/>
      <c r="G3402" s="15"/>
      <c r="H3402" s="15"/>
      <c r="I3402" s="15"/>
      <c r="J3402" s="15"/>
      <c r="K3402" s="15"/>
      <c r="L3402" s="15"/>
      <c r="M3402" s="16"/>
      <c r="N3402" s="16"/>
      <c r="O3402" s="15"/>
      <c r="P3402" s="15"/>
    </row>
    <row r="3403">
      <c r="A3403" s="15"/>
      <c r="B3403" s="22"/>
      <c r="C3403" s="22"/>
      <c r="D3403" s="22"/>
      <c r="E3403" s="15"/>
      <c r="F3403" s="15"/>
      <c r="G3403" s="15"/>
      <c r="H3403" s="15"/>
      <c r="I3403" s="15"/>
      <c r="J3403" s="15"/>
      <c r="K3403" s="15"/>
      <c r="L3403" s="15"/>
      <c r="M3403" s="16"/>
      <c r="N3403" s="16"/>
      <c r="O3403" s="15"/>
      <c r="P3403" s="15"/>
    </row>
    <row r="3404">
      <c r="A3404" s="15"/>
      <c r="B3404" s="22"/>
      <c r="C3404" s="22"/>
      <c r="D3404" s="22"/>
      <c r="E3404" s="15"/>
      <c r="F3404" s="15"/>
      <c r="G3404" s="15"/>
      <c r="H3404" s="15"/>
      <c r="I3404" s="15"/>
      <c r="J3404" s="15"/>
      <c r="K3404" s="15"/>
      <c r="L3404" s="15"/>
      <c r="M3404" s="16"/>
      <c r="N3404" s="16"/>
      <c r="O3404" s="15"/>
      <c r="P3404" s="15"/>
    </row>
    <row r="3405">
      <c r="A3405" s="15"/>
      <c r="B3405" s="22"/>
      <c r="C3405" s="22"/>
      <c r="D3405" s="22"/>
      <c r="E3405" s="15"/>
      <c r="F3405" s="15"/>
      <c r="G3405" s="15"/>
      <c r="H3405" s="15"/>
      <c r="I3405" s="15"/>
      <c r="J3405" s="15"/>
      <c r="K3405" s="15"/>
      <c r="L3405" s="15"/>
      <c r="M3405" s="16"/>
      <c r="N3405" s="16"/>
      <c r="O3405" s="15"/>
      <c r="P3405" s="15"/>
    </row>
    <row r="3406">
      <c r="A3406" s="15"/>
      <c r="B3406" s="22"/>
      <c r="C3406" s="22"/>
      <c r="D3406" s="22"/>
      <c r="E3406" s="15"/>
      <c r="F3406" s="15"/>
      <c r="G3406" s="15"/>
      <c r="H3406" s="15"/>
      <c r="I3406" s="15"/>
      <c r="J3406" s="15"/>
      <c r="K3406" s="15"/>
      <c r="L3406" s="15"/>
      <c r="M3406" s="16"/>
      <c r="N3406" s="16"/>
      <c r="O3406" s="15"/>
      <c r="P3406" s="15"/>
    </row>
    <row r="3407">
      <c r="A3407" s="15"/>
      <c r="B3407" s="22"/>
      <c r="C3407" s="22"/>
      <c r="D3407" s="22"/>
      <c r="E3407" s="15"/>
      <c r="F3407" s="15"/>
      <c r="G3407" s="15"/>
      <c r="H3407" s="15"/>
      <c r="I3407" s="15"/>
      <c r="J3407" s="15"/>
      <c r="K3407" s="15"/>
      <c r="L3407" s="15"/>
      <c r="M3407" s="16"/>
      <c r="N3407" s="16"/>
      <c r="O3407" s="15"/>
      <c r="P3407" s="15"/>
    </row>
    <row r="3408">
      <c r="A3408" s="15"/>
      <c r="B3408" s="22"/>
      <c r="C3408" s="22"/>
      <c r="D3408" s="22"/>
      <c r="E3408" s="15"/>
      <c r="F3408" s="15"/>
      <c r="G3408" s="15"/>
      <c r="H3408" s="15"/>
      <c r="I3408" s="15"/>
      <c r="J3408" s="15"/>
      <c r="K3408" s="15"/>
      <c r="L3408" s="15"/>
      <c r="M3408" s="16"/>
      <c r="N3408" s="16"/>
      <c r="O3408" s="15"/>
      <c r="P3408" s="15"/>
    </row>
    <row r="3409">
      <c r="A3409" s="15"/>
      <c r="B3409" s="22"/>
      <c r="C3409" s="22"/>
      <c r="D3409" s="22"/>
      <c r="E3409" s="15"/>
      <c r="F3409" s="15"/>
      <c r="G3409" s="15"/>
      <c r="H3409" s="15"/>
      <c r="I3409" s="15"/>
      <c r="J3409" s="15"/>
      <c r="K3409" s="15"/>
      <c r="L3409" s="15"/>
      <c r="M3409" s="16"/>
      <c r="N3409" s="16"/>
      <c r="O3409" s="15"/>
      <c r="P3409" s="15"/>
    </row>
    <row r="3410">
      <c r="A3410" s="15"/>
      <c r="B3410" s="22"/>
      <c r="C3410" s="22"/>
      <c r="D3410" s="22"/>
      <c r="E3410" s="15"/>
      <c r="F3410" s="15"/>
      <c r="G3410" s="15"/>
      <c r="H3410" s="15"/>
      <c r="I3410" s="15"/>
      <c r="J3410" s="15"/>
      <c r="K3410" s="15"/>
      <c r="L3410" s="15"/>
      <c r="M3410" s="16"/>
      <c r="N3410" s="16"/>
      <c r="O3410" s="15"/>
      <c r="P3410" s="15"/>
    </row>
    <row r="3411">
      <c r="A3411" s="15"/>
      <c r="B3411" s="22"/>
      <c r="C3411" s="22"/>
      <c r="D3411" s="22"/>
      <c r="E3411" s="15"/>
      <c r="F3411" s="15"/>
      <c r="G3411" s="15"/>
      <c r="H3411" s="15"/>
      <c r="I3411" s="15"/>
      <c r="J3411" s="15"/>
      <c r="K3411" s="15"/>
      <c r="L3411" s="15"/>
      <c r="M3411" s="16"/>
      <c r="N3411" s="16"/>
      <c r="O3411" s="15"/>
      <c r="P3411" s="15"/>
    </row>
    <row r="3412">
      <c r="A3412" s="15"/>
      <c r="B3412" s="22"/>
      <c r="C3412" s="22"/>
      <c r="D3412" s="22"/>
      <c r="E3412" s="15"/>
      <c r="F3412" s="15"/>
      <c r="G3412" s="15"/>
      <c r="H3412" s="15"/>
      <c r="I3412" s="15"/>
      <c r="J3412" s="15"/>
      <c r="K3412" s="15"/>
      <c r="L3412" s="15"/>
      <c r="M3412" s="16"/>
      <c r="N3412" s="16"/>
      <c r="O3412" s="15"/>
      <c r="P3412" s="15"/>
    </row>
    <row r="3413">
      <c r="A3413" s="15"/>
      <c r="B3413" s="22"/>
      <c r="C3413" s="22"/>
      <c r="D3413" s="22"/>
      <c r="E3413" s="15"/>
      <c r="F3413" s="15"/>
      <c r="G3413" s="15"/>
      <c r="H3413" s="15"/>
      <c r="I3413" s="15"/>
      <c r="J3413" s="15"/>
      <c r="K3413" s="15"/>
      <c r="L3413" s="15"/>
      <c r="M3413" s="16"/>
      <c r="N3413" s="16"/>
      <c r="O3413" s="15"/>
      <c r="P3413" s="15"/>
    </row>
    <row r="3414">
      <c r="A3414" s="15"/>
      <c r="B3414" s="22"/>
      <c r="C3414" s="22"/>
      <c r="D3414" s="22"/>
      <c r="E3414" s="15"/>
      <c r="F3414" s="15"/>
      <c r="G3414" s="15"/>
      <c r="H3414" s="15"/>
      <c r="I3414" s="15"/>
      <c r="J3414" s="15"/>
      <c r="K3414" s="15"/>
      <c r="L3414" s="15"/>
      <c r="M3414" s="16"/>
      <c r="N3414" s="16"/>
      <c r="O3414" s="15"/>
      <c r="P3414" s="15"/>
    </row>
    <row r="3415">
      <c r="A3415" s="15"/>
      <c r="B3415" s="22"/>
      <c r="C3415" s="22"/>
      <c r="D3415" s="22"/>
      <c r="E3415" s="15"/>
      <c r="F3415" s="15"/>
      <c r="G3415" s="15"/>
      <c r="H3415" s="15"/>
      <c r="I3415" s="15"/>
      <c r="J3415" s="15"/>
      <c r="K3415" s="15"/>
      <c r="L3415" s="15"/>
      <c r="M3415" s="16"/>
      <c r="N3415" s="16"/>
      <c r="O3415" s="15"/>
      <c r="P3415" s="15"/>
    </row>
    <row r="3416">
      <c r="A3416" s="15"/>
      <c r="B3416" s="22"/>
      <c r="C3416" s="22"/>
      <c r="D3416" s="22"/>
      <c r="E3416" s="15"/>
      <c r="F3416" s="15"/>
      <c r="G3416" s="15"/>
      <c r="H3416" s="15"/>
      <c r="I3416" s="15"/>
      <c r="J3416" s="15"/>
      <c r="K3416" s="15"/>
      <c r="L3416" s="15"/>
      <c r="M3416" s="16"/>
      <c r="N3416" s="16"/>
      <c r="O3416" s="15"/>
      <c r="P3416" s="15"/>
    </row>
    <row r="3417">
      <c r="A3417" s="15"/>
      <c r="B3417" s="22"/>
      <c r="C3417" s="22"/>
      <c r="D3417" s="22"/>
      <c r="E3417" s="15"/>
      <c r="F3417" s="15"/>
      <c r="G3417" s="15"/>
      <c r="H3417" s="15"/>
      <c r="I3417" s="15"/>
      <c r="J3417" s="15"/>
      <c r="K3417" s="15"/>
      <c r="L3417" s="15"/>
      <c r="M3417" s="16"/>
      <c r="N3417" s="16"/>
      <c r="O3417" s="15"/>
      <c r="P3417" s="15"/>
    </row>
    <row r="3418">
      <c r="A3418" s="15"/>
      <c r="B3418" s="22"/>
      <c r="C3418" s="22"/>
      <c r="D3418" s="22"/>
      <c r="E3418" s="15"/>
      <c r="F3418" s="15"/>
      <c r="G3418" s="15"/>
      <c r="H3418" s="15"/>
      <c r="I3418" s="15"/>
      <c r="J3418" s="15"/>
      <c r="K3418" s="15"/>
      <c r="L3418" s="15"/>
      <c r="M3418" s="16"/>
      <c r="N3418" s="16"/>
      <c r="O3418" s="15"/>
      <c r="P3418" s="15"/>
    </row>
    <row r="3419">
      <c r="A3419" s="15"/>
      <c r="B3419" s="22"/>
      <c r="C3419" s="22"/>
      <c r="D3419" s="22"/>
      <c r="E3419" s="15"/>
      <c r="F3419" s="15"/>
      <c r="G3419" s="15"/>
      <c r="H3419" s="15"/>
      <c r="I3419" s="15"/>
      <c r="J3419" s="15"/>
      <c r="K3419" s="15"/>
      <c r="L3419" s="15"/>
      <c r="M3419" s="16"/>
      <c r="N3419" s="16"/>
      <c r="O3419" s="15"/>
      <c r="P3419" s="15"/>
    </row>
    <row r="3420">
      <c r="A3420" s="15"/>
      <c r="B3420" s="22"/>
      <c r="C3420" s="22"/>
      <c r="D3420" s="22"/>
      <c r="E3420" s="15"/>
      <c r="F3420" s="15"/>
      <c r="G3420" s="15"/>
      <c r="H3420" s="15"/>
      <c r="I3420" s="15"/>
      <c r="J3420" s="15"/>
      <c r="K3420" s="15"/>
      <c r="L3420" s="15"/>
      <c r="M3420" s="16"/>
      <c r="N3420" s="16"/>
      <c r="O3420" s="15"/>
      <c r="P3420" s="15"/>
    </row>
    <row r="3421">
      <c r="A3421" s="15"/>
      <c r="B3421" s="22"/>
      <c r="C3421" s="22"/>
      <c r="D3421" s="22"/>
      <c r="E3421" s="15"/>
      <c r="F3421" s="15"/>
      <c r="G3421" s="15"/>
      <c r="H3421" s="15"/>
      <c r="I3421" s="15"/>
      <c r="J3421" s="15"/>
      <c r="K3421" s="15"/>
      <c r="L3421" s="15"/>
      <c r="M3421" s="16"/>
      <c r="N3421" s="16"/>
      <c r="O3421" s="15"/>
      <c r="P3421" s="15"/>
    </row>
    <row r="3422">
      <c r="A3422" s="15"/>
      <c r="B3422" s="22"/>
      <c r="C3422" s="22"/>
      <c r="D3422" s="22"/>
      <c r="E3422" s="15"/>
      <c r="F3422" s="15"/>
      <c r="G3422" s="15"/>
      <c r="H3422" s="15"/>
      <c r="I3422" s="15"/>
      <c r="J3422" s="15"/>
      <c r="K3422" s="15"/>
      <c r="L3422" s="15"/>
      <c r="M3422" s="16"/>
      <c r="N3422" s="16"/>
      <c r="O3422" s="15"/>
      <c r="P3422" s="15"/>
    </row>
    <row r="3423">
      <c r="A3423" s="15"/>
      <c r="B3423" s="22"/>
      <c r="C3423" s="22"/>
      <c r="D3423" s="22"/>
      <c r="E3423" s="15"/>
      <c r="F3423" s="15"/>
      <c r="G3423" s="15"/>
      <c r="H3423" s="15"/>
      <c r="I3423" s="15"/>
      <c r="J3423" s="15"/>
      <c r="K3423" s="15"/>
      <c r="L3423" s="15"/>
      <c r="M3423" s="16"/>
      <c r="N3423" s="16"/>
      <c r="O3423" s="15"/>
      <c r="P3423" s="15"/>
    </row>
    <row r="3424">
      <c r="A3424" s="15"/>
      <c r="B3424" s="22"/>
      <c r="C3424" s="22"/>
      <c r="D3424" s="22"/>
      <c r="E3424" s="15"/>
      <c r="F3424" s="15"/>
      <c r="G3424" s="15"/>
      <c r="H3424" s="15"/>
      <c r="I3424" s="15"/>
      <c r="J3424" s="15"/>
      <c r="K3424" s="15"/>
      <c r="L3424" s="15"/>
      <c r="M3424" s="16"/>
      <c r="N3424" s="16"/>
      <c r="O3424" s="15"/>
      <c r="P3424" s="15"/>
    </row>
    <row r="3425">
      <c r="A3425" s="15"/>
      <c r="B3425" s="22"/>
      <c r="C3425" s="22"/>
      <c r="D3425" s="22"/>
      <c r="E3425" s="15"/>
      <c r="F3425" s="15"/>
      <c r="G3425" s="15"/>
      <c r="H3425" s="15"/>
      <c r="I3425" s="15"/>
      <c r="J3425" s="15"/>
      <c r="K3425" s="15"/>
      <c r="L3425" s="15"/>
      <c r="M3425" s="16"/>
      <c r="N3425" s="16"/>
      <c r="O3425" s="15"/>
      <c r="P3425" s="15"/>
    </row>
    <row r="3426">
      <c r="A3426" s="15"/>
      <c r="B3426" s="22"/>
      <c r="C3426" s="22"/>
      <c r="D3426" s="22"/>
      <c r="E3426" s="15"/>
      <c r="F3426" s="15"/>
      <c r="G3426" s="15"/>
      <c r="H3426" s="15"/>
      <c r="I3426" s="15"/>
      <c r="J3426" s="15"/>
      <c r="K3426" s="15"/>
      <c r="L3426" s="15"/>
      <c r="M3426" s="16"/>
      <c r="N3426" s="16"/>
      <c r="O3426" s="15"/>
      <c r="P3426" s="15"/>
    </row>
    <row r="3427">
      <c r="A3427" s="15"/>
      <c r="B3427" s="22"/>
      <c r="C3427" s="22"/>
      <c r="D3427" s="22"/>
      <c r="E3427" s="15"/>
      <c r="F3427" s="15"/>
      <c r="G3427" s="15"/>
      <c r="H3427" s="15"/>
      <c r="I3427" s="15"/>
      <c r="J3427" s="15"/>
      <c r="K3427" s="15"/>
      <c r="L3427" s="15"/>
      <c r="M3427" s="16"/>
      <c r="N3427" s="16"/>
      <c r="O3427" s="15"/>
      <c r="P3427" s="15"/>
    </row>
    <row r="3428">
      <c r="A3428" s="15"/>
      <c r="B3428" s="22"/>
      <c r="C3428" s="22"/>
      <c r="D3428" s="22"/>
      <c r="E3428" s="15"/>
      <c r="F3428" s="15"/>
      <c r="G3428" s="15"/>
      <c r="H3428" s="15"/>
      <c r="I3428" s="15"/>
      <c r="J3428" s="15"/>
      <c r="K3428" s="15"/>
      <c r="L3428" s="15"/>
      <c r="M3428" s="16"/>
      <c r="N3428" s="16"/>
      <c r="O3428" s="15"/>
      <c r="P3428" s="15"/>
    </row>
    <row r="3429">
      <c r="A3429" s="15"/>
      <c r="B3429" s="22"/>
      <c r="C3429" s="22"/>
      <c r="D3429" s="22"/>
      <c r="E3429" s="15"/>
      <c r="F3429" s="15"/>
      <c r="G3429" s="15"/>
      <c r="H3429" s="15"/>
      <c r="I3429" s="15"/>
      <c r="J3429" s="15"/>
      <c r="K3429" s="15"/>
      <c r="L3429" s="15"/>
      <c r="M3429" s="16"/>
      <c r="N3429" s="16"/>
      <c r="O3429" s="15"/>
      <c r="P3429" s="15"/>
    </row>
    <row r="3430">
      <c r="A3430" s="15"/>
      <c r="B3430" s="22"/>
      <c r="C3430" s="22"/>
      <c r="D3430" s="22"/>
      <c r="E3430" s="15"/>
      <c r="F3430" s="15"/>
      <c r="G3430" s="15"/>
      <c r="H3430" s="15"/>
      <c r="I3430" s="15"/>
      <c r="J3430" s="15"/>
      <c r="K3430" s="15"/>
      <c r="L3430" s="15"/>
      <c r="M3430" s="16"/>
      <c r="N3430" s="16"/>
      <c r="O3430" s="15"/>
      <c r="P3430" s="15"/>
    </row>
    <row r="3431">
      <c r="A3431" s="15"/>
      <c r="B3431" s="22"/>
      <c r="C3431" s="22"/>
      <c r="D3431" s="22"/>
      <c r="E3431" s="15"/>
      <c r="F3431" s="15"/>
      <c r="G3431" s="15"/>
      <c r="H3431" s="15"/>
      <c r="I3431" s="15"/>
      <c r="J3431" s="15"/>
      <c r="K3431" s="15"/>
      <c r="L3431" s="15"/>
      <c r="M3431" s="16"/>
      <c r="N3431" s="16"/>
      <c r="O3431" s="15"/>
      <c r="P3431" s="15"/>
    </row>
    <row r="3432">
      <c r="A3432" s="15"/>
      <c r="B3432" s="22"/>
      <c r="C3432" s="22"/>
      <c r="D3432" s="22"/>
      <c r="E3432" s="15"/>
      <c r="F3432" s="15"/>
      <c r="G3432" s="15"/>
      <c r="H3432" s="15"/>
      <c r="I3432" s="15"/>
      <c r="J3432" s="15"/>
      <c r="K3432" s="15"/>
      <c r="L3432" s="15"/>
      <c r="M3432" s="16"/>
      <c r="N3432" s="16"/>
      <c r="O3432" s="15"/>
      <c r="P3432" s="15"/>
    </row>
    <row r="3433">
      <c r="A3433" s="15"/>
      <c r="B3433" s="22"/>
      <c r="C3433" s="22"/>
      <c r="D3433" s="22"/>
      <c r="E3433" s="15"/>
      <c r="F3433" s="15"/>
      <c r="G3433" s="15"/>
      <c r="H3433" s="15"/>
      <c r="I3433" s="15"/>
      <c r="J3433" s="15"/>
      <c r="K3433" s="15"/>
      <c r="L3433" s="15"/>
      <c r="M3433" s="16"/>
      <c r="N3433" s="16"/>
      <c r="O3433" s="15"/>
      <c r="P3433" s="15"/>
    </row>
    <row r="3434">
      <c r="A3434" s="15"/>
      <c r="B3434" s="22"/>
      <c r="C3434" s="22"/>
      <c r="D3434" s="22"/>
      <c r="E3434" s="15"/>
      <c r="F3434" s="15"/>
      <c r="G3434" s="15"/>
      <c r="H3434" s="15"/>
      <c r="I3434" s="15"/>
      <c r="J3434" s="15"/>
      <c r="K3434" s="15"/>
      <c r="L3434" s="15"/>
      <c r="M3434" s="16"/>
      <c r="N3434" s="16"/>
      <c r="O3434" s="15"/>
      <c r="P3434" s="15"/>
    </row>
    <row r="3435">
      <c r="A3435" s="15"/>
      <c r="B3435" s="22"/>
      <c r="C3435" s="22"/>
      <c r="D3435" s="22"/>
      <c r="E3435" s="15"/>
      <c r="F3435" s="15"/>
      <c r="G3435" s="15"/>
      <c r="H3435" s="15"/>
      <c r="I3435" s="15"/>
      <c r="J3435" s="15"/>
      <c r="K3435" s="15"/>
      <c r="L3435" s="15"/>
      <c r="M3435" s="16"/>
      <c r="N3435" s="16"/>
      <c r="O3435" s="15"/>
      <c r="P3435" s="15"/>
    </row>
    <row r="3436">
      <c r="A3436" s="15"/>
      <c r="B3436" s="22"/>
      <c r="C3436" s="22"/>
      <c r="D3436" s="22"/>
      <c r="E3436" s="15"/>
      <c r="F3436" s="15"/>
      <c r="G3436" s="15"/>
      <c r="H3436" s="15"/>
      <c r="I3436" s="15"/>
      <c r="J3436" s="15"/>
      <c r="K3436" s="15"/>
      <c r="L3436" s="15"/>
      <c r="M3436" s="16"/>
      <c r="N3436" s="16"/>
      <c r="O3436" s="15"/>
      <c r="P3436" s="15"/>
    </row>
    <row r="3437">
      <c r="A3437" s="15"/>
      <c r="B3437" s="22"/>
      <c r="C3437" s="22"/>
      <c r="D3437" s="22"/>
      <c r="E3437" s="15"/>
      <c r="F3437" s="15"/>
      <c r="G3437" s="15"/>
      <c r="H3437" s="15"/>
      <c r="I3437" s="15"/>
      <c r="J3437" s="15"/>
      <c r="K3437" s="15"/>
      <c r="L3437" s="15"/>
      <c r="M3437" s="16"/>
      <c r="N3437" s="16"/>
      <c r="O3437" s="15"/>
      <c r="P3437" s="15"/>
    </row>
    <row r="3438">
      <c r="A3438" s="15"/>
      <c r="B3438" s="22"/>
      <c r="C3438" s="22"/>
      <c r="D3438" s="22"/>
      <c r="E3438" s="15"/>
      <c r="F3438" s="15"/>
      <c r="G3438" s="15"/>
      <c r="H3438" s="15"/>
      <c r="I3438" s="15"/>
      <c r="J3438" s="15"/>
      <c r="K3438" s="15"/>
      <c r="L3438" s="15"/>
      <c r="M3438" s="16"/>
      <c r="N3438" s="16"/>
      <c r="O3438" s="15"/>
      <c r="P3438" s="15"/>
    </row>
    <row r="3439">
      <c r="A3439" s="15"/>
      <c r="B3439" s="22"/>
      <c r="C3439" s="22"/>
      <c r="D3439" s="22"/>
      <c r="E3439" s="15"/>
      <c r="F3439" s="15"/>
      <c r="G3439" s="15"/>
      <c r="H3439" s="15"/>
      <c r="I3439" s="15"/>
      <c r="J3439" s="15"/>
      <c r="K3439" s="15"/>
      <c r="L3439" s="15"/>
      <c r="M3439" s="16"/>
      <c r="N3439" s="16"/>
      <c r="O3439" s="15"/>
      <c r="P3439" s="15"/>
    </row>
    <row r="3440">
      <c r="A3440" s="15"/>
      <c r="B3440" s="22"/>
      <c r="C3440" s="22"/>
      <c r="D3440" s="22"/>
      <c r="E3440" s="15"/>
      <c r="F3440" s="15"/>
      <c r="G3440" s="15"/>
      <c r="H3440" s="15"/>
      <c r="I3440" s="15"/>
      <c r="J3440" s="15"/>
      <c r="K3440" s="15"/>
      <c r="L3440" s="15"/>
      <c r="M3440" s="16"/>
      <c r="N3440" s="16"/>
      <c r="O3440" s="15"/>
      <c r="P3440" s="15"/>
    </row>
    <row r="3441">
      <c r="A3441" s="15"/>
      <c r="B3441" s="22"/>
      <c r="C3441" s="22"/>
      <c r="D3441" s="22"/>
      <c r="E3441" s="15"/>
      <c r="F3441" s="15"/>
      <c r="G3441" s="15"/>
      <c r="H3441" s="15"/>
      <c r="I3441" s="15"/>
      <c r="J3441" s="15"/>
      <c r="K3441" s="15"/>
      <c r="L3441" s="15"/>
      <c r="M3441" s="16"/>
      <c r="N3441" s="16"/>
      <c r="O3441" s="15"/>
      <c r="P3441" s="15"/>
    </row>
    <row r="3442">
      <c r="A3442" s="15"/>
      <c r="B3442" s="22"/>
      <c r="C3442" s="22"/>
      <c r="D3442" s="22"/>
      <c r="E3442" s="15"/>
      <c r="F3442" s="15"/>
      <c r="G3442" s="15"/>
      <c r="H3442" s="15"/>
      <c r="I3442" s="15"/>
      <c r="J3442" s="15"/>
      <c r="K3442" s="15"/>
      <c r="L3442" s="15"/>
      <c r="M3442" s="16"/>
      <c r="N3442" s="16"/>
      <c r="O3442" s="15"/>
      <c r="P3442" s="15"/>
    </row>
    <row r="3443">
      <c r="A3443" s="15"/>
      <c r="B3443" s="22"/>
      <c r="C3443" s="22"/>
      <c r="D3443" s="22"/>
      <c r="E3443" s="15"/>
      <c r="F3443" s="15"/>
      <c r="G3443" s="15"/>
      <c r="H3443" s="15"/>
      <c r="I3443" s="15"/>
      <c r="J3443" s="15"/>
      <c r="K3443" s="15"/>
      <c r="L3443" s="15"/>
      <c r="M3443" s="16"/>
      <c r="N3443" s="16"/>
      <c r="O3443" s="15"/>
      <c r="P3443" s="15"/>
    </row>
    <row r="3444">
      <c r="A3444" s="15"/>
      <c r="B3444" s="22"/>
      <c r="C3444" s="22"/>
      <c r="D3444" s="22"/>
      <c r="E3444" s="15"/>
      <c r="F3444" s="15"/>
      <c r="G3444" s="15"/>
      <c r="H3444" s="15"/>
      <c r="I3444" s="15"/>
      <c r="J3444" s="15"/>
      <c r="K3444" s="15"/>
      <c r="L3444" s="15"/>
      <c r="M3444" s="16"/>
      <c r="N3444" s="16"/>
      <c r="O3444" s="15"/>
      <c r="P3444" s="15"/>
    </row>
    <row r="3445">
      <c r="A3445" s="15"/>
      <c r="B3445" s="22"/>
      <c r="C3445" s="22"/>
      <c r="D3445" s="22"/>
      <c r="E3445" s="15"/>
      <c r="F3445" s="15"/>
      <c r="G3445" s="15"/>
      <c r="H3445" s="15"/>
      <c r="I3445" s="15"/>
      <c r="J3445" s="15"/>
      <c r="K3445" s="15"/>
      <c r="L3445" s="15"/>
      <c r="M3445" s="16"/>
      <c r="N3445" s="16"/>
      <c r="O3445" s="15"/>
      <c r="P3445" s="15"/>
    </row>
    <row r="3446">
      <c r="A3446" s="15"/>
      <c r="B3446" s="22"/>
      <c r="C3446" s="22"/>
      <c r="D3446" s="22"/>
      <c r="E3446" s="15"/>
      <c r="F3446" s="15"/>
      <c r="G3446" s="15"/>
      <c r="H3446" s="15"/>
      <c r="I3446" s="15"/>
      <c r="J3446" s="15"/>
      <c r="K3446" s="15"/>
      <c r="L3446" s="15"/>
      <c r="M3446" s="16"/>
      <c r="N3446" s="16"/>
      <c r="O3446" s="15"/>
      <c r="P3446" s="15"/>
    </row>
    <row r="3447">
      <c r="A3447" s="15"/>
      <c r="B3447" s="22"/>
      <c r="C3447" s="22"/>
      <c r="D3447" s="22"/>
      <c r="E3447" s="15"/>
      <c r="F3447" s="15"/>
      <c r="G3447" s="15"/>
      <c r="H3447" s="15"/>
      <c r="I3447" s="15"/>
      <c r="J3447" s="15"/>
      <c r="K3447" s="15"/>
      <c r="L3447" s="15"/>
      <c r="M3447" s="16"/>
      <c r="N3447" s="16"/>
      <c r="O3447" s="15"/>
      <c r="P3447" s="15"/>
    </row>
    <row r="3448">
      <c r="A3448" s="15"/>
      <c r="B3448" s="22"/>
      <c r="C3448" s="22"/>
      <c r="D3448" s="22"/>
      <c r="E3448" s="15"/>
      <c r="F3448" s="15"/>
      <c r="G3448" s="15"/>
      <c r="H3448" s="15"/>
      <c r="I3448" s="15"/>
      <c r="J3448" s="15"/>
      <c r="K3448" s="15"/>
      <c r="L3448" s="15"/>
      <c r="M3448" s="16"/>
      <c r="N3448" s="16"/>
      <c r="O3448" s="15"/>
      <c r="P3448" s="15"/>
    </row>
    <row r="3449">
      <c r="A3449" s="15"/>
      <c r="B3449" s="22"/>
      <c r="C3449" s="22"/>
      <c r="D3449" s="22"/>
      <c r="E3449" s="15"/>
      <c r="F3449" s="15"/>
      <c r="G3449" s="15"/>
      <c r="H3449" s="15"/>
      <c r="I3449" s="15"/>
      <c r="J3449" s="15"/>
      <c r="K3449" s="15"/>
      <c r="L3449" s="15"/>
      <c r="M3449" s="16"/>
      <c r="N3449" s="16"/>
      <c r="O3449" s="15"/>
      <c r="P3449" s="15"/>
    </row>
    <row r="3450">
      <c r="A3450" s="15"/>
      <c r="B3450" s="22"/>
      <c r="C3450" s="22"/>
      <c r="D3450" s="22"/>
      <c r="E3450" s="15"/>
      <c r="F3450" s="15"/>
      <c r="G3450" s="15"/>
      <c r="H3450" s="15"/>
      <c r="I3450" s="15"/>
      <c r="J3450" s="15"/>
      <c r="K3450" s="15"/>
      <c r="L3450" s="15"/>
      <c r="M3450" s="16"/>
      <c r="N3450" s="16"/>
      <c r="O3450" s="15"/>
      <c r="P3450" s="15"/>
    </row>
    <row r="3451">
      <c r="A3451" s="15"/>
      <c r="B3451" s="22"/>
      <c r="C3451" s="22"/>
      <c r="D3451" s="22"/>
      <c r="E3451" s="15"/>
      <c r="F3451" s="15"/>
      <c r="G3451" s="15"/>
      <c r="H3451" s="15"/>
      <c r="I3451" s="15"/>
      <c r="J3451" s="15"/>
      <c r="K3451" s="15"/>
      <c r="L3451" s="15"/>
      <c r="M3451" s="16"/>
      <c r="N3451" s="16"/>
      <c r="O3451" s="15"/>
      <c r="P3451" s="15"/>
    </row>
    <row r="3452">
      <c r="A3452" s="15"/>
      <c r="B3452" s="22"/>
      <c r="C3452" s="22"/>
      <c r="D3452" s="22"/>
      <c r="E3452" s="15"/>
      <c r="F3452" s="15"/>
      <c r="G3452" s="15"/>
      <c r="H3452" s="15"/>
      <c r="I3452" s="15"/>
      <c r="J3452" s="15"/>
      <c r="K3452" s="15"/>
      <c r="L3452" s="15"/>
      <c r="M3452" s="16"/>
      <c r="N3452" s="16"/>
      <c r="O3452" s="15"/>
      <c r="P3452" s="15"/>
    </row>
    <row r="3453">
      <c r="A3453" s="15"/>
      <c r="B3453" s="22"/>
      <c r="C3453" s="22"/>
      <c r="D3453" s="22"/>
      <c r="E3453" s="15"/>
      <c r="F3453" s="15"/>
      <c r="G3453" s="15"/>
      <c r="H3453" s="15"/>
      <c r="I3453" s="15"/>
      <c r="J3453" s="15"/>
      <c r="K3453" s="15"/>
      <c r="L3453" s="15"/>
      <c r="M3453" s="16"/>
      <c r="N3453" s="16"/>
      <c r="O3453" s="15"/>
      <c r="P3453" s="15"/>
    </row>
    <row r="3454">
      <c r="A3454" s="15"/>
      <c r="B3454" s="22"/>
      <c r="C3454" s="22"/>
      <c r="D3454" s="22"/>
      <c r="E3454" s="15"/>
      <c r="F3454" s="15"/>
      <c r="G3454" s="15"/>
      <c r="H3454" s="15"/>
      <c r="I3454" s="15"/>
      <c r="J3454" s="15"/>
      <c r="K3454" s="15"/>
      <c r="L3454" s="15"/>
      <c r="M3454" s="16"/>
      <c r="N3454" s="16"/>
      <c r="O3454" s="15"/>
      <c r="P3454" s="15"/>
    </row>
    <row r="3455">
      <c r="A3455" s="15"/>
      <c r="B3455" s="22"/>
      <c r="C3455" s="22"/>
      <c r="D3455" s="22"/>
      <c r="E3455" s="15"/>
      <c r="F3455" s="15"/>
      <c r="G3455" s="15"/>
      <c r="H3455" s="15"/>
      <c r="I3455" s="15"/>
      <c r="J3455" s="15"/>
      <c r="K3455" s="15"/>
      <c r="L3455" s="15"/>
      <c r="M3455" s="16"/>
      <c r="N3455" s="16"/>
      <c r="O3455" s="15"/>
      <c r="P3455" s="15"/>
    </row>
    <row r="3456">
      <c r="A3456" s="15"/>
      <c r="B3456" s="22"/>
      <c r="C3456" s="22"/>
      <c r="D3456" s="22"/>
      <c r="E3456" s="15"/>
      <c r="F3456" s="15"/>
      <c r="G3456" s="15"/>
      <c r="H3456" s="15"/>
      <c r="I3456" s="15"/>
      <c r="J3456" s="15"/>
      <c r="K3456" s="15"/>
      <c r="L3456" s="15"/>
      <c r="M3456" s="16"/>
      <c r="N3456" s="16"/>
      <c r="O3456" s="15"/>
      <c r="P3456" s="15"/>
    </row>
    <row r="3457">
      <c r="A3457" s="15"/>
      <c r="B3457" s="22"/>
      <c r="C3457" s="22"/>
      <c r="D3457" s="22"/>
      <c r="E3457" s="15"/>
      <c r="F3457" s="15"/>
      <c r="G3457" s="15"/>
      <c r="H3457" s="15"/>
      <c r="I3457" s="15"/>
      <c r="J3457" s="15"/>
      <c r="K3457" s="15"/>
      <c r="L3457" s="15"/>
      <c r="M3457" s="16"/>
      <c r="N3457" s="16"/>
      <c r="O3457" s="15"/>
      <c r="P3457" s="15"/>
    </row>
    <row r="3458">
      <c r="A3458" s="15"/>
      <c r="B3458" s="22"/>
      <c r="C3458" s="22"/>
      <c r="D3458" s="22"/>
      <c r="E3458" s="15"/>
      <c r="F3458" s="15"/>
      <c r="G3458" s="15"/>
      <c r="H3458" s="15"/>
      <c r="I3458" s="15"/>
      <c r="J3458" s="15"/>
      <c r="K3458" s="15"/>
      <c r="L3458" s="15"/>
      <c r="M3458" s="16"/>
      <c r="N3458" s="16"/>
      <c r="O3458" s="15"/>
      <c r="P3458" s="15"/>
    </row>
    <row r="3459">
      <c r="A3459" s="15"/>
      <c r="B3459" s="22"/>
      <c r="C3459" s="22"/>
      <c r="D3459" s="22"/>
      <c r="E3459" s="15"/>
      <c r="F3459" s="15"/>
      <c r="G3459" s="15"/>
      <c r="H3459" s="15"/>
      <c r="I3459" s="15"/>
      <c r="J3459" s="15"/>
      <c r="K3459" s="15"/>
      <c r="L3459" s="15"/>
      <c r="M3459" s="16"/>
      <c r="N3459" s="16"/>
      <c r="O3459" s="15"/>
      <c r="P3459" s="15"/>
    </row>
    <row r="3460">
      <c r="A3460" s="15"/>
      <c r="B3460" s="22"/>
      <c r="C3460" s="22"/>
      <c r="D3460" s="22"/>
      <c r="E3460" s="15"/>
      <c r="F3460" s="15"/>
      <c r="G3460" s="15"/>
      <c r="H3460" s="15"/>
      <c r="I3460" s="15"/>
      <c r="J3460" s="15"/>
      <c r="K3460" s="15"/>
      <c r="L3460" s="15"/>
      <c r="M3460" s="16"/>
      <c r="N3460" s="16"/>
      <c r="O3460" s="15"/>
      <c r="P3460" s="15"/>
    </row>
    <row r="3461">
      <c r="A3461" s="15"/>
      <c r="B3461" s="22"/>
      <c r="C3461" s="22"/>
      <c r="D3461" s="22"/>
      <c r="E3461" s="15"/>
      <c r="F3461" s="15"/>
      <c r="G3461" s="15"/>
      <c r="H3461" s="15"/>
      <c r="I3461" s="15"/>
      <c r="J3461" s="15"/>
      <c r="K3461" s="15"/>
      <c r="L3461" s="15"/>
      <c r="M3461" s="16"/>
      <c r="N3461" s="16"/>
      <c r="O3461" s="15"/>
      <c r="P3461" s="15"/>
    </row>
    <row r="3462">
      <c r="A3462" s="15"/>
      <c r="B3462" s="22"/>
      <c r="C3462" s="22"/>
      <c r="D3462" s="22"/>
      <c r="E3462" s="15"/>
      <c r="F3462" s="15"/>
      <c r="G3462" s="15"/>
      <c r="H3462" s="15"/>
      <c r="I3462" s="15"/>
      <c r="J3462" s="15"/>
      <c r="K3462" s="15"/>
      <c r="L3462" s="15"/>
      <c r="M3462" s="16"/>
      <c r="N3462" s="16"/>
      <c r="O3462" s="15"/>
      <c r="P3462" s="15"/>
    </row>
    <row r="3463">
      <c r="A3463" s="15"/>
      <c r="B3463" s="22"/>
      <c r="C3463" s="22"/>
      <c r="D3463" s="22"/>
      <c r="E3463" s="15"/>
      <c r="F3463" s="15"/>
      <c r="G3463" s="15"/>
      <c r="H3463" s="15"/>
      <c r="I3463" s="15"/>
      <c r="J3463" s="15"/>
      <c r="K3463" s="15"/>
      <c r="L3463" s="15"/>
      <c r="M3463" s="16"/>
      <c r="N3463" s="16"/>
      <c r="O3463" s="15"/>
      <c r="P3463" s="15"/>
    </row>
    <row r="3464">
      <c r="A3464" s="15"/>
      <c r="B3464" s="22"/>
      <c r="C3464" s="22"/>
      <c r="D3464" s="22"/>
      <c r="E3464" s="15"/>
      <c r="F3464" s="15"/>
      <c r="G3464" s="15"/>
      <c r="H3464" s="15"/>
      <c r="I3464" s="15"/>
      <c r="J3464" s="15"/>
      <c r="K3464" s="15"/>
      <c r="L3464" s="15"/>
      <c r="M3464" s="16"/>
      <c r="N3464" s="16"/>
      <c r="O3464" s="15"/>
      <c r="P3464" s="15"/>
    </row>
    <row r="3465">
      <c r="A3465" s="15"/>
      <c r="B3465" s="22"/>
      <c r="C3465" s="22"/>
      <c r="D3465" s="22"/>
      <c r="E3465" s="15"/>
      <c r="F3465" s="15"/>
      <c r="G3465" s="15"/>
      <c r="H3465" s="15"/>
      <c r="I3465" s="15"/>
      <c r="J3465" s="15"/>
      <c r="K3465" s="15"/>
      <c r="L3465" s="15"/>
      <c r="M3465" s="16"/>
      <c r="N3465" s="16"/>
      <c r="O3465" s="15"/>
      <c r="P3465" s="15"/>
    </row>
    <row r="3466">
      <c r="A3466" s="15"/>
      <c r="B3466" s="22"/>
      <c r="C3466" s="22"/>
      <c r="D3466" s="22"/>
      <c r="E3466" s="15"/>
      <c r="F3466" s="15"/>
      <c r="G3466" s="15"/>
      <c r="H3466" s="15"/>
      <c r="I3466" s="15"/>
      <c r="J3466" s="15"/>
      <c r="K3466" s="15"/>
      <c r="L3466" s="15"/>
      <c r="M3466" s="16"/>
      <c r="N3466" s="16"/>
      <c r="O3466" s="15"/>
      <c r="P3466" s="15"/>
    </row>
    <row r="3467">
      <c r="A3467" s="15"/>
      <c r="B3467" s="22"/>
      <c r="C3467" s="22"/>
      <c r="D3467" s="22"/>
      <c r="E3467" s="15"/>
      <c r="F3467" s="15"/>
      <c r="G3467" s="15"/>
      <c r="H3467" s="15"/>
      <c r="I3467" s="15"/>
      <c r="J3467" s="15"/>
      <c r="K3467" s="15"/>
      <c r="L3467" s="15"/>
      <c r="M3467" s="16"/>
      <c r="N3467" s="16"/>
      <c r="O3467" s="15"/>
      <c r="P3467" s="15"/>
    </row>
    <row r="3468">
      <c r="A3468" s="15"/>
      <c r="B3468" s="22"/>
      <c r="C3468" s="22"/>
      <c r="D3468" s="22"/>
      <c r="E3468" s="15"/>
      <c r="F3468" s="15"/>
      <c r="G3468" s="15"/>
      <c r="H3468" s="15"/>
      <c r="I3468" s="15"/>
      <c r="J3468" s="15"/>
      <c r="K3468" s="15"/>
      <c r="L3468" s="15"/>
      <c r="M3468" s="16"/>
      <c r="N3468" s="16"/>
      <c r="O3468" s="15"/>
      <c r="P3468" s="15"/>
    </row>
    <row r="3469">
      <c r="A3469" s="15"/>
      <c r="B3469" s="22"/>
      <c r="C3469" s="22"/>
      <c r="D3469" s="22"/>
      <c r="E3469" s="15"/>
      <c r="F3469" s="15"/>
      <c r="G3469" s="15"/>
      <c r="H3469" s="15"/>
      <c r="I3469" s="15"/>
      <c r="J3469" s="15"/>
      <c r="K3469" s="15"/>
      <c r="L3469" s="15"/>
      <c r="M3469" s="16"/>
      <c r="N3469" s="16"/>
      <c r="O3469" s="15"/>
      <c r="P3469" s="15"/>
    </row>
    <row r="3470">
      <c r="A3470" s="15"/>
      <c r="B3470" s="22"/>
      <c r="C3470" s="22"/>
      <c r="D3470" s="22"/>
      <c r="E3470" s="15"/>
      <c r="F3470" s="15"/>
      <c r="G3470" s="15"/>
      <c r="H3470" s="15"/>
      <c r="I3470" s="15"/>
      <c r="J3470" s="15"/>
      <c r="K3470" s="15"/>
      <c r="L3470" s="15"/>
      <c r="M3470" s="16"/>
      <c r="N3470" s="16"/>
      <c r="O3470" s="15"/>
      <c r="P3470" s="15"/>
    </row>
    <row r="3471">
      <c r="A3471" s="15"/>
      <c r="B3471" s="22"/>
      <c r="C3471" s="22"/>
      <c r="D3471" s="22"/>
      <c r="E3471" s="15"/>
      <c r="F3471" s="15"/>
      <c r="G3471" s="15"/>
      <c r="H3471" s="15"/>
      <c r="I3471" s="15"/>
      <c r="J3471" s="15"/>
      <c r="K3471" s="15"/>
      <c r="L3471" s="15"/>
      <c r="M3471" s="16"/>
      <c r="N3471" s="16"/>
      <c r="O3471" s="15"/>
      <c r="P3471" s="15"/>
    </row>
    <row r="3472">
      <c r="A3472" s="15"/>
      <c r="B3472" s="22"/>
      <c r="C3472" s="22"/>
      <c r="D3472" s="22"/>
      <c r="E3472" s="15"/>
      <c r="F3472" s="15"/>
      <c r="G3472" s="15"/>
      <c r="H3472" s="15"/>
      <c r="I3472" s="15"/>
      <c r="J3472" s="15"/>
      <c r="K3472" s="15"/>
      <c r="L3472" s="15"/>
      <c r="M3472" s="16"/>
      <c r="N3472" s="16"/>
      <c r="O3472" s="15"/>
      <c r="P3472" s="15"/>
    </row>
    <row r="3473">
      <c r="A3473" s="15"/>
      <c r="B3473" s="22"/>
      <c r="C3473" s="22"/>
      <c r="D3473" s="22"/>
      <c r="E3473" s="15"/>
      <c r="F3473" s="15"/>
      <c r="G3473" s="15"/>
      <c r="H3473" s="15"/>
      <c r="I3473" s="15"/>
      <c r="J3473" s="15"/>
      <c r="K3473" s="15"/>
      <c r="L3473" s="15"/>
      <c r="M3473" s="16"/>
      <c r="N3473" s="16"/>
      <c r="O3473" s="15"/>
      <c r="P3473" s="15"/>
    </row>
    <row r="3474">
      <c r="A3474" s="15"/>
      <c r="B3474" s="22"/>
      <c r="C3474" s="22"/>
      <c r="D3474" s="22"/>
      <c r="E3474" s="15"/>
      <c r="F3474" s="15"/>
      <c r="G3474" s="15"/>
      <c r="H3474" s="15"/>
      <c r="I3474" s="15"/>
      <c r="J3474" s="15"/>
      <c r="K3474" s="15"/>
      <c r="L3474" s="15"/>
      <c r="M3474" s="16"/>
      <c r="N3474" s="16"/>
      <c r="O3474" s="15"/>
      <c r="P3474" s="15"/>
    </row>
    <row r="3475">
      <c r="A3475" s="15"/>
      <c r="B3475" s="22"/>
      <c r="C3475" s="22"/>
      <c r="D3475" s="22"/>
      <c r="E3475" s="15"/>
      <c r="F3475" s="15"/>
      <c r="G3475" s="15"/>
      <c r="H3475" s="15"/>
      <c r="I3475" s="15"/>
      <c r="J3475" s="15"/>
      <c r="K3475" s="15"/>
      <c r="L3475" s="15"/>
      <c r="M3475" s="16"/>
      <c r="N3475" s="16"/>
      <c r="O3475" s="15"/>
      <c r="P3475" s="15"/>
    </row>
    <row r="3476">
      <c r="A3476" s="15"/>
      <c r="B3476" s="22"/>
      <c r="C3476" s="22"/>
      <c r="D3476" s="22"/>
      <c r="E3476" s="15"/>
      <c r="F3476" s="15"/>
      <c r="G3476" s="15"/>
      <c r="H3476" s="15"/>
      <c r="I3476" s="15"/>
      <c r="J3476" s="15"/>
      <c r="K3476" s="15"/>
      <c r="L3476" s="15"/>
      <c r="M3476" s="16"/>
      <c r="N3476" s="16"/>
      <c r="O3476" s="15"/>
      <c r="P3476" s="15"/>
    </row>
    <row r="3477">
      <c r="A3477" s="15"/>
      <c r="B3477" s="22"/>
      <c r="C3477" s="22"/>
      <c r="D3477" s="22"/>
      <c r="E3477" s="15"/>
      <c r="F3477" s="15"/>
      <c r="G3477" s="15"/>
      <c r="H3477" s="15"/>
      <c r="I3477" s="15"/>
      <c r="J3477" s="15"/>
      <c r="K3477" s="15"/>
      <c r="L3477" s="15"/>
      <c r="M3477" s="16"/>
      <c r="N3477" s="16"/>
      <c r="O3477" s="15"/>
      <c r="P3477" s="15"/>
    </row>
    <row r="3478">
      <c r="A3478" s="15"/>
      <c r="B3478" s="22"/>
      <c r="C3478" s="22"/>
      <c r="D3478" s="22"/>
      <c r="E3478" s="15"/>
      <c r="F3478" s="15"/>
      <c r="G3478" s="15"/>
      <c r="H3478" s="15"/>
      <c r="I3478" s="15"/>
      <c r="J3478" s="15"/>
      <c r="K3478" s="15"/>
      <c r="L3478" s="15"/>
      <c r="M3478" s="16"/>
      <c r="N3478" s="16"/>
      <c r="O3478" s="15"/>
      <c r="P3478" s="15"/>
    </row>
    <row r="3479">
      <c r="A3479" s="15"/>
      <c r="B3479" s="22"/>
      <c r="C3479" s="22"/>
      <c r="D3479" s="22"/>
      <c r="E3479" s="15"/>
      <c r="F3479" s="15"/>
      <c r="G3479" s="15"/>
      <c r="H3479" s="15"/>
      <c r="I3479" s="15"/>
      <c r="J3479" s="15"/>
      <c r="K3479" s="15"/>
      <c r="L3479" s="15"/>
      <c r="M3479" s="16"/>
      <c r="N3479" s="16"/>
      <c r="O3479" s="15"/>
      <c r="P3479" s="15"/>
    </row>
    <row r="3480">
      <c r="A3480" s="15"/>
      <c r="B3480" s="22"/>
      <c r="C3480" s="22"/>
      <c r="D3480" s="22"/>
      <c r="E3480" s="15"/>
      <c r="F3480" s="15"/>
      <c r="G3480" s="15"/>
      <c r="H3480" s="15"/>
      <c r="I3480" s="15"/>
      <c r="J3480" s="15"/>
      <c r="K3480" s="15"/>
      <c r="L3480" s="15"/>
      <c r="M3480" s="16"/>
      <c r="N3480" s="16"/>
      <c r="O3480" s="15"/>
      <c r="P3480" s="15"/>
    </row>
    <row r="3481">
      <c r="A3481" s="15"/>
      <c r="B3481" s="22"/>
      <c r="C3481" s="22"/>
      <c r="D3481" s="22"/>
      <c r="E3481" s="15"/>
      <c r="F3481" s="15"/>
      <c r="G3481" s="15"/>
      <c r="H3481" s="15"/>
      <c r="I3481" s="15"/>
      <c r="J3481" s="15"/>
      <c r="K3481" s="15"/>
      <c r="L3481" s="15"/>
      <c r="M3481" s="16"/>
      <c r="N3481" s="16"/>
      <c r="O3481" s="15"/>
      <c r="P3481" s="15"/>
    </row>
    <row r="3482">
      <c r="A3482" s="15"/>
      <c r="B3482" s="22"/>
      <c r="C3482" s="22"/>
      <c r="D3482" s="22"/>
      <c r="E3482" s="15"/>
      <c r="F3482" s="15"/>
      <c r="G3482" s="15"/>
      <c r="H3482" s="15"/>
      <c r="I3482" s="15"/>
      <c r="J3482" s="15"/>
      <c r="K3482" s="15"/>
      <c r="L3482" s="15"/>
      <c r="M3482" s="16"/>
      <c r="N3482" s="16"/>
      <c r="O3482" s="15"/>
      <c r="P3482" s="15"/>
    </row>
    <row r="3483">
      <c r="A3483" s="15"/>
      <c r="B3483" s="22"/>
      <c r="C3483" s="22"/>
      <c r="D3483" s="22"/>
      <c r="E3483" s="15"/>
      <c r="F3483" s="15"/>
      <c r="G3483" s="15"/>
      <c r="H3483" s="15"/>
      <c r="I3483" s="15"/>
      <c r="J3483" s="15"/>
      <c r="K3483" s="15"/>
      <c r="L3483" s="15"/>
      <c r="M3483" s="16"/>
      <c r="N3483" s="16"/>
      <c r="O3483" s="15"/>
      <c r="P3483" s="15"/>
    </row>
    <row r="3484">
      <c r="A3484" s="15"/>
      <c r="B3484" s="22"/>
      <c r="C3484" s="22"/>
      <c r="D3484" s="22"/>
      <c r="E3484" s="15"/>
      <c r="F3484" s="15"/>
      <c r="G3484" s="15"/>
      <c r="H3484" s="15"/>
      <c r="I3484" s="15"/>
      <c r="J3484" s="15"/>
      <c r="K3484" s="15"/>
      <c r="L3484" s="15"/>
      <c r="M3484" s="16"/>
      <c r="N3484" s="16"/>
      <c r="O3484" s="15"/>
      <c r="P3484" s="15"/>
    </row>
    <row r="3485">
      <c r="A3485" s="15"/>
      <c r="B3485" s="22"/>
      <c r="C3485" s="22"/>
      <c r="D3485" s="22"/>
      <c r="E3485" s="15"/>
      <c r="F3485" s="15"/>
      <c r="G3485" s="15"/>
      <c r="H3485" s="15"/>
      <c r="I3485" s="15"/>
      <c r="J3485" s="15"/>
      <c r="K3485" s="15"/>
      <c r="L3485" s="15"/>
      <c r="M3485" s="16"/>
      <c r="N3485" s="16"/>
      <c r="O3485" s="15"/>
      <c r="P3485" s="15"/>
    </row>
    <row r="3486">
      <c r="A3486" s="15"/>
      <c r="B3486" s="22"/>
      <c r="C3486" s="22"/>
      <c r="D3486" s="22"/>
      <c r="E3486" s="15"/>
      <c r="F3486" s="15"/>
      <c r="G3486" s="15"/>
      <c r="H3486" s="15"/>
      <c r="I3486" s="15"/>
      <c r="J3486" s="15"/>
      <c r="K3486" s="15"/>
      <c r="L3486" s="15"/>
      <c r="M3486" s="16"/>
      <c r="N3486" s="16"/>
      <c r="O3486" s="15"/>
      <c r="P3486" s="15"/>
    </row>
    <row r="3487">
      <c r="A3487" s="15"/>
      <c r="B3487" s="22"/>
      <c r="C3487" s="22"/>
      <c r="D3487" s="22"/>
      <c r="E3487" s="15"/>
      <c r="F3487" s="15"/>
      <c r="G3487" s="15"/>
      <c r="H3487" s="15"/>
      <c r="I3487" s="15"/>
      <c r="J3487" s="15"/>
      <c r="K3487" s="15"/>
      <c r="L3487" s="15"/>
      <c r="M3487" s="16"/>
      <c r="N3487" s="16"/>
      <c r="O3487" s="15"/>
      <c r="P3487" s="15"/>
    </row>
    <row r="3488">
      <c r="A3488" s="15"/>
      <c r="B3488" s="22"/>
      <c r="C3488" s="22"/>
      <c r="D3488" s="22"/>
      <c r="E3488" s="15"/>
      <c r="F3488" s="15"/>
      <c r="G3488" s="15"/>
      <c r="H3488" s="15"/>
      <c r="I3488" s="15"/>
      <c r="J3488" s="15"/>
      <c r="K3488" s="15"/>
      <c r="L3488" s="15"/>
      <c r="M3488" s="16"/>
      <c r="N3488" s="16"/>
      <c r="O3488" s="15"/>
      <c r="P3488" s="15"/>
    </row>
    <row r="3489">
      <c r="A3489" s="15"/>
      <c r="B3489" s="22"/>
      <c r="C3489" s="22"/>
      <c r="D3489" s="22"/>
      <c r="E3489" s="15"/>
      <c r="F3489" s="15"/>
      <c r="G3489" s="15"/>
      <c r="H3489" s="15"/>
      <c r="I3489" s="15"/>
      <c r="J3489" s="15"/>
      <c r="K3489" s="15"/>
      <c r="L3489" s="15"/>
      <c r="M3489" s="16"/>
      <c r="N3489" s="16"/>
      <c r="O3489" s="15"/>
      <c r="P3489" s="15"/>
    </row>
    <row r="3490">
      <c r="A3490" s="15"/>
      <c r="B3490" s="22"/>
      <c r="C3490" s="22"/>
      <c r="D3490" s="22"/>
      <c r="E3490" s="15"/>
      <c r="F3490" s="15"/>
      <c r="G3490" s="15"/>
      <c r="H3490" s="15"/>
      <c r="I3490" s="15"/>
      <c r="J3490" s="15"/>
      <c r="K3490" s="15"/>
      <c r="L3490" s="15"/>
      <c r="M3490" s="16"/>
      <c r="N3490" s="16"/>
      <c r="O3490" s="15"/>
      <c r="P3490" s="15"/>
    </row>
    <row r="3491">
      <c r="A3491" s="15"/>
      <c r="B3491" s="22"/>
      <c r="C3491" s="22"/>
      <c r="D3491" s="22"/>
      <c r="E3491" s="15"/>
      <c r="F3491" s="15"/>
      <c r="G3491" s="15"/>
      <c r="H3491" s="15"/>
      <c r="I3491" s="15"/>
      <c r="J3491" s="15"/>
      <c r="K3491" s="15"/>
      <c r="L3491" s="15"/>
      <c r="M3491" s="16"/>
      <c r="N3491" s="16"/>
      <c r="O3491" s="15"/>
      <c r="P3491" s="15"/>
    </row>
    <row r="3492">
      <c r="A3492" s="15"/>
      <c r="B3492" s="22"/>
      <c r="C3492" s="22"/>
      <c r="D3492" s="22"/>
      <c r="E3492" s="15"/>
      <c r="F3492" s="15"/>
      <c r="G3492" s="15"/>
      <c r="H3492" s="15"/>
      <c r="I3492" s="15"/>
      <c r="J3492" s="15"/>
      <c r="K3492" s="15"/>
      <c r="L3492" s="15"/>
      <c r="M3492" s="16"/>
      <c r="N3492" s="16"/>
      <c r="O3492" s="15"/>
      <c r="P3492" s="15"/>
    </row>
    <row r="3493">
      <c r="A3493" s="15"/>
      <c r="B3493" s="22"/>
      <c r="C3493" s="22"/>
      <c r="D3493" s="22"/>
      <c r="E3493" s="15"/>
      <c r="F3493" s="15"/>
      <c r="G3493" s="15"/>
      <c r="H3493" s="15"/>
      <c r="I3493" s="15"/>
      <c r="J3493" s="15"/>
      <c r="K3493" s="15"/>
      <c r="L3493" s="15"/>
      <c r="M3493" s="16"/>
      <c r="N3493" s="16"/>
      <c r="O3493" s="15"/>
      <c r="P3493" s="15"/>
    </row>
    <row r="3494">
      <c r="A3494" s="15"/>
      <c r="B3494" s="22"/>
      <c r="C3494" s="22"/>
      <c r="D3494" s="22"/>
      <c r="E3494" s="15"/>
      <c r="F3494" s="15"/>
      <c r="G3494" s="15"/>
      <c r="H3494" s="15"/>
      <c r="I3494" s="15"/>
      <c r="J3494" s="15"/>
      <c r="K3494" s="15"/>
      <c r="L3494" s="15"/>
      <c r="M3494" s="16"/>
      <c r="N3494" s="16"/>
      <c r="O3494" s="15"/>
      <c r="P3494" s="15"/>
    </row>
    <row r="3495">
      <c r="A3495" s="15"/>
      <c r="B3495" s="22"/>
      <c r="C3495" s="22"/>
      <c r="D3495" s="22"/>
      <c r="E3495" s="15"/>
      <c r="F3495" s="15"/>
      <c r="G3495" s="15"/>
      <c r="H3495" s="15"/>
      <c r="I3495" s="15"/>
      <c r="J3495" s="15"/>
      <c r="K3495" s="15"/>
      <c r="L3495" s="15"/>
      <c r="M3495" s="16"/>
      <c r="N3495" s="16"/>
      <c r="O3495" s="15"/>
      <c r="P3495" s="15"/>
    </row>
    <row r="3496">
      <c r="A3496" s="15"/>
      <c r="B3496" s="22"/>
      <c r="C3496" s="22"/>
      <c r="D3496" s="22"/>
      <c r="E3496" s="15"/>
      <c r="F3496" s="15"/>
      <c r="G3496" s="15"/>
      <c r="H3496" s="15"/>
      <c r="I3496" s="15"/>
      <c r="J3496" s="15"/>
      <c r="K3496" s="15"/>
      <c r="L3496" s="15"/>
      <c r="M3496" s="16"/>
      <c r="N3496" s="16"/>
      <c r="O3496" s="15"/>
      <c r="P3496" s="15"/>
    </row>
    <row r="3497">
      <c r="A3497" s="15"/>
      <c r="B3497" s="22"/>
      <c r="C3497" s="22"/>
      <c r="D3497" s="22"/>
      <c r="E3497" s="15"/>
      <c r="F3497" s="15"/>
      <c r="G3497" s="15"/>
      <c r="H3497" s="15"/>
      <c r="I3497" s="15"/>
      <c r="J3497" s="15"/>
      <c r="K3497" s="15"/>
      <c r="L3497" s="15"/>
      <c r="M3497" s="16"/>
      <c r="N3497" s="16"/>
      <c r="O3497" s="15"/>
      <c r="P3497" s="15"/>
    </row>
    <row r="3498">
      <c r="A3498" s="15"/>
      <c r="B3498" s="22"/>
      <c r="C3498" s="22"/>
      <c r="D3498" s="22"/>
      <c r="E3498" s="15"/>
      <c r="F3498" s="15"/>
      <c r="G3498" s="15"/>
      <c r="H3498" s="15"/>
      <c r="I3498" s="15"/>
      <c r="J3498" s="15"/>
      <c r="K3498" s="15"/>
      <c r="L3498" s="15"/>
      <c r="M3498" s="16"/>
      <c r="N3498" s="16"/>
      <c r="O3498" s="15"/>
      <c r="P3498" s="15"/>
    </row>
    <row r="3499">
      <c r="A3499" s="15"/>
      <c r="B3499" s="22"/>
      <c r="C3499" s="22"/>
      <c r="D3499" s="22"/>
      <c r="E3499" s="15"/>
      <c r="F3499" s="15"/>
      <c r="G3499" s="15"/>
      <c r="H3499" s="15"/>
      <c r="I3499" s="15"/>
      <c r="J3499" s="15"/>
      <c r="K3499" s="15"/>
      <c r="L3499" s="15"/>
      <c r="M3499" s="16"/>
      <c r="N3499" s="16"/>
      <c r="O3499" s="15"/>
      <c r="P3499" s="15"/>
    </row>
    <row r="3500">
      <c r="A3500" s="15"/>
      <c r="B3500" s="22"/>
      <c r="C3500" s="22"/>
      <c r="D3500" s="22"/>
      <c r="E3500" s="15"/>
      <c r="F3500" s="15"/>
      <c r="G3500" s="15"/>
      <c r="H3500" s="15"/>
      <c r="I3500" s="15"/>
      <c r="J3500" s="15"/>
      <c r="K3500" s="15"/>
      <c r="L3500" s="15"/>
      <c r="M3500" s="16"/>
      <c r="N3500" s="16"/>
      <c r="O3500" s="15"/>
      <c r="P3500" s="15"/>
    </row>
    <row r="3501">
      <c r="A3501" s="15"/>
      <c r="B3501" s="22"/>
      <c r="C3501" s="22"/>
      <c r="D3501" s="22"/>
      <c r="E3501" s="15"/>
      <c r="F3501" s="15"/>
      <c r="G3501" s="15"/>
      <c r="H3501" s="15"/>
      <c r="I3501" s="15"/>
      <c r="J3501" s="15"/>
      <c r="K3501" s="15"/>
      <c r="L3501" s="15"/>
      <c r="M3501" s="16"/>
      <c r="N3501" s="16"/>
      <c r="O3501" s="15"/>
      <c r="P3501" s="15"/>
    </row>
    <row r="3502">
      <c r="A3502" s="15"/>
      <c r="B3502" s="22"/>
      <c r="C3502" s="22"/>
      <c r="D3502" s="22"/>
      <c r="E3502" s="15"/>
      <c r="F3502" s="15"/>
      <c r="G3502" s="15"/>
      <c r="H3502" s="15"/>
      <c r="I3502" s="15"/>
      <c r="J3502" s="15"/>
      <c r="K3502" s="15"/>
      <c r="L3502" s="15"/>
      <c r="M3502" s="16"/>
      <c r="N3502" s="16"/>
      <c r="O3502" s="15"/>
      <c r="P3502" s="15"/>
    </row>
    <row r="3503">
      <c r="A3503" s="15"/>
      <c r="B3503" s="22"/>
      <c r="C3503" s="22"/>
      <c r="D3503" s="22"/>
      <c r="E3503" s="15"/>
      <c r="F3503" s="15"/>
      <c r="G3503" s="15"/>
      <c r="H3503" s="15"/>
      <c r="I3503" s="15"/>
      <c r="J3503" s="15"/>
      <c r="K3503" s="15"/>
      <c r="L3503" s="15"/>
      <c r="M3503" s="16"/>
      <c r="N3503" s="16"/>
      <c r="O3503" s="15"/>
      <c r="P3503" s="15"/>
    </row>
    <row r="3504">
      <c r="A3504" s="15"/>
      <c r="B3504" s="22"/>
      <c r="C3504" s="22"/>
      <c r="D3504" s="22"/>
      <c r="E3504" s="15"/>
      <c r="F3504" s="15"/>
      <c r="G3504" s="15"/>
      <c r="H3504" s="15"/>
      <c r="I3504" s="15"/>
      <c r="J3504" s="15"/>
      <c r="K3504" s="15"/>
      <c r="L3504" s="15"/>
      <c r="M3504" s="16"/>
      <c r="N3504" s="16"/>
      <c r="O3504" s="15"/>
      <c r="P3504" s="15"/>
    </row>
    <row r="3505">
      <c r="A3505" s="15"/>
      <c r="B3505" s="22"/>
      <c r="C3505" s="22"/>
      <c r="D3505" s="22"/>
      <c r="E3505" s="15"/>
      <c r="F3505" s="15"/>
      <c r="G3505" s="15"/>
      <c r="H3505" s="15"/>
      <c r="I3505" s="15"/>
      <c r="J3505" s="15"/>
      <c r="K3505" s="15"/>
      <c r="L3505" s="15"/>
      <c r="M3505" s="16"/>
      <c r="N3505" s="16"/>
      <c r="O3505" s="15"/>
      <c r="P3505" s="15"/>
    </row>
    <row r="3506">
      <c r="A3506" s="15"/>
      <c r="B3506" s="22"/>
      <c r="C3506" s="22"/>
      <c r="D3506" s="22"/>
      <c r="E3506" s="15"/>
      <c r="F3506" s="15"/>
      <c r="G3506" s="15"/>
      <c r="H3506" s="15"/>
      <c r="I3506" s="15"/>
      <c r="J3506" s="15"/>
      <c r="K3506" s="15"/>
      <c r="L3506" s="15"/>
      <c r="M3506" s="16"/>
      <c r="N3506" s="16"/>
      <c r="O3506" s="15"/>
      <c r="P3506" s="15"/>
    </row>
    <row r="3507">
      <c r="A3507" s="15"/>
      <c r="B3507" s="22"/>
      <c r="C3507" s="22"/>
      <c r="D3507" s="22"/>
      <c r="E3507" s="15"/>
      <c r="F3507" s="15"/>
      <c r="G3507" s="15"/>
      <c r="H3507" s="15"/>
      <c r="I3507" s="15"/>
      <c r="J3507" s="15"/>
      <c r="K3507" s="15"/>
      <c r="L3507" s="15"/>
      <c r="M3507" s="16"/>
      <c r="N3507" s="16"/>
      <c r="O3507" s="15"/>
      <c r="P3507" s="15"/>
    </row>
    <row r="3508">
      <c r="A3508" s="15"/>
      <c r="B3508" s="22"/>
      <c r="C3508" s="22"/>
      <c r="D3508" s="22"/>
      <c r="E3508" s="15"/>
      <c r="F3508" s="15"/>
      <c r="G3508" s="15"/>
      <c r="H3508" s="15"/>
      <c r="I3508" s="15"/>
      <c r="J3508" s="15"/>
      <c r="K3508" s="15"/>
      <c r="L3508" s="15"/>
      <c r="M3508" s="16"/>
      <c r="N3508" s="16"/>
      <c r="O3508" s="15"/>
      <c r="P3508" s="15"/>
    </row>
    <row r="3509">
      <c r="A3509" s="15"/>
      <c r="B3509" s="22"/>
      <c r="C3509" s="22"/>
      <c r="D3509" s="22"/>
      <c r="E3509" s="15"/>
      <c r="F3509" s="15"/>
      <c r="G3509" s="15"/>
      <c r="H3509" s="15"/>
      <c r="I3509" s="15"/>
      <c r="J3509" s="15"/>
      <c r="K3509" s="15"/>
      <c r="L3509" s="15"/>
      <c r="M3509" s="16"/>
      <c r="N3509" s="16"/>
      <c r="O3509" s="15"/>
      <c r="P3509" s="15"/>
    </row>
    <row r="3510">
      <c r="A3510" s="15"/>
      <c r="B3510" s="22"/>
      <c r="C3510" s="22"/>
      <c r="D3510" s="22"/>
      <c r="E3510" s="15"/>
      <c r="F3510" s="15"/>
      <c r="G3510" s="15"/>
      <c r="H3510" s="15"/>
      <c r="I3510" s="15"/>
      <c r="J3510" s="15"/>
      <c r="K3510" s="15"/>
      <c r="L3510" s="15"/>
      <c r="M3510" s="16"/>
      <c r="N3510" s="16"/>
      <c r="O3510" s="15"/>
      <c r="P3510" s="15"/>
    </row>
    <row r="3511">
      <c r="A3511" s="15"/>
      <c r="B3511" s="22"/>
      <c r="C3511" s="22"/>
      <c r="D3511" s="22"/>
      <c r="E3511" s="15"/>
      <c r="F3511" s="15"/>
      <c r="G3511" s="15"/>
      <c r="H3511" s="15"/>
      <c r="I3511" s="15"/>
      <c r="J3511" s="15"/>
      <c r="K3511" s="15"/>
      <c r="L3511" s="15"/>
      <c r="M3511" s="16"/>
      <c r="N3511" s="16"/>
      <c r="O3511" s="15"/>
      <c r="P3511" s="15"/>
    </row>
    <row r="3512">
      <c r="A3512" s="15"/>
      <c r="B3512" s="22"/>
      <c r="C3512" s="22"/>
      <c r="D3512" s="22"/>
      <c r="E3512" s="15"/>
      <c r="F3512" s="15"/>
      <c r="G3512" s="15"/>
      <c r="H3512" s="15"/>
      <c r="I3512" s="15"/>
      <c r="J3512" s="15"/>
      <c r="K3512" s="15"/>
      <c r="L3512" s="15"/>
      <c r="M3512" s="16"/>
      <c r="N3512" s="16"/>
      <c r="O3512" s="15"/>
      <c r="P3512" s="15"/>
    </row>
    <row r="3513">
      <c r="A3513" s="15"/>
      <c r="B3513" s="22"/>
      <c r="C3513" s="22"/>
      <c r="D3513" s="22"/>
      <c r="E3513" s="15"/>
      <c r="F3513" s="15"/>
      <c r="G3513" s="15"/>
      <c r="H3513" s="15"/>
      <c r="I3513" s="15"/>
      <c r="J3513" s="15"/>
      <c r="K3513" s="15"/>
      <c r="L3513" s="15"/>
      <c r="M3513" s="16"/>
      <c r="N3513" s="16"/>
      <c r="O3513" s="15"/>
      <c r="P3513" s="15"/>
    </row>
    <row r="3514">
      <c r="A3514" s="15"/>
      <c r="B3514" s="22"/>
      <c r="C3514" s="22"/>
      <c r="D3514" s="22"/>
      <c r="E3514" s="15"/>
      <c r="F3514" s="15"/>
      <c r="G3514" s="15"/>
      <c r="H3514" s="15"/>
      <c r="I3514" s="15"/>
      <c r="J3514" s="15"/>
      <c r="K3514" s="15"/>
      <c r="L3514" s="15"/>
      <c r="M3514" s="16"/>
      <c r="N3514" s="16"/>
      <c r="O3514" s="15"/>
      <c r="P3514" s="15"/>
    </row>
    <row r="3515">
      <c r="A3515" s="15"/>
      <c r="B3515" s="22"/>
      <c r="C3515" s="22"/>
      <c r="D3515" s="22"/>
      <c r="E3515" s="15"/>
      <c r="F3515" s="15"/>
      <c r="G3515" s="15"/>
      <c r="H3515" s="15"/>
      <c r="I3515" s="15"/>
      <c r="J3515" s="15"/>
      <c r="K3515" s="15"/>
      <c r="L3515" s="15"/>
      <c r="M3515" s="16"/>
      <c r="N3515" s="16"/>
      <c r="O3515" s="15"/>
      <c r="P3515" s="15"/>
    </row>
    <row r="3516">
      <c r="A3516" s="15"/>
      <c r="B3516" s="22"/>
      <c r="C3516" s="22"/>
      <c r="D3516" s="22"/>
      <c r="E3516" s="15"/>
      <c r="F3516" s="15"/>
      <c r="G3516" s="15"/>
      <c r="H3516" s="15"/>
      <c r="I3516" s="15"/>
      <c r="J3516" s="15"/>
      <c r="K3516" s="15"/>
      <c r="L3516" s="15"/>
      <c r="M3516" s="16"/>
      <c r="N3516" s="16"/>
      <c r="O3516" s="15"/>
      <c r="P3516" s="15"/>
    </row>
    <row r="3517">
      <c r="A3517" s="15"/>
      <c r="B3517" s="22"/>
      <c r="C3517" s="22"/>
      <c r="D3517" s="22"/>
      <c r="E3517" s="15"/>
      <c r="F3517" s="15"/>
      <c r="G3517" s="15"/>
      <c r="H3517" s="15"/>
      <c r="I3517" s="15"/>
      <c r="J3517" s="15"/>
      <c r="K3517" s="15"/>
      <c r="L3517" s="15"/>
      <c r="M3517" s="16"/>
      <c r="N3517" s="16"/>
      <c r="O3517" s="15"/>
      <c r="P3517" s="15"/>
    </row>
    <row r="3518">
      <c r="A3518" s="15"/>
      <c r="B3518" s="22"/>
      <c r="C3518" s="22"/>
      <c r="D3518" s="22"/>
      <c r="E3518" s="15"/>
      <c r="F3518" s="15"/>
      <c r="G3518" s="15"/>
      <c r="H3518" s="15"/>
      <c r="I3518" s="15"/>
      <c r="J3518" s="15"/>
      <c r="K3518" s="15"/>
      <c r="L3518" s="15"/>
      <c r="M3518" s="16"/>
      <c r="N3518" s="16"/>
      <c r="O3518" s="15"/>
      <c r="P3518" s="15"/>
    </row>
    <row r="3519">
      <c r="A3519" s="15"/>
      <c r="B3519" s="22"/>
      <c r="C3519" s="22"/>
      <c r="D3519" s="22"/>
      <c r="E3519" s="15"/>
      <c r="F3519" s="15"/>
      <c r="G3519" s="15"/>
      <c r="H3519" s="15"/>
      <c r="I3519" s="15"/>
      <c r="J3519" s="15"/>
      <c r="K3519" s="15"/>
      <c r="L3519" s="15"/>
      <c r="M3519" s="16"/>
      <c r="N3519" s="16"/>
      <c r="O3519" s="15"/>
      <c r="P3519" s="15"/>
    </row>
    <row r="3520">
      <c r="A3520" s="15"/>
      <c r="B3520" s="22"/>
      <c r="C3520" s="22"/>
      <c r="D3520" s="22"/>
      <c r="E3520" s="15"/>
      <c r="F3520" s="15"/>
      <c r="G3520" s="15"/>
      <c r="H3520" s="15"/>
      <c r="I3520" s="15"/>
      <c r="J3520" s="15"/>
      <c r="K3520" s="15"/>
      <c r="L3520" s="15"/>
      <c r="M3520" s="16"/>
      <c r="N3520" s="16"/>
      <c r="O3520" s="15"/>
      <c r="P3520" s="15"/>
    </row>
    <row r="3521">
      <c r="A3521" s="15"/>
      <c r="B3521" s="22"/>
      <c r="C3521" s="22"/>
      <c r="D3521" s="22"/>
      <c r="E3521" s="15"/>
      <c r="F3521" s="15"/>
      <c r="G3521" s="15"/>
      <c r="H3521" s="15"/>
      <c r="I3521" s="15"/>
      <c r="J3521" s="15"/>
      <c r="K3521" s="15"/>
      <c r="L3521" s="15"/>
      <c r="M3521" s="16"/>
      <c r="N3521" s="16"/>
      <c r="O3521" s="15"/>
      <c r="P3521" s="15"/>
    </row>
    <row r="3522">
      <c r="A3522" s="15"/>
      <c r="B3522" s="22"/>
      <c r="C3522" s="22"/>
      <c r="D3522" s="22"/>
      <c r="E3522" s="15"/>
      <c r="F3522" s="15"/>
      <c r="G3522" s="15"/>
      <c r="H3522" s="15"/>
      <c r="I3522" s="15"/>
      <c r="J3522" s="15"/>
      <c r="K3522" s="15"/>
      <c r="L3522" s="15"/>
      <c r="M3522" s="16"/>
      <c r="N3522" s="16"/>
      <c r="O3522" s="15"/>
      <c r="P3522" s="15"/>
    </row>
    <row r="3523">
      <c r="A3523" s="15"/>
      <c r="B3523" s="22"/>
      <c r="C3523" s="22"/>
      <c r="D3523" s="22"/>
      <c r="E3523" s="15"/>
      <c r="F3523" s="15"/>
      <c r="G3523" s="15"/>
      <c r="H3523" s="15"/>
      <c r="I3523" s="15"/>
      <c r="J3523" s="15"/>
      <c r="K3523" s="15"/>
      <c r="L3523" s="15"/>
      <c r="M3523" s="16"/>
      <c r="N3523" s="16"/>
      <c r="O3523" s="15"/>
      <c r="P3523" s="15"/>
    </row>
    <row r="3524">
      <c r="A3524" s="15"/>
      <c r="B3524" s="22"/>
      <c r="C3524" s="22"/>
      <c r="D3524" s="22"/>
      <c r="E3524" s="15"/>
      <c r="F3524" s="15"/>
      <c r="G3524" s="15"/>
      <c r="H3524" s="15"/>
      <c r="I3524" s="15"/>
      <c r="J3524" s="15"/>
      <c r="K3524" s="15"/>
      <c r="L3524" s="15"/>
      <c r="M3524" s="16"/>
      <c r="N3524" s="16"/>
      <c r="O3524" s="15"/>
      <c r="P3524" s="15"/>
    </row>
    <row r="3525">
      <c r="A3525" s="15"/>
      <c r="B3525" s="22"/>
      <c r="C3525" s="22"/>
      <c r="D3525" s="22"/>
      <c r="E3525" s="15"/>
      <c r="F3525" s="15"/>
      <c r="G3525" s="15"/>
      <c r="H3525" s="15"/>
      <c r="I3525" s="15"/>
      <c r="J3525" s="15"/>
      <c r="K3525" s="15"/>
      <c r="L3525" s="15"/>
      <c r="M3525" s="16"/>
      <c r="N3525" s="16"/>
      <c r="O3525" s="15"/>
      <c r="P3525" s="15"/>
    </row>
    <row r="3526">
      <c r="A3526" s="15"/>
      <c r="B3526" s="22"/>
      <c r="C3526" s="22"/>
      <c r="D3526" s="22"/>
      <c r="E3526" s="15"/>
      <c r="F3526" s="15"/>
      <c r="G3526" s="15"/>
      <c r="H3526" s="15"/>
      <c r="I3526" s="15"/>
      <c r="J3526" s="15"/>
      <c r="K3526" s="15"/>
      <c r="L3526" s="15"/>
      <c r="M3526" s="16"/>
      <c r="N3526" s="16"/>
      <c r="O3526" s="15"/>
      <c r="P3526" s="15"/>
    </row>
    <row r="3527">
      <c r="A3527" s="15"/>
      <c r="B3527" s="22"/>
      <c r="C3527" s="22"/>
      <c r="D3527" s="22"/>
      <c r="E3527" s="15"/>
      <c r="F3527" s="15"/>
      <c r="G3527" s="15"/>
      <c r="H3527" s="15"/>
      <c r="I3527" s="15"/>
      <c r="J3527" s="15"/>
      <c r="K3527" s="15"/>
      <c r="L3527" s="15"/>
      <c r="M3527" s="16"/>
      <c r="N3527" s="16"/>
      <c r="O3527" s="15"/>
      <c r="P3527" s="15"/>
    </row>
    <row r="3528">
      <c r="A3528" s="15"/>
      <c r="B3528" s="22"/>
      <c r="C3528" s="22"/>
      <c r="D3528" s="22"/>
      <c r="E3528" s="15"/>
      <c r="F3528" s="15"/>
      <c r="G3528" s="15"/>
      <c r="H3528" s="15"/>
      <c r="I3528" s="15"/>
      <c r="J3528" s="15"/>
      <c r="K3528" s="15"/>
      <c r="L3528" s="15"/>
      <c r="M3528" s="16"/>
      <c r="N3528" s="16"/>
      <c r="O3528" s="15"/>
      <c r="P3528" s="15"/>
    </row>
    <row r="3529">
      <c r="A3529" s="15"/>
      <c r="B3529" s="22"/>
      <c r="C3529" s="22"/>
      <c r="D3529" s="22"/>
      <c r="E3529" s="15"/>
      <c r="F3529" s="15"/>
      <c r="G3529" s="15"/>
      <c r="H3529" s="15"/>
      <c r="I3529" s="15"/>
      <c r="J3529" s="15"/>
      <c r="K3529" s="15"/>
      <c r="L3529" s="15"/>
      <c r="M3529" s="16"/>
      <c r="N3529" s="16"/>
      <c r="O3529" s="15"/>
      <c r="P3529" s="15"/>
    </row>
    <row r="3530">
      <c r="A3530" s="15"/>
      <c r="B3530" s="22"/>
      <c r="C3530" s="22"/>
      <c r="D3530" s="22"/>
      <c r="E3530" s="15"/>
      <c r="F3530" s="15"/>
      <c r="G3530" s="15"/>
      <c r="H3530" s="15"/>
      <c r="I3530" s="15"/>
      <c r="J3530" s="15"/>
      <c r="K3530" s="15"/>
      <c r="L3530" s="15"/>
      <c r="M3530" s="16"/>
      <c r="N3530" s="16"/>
      <c r="O3530" s="15"/>
      <c r="P3530" s="15"/>
    </row>
    <row r="3531">
      <c r="A3531" s="15"/>
      <c r="B3531" s="22"/>
      <c r="C3531" s="22"/>
      <c r="D3531" s="22"/>
      <c r="E3531" s="15"/>
      <c r="F3531" s="15"/>
      <c r="G3531" s="15"/>
      <c r="H3531" s="15"/>
      <c r="I3531" s="15"/>
      <c r="J3531" s="15"/>
      <c r="K3531" s="15"/>
      <c r="L3531" s="15"/>
      <c r="M3531" s="16"/>
      <c r="N3531" s="16"/>
      <c r="O3531" s="15"/>
      <c r="P3531" s="15"/>
    </row>
    <row r="3532">
      <c r="A3532" s="15"/>
      <c r="B3532" s="22"/>
      <c r="C3532" s="22"/>
      <c r="D3532" s="22"/>
      <c r="E3532" s="15"/>
      <c r="F3532" s="15"/>
      <c r="G3532" s="15"/>
      <c r="H3532" s="15"/>
      <c r="I3532" s="15"/>
      <c r="J3532" s="15"/>
      <c r="K3532" s="15"/>
      <c r="L3532" s="15"/>
      <c r="M3532" s="16"/>
      <c r="N3532" s="16"/>
      <c r="O3532" s="15"/>
      <c r="P3532" s="15"/>
    </row>
    <row r="3533">
      <c r="A3533" s="15"/>
      <c r="B3533" s="22"/>
      <c r="C3533" s="22"/>
      <c r="D3533" s="22"/>
      <c r="E3533" s="15"/>
      <c r="F3533" s="15"/>
      <c r="G3533" s="15"/>
      <c r="H3533" s="15"/>
      <c r="I3533" s="15"/>
      <c r="J3533" s="15"/>
      <c r="K3533" s="15"/>
      <c r="L3533" s="15"/>
      <c r="M3533" s="16"/>
      <c r="N3533" s="16"/>
      <c r="O3533" s="15"/>
      <c r="P3533" s="15"/>
    </row>
    <row r="3534">
      <c r="A3534" s="15"/>
      <c r="B3534" s="22"/>
      <c r="C3534" s="22"/>
      <c r="D3534" s="22"/>
      <c r="E3534" s="15"/>
      <c r="F3534" s="15"/>
      <c r="G3534" s="15"/>
      <c r="H3534" s="15"/>
      <c r="I3534" s="15"/>
      <c r="J3534" s="15"/>
      <c r="K3534" s="15"/>
      <c r="L3534" s="15"/>
      <c r="M3534" s="16"/>
      <c r="N3534" s="16"/>
      <c r="O3534" s="15"/>
      <c r="P3534" s="15"/>
    </row>
    <row r="3535">
      <c r="A3535" s="15"/>
      <c r="B3535" s="22"/>
      <c r="C3535" s="22"/>
      <c r="D3535" s="22"/>
      <c r="E3535" s="15"/>
      <c r="F3535" s="15"/>
      <c r="G3535" s="15"/>
      <c r="H3535" s="15"/>
      <c r="I3535" s="15"/>
      <c r="J3535" s="15"/>
      <c r="K3535" s="15"/>
      <c r="L3535" s="15"/>
      <c r="M3535" s="16"/>
      <c r="N3535" s="16"/>
      <c r="O3535" s="15"/>
      <c r="P3535" s="15"/>
    </row>
    <row r="3536">
      <c r="A3536" s="15"/>
      <c r="B3536" s="22"/>
      <c r="C3536" s="22"/>
      <c r="D3536" s="22"/>
      <c r="E3536" s="15"/>
      <c r="F3536" s="15"/>
      <c r="G3536" s="15"/>
      <c r="H3536" s="15"/>
      <c r="I3536" s="15"/>
      <c r="J3536" s="15"/>
      <c r="K3536" s="15"/>
      <c r="L3536" s="15"/>
      <c r="M3536" s="16"/>
      <c r="N3536" s="16"/>
      <c r="O3536" s="15"/>
      <c r="P3536" s="15"/>
    </row>
    <row r="3537">
      <c r="A3537" s="15"/>
      <c r="B3537" s="22"/>
      <c r="C3537" s="22"/>
      <c r="D3537" s="22"/>
      <c r="E3537" s="15"/>
      <c r="F3537" s="15"/>
      <c r="G3537" s="15"/>
      <c r="H3537" s="15"/>
      <c r="I3537" s="15"/>
      <c r="J3537" s="15"/>
      <c r="K3537" s="15"/>
      <c r="L3537" s="15"/>
      <c r="M3537" s="16"/>
      <c r="N3537" s="16"/>
      <c r="O3537" s="15"/>
      <c r="P3537" s="15"/>
    </row>
    <row r="3538">
      <c r="A3538" s="15"/>
      <c r="B3538" s="22"/>
      <c r="C3538" s="22"/>
      <c r="D3538" s="22"/>
      <c r="E3538" s="15"/>
      <c r="F3538" s="15"/>
      <c r="G3538" s="15"/>
      <c r="H3538" s="15"/>
      <c r="I3538" s="15"/>
      <c r="J3538" s="15"/>
      <c r="K3538" s="15"/>
      <c r="L3538" s="15"/>
      <c r="M3538" s="16"/>
      <c r="N3538" s="16"/>
      <c r="O3538" s="15"/>
      <c r="P3538" s="15"/>
    </row>
    <row r="3539">
      <c r="A3539" s="15"/>
      <c r="B3539" s="22"/>
      <c r="C3539" s="22"/>
      <c r="D3539" s="22"/>
      <c r="E3539" s="15"/>
      <c r="F3539" s="15"/>
      <c r="G3539" s="15"/>
      <c r="H3539" s="15"/>
      <c r="I3539" s="15"/>
      <c r="J3539" s="15"/>
      <c r="K3539" s="15"/>
      <c r="L3539" s="15"/>
      <c r="M3539" s="16"/>
      <c r="N3539" s="16"/>
      <c r="O3539" s="15"/>
      <c r="P3539" s="15"/>
    </row>
    <row r="3540">
      <c r="A3540" s="15"/>
      <c r="B3540" s="22"/>
      <c r="C3540" s="22"/>
      <c r="D3540" s="22"/>
      <c r="E3540" s="15"/>
      <c r="F3540" s="15"/>
      <c r="G3540" s="15"/>
      <c r="H3540" s="15"/>
      <c r="I3540" s="15"/>
      <c r="J3540" s="15"/>
      <c r="K3540" s="15"/>
      <c r="L3540" s="15"/>
      <c r="M3540" s="16"/>
      <c r="N3540" s="16"/>
      <c r="O3540" s="15"/>
      <c r="P3540" s="15"/>
    </row>
    <row r="3541">
      <c r="A3541" s="15"/>
      <c r="B3541" s="22"/>
      <c r="C3541" s="22"/>
      <c r="D3541" s="22"/>
      <c r="E3541" s="15"/>
      <c r="F3541" s="15"/>
      <c r="G3541" s="15"/>
      <c r="H3541" s="15"/>
      <c r="I3541" s="15"/>
      <c r="J3541" s="15"/>
      <c r="K3541" s="15"/>
      <c r="L3541" s="15"/>
      <c r="M3541" s="16"/>
      <c r="N3541" s="16"/>
      <c r="O3541" s="15"/>
      <c r="P3541" s="15"/>
    </row>
    <row r="3542">
      <c r="A3542" s="15"/>
      <c r="B3542" s="22"/>
      <c r="C3542" s="22"/>
      <c r="D3542" s="22"/>
      <c r="E3542" s="15"/>
      <c r="F3542" s="15"/>
      <c r="G3542" s="15"/>
      <c r="H3542" s="15"/>
      <c r="I3542" s="15"/>
      <c r="J3542" s="15"/>
      <c r="K3542" s="15"/>
      <c r="L3542" s="15"/>
      <c r="M3542" s="16"/>
      <c r="N3542" s="16"/>
      <c r="O3542" s="15"/>
      <c r="P3542" s="15"/>
    </row>
    <row r="3543">
      <c r="A3543" s="15"/>
      <c r="B3543" s="22"/>
      <c r="C3543" s="22"/>
      <c r="D3543" s="22"/>
      <c r="E3543" s="15"/>
      <c r="F3543" s="15"/>
      <c r="G3543" s="15"/>
      <c r="H3543" s="15"/>
      <c r="I3543" s="15"/>
      <c r="J3543" s="15"/>
      <c r="K3543" s="15"/>
      <c r="L3543" s="15"/>
      <c r="M3543" s="16"/>
      <c r="N3543" s="16"/>
      <c r="O3543" s="15"/>
      <c r="P3543" s="15"/>
    </row>
    <row r="3544">
      <c r="A3544" s="15"/>
      <c r="B3544" s="22"/>
      <c r="C3544" s="22"/>
      <c r="D3544" s="22"/>
      <c r="E3544" s="15"/>
      <c r="F3544" s="15"/>
      <c r="G3544" s="15"/>
      <c r="H3544" s="15"/>
      <c r="I3544" s="15"/>
      <c r="J3544" s="15"/>
      <c r="K3544" s="15"/>
      <c r="L3544" s="15"/>
      <c r="M3544" s="16"/>
      <c r="N3544" s="16"/>
      <c r="O3544" s="15"/>
      <c r="P3544" s="15"/>
    </row>
    <row r="3545">
      <c r="A3545" s="15"/>
      <c r="B3545" s="22"/>
      <c r="C3545" s="22"/>
      <c r="D3545" s="22"/>
      <c r="E3545" s="15"/>
      <c r="F3545" s="15"/>
      <c r="G3545" s="15"/>
      <c r="H3545" s="15"/>
      <c r="I3545" s="15"/>
      <c r="J3545" s="15"/>
      <c r="K3545" s="15"/>
      <c r="L3545" s="15"/>
      <c r="M3545" s="16"/>
      <c r="N3545" s="16"/>
      <c r="O3545" s="15"/>
      <c r="P3545" s="15"/>
    </row>
    <row r="3546">
      <c r="A3546" s="15"/>
      <c r="B3546" s="22"/>
      <c r="C3546" s="22"/>
      <c r="D3546" s="22"/>
      <c r="E3546" s="15"/>
      <c r="F3546" s="15"/>
      <c r="G3546" s="15"/>
      <c r="H3546" s="15"/>
      <c r="I3546" s="15"/>
      <c r="J3546" s="15"/>
      <c r="K3546" s="15"/>
      <c r="L3546" s="15"/>
      <c r="M3546" s="16"/>
      <c r="N3546" s="16"/>
      <c r="O3546" s="15"/>
      <c r="P3546" s="15"/>
    </row>
    <row r="3547">
      <c r="A3547" s="15"/>
      <c r="B3547" s="22"/>
      <c r="C3547" s="22"/>
      <c r="D3547" s="22"/>
      <c r="E3547" s="15"/>
      <c r="F3547" s="15"/>
      <c r="G3547" s="15"/>
      <c r="H3547" s="15"/>
      <c r="I3547" s="15"/>
      <c r="J3547" s="15"/>
      <c r="K3547" s="15"/>
      <c r="L3547" s="15"/>
      <c r="M3547" s="16"/>
      <c r="N3547" s="16"/>
      <c r="O3547" s="15"/>
      <c r="P3547" s="15"/>
    </row>
    <row r="3548">
      <c r="A3548" s="15"/>
      <c r="B3548" s="22"/>
      <c r="C3548" s="22"/>
      <c r="D3548" s="22"/>
      <c r="E3548" s="15"/>
      <c r="F3548" s="15"/>
      <c r="G3548" s="15"/>
      <c r="H3548" s="15"/>
      <c r="I3548" s="15"/>
      <c r="J3548" s="15"/>
      <c r="K3548" s="15"/>
      <c r="L3548" s="15"/>
      <c r="M3548" s="16"/>
      <c r="N3548" s="16"/>
      <c r="O3548" s="15"/>
      <c r="P3548" s="15"/>
    </row>
    <row r="3549">
      <c r="A3549" s="15"/>
      <c r="B3549" s="22"/>
      <c r="C3549" s="22"/>
      <c r="D3549" s="22"/>
      <c r="E3549" s="15"/>
      <c r="F3549" s="15"/>
      <c r="G3549" s="15"/>
      <c r="H3549" s="15"/>
      <c r="I3549" s="15"/>
      <c r="J3549" s="15"/>
      <c r="K3549" s="15"/>
      <c r="L3549" s="15"/>
      <c r="M3549" s="16"/>
      <c r="N3549" s="16"/>
      <c r="O3549" s="15"/>
      <c r="P3549" s="15"/>
    </row>
    <row r="3550">
      <c r="A3550" s="15"/>
      <c r="B3550" s="22"/>
      <c r="C3550" s="22"/>
      <c r="D3550" s="22"/>
      <c r="E3550" s="15"/>
      <c r="F3550" s="15"/>
      <c r="G3550" s="15"/>
      <c r="H3550" s="15"/>
      <c r="I3550" s="15"/>
      <c r="J3550" s="15"/>
      <c r="K3550" s="15"/>
      <c r="L3550" s="15"/>
      <c r="M3550" s="16"/>
      <c r="N3550" s="16"/>
      <c r="O3550" s="15"/>
      <c r="P3550" s="15"/>
    </row>
    <row r="3551">
      <c r="A3551" s="15"/>
      <c r="B3551" s="22"/>
      <c r="C3551" s="22"/>
      <c r="D3551" s="22"/>
      <c r="E3551" s="15"/>
      <c r="F3551" s="15"/>
      <c r="G3551" s="15"/>
      <c r="H3551" s="15"/>
      <c r="I3551" s="15"/>
      <c r="J3551" s="15"/>
      <c r="K3551" s="15"/>
      <c r="L3551" s="15"/>
      <c r="M3551" s="16"/>
      <c r="N3551" s="16"/>
      <c r="O3551" s="15"/>
      <c r="P3551" s="15"/>
    </row>
    <row r="3552">
      <c r="A3552" s="15"/>
      <c r="B3552" s="22"/>
      <c r="C3552" s="22"/>
      <c r="D3552" s="22"/>
      <c r="E3552" s="15"/>
      <c r="F3552" s="15"/>
      <c r="G3552" s="15"/>
      <c r="H3552" s="15"/>
      <c r="I3552" s="15"/>
      <c r="J3552" s="15"/>
      <c r="K3552" s="15"/>
      <c r="L3552" s="15"/>
      <c r="M3552" s="16"/>
      <c r="N3552" s="16"/>
      <c r="O3552" s="15"/>
      <c r="P3552" s="15"/>
    </row>
    <row r="3553">
      <c r="A3553" s="15"/>
      <c r="B3553" s="22"/>
      <c r="C3553" s="22"/>
      <c r="D3553" s="22"/>
      <c r="E3553" s="15"/>
      <c r="F3553" s="15"/>
      <c r="G3553" s="15"/>
      <c r="H3553" s="15"/>
      <c r="I3553" s="15"/>
      <c r="J3553" s="15"/>
      <c r="K3553" s="15"/>
      <c r="L3553" s="15"/>
      <c r="M3553" s="16"/>
      <c r="N3553" s="16"/>
      <c r="O3553" s="15"/>
      <c r="P3553" s="15"/>
    </row>
    <row r="3554">
      <c r="A3554" s="15"/>
      <c r="B3554" s="22"/>
      <c r="C3554" s="22"/>
      <c r="D3554" s="22"/>
      <c r="E3554" s="15"/>
      <c r="F3554" s="15"/>
      <c r="G3554" s="15"/>
      <c r="H3554" s="15"/>
      <c r="I3554" s="15"/>
      <c r="J3554" s="15"/>
      <c r="K3554" s="15"/>
      <c r="L3554" s="15"/>
      <c r="M3554" s="16"/>
      <c r="N3554" s="16"/>
      <c r="O3554" s="15"/>
      <c r="P3554" s="15"/>
    </row>
    <row r="3555">
      <c r="A3555" s="15"/>
      <c r="B3555" s="22"/>
      <c r="C3555" s="22"/>
      <c r="D3555" s="22"/>
      <c r="E3555" s="15"/>
      <c r="F3555" s="15"/>
      <c r="G3555" s="15"/>
      <c r="H3555" s="15"/>
      <c r="I3555" s="15"/>
      <c r="J3555" s="15"/>
      <c r="K3555" s="15"/>
      <c r="L3555" s="15"/>
      <c r="M3555" s="16"/>
      <c r="N3555" s="16"/>
      <c r="O3555" s="15"/>
      <c r="P3555" s="15"/>
    </row>
    <row r="3556">
      <c r="A3556" s="15"/>
      <c r="B3556" s="22"/>
      <c r="C3556" s="22"/>
      <c r="D3556" s="22"/>
      <c r="E3556" s="15"/>
      <c r="F3556" s="15"/>
      <c r="G3556" s="15"/>
      <c r="H3556" s="15"/>
      <c r="I3556" s="15"/>
      <c r="J3556" s="15"/>
      <c r="K3556" s="15"/>
      <c r="L3556" s="15"/>
      <c r="M3556" s="16"/>
      <c r="N3556" s="16"/>
      <c r="O3556" s="15"/>
      <c r="P3556" s="15"/>
    </row>
    <row r="3557">
      <c r="A3557" s="15"/>
      <c r="B3557" s="22"/>
      <c r="C3557" s="22"/>
      <c r="D3557" s="22"/>
      <c r="E3557" s="15"/>
      <c r="F3557" s="15"/>
      <c r="G3557" s="15"/>
      <c r="H3557" s="15"/>
      <c r="I3557" s="15"/>
      <c r="J3557" s="15"/>
      <c r="K3557" s="15"/>
      <c r="L3557" s="15"/>
      <c r="M3557" s="16"/>
      <c r="N3557" s="16"/>
      <c r="O3557" s="15"/>
      <c r="P3557" s="15"/>
    </row>
    <row r="3558">
      <c r="A3558" s="15"/>
      <c r="B3558" s="22"/>
      <c r="C3558" s="22"/>
      <c r="D3558" s="22"/>
      <c r="E3558" s="15"/>
      <c r="F3558" s="15"/>
      <c r="G3558" s="15"/>
      <c r="H3558" s="15"/>
      <c r="I3558" s="15"/>
      <c r="J3558" s="15"/>
      <c r="K3558" s="15"/>
      <c r="L3558" s="15"/>
      <c r="M3558" s="16"/>
      <c r="N3558" s="16"/>
      <c r="O3558" s="15"/>
      <c r="P3558" s="15"/>
    </row>
    <row r="3559">
      <c r="A3559" s="15"/>
      <c r="B3559" s="22"/>
      <c r="C3559" s="22"/>
      <c r="D3559" s="22"/>
      <c r="E3559" s="15"/>
      <c r="F3559" s="15"/>
      <c r="G3559" s="15"/>
      <c r="H3559" s="15"/>
      <c r="I3559" s="15"/>
      <c r="J3559" s="15"/>
      <c r="K3559" s="15"/>
      <c r="L3559" s="15"/>
      <c r="M3559" s="16"/>
      <c r="N3559" s="16"/>
      <c r="O3559" s="15"/>
      <c r="P3559" s="15"/>
    </row>
    <row r="3560">
      <c r="A3560" s="15"/>
      <c r="B3560" s="22"/>
      <c r="C3560" s="22"/>
      <c r="D3560" s="22"/>
      <c r="E3560" s="15"/>
      <c r="F3560" s="15"/>
      <c r="G3560" s="15"/>
      <c r="H3560" s="15"/>
      <c r="I3560" s="15"/>
      <c r="J3560" s="15"/>
      <c r="K3560" s="15"/>
      <c r="L3560" s="15"/>
      <c r="M3560" s="16"/>
      <c r="N3560" s="16"/>
      <c r="O3560" s="15"/>
      <c r="P3560" s="15"/>
    </row>
    <row r="3561">
      <c r="A3561" s="15"/>
      <c r="B3561" s="22"/>
      <c r="C3561" s="22"/>
      <c r="D3561" s="22"/>
      <c r="E3561" s="15"/>
      <c r="F3561" s="15"/>
      <c r="G3561" s="15"/>
      <c r="H3561" s="15"/>
      <c r="I3561" s="15"/>
      <c r="J3561" s="15"/>
      <c r="K3561" s="15"/>
      <c r="L3561" s="15"/>
      <c r="M3561" s="16"/>
      <c r="N3561" s="16"/>
      <c r="O3561" s="15"/>
      <c r="P3561" s="15"/>
    </row>
    <row r="3562">
      <c r="A3562" s="15"/>
      <c r="B3562" s="22"/>
      <c r="C3562" s="22"/>
      <c r="D3562" s="22"/>
      <c r="E3562" s="15"/>
      <c r="F3562" s="15"/>
      <c r="G3562" s="15"/>
      <c r="H3562" s="15"/>
      <c r="I3562" s="15"/>
      <c r="J3562" s="15"/>
      <c r="K3562" s="15"/>
      <c r="L3562" s="15"/>
      <c r="M3562" s="16"/>
      <c r="N3562" s="16"/>
      <c r="O3562" s="15"/>
      <c r="P3562" s="15"/>
    </row>
    <row r="3563">
      <c r="A3563" s="15"/>
      <c r="B3563" s="22"/>
      <c r="C3563" s="22"/>
      <c r="D3563" s="22"/>
      <c r="E3563" s="15"/>
      <c r="F3563" s="15"/>
      <c r="G3563" s="15"/>
      <c r="H3563" s="15"/>
      <c r="I3563" s="15"/>
      <c r="J3563" s="15"/>
      <c r="K3563" s="15"/>
      <c r="L3563" s="15"/>
      <c r="M3563" s="16"/>
      <c r="N3563" s="16"/>
      <c r="O3563" s="15"/>
      <c r="P3563" s="15"/>
    </row>
    <row r="3564">
      <c r="A3564" s="15"/>
      <c r="B3564" s="22"/>
      <c r="C3564" s="22"/>
      <c r="D3564" s="22"/>
      <c r="E3564" s="15"/>
      <c r="F3564" s="15"/>
      <c r="G3564" s="15"/>
      <c r="H3564" s="15"/>
      <c r="I3564" s="15"/>
      <c r="J3564" s="15"/>
      <c r="K3564" s="15"/>
      <c r="L3564" s="15"/>
      <c r="M3564" s="16"/>
      <c r="N3564" s="16"/>
      <c r="O3564" s="15"/>
      <c r="P3564" s="15"/>
    </row>
    <row r="3565">
      <c r="A3565" s="15"/>
      <c r="B3565" s="22"/>
      <c r="C3565" s="22"/>
      <c r="D3565" s="22"/>
      <c r="E3565" s="15"/>
      <c r="F3565" s="15"/>
      <c r="G3565" s="15"/>
      <c r="H3565" s="15"/>
      <c r="I3565" s="15"/>
      <c r="J3565" s="15"/>
      <c r="K3565" s="15"/>
      <c r="L3565" s="15"/>
      <c r="M3565" s="16"/>
      <c r="N3565" s="16"/>
      <c r="O3565" s="15"/>
      <c r="P3565" s="15"/>
    </row>
    <row r="3566">
      <c r="A3566" s="15"/>
      <c r="B3566" s="22"/>
      <c r="C3566" s="22"/>
      <c r="D3566" s="22"/>
      <c r="E3566" s="15"/>
      <c r="F3566" s="15"/>
      <c r="G3566" s="15"/>
      <c r="H3566" s="15"/>
      <c r="I3566" s="15"/>
      <c r="J3566" s="15"/>
      <c r="K3566" s="15"/>
      <c r="L3566" s="15"/>
      <c r="M3566" s="16"/>
      <c r="N3566" s="16"/>
      <c r="O3566" s="15"/>
      <c r="P3566" s="15"/>
    </row>
    <row r="3567">
      <c r="A3567" s="15"/>
      <c r="B3567" s="22"/>
      <c r="C3567" s="22"/>
      <c r="D3567" s="22"/>
      <c r="E3567" s="15"/>
      <c r="F3567" s="15"/>
      <c r="G3567" s="15"/>
      <c r="H3567" s="15"/>
      <c r="I3567" s="15"/>
      <c r="J3567" s="15"/>
      <c r="K3567" s="15"/>
      <c r="L3567" s="15"/>
      <c r="M3567" s="16"/>
      <c r="N3567" s="16"/>
      <c r="O3567" s="15"/>
      <c r="P3567" s="15"/>
    </row>
    <row r="3568">
      <c r="A3568" s="15"/>
      <c r="B3568" s="22"/>
      <c r="C3568" s="22"/>
      <c r="D3568" s="22"/>
      <c r="E3568" s="15"/>
      <c r="F3568" s="15"/>
      <c r="G3568" s="15"/>
      <c r="H3568" s="15"/>
      <c r="I3568" s="15"/>
      <c r="J3568" s="15"/>
      <c r="K3568" s="15"/>
      <c r="L3568" s="15"/>
      <c r="M3568" s="16"/>
      <c r="N3568" s="16"/>
      <c r="O3568" s="15"/>
      <c r="P3568" s="15"/>
    </row>
    <row r="3569">
      <c r="A3569" s="15"/>
      <c r="B3569" s="22"/>
      <c r="C3569" s="22"/>
      <c r="D3569" s="22"/>
      <c r="E3569" s="15"/>
      <c r="F3569" s="15"/>
      <c r="G3569" s="15"/>
      <c r="H3569" s="15"/>
      <c r="I3569" s="15"/>
      <c r="J3569" s="15"/>
      <c r="K3569" s="15"/>
      <c r="L3569" s="15"/>
      <c r="M3569" s="16"/>
      <c r="N3569" s="16"/>
      <c r="O3569" s="15"/>
      <c r="P3569" s="15"/>
    </row>
    <row r="3570">
      <c r="A3570" s="15"/>
      <c r="B3570" s="22"/>
      <c r="C3570" s="22"/>
      <c r="D3570" s="22"/>
      <c r="E3570" s="15"/>
      <c r="F3570" s="15"/>
      <c r="G3570" s="15"/>
      <c r="H3570" s="15"/>
      <c r="I3570" s="15"/>
      <c r="J3570" s="15"/>
      <c r="K3570" s="15"/>
      <c r="L3570" s="15"/>
      <c r="M3570" s="16"/>
      <c r="N3570" s="16"/>
      <c r="O3570" s="15"/>
      <c r="P3570" s="15"/>
    </row>
    <row r="3571">
      <c r="A3571" s="15"/>
      <c r="B3571" s="22"/>
      <c r="C3571" s="22"/>
      <c r="D3571" s="22"/>
      <c r="E3571" s="15"/>
      <c r="F3571" s="15"/>
      <c r="G3571" s="15"/>
      <c r="H3571" s="15"/>
      <c r="I3571" s="15"/>
      <c r="J3571" s="15"/>
      <c r="K3571" s="15"/>
      <c r="L3571" s="15"/>
      <c r="M3571" s="16"/>
      <c r="N3571" s="16"/>
      <c r="O3571" s="15"/>
      <c r="P3571" s="15"/>
    </row>
    <row r="3572">
      <c r="A3572" s="15"/>
      <c r="B3572" s="22"/>
      <c r="C3572" s="22"/>
      <c r="D3572" s="22"/>
      <c r="E3572" s="15"/>
      <c r="F3572" s="15"/>
      <c r="G3572" s="15"/>
      <c r="H3572" s="15"/>
      <c r="I3572" s="15"/>
      <c r="J3572" s="15"/>
      <c r="K3572" s="15"/>
      <c r="L3572" s="15"/>
      <c r="M3572" s="16"/>
      <c r="N3572" s="16"/>
      <c r="O3572" s="15"/>
      <c r="P3572" s="15"/>
    </row>
    <row r="3573">
      <c r="A3573" s="15"/>
      <c r="B3573" s="22"/>
      <c r="C3573" s="22"/>
      <c r="D3573" s="22"/>
      <c r="E3573" s="15"/>
      <c r="F3573" s="15"/>
      <c r="G3573" s="15"/>
      <c r="H3573" s="15"/>
      <c r="I3573" s="15"/>
      <c r="J3573" s="15"/>
      <c r="K3573" s="15"/>
      <c r="L3573" s="15"/>
      <c r="M3573" s="16"/>
      <c r="N3573" s="16"/>
      <c r="O3573" s="15"/>
      <c r="P3573" s="15"/>
    </row>
    <row r="3574">
      <c r="A3574" s="15"/>
      <c r="B3574" s="22"/>
      <c r="C3574" s="22"/>
      <c r="D3574" s="22"/>
      <c r="E3574" s="15"/>
      <c r="F3574" s="15"/>
      <c r="G3574" s="15"/>
      <c r="H3574" s="15"/>
      <c r="I3574" s="15"/>
      <c r="J3574" s="15"/>
      <c r="K3574" s="15"/>
      <c r="L3574" s="15"/>
      <c r="M3574" s="16"/>
      <c r="N3574" s="16"/>
      <c r="O3574" s="15"/>
      <c r="P3574" s="15"/>
    </row>
    <row r="3575">
      <c r="A3575" s="15"/>
      <c r="B3575" s="22"/>
      <c r="C3575" s="22"/>
      <c r="D3575" s="22"/>
      <c r="E3575" s="15"/>
      <c r="F3575" s="15"/>
      <c r="G3575" s="15"/>
      <c r="H3575" s="15"/>
      <c r="I3575" s="15"/>
      <c r="J3575" s="15"/>
      <c r="K3575" s="15"/>
      <c r="L3575" s="15"/>
      <c r="M3575" s="16"/>
      <c r="N3575" s="16"/>
      <c r="O3575" s="15"/>
      <c r="P3575" s="15"/>
    </row>
    <row r="3576">
      <c r="A3576" s="15"/>
      <c r="B3576" s="22"/>
      <c r="C3576" s="22"/>
      <c r="D3576" s="22"/>
      <c r="E3576" s="15"/>
      <c r="F3576" s="15"/>
      <c r="G3576" s="15"/>
      <c r="H3576" s="15"/>
      <c r="I3576" s="15"/>
      <c r="J3576" s="15"/>
      <c r="K3576" s="15"/>
      <c r="L3576" s="15"/>
      <c r="M3576" s="16"/>
      <c r="N3576" s="16"/>
      <c r="O3576" s="15"/>
      <c r="P3576" s="15"/>
    </row>
    <row r="3577">
      <c r="A3577" s="15"/>
      <c r="B3577" s="22"/>
      <c r="C3577" s="22"/>
      <c r="D3577" s="22"/>
      <c r="E3577" s="15"/>
      <c r="F3577" s="15"/>
      <c r="G3577" s="15"/>
      <c r="H3577" s="15"/>
      <c r="I3577" s="15"/>
      <c r="J3577" s="15"/>
      <c r="K3577" s="15"/>
      <c r="L3577" s="15"/>
      <c r="M3577" s="16"/>
      <c r="N3577" s="16"/>
      <c r="O3577" s="15"/>
      <c r="P3577" s="15"/>
    </row>
    <row r="3578">
      <c r="A3578" s="15"/>
      <c r="B3578" s="22"/>
      <c r="C3578" s="22"/>
      <c r="D3578" s="22"/>
      <c r="E3578" s="15"/>
      <c r="F3578" s="15"/>
      <c r="G3578" s="15"/>
      <c r="H3578" s="15"/>
      <c r="I3578" s="15"/>
      <c r="J3578" s="15"/>
      <c r="K3578" s="15"/>
      <c r="L3578" s="15"/>
      <c r="M3578" s="16"/>
      <c r="N3578" s="16"/>
      <c r="O3578" s="15"/>
      <c r="P3578" s="15"/>
    </row>
    <row r="3579">
      <c r="A3579" s="15"/>
      <c r="B3579" s="22"/>
      <c r="C3579" s="22"/>
      <c r="D3579" s="22"/>
      <c r="E3579" s="15"/>
      <c r="F3579" s="15"/>
      <c r="G3579" s="15"/>
      <c r="H3579" s="15"/>
      <c r="I3579" s="15"/>
      <c r="J3579" s="15"/>
      <c r="K3579" s="15"/>
      <c r="L3579" s="15"/>
      <c r="M3579" s="16"/>
      <c r="N3579" s="16"/>
      <c r="O3579" s="15"/>
      <c r="P3579" s="15"/>
    </row>
    <row r="3580">
      <c r="A3580" s="15"/>
      <c r="B3580" s="22"/>
      <c r="C3580" s="22"/>
      <c r="D3580" s="22"/>
      <c r="E3580" s="15"/>
      <c r="F3580" s="15"/>
      <c r="G3580" s="15"/>
      <c r="H3580" s="15"/>
      <c r="I3580" s="15"/>
      <c r="J3580" s="15"/>
      <c r="K3580" s="15"/>
      <c r="L3580" s="15"/>
      <c r="M3580" s="16"/>
      <c r="N3580" s="16"/>
      <c r="O3580" s="15"/>
      <c r="P3580" s="15"/>
    </row>
    <row r="3581">
      <c r="A3581" s="15"/>
      <c r="B3581" s="22"/>
      <c r="C3581" s="22"/>
      <c r="D3581" s="22"/>
      <c r="E3581" s="15"/>
      <c r="F3581" s="15"/>
      <c r="G3581" s="15"/>
      <c r="H3581" s="15"/>
      <c r="I3581" s="15"/>
      <c r="J3581" s="15"/>
      <c r="K3581" s="15"/>
      <c r="L3581" s="15"/>
      <c r="M3581" s="16"/>
      <c r="N3581" s="16"/>
      <c r="O3581" s="15"/>
      <c r="P3581" s="15"/>
    </row>
    <row r="3582">
      <c r="A3582" s="15"/>
      <c r="B3582" s="22"/>
      <c r="C3582" s="22"/>
      <c r="D3582" s="22"/>
      <c r="E3582" s="15"/>
      <c r="F3582" s="15"/>
      <c r="G3582" s="15"/>
      <c r="H3582" s="15"/>
      <c r="I3582" s="15"/>
      <c r="J3582" s="15"/>
      <c r="K3582" s="15"/>
      <c r="L3582" s="15"/>
      <c r="M3582" s="16"/>
      <c r="N3582" s="16"/>
      <c r="O3582" s="15"/>
      <c r="P3582" s="15"/>
    </row>
    <row r="3583">
      <c r="A3583" s="15"/>
      <c r="B3583" s="22"/>
      <c r="C3583" s="22"/>
      <c r="D3583" s="22"/>
      <c r="E3583" s="15"/>
      <c r="F3583" s="15"/>
      <c r="G3583" s="15"/>
      <c r="H3583" s="15"/>
      <c r="I3583" s="15"/>
      <c r="J3583" s="15"/>
      <c r="K3583" s="15"/>
      <c r="L3583" s="15"/>
      <c r="M3583" s="16"/>
      <c r="N3583" s="16"/>
      <c r="O3583" s="15"/>
      <c r="P3583" s="15"/>
    </row>
    <row r="3584">
      <c r="A3584" s="15"/>
      <c r="B3584" s="22"/>
      <c r="C3584" s="22"/>
      <c r="D3584" s="22"/>
      <c r="E3584" s="15"/>
      <c r="F3584" s="15"/>
      <c r="G3584" s="15"/>
      <c r="H3584" s="15"/>
      <c r="I3584" s="15"/>
      <c r="J3584" s="15"/>
      <c r="K3584" s="15"/>
      <c r="L3584" s="15"/>
      <c r="M3584" s="16"/>
      <c r="N3584" s="16"/>
      <c r="O3584" s="15"/>
      <c r="P3584" s="15"/>
    </row>
    <row r="3585">
      <c r="A3585" s="15"/>
      <c r="B3585" s="22"/>
      <c r="C3585" s="22"/>
      <c r="D3585" s="22"/>
      <c r="E3585" s="15"/>
      <c r="F3585" s="15"/>
      <c r="G3585" s="15"/>
      <c r="H3585" s="15"/>
      <c r="I3585" s="15"/>
      <c r="J3585" s="15"/>
      <c r="K3585" s="15"/>
      <c r="L3585" s="15"/>
      <c r="M3585" s="16"/>
      <c r="N3585" s="16"/>
      <c r="O3585" s="15"/>
      <c r="P3585" s="15"/>
    </row>
    <row r="3586">
      <c r="A3586" s="15"/>
      <c r="B3586" s="22"/>
      <c r="C3586" s="22"/>
      <c r="D3586" s="22"/>
      <c r="E3586" s="15"/>
      <c r="F3586" s="15"/>
      <c r="G3586" s="15"/>
      <c r="H3586" s="15"/>
      <c r="I3586" s="15"/>
      <c r="J3586" s="15"/>
      <c r="K3586" s="15"/>
      <c r="L3586" s="15"/>
      <c r="M3586" s="16"/>
      <c r="N3586" s="16"/>
      <c r="O3586" s="15"/>
      <c r="P3586" s="15"/>
    </row>
    <row r="3587">
      <c r="A3587" s="15"/>
      <c r="B3587" s="22"/>
      <c r="C3587" s="22"/>
      <c r="D3587" s="22"/>
      <c r="E3587" s="15"/>
      <c r="F3587" s="15"/>
      <c r="G3587" s="15"/>
      <c r="H3587" s="15"/>
      <c r="I3587" s="15"/>
      <c r="J3587" s="15"/>
      <c r="K3587" s="15"/>
      <c r="L3587" s="15"/>
      <c r="M3587" s="16"/>
      <c r="N3587" s="16"/>
      <c r="O3587" s="15"/>
      <c r="P3587" s="15"/>
    </row>
    <row r="3588">
      <c r="A3588" s="15"/>
      <c r="B3588" s="22"/>
      <c r="C3588" s="22"/>
      <c r="D3588" s="22"/>
      <c r="E3588" s="15"/>
      <c r="F3588" s="15"/>
      <c r="G3588" s="15"/>
      <c r="H3588" s="15"/>
      <c r="I3588" s="15"/>
      <c r="J3588" s="15"/>
      <c r="K3588" s="15"/>
      <c r="L3588" s="15"/>
      <c r="M3588" s="16"/>
      <c r="N3588" s="16"/>
      <c r="O3588" s="15"/>
      <c r="P3588" s="15"/>
    </row>
    <row r="3589">
      <c r="A3589" s="15"/>
      <c r="B3589" s="22"/>
      <c r="C3589" s="22"/>
      <c r="D3589" s="22"/>
      <c r="E3589" s="15"/>
      <c r="F3589" s="15"/>
      <c r="G3589" s="15"/>
      <c r="H3589" s="15"/>
      <c r="I3589" s="15"/>
      <c r="J3589" s="15"/>
      <c r="K3589" s="15"/>
      <c r="L3589" s="15"/>
      <c r="M3589" s="16"/>
      <c r="N3589" s="16"/>
      <c r="O3589" s="15"/>
      <c r="P3589" s="15"/>
    </row>
    <row r="3590">
      <c r="A3590" s="15"/>
      <c r="B3590" s="22"/>
      <c r="C3590" s="22"/>
      <c r="D3590" s="22"/>
      <c r="E3590" s="15"/>
      <c r="F3590" s="15"/>
      <c r="G3590" s="15"/>
      <c r="H3590" s="15"/>
      <c r="I3590" s="15"/>
      <c r="J3590" s="15"/>
      <c r="K3590" s="15"/>
      <c r="L3590" s="15"/>
      <c r="M3590" s="16"/>
      <c r="N3590" s="16"/>
      <c r="O3590" s="15"/>
      <c r="P3590" s="15"/>
    </row>
    <row r="3591">
      <c r="A3591" s="15"/>
      <c r="B3591" s="22"/>
      <c r="C3591" s="22"/>
      <c r="D3591" s="22"/>
      <c r="E3591" s="15"/>
      <c r="F3591" s="15"/>
      <c r="G3591" s="15"/>
      <c r="H3591" s="15"/>
      <c r="I3591" s="15"/>
      <c r="J3591" s="15"/>
      <c r="K3591" s="15"/>
      <c r="L3591" s="15"/>
      <c r="M3591" s="16"/>
      <c r="N3591" s="16"/>
      <c r="O3591" s="15"/>
      <c r="P3591" s="15"/>
    </row>
    <row r="3592">
      <c r="A3592" s="15"/>
      <c r="B3592" s="22"/>
      <c r="C3592" s="22"/>
      <c r="D3592" s="22"/>
      <c r="E3592" s="15"/>
      <c r="F3592" s="15"/>
      <c r="G3592" s="15"/>
      <c r="H3592" s="15"/>
      <c r="I3592" s="15"/>
      <c r="J3592" s="15"/>
      <c r="K3592" s="15"/>
      <c r="L3592" s="15"/>
      <c r="M3592" s="16"/>
      <c r="N3592" s="16"/>
      <c r="O3592" s="15"/>
      <c r="P3592" s="15"/>
    </row>
    <row r="3593">
      <c r="A3593" s="15"/>
      <c r="B3593" s="22"/>
      <c r="C3593" s="22"/>
      <c r="D3593" s="22"/>
      <c r="E3593" s="15"/>
      <c r="F3593" s="15"/>
      <c r="G3593" s="15"/>
      <c r="H3593" s="15"/>
      <c r="I3593" s="15"/>
      <c r="J3593" s="15"/>
      <c r="K3593" s="15"/>
      <c r="L3593" s="15"/>
      <c r="M3593" s="16"/>
      <c r="N3593" s="16"/>
      <c r="O3593" s="15"/>
      <c r="P3593" s="15"/>
    </row>
    <row r="3594">
      <c r="A3594" s="15"/>
      <c r="B3594" s="22"/>
      <c r="C3594" s="22"/>
      <c r="D3594" s="22"/>
      <c r="E3594" s="15"/>
      <c r="F3594" s="15"/>
      <c r="G3594" s="15"/>
      <c r="H3594" s="15"/>
      <c r="I3594" s="15"/>
      <c r="J3594" s="15"/>
      <c r="K3594" s="15"/>
      <c r="L3594" s="15"/>
      <c r="M3594" s="16"/>
      <c r="N3594" s="16"/>
      <c r="O3594" s="15"/>
      <c r="P3594" s="15"/>
    </row>
    <row r="3595">
      <c r="A3595" s="15"/>
      <c r="B3595" s="22"/>
      <c r="C3595" s="22"/>
      <c r="D3595" s="22"/>
      <c r="E3595" s="15"/>
      <c r="F3595" s="15"/>
      <c r="G3595" s="15"/>
      <c r="H3595" s="15"/>
      <c r="I3595" s="15"/>
      <c r="J3595" s="15"/>
      <c r="K3595" s="15"/>
      <c r="L3595" s="15"/>
      <c r="M3595" s="16"/>
      <c r="N3595" s="16"/>
      <c r="O3595" s="15"/>
      <c r="P3595" s="15"/>
    </row>
    <row r="3596">
      <c r="A3596" s="15"/>
      <c r="B3596" s="22"/>
      <c r="C3596" s="22"/>
      <c r="D3596" s="22"/>
      <c r="E3596" s="15"/>
      <c r="F3596" s="15"/>
      <c r="G3596" s="15"/>
      <c r="H3596" s="15"/>
      <c r="I3596" s="15"/>
      <c r="J3596" s="15"/>
      <c r="K3596" s="15"/>
      <c r="L3596" s="15"/>
      <c r="M3596" s="16"/>
      <c r="N3596" s="16"/>
      <c r="O3596" s="15"/>
      <c r="P3596" s="15"/>
    </row>
    <row r="3597">
      <c r="A3597" s="15"/>
      <c r="B3597" s="22"/>
      <c r="C3597" s="22"/>
      <c r="D3597" s="22"/>
      <c r="E3597" s="15"/>
      <c r="F3597" s="15"/>
      <c r="G3597" s="15"/>
      <c r="H3597" s="15"/>
      <c r="I3597" s="15"/>
      <c r="J3597" s="15"/>
      <c r="K3597" s="15"/>
      <c r="L3597" s="15"/>
      <c r="M3597" s="16"/>
      <c r="N3597" s="16"/>
      <c r="O3597" s="15"/>
      <c r="P3597" s="15"/>
    </row>
    <row r="3598">
      <c r="A3598" s="15"/>
      <c r="B3598" s="22"/>
      <c r="C3598" s="22"/>
      <c r="D3598" s="22"/>
      <c r="E3598" s="15"/>
      <c r="F3598" s="15"/>
      <c r="G3598" s="15"/>
      <c r="H3598" s="15"/>
      <c r="I3598" s="15"/>
      <c r="J3598" s="15"/>
      <c r="K3598" s="15"/>
      <c r="L3598" s="15"/>
      <c r="M3598" s="16"/>
      <c r="N3598" s="16"/>
      <c r="O3598" s="15"/>
      <c r="P3598" s="15"/>
    </row>
    <row r="3599">
      <c r="A3599" s="15"/>
      <c r="B3599" s="22"/>
      <c r="C3599" s="22"/>
      <c r="D3599" s="22"/>
      <c r="E3599" s="15"/>
      <c r="F3599" s="15"/>
      <c r="G3599" s="15"/>
      <c r="H3599" s="15"/>
      <c r="I3599" s="15"/>
      <c r="J3599" s="15"/>
      <c r="K3599" s="15"/>
      <c r="L3599" s="15"/>
      <c r="M3599" s="16"/>
      <c r="N3599" s="16"/>
      <c r="O3599" s="15"/>
      <c r="P3599" s="15"/>
    </row>
    <row r="3600">
      <c r="A3600" s="15"/>
      <c r="B3600" s="22"/>
      <c r="C3600" s="22"/>
      <c r="D3600" s="22"/>
      <c r="E3600" s="15"/>
      <c r="F3600" s="15"/>
      <c r="G3600" s="15"/>
      <c r="H3600" s="15"/>
      <c r="I3600" s="15"/>
      <c r="J3600" s="15"/>
      <c r="K3600" s="15"/>
      <c r="L3600" s="15"/>
      <c r="M3600" s="16"/>
      <c r="N3600" s="16"/>
      <c r="O3600" s="15"/>
      <c r="P3600" s="15"/>
    </row>
    <row r="3601">
      <c r="A3601" s="15"/>
      <c r="B3601" s="22"/>
      <c r="C3601" s="22"/>
      <c r="D3601" s="22"/>
      <c r="E3601" s="15"/>
      <c r="F3601" s="15"/>
      <c r="G3601" s="15"/>
      <c r="H3601" s="15"/>
      <c r="I3601" s="15"/>
      <c r="J3601" s="15"/>
      <c r="K3601" s="15"/>
      <c r="L3601" s="15"/>
      <c r="M3601" s="16"/>
      <c r="N3601" s="16"/>
      <c r="O3601" s="15"/>
      <c r="P3601" s="15"/>
    </row>
    <row r="3602">
      <c r="A3602" s="15"/>
      <c r="B3602" s="22"/>
      <c r="C3602" s="22"/>
      <c r="D3602" s="22"/>
      <c r="E3602" s="15"/>
      <c r="F3602" s="15"/>
      <c r="G3602" s="15"/>
      <c r="H3602" s="15"/>
      <c r="I3602" s="15"/>
      <c r="J3602" s="15"/>
      <c r="K3602" s="15"/>
      <c r="L3602" s="15"/>
      <c r="M3602" s="16"/>
      <c r="N3602" s="16"/>
      <c r="O3602" s="15"/>
      <c r="P3602" s="15"/>
    </row>
    <row r="3603">
      <c r="A3603" s="15"/>
      <c r="B3603" s="22"/>
      <c r="C3603" s="22"/>
      <c r="D3603" s="22"/>
      <c r="E3603" s="15"/>
      <c r="F3603" s="15"/>
      <c r="G3603" s="15"/>
      <c r="H3603" s="15"/>
      <c r="I3603" s="15"/>
      <c r="J3603" s="15"/>
      <c r="K3603" s="15"/>
      <c r="L3603" s="15"/>
      <c r="M3603" s="16"/>
      <c r="N3603" s="16"/>
      <c r="O3603" s="15"/>
      <c r="P3603" s="15"/>
    </row>
    <row r="3604">
      <c r="A3604" s="15"/>
      <c r="B3604" s="22"/>
      <c r="C3604" s="22"/>
      <c r="D3604" s="22"/>
      <c r="E3604" s="15"/>
      <c r="F3604" s="15"/>
      <c r="G3604" s="15"/>
      <c r="H3604" s="15"/>
      <c r="I3604" s="15"/>
      <c r="J3604" s="15"/>
      <c r="K3604" s="15"/>
      <c r="L3604" s="15"/>
      <c r="M3604" s="16"/>
      <c r="N3604" s="16"/>
      <c r="O3604" s="15"/>
      <c r="P3604" s="15"/>
    </row>
    <row r="3605">
      <c r="A3605" s="15"/>
      <c r="B3605" s="22"/>
      <c r="C3605" s="22"/>
      <c r="D3605" s="22"/>
      <c r="E3605" s="15"/>
      <c r="F3605" s="15"/>
      <c r="G3605" s="15"/>
      <c r="H3605" s="15"/>
      <c r="I3605" s="15"/>
      <c r="J3605" s="15"/>
      <c r="K3605" s="15"/>
      <c r="L3605" s="15"/>
      <c r="M3605" s="16"/>
      <c r="N3605" s="16"/>
      <c r="O3605" s="15"/>
      <c r="P3605" s="15"/>
    </row>
    <row r="3606">
      <c r="A3606" s="15"/>
      <c r="B3606" s="22"/>
      <c r="C3606" s="22"/>
      <c r="D3606" s="22"/>
      <c r="E3606" s="15"/>
      <c r="F3606" s="15"/>
      <c r="G3606" s="15"/>
      <c r="H3606" s="15"/>
      <c r="I3606" s="15"/>
      <c r="J3606" s="15"/>
      <c r="K3606" s="15"/>
      <c r="L3606" s="15"/>
      <c r="M3606" s="16"/>
      <c r="N3606" s="16"/>
      <c r="O3606" s="15"/>
      <c r="P3606" s="15"/>
    </row>
    <row r="3607">
      <c r="A3607" s="15"/>
      <c r="B3607" s="22"/>
      <c r="C3607" s="22"/>
      <c r="D3607" s="22"/>
      <c r="E3607" s="15"/>
      <c r="F3607" s="15"/>
      <c r="G3607" s="15"/>
      <c r="H3607" s="15"/>
      <c r="I3607" s="15"/>
      <c r="J3607" s="15"/>
      <c r="K3607" s="15"/>
      <c r="L3607" s="15"/>
      <c r="M3607" s="16"/>
      <c r="N3607" s="16"/>
      <c r="O3607" s="15"/>
      <c r="P3607" s="15"/>
    </row>
    <row r="3608">
      <c r="A3608" s="15"/>
      <c r="B3608" s="22"/>
      <c r="C3608" s="22"/>
      <c r="D3608" s="22"/>
      <c r="E3608" s="15"/>
      <c r="F3608" s="15"/>
      <c r="G3608" s="15"/>
      <c r="H3608" s="15"/>
      <c r="I3608" s="15"/>
      <c r="J3608" s="15"/>
      <c r="K3608" s="15"/>
      <c r="L3608" s="15"/>
      <c r="M3608" s="16"/>
      <c r="N3608" s="16"/>
      <c r="O3608" s="15"/>
      <c r="P3608" s="15"/>
    </row>
    <row r="3609">
      <c r="A3609" s="15"/>
      <c r="B3609" s="22"/>
      <c r="C3609" s="22"/>
      <c r="D3609" s="22"/>
      <c r="E3609" s="15"/>
      <c r="F3609" s="15"/>
      <c r="G3609" s="15"/>
      <c r="H3609" s="15"/>
      <c r="I3609" s="15"/>
      <c r="J3609" s="15"/>
      <c r="K3609" s="15"/>
      <c r="L3609" s="15"/>
      <c r="M3609" s="16"/>
      <c r="N3609" s="16"/>
      <c r="O3609" s="15"/>
      <c r="P3609" s="15"/>
    </row>
    <row r="3610">
      <c r="A3610" s="15"/>
      <c r="B3610" s="22"/>
      <c r="C3610" s="22"/>
      <c r="D3610" s="22"/>
      <c r="E3610" s="15"/>
      <c r="F3610" s="15"/>
      <c r="G3610" s="15"/>
      <c r="H3610" s="15"/>
      <c r="I3610" s="15"/>
      <c r="J3610" s="15"/>
      <c r="K3610" s="15"/>
      <c r="L3610" s="15"/>
      <c r="M3610" s="16"/>
      <c r="N3610" s="16"/>
      <c r="O3610" s="15"/>
      <c r="P3610" s="15"/>
    </row>
    <row r="3611">
      <c r="A3611" s="15"/>
      <c r="B3611" s="22"/>
      <c r="C3611" s="22"/>
      <c r="D3611" s="22"/>
      <c r="E3611" s="15"/>
      <c r="F3611" s="15"/>
      <c r="G3611" s="15"/>
      <c r="H3611" s="15"/>
      <c r="I3611" s="15"/>
      <c r="J3611" s="15"/>
      <c r="K3611" s="15"/>
      <c r="L3611" s="15"/>
      <c r="M3611" s="16"/>
      <c r="N3611" s="16"/>
      <c r="O3611" s="15"/>
      <c r="P3611" s="15"/>
    </row>
    <row r="3612">
      <c r="A3612" s="15"/>
      <c r="B3612" s="22"/>
      <c r="C3612" s="22"/>
      <c r="D3612" s="22"/>
      <c r="E3612" s="15"/>
      <c r="F3612" s="15"/>
      <c r="G3612" s="15"/>
      <c r="H3612" s="15"/>
      <c r="I3612" s="15"/>
      <c r="J3612" s="15"/>
      <c r="K3612" s="15"/>
      <c r="L3612" s="15"/>
      <c r="M3612" s="16"/>
      <c r="N3612" s="16"/>
      <c r="O3612" s="15"/>
      <c r="P3612" s="15"/>
    </row>
    <row r="3613">
      <c r="A3613" s="15"/>
      <c r="B3613" s="22"/>
      <c r="C3613" s="22"/>
      <c r="D3613" s="22"/>
      <c r="E3613" s="15"/>
      <c r="F3613" s="15"/>
      <c r="G3613" s="15"/>
      <c r="H3613" s="15"/>
      <c r="I3613" s="15"/>
      <c r="J3613" s="15"/>
      <c r="K3613" s="15"/>
      <c r="L3613" s="15"/>
      <c r="M3613" s="16"/>
      <c r="N3613" s="16"/>
      <c r="O3613" s="15"/>
      <c r="P3613" s="15"/>
    </row>
    <row r="3614">
      <c r="A3614" s="15"/>
      <c r="B3614" s="22"/>
      <c r="C3614" s="22"/>
      <c r="D3614" s="22"/>
      <c r="E3614" s="15"/>
      <c r="F3614" s="15"/>
      <c r="G3614" s="15"/>
      <c r="H3614" s="15"/>
      <c r="I3614" s="15"/>
      <c r="J3614" s="15"/>
      <c r="K3614" s="15"/>
      <c r="L3614" s="15"/>
      <c r="M3614" s="16"/>
      <c r="N3614" s="16"/>
      <c r="O3614" s="15"/>
      <c r="P3614" s="15"/>
    </row>
    <row r="3615">
      <c r="A3615" s="15"/>
      <c r="B3615" s="22"/>
      <c r="C3615" s="22"/>
      <c r="D3615" s="22"/>
      <c r="E3615" s="15"/>
      <c r="F3615" s="15"/>
      <c r="G3615" s="15"/>
      <c r="H3615" s="15"/>
      <c r="I3615" s="15"/>
      <c r="J3615" s="15"/>
      <c r="K3615" s="15"/>
      <c r="L3615" s="15"/>
      <c r="M3615" s="16"/>
      <c r="N3615" s="16"/>
      <c r="O3615" s="15"/>
      <c r="P3615" s="15"/>
    </row>
    <row r="3616">
      <c r="A3616" s="15"/>
      <c r="B3616" s="22"/>
      <c r="C3616" s="22"/>
      <c r="D3616" s="22"/>
      <c r="E3616" s="15"/>
      <c r="F3616" s="15"/>
      <c r="G3616" s="15"/>
      <c r="H3616" s="15"/>
      <c r="I3616" s="15"/>
      <c r="J3616" s="15"/>
      <c r="K3616" s="15"/>
      <c r="L3616" s="15"/>
      <c r="M3616" s="16"/>
      <c r="N3616" s="16"/>
      <c r="O3616" s="15"/>
      <c r="P3616" s="15"/>
    </row>
    <row r="3617">
      <c r="A3617" s="15"/>
      <c r="B3617" s="22"/>
      <c r="C3617" s="22"/>
      <c r="D3617" s="22"/>
      <c r="E3617" s="15"/>
      <c r="F3617" s="15"/>
      <c r="G3617" s="15"/>
      <c r="H3617" s="15"/>
      <c r="I3617" s="15"/>
      <c r="J3617" s="15"/>
      <c r="K3617" s="15"/>
      <c r="L3617" s="15"/>
      <c r="M3617" s="16"/>
      <c r="N3617" s="16"/>
      <c r="O3617" s="15"/>
      <c r="P3617" s="15"/>
    </row>
    <row r="3618">
      <c r="A3618" s="15"/>
      <c r="B3618" s="22"/>
      <c r="C3618" s="22"/>
      <c r="D3618" s="22"/>
      <c r="E3618" s="15"/>
      <c r="F3618" s="15"/>
      <c r="G3618" s="15"/>
      <c r="H3618" s="15"/>
      <c r="I3618" s="15"/>
      <c r="J3618" s="15"/>
      <c r="K3618" s="15"/>
      <c r="L3618" s="15"/>
      <c r="M3618" s="16"/>
      <c r="N3618" s="16"/>
      <c r="O3618" s="15"/>
      <c r="P3618" s="15"/>
    </row>
    <row r="3619">
      <c r="A3619" s="15"/>
      <c r="B3619" s="22"/>
      <c r="C3619" s="22"/>
      <c r="D3619" s="22"/>
      <c r="E3619" s="15"/>
      <c r="F3619" s="15"/>
      <c r="G3619" s="15"/>
      <c r="H3619" s="15"/>
      <c r="I3619" s="15"/>
      <c r="J3619" s="15"/>
      <c r="K3619" s="15"/>
      <c r="L3619" s="15"/>
      <c r="M3619" s="16"/>
      <c r="N3619" s="16"/>
      <c r="O3619" s="15"/>
      <c r="P3619" s="15"/>
    </row>
    <row r="3620">
      <c r="A3620" s="15"/>
      <c r="B3620" s="22"/>
      <c r="C3620" s="22"/>
      <c r="D3620" s="22"/>
      <c r="E3620" s="15"/>
      <c r="F3620" s="15"/>
      <c r="G3620" s="15"/>
      <c r="H3620" s="15"/>
      <c r="I3620" s="15"/>
      <c r="J3620" s="15"/>
      <c r="K3620" s="15"/>
      <c r="L3620" s="15"/>
      <c r="M3620" s="16"/>
      <c r="N3620" s="16"/>
      <c r="O3620" s="15"/>
      <c r="P3620" s="15"/>
    </row>
    <row r="3621">
      <c r="A3621" s="15"/>
      <c r="B3621" s="22"/>
      <c r="C3621" s="22"/>
      <c r="D3621" s="22"/>
      <c r="E3621" s="15"/>
      <c r="F3621" s="15"/>
      <c r="G3621" s="15"/>
      <c r="H3621" s="15"/>
      <c r="I3621" s="15"/>
      <c r="J3621" s="15"/>
      <c r="K3621" s="15"/>
      <c r="L3621" s="15"/>
      <c r="M3621" s="16"/>
      <c r="N3621" s="16"/>
      <c r="O3621" s="15"/>
      <c r="P3621" s="15"/>
    </row>
    <row r="3622">
      <c r="A3622" s="15"/>
      <c r="B3622" s="22"/>
      <c r="C3622" s="22"/>
      <c r="D3622" s="22"/>
      <c r="E3622" s="15"/>
      <c r="F3622" s="15"/>
      <c r="G3622" s="15"/>
      <c r="H3622" s="15"/>
      <c r="I3622" s="15"/>
      <c r="J3622" s="15"/>
      <c r="K3622" s="15"/>
      <c r="L3622" s="15"/>
      <c r="M3622" s="16"/>
      <c r="N3622" s="16"/>
      <c r="O3622" s="15"/>
      <c r="P3622" s="15"/>
    </row>
    <row r="3623">
      <c r="A3623" s="15"/>
      <c r="B3623" s="22"/>
      <c r="C3623" s="22"/>
      <c r="D3623" s="22"/>
      <c r="E3623" s="15"/>
      <c r="F3623" s="15"/>
      <c r="G3623" s="15"/>
      <c r="H3623" s="15"/>
      <c r="I3623" s="15"/>
      <c r="J3623" s="15"/>
      <c r="K3623" s="15"/>
      <c r="L3623" s="15"/>
      <c r="M3623" s="16"/>
      <c r="N3623" s="16"/>
      <c r="O3623" s="15"/>
      <c r="P3623" s="15"/>
    </row>
    <row r="3624">
      <c r="A3624" s="15"/>
      <c r="B3624" s="22"/>
      <c r="C3624" s="22"/>
      <c r="D3624" s="22"/>
      <c r="E3624" s="15"/>
      <c r="F3624" s="15"/>
      <c r="G3624" s="15"/>
      <c r="H3624" s="15"/>
      <c r="I3624" s="15"/>
      <c r="J3624" s="15"/>
      <c r="K3624" s="15"/>
      <c r="L3624" s="15"/>
      <c r="M3624" s="16"/>
      <c r="N3624" s="16"/>
      <c r="O3624" s="15"/>
      <c r="P3624" s="15"/>
    </row>
    <row r="3625">
      <c r="A3625" s="15"/>
      <c r="B3625" s="22"/>
      <c r="C3625" s="22"/>
      <c r="D3625" s="22"/>
      <c r="E3625" s="15"/>
      <c r="F3625" s="15"/>
      <c r="G3625" s="15"/>
      <c r="H3625" s="15"/>
      <c r="I3625" s="15"/>
      <c r="J3625" s="15"/>
      <c r="K3625" s="15"/>
      <c r="L3625" s="15"/>
      <c r="M3625" s="16"/>
      <c r="N3625" s="16"/>
      <c r="O3625" s="15"/>
      <c r="P3625" s="15"/>
    </row>
    <row r="3626">
      <c r="A3626" s="15"/>
      <c r="B3626" s="22"/>
      <c r="C3626" s="22"/>
      <c r="D3626" s="22"/>
      <c r="E3626" s="15"/>
      <c r="F3626" s="15"/>
      <c r="G3626" s="15"/>
      <c r="H3626" s="15"/>
      <c r="I3626" s="15"/>
      <c r="J3626" s="15"/>
      <c r="K3626" s="15"/>
      <c r="L3626" s="15"/>
      <c r="M3626" s="16"/>
      <c r="N3626" s="16"/>
      <c r="O3626" s="15"/>
      <c r="P3626" s="15"/>
    </row>
    <row r="3627">
      <c r="A3627" s="15"/>
      <c r="B3627" s="22"/>
      <c r="C3627" s="22"/>
      <c r="D3627" s="22"/>
      <c r="E3627" s="15"/>
      <c r="F3627" s="15"/>
      <c r="G3627" s="15"/>
      <c r="H3627" s="15"/>
      <c r="I3627" s="15"/>
      <c r="J3627" s="15"/>
      <c r="K3627" s="15"/>
      <c r="L3627" s="15"/>
      <c r="M3627" s="16"/>
      <c r="N3627" s="16"/>
      <c r="O3627" s="15"/>
      <c r="P3627" s="15"/>
    </row>
    <row r="3628">
      <c r="A3628" s="15"/>
      <c r="B3628" s="22"/>
      <c r="C3628" s="22"/>
      <c r="D3628" s="22"/>
      <c r="E3628" s="15"/>
      <c r="F3628" s="15"/>
      <c r="G3628" s="15"/>
      <c r="H3628" s="15"/>
      <c r="I3628" s="15"/>
      <c r="J3628" s="15"/>
      <c r="K3628" s="15"/>
      <c r="L3628" s="15"/>
      <c r="M3628" s="16"/>
      <c r="N3628" s="16"/>
      <c r="O3628" s="15"/>
      <c r="P3628" s="15"/>
    </row>
    <row r="3629">
      <c r="A3629" s="15"/>
      <c r="B3629" s="22"/>
      <c r="C3629" s="22"/>
      <c r="D3629" s="22"/>
      <c r="E3629" s="15"/>
      <c r="F3629" s="15"/>
      <c r="G3629" s="15"/>
      <c r="H3629" s="15"/>
      <c r="I3629" s="15"/>
      <c r="J3629" s="15"/>
      <c r="K3629" s="15"/>
      <c r="L3629" s="15"/>
      <c r="M3629" s="16"/>
      <c r="N3629" s="16"/>
      <c r="O3629" s="15"/>
      <c r="P3629" s="15"/>
    </row>
    <row r="3630">
      <c r="A3630" s="15"/>
      <c r="B3630" s="22"/>
      <c r="C3630" s="22"/>
      <c r="D3630" s="22"/>
      <c r="E3630" s="15"/>
      <c r="F3630" s="15"/>
      <c r="G3630" s="15"/>
      <c r="H3630" s="15"/>
      <c r="I3630" s="15"/>
      <c r="J3630" s="15"/>
      <c r="K3630" s="15"/>
      <c r="L3630" s="15"/>
      <c r="M3630" s="16"/>
      <c r="N3630" s="16"/>
      <c r="O3630" s="15"/>
      <c r="P3630" s="15"/>
    </row>
    <row r="3631">
      <c r="A3631" s="15"/>
      <c r="B3631" s="22"/>
      <c r="C3631" s="22"/>
      <c r="D3631" s="22"/>
      <c r="E3631" s="15"/>
      <c r="F3631" s="15"/>
      <c r="G3631" s="15"/>
      <c r="H3631" s="15"/>
      <c r="I3631" s="15"/>
      <c r="J3631" s="15"/>
      <c r="K3631" s="15"/>
      <c r="L3631" s="15"/>
      <c r="M3631" s="16"/>
      <c r="N3631" s="16"/>
      <c r="O3631" s="15"/>
      <c r="P3631" s="15"/>
    </row>
    <row r="3632">
      <c r="A3632" s="15"/>
      <c r="B3632" s="22"/>
      <c r="C3632" s="22"/>
      <c r="D3632" s="22"/>
      <c r="E3632" s="15"/>
      <c r="F3632" s="15"/>
      <c r="G3632" s="15"/>
      <c r="H3632" s="15"/>
      <c r="I3632" s="15"/>
      <c r="J3632" s="15"/>
      <c r="K3632" s="15"/>
      <c r="L3632" s="15"/>
      <c r="M3632" s="16"/>
      <c r="N3632" s="16"/>
      <c r="O3632" s="15"/>
      <c r="P3632" s="15"/>
    </row>
    <row r="3633">
      <c r="A3633" s="15"/>
      <c r="B3633" s="22"/>
      <c r="C3633" s="22"/>
      <c r="D3633" s="22"/>
      <c r="E3633" s="15"/>
      <c r="F3633" s="15"/>
      <c r="G3633" s="15"/>
      <c r="H3633" s="15"/>
      <c r="I3633" s="15"/>
      <c r="J3633" s="15"/>
      <c r="K3633" s="15"/>
      <c r="L3633" s="15"/>
      <c r="M3633" s="16"/>
      <c r="N3633" s="16"/>
      <c r="O3633" s="15"/>
      <c r="P3633" s="15"/>
    </row>
    <row r="3634">
      <c r="A3634" s="15"/>
      <c r="B3634" s="22"/>
      <c r="C3634" s="22"/>
      <c r="D3634" s="22"/>
      <c r="E3634" s="15"/>
      <c r="F3634" s="15"/>
      <c r="G3634" s="15"/>
      <c r="H3634" s="15"/>
      <c r="I3634" s="15"/>
      <c r="J3634" s="15"/>
      <c r="K3634" s="15"/>
      <c r="L3634" s="15"/>
      <c r="M3634" s="16"/>
      <c r="N3634" s="16"/>
      <c r="O3634" s="15"/>
      <c r="P3634" s="15"/>
    </row>
    <row r="3635">
      <c r="A3635" s="15"/>
      <c r="B3635" s="22"/>
      <c r="C3635" s="22"/>
      <c r="D3635" s="22"/>
      <c r="E3635" s="15"/>
      <c r="F3635" s="15"/>
      <c r="G3635" s="15"/>
      <c r="H3635" s="15"/>
      <c r="I3635" s="15"/>
      <c r="J3635" s="15"/>
      <c r="K3635" s="15"/>
      <c r="L3635" s="15"/>
      <c r="M3635" s="16"/>
      <c r="N3635" s="16"/>
      <c r="O3635" s="15"/>
      <c r="P3635" s="15"/>
    </row>
    <row r="3636">
      <c r="A3636" s="15"/>
      <c r="B3636" s="22"/>
      <c r="C3636" s="22"/>
      <c r="D3636" s="22"/>
      <c r="E3636" s="15"/>
      <c r="F3636" s="15"/>
      <c r="G3636" s="15"/>
      <c r="H3636" s="15"/>
      <c r="I3636" s="15"/>
      <c r="J3636" s="15"/>
      <c r="K3636" s="15"/>
      <c r="L3636" s="15"/>
      <c r="M3636" s="16"/>
      <c r="N3636" s="16"/>
      <c r="O3636" s="15"/>
      <c r="P3636" s="15"/>
    </row>
    <row r="3637">
      <c r="A3637" s="15"/>
      <c r="B3637" s="22"/>
      <c r="C3637" s="22"/>
      <c r="D3637" s="22"/>
      <c r="E3637" s="15"/>
      <c r="F3637" s="15"/>
      <c r="G3637" s="15"/>
      <c r="H3637" s="15"/>
      <c r="I3637" s="15"/>
      <c r="J3637" s="15"/>
      <c r="K3637" s="15"/>
      <c r="L3637" s="15"/>
      <c r="M3637" s="16"/>
      <c r="N3637" s="16"/>
      <c r="O3637" s="15"/>
      <c r="P3637" s="15"/>
    </row>
    <row r="3638">
      <c r="A3638" s="15"/>
      <c r="B3638" s="22"/>
      <c r="C3638" s="22"/>
      <c r="D3638" s="22"/>
      <c r="E3638" s="15"/>
      <c r="F3638" s="15"/>
      <c r="G3638" s="15"/>
      <c r="H3638" s="15"/>
      <c r="I3638" s="15"/>
      <c r="J3638" s="15"/>
      <c r="K3638" s="15"/>
      <c r="L3638" s="15"/>
      <c r="M3638" s="16"/>
      <c r="N3638" s="16"/>
      <c r="O3638" s="15"/>
      <c r="P3638" s="15"/>
    </row>
    <row r="3639">
      <c r="A3639" s="15"/>
      <c r="B3639" s="22"/>
      <c r="C3639" s="22"/>
      <c r="D3639" s="22"/>
      <c r="E3639" s="15"/>
      <c r="F3639" s="15"/>
      <c r="G3639" s="15"/>
      <c r="H3639" s="15"/>
      <c r="I3639" s="15"/>
      <c r="J3639" s="15"/>
      <c r="K3639" s="15"/>
      <c r="L3639" s="15"/>
      <c r="M3639" s="16"/>
      <c r="N3639" s="16"/>
      <c r="O3639" s="15"/>
      <c r="P3639" s="15"/>
    </row>
    <row r="3640">
      <c r="A3640" s="15"/>
      <c r="B3640" s="22"/>
      <c r="C3640" s="22"/>
      <c r="D3640" s="22"/>
      <c r="E3640" s="15"/>
      <c r="F3640" s="15"/>
      <c r="G3640" s="15"/>
      <c r="H3640" s="15"/>
      <c r="I3640" s="15"/>
      <c r="J3640" s="15"/>
      <c r="K3640" s="15"/>
      <c r="L3640" s="15"/>
      <c r="M3640" s="16"/>
      <c r="N3640" s="16"/>
      <c r="O3640" s="15"/>
      <c r="P3640" s="15"/>
    </row>
    <row r="3641">
      <c r="A3641" s="15"/>
      <c r="B3641" s="22"/>
      <c r="C3641" s="22"/>
      <c r="D3641" s="22"/>
      <c r="E3641" s="15"/>
      <c r="F3641" s="15"/>
      <c r="G3641" s="15"/>
      <c r="H3641" s="15"/>
      <c r="I3641" s="15"/>
      <c r="J3641" s="15"/>
      <c r="K3641" s="15"/>
      <c r="L3641" s="15"/>
      <c r="M3641" s="16"/>
      <c r="N3641" s="16"/>
      <c r="O3641" s="15"/>
      <c r="P3641" s="15"/>
    </row>
    <row r="3642">
      <c r="A3642" s="15"/>
      <c r="B3642" s="22"/>
      <c r="C3642" s="22"/>
      <c r="D3642" s="22"/>
      <c r="E3642" s="15"/>
      <c r="F3642" s="15"/>
      <c r="G3642" s="15"/>
      <c r="H3642" s="15"/>
      <c r="I3642" s="15"/>
      <c r="J3642" s="15"/>
      <c r="K3642" s="15"/>
      <c r="L3642" s="15"/>
      <c r="M3642" s="16"/>
      <c r="N3642" s="16"/>
      <c r="O3642" s="15"/>
      <c r="P3642" s="15"/>
    </row>
    <row r="3643">
      <c r="A3643" s="15"/>
      <c r="B3643" s="22"/>
      <c r="C3643" s="22"/>
      <c r="D3643" s="22"/>
      <c r="E3643" s="15"/>
      <c r="F3643" s="15"/>
      <c r="G3643" s="15"/>
      <c r="H3643" s="15"/>
      <c r="I3643" s="15"/>
      <c r="J3643" s="15"/>
      <c r="K3643" s="15"/>
      <c r="L3643" s="15"/>
      <c r="M3643" s="16"/>
      <c r="N3643" s="16"/>
      <c r="O3643" s="15"/>
      <c r="P3643" s="15"/>
    </row>
    <row r="3644">
      <c r="A3644" s="15"/>
      <c r="B3644" s="22"/>
      <c r="C3644" s="22"/>
      <c r="D3644" s="22"/>
      <c r="E3644" s="15"/>
      <c r="F3644" s="15"/>
      <c r="G3644" s="15"/>
      <c r="H3644" s="15"/>
      <c r="I3644" s="15"/>
      <c r="J3644" s="15"/>
      <c r="K3644" s="15"/>
      <c r="L3644" s="15"/>
      <c r="M3644" s="16"/>
      <c r="N3644" s="16"/>
      <c r="O3644" s="15"/>
      <c r="P3644" s="15"/>
    </row>
    <row r="3645">
      <c r="A3645" s="15"/>
      <c r="B3645" s="22"/>
      <c r="C3645" s="22"/>
      <c r="D3645" s="22"/>
      <c r="E3645" s="15"/>
      <c r="F3645" s="15"/>
      <c r="G3645" s="15"/>
      <c r="H3645" s="15"/>
      <c r="I3645" s="15"/>
      <c r="J3645" s="15"/>
      <c r="K3645" s="15"/>
      <c r="L3645" s="15"/>
      <c r="M3645" s="16"/>
      <c r="N3645" s="16"/>
      <c r="O3645" s="15"/>
      <c r="P3645" s="15"/>
    </row>
    <row r="3646">
      <c r="A3646" s="15"/>
      <c r="B3646" s="22"/>
      <c r="C3646" s="22"/>
      <c r="D3646" s="22"/>
      <c r="E3646" s="15"/>
      <c r="F3646" s="15"/>
      <c r="G3646" s="15"/>
      <c r="H3646" s="15"/>
      <c r="I3646" s="15"/>
      <c r="J3646" s="15"/>
      <c r="K3646" s="15"/>
      <c r="L3646" s="15"/>
      <c r="M3646" s="16"/>
      <c r="N3646" s="16"/>
      <c r="O3646" s="15"/>
      <c r="P3646" s="15"/>
    </row>
    <row r="3647">
      <c r="A3647" s="15"/>
      <c r="B3647" s="22"/>
      <c r="C3647" s="22"/>
      <c r="D3647" s="22"/>
      <c r="E3647" s="15"/>
      <c r="F3647" s="15"/>
      <c r="G3647" s="15"/>
      <c r="H3647" s="15"/>
      <c r="I3647" s="15"/>
      <c r="J3647" s="15"/>
      <c r="K3647" s="15"/>
      <c r="L3647" s="15"/>
      <c r="M3647" s="16"/>
      <c r="N3647" s="16"/>
      <c r="O3647" s="15"/>
      <c r="P3647" s="15"/>
    </row>
    <row r="3648">
      <c r="A3648" s="15"/>
      <c r="B3648" s="22"/>
      <c r="C3648" s="22"/>
      <c r="D3648" s="22"/>
      <c r="E3648" s="15"/>
      <c r="F3648" s="15"/>
      <c r="G3648" s="15"/>
      <c r="H3648" s="15"/>
      <c r="I3648" s="15"/>
      <c r="J3648" s="15"/>
      <c r="K3648" s="15"/>
      <c r="L3648" s="15"/>
      <c r="M3648" s="16"/>
      <c r="N3648" s="16"/>
      <c r="O3648" s="15"/>
      <c r="P3648" s="15"/>
    </row>
    <row r="3649">
      <c r="A3649" s="15"/>
      <c r="B3649" s="22"/>
      <c r="C3649" s="22"/>
      <c r="D3649" s="22"/>
      <c r="E3649" s="15"/>
      <c r="F3649" s="15"/>
      <c r="G3649" s="15"/>
      <c r="H3649" s="15"/>
      <c r="I3649" s="15"/>
      <c r="J3649" s="15"/>
      <c r="K3649" s="15"/>
      <c r="L3649" s="15"/>
      <c r="M3649" s="16"/>
      <c r="N3649" s="16"/>
      <c r="O3649" s="15"/>
      <c r="P3649" s="15"/>
    </row>
    <row r="3650">
      <c r="A3650" s="15"/>
      <c r="B3650" s="22"/>
      <c r="C3650" s="22"/>
      <c r="D3650" s="22"/>
      <c r="E3650" s="15"/>
      <c r="F3650" s="15"/>
      <c r="G3650" s="15"/>
      <c r="H3650" s="15"/>
      <c r="I3650" s="15"/>
      <c r="J3650" s="15"/>
      <c r="K3650" s="15"/>
      <c r="L3650" s="15"/>
      <c r="M3650" s="16"/>
      <c r="N3650" s="16"/>
      <c r="O3650" s="15"/>
      <c r="P3650" s="15"/>
    </row>
    <row r="3651">
      <c r="A3651" s="15"/>
      <c r="B3651" s="22"/>
      <c r="C3651" s="22"/>
      <c r="D3651" s="22"/>
      <c r="E3651" s="15"/>
      <c r="F3651" s="15"/>
      <c r="G3651" s="15"/>
      <c r="H3651" s="15"/>
      <c r="I3651" s="15"/>
      <c r="J3651" s="15"/>
      <c r="K3651" s="15"/>
      <c r="L3651" s="15"/>
      <c r="M3651" s="16"/>
      <c r="N3651" s="16"/>
      <c r="O3651" s="15"/>
      <c r="P3651" s="15"/>
    </row>
    <row r="3652">
      <c r="A3652" s="15"/>
      <c r="B3652" s="22"/>
      <c r="C3652" s="22"/>
      <c r="D3652" s="22"/>
      <c r="E3652" s="15"/>
      <c r="F3652" s="15"/>
      <c r="G3652" s="15"/>
      <c r="H3652" s="15"/>
      <c r="I3652" s="15"/>
      <c r="J3652" s="15"/>
      <c r="K3652" s="15"/>
      <c r="L3652" s="15"/>
      <c r="M3652" s="16"/>
      <c r="N3652" s="16"/>
      <c r="O3652" s="15"/>
      <c r="P3652" s="15"/>
    </row>
    <row r="3653">
      <c r="A3653" s="15"/>
      <c r="B3653" s="22"/>
      <c r="C3653" s="22"/>
      <c r="D3653" s="22"/>
      <c r="E3653" s="15"/>
      <c r="F3653" s="15"/>
      <c r="G3653" s="15"/>
      <c r="H3653" s="15"/>
      <c r="I3653" s="15"/>
      <c r="J3653" s="15"/>
      <c r="K3653" s="15"/>
      <c r="L3653" s="15"/>
      <c r="M3653" s="16"/>
      <c r="N3653" s="16"/>
      <c r="O3653" s="15"/>
      <c r="P3653" s="15"/>
    </row>
    <row r="3654">
      <c r="A3654" s="15"/>
      <c r="B3654" s="22"/>
      <c r="C3654" s="22"/>
      <c r="D3654" s="22"/>
      <c r="E3654" s="15"/>
      <c r="F3654" s="15"/>
      <c r="G3654" s="15"/>
      <c r="H3654" s="15"/>
      <c r="I3654" s="15"/>
      <c r="J3654" s="15"/>
      <c r="K3654" s="15"/>
      <c r="L3654" s="15"/>
      <c r="M3654" s="16"/>
      <c r="N3654" s="16"/>
      <c r="O3654" s="15"/>
      <c r="P3654" s="15"/>
    </row>
    <row r="3655">
      <c r="A3655" s="15"/>
      <c r="B3655" s="22"/>
      <c r="C3655" s="22"/>
      <c r="D3655" s="22"/>
      <c r="E3655" s="15"/>
      <c r="F3655" s="15"/>
      <c r="G3655" s="15"/>
      <c r="H3655" s="15"/>
      <c r="I3655" s="15"/>
      <c r="J3655" s="15"/>
      <c r="K3655" s="15"/>
      <c r="L3655" s="15"/>
      <c r="M3655" s="16"/>
      <c r="N3655" s="16"/>
      <c r="O3655" s="15"/>
      <c r="P3655" s="15"/>
    </row>
    <row r="3656">
      <c r="A3656" s="15"/>
      <c r="B3656" s="22"/>
      <c r="C3656" s="22"/>
      <c r="D3656" s="22"/>
      <c r="E3656" s="15"/>
      <c r="F3656" s="15"/>
      <c r="G3656" s="15"/>
      <c r="H3656" s="15"/>
      <c r="I3656" s="15"/>
      <c r="J3656" s="15"/>
      <c r="K3656" s="15"/>
      <c r="L3656" s="15"/>
      <c r="M3656" s="16"/>
      <c r="N3656" s="16"/>
      <c r="O3656" s="15"/>
      <c r="P3656" s="15"/>
    </row>
    <row r="3657">
      <c r="A3657" s="15"/>
      <c r="B3657" s="22"/>
      <c r="C3657" s="22"/>
      <c r="D3657" s="22"/>
      <c r="E3657" s="15"/>
      <c r="F3657" s="15"/>
      <c r="G3657" s="15"/>
      <c r="H3657" s="15"/>
      <c r="I3657" s="15"/>
      <c r="J3657" s="15"/>
      <c r="K3657" s="15"/>
      <c r="L3657" s="15"/>
      <c r="M3657" s="16"/>
      <c r="N3657" s="16"/>
      <c r="O3657" s="15"/>
      <c r="P3657" s="15"/>
    </row>
    <row r="3658">
      <c r="A3658" s="15"/>
      <c r="B3658" s="22"/>
      <c r="C3658" s="22"/>
      <c r="D3658" s="22"/>
      <c r="E3658" s="15"/>
      <c r="F3658" s="15"/>
      <c r="G3658" s="15"/>
      <c r="H3658" s="15"/>
      <c r="I3658" s="15"/>
      <c r="J3658" s="15"/>
      <c r="K3658" s="15"/>
      <c r="L3658" s="15"/>
      <c r="M3658" s="16"/>
      <c r="N3658" s="16"/>
      <c r="O3658" s="15"/>
      <c r="P3658" s="15"/>
    </row>
    <row r="3659">
      <c r="A3659" s="15"/>
      <c r="B3659" s="22"/>
      <c r="C3659" s="22"/>
      <c r="D3659" s="22"/>
      <c r="E3659" s="15"/>
      <c r="F3659" s="15"/>
      <c r="G3659" s="15"/>
      <c r="H3659" s="15"/>
      <c r="I3659" s="15"/>
      <c r="J3659" s="15"/>
      <c r="K3659" s="15"/>
      <c r="L3659" s="15"/>
      <c r="M3659" s="16"/>
      <c r="N3659" s="16"/>
      <c r="O3659" s="15"/>
      <c r="P3659" s="15"/>
    </row>
    <row r="3660">
      <c r="A3660" s="15"/>
      <c r="B3660" s="22"/>
      <c r="C3660" s="22"/>
      <c r="D3660" s="22"/>
      <c r="E3660" s="15"/>
      <c r="F3660" s="15"/>
      <c r="G3660" s="15"/>
      <c r="H3660" s="15"/>
      <c r="I3660" s="15"/>
      <c r="J3660" s="15"/>
      <c r="K3660" s="15"/>
      <c r="L3660" s="15"/>
      <c r="M3660" s="16"/>
      <c r="N3660" s="16"/>
      <c r="O3660" s="15"/>
      <c r="P3660" s="15"/>
    </row>
    <row r="3661">
      <c r="A3661" s="15"/>
      <c r="B3661" s="22"/>
      <c r="C3661" s="22"/>
      <c r="D3661" s="22"/>
      <c r="E3661" s="15"/>
      <c r="F3661" s="15"/>
      <c r="G3661" s="15"/>
      <c r="H3661" s="15"/>
      <c r="I3661" s="15"/>
      <c r="J3661" s="15"/>
      <c r="K3661" s="15"/>
      <c r="L3661" s="15"/>
      <c r="M3661" s="16"/>
      <c r="N3661" s="16"/>
      <c r="O3661" s="15"/>
      <c r="P3661" s="15"/>
    </row>
    <row r="3662">
      <c r="A3662" s="15"/>
      <c r="B3662" s="22"/>
      <c r="C3662" s="22"/>
      <c r="D3662" s="22"/>
      <c r="E3662" s="15"/>
      <c r="F3662" s="15"/>
      <c r="G3662" s="15"/>
      <c r="H3662" s="15"/>
      <c r="I3662" s="15"/>
      <c r="J3662" s="15"/>
      <c r="K3662" s="15"/>
      <c r="L3662" s="15"/>
      <c r="M3662" s="16"/>
      <c r="N3662" s="16"/>
      <c r="O3662" s="15"/>
      <c r="P3662" s="15"/>
    </row>
    <row r="3663">
      <c r="A3663" s="15"/>
      <c r="B3663" s="22"/>
      <c r="C3663" s="22"/>
      <c r="D3663" s="22"/>
      <c r="E3663" s="15"/>
      <c r="F3663" s="15"/>
      <c r="G3663" s="15"/>
      <c r="H3663" s="15"/>
      <c r="I3663" s="15"/>
      <c r="J3663" s="15"/>
      <c r="K3663" s="15"/>
      <c r="L3663" s="15"/>
      <c r="M3663" s="16"/>
      <c r="N3663" s="16"/>
      <c r="O3663" s="15"/>
      <c r="P3663" s="15"/>
    </row>
    <row r="3664">
      <c r="A3664" s="15"/>
      <c r="B3664" s="22"/>
      <c r="C3664" s="22"/>
      <c r="D3664" s="22"/>
      <c r="E3664" s="15"/>
      <c r="F3664" s="15"/>
      <c r="G3664" s="15"/>
      <c r="H3664" s="15"/>
      <c r="I3664" s="15"/>
      <c r="J3664" s="15"/>
      <c r="K3664" s="15"/>
      <c r="L3664" s="15"/>
      <c r="M3664" s="16"/>
      <c r="N3664" s="16"/>
      <c r="O3664" s="15"/>
      <c r="P3664" s="15"/>
    </row>
    <row r="3665">
      <c r="A3665" s="15"/>
      <c r="B3665" s="22"/>
      <c r="C3665" s="22"/>
      <c r="D3665" s="22"/>
      <c r="E3665" s="15"/>
      <c r="F3665" s="15"/>
      <c r="G3665" s="15"/>
      <c r="H3665" s="15"/>
      <c r="I3665" s="15"/>
      <c r="J3665" s="15"/>
      <c r="K3665" s="15"/>
      <c r="L3665" s="15"/>
      <c r="M3665" s="16"/>
      <c r="N3665" s="16"/>
      <c r="O3665" s="15"/>
      <c r="P3665" s="15"/>
    </row>
    <row r="3666">
      <c r="A3666" s="15"/>
      <c r="B3666" s="22"/>
      <c r="C3666" s="22"/>
      <c r="D3666" s="22"/>
      <c r="E3666" s="15"/>
      <c r="F3666" s="15"/>
      <c r="G3666" s="15"/>
      <c r="H3666" s="15"/>
      <c r="I3666" s="15"/>
      <c r="J3666" s="15"/>
      <c r="K3666" s="15"/>
      <c r="L3666" s="15"/>
      <c r="M3666" s="16"/>
      <c r="N3666" s="16"/>
      <c r="O3666" s="15"/>
      <c r="P3666" s="15"/>
    </row>
    <row r="3667">
      <c r="A3667" s="15"/>
      <c r="B3667" s="22"/>
      <c r="C3667" s="22"/>
      <c r="D3667" s="22"/>
      <c r="E3667" s="15"/>
      <c r="F3667" s="15"/>
      <c r="G3667" s="15"/>
      <c r="H3667" s="15"/>
      <c r="I3667" s="15"/>
      <c r="J3667" s="15"/>
      <c r="K3667" s="15"/>
      <c r="L3667" s="15"/>
      <c r="M3667" s="16"/>
      <c r="N3667" s="16"/>
      <c r="O3667" s="15"/>
      <c r="P3667" s="15"/>
    </row>
    <row r="3668">
      <c r="A3668" s="15"/>
      <c r="B3668" s="22"/>
      <c r="C3668" s="22"/>
      <c r="D3668" s="22"/>
      <c r="E3668" s="15"/>
      <c r="F3668" s="15"/>
      <c r="G3668" s="15"/>
      <c r="H3668" s="15"/>
      <c r="I3668" s="15"/>
      <c r="J3668" s="15"/>
      <c r="K3668" s="15"/>
      <c r="L3668" s="15"/>
      <c r="M3668" s="16"/>
      <c r="N3668" s="16"/>
      <c r="O3668" s="15"/>
      <c r="P3668" s="15"/>
    </row>
    <row r="3669">
      <c r="A3669" s="15"/>
      <c r="B3669" s="22"/>
      <c r="C3669" s="22"/>
      <c r="D3669" s="22"/>
      <c r="E3669" s="15"/>
      <c r="F3669" s="15"/>
      <c r="G3669" s="15"/>
      <c r="H3669" s="15"/>
      <c r="I3669" s="15"/>
      <c r="J3669" s="15"/>
      <c r="K3669" s="15"/>
      <c r="L3669" s="15"/>
      <c r="M3669" s="16"/>
      <c r="N3669" s="16"/>
      <c r="O3669" s="15"/>
      <c r="P3669" s="15"/>
    </row>
    <row r="3670">
      <c r="A3670" s="15"/>
      <c r="B3670" s="22"/>
      <c r="C3670" s="22"/>
      <c r="D3670" s="22"/>
      <c r="E3670" s="15"/>
      <c r="F3670" s="15"/>
      <c r="G3670" s="15"/>
      <c r="H3670" s="15"/>
      <c r="I3670" s="15"/>
      <c r="J3670" s="15"/>
      <c r="K3670" s="15"/>
      <c r="L3670" s="15"/>
      <c r="M3670" s="16"/>
      <c r="N3670" s="16"/>
      <c r="O3670" s="15"/>
      <c r="P3670" s="15"/>
    </row>
    <row r="3671">
      <c r="A3671" s="15"/>
      <c r="B3671" s="22"/>
      <c r="C3671" s="22"/>
      <c r="D3671" s="22"/>
      <c r="E3671" s="15"/>
      <c r="F3671" s="15"/>
      <c r="G3671" s="15"/>
      <c r="H3671" s="15"/>
      <c r="I3671" s="15"/>
      <c r="J3671" s="15"/>
      <c r="K3671" s="15"/>
      <c r="L3671" s="15"/>
      <c r="M3671" s="16"/>
      <c r="N3671" s="16"/>
      <c r="O3671" s="15"/>
      <c r="P3671" s="15"/>
    </row>
    <row r="3672">
      <c r="A3672" s="15"/>
      <c r="B3672" s="22"/>
      <c r="C3672" s="22"/>
      <c r="D3672" s="22"/>
      <c r="E3672" s="15"/>
      <c r="F3672" s="15"/>
      <c r="G3672" s="15"/>
      <c r="H3672" s="15"/>
      <c r="I3672" s="15"/>
      <c r="J3672" s="15"/>
      <c r="K3672" s="15"/>
      <c r="L3672" s="15"/>
      <c r="M3672" s="16"/>
      <c r="N3672" s="16"/>
      <c r="O3672" s="15"/>
      <c r="P3672" s="15"/>
    </row>
    <row r="3673">
      <c r="A3673" s="15"/>
      <c r="B3673" s="22"/>
      <c r="C3673" s="22"/>
      <c r="D3673" s="22"/>
      <c r="E3673" s="15"/>
      <c r="F3673" s="15"/>
      <c r="G3673" s="15"/>
      <c r="H3673" s="15"/>
      <c r="I3673" s="15"/>
      <c r="J3673" s="15"/>
      <c r="K3673" s="15"/>
      <c r="L3673" s="15"/>
      <c r="M3673" s="16"/>
      <c r="N3673" s="16"/>
      <c r="O3673" s="15"/>
      <c r="P3673" s="15"/>
    </row>
    <row r="3674">
      <c r="A3674" s="15"/>
      <c r="B3674" s="22"/>
      <c r="C3674" s="22"/>
      <c r="D3674" s="22"/>
      <c r="E3674" s="15"/>
      <c r="F3674" s="15"/>
      <c r="G3674" s="15"/>
      <c r="H3674" s="15"/>
      <c r="I3674" s="15"/>
      <c r="J3674" s="15"/>
      <c r="K3674" s="15"/>
      <c r="L3674" s="15"/>
      <c r="M3674" s="16"/>
      <c r="N3674" s="16"/>
      <c r="O3674" s="15"/>
      <c r="P3674" s="15"/>
    </row>
    <row r="3675">
      <c r="A3675" s="15"/>
      <c r="B3675" s="22"/>
      <c r="C3675" s="22"/>
      <c r="D3675" s="22"/>
      <c r="E3675" s="15"/>
      <c r="F3675" s="15"/>
      <c r="G3675" s="15"/>
      <c r="H3675" s="15"/>
      <c r="I3675" s="15"/>
      <c r="J3675" s="15"/>
      <c r="K3675" s="15"/>
      <c r="L3675" s="15"/>
      <c r="M3675" s="16"/>
      <c r="N3675" s="16"/>
      <c r="O3675" s="15"/>
      <c r="P3675" s="15"/>
    </row>
    <row r="3676">
      <c r="A3676" s="15"/>
      <c r="B3676" s="22"/>
      <c r="C3676" s="22"/>
      <c r="D3676" s="22"/>
      <c r="E3676" s="15"/>
      <c r="F3676" s="15"/>
      <c r="G3676" s="15"/>
      <c r="H3676" s="15"/>
      <c r="I3676" s="15"/>
      <c r="J3676" s="15"/>
      <c r="K3676" s="15"/>
      <c r="L3676" s="15"/>
      <c r="M3676" s="16"/>
      <c r="N3676" s="16"/>
      <c r="O3676" s="15"/>
      <c r="P3676" s="15"/>
    </row>
    <row r="3677">
      <c r="A3677" s="15"/>
      <c r="B3677" s="22"/>
      <c r="C3677" s="22"/>
      <c r="D3677" s="22"/>
      <c r="E3677" s="15"/>
      <c r="F3677" s="15"/>
      <c r="G3677" s="15"/>
      <c r="H3677" s="15"/>
      <c r="I3677" s="15"/>
      <c r="J3677" s="15"/>
      <c r="K3677" s="15"/>
      <c r="L3677" s="15"/>
      <c r="M3677" s="16"/>
      <c r="N3677" s="16"/>
      <c r="O3677" s="15"/>
      <c r="P3677" s="15"/>
    </row>
    <row r="3678">
      <c r="A3678" s="15"/>
      <c r="B3678" s="22"/>
      <c r="C3678" s="22"/>
      <c r="D3678" s="22"/>
      <c r="E3678" s="15"/>
      <c r="F3678" s="15"/>
      <c r="G3678" s="15"/>
      <c r="H3678" s="15"/>
      <c r="I3678" s="15"/>
      <c r="J3678" s="15"/>
      <c r="K3678" s="15"/>
      <c r="L3678" s="15"/>
      <c r="M3678" s="16"/>
      <c r="N3678" s="16"/>
      <c r="O3678" s="15"/>
      <c r="P3678" s="15"/>
    </row>
    <row r="3679">
      <c r="A3679" s="15"/>
      <c r="B3679" s="22"/>
      <c r="C3679" s="22"/>
      <c r="D3679" s="22"/>
      <c r="E3679" s="15"/>
      <c r="F3679" s="15"/>
      <c r="G3679" s="15"/>
      <c r="H3679" s="15"/>
      <c r="I3679" s="15"/>
      <c r="J3679" s="15"/>
      <c r="K3679" s="15"/>
      <c r="L3679" s="15"/>
      <c r="M3679" s="16"/>
      <c r="N3679" s="16"/>
      <c r="O3679" s="15"/>
      <c r="P3679" s="15"/>
    </row>
    <row r="3680">
      <c r="A3680" s="15"/>
      <c r="B3680" s="22"/>
      <c r="C3680" s="22"/>
      <c r="D3680" s="22"/>
      <c r="E3680" s="15"/>
      <c r="F3680" s="15"/>
      <c r="G3680" s="15"/>
      <c r="H3680" s="15"/>
      <c r="I3680" s="15"/>
      <c r="J3680" s="15"/>
      <c r="K3680" s="15"/>
      <c r="L3680" s="15"/>
      <c r="M3680" s="16"/>
      <c r="N3680" s="16"/>
      <c r="O3680" s="15"/>
      <c r="P3680" s="15"/>
    </row>
    <row r="3681">
      <c r="A3681" s="15"/>
      <c r="B3681" s="22"/>
      <c r="C3681" s="22"/>
      <c r="D3681" s="22"/>
      <c r="E3681" s="15"/>
      <c r="F3681" s="15"/>
      <c r="G3681" s="15"/>
      <c r="H3681" s="15"/>
      <c r="I3681" s="15"/>
      <c r="J3681" s="15"/>
      <c r="K3681" s="15"/>
      <c r="L3681" s="15"/>
      <c r="M3681" s="16"/>
      <c r="N3681" s="16"/>
      <c r="O3681" s="15"/>
      <c r="P3681" s="15"/>
    </row>
    <row r="3682">
      <c r="A3682" s="15"/>
      <c r="B3682" s="22"/>
      <c r="C3682" s="22"/>
      <c r="D3682" s="22"/>
      <c r="E3682" s="15"/>
      <c r="F3682" s="15"/>
      <c r="G3682" s="15"/>
      <c r="H3682" s="15"/>
      <c r="I3682" s="15"/>
      <c r="J3682" s="15"/>
      <c r="K3682" s="15"/>
      <c r="L3682" s="15"/>
      <c r="M3682" s="16"/>
      <c r="N3682" s="16"/>
      <c r="O3682" s="15"/>
      <c r="P3682" s="15"/>
    </row>
    <row r="3683">
      <c r="A3683" s="15"/>
      <c r="B3683" s="22"/>
      <c r="C3683" s="22"/>
      <c r="D3683" s="22"/>
      <c r="E3683" s="15"/>
      <c r="F3683" s="15"/>
      <c r="G3683" s="15"/>
      <c r="H3683" s="15"/>
      <c r="I3683" s="15"/>
      <c r="J3683" s="15"/>
      <c r="K3683" s="15"/>
      <c r="L3683" s="15"/>
      <c r="M3683" s="16"/>
      <c r="N3683" s="16"/>
      <c r="O3683" s="15"/>
      <c r="P3683" s="15"/>
    </row>
    <row r="3684">
      <c r="A3684" s="15"/>
      <c r="B3684" s="22"/>
      <c r="C3684" s="22"/>
      <c r="D3684" s="22"/>
      <c r="E3684" s="15"/>
      <c r="F3684" s="15"/>
      <c r="G3684" s="15"/>
      <c r="H3684" s="15"/>
      <c r="I3684" s="15"/>
      <c r="J3684" s="15"/>
      <c r="K3684" s="15"/>
      <c r="L3684" s="15"/>
      <c r="M3684" s="16"/>
      <c r="N3684" s="16"/>
      <c r="O3684" s="15"/>
      <c r="P3684" s="15"/>
    </row>
    <row r="3685">
      <c r="A3685" s="15"/>
      <c r="B3685" s="22"/>
      <c r="C3685" s="22"/>
      <c r="D3685" s="22"/>
      <c r="E3685" s="15"/>
      <c r="F3685" s="15"/>
      <c r="G3685" s="15"/>
      <c r="H3685" s="15"/>
      <c r="I3685" s="15"/>
      <c r="J3685" s="15"/>
      <c r="K3685" s="15"/>
      <c r="L3685" s="15"/>
      <c r="M3685" s="16"/>
      <c r="N3685" s="16"/>
      <c r="O3685" s="15"/>
      <c r="P3685" s="15"/>
    </row>
    <row r="3686">
      <c r="A3686" s="15"/>
      <c r="B3686" s="22"/>
      <c r="C3686" s="22"/>
      <c r="D3686" s="22"/>
      <c r="E3686" s="15"/>
      <c r="F3686" s="15"/>
      <c r="G3686" s="15"/>
      <c r="H3686" s="15"/>
      <c r="I3686" s="15"/>
      <c r="J3686" s="15"/>
      <c r="K3686" s="15"/>
      <c r="L3686" s="15"/>
      <c r="M3686" s="16"/>
      <c r="N3686" s="16"/>
      <c r="O3686" s="15"/>
      <c r="P3686" s="15"/>
    </row>
    <row r="3687">
      <c r="A3687" s="15"/>
      <c r="B3687" s="22"/>
      <c r="C3687" s="22"/>
      <c r="D3687" s="22"/>
      <c r="E3687" s="15"/>
      <c r="F3687" s="15"/>
      <c r="G3687" s="15"/>
      <c r="H3687" s="15"/>
      <c r="I3687" s="15"/>
      <c r="J3687" s="15"/>
      <c r="K3687" s="15"/>
      <c r="L3687" s="15"/>
      <c r="M3687" s="16"/>
      <c r="N3687" s="16"/>
      <c r="O3687" s="15"/>
      <c r="P3687" s="15"/>
    </row>
    <row r="3688">
      <c r="A3688" s="15"/>
      <c r="B3688" s="22"/>
      <c r="C3688" s="22"/>
      <c r="D3688" s="22"/>
      <c r="E3688" s="15"/>
      <c r="F3688" s="15"/>
      <c r="G3688" s="15"/>
      <c r="H3688" s="15"/>
      <c r="I3688" s="15"/>
      <c r="J3688" s="15"/>
      <c r="K3688" s="15"/>
      <c r="L3688" s="15"/>
      <c r="M3688" s="16"/>
      <c r="N3688" s="16"/>
      <c r="O3688" s="15"/>
      <c r="P3688" s="15"/>
    </row>
    <row r="3689">
      <c r="A3689" s="15"/>
      <c r="B3689" s="22"/>
      <c r="C3689" s="22"/>
      <c r="D3689" s="22"/>
      <c r="E3689" s="15"/>
      <c r="F3689" s="15"/>
      <c r="G3689" s="15"/>
      <c r="H3689" s="15"/>
      <c r="I3689" s="15"/>
      <c r="J3689" s="15"/>
      <c r="K3689" s="15"/>
      <c r="L3689" s="15"/>
      <c r="M3689" s="16"/>
      <c r="N3689" s="16"/>
      <c r="O3689" s="15"/>
      <c r="P3689" s="15"/>
    </row>
    <row r="3690">
      <c r="A3690" s="15"/>
      <c r="B3690" s="22"/>
      <c r="C3690" s="22"/>
      <c r="D3690" s="22"/>
      <c r="E3690" s="15"/>
      <c r="F3690" s="15"/>
      <c r="G3690" s="15"/>
      <c r="H3690" s="15"/>
      <c r="I3690" s="15"/>
      <c r="J3690" s="15"/>
      <c r="K3690" s="15"/>
      <c r="L3690" s="15"/>
      <c r="M3690" s="16"/>
      <c r="N3690" s="16"/>
      <c r="O3690" s="15"/>
      <c r="P3690" s="15"/>
    </row>
    <row r="3691">
      <c r="A3691" s="15"/>
      <c r="B3691" s="22"/>
      <c r="C3691" s="22"/>
      <c r="D3691" s="22"/>
      <c r="E3691" s="15"/>
      <c r="F3691" s="15"/>
      <c r="G3691" s="15"/>
      <c r="H3691" s="15"/>
      <c r="I3691" s="15"/>
      <c r="J3691" s="15"/>
      <c r="K3691" s="15"/>
      <c r="L3691" s="15"/>
      <c r="M3691" s="16"/>
      <c r="N3691" s="16"/>
      <c r="O3691" s="15"/>
      <c r="P3691" s="15"/>
    </row>
    <row r="3692">
      <c r="A3692" s="15"/>
      <c r="B3692" s="22"/>
      <c r="C3692" s="22"/>
      <c r="D3692" s="22"/>
      <c r="E3692" s="15"/>
      <c r="F3692" s="15"/>
      <c r="G3692" s="15"/>
      <c r="H3692" s="15"/>
      <c r="I3692" s="15"/>
      <c r="J3692" s="15"/>
      <c r="K3692" s="15"/>
      <c r="L3692" s="15"/>
      <c r="M3692" s="16"/>
      <c r="N3692" s="16"/>
      <c r="O3692" s="15"/>
      <c r="P3692" s="15"/>
    </row>
    <row r="3693">
      <c r="A3693" s="15"/>
      <c r="B3693" s="22"/>
      <c r="C3693" s="22"/>
      <c r="D3693" s="22"/>
      <c r="E3693" s="15"/>
      <c r="F3693" s="15"/>
      <c r="G3693" s="15"/>
      <c r="H3693" s="15"/>
      <c r="I3693" s="15"/>
      <c r="J3693" s="15"/>
      <c r="K3693" s="15"/>
      <c r="L3693" s="15"/>
      <c r="M3693" s="16"/>
      <c r="N3693" s="16"/>
      <c r="O3693" s="15"/>
      <c r="P3693" s="15"/>
    </row>
    <row r="3694">
      <c r="A3694" s="15"/>
      <c r="B3694" s="22"/>
      <c r="C3694" s="22"/>
      <c r="D3694" s="22"/>
      <c r="E3694" s="15"/>
      <c r="F3694" s="15"/>
      <c r="G3694" s="15"/>
      <c r="H3694" s="15"/>
      <c r="I3694" s="15"/>
      <c r="J3694" s="15"/>
      <c r="K3694" s="15"/>
      <c r="L3694" s="15"/>
      <c r="M3694" s="16"/>
      <c r="N3694" s="16"/>
      <c r="O3694" s="15"/>
      <c r="P3694" s="15"/>
    </row>
    <row r="3695">
      <c r="A3695" s="15"/>
      <c r="B3695" s="22"/>
      <c r="C3695" s="22"/>
      <c r="D3695" s="22"/>
      <c r="E3695" s="15"/>
      <c r="F3695" s="15"/>
      <c r="G3695" s="15"/>
      <c r="H3695" s="15"/>
      <c r="I3695" s="15"/>
      <c r="J3695" s="15"/>
      <c r="K3695" s="15"/>
      <c r="L3695" s="15"/>
      <c r="M3695" s="16"/>
      <c r="N3695" s="16"/>
      <c r="O3695" s="15"/>
      <c r="P3695" s="15"/>
    </row>
    <row r="3696">
      <c r="A3696" s="15"/>
      <c r="B3696" s="22"/>
      <c r="C3696" s="22"/>
      <c r="D3696" s="22"/>
      <c r="E3696" s="15"/>
      <c r="F3696" s="15"/>
      <c r="G3696" s="15"/>
      <c r="H3696" s="15"/>
      <c r="I3696" s="15"/>
      <c r="J3696" s="15"/>
      <c r="K3696" s="15"/>
      <c r="L3696" s="15"/>
      <c r="M3696" s="16"/>
      <c r="N3696" s="16"/>
      <c r="O3696" s="15"/>
      <c r="P3696" s="15"/>
    </row>
    <row r="3697">
      <c r="A3697" s="15"/>
      <c r="B3697" s="22"/>
      <c r="C3697" s="22"/>
      <c r="D3697" s="22"/>
      <c r="E3697" s="15"/>
      <c r="F3697" s="15"/>
      <c r="G3697" s="15"/>
      <c r="H3697" s="15"/>
      <c r="I3697" s="15"/>
      <c r="J3697" s="15"/>
      <c r="K3697" s="15"/>
      <c r="L3697" s="15"/>
      <c r="M3697" s="16"/>
      <c r="N3697" s="16"/>
      <c r="O3697" s="15"/>
      <c r="P3697" s="15"/>
    </row>
    <row r="3698">
      <c r="A3698" s="15"/>
      <c r="B3698" s="22"/>
      <c r="C3698" s="22"/>
      <c r="D3698" s="22"/>
      <c r="E3698" s="15"/>
      <c r="F3698" s="15"/>
      <c r="G3698" s="15"/>
      <c r="H3698" s="15"/>
      <c r="I3698" s="15"/>
      <c r="J3698" s="15"/>
      <c r="K3698" s="15"/>
      <c r="L3698" s="15"/>
      <c r="M3698" s="16"/>
      <c r="N3698" s="16"/>
      <c r="O3698" s="15"/>
      <c r="P3698" s="15"/>
    </row>
    <row r="3699">
      <c r="A3699" s="15"/>
      <c r="B3699" s="22"/>
      <c r="C3699" s="22"/>
      <c r="D3699" s="22"/>
      <c r="E3699" s="15"/>
      <c r="F3699" s="15"/>
      <c r="G3699" s="15"/>
      <c r="H3699" s="15"/>
      <c r="I3699" s="15"/>
      <c r="J3699" s="15"/>
      <c r="K3699" s="15"/>
      <c r="L3699" s="15"/>
      <c r="M3699" s="16"/>
      <c r="N3699" s="16"/>
      <c r="O3699" s="15"/>
      <c r="P3699" s="15"/>
    </row>
    <row r="3700">
      <c r="A3700" s="15"/>
      <c r="B3700" s="22"/>
      <c r="C3700" s="22"/>
      <c r="D3700" s="22"/>
      <c r="E3700" s="15"/>
      <c r="F3700" s="15"/>
      <c r="G3700" s="15"/>
      <c r="H3700" s="15"/>
      <c r="I3700" s="15"/>
      <c r="J3700" s="15"/>
      <c r="K3700" s="15"/>
      <c r="L3700" s="15"/>
      <c r="M3700" s="16"/>
      <c r="N3700" s="16"/>
      <c r="O3700" s="15"/>
      <c r="P3700" s="15"/>
    </row>
    <row r="3701">
      <c r="A3701" s="15"/>
      <c r="B3701" s="22"/>
      <c r="C3701" s="22"/>
      <c r="D3701" s="22"/>
      <c r="E3701" s="15"/>
      <c r="F3701" s="15"/>
      <c r="G3701" s="15"/>
      <c r="H3701" s="15"/>
      <c r="I3701" s="15"/>
      <c r="J3701" s="15"/>
      <c r="K3701" s="15"/>
      <c r="L3701" s="15"/>
      <c r="M3701" s="16"/>
      <c r="N3701" s="16"/>
      <c r="O3701" s="15"/>
      <c r="P3701" s="15"/>
    </row>
    <row r="3702">
      <c r="A3702" s="15"/>
      <c r="B3702" s="22"/>
      <c r="C3702" s="22"/>
      <c r="D3702" s="22"/>
      <c r="E3702" s="15"/>
      <c r="F3702" s="15"/>
      <c r="G3702" s="15"/>
      <c r="H3702" s="15"/>
      <c r="I3702" s="15"/>
      <c r="J3702" s="15"/>
      <c r="K3702" s="15"/>
      <c r="L3702" s="15"/>
      <c r="M3702" s="16"/>
      <c r="N3702" s="16"/>
      <c r="O3702" s="15"/>
      <c r="P3702" s="15"/>
    </row>
    <row r="3703">
      <c r="A3703" s="15"/>
      <c r="B3703" s="22"/>
      <c r="C3703" s="22"/>
      <c r="D3703" s="22"/>
      <c r="E3703" s="15"/>
      <c r="F3703" s="15"/>
      <c r="G3703" s="15"/>
      <c r="H3703" s="15"/>
      <c r="I3703" s="15"/>
      <c r="J3703" s="15"/>
      <c r="K3703" s="15"/>
      <c r="L3703" s="15"/>
      <c r="M3703" s="16"/>
      <c r="N3703" s="16"/>
      <c r="O3703" s="15"/>
      <c r="P3703" s="15"/>
    </row>
    <row r="3704">
      <c r="A3704" s="15"/>
      <c r="B3704" s="22"/>
      <c r="C3704" s="22"/>
      <c r="D3704" s="22"/>
      <c r="E3704" s="15"/>
      <c r="F3704" s="15"/>
      <c r="G3704" s="15"/>
      <c r="H3704" s="15"/>
      <c r="I3704" s="15"/>
      <c r="J3704" s="15"/>
      <c r="K3704" s="15"/>
      <c r="L3704" s="15"/>
      <c r="M3704" s="16"/>
      <c r="N3704" s="16"/>
      <c r="O3704" s="15"/>
      <c r="P3704" s="15"/>
    </row>
    <row r="3705">
      <c r="A3705" s="15"/>
      <c r="B3705" s="22"/>
      <c r="C3705" s="22"/>
      <c r="D3705" s="22"/>
      <c r="E3705" s="15"/>
      <c r="F3705" s="15"/>
      <c r="G3705" s="15"/>
      <c r="H3705" s="15"/>
      <c r="I3705" s="15"/>
      <c r="J3705" s="15"/>
      <c r="K3705" s="15"/>
      <c r="L3705" s="15"/>
      <c r="M3705" s="16"/>
      <c r="N3705" s="16"/>
      <c r="O3705" s="15"/>
      <c r="P3705" s="15"/>
    </row>
    <row r="3706">
      <c r="A3706" s="15"/>
      <c r="B3706" s="22"/>
      <c r="C3706" s="22"/>
      <c r="D3706" s="22"/>
      <c r="E3706" s="15"/>
      <c r="F3706" s="15"/>
      <c r="G3706" s="15"/>
      <c r="H3706" s="15"/>
      <c r="I3706" s="15"/>
      <c r="J3706" s="15"/>
      <c r="K3706" s="15"/>
      <c r="L3706" s="15"/>
      <c r="M3706" s="16"/>
      <c r="N3706" s="16"/>
      <c r="O3706" s="15"/>
      <c r="P3706" s="15"/>
    </row>
    <row r="3707">
      <c r="A3707" s="15"/>
      <c r="B3707" s="22"/>
      <c r="C3707" s="22"/>
      <c r="D3707" s="22"/>
      <c r="E3707" s="15"/>
      <c r="F3707" s="15"/>
      <c r="G3707" s="15"/>
      <c r="H3707" s="15"/>
      <c r="I3707" s="15"/>
      <c r="J3707" s="15"/>
      <c r="K3707" s="15"/>
      <c r="L3707" s="15"/>
      <c r="M3707" s="16"/>
      <c r="N3707" s="16"/>
      <c r="O3707" s="15"/>
      <c r="P3707" s="15"/>
    </row>
    <row r="3708">
      <c r="A3708" s="15"/>
      <c r="B3708" s="22"/>
      <c r="C3708" s="22"/>
      <c r="D3708" s="22"/>
      <c r="E3708" s="15"/>
      <c r="F3708" s="15"/>
      <c r="G3708" s="15"/>
      <c r="H3708" s="15"/>
      <c r="I3708" s="15"/>
      <c r="J3708" s="15"/>
      <c r="K3708" s="15"/>
      <c r="L3708" s="15"/>
      <c r="M3708" s="16"/>
      <c r="N3708" s="16"/>
      <c r="O3708" s="15"/>
      <c r="P3708" s="15"/>
    </row>
    <row r="3709">
      <c r="A3709" s="15"/>
      <c r="B3709" s="22"/>
      <c r="C3709" s="22"/>
      <c r="D3709" s="22"/>
      <c r="E3709" s="15"/>
      <c r="F3709" s="15"/>
      <c r="G3709" s="15"/>
      <c r="H3709" s="15"/>
      <c r="I3709" s="15"/>
      <c r="J3709" s="15"/>
      <c r="K3709" s="15"/>
      <c r="L3709" s="15"/>
      <c r="M3709" s="16"/>
      <c r="N3709" s="16"/>
      <c r="O3709" s="15"/>
      <c r="P3709" s="15"/>
    </row>
    <row r="3710">
      <c r="A3710" s="15"/>
      <c r="B3710" s="22"/>
      <c r="C3710" s="22"/>
      <c r="D3710" s="22"/>
      <c r="E3710" s="15"/>
      <c r="F3710" s="15"/>
      <c r="G3710" s="15"/>
      <c r="H3710" s="15"/>
      <c r="I3710" s="15"/>
      <c r="J3710" s="15"/>
      <c r="K3710" s="15"/>
      <c r="L3710" s="15"/>
      <c r="M3710" s="16"/>
      <c r="N3710" s="16"/>
      <c r="O3710" s="15"/>
      <c r="P3710" s="15"/>
    </row>
    <row r="3711">
      <c r="A3711" s="15"/>
      <c r="B3711" s="22"/>
      <c r="C3711" s="22"/>
      <c r="D3711" s="22"/>
      <c r="E3711" s="15"/>
      <c r="F3711" s="15"/>
      <c r="G3711" s="15"/>
      <c r="H3711" s="15"/>
      <c r="I3711" s="15"/>
      <c r="J3711" s="15"/>
      <c r="K3711" s="15"/>
      <c r="L3711" s="15"/>
      <c r="M3711" s="16"/>
      <c r="N3711" s="16"/>
      <c r="O3711" s="15"/>
      <c r="P3711" s="15"/>
    </row>
    <row r="3712">
      <c r="A3712" s="15"/>
      <c r="B3712" s="22"/>
      <c r="C3712" s="22"/>
      <c r="D3712" s="22"/>
      <c r="E3712" s="15"/>
      <c r="F3712" s="15"/>
      <c r="G3712" s="15"/>
      <c r="H3712" s="15"/>
      <c r="I3712" s="15"/>
      <c r="J3712" s="15"/>
      <c r="K3712" s="15"/>
      <c r="L3712" s="15"/>
      <c r="M3712" s="16"/>
      <c r="N3712" s="16"/>
      <c r="O3712" s="15"/>
      <c r="P3712" s="15"/>
    </row>
    <row r="3713">
      <c r="A3713" s="15"/>
      <c r="B3713" s="22"/>
      <c r="C3713" s="22"/>
      <c r="D3713" s="22"/>
      <c r="E3713" s="15"/>
      <c r="F3713" s="15"/>
      <c r="G3713" s="15"/>
      <c r="H3713" s="15"/>
      <c r="I3713" s="15"/>
      <c r="J3713" s="15"/>
      <c r="K3713" s="15"/>
      <c r="L3713" s="15"/>
      <c r="M3713" s="16"/>
      <c r="N3713" s="16"/>
      <c r="O3713" s="15"/>
      <c r="P3713" s="15"/>
    </row>
    <row r="3714">
      <c r="A3714" s="15"/>
      <c r="B3714" s="22"/>
      <c r="C3714" s="22"/>
      <c r="D3714" s="22"/>
      <c r="E3714" s="15"/>
      <c r="F3714" s="15"/>
      <c r="G3714" s="15"/>
      <c r="H3714" s="15"/>
      <c r="I3714" s="15"/>
      <c r="J3714" s="15"/>
      <c r="K3714" s="15"/>
      <c r="L3714" s="15"/>
      <c r="M3714" s="16"/>
      <c r="N3714" s="16"/>
      <c r="O3714" s="15"/>
      <c r="P3714" s="15"/>
    </row>
    <row r="3715">
      <c r="A3715" s="15"/>
      <c r="B3715" s="22"/>
      <c r="C3715" s="22"/>
      <c r="D3715" s="22"/>
      <c r="E3715" s="15"/>
      <c r="F3715" s="15"/>
      <c r="G3715" s="15"/>
      <c r="H3715" s="15"/>
      <c r="I3715" s="15"/>
      <c r="J3715" s="15"/>
      <c r="K3715" s="15"/>
      <c r="L3715" s="15"/>
      <c r="M3715" s="16"/>
      <c r="N3715" s="16"/>
      <c r="O3715" s="15"/>
      <c r="P3715" s="15"/>
    </row>
    <row r="3716">
      <c r="A3716" s="15"/>
      <c r="B3716" s="22"/>
      <c r="C3716" s="22"/>
      <c r="D3716" s="22"/>
      <c r="E3716" s="15"/>
      <c r="F3716" s="15"/>
      <c r="G3716" s="15"/>
      <c r="H3716" s="15"/>
      <c r="I3716" s="15"/>
      <c r="J3716" s="15"/>
      <c r="K3716" s="15"/>
      <c r="L3716" s="15"/>
      <c r="M3716" s="16"/>
      <c r="N3716" s="16"/>
      <c r="O3716" s="15"/>
      <c r="P3716" s="15"/>
    </row>
    <row r="3717">
      <c r="A3717" s="15"/>
      <c r="B3717" s="22"/>
      <c r="C3717" s="22"/>
      <c r="D3717" s="22"/>
      <c r="E3717" s="15"/>
      <c r="F3717" s="15"/>
      <c r="G3717" s="15"/>
      <c r="H3717" s="15"/>
      <c r="I3717" s="15"/>
      <c r="J3717" s="15"/>
      <c r="K3717" s="15"/>
      <c r="L3717" s="15"/>
      <c r="M3717" s="16"/>
      <c r="N3717" s="16"/>
      <c r="O3717" s="15"/>
      <c r="P3717" s="15"/>
    </row>
    <row r="3718">
      <c r="A3718" s="15"/>
      <c r="B3718" s="22"/>
      <c r="C3718" s="22"/>
      <c r="D3718" s="22"/>
      <c r="E3718" s="15"/>
      <c r="F3718" s="15"/>
      <c r="G3718" s="15"/>
      <c r="H3718" s="15"/>
      <c r="I3718" s="15"/>
      <c r="J3718" s="15"/>
      <c r="K3718" s="15"/>
      <c r="L3718" s="15"/>
      <c r="M3718" s="16"/>
      <c r="N3718" s="16"/>
      <c r="O3718" s="15"/>
      <c r="P3718" s="15"/>
    </row>
    <row r="3719">
      <c r="A3719" s="15"/>
      <c r="B3719" s="22"/>
      <c r="C3719" s="22"/>
      <c r="D3719" s="22"/>
      <c r="E3719" s="15"/>
      <c r="F3719" s="15"/>
      <c r="G3719" s="15"/>
      <c r="H3719" s="15"/>
      <c r="I3719" s="15"/>
      <c r="J3719" s="15"/>
      <c r="K3719" s="15"/>
      <c r="L3719" s="15"/>
      <c r="M3719" s="16"/>
      <c r="N3719" s="16"/>
      <c r="O3719" s="15"/>
      <c r="P3719" s="15"/>
    </row>
    <row r="3720">
      <c r="A3720" s="15"/>
      <c r="B3720" s="22"/>
      <c r="C3720" s="22"/>
      <c r="D3720" s="22"/>
      <c r="E3720" s="15"/>
      <c r="F3720" s="15"/>
      <c r="G3720" s="15"/>
      <c r="H3720" s="15"/>
      <c r="I3720" s="15"/>
      <c r="J3720" s="15"/>
      <c r="K3720" s="15"/>
      <c r="L3720" s="15"/>
      <c r="M3720" s="16"/>
      <c r="N3720" s="16"/>
      <c r="O3720" s="15"/>
      <c r="P3720" s="15"/>
    </row>
    <row r="3721">
      <c r="A3721" s="15"/>
      <c r="B3721" s="22"/>
      <c r="C3721" s="22"/>
      <c r="D3721" s="22"/>
      <c r="E3721" s="15"/>
      <c r="F3721" s="15"/>
      <c r="G3721" s="15"/>
      <c r="H3721" s="15"/>
      <c r="I3721" s="15"/>
      <c r="J3721" s="15"/>
      <c r="K3721" s="15"/>
      <c r="L3721" s="15"/>
      <c r="M3721" s="16"/>
      <c r="N3721" s="16"/>
      <c r="O3721" s="15"/>
      <c r="P3721" s="15"/>
    </row>
    <row r="3722">
      <c r="A3722" s="15"/>
      <c r="B3722" s="22"/>
      <c r="C3722" s="22"/>
      <c r="D3722" s="22"/>
      <c r="E3722" s="15"/>
      <c r="F3722" s="15"/>
      <c r="G3722" s="15"/>
      <c r="H3722" s="15"/>
      <c r="I3722" s="15"/>
      <c r="J3722" s="15"/>
      <c r="K3722" s="15"/>
      <c r="L3722" s="15"/>
      <c r="M3722" s="16"/>
      <c r="N3722" s="16"/>
      <c r="O3722" s="15"/>
      <c r="P3722" s="15"/>
    </row>
    <row r="3723">
      <c r="A3723" s="15"/>
      <c r="B3723" s="22"/>
      <c r="C3723" s="22"/>
      <c r="D3723" s="22"/>
      <c r="E3723" s="15"/>
      <c r="F3723" s="15"/>
      <c r="G3723" s="15"/>
      <c r="H3723" s="15"/>
      <c r="I3723" s="15"/>
      <c r="J3723" s="15"/>
      <c r="K3723" s="15"/>
      <c r="L3723" s="15"/>
      <c r="M3723" s="16"/>
      <c r="N3723" s="16"/>
      <c r="O3723" s="15"/>
      <c r="P3723" s="15"/>
    </row>
    <row r="3724">
      <c r="A3724" s="15"/>
      <c r="B3724" s="22"/>
      <c r="C3724" s="22"/>
      <c r="D3724" s="22"/>
      <c r="E3724" s="15"/>
      <c r="F3724" s="15"/>
      <c r="G3724" s="15"/>
      <c r="H3724" s="15"/>
      <c r="I3724" s="15"/>
      <c r="J3724" s="15"/>
      <c r="K3724" s="15"/>
      <c r="L3724" s="15"/>
      <c r="M3724" s="16"/>
      <c r="N3724" s="16"/>
      <c r="O3724" s="15"/>
      <c r="P3724" s="15"/>
    </row>
    <row r="3725">
      <c r="A3725" s="15"/>
      <c r="B3725" s="22"/>
      <c r="C3725" s="22"/>
      <c r="D3725" s="22"/>
      <c r="E3725" s="15"/>
      <c r="F3725" s="15"/>
      <c r="G3725" s="15"/>
      <c r="H3725" s="15"/>
      <c r="I3725" s="15"/>
      <c r="J3725" s="15"/>
      <c r="K3725" s="15"/>
      <c r="L3725" s="15"/>
      <c r="M3725" s="16"/>
      <c r="N3725" s="16"/>
      <c r="O3725" s="15"/>
      <c r="P3725" s="15"/>
    </row>
    <row r="3726">
      <c r="A3726" s="15"/>
      <c r="B3726" s="22"/>
      <c r="C3726" s="22"/>
      <c r="D3726" s="22"/>
      <c r="E3726" s="15"/>
      <c r="F3726" s="15"/>
      <c r="G3726" s="15"/>
      <c r="H3726" s="15"/>
      <c r="I3726" s="15"/>
      <c r="J3726" s="15"/>
      <c r="K3726" s="15"/>
      <c r="L3726" s="15"/>
      <c r="M3726" s="16"/>
      <c r="N3726" s="16"/>
      <c r="O3726" s="15"/>
      <c r="P3726" s="15"/>
    </row>
    <row r="3727">
      <c r="A3727" s="15"/>
      <c r="B3727" s="22"/>
      <c r="C3727" s="22"/>
      <c r="D3727" s="22"/>
      <c r="E3727" s="15"/>
      <c r="F3727" s="15"/>
      <c r="G3727" s="15"/>
      <c r="H3727" s="15"/>
      <c r="I3727" s="15"/>
      <c r="J3727" s="15"/>
      <c r="K3727" s="15"/>
      <c r="L3727" s="15"/>
      <c r="M3727" s="16"/>
      <c r="N3727" s="16"/>
      <c r="O3727" s="15"/>
      <c r="P3727" s="15"/>
    </row>
    <row r="3728">
      <c r="A3728" s="15"/>
      <c r="B3728" s="22"/>
      <c r="C3728" s="22"/>
      <c r="D3728" s="22"/>
      <c r="E3728" s="15"/>
      <c r="F3728" s="15"/>
      <c r="G3728" s="15"/>
      <c r="H3728" s="15"/>
      <c r="I3728" s="15"/>
      <c r="J3728" s="15"/>
      <c r="K3728" s="15"/>
      <c r="L3728" s="15"/>
      <c r="M3728" s="16"/>
      <c r="N3728" s="16"/>
      <c r="O3728" s="15"/>
      <c r="P3728" s="15"/>
    </row>
    <row r="3729">
      <c r="A3729" s="15"/>
      <c r="B3729" s="22"/>
      <c r="C3729" s="22"/>
      <c r="D3729" s="22"/>
      <c r="E3729" s="15"/>
      <c r="F3729" s="15"/>
      <c r="G3729" s="15"/>
      <c r="H3729" s="15"/>
      <c r="I3729" s="15"/>
      <c r="J3729" s="15"/>
      <c r="K3729" s="15"/>
      <c r="L3729" s="15"/>
      <c r="M3729" s="16"/>
      <c r="N3729" s="16"/>
      <c r="O3729" s="15"/>
      <c r="P3729" s="15"/>
    </row>
    <row r="3730">
      <c r="A3730" s="15"/>
      <c r="B3730" s="22"/>
      <c r="C3730" s="22"/>
      <c r="D3730" s="22"/>
      <c r="E3730" s="15"/>
      <c r="F3730" s="15"/>
      <c r="G3730" s="15"/>
      <c r="H3730" s="15"/>
      <c r="I3730" s="15"/>
      <c r="J3730" s="15"/>
      <c r="K3730" s="15"/>
      <c r="L3730" s="15"/>
      <c r="M3730" s="16"/>
      <c r="N3730" s="16"/>
      <c r="O3730" s="15"/>
      <c r="P3730" s="15"/>
    </row>
    <row r="3731">
      <c r="A3731" s="15"/>
      <c r="B3731" s="22"/>
      <c r="C3731" s="22"/>
      <c r="D3731" s="22"/>
      <c r="E3731" s="15"/>
      <c r="F3731" s="15"/>
      <c r="G3731" s="15"/>
      <c r="H3731" s="15"/>
      <c r="I3731" s="15"/>
      <c r="J3731" s="15"/>
      <c r="K3731" s="15"/>
      <c r="L3731" s="15"/>
      <c r="M3731" s="16"/>
      <c r="N3731" s="16"/>
      <c r="O3731" s="15"/>
      <c r="P3731" s="15"/>
    </row>
    <row r="3732">
      <c r="A3732" s="15"/>
      <c r="B3732" s="22"/>
      <c r="C3732" s="22"/>
      <c r="D3732" s="22"/>
      <c r="E3732" s="15"/>
      <c r="F3732" s="15"/>
      <c r="G3732" s="15"/>
      <c r="H3732" s="15"/>
      <c r="I3732" s="15"/>
      <c r="J3732" s="15"/>
      <c r="K3732" s="15"/>
      <c r="L3732" s="15"/>
      <c r="M3732" s="16"/>
      <c r="N3732" s="16"/>
      <c r="O3732" s="15"/>
      <c r="P3732" s="15"/>
    </row>
    <row r="3733">
      <c r="A3733" s="15"/>
      <c r="B3733" s="22"/>
      <c r="C3733" s="22"/>
      <c r="D3733" s="22"/>
      <c r="E3733" s="15"/>
      <c r="F3733" s="15"/>
      <c r="G3733" s="15"/>
      <c r="H3733" s="15"/>
      <c r="I3733" s="15"/>
      <c r="J3733" s="15"/>
      <c r="K3733" s="15"/>
      <c r="L3733" s="15"/>
      <c r="M3733" s="16"/>
      <c r="N3733" s="16"/>
      <c r="O3733" s="15"/>
      <c r="P3733" s="15"/>
    </row>
    <row r="3734">
      <c r="A3734" s="15"/>
      <c r="B3734" s="22"/>
      <c r="C3734" s="22"/>
      <c r="D3734" s="22"/>
      <c r="E3734" s="15"/>
      <c r="F3734" s="15"/>
      <c r="G3734" s="15"/>
      <c r="H3734" s="15"/>
      <c r="I3734" s="15"/>
      <c r="J3734" s="15"/>
      <c r="K3734" s="15"/>
      <c r="L3734" s="15"/>
      <c r="M3734" s="16"/>
      <c r="N3734" s="16"/>
      <c r="O3734" s="15"/>
      <c r="P3734" s="15"/>
    </row>
    <row r="3735">
      <c r="A3735" s="15"/>
      <c r="B3735" s="22"/>
      <c r="C3735" s="22"/>
      <c r="D3735" s="22"/>
      <c r="E3735" s="15"/>
      <c r="F3735" s="15"/>
      <c r="G3735" s="15"/>
      <c r="H3735" s="15"/>
      <c r="I3735" s="15"/>
      <c r="J3735" s="15"/>
      <c r="K3735" s="15"/>
      <c r="L3735" s="15"/>
      <c r="M3735" s="16"/>
      <c r="N3735" s="16"/>
      <c r="O3735" s="15"/>
      <c r="P3735" s="15"/>
    </row>
    <row r="3736">
      <c r="A3736" s="15"/>
      <c r="B3736" s="22"/>
      <c r="C3736" s="22"/>
      <c r="D3736" s="22"/>
      <c r="E3736" s="15"/>
      <c r="F3736" s="15"/>
      <c r="G3736" s="15"/>
      <c r="H3736" s="15"/>
      <c r="I3736" s="15"/>
      <c r="J3736" s="15"/>
      <c r="K3736" s="15"/>
      <c r="L3736" s="15"/>
      <c r="M3736" s="16"/>
      <c r="N3736" s="16"/>
      <c r="O3736" s="15"/>
      <c r="P3736" s="15"/>
    </row>
    <row r="3737">
      <c r="A3737" s="15"/>
      <c r="B3737" s="22"/>
      <c r="C3737" s="22"/>
      <c r="D3737" s="22"/>
      <c r="E3737" s="15"/>
      <c r="F3737" s="15"/>
      <c r="G3737" s="15"/>
      <c r="H3737" s="15"/>
      <c r="I3737" s="15"/>
      <c r="J3737" s="15"/>
      <c r="K3737" s="15"/>
      <c r="L3737" s="15"/>
      <c r="M3737" s="16"/>
      <c r="N3737" s="16"/>
      <c r="O3737" s="15"/>
      <c r="P3737" s="15"/>
    </row>
    <row r="3738">
      <c r="A3738" s="15"/>
      <c r="B3738" s="22"/>
      <c r="C3738" s="22"/>
      <c r="D3738" s="22"/>
      <c r="E3738" s="15"/>
      <c r="F3738" s="15"/>
      <c r="G3738" s="15"/>
      <c r="H3738" s="15"/>
      <c r="I3738" s="15"/>
      <c r="J3738" s="15"/>
      <c r="K3738" s="15"/>
      <c r="L3738" s="15"/>
      <c r="M3738" s="16"/>
      <c r="N3738" s="16"/>
      <c r="O3738" s="15"/>
      <c r="P3738" s="15"/>
    </row>
    <row r="3739">
      <c r="A3739" s="15"/>
      <c r="B3739" s="22"/>
      <c r="C3739" s="22"/>
      <c r="D3739" s="22"/>
      <c r="E3739" s="15"/>
      <c r="F3739" s="15"/>
      <c r="G3739" s="15"/>
      <c r="H3739" s="15"/>
      <c r="I3739" s="15"/>
      <c r="J3739" s="15"/>
      <c r="K3739" s="15"/>
      <c r="L3739" s="15"/>
      <c r="M3739" s="16"/>
      <c r="N3739" s="16"/>
      <c r="O3739" s="15"/>
      <c r="P3739" s="15"/>
    </row>
    <row r="3740">
      <c r="A3740" s="15"/>
      <c r="B3740" s="22"/>
      <c r="C3740" s="22"/>
      <c r="D3740" s="22"/>
      <c r="E3740" s="15"/>
      <c r="F3740" s="15"/>
      <c r="G3740" s="15"/>
      <c r="H3740" s="15"/>
      <c r="I3740" s="15"/>
      <c r="J3740" s="15"/>
      <c r="K3740" s="15"/>
      <c r="L3740" s="15"/>
      <c r="M3740" s="16"/>
      <c r="N3740" s="16"/>
      <c r="O3740" s="15"/>
      <c r="P3740" s="15"/>
    </row>
    <row r="3741">
      <c r="A3741" s="15"/>
      <c r="B3741" s="22"/>
      <c r="C3741" s="22"/>
      <c r="D3741" s="22"/>
      <c r="E3741" s="15"/>
      <c r="F3741" s="15"/>
      <c r="G3741" s="15"/>
      <c r="H3741" s="15"/>
      <c r="I3741" s="15"/>
      <c r="J3741" s="15"/>
      <c r="K3741" s="15"/>
      <c r="L3741" s="15"/>
      <c r="M3741" s="16"/>
      <c r="N3741" s="16"/>
      <c r="O3741" s="15"/>
      <c r="P3741" s="15"/>
    </row>
    <row r="3742">
      <c r="A3742" s="15"/>
      <c r="B3742" s="22"/>
      <c r="C3742" s="22"/>
      <c r="D3742" s="22"/>
      <c r="E3742" s="15"/>
      <c r="F3742" s="15"/>
      <c r="G3742" s="15"/>
      <c r="H3742" s="15"/>
      <c r="I3742" s="15"/>
      <c r="J3742" s="15"/>
      <c r="K3742" s="15"/>
      <c r="L3742" s="15"/>
      <c r="M3742" s="16"/>
      <c r="N3742" s="16"/>
      <c r="O3742" s="15"/>
      <c r="P3742" s="15"/>
    </row>
    <row r="3743">
      <c r="A3743" s="15"/>
      <c r="B3743" s="22"/>
      <c r="C3743" s="22"/>
      <c r="D3743" s="22"/>
      <c r="E3743" s="15"/>
      <c r="F3743" s="15"/>
      <c r="G3743" s="15"/>
      <c r="H3743" s="15"/>
      <c r="I3743" s="15"/>
      <c r="J3743" s="15"/>
      <c r="K3743" s="15"/>
      <c r="L3743" s="15"/>
      <c r="M3743" s="16"/>
      <c r="N3743" s="16"/>
      <c r="O3743" s="15"/>
      <c r="P3743" s="15"/>
    </row>
    <row r="3744">
      <c r="A3744" s="15"/>
      <c r="B3744" s="22"/>
      <c r="C3744" s="22"/>
      <c r="D3744" s="22"/>
      <c r="E3744" s="15"/>
      <c r="F3744" s="15"/>
      <c r="G3744" s="15"/>
      <c r="H3744" s="15"/>
      <c r="I3744" s="15"/>
      <c r="J3744" s="15"/>
      <c r="K3744" s="15"/>
      <c r="L3744" s="15"/>
      <c r="M3744" s="16"/>
      <c r="N3744" s="16"/>
      <c r="O3744" s="15"/>
      <c r="P3744" s="15"/>
    </row>
    <row r="3745">
      <c r="A3745" s="15"/>
      <c r="B3745" s="22"/>
      <c r="C3745" s="22"/>
      <c r="D3745" s="22"/>
      <c r="E3745" s="15"/>
      <c r="F3745" s="15"/>
      <c r="G3745" s="15"/>
      <c r="H3745" s="15"/>
      <c r="I3745" s="15"/>
      <c r="J3745" s="15"/>
      <c r="K3745" s="15"/>
      <c r="L3745" s="15"/>
      <c r="M3745" s="16"/>
      <c r="N3745" s="16"/>
      <c r="O3745" s="15"/>
      <c r="P3745" s="15"/>
    </row>
    <row r="3746">
      <c r="A3746" s="15"/>
      <c r="B3746" s="22"/>
      <c r="C3746" s="22"/>
      <c r="D3746" s="22"/>
      <c r="E3746" s="15"/>
      <c r="F3746" s="15"/>
      <c r="G3746" s="15"/>
      <c r="H3746" s="15"/>
      <c r="I3746" s="15"/>
      <c r="J3746" s="15"/>
      <c r="K3746" s="15"/>
      <c r="L3746" s="15"/>
      <c r="M3746" s="16"/>
      <c r="N3746" s="16"/>
      <c r="O3746" s="15"/>
      <c r="P3746" s="15"/>
    </row>
    <row r="3747">
      <c r="A3747" s="15"/>
      <c r="B3747" s="22"/>
      <c r="C3747" s="22"/>
      <c r="D3747" s="22"/>
      <c r="E3747" s="15"/>
      <c r="F3747" s="15"/>
      <c r="G3747" s="15"/>
      <c r="H3747" s="15"/>
      <c r="I3747" s="15"/>
      <c r="J3747" s="15"/>
      <c r="K3747" s="15"/>
      <c r="L3747" s="15"/>
      <c r="M3747" s="16"/>
      <c r="N3747" s="16"/>
      <c r="O3747" s="15"/>
      <c r="P3747" s="15"/>
    </row>
    <row r="3748">
      <c r="A3748" s="15"/>
      <c r="B3748" s="22"/>
      <c r="C3748" s="22"/>
      <c r="D3748" s="22"/>
      <c r="E3748" s="15"/>
      <c r="F3748" s="15"/>
      <c r="G3748" s="15"/>
      <c r="H3748" s="15"/>
      <c r="I3748" s="15"/>
      <c r="J3748" s="15"/>
      <c r="K3748" s="15"/>
      <c r="L3748" s="15"/>
      <c r="M3748" s="16"/>
      <c r="N3748" s="16"/>
      <c r="O3748" s="15"/>
      <c r="P3748" s="15"/>
    </row>
    <row r="3749">
      <c r="A3749" s="15"/>
      <c r="B3749" s="22"/>
      <c r="C3749" s="22"/>
      <c r="D3749" s="22"/>
      <c r="E3749" s="15"/>
      <c r="F3749" s="15"/>
      <c r="G3749" s="15"/>
      <c r="H3749" s="15"/>
      <c r="I3749" s="15"/>
      <c r="J3749" s="15"/>
      <c r="K3749" s="15"/>
      <c r="L3749" s="15"/>
      <c r="M3749" s="16"/>
      <c r="N3749" s="16"/>
      <c r="O3749" s="15"/>
      <c r="P3749" s="15"/>
    </row>
    <row r="3750">
      <c r="A3750" s="15"/>
      <c r="B3750" s="22"/>
      <c r="C3750" s="22"/>
      <c r="D3750" s="22"/>
      <c r="E3750" s="15"/>
      <c r="F3750" s="15"/>
      <c r="G3750" s="15"/>
      <c r="H3750" s="15"/>
      <c r="I3750" s="15"/>
      <c r="J3750" s="15"/>
      <c r="K3750" s="15"/>
      <c r="L3750" s="15"/>
      <c r="M3750" s="16"/>
      <c r="N3750" s="16"/>
      <c r="O3750" s="15"/>
      <c r="P3750" s="15"/>
    </row>
    <row r="3751">
      <c r="A3751" s="15"/>
      <c r="B3751" s="22"/>
      <c r="C3751" s="22"/>
      <c r="D3751" s="22"/>
      <c r="E3751" s="15"/>
      <c r="F3751" s="15"/>
      <c r="G3751" s="15"/>
      <c r="H3751" s="15"/>
      <c r="I3751" s="15"/>
      <c r="J3751" s="15"/>
      <c r="K3751" s="15"/>
      <c r="L3751" s="15"/>
      <c r="M3751" s="16"/>
      <c r="N3751" s="16"/>
      <c r="O3751" s="15"/>
      <c r="P3751" s="15"/>
    </row>
    <row r="3752">
      <c r="A3752" s="15"/>
      <c r="B3752" s="22"/>
      <c r="C3752" s="22"/>
      <c r="D3752" s="22"/>
      <c r="E3752" s="15"/>
      <c r="F3752" s="15"/>
      <c r="G3752" s="15"/>
      <c r="H3752" s="15"/>
      <c r="I3752" s="15"/>
      <c r="J3752" s="15"/>
      <c r="K3752" s="15"/>
      <c r="L3752" s="15"/>
      <c r="M3752" s="16"/>
      <c r="N3752" s="16"/>
      <c r="O3752" s="15"/>
      <c r="P3752" s="15"/>
    </row>
    <row r="3753">
      <c r="A3753" s="15"/>
      <c r="B3753" s="22"/>
      <c r="C3753" s="22"/>
      <c r="D3753" s="22"/>
      <c r="E3753" s="15"/>
      <c r="F3753" s="15"/>
      <c r="G3753" s="15"/>
      <c r="H3753" s="15"/>
      <c r="I3753" s="15"/>
      <c r="J3753" s="15"/>
      <c r="K3753" s="15"/>
      <c r="L3753" s="15"/>
      <c r="M3753" s="16"/>
      <c r="N3753" s="16"/>
      <c r="O3753" s="15"/>
      <c r="P3753" s="15"/>
    </row>
    <row r="3754">
      <c r="A3754" s="15"/>
      <c r="B3754" s="22"/>
      <c r="C3754" s="22"/>
      <c r="D3754" s="22"/>
      <c r="E3754" s="15"/>
      <c r="F3754" s="15"/>
      <c r="G3754" s="15"/>
      <c r="H3754" s="15"/>
      <c r="I3754" s="15"/>
      <c r="J3754" s="15"/>
      <c r="K3754" s="15"/>
      <c r="L3754" s="15"/>
      <c r="M3754" s="16"/>
      <c r="N3754" s="16"/>
      <c r="O3754" s="15"/>
      <c r="P3754" s="15"/>
    </row>
    <row r="3755">
      <c r="A3755" s="15"/>
      <c r="B3755" s="22"/>
      <c r="C3755" s="22"/>
      <c r="D3755" s="22"/>
      <c r="E3755" s="15"/>
      <c r="F3755" s="15"/>
      <c r="G3755" s="15"/>
      <c r="H3755" s="15"/>
      <c r="I3755" s="15"/>
      <c r="J3755" s="15"/>
      <c r="K3755" s="15"/>
      <c r="L3755" s="15"/>
      <c r="M3755" s="16"/>
      <c r="N3755" s="16"/>
      <c r="O3755" s="15"/>
      <c r="P3755" s="15"/>
    </row>
    <row r="3756">
      <c r="A3756" s="15"/>
      <c r="B3756" s="22"/>
      <c r="C3756" s="22"/>
      <c r="D3756" s="22"/>
      <c r="E3756" s="15"/>
      <c r="F3756" s="15"/>
      <c r="G3756" s="15"/>
      <c r="H3756" s="15"/>
      <c r="I3756" s="15"/>
      <c r="J3756" s="15"/>
      <c r="K3756" s="15"/>
      <c r="L3756" s="15"/>
      <c r="M3756" s="16"/>
      <c r="N3756" s="16"/>
      <c r="O3756" s="15"/>
      <c r="P3756" s="15"/>
    </row>
    <row r="3757">
      <c r="A3757" s="15"/>
      <c r="B3757" s="22"/>
      <c r="C3757" s="22"/>
      <c r="D3757" s="22"/>
      <c r="E3757" s="15"/>
      <c r="F3757" s="15"/>
      <c r="G3757" s="15"/>
      <c r="H3757" s="15"/>
      <c r="I3757" s="15"/>
      <c r="J3757" s="15"/>
      <c r="K3757" s="15"/>
      <c r="L3757" s="15"/>
      <c r="M3757" s="16"/>
      <c r="N3757" s="16"/>
      <c r="O3757" s="15"/>
      <c r="P3757" s="15"/>
    </row>
    <row r="3758">
      <c r="A3758" s="15"/>
      <c r="B3758" s="22"/>
      <c r="C3758" s="22"/>
      <c r="D3758" s="22"/>
      <c r="E3758" s="15"/>
      <c r="F3758" s="15"/>
      <c r="G3758" s="15"/>
      <c r="H3758" s="15"/>
      <c r="I3758" s="15"/>
      <c r="J3758" s="15"/>
      <c r="K3758" s="15"/>
      <c r="L3758" s="15"/>
      <c r="M3758" s="16"/>
      <c r="N3758" s="16"/>
      <c r="O3758" s="15"/>
      <c r="P3758" s="15"/>
    </row>
    <row r="3759">
      <c r="A3759" s="15"/>
      <c r="B3759" s="22"/>
      <c r="C3759" s="22"/>
      <c r="D3759" s="22"/>
      <c r="E3759" s="15"/>
      <c r="F3759" s="15"/>
      <c r="G3759" s="15"/>
      <c r="H3759" s="15"/>
      <c r="I3759" s="15"/>
      <c r="J3759" s="15"/>
      <c r="K3759" s="15"/>
      <c r="L3759" s="15"/>
      <c r="M3759" s="16"/>
      <c r="N3759" s="16"/>
      <c r="O3759" s="15"/>
      <c r="P3759" s="15"/>
    </row>
    <row r="3760">
      <c r="A3760" s="15"/>
      <c r="B3760" s="22"/>
      <c r="C3760" s="22"/>
      <c r="D3760" s="22"/>
      <c r="E3760" s="15"/>
      <c r="F3760" s="15"/>
      <c r="G3760" s="15"/>
      <c r="H3760" s="15"/>
      <c r="I3760" s="15"/>
      <c r="J3760" s="15"/>
      <c r="K3760" s="15"/>
      <c r="L3760" s="15"/>
      <c r="M3760" s="16"/>
      <c r="N3760" s="16"/>
      <c r="O3760" s="15"/>
      <c r="P3760" s="15"/>
    </row>
    <row r="3761">
      <c r="A3761" s="15"/>
      <c r="B3761" s="22"/>
      <c r="C3761" s="22"/>
      <c r="D3761" s="22"/>
      <c r="E3761" s="15"/>
      <c r="F3761" s="15"/>
      <c r="G3761" s="15"/>
      <c r="H3761" s="15"/>
      <c r="I3761" s="15"/>
      <c r="J3761" s="15"/>
      <c r="K3761" s="15"/>
      <c r="L3761" s="15"/>
      <c r="M3761" s="16"/>
      <c r="N3761" s="16"/>
      <c r="O3761" s="15"/>
      <c r="P3761" s="15"/>
    </row>
    <row r="3762">
      <c r="A3762" s="15"/>
      <c r="B3762" s="22"/>
      <c r="C3762" s="22"/>
      <c r="D3762" s="22"/>
      <c r="E3762" s="15"/>
      <c r="F3762" s="15"/>
      <c r="G3762" s="15"/>
      <c r="H3762" s="15"/>
      <c r="I3762" s="15"/>
      <c r="J3762" s="15"/>
      <c r="K3762" s="15"/>
      <c r="L3762" s="15"/>
      <c r="M3762" s="16"/>
      <c r="N3762" s="16"/>
      <c r="O3762" s="15"/>
      <c r="P3762" s="15"/>
    </row>
    <row r="3763">
      <c r="A3763" s="15"/>
      <c r="B3763" s="22"/>
      <c r="C3763" s="22"/>
      <c r="D3763" s="22"/>
      <c r="E3763" s="15"/>
      <c r="F3763" s="15"/>
      <c r="G3763" s="15"/>
      <c r="H3763" s="15"/>
      <c r="I3763" s="15"/>
      <c r="J3763" s="15"/>
      <c r="K3763" s="15"/>
      <c r="L3763" s="15"/>
      <c r="M3763" s="16"/>
      <c r="N3763" s="16"/>
      <c r="O3763" s="15"/>
      <c r="P3763" s="15"/>
    </row>
    <row r="3764">
      <c r="A3764" s="15"/>
      <c r="B3764" s="22"/>
      <c r="C3764" s="22"/>
      <c r="D3764" s="22"/>
      <c r="E3764" s="15"/>
      <c r="F3764" s="15"/>
      <c r="G3764" s="15"/>
      <c r="H3764" s="15"/>
      <c r="I3764" s="15"/>
      <c r="J3764" s="15"/>
      <c r="K3764" s="15"/>
      <c r="L3764" s="15"/>
      <c r="M3764" s="16"/>
      <c r="N3764" s="16"/>
      <c r="O3764" s="15"/>
      <c r="P3764" s="15"/>
    </row>
    <row r="3765">
      <c r="A3765" s="15"/>
      <c r="B3765" s="22"/>
      <c r="C3765" s="22"/>
      <c r="D3765" s="22"/>
      <c r="E3765" s="15"/>
      <c r="F3765" s="15"/>
      <c r="G3765" s="15"/>
      <c r="H3765" s="15"/>
      <c r="I3765" s="15"/>
      <c r="J3765" s="15"/>
      <c r="K3765" s="15"/>
      <c r="L3765" s="15"/>
      <c r="M3765" s="16"/>
      <c r="N3765" s="16"/>
      <c r="O3765" s="15"/>
      <c r="P3765" s="15"/>
    </row>
    <row r="3766">
      <c r="A3766" s="15"/>
      <c r="B3766" s="22"/>
      <c r="C3766" s="22"/>
      <c r="D3766" s="22"/>
      <c r="E3766" s="15"/>
      <c r="F3766" s="15"/>
      <c r="G3766" s="15"/>
      <c r="H3766" s="15"/>
      <c r="I3766" s="15"/>
      <c r="J3766" s="15"/>
      <c r="K3766" s="15"/>
      <c r="L3766" s="15"/>
      <c r="M3766" s="16"/>
      <c r="N3766" s="16"/>
      <c r="O3766" s="15"/>
      <c r="P3766" s="15"/>
    </row>
    <row r="3767">
      <c r="A3767" s="15"/>
      <c r="B3767" s="22"/>
      <c r="C3767" s="22"/>
      <c r="D3767" s="22"/>
      <c r="E3767" s="15"/>
      <c r="F3767" s="15"/>
      <c r="G3767" s="15"/>
      <c r="H3767" s="15"/>
      <c r="I3767" s="15"/>
      <c r="J3767" s="15"/>
      <c r="K3767" s="15"/>
      <c r="L3767" s="15"/>
      <c r="M3767" s="16"/>
      <c r="N3767" s="16"/>
      <c r="O3767" s="15"/>
      <c r="P3767" s="15"/>
    </row>
    <row r="3768">
      <c r="A3768" s="15"/>
      <c r="B3768" s="22"/>
      <c r="C3768" s="22"/>
      <c r="D3768" s="22"/>
      <c r="E3768" s="15"/>
      <c r="F3768" s="15"/>
      <c r="G3768" s="15"/>
      <c r="H3768" s="15"/>
      <c r="I3768" s="15"/>
      <c r="J3768" s="15"/>
      <c r="K3768" s="15"/>
      <c r="L3768" s="15"/>
      <c r="M3768" s="16"/>
      <c r="N3768" s="16"/>
      <c r="O3768" s="15"/>
      <c r="P3768" s="15"/>
    </row>
    <row r="3769">
      <c r="A3769" s="15"/>
      <c r="B3769" s="22"/>
      <c r="C3769" s="22"/>
      <c r="D3769" s="22"/>
      <c r="E3769" s="15"/>
      <c r="F3769" s="15"/>
      <c r="G3769" s="15"/>
      <c r="H3769" s="15"/>
      <c r="I3769" s="15"/>
      <c r="J3769" s="15"/>
      <c r="K3769" s="15"/>
      <c r="L3769" s="15"/>
      <c r="M3769" s="16"/>
      <c r="N3769" s="16"/>
      <c r="O3769" s="15"/>
      <c r="P3769" s="15"/>
    </row>
    <row r="3770">
      <c r="A3770" s="15"/>
      <c r="B3770" s="22"/>
      <c r="C3770" s="22"/>
      <c r="D3770" s="22"/>
      <c r="E3770" s="15"/>
      <c r="F3770" s="15"/>
      <c r="G3770" s="15"/>
      <c r="H3770" s="15"/>
      <c r="I3770" s="15"/>
      <c r="J3770" s="15"/>
      <c r="K3770" s="15"/>
      <c r="L3770" s="15"/>
      <c r="M3770" s="16"/>
      <c r="N3770" s="16"/>
      <c r="O3770" s="15"/>
      <c r="P3770" s="15"/>
    </row>
    <row r="3771">
      <c r="A3771" s="15"/>
      <c r="B3771" s="22"/>
      <c r="C3771" s="22"/>
      <c r="D3771" s="22"/>
      <c r="E3771" s="15"/>
      <c r="F3771" s="15"/>
      <c r="G3771" s="15"/>
      <c r="H3771" s="15"/>
      <c r="I3771" s="15"/>
      <c r="J3771" s="15"/>
      <c r="K3771" s="15"/>
      <c r="L3771" s="15"/>
      <c r="M3771" s="16"/>
      <c r="N3771" s="16"/>
      <c r="O3771" s="15"/>
      <c r="P3771" s="15"/>
    </row>
    <row r="3772">
      <c r="A3772" s="15"/>
      <c r="B3772" s="22"/>
      <c r="C3772" s="22"/>
      <c r="D3772" s="22"/>
      <c r="E3772" s="15"/>
      <c r="F3772" s="15"/>
      <c r="G3772" s="15"/>
      <c r="H3772" s="15"/>
      <c r="I3772" s="15"/>
      <c r="J3772" s="15"/>
      <c r="K3772" s="15"/>
      <c r="L3772" s="15"/>
      <c r="M3772" s="16"/>
      <c r="N3772" s="16"/>
      <c r="O3772" s="15"/>
      <c r="P3772" s="15"/>
    </row>
    <row r="3773">
      <c r="A3773" s="15"/>
      <c r="B3773" s="22"/>
      <c r="C3773" s="22"/>
      <c r="D3773" s="22"/>
      <c r="E3773" s="15"/>
      <c r="F3773" s="15"/>
      <c r="G3773" s="15"/>
      <c r="H3773" s="15"/>
      <c r="I3773" s="15"/>
      <c r="J3773" s="15"/>
      <c r="K3773" s="15"/>
      <c r="L3773" s="15"/>
      <c r="M3773" s="16"/>
      <c r="N3773" s="16"/>
      <c r="O3773" s="15"/>
      <c r="P3773" s="15"/>
    </row>
    <row r="3774">
      <c r="A3774" s="15"/>
      <c r="B3774" s="22"/>
      <c r="C3774" s="22"/>
      <c r="D3774" s="22"/>
      <c r="E3774" s="15"/>
      <c r="F3774" s="15"/>
      <c r="G3774" s="15"/>
      <c r="H3774" s="15"/>
      <c r="I3774" s="15"/>
      <c r="J3774" s="15"/>
      <c r="K3774" s="15"/>
      <c r="L3774" s="15"/>
      <c r="M3774" s="16"/>
      <c r="N3774" s="16"/>
      <c r="O3774" s="15"/>
      <c r="P3774" s="15"/>
    </row>
    <row r="3775">
      <c r="A3775" s="15"/>
      <c r="B3775" s="22"/>
      <c r="C3775" s="22"/>
      <c r="D3775" s="22"/>
      <c r="E3775" s="15"/>
      <c r="F3775" s="15"/>
      <c r="G3775" s="15"/>
      <c r="H3775" s="15"/>
      <c r="I3775" s="15"/>
      <c r="J3775" s="15"/>
      <c r="K3775" s="15"/>
      <c r="L3775" s="15"/>
      <c r="M3775" s="16"/>
      <c r="N3775" s="16"/>
      <c r="O3775" s="15"/>
      <c r="P3775" s="15"/>
    </row>
    <row r="3776">
      <c r="A3776" s="15"/>
      <c r="B3776" s="22"/>
      <c r="C3776" s="22"/>
      <c r="D3776" s="22"/>
      <c r="E3776" s="15"/>
      <c r="F3776" s="15"/>
      <c r="G3776" s="15"/>
      <c r="H3776" s="15"/>
      <c r="I3776" s="15"/>
      <c r="J3776" s="15"/>
      <c r="K3776" s="15"/>
      <c r="L3776" s="15"/>
      <c r="M3776" s="16"/>
      <c r="N3776" s="16"/>
      <c r="O3776" s="15"/>
      <c r="P3776" s="15"/>
    </row>
    <row r="3777">
      <c r="A3777" s="15"/>
      <c r="B3777" s="22"/>
      <c r="C3777" s="22"/>
      <c r="D3777" s="22"/>
      <c r="E3777" s="15"/>
      <c r="F3777" s="15"/>
      <c r="G3777" s="15"/>
      <c r="H3777" s="15"/>
      <c r="I3777" s="15"/>
      <c r="J3777" s="15"/>
      <c r="K3777" s="15"/>
      <c r="L3777" s="15"/>
      <c r="M3777" s="16"/>
      <c r="N3777" s="16"/>
      <c r="O3777" s="15"/>
      <c r="P3777" s="15"/>
    </row>
    <row r="3778">
      <c r="A3778" s="15"/>
      <c r="B3778" s="22"/>
      <c r="C3778" s="22"/>
      <c r="D3778" s="22"/>
      <c r="E3778" s="15"/>
      <c r="F3778" s="15"/>
      <c r="G3778" s="15"/>
      <c r="H3778" s="15"/>
      <c r="I3778" s="15"/>
      <c r="J3778" s="15"/>
      <c r="K3778" s="15"/>
      <c r="L3778" s="15"/>
      <c r="M3778" s="16"/>
      <c r="N3778" s="16"/>
      <c r="O3778" s="15"/>
      <c r="P3778" s="15"/>
    </row>
    <row r="3779">
      <c r="A3779" s="15"/>
      <c r="B3779" s="22"/>
      <c r="C3779" s="22"/>
      <c r="D3779" s="22"/>
      <c r="E3779" s="15"/>
      <c r="F3779" s="15"/>
      <c r="G3779" s="15"/>
      <c r="H3779" s="15"/>
      <c r="I3779" s="15"/>
      <c r="J3779" s="15"/>
      <c r="K3779" s="15"/>
      <c r="L3779" s="15"/>
      <c r="M3779" s="16"/>
      <c r="N3779" s="16"/>
      <c r="O3779" s="15"/>
      <c r="P3779" s="15"/>
    </row>
    <row r="3780">
      <c r="A3780" s="15"/>
      <c r="B3780" s="22"/>
      <c r="C3780" s="22"/>
      <c r="D3780" s="22"/>
      <c r="E3780" s="15"/>
      <c r="F3780" s="15"/>
      <c r="G3780" s="15"/>
      <c r="H3780" s="15"/>
      <c r="I3780" s="15"/>
      <c r="J3780" s="15"/>
      <c r="K3780" s="15"/>
      <c r="L3780" s="15"/>
      <c r="M3780" s="16"/>
      <c r="N3780" s="16"/>
      <c r="O3780" s="15"/>
      <c r="P3780" s="15"/>
    </row>
    <row r="3781">
      <c r="A3781" s="15"/>
      <c r="B3781" s="22"/>
      <c r="C3781" s="22"/>
      <c r="D3781" s="22"/>
      <c r="E3781" s="15"/>
      <c r="F3781" s="15"/>
      <c r="G3781" s="15"/>
      <c r="H3781" s="15"/>
      <c r="I3781" s="15"/>
      <c r="J3781" s="15"/>
      <c r="K3781" s="15"/>
      <c r="L3781" s="15"/>
      <c r="M3781" s="16"/>
      <c r="N3781" s="16"/>
      <c r="O3781" s="15"/>
      <c r="P3781" s="15"/>
    </row>
    <row r="3782">
      <c r="A3782" s="15"/>
      <c r="B3782" s="22"/>
      <c r="C3782" s="22"/>
      <c r="D3782" s="22"/>
      <c r="E3782" s="15"/>
      <c r="F3782" s="15"/>
      <c r="G3782" s="15"/>
      <c r="H3782" s="15"/>
      <c r="I3782" s="15"/>
      <c r="J3782" s="15"/>
      <c r="K3782" s="15"/>
      <c r="L3782" s="15"/>
      <c r="M3782" s="16"/>
      <c r="N3782" s="16"/>
      <c r="O3782" s="15"/>
      <c r="P3782" s="15"/>
    </row>
    <row r="3783">
      <c r="A3783" s="15"/>
      <c r="B3783" s="22"/>
      <c r="C3783" s="22"/>
      <c r="D3783" s="22"/>
      <c r="E3783" s="15"/>
      <c r="F3783" s="15"/>
      <c r="G3783" s="15"/>
      <c r="H3783" s="15"/>
      <c r="I3783" s="15"/>
      <c r="J3783" s="15"/>
      <c r="K3783" s="15"/>
      <c r="L3783" s="15"/>
      <c r="M3783" s="16"/>
      <c r="N3783" s="16"/>
      <c r="O3783" s="15"/>
      <c r="P3783" s="15"/>
    </row>
    <row r="3784">
      <c r="A3784" s="15"/>
      <c r="B3784" s="22"/>
      <c r="C3784" s="22"/>
      <c r="D3784" s="22"/>
      <c r="E3784" s="15"/>
      <c r="F3784" s="15"/>
      <c r="G3784" s="15"/>
      <c r="H3784" s="15"/>
      <c r="I3784" s="15"/>
      <c r="J3784" s="15"/>
      <c r="K3784" s="15"/>
      <c r="L3784" s="15"/>
      <c r="M3784" s="16"/>
      <c r="N3784" s="16"/>
      <c r="O3784" s="15"/>
      <c r="P3784" s="15"/>
    </row>
    <row r="3785">
      <c r="A3785" s="15"/>
      <c r="B3785" s="22"/>
      <c r="C3785" s="22"/>
      <c r="D3785" s="22"/>
      <c r="E3785" s="15"/>
      <c r="F3785" s="15"/>
      <c r="G3785" s="15"/>
      <c r="H3785" s="15"/>
      <c r="I3785" s="15"/>
      <c r="J3785" s="15"/>
      <c r="K3785" s="15"/>
      <c r="L3785" s="15"/>
      <c r="M3785" s="16"/>
      <c r="N3785" s="16"/>
      <c r="O3785" s="15"/>
      <c r="P3785" s="15"/>
    </row>
    <row r="3786">
      <c r="A3786" s="15"/>
      <c r="B3786" s="22"/>
      <c r="C3786" s="22"/>
      <c r="D3786" s="22"/>
      <c r="E3786" s="15"/>
      <c r="F3786" s="15"/>
      <c r="G3786" s="15"/>
      <c r="H3786" s="15"/>
      <c r="I3786" s="15"/>
      <c r="J3786" s="15"/>
      <c r="K3786" s="15"/>
      <c r="L3786" s="15"/>
      <c r="M3786" s="16"/>
      <c r="N3786" s="16"/>
      <c r="O3786" s="15"/>
      <c r="P3786" s="15"/>
    </row>
    <row r="3787">
      <c r="A3787" s="15"/>
      <c r="B3787" s="22"/>
      <c r="C3787" s="22"/>
      <c r="D3787" s="22"/>
      <c r="E3787" s="15"/>
      <c r="F3787" s="15"/>
      <c r="G3787" s="15"/>
      <c r="H3787" s="15"/>
      <c r="I3787" s="15"/>
      <c r="J3787" s="15"/>
      <c r="K3787" s="15"/>
      <c r="L3787" s="15"/>
      <c r="M3787" s="16"/>
      <c r="N3787" s="16"/>
      <c r="O3787" s="15"/>
      <c r="P3787" s="15"/>
    </row>
    <row r="3788">
      <c r="A3788" s="15"/>
      <c r="B3788" s="22"/>
      <c r="C3788" s="22"/>
      <c r="D3788" s="22"/>
      <c r="E3788" s="15"/>
      <c r="F3788" s="15"/>
      <c r="G3788" s="15"/>
      <c r="H3788" s="15"/>
      <c r="I3788" s="15"/>
      <c r="J3788" s="15"/>
      <c r="K3788" s="15"/>
      <c r="L3788" s="15"/>
      <c r="M3788" s="16"/>
      <c r="N3788" s="16"/>
      <c r="O3788" s="15"/>
      <c r="P3788" s="15"/>
    </row>
    <row r="3789">
      <c r="A3789" s="15"/>
      <c r="B3789" s="22"/>
      <c r="C3789" s="22"/>
      <c r="D3789" s="22"/>
      <c r="E3789" s="15"/>
      <c r="F3789" s="15"/>
      <c r="G3789" s="15"/>
      <c r="H3789" s="15"/>
      <c r="I3789" s="15"/>
      <c r="J3789" s="15"/>
      <c r="K3789" s="15"/>
      <c r="L3789" s="15"/>
      <c r="M3789" s="16"/>
      <c r="N3789" s="16"/>
      <c r="O3789" s="15"/>
      <c r="P3789" s="15"/>
    </row>
    <row r="3790">
      <c r="A3790" s="15"/>
      <c r="B3790" s="22"/>
      <c r="C3790" s="22"/>
      <c r="D3790" s="22"/>
      <c r="E3790" s="15"/>
      <c r="F3790" s="15"/>
      <c r="G3790" s="15"/>
      <c r="H3790" s="15"/>
      <c r="I3790" s="15"/>
      <c r="J3790" s="15"/>
      <c r="K3790" s="15"/>
      <c r="L3790" s="15"/>
      <c r="M3790" s="16"/>
      <c r="N3790" s="16"/>
      <c r="O3790" s="15"/>
      <c r="P3790" s="15"/>
    </row>
    <row r="3791">
      <c r="A3791" s="15"/>
      <c r="B3791" s="22"/>
      <c r="C3791" s="22"/>
      <c r="D3791" s="22"/>
      <c r="E3791" s="15"/>
      <c r="F3791" s="15"/>
      <c r="G3791" s="15"/>
      <c r="H3791" s="15"/>
      <c r="I3791" s="15"/>
      <c r="J3791" s="15"/>
      <c r="K3791" s="15"/>
      <c r="L3791" s="15"/>
      <c r="M3791" s="16"/>
      <c r="N3791" s="16"/>
      <c r="O3791" s="15"/>
      <c r="P3791" s="15"/>
    </row>
    <row r="3792">
      <c r="A3792" s="15"/>
      <c r="B3792" s="22"/>
      <c r="C3792" s="22"/>
      <c r="D3792" s="22"/>
      <c r="E3792" s="15"/>
      <c r="F3792" s="15"/>
      <c r="G3792" s="15"/>
      <c r="H3792" s="15"/>
      <c r="I3792" s="15"/>
      <c r="J3792" s="15"/>
      <c r="K3792" s="15"/>
      <c r="L3792" s="15"/>
      <c r="M3792" s="16"/>
      <c r="N3792" s="16"/>
      <c r="O3792" s="15"/>
      <c r="P3792" s="15"/>
    </row>
    <row r="3793">
      <c r="A3793" s="15"/>
      <c r="B3793" s="22"/>
      <c r="C3793" s="22"/>
      <c r="D3793" s="22"/>
      <c r="E3793" s="15"/>
      <c r="F3793" s="15"/>
      <c r="G3793" s="15"/>
      <c r="H3793" s="15"/>
      <c r="I3793" s="15"/>
      <c r="J3793" s="15"/>
      <c r="K3793" s="15"/>
      <c r="L3793" s="15"/>
      <c r="M3793" s="16"/>
      <c r="N3793" s="16"/>
      <c r="O3793" s="15"/>
      <c r="P3793" s="15"/>
    </row>
    <row r="3794">
      <c r="A3794" s="15"/>
      <c r="B3794" s="22"/>
      <c r="C3794" s="22"/>
      <c r="D3794" s="22"/>
      <c r="E3794" s="15"/>
      <c r="F3794" s="15"/>
      <c r="G3794" s="15"/>
      <c r="H3794" s="15"/>
      <c r="I3794" s="15"/>
      <c r="J3794" s="15"/>
      <c r="K3794" s="15"/>
      <c r="L3794" s="15"/>
      <c r="M3794" s="16"/>
      <c r="N3794" s="16"/>
      <c r="O3794" s="15"/>
      <c r="P3794" s="15"/>
    </row>
    <row r="3795">
      <c r="A3795" s="15"/>
      <c r="B3795" s="22"/>
      <c r="C3795" s="22"/>
      <c r="D3795" s="22"/>
      <c r="E3795" s="15"/>
      <c r="F3795" s="15"/>
      <c r="G3795" s="15"/>
      <c r="H3795" s="15"/>
      <c r="I3795" s="15"/>
      <c r="J3795" s="15"/>
      <c r="K3795" s="15"/>
      <c r="L3795" s="15"/>
      <c r="M3795" s="16"/>
      <c r="N3795" s="16"/>
      <c r="O3795" s="15"/>
      <c r="P3795" s="15"/>
    </row>
    <row r="3796">
      <c r="A3796" s="15"/>
      <c r="B3796" s="22"/>
      <c r="C3796" s="22"/>
      <c r="D3796" s="22"/>
      <c r="E3796" s="15"/>
      <c r="F3796" s="15"/>
      <c r="G3796" s="15"/>
      <c r="H3796" s="15"/>
      <c r="I3796" s="15"/>
      <c r="J3796" s="15"/>
      <c r="K3796" s="15"/>
      <c r="L3796" s="15"/>
      <c r="M3796" s="16"/>
      <c r="N3796" s="16"/>
      <c r="O3796" s="15"/>
      <c r="P3796" s="15"/>
    </row>
    <row r="3797">
      <c r="A3797" s="15"/>
      <c r="B3797" s="22"/>
      <c r="C3797" s="22"/>
      <c r="D3797" s="22"/>
      <c r="E3797" s="15"/>
      <c r="F3797" s="15"/>
      <c r="G3797" s="15"/>
      <c r="H3797" s="15"/>
      <c r="I3797" s="15"/>
      <c r="J3797" s="15"/>
      <c r="K3797" s="15"/>
      <c r="L3797" s="15"/>
      <c r="M3797" s="16"/>
      <c r="N3797" s="16"/>
      <c r="O3797" s="15"/>
      <c r="P3797" s="15"/>
    </row>
    <row r="3798">
      <c r="A3798" s="15"/>
      <c r="B3798" s="22"/>
      <c r="C3798" s="22"/>
      <c r="D3798" s="22"/>
      <c r="E3798" s="15"/>
      <c r="F3798" s="15"/>
      <c r="G3798" s="15"/>
      <c r="H3798" s="15"/>
      <c r="I3798" s="15"/>
      <c r="J3798" s="15"/>
      <c r="K3798" s="15"/>
      <c r="L3798" s="15"/>
      <c r="M3798" s="16"/>
      <c r="N3798" s="16"/>
      <c r="O3798" s="15"/>
      <c r="P3798" s="15"/>
    </row>
    <row r="3799">
      <c r="A3799" s="15"/>
      <c r="B3799" s="22"/>
      <c r="C3799" s="22"/>
      <c r="D3799" s="22"/>
      <c r="E3799" s="15"/>
      <c r="F3799" s="15"/>
      <c r="G3799" s="15"/>
      <c r="H3799" s="15"/>
      <c r="I3799" s="15"/>
      <c r="J3799" s="15"/>
      <c r="K3799" s="15"/>
      <c r="L3799" s="15"/>
      <c r="M3799" s="16"/>
      <c r="N3799" s="16"/>
      <c r="O3799" s="15"/>
      <c r="P3799" s="15"/>
    </row>
    <row r="3800">
      <c r="A3800" s="15"/>
      <c r="B3800" s="22"/>
      <c r="C3800" s="22"/>
      <c r="D3800" s="22"/>
      <c r="E3800" s="15"/>
      <c r="F3800" s="15"/>
      <c r="G3800" s="15"/>
      <c r="H3800" s="15"/>
      <c r="I3800" s="15"/>
      <c r="J3800" s="15"/>
      <c r="K3800" s="15"/>
      <c r="L3800" s="15"/>
      <c r="M3800" s="16"/>
      <c r="N3800" s="16"/>
      <c r="O3800" s="15"/>
      <c r="P3800" s="15"/>
    </row>
    <row r="3801">
      <c r="A3801" s="15"/>
      <c r="B3801" s="22"/>
      <c r="C3801" s="22"/>
      <c r="D3801" s="22"/>
      <c r="E3801" s="15"/>
      <c r="F3801" s="15"/>
      <c r="G3801" s="15"/>
      <c r="H3801" s="15"/>
      <c r="I3801" s="15"/>
      <c r="J3801" s="15"/>
      <c r="K3801" s="15"/>
      <c r="L3801" s="15"/>
      <c r="M3801" s="16"/>
      <c r="N3801" s="16"/>
      <c r="O3801" s="15"/>
      <c r="P3801" s="15"/>
    </row>
    <row r="3802">
      <c r="A3802" s="15"/>
      <c r="B3802" s="22"/>
      <c r="C3802" s="22"/>
      <c r="D3802" s="22"/>
      <c r="E3802" s="15"/>
      <c r="F3802" s="15"/>
      <c r="G3802" s="15"/>
      <c r="H3802" s="15"/>
      <c r="I3802" s="15"/>
      <c r="J3802" s="15"/>
      <c r="K3802" s="15"/>
      <c r="L3802" s="15"/>
      <c r="M3802" s="16"/>
      <c r="N3802" s="16"/>
      <c r="O3802" s="15"/>
      <c r="P3802" s="15"/>
    </row>
    <row r="3803">
      <c r="A3803" s="15"/>
      <c r="B3803" s="22"/>
      <c r="C3803" s="22"/>
      <c r="D3803" s="22"/>
      <c r="E3803" s="15"/>
      <c r="F3803" s="15"/>
      <c r="G3803" s="15"/>
      <c r="H3803" s="15"/>
      <c r="I3803" s="15"/>
      <c r="J3803" s="15"/>
      <c r="K3803" s="15"/>
      <c r="L3803" s="15"/>
      <c r="M3803" s="16"/>
      <c r="N3803" s="16"/>
      <c r="O3803" s="15"/>
      <c r="P3803" s="15"/>
    </row>
    <row r="3804">
      <c r="A3804" s="15"/>
      <c r="B3804" s="22"/>
      <c r="C3804" s="22"/>
      <c r="D3804" s="22"/>
      <c r="E3804" s="15"/>
      <c r="F3804" s="15"/>
      <c r="G3804" s="15"/>
      <c r="H3804" s="15"/>
      <c r="I3804" s="15"/>
      <c r="J3804" s="15"/>
      <c r="K3804" s="15"/>
      <c r="L3804" s="15"/>
      <c r="M3804" s="16"/>
      <c r="N3804" s="16"/>
      <c r="O3804" s="15"/>
      <c r="P3804" s="15"/>
    </row>
    <row r="3805">
      <c r="A3805" s="15"/>
      <c r="B3805" s="22"/>
      <c r="C3805" s="22"/>
      <c r="D3805" s="22"/>
      <c r="E3805" s="15"/>
      <c r="F3805" s="15"/>
      <c r="G3805" s="15"/>
      <c r="H3805" s="15"/>
      <c r="I3805" s="15"/>
      <c r="J3805" s="15"/>
      <c r="K3805" s="15"/>
      <c r="L3805" s="15"/>
      <c r="M3805" s="16"/>
      <c r="N3805" s="16"/>
      <c r="O3805" s="15"/>
      <c r="P3805" s="15"/>
    </row>
    <row r="3806">
      <c r="A3806" s="15"/>
      <c r="B3806" s="22"/>
      <c r="C3806" s="22"/>
      <c r="D3806" s="22"/>
      <c r="E3806" s="15"/>
      <c r="F3806" s="15"/>
      <c r="G3806" s="15"/>
      <c r="H3806" s="15"/>
      <c r="I3806" s="15"/>
      <c r="J3806" s="15"/>
      <c r="K3806" s="15"/>
      <c r="L3806" s="15"/>
      <c r="M3806" s="16"/>
      <c r="N3806" s="16"/>
      <c r="O3806" s="15"/>
      <c r="P3806" s="15"/>
    </row>
    <row r="3807">
      <c r="A3807" s="15"/>
      <c r="B3807" s="22"/>
      <c r="C3807" s="22"/>
      <c r="D3807" s="22"/>
      <c r="E3807" s="15"/>
      <c r="F3807" s="15"/>
      <c r="G3807" s="15"/>
      <c r="H3807" s="15"/>
      <c r="I3807" s="15"/>
      <c r="J3807" s="15"/>
      <c r="K3807" s="15"/>
      <c r="L3807" s="15"/>
      <c r="M3807" s="16"/>
      <c r="N3807" s="16"/>
      <c r="O3807" s="15"/>
      <c r="P3807" s="15"/>
    </row>
    <row r="3808">
      <c r="A3808" s="15"/>
      <c r="B3808" s="22"/>
      <c r="C3808" s="22"/>
      <c r="D3808" s="22"/>
      <c r="E3808" s="15"/>
      <c r="F3808" s="15"/>
      <c r="G3808" s="15"/>
      <c r="H3808" s="15"/>
      <c r="I3808" s="15"/>
      <c r="J3808" s="15"/>
      <c r="K3808" s="15"/>
      <c r="L3808" s="15"/>
      <c r="M3808" s="16"/>
      <c r="N3808" s="16"/>
      <c r="O3808" s="15"/>
      <c r="P3808" s="15"/>
    </row>
    <row r="3809">
      <c r="A3809" s="15"/>
      <c r="B3809" s="22"/>
      <c r="C3809" s="22"/>
      <c r="D3809" s="22"/>
      <c r="E3809" s="15"/>
      <c r="F3809" s="15"/>
      <c r="G3809" s="15"/>
      <c r="H3809" s="15"/>
      <c r="I3809" s="15"/>
      <c r="J3809" s="15"/>
      <c r="K3809" s="15"/>
      <c r="L3809" s="15"/>
      <c r="M3809" s="16"/>
      <c r="N3809" s="16"/>
      <c r="O3809" s="15"/>
      <c r="P3809" s="15"/>
    </row>
    <row r="3810">
      <c r="A3810" s="15"/>
      <c r="B3810" s="22"/>
      <c r="C3810" s="22"/>
      <c r="D3810" s="22"/>
      <c r="E3810" s="15"/>
      <c r="F3810" s="15"/>
      <c r="G3810" s="15"/>
      <c r="H3810" s="15"/>
      <c r="I3810" s="15"/>
      <c r="J3810" s="15"/>
      <c r="K3810" s="15"/>
      <c r="L3810" s="15"/>
      <c r="M3810" s="16"/>
      <c r="N3810" s="16"/>
      <c r="O3810" s="15"/>
      <c r="P3810" s="15"/>
    </row>
    <row r="3811">
      <c r="A3811" s="15"/>
      <c r="B3811" s="22"/>
      <c r="C3811" s="22"/>
      <c r="D3811" s="22"/>
      <c r="E3811" s="15"/>
      <c r="F3811" s="15"/>
      <c r="G3811" s="15"/>
      <c r="H3811" s="15"/>
      <c r="I3811" s="15"/>
      <c r="J3811" s="15"/>
      <c r="K3811" s="15"/>
      <c r="L3811" s="15"/>
      <c r="M3811" s="16"/>
      <c r="N3811" s="16"/>
      <c r="O3811" s="15"/>
      <c r="P3811" s="15"/>
    </row>
    <row r="3812">
      <c r="A3812" s="15"/>
      <c r="B3812" s="22"/>
      <c r="C3812" s="22"/>
      <c r="D3812" s="22"/>
      <c r="E3812" s="15"/>
      <c r="F3812" s="15"/>
      <c r="G3812" s="15"/>
      <c r="H3812" s="15"/>
      <c r="I3812" s="15"/>
      <c r="J3812" s="15"/>
      <c r="K3812" s="15"/>
      <c r="L3812" s="15"/>
      <c r="M3812" s="16"/>
      <c r="N3812" s="16"/>
      <c r="O3812" s="15"/>
      <c r="P3812" s="15"/>
    </row>
    <row r="3813">
      <c r="A3813" s="15"/>
      <c r="B3813" s="22"/>
      <c r="C3813" s="22"/>
      <c r="D3813" s="22"/>
      <c r="E3813" s="15"/>
      <c r="F3813" s="15"/>
      <c r="G3813" s="15"/>
      <c r="H3813" s="15"/>
      <c r="I3813" s="15"/>
      <c r="J3813" s="15"/>
      <c r="K3813" s="15"/>
      <c r="L3813" s="15"/>
      <c r="M3813" s="16"/>
      <c r="N3813" s="16"/>
      <c r="O3813" s="15"/>
      <c r="P3813" s="15"/>
    </row>
    <row r="3814">
      <c r="A3814" s="15"/>
      <c r="B3814" s="22"/>
      <c r="C3814" s="22"/>
      <c r="D3814" s="22"/>
      <c r="E3814" s="15"/>
      <c r="F3814" s="15"/>
      <c r="G3814" s="15"/>
      <c r="H3814" s="15"/>
      <c r="I3814" s="15"/>
      <c r="J3814" s="15"/>
      <c r="K3814" s="15"/>
      <c r="L3814" s="15"/>
      <c r="M3814" s="16"/>
      <c r="N3814" s="16"/>
      <c r="O3814" s="15"/>
      <c r="P3814" s="15"/>
    </row>
    <row r="3815">
      <c r="A3815" s="15"/>
      <c r="B3815" s="22"/>
      <c r="C3815" s="22"/>
      <c r="D3815" s="22"/>
      <c r="E3815" s="15"/>
      <c r="F3815" s="15"/>
      <c r="G3815" s="15"/>
      <c r="H3815" s="15"/>
      <c r="I3815" s="15"/>
      <c r="J3815" s="15"/>
      <c r="K3815" s="15"/>
      <c r="L3815" s="15"/>
      <c r="M3815" s="16"/>
      <c r="N3815" s="16"/>
      <c r="O3815" s="15"/>
      <c r="P3815" s="15"/>
    </row>
    <row r="3816">
      <c r="A3816" s="15"/>
      <c r="B3816" s="22"/>
      <c r="C3816" s="22"/>
      <c r="D3816" s="22"/>
      <c r="E3816" s="15"/>
      <c r="F3816" s="15"/>
      <c r="G3816" s="15"/>
      <c r="H3816" s="15"/>
      <c r="I3816" s="15"/>
      <c r="J3816" s="15"/>
      <c r="K3816" s="15"/>
      <c r="L3816" s="15"/>
      <c r="M3816" s="16"/>
      <c r="N3816" s="16"/>
      <c r="O3816" s="15"/>
      <c r="P3816" s="15"/>
    </row>
    <row r="3817">
      <c r="A3817" s="15"/>
      <c r="B3817" s="22"/>
      <c r="C3817" s="22"/>
      <c r="D3817" s="22"/>
      <c r="E3817" s="15"/>
      <c r="F3817" s="15"/>
      <c r="G3817" s="15"/>
      <c r="H3817" s="15"/>
      <c r="I3817" s="15"/>
      <c r="J3817" s="15"/>
      <c r="K3817" s="15"/>
      <c r="L3817" s="15"/>
      <c r="M3817" s="16"/>
      <c r="N3817" s="16"/>
      <c r="O3817" s="15"/>
      <c r="P3817" s="15"/>
    </row>
    <row r="3818">
      <c r="A3818" s="15"/>
      <c r="B3818" s="22"/>
      <c r="C3818" s="22"/>
      <c r="D3818" s="22"/>
      <c r="E3818" s="15"/>
      <c r="F3818" s="15"/>
      <c r="G3818" s="15"/>
      <c r="H3818" s="15"/>
      <c r="I3818" s="15"/>
      <c r="J3818" s="15"/>
      <c r="K3818" s="15"/>
      <c r="L3818" s="15"/>
      <c r="M3818" s="16"/>
      <c r="N3818" s="16"/>
      <c r="O3818" s="15"/>
      <c r="P3818" s="15"/>
    </row>
    <row r="3819">
      <c r="A3819" s="15"/>
      <c r="B3819" s="22"/>
      <c r="C3819" s="22"/>
      <c r="D3819" s="22"/>
      <c r="E3819" s="15"/>
      <c r="F3819" s="15"/>
      <c r="G3819" s="15"/>
      <c r="H3819" s="15"/>
      <c r="I3819" s="15"/>
      <c r="J3819" s="15"/>
      <c r="K3819" s="15"/>
      <c r="L3819" s="15"/>
      <c r="M3819" s="16"/>
      <c r="N3819" s="16"/>
      <c r="O3819" s="15"/>
      <c r="P3819" s="15"/>
    </row>
    <row r="3820">
      <c r="A3820" s="15"/>
      <c r="B3820" s="22"/>
      <c r="C3820" s="22"/>
      <c r="D3820" s="22"/>
      <c r="E3820" s="15"/>
      <c r="F3820" s="15"/>
      <c r="G3820" s="15"/>
      <c r="H3820" s="15"/>
      <c r="I3820" s="15"/>
      <c r="J3820" s="15"/>
      <c r="K3820" s="15"/>
      <c r="L3820" s="15"/>
      <c r="M3820" s="16"/>
      <c r="N3820" s="16"/>
      <c r="O3820" s="15"/>
      <c r="P3820" s="15"/>
    </row>
    <row r="3821">
      <c r="A3821" s="15"/>
      <c r="B3821" s="22"/>
      <c r="C3821" s="22"/>
      <c r="D3821" s="22"/>
      <c r="E3821" s="15"/>
      <c r="F3821" s="15"/>
      <c r="G3821" s="15"/>
      <c r="H3821" s="15"/>
      <c r="I3821" s="15"/>
      <c r="J3821" s="15"/>
      <c r="K3821" s="15"/>
      <c r="L3821" s="15"/>
      <c r="M3821" s="16"/>
      <c r="N3821" s="16"/>
      <c r="O3821" s="15"/>
      <c r="P3821" s="15"/>
    </row>
    <row r="3822">
      <c r="A3822" s="15"/>
      <c r="B3822" s="22"/>
      <c r="C3822" s="22"/>
      <c r="D3822" s="22"/>
      <c r="E3822" s="15"/>
      <c r="F3822" s="15"/>
      <c r="G3822" s="15"/>
      <c r="H3822" s="15"/>
      <c r="I3822" s="15"/>
      <c r="J3822" s="15"/>
      <c r="K3822" s="15"/>
      <c r="L3822" s="15"/>
      <c r="M3822" s="16"/>
      <c r="N3822" s="16"/>
      <c r="O3822" s="15"/>
      <c r="P3822" s="15"/>
    </row>
    <row r="3823">
      <c r="A3823" s="15"/>
      <c r="B3823" s="22"/>
      <c r="C3823" s="22"/>
      <c r="D3823" s="22"/>
      <c r="E3823" s="15"/>
      <c r="F3823" s="15"/>
      <c r="G3823" s="15"/>
      <c r="H3823" s="15"/>
      <c r="I3823" s="15"/>
      <c r="J3823" s="15"/>
      <c r="K3823" s="15"/>
      <c r="L3823" s="15"/>
      <c r="M3823" s="16"/>
      <c r="N3823" s="16"/>
      <c r="O3823" s="15"/>
      <c r="P3823" s="15"/>
    </row>
    <row r="3824">
      <c r="A3824" s="15"/>
      <c r="B3824" s="22"/>
      <c r="C3824" s="22"/>
      <c r="D3824" s="22"/>
      <c r="E3824" s="15"/>
      <c r="F3824" s="15"/>
      <c r="G3824" s="15"/>
      <c r="H3824" s="15"/>
      <c r="I3824" s="15"/>
      <c r="J3824" s="15"/>
      <c r="K3824" s="15"/>
      <c r="L3824" s="15"/>
      <c r="M3824" s="16"/>
      <c r="N3824" s="16"/>
      <c r="O3824" s="15"/>
      <c r="P3824" s="15"/>
    </row>
    <row r="3825">
      <c r="A3825" s="15"/>
      <c r="B3825" s="22"/>
      <c r="C3825" s="22"/>
      <c r="D3825" s="22"/>
      <c r="E3825" s="15"/>
      <c r="F3825" s="15"/>
      <c r="G3825" s="15"/>
      <c r="H3825" s="15"/>
      <c r="I3825" s="15"/>
      <c r="J3825" s="15"/>
      <c r="K3825" s="15"/>
      <c r="L3825" s="15"/>
      <c r="M3825" s="16"/>
      <c r="N3825" s="16"/>
      <c r="O3825" s="15"/>
      <c r="P3825" s="15"/>
    </row>
    <row r="3826">
      <c r="A3826" s="15"/>
      <c r="B3826" s="22"/>
      <c r="C3826" s="22"/>
      <c r="D3826" s="22"/>
      <c r="E3826" s="15"/>
      <c r="F3826" s="15"/>
      <c r="G3826" s="15"/>
      <c r="H3826" s="15"/>
      <c r="I3826" s="15"/>
      <c r="J3826" s="15"/>
      <c r="K3826" s="15"/>
      <c r="L3826" s="15"/>
      <c r="M3826" s="16"/>
      <c r="N3826" s="16"/>
      <c r="O3826" s="15"/>
      <c r="P3826" s="15"/>
    </row>
    <row r="3827">
      <c r="A3827" s="15"/>
      <c r="B3827" s="22"/>
      <c r="C3827" s="22"/>
      <c r="D3827" s="22"/>
      <c r="E3827" s="15"/>
      <c r="F3827" s="15"/>
      <c r="G3827" s="15"/>
      <c r="H3827" s="15"/>
      <c r="I3827" s="15"/>
      <c r="J3827" s="15"/>
      <c r="K3827" s="15"/>
      <c r="L3827" s="15"/>
      <c r="M3827" s="16"/>
      <c r="N3827" s="16"/>
      <c r="O3827" s="15"/>
      <c r="P3827" s="15"/>
    </row>
    <row r="3828">
      <c r="A3828" s="15"/>
      <c r="B3828" s="22"/>
      <c r="C3828" s="22"/>
      <c r="D3828" s="22"/>
      <c r="E3828" s="15"/>
      <c r="F3828" s="15"/>
      <c r="G3828" s="15"/>
      <c r="H3828" s="15"/>
      <c r="I3828" s="15"/>
      <c r="J3828" s="15"/>
      <c r="K3828" s="15"/>
      <c r="L3828" s="15"/>
      <c r="M3828" s="16"/>
      <c r="N3828" s="16"/>
      <c r="O3828" s="15"/>
      <c r="P3828" s="15"/>
    </row>
    <row r="3829">
      <c r="A3829" s="15"/>
      <c r="B3829" s="22"/>
      <c r="C3829" s="22"/>
      <c r="D3829" s="22"/>
      <c r="E3829" s="15"/>
      <c r="F3829" s="15"/>
      <c r="G3829" s="15"/>
      <c r="H3829" s="15"/>
      <c r="I3829" s="15"/>
      <c r="J3829" s="15"/>
      <c r="K3829" s="15"/>
      <c r="L3829" s="15"/>
      <c r="M3829" s="16"/>
      <c r="N3829" s="16"/>
      <c r="O3829" s="15"/>
      <c r="P3829" s="15"/>
    </row>
    <row r="3830">
      <c r="A3830" s="15"/>
      <c r="B3830" s="22"/>
      <c r="C3830" s="22"/>
      <c r="D3830" s="22"/>
      <c r="E3830" s="15"/>
      <c r="F3830" s="15"/>
      <c r="G3830" s="15"/>
      <c r="H3830" s="15"/>
      <c r="I3830" s="15"/>
      <c r="J3830" s="15"/>
      <c r="K3830" s="15"/>
      <c r="L3830" s="15"/>
      <c r="M3830" s="16"/>
      <c r="N3830" s="16"/>
      <c r="O3830" s="15"/>
      <c r="P3830" s="15"/>
    </row>
    <row r="3831">
      <c r="A3831" s="15"/>
      <c r="B3831" s="22"/>
      <c r="C3831" s="22"/>
      <c r="D3831" s="22"/>
      <c r="E3831" s="15"/>
      <c r="F3831" s="15"/>
      <c r="G3831" s="15"/>
      <c r="H3831" s="15"/>
      <c r="I3831" s="15"/>
      <c r="J3831" s="15"/>
      <c r="K3831" s="15"/>
      <c r="L3831" s="15"/>
      <c r="M3831" s="16"/>
      <c r="N3831" s="16"/>
      <c r="O3831" s="15"/>
      <c r="P3831" s="15"/>
    </row>
    <row r="3832">
      <c r="A3832" s="15"/>
      <c r="B3832" s="22"/>
      <c r="C3832" s="22"/>
      <c r="D3832" s="22"/>
      <c r="E3832" s="15"/>
      <c r="F3832" s="15"/>
      <c r="G3832" s="15"/>
      <c r="H3832" s="15"/>
      <c r="I3832" s="15"/>
      <c r="J3832" s="15"/>
      <c r="K3832" s="15"/>
      <c r="L3832" s="15"/>
      <c r="M3832" s="16"/>
      <c r="N3832" s="16"/>
      <c r="O3832" s="15"/>
      <c r="P3832" s="15"/>
    </row>
    <row r="3833">
      <c r="A3833" s="15"/>
      <c r="B3833" s="22"/>
      <c r="C3833" s="22"/>
      <c r="D3833" s="22"/>
      <c r="E3833" s="15"/>
      <c r="F3833" s="15"/>
      <c r="G3833" s="15"/>
      <c r="H3833" s="15"/>
      <c r="I3833" s="15"/>
      <c r="J3833" s="15"/>
      <c r="K3833" s="15"/>
      <c r="L3833" s="15"/>
      <c r="M3833" s="16"/>
      <c r="N3833" s="16"/>
      <c r="O3833" s="15"/>
      <c r="P3833" s="15"/>
    </row>
    <row r="3834">
      <c r="A3834" s="15"/>
      <c r="B3834" s="22"/>
      <c r="C3834" s="22"/>
      <c r="D3834" s="22"/>
      <c r="E3834" s="15"/>
      <c r="F3834" s="15"/>
      <c r="G3834" s="15"/>
      <c r="H3834" s="15"/>
      <c r="I3834" s="15"/>
      <c r="J3834" s="15"/>
      <c r="K3834" s="15"/>
      <c r="L3834" s="15"/>
      <c r="M3834" s="16"/>
      <c r="N3834" s="16"/>
      <c r="O3834" s="15"/>
      <c r="P3834" s="15"/>
    </row>
    <row r="3835">
      <c r="A3835" s="15"/>
      <c r="B3835" s="22"/>
      <c r="C3835" s="22"/>
      <c r="D3835" s="22"/>
      <c r="E3835" s="15"/>
      <c r="F3835" s="15"/>
      <c r="G3835" s="15"/>
      <c r="H3835" s="15"/>
      <c r="I3835" s="15"/>
      <c r="J3835" s="15"/>
      <c r="K3835" s="15"/>
      <c r="L3835" s="15"/>
      <c r="M3835" s="16"/>
      <c r="N3835" s="16"/>
      <c r="O3835" s="15"/>
      <c r="P3835" s="15"/>
    </row>
    <row r="3836">
      <c r="A3836" s="15"/>
      <c r="B3836" s="22"/>
      <c r="C3836" s="22"/>
      <c r="D3836" s="22"/>
      <c r="E3836" s="15"/>
      <c r="F3836" s="15"/>
      <c r="G3836" s="15"/>
      <c r="H3836" s="15"/>
      <c r="I3836" s="15"/>
      <c r="J3836" s="15"/>
      <c r="K3836" s="15"/>
      <c r="L3836" s="15"/>
      <c r="M3836" s="16"/>
      <c r="N3836" s="16"/>
      <c r="O3836" s="15"/>
      <c r="P3836" s="15"/>
    </row>
    <row r="3837">
      <c r="A3837" s="15"/>
      <c r="B3837" s="22"/>
      <c r="C3837" s="22"/>
      <c r="D3837" s="22"/>
      <c r="E3837" s="15"/>
      <c r="F3837" s="15"/>
      <c r="G3837" s="15"/>
      <c r="H3837" s="15"/>
      <c r="I3837" s="15"/>
      <c r="J3837" s="15"/>
      <c r="K3837" s="15"/>
      <c r="L3837" s="15"/>
      <c r="M3837" s="16"/>
      <c r="N3837" s="16"/>
      <c r="O3837" s="15"/>
      <c r="P3837" s="15"/>
    </row>
    <row r="3838">
      <c r="A3838" s="15"/>
      <c r="B3838" s="22"/>
      <c r="C3838" s="22"/>
      <c r="D3838" s="22"/>
      <c r="E3838" s="15"/>
      <c r="F3838" s="15"/>
      <c r="G3838" s="15"/>
      <c r="H3838" s="15"/>
      <c r="I3838" s="15"/>
      <c r="J3838" s="15"/>
      <c r="K3838" s="15"/>
      <c r="L3838" s="15"/>
      <c r="M3838" s="16"/>
      <c r="N3838" s="16"/>
      <c r="O3838" s="15"/>
      <c r="P3838" s="15"/>
    </row>
    <row r="3839">
      <c r="A3839" s="15"/>
      <c r="B3839" s="22"/>
      <c r="C3839" s="22"/>
      <c r="D3839" s="22"/>
      <c r="E3839" s="15"/>
      <c r="F3839" s="15"/>
      <c r="G3839" s="15"/>
      <c r="H3839" s="15"/>
      <c r="I3839" s="15"/>
      <c r="J3839" s="15"/>
      <c r="K3839" s="15"/>
      <c r="L3839" s="15"/>
      <c r="M3839" s="16"/>
      <c r="N3839" s="16"/>
      <c r="O3839" s="15"/>
      <c r="P3839" s="15"/>
    </row>
    <row r="3840">
      <c r="A3840" s="15"/>
      <c r="B3840" s="22"/>
      <c r="C3840" s="22"/>
      <c r="D3840" s="22"/>
      <c r="E3840" s="15"/>
      <c r="F3840" s="15"/>
      <c r="G3840" s="15"/>
      <c r="H3840" s="15"/>
      <c r="I3840" s="15"/>
      <c r="J3840" s="15"/>
      <c r="K3840" s="15"/>
      <c r="L3840" s="15"/>
      <c r="M3840" s="16"/>
      <c r="N3840" s="16"/>
      <c r="O3840" s="15"/>
      <c r="P3840" s="15"/>
    </row>
    <row r="3841">
      <c r="A3841" s="15"/>
      <c r="B3841" s="22"/>
      <c r="C3841" s="22"/>
      <c r="D3841" s="22"/>
      <c r="E3841" s="15"/>
      <c r="F3841" s="15"/>
      <c r="G3841" s="15"/>
      <c r="H3841" s="15"/>
      <c r="I3841" s="15"/>
      <c r="J3841" s="15"/>
      <c r="K3841" s="15"/>
      <c r="L3841" s="15"/>
      <c r="M3841" s="16"/>
      <c r="N3841" s="16"/>
      <c r="O3841" s="15"/>
      <c r="P3841" s="15"/>
    </row>
    <row r="3842">
      <c r="A3842" s="15"/>
      <c r="B3842" s="22"/>
      <c r="C3842" s="22"/>
      <c r="D3842" s="22"/>
      <c r="E3842" s="15"/>
      <c r="F3842" s="15"/>
      <c r="G3842" s="15"/>
      <c r="H3842" s="15"/>
      <c r="I3842" s="15"/>
      <c r="J3842" s="15"/>
      <c r="K3842" s="15"/>
      <c r="L3842" s="15"/>
      <c r="M3842" s="16"/>
      <c r="N3842" s="16"/>
      <c r="O3842" s="15"/>
      <c r="P3842" s="15"/>
    </row>
    <row r="3843">
      <c r="A3843" s="15"/>
      <c r="B3843" s="22"/>
      <c r="C3843" s="22"/>
      <c r="D3843" s="22"/>
      <c r="E3843" s="15"/>
      <c r="F3843" s="15"/>
      <c r="G3843" s="15"/>
      <c r="H3843" s="15"/>
      <c r="I3843" s="15"/>
      <c r="J3843" s="15"/>
      <c r="K3843" s="15"/>
      <c r="L3843" s="15"/>
      <c r="M3843" s="16"/>
      <c r="N3843" s="16"/>
      <c r="O3843" s="15"/>
      <c r="P3843" s="15"/>
    </row>
    <row r="3844">
      <c r="A3844" s="15"/>
      <c r="B3844" s="22"/>
      <c r="C3844" s="22"/>
      <c r="D3844" s="22"/>
      <c r="E3844" s="15"/>
      <c r="F3844" s="15"/>
      <c r="G3844" s="15"/>
      <c r="H3844" s="15"/>
      <c r="I3844" s="15"/>
      <c r="J3844" s="15"/>
      <c r="K3844" s="15"/>
      <c r="L3844" s="15"/>
      <c r="M3844" s="16"/>
      <c r="N3844" s="16"/>
      <c r="O3844" s="15"/>
      <c r="P3844" s="15"/>
    </row>
    <row r="3845">
      <c r="A3845" s="15"/>
      <c r="B3845" s="22"/>
      <c r="C3845" s="22"/>
      <c r="D3845" s="22"/>
      <c r="E3845" s="15"/>
      <c r="F3845" s="15"/>
      <c r="G3845" s="15"/>
      <c r="H3845" s="15"/>
      <c r="I3845" s="15"/>
      <c r="J3845" s="15"/>
      <c r="K3845" s="15"/>
      <c r="L3845" s="15"/>
      <c r="M3845" s="16"/>
      <c r="N3845" s="16"/>
      <c r="O3845" s="15"/>
      <c r="P3845" s="15"/>
    </row>
    <row r="3846">
      <c r="A3846" s="15"/>
      <c r="B3846" s="22"/>
      <c r="C3846" s="22"/>
      <c r="D3846" s="22"/>
      <c r="E3846" s="15"/>
      <c r="F3846" s="15"/>
      <c r="G3846" s="15"/>
      <c r="H3846" s="15"/>
      <c r="I3846" s="15"/>
      <c r="J3846" s="15"/>
      <c r="K3846" s="15"/>
      <c r="L3846" s="15"/>
      <c r="M3846" s="16"/>
      <c r="N3846" s="16"/>
      <c r="O3846" s="15"/>
      <c r="P3846" s="15"/>
    </row>
    <row r="3847">
      <c r="A3847" s="15"/>
      <c r="B3847" s="22"/>
      <c r="C3847" s="22"/>
      <c r="D3847" s="22"/>
      <c r="E3847" s="15"/>
      <c r="F3847" s="15"/>
      <c r="G3847" s="15"/>
      <c r="H3847" s="15"/>
      <c r="I3847" s="15"/>
      <c r="J3847" s="15"/>
      <c r="K3847" s="15"/>
      <c r="L3847" s="15"/>
      <c r="M3847" s="16"/>
      <c r="N3847" s="16"/>
      <c r="O3847" s="15"/>
      <c r="P3847" s="15"/>
    </row>
    <row r="3848">
      <c r="A3848" s="15"/>
      <c r="B3848" s="22"/>
      <c r="C3848" s="22"/>
      <c r="D3848" s="22"/>
      <c r="E3848" s="15"/>
      <c r="F3848" s="15"/>
      <c r="G3848" s="15"/>
      <c r="H3848" s="15"/>
      <c r="I3848" s="15"/>
      <c r="J3848" s="15"/>
      <c r="K3848" s="15"/>
      <c r="L3848" s="15"/>
      <c r="M3848" s="16"/>
      <c r="N3848" s="16"/>
      <c r="O3848" s="15"/>
      <c r="P3848" s="15"/>
    </row>
    <row r="3849">
      <c r="A3849" s="15"/>
      <c r="B3849" s="22"/>
      <c r="C3849" s="22"/>
      <c r="D3849" s="22"/>
      <c r="E3849" s="15"/>
      <c r="F3849" s="15"/>
      <c r="G3849" s="15"/>
      <c r="H3849" s="15"/>
      <c r="I3849" s="15"/>
      <c r="J3849" s="15"/>
      <c r="K3849" s="15"/>
      <c r="L3849" s="15"/>
      <c r="M3849" s="16"/>
      <c r="N3849" s="16"/>
      <c r="O3849" s="15"/>
      <c r="P3849" s="15"/>
    </row>
    <row r="3850">
      <c r="A3850" s="15"/>
      <c r="B3850" s="22"/>
      <c r="C3850" s="22"/>
      <c r="D3850" s="22"/>
      <c r="E3850" s="15"/>
      <c r="F3850" s="15"/>
      <c r="G3850" s="15"/>
      <c r="H3850" s="15"/>
      <c r="I3850" s="15"/>
      <c r="J3850" s="15"/>
      <c r="K3850" s="15"/>
      <c r="L3850" s="15"/>
      <c r="M3850" s="16"/>
      <c r="N3850" s="16"/>
      <c r="O3850" s="15"/>
      <c r="P3850" s="15"/>
    </row>
    <row r="3851">
      <c r="A3851" s="15"/>
      <c r="B3851" s="22"/>
      <c r="C3851" s="22"/>
      <c r="D3851" s="22"/>
      <c r="E3851" s="15"/>
      <c r="F3851" s="15"/>
      <c r="G3851" s="15"/>
      <c r="H3851" s="15"/>
      <c r="I3851" s="15"/>
      <c r="J3851" s="15"/>
      <c r="K3851" s="15"/>
      <c r="L3851" s="15"/>
      <c r="M3851" s="16"/>
      <c r="N3851" s="16"/>
      <c r="O3851" s="15"/>
      <c r="P3851" s="15"/>
    </row>
    <row r="3852">
      <c r="A3852" s="15"/>
      <c r="B3852" s="22"/>
      <c r="C3852" s="22"/>
      <c r="D3852" s="22"/>
      <c r="E3852" s="15"/>
      <c r="F3852" s="15"/>
      <c r="G3852" s="15"/>
      <c r="H3852" s="15"/>
      <c r="I3852" s="15"/>
      <c r="J3852" s="15"/>
      <c r="K3852" s="15"/>
      <c r="L3852" s="15"/>
      <c r="M3852" s="16"/>
      <c r="N3852" s="16"/>
      <c r="O3852" s="15"/>
      <c r="P3852" s="15"/>
    </row>
    <row r="3853">
      <c r="A3853" s="15"/>
      <c r="B3853" s="22"/>
      <c r="C3853" s="22"/>
      <c r="D3853" s="22"/>
      <c r="E3853" s="15"/>
      <c r="F3853" s="15"/>
      <c r="G3853" s="15"/>
      <c r="H3853" s="15"/>
      <c r="I3853" s="15"/>
      <c r="J3853" s="15"/>
      <c r="K3853" s="15"/>
      <c r="L3853" s="15"/>
      <c r="M3853" s="16"/>
      <c r="N3853" s="16"/>
      <c r="O3853" s="15"/>
      <c r="P3853" s="15"/>
    </row>
    <row r="3854">
      <c r="A3854" s="15"/>
      <c r="B3854" s="22"/>
      <c r="C3854" s="22"/>
      <c r="D3854" s="22"/>
      <c r="E3854" s="15"/>
      <c r="F3854" s="15"/>
      <c r="G3854" s="15"/>
      <c r="H3854" s="15"/>
      <c r="I3854" s="15"/>
      <c r="J3854" s="15"/>
      <c r="K3854" s="15"/>
      <c r="L3854" s="15"/>
      <c r="M3854" s="16"/>
      <c r="N3854" s="16"/>
      <c r="O3854" s="15"/>
      <c r="P3854" s="15"/>
    </row>
    <row r="3855">
      <c r="A3855" s="15"/>
      <c r="B3855" s="22"/>
      <c r="C3855" s="22"/>
      <c r="D3855" s="22"/>
      <c r="E3855" s="15"/>
      <c r="F3855" s="15"/>
      <c r="G3855" s="15"/>
      <c r="H3855" s="15"/>
      <c r="I3855" s="15"/>
      <c r="J3855" s="15"/>
      <c r="K3855" s="15"/>
      <c r="L3855" s="15"/>
      <c r="M3855" s="16"/>
      <c r="N3855" s="16"/>
      <c r="O3855" s="15"/>
      <c r="P3855" s="15"/>
    </row>
    <row r="3856">
      <c r="A3856" s="15"/>
      <c r="B3856" s="22"/>
      <c r="C3856" s="22"/>
      <c r="D3856" s="22"/>
      <c r="E3856" s="15"/>
      <c r="F3856" s="15"/>
      <c r="G3856" s="15"/>
      <c r="H3856" s="15"/>
      <c r="I3856" s="15"/>
      <c r="J3856" s="15"/>
      <c r="K3856" s="15"/>
      <c r="L3856" s="15"/>
      <c r="M3856" s="16"/>
      <c r="N3856" s="16"/>
      <c r="O3856" s="15"/>
      <c r="P3856" s="15"/>
    </row>
    <row r="3857">
      <c r="A3857" s="15"/>
      <c r="B3857" s="22"/>
      <c r="C3857" s="22"/>
      <c r="D3857" s="22"/>
      <c r="E3857" s="15"/>
      <c r="F3857" s="15"/>
      <c r="G3857" s="15"/>
      <c r="H3857" s="15"/>
      <c r="I3857" s="15"/>
      <c r="J3857" s="15"/>
      <c r="K3857" s="15"/>
      <c r="L3857" s="15"/>
      <c r="M3857" s="16"/>
      <c r="N3857" s="16"/>
      <c r="O3857" s="15"/>
      <c r="P3857" s="15"/>
    </row>
    <row r="3858">
      <c r="A3858" s="15"/>
      <c r="B3858" s="22"/>
      <c r="C3858" s="22"/>
      <c r="D3858" s="22"/>
      <c r="E3858" s="15"/>
      <c r="F3858" s="15"/>
      <c r="G3858" s="15"/>
      <c r="H3858" s="15"/>
      <c r="I3858" s="15"/>
      <c r="J3858" s="15"/>
      <c r="K3858" s="15"/>
      <c r="L3858" s="15"/>
      <c r="M3858" s="16"/>
      <c r="N3858" s="16"/>
      <c r="O3858" s="15"/>
      <c r="P3858" s="15"/>
    </row>
    <row r="3859">
      <c r="A3859" s="15"/>
      <c r="B3859" s="22"/>
      <c r="C3859" s="22"/>
      <c r="D3859" s="22"/>
      <c r="E3859" s="15"/>
      <c r="F3859" s="15"/>
      <c r="G3859" s="15"/>
      <c r="H3859" s="15"/>
      <c r="I3859" s="15"/>
      <c r="J3859" s="15"/>
      <c r="K3859" s="15"/>
      <c r="L3859" s="15"/>
      <c r="M3859" s="16"/>
      <c r="N3859" s="16"/>
      <c r="O3859" s="15"/>
      <c r="P3859" s="15"/>
    </row>
    <row r="3860">
      <c r="A3860" s="15"/>
      <c r="B3860" s="22"/>
      <c r="C3860" s="22"/>
      <c r="D3860" s="22"/>
      <c r="E3860" s="15"/>
      <c r="F3860" s="15"/>
      <c r="G3860" s="15"/>
      <c r="H3860" s="15"/>
      <c r="I3860" s="15"/>
      <c r="J3860" s="15"/>
      <c r="K3860" s="15"/>
      <c r="L3860" s="15"/>
      <c r="M3860" s="16"/>
      <c r="N3860" s="16"/>
      <c r="O3860" s="15"/>
      <c r="P3860" s="15"/>
    </row>
    <row r="3861">
      <c r="A3861" s="15"/>
      <c r="B3861" s="22"/>
      <c r="C3861" s="22"/>
      <c r="D3861" s="22"/>
      <c r="E3861" s="15"/>
      <c r="F3861" s="15"/>
      <c r="G3861" s="15"/>
      <c r="H3861" s="15"/>
      <c r="I3861" s="15"/>
      <c r="J3861" s="15"/>
      <c r="K3861" s="15"/>
      <c r="L3861" s="15"/>
      <c r="M3861" s="16"/>
      <c r="N3861" s="16"/>
      <c r="O3861" s="15"/>
      <c r="P3861" s="15"/>
    </row>
    <row r="3862">
      <c r="A3862" s="15"/>
      <c r="B3862" s="22"/>
      <c r="C3862" s="22"/>
      <c r="D3862" s="22"/>
      <c r="E3862" s="15"/>
      <c r="F3862" s="15"/>
      <c r="G3862" s="15"/>
      <c r="H3862" s="15"/>
      <c r="I3862" s="15"/>
      <c r="J3862" s="15"/>
      <c r="K3862" s="15"/>
      <c r="L3862" s="15"/>
      <c r="M3862" s="16"/>
      <c r="N3862" s="16"/>
      <c r="O3862" s="15"/>
      <c r="P3862" s="15"/>
    </row>
    <row r="3863">
      <c r="A3863" s="15"/>
      <c r="B3863" s="22"/>
      <c r="C3863" s="22"/>
      <c r="D3863" s="22"/>
      <c r="E3863" s="15"/>
      <c r="F3863" s="15"/>
      <c r="G3863" s="15"/>
      <c r="H3863" s="15"/>
      <c r="I3863" s="15"/>
      <c r="J3863" s="15"/>
      <c r="K3863" s="15"/>
      <c r="L3863" s="15"/>
      <c r="M3863" s="16"/>
      <c r="N3863" s="16"/>
      <c r="O3863" s="15"/>
      <c r="P3863" s="15"/>
    </row>
    <row r="3864">
      <c r="A3864" s="15"/>
      <c r="B3864" s="22"/>
      <c r="C3864" s="22"/>
      <c r="D3864" s="22"/>
      <c r="E3864" s="15"/>
      <c r="F3864" s="15"/>
      <c r="G3864" s="15"/>
      <c r="H3864" s="15"/>
      <c r="I3864" s="15"/>
      <c r="J3864" s="15"/>
      <c r="K3864" s="15"/>
      <c r="L3864" s="15"/>
      <c r="M3864" s="16"/>
      <c r="N3864" s="16"/>
      <c r="O3864" s="15"/>
      <c r="P3864" s="15"/>
    </row>
    <row r="3865">
      <c r="A3865" s="15"/>
      <c r="B3865" s="22"/>
      <c r="C3865" s="22"/>
      <c r="D3865" s="22"/>
      <c r="E3865" s="15"/>
      <c r="F3865" s="15"/>
      <c r="G3865" s="15"/>
      <c r="H3865" s="15"/>
      <c r="I3865" s="15"/>
      <c r="J3865" s="15"/>
      <c r="K3865" s="15"/>
      <c r="L3865" s="15"/>
      <c r="M3865" s="16"/>
      <c r="N3865" s="16"/>
      <c r="O3865" s="15"/>
      <c r="P3865" s="15"/>
    </row>
    <row r="3866">
      <c r="A3866" s="15"/>
      <c r="B3866" s="22"/>
      <c r="C3866" s="22"/>
      <c r="D3866" s="22"/>
      <c r="E3866" s="15"/>
      <c r="F3866" s="15"/>
      <c r="G3866" s="15"/>
      <c r="H3866" s="15"/>
      <c r="I3866" s="15"/>
      <c r="J3866" s="15"/>
      <c r="K3866" s="15"/>
      <c r="L3866" s="15"/>
      <c r="M3866" s="16"/>
      <c r="N3866" s="16"/>
      <c r="O3866" s="15"/>
      <c r="P3866" s="15"/>
    </row>
    <row r="3867">
      <c r="A3867" s="15"/>
      <c r="B3867" s="22"/>
      <c r="C3867" s="22"/>
      <c r="D3867" s="22"/>
      <c r="E3867" s="15"/>
      <c r="F3867" s="15"/>
      <c r="G3867" s="15"/>
      <c r="H3867" s="15"/>
      <c r="I3867" s="15"/>
      <c r="J3867" s="15"/>
      <c r="K3867" s="15"/>
      <c r="L3867" s="15"/>
      <c r="M3867" s="16"/>
      <c r="N3867" s="16"/>
      <c r="O3867" s="15"/>
      <c r="P3867" s="15"/>
    </row>
    <row r="3868">
      <c r="A3868" s="15"/>
      <c r="B3868" s="22"/>
      <c r="C3868" s="22"/>
      <c r="D3868" s="22"/>
      <c r="E3868" s="15"/>
      <c r="F3868" s="15"/>
      <c r="G3868" s="15"/>
      <c r="H3868" s="15"/>
      <c r="I3868" s="15"/>
      <c r="J3868" s="15"/>
      <c r="K3868" s="15"/>
      <c r="L3868" s="15"/>
      <c r="M3868" s="16"/>
      <c r="N3868" s="16"/>
      <c r="O3868" s="15"/>
      <c r="P3868" s="15"/>
    </row>
    <row r="3869">
      <c r="A3869" s="15"/>
      <c r="B3869" s="22"/>
      <c r="C3869" s="22"/>
      <c r="D3869" s="22"/>
      <c r="E3869" s="15"/>
      <c r="F3869" s="15"/>
      <c r="G3869" s="15"/>
      <c r="H3869" s="15"/>
      <c r="I3869" s="15"/>
      <c r="J3869" s="15"/>
      <c r="K3869" s="15"/>
      <c r="L3869" s="15"/>
      <c r="M3869" s="16"/>
      <c r="N3869" s="16"/>
      <c r="O3869" s="15"/>
      <c r="P3869" s="15"/>
    </row>
    <row r="3870">
      <c r="A3870" s="15"/>
      <c r="B3870" s="22"/>
      <c r="C3870" s="22"/>
      <c r="D3870" s="22"/>
      <c r="E3870" s="15"/>
      <c r="F3870" s="15"/>
      <c r="G3870" s="15"/>
      <c r="H3870" s="15"/>
      <c r="I3870" s="15"/>
      <c r="J3870" s="15"/>
      <c r="K3870" s="15"/>
      <c r="L3870" s="15"/>
      <c r="M3870" s="16"/>
      <c r="N3870" s="16"/>
      <c r="O3870" s="15"/>
      <c r="P3870" s="15"/>
    </row>
    <row r="3871">
      <c r="A3871" s="15"/>
      <c r="B3871" s="22"/>
      <c r="C3871" s="22"/>
      <c r="D3871" s="22"/>
      <c r="E3871" s="15"/>
      <c r="F3871" s="15"/>
      <c r="G3871" s="15"/>
      <c r="H3871" s="15"/>
      <c r="I3871" s="15"/>
      <c r="J3871" s="15"/>
      <c r="K3871" s="15"/>
      <c r="L3871" s="15"/>
      <c r="M3871" s="16"/>
      <c r="N3871" s="16"/>
      <c r="O3871" s="15"/>
      <c r="P3871" s="15"/>
    </row>
    <row r="3872">
      <c r="A3872" s="15"/>
      <c r="B3872" s="22"/>
      <c r="C3872" s="22"/>
      <c r="D3872" s="22"/>
      <c r="E3872" s="15"/>
      <c r="F3872" s="15"/>
      <c r="G3872" s="15"/>
      <c r="H3872" s="15"/>
      <c r="I3872" s="15"/>
      <c r="J3872" s="15"/>
      <c r="K3872" s="15"/>
      <c r="L3872" s="15"/>
      <c r="M3872" s="16"/>
      <c r="N3872" s="16"/>
      <c r="O3872" s="15"/>
      <c r="P3872" s="15"/>
    </row>
    <row r="3873">
      <c r="A3873" s="15"/>
      <c r="B3873" s="22"/>
      <c r="C3873" s="22"/>
      <c r="D3873" s="22"/>
      <c r="E3873" s="15"/>
      <c r="F3873" s="15"/>
      <c r="G3873" s="15"/>
      <c r="H3873" s="15"/>
      <c r="I3873" s="15"/>
      <c r="J3873" s="15"/>
      <c r="K3873" s="15"/>
      <c r="L3873" s="15"/>
      <c r="M3873" s="16"/>
      <c r="N3873" s="16"/>
      <c r="O3873" s="15"/>
      <c r="P3873" s="15"/>
    </row>
    <row r="3874">
      <c r="A3874" s="15"/>
      <c r="B3874" s="22"/>
      <c r="C3874" s="22"/>
      <c r="D3874" s="22"/>
      <c r="E3874" s="15"/>
      <c r="F3874" s="15"/>
      <c r="G3874" s="15"/>
      <c r="H3874" s="15"/>
      <c r="I3874" s="15"/>
      <c r="J3874" s="15"/>
      <c r="K3874" s="15"/>
      <c r="L3874" s="15"/>
      <c r="M3874" s="16"/>
      <c r="N3874" s="16"/>
      <c r="O3874" s="15"/>
      <c r="P3874" s="15"/>
    </row>
    <row r="3875">
      <c r="A3875" s="15"/>
      <c r="B3875" s="22"/>
      <c r="C3875" s="22"/>
      <c r="D3875" s="22"/>
      <c r="E3875" s="15"/>
      <c r="F3875" s="15"/>
      <c r="G3875" s="15"/>
      <c r="H3875" s="15"/>
      <c r="I3875" s="15"/>
      <c r="J3875" s="15"/>
      <c r="K3875" s="15"/>
      <c r="L3875" s="15"/>
      <c r="M3875" s="16"/>
      <c r="N3875" s="16"/>
      <c r="O3875" s="15"/>
      <c r="P3875" s="15"/>
    </row>
    <row r="3876">
      <c r="A3876" s="15"/>
      <c r="B3876" s="22"/>
      <c r="C3876" s="22"/>
      <c r="D3876" s="22"/>
      <c r="E3876" s="15"/>
      <c r="F3876" s="15"/>
      <c r="G3876" s="15"/>
      <c r="H3876" s="15"/>
      <c r="I3876" s="15"/>
      <c r="J3876" s="15"/>
      <c r="K3876" s="15"/>
      <c r="L3876" s="15"/>
      <c r="M3876" s="16"/>
      <c r="N3876" s="16"/>
      <c r="O3876" s="15"/>
      <c r="P3876" s="15"/>
    </row>
    <row r="3877">
      <c r="A3877" s="15"/>
      <c r="B3877" s="22"/>
      <c r="C3877" s="22"/>
      <c r="D3877" s="22"/>
      <c r="E3877" s="15"/>
      <c r="F3877" s="15"/>
      <c r="G3877" s="15"/>
      <c r="H3877" s="15"/>
      <c r="I3877" s="15"/>
      <c r="J3877" s="15"/>
      <c r="K3877" s="15"/>
      <c r="L3877" s="15"/>
      <c r="M3877" s="16"/>
      <c r="N3877" s="16"/>
      <c r="O3877" s="15"/>
      <c r="P3877" s="15"/>
    </row>
    <row r="3878">
      <c r="A3878" s="15"/>
      <c r="B3878" s="22"/>
      <c r="C3878" s="22"/>
      <c r="D3878" s="22"/>
      <c r="E3878" s="15"/>
      <c r="F3878" s="15"/>
      <c r="G3878" s="15"/>
      <c r="H3878" s="15"/>
      <c r="I3878" s="15"/>
      <c r="J3878" s="15"/>
      <c r="K3878" s="15"/>
      <c r="L3878" s="15"/>
      <c r="M3878" s="16"/>
      <c r="N3878" s="16"/>
      <c r="O3878" s="15"/>
      <c r="P3878" s="15"/>
    </row>
    <row r="3879">
      <c r="A3879" s="15"/>
      <c r="B3879" s="22"/>
      <c r="C3879" s="22"/>
      <c r="D3879" s="22"/>
      <c r="E3879" s="15"/>
      <c r="F3879" s="15"/>
      <c r="G3879" s="15"/>
      <c r="H3879" s="15"/>
      <c r="I3879" s="15"/>
      <c r="J3879" s="15"/>
      <c r="K3879" s="15"/>
      <c r="L3879" s="15"/>
      <c r="M3879" s="16"/>
      <c r="N3879" s="16"/>
      <c r="O3879" s="15"/>
      <c r="P3879" s="15"/>
    </row>
    <row r="3880">
      <c r="A3880" s="15"/>
      <c r="B3880" s="22"/>
      <c r="C3880" s="22"/>
      <c r="D3880" s="22"/>
      <c r="E3880" s="15"/>
      <c r="F3880" s="15"/>
      <c r="G3880" s="15"/>
      <c r="H3880" s="15"/>
      <c r="I3880" s="15"/>
      <c r="J3880" s="15"/>
      <c r="K3880" s="15"/>
      <c r="L3880" s="15"/>
      <c r="M3880" s="16"/>
      <c r="N3880" s="16"/>
      <c r="O3880" s="15"/>
      <c r="P3880" s="15"/>
    </row>
    <row r="3881">
      <c r="A3881" s="15"/>
      <c r="B3881" s="22"/>
      <c r="C3881" s="22"/>
      <c r="D3881" s="22"/>
      <c r="E3881" s="15"/>
      <c r="F3881" s="15"/>
      <c r="G3881" s="15"/>
      <c r="H3881" s="15"/>
      <c r="I3881" s="15"/>
      <c r="J3881" s="15"/>
      <c r="K3881" s="15"/>
      <c r="L3881" s="15"/>
      <c r="M3881" s="16"/>
      <c r="N3881" s="16"/>
      <c r="O3881" s="15"/>
      <c r="P3881" s="15"/>
    </row>
    <row r="3882">
      <c r="A3882" s="15"/>
      <c r="B3882" s="22"/>
      <c r="C3882" s="22"/>
      <c r="D3882" s="22"/>
      <c r="E3882" s="15"/>
      <c r="F3882" s="15"/>
      <c r="G3882" s="15"/>
      <c r="H3882" s="15"/>
      <c r="I3882" s="15"/>
      <c r="J3882" s="15"/>
      <c r="K3882" s="15"/>
      <c r="L3882" s="15"/>
      <c r="M3882" s="16"/>
      <c r="N3882" s="16"/>
      <c r="O3882" s="15"/>
      <c r="P3882" s="15"/>
    </row>
    <row r="3883">
      <c r="A3883" s="15"/>
      <c r="B3883" s="22"/>
      <c r="C3883" s="22"/>
      <c r="D3883" s="22"/>
      <c r="E3883" s="15"/>
      <c r="F3883" s="15"/>
      <c r="G3883" s="15"/>
      <c r="H3883" s="15"/>
      <c r="I3883" s="15"/>
      <c r="J3883" s="15"/>
      <c r="K3883" s="15"/>
      <c r="L3883" s="15"/>
      <c r="M3883" s="16"/>
      <c r="N3883" s="16"/>
      <c r="O3883" s="15"/>
      <c r="P3883" s="15"/>
    </row>
    <row r="3884">
      <c r="A3884" s="15"/>
      <c r="B3884" s="22"/>
      <c r="C3884" s="22"/>
      <c r="D3884" s="22"/>
      <c r="E3884" s="15"/>
      <c r="F3884" s="15"/>
      <c r="G3884" s="15"/>
      <c r="H3884" s="15"/>
      <c r="I3884" s="15"/>
      <c r="J3884" s="15"/>
      <c r="K3884" s="15"/>
      <c r="L3884" s="15"/>
      <c r="M3884" s="16"/>
      <c r="N3884" s="16"/>
      <c r="O3884" s="15"/>
      <c r="P3884" s="15"/>
    </row>
    <row r="3885">
      <c r="A3885" s="15"/>
      <c r="B3885" s="22"/>
      <c r="C3885" s="22"/>
      <c r="D3885" s="22"/>
      <c r="E3885" s="15"/>
      <c r="F3885" s="15"/>
      <c r="G3885" s="15"/>
      <c r="H3885" s="15"/>
      <c r="I3885" s="15"/>
      <c r="J3885" s="15"/>
      <c r="K3885" s="15"/>
      <c r="L3885" s="15"/>
      <c r="M3885" s="16"/>
      <c r="N3885" s="16"/>
      <c r="O3885" s="15"/>
      <c r="P3885" s="15"/>
    </row>
    <row r="3886">
      <c r="A3886" s="15"/>
      <c r="B3886" s="22"/>
      <c r="C3886" s="22"/>
      <c r="D3886" s="22"/>
      <c r="E3886" s="15"/>
      <c r="F3886" s="15"/>
      <c r="G3886" s="15"/>
      <c r="H3886" s="15"/>
      <c r="I3886" s="15"/>
      <c r="J3886" s="15"/>
      <c r="K3886" s="15"/>
      <c r="L3886" s="15"/>
      <c r="M3886" s="16"/>
      <c r="N3886" s="16"/>
      <c r="O3886" s="15"/>
      <c r="P3886" s="15"/>
    </row>
    <row r="3887">
      <c r="A3887" s="15"/>
      <c r="B3887" s="22"/>
      <c r="C3887" s="22"/>
      <c r="D3887" s="22"/>
      <c r="E3887" s="15"/>
      <c r="F3887" s="15"/>
      <c r="G3887" s="15"/>
      <c r="H3887" s="15"/>
      <c r="I3887" s="15"/>
      <c r="J3887" s="15"/>
      <c r="K3887" s="15"/>
      <c r="L3887" s="15"/>
      <c r="M3887" s="16"/>
      <c r="N3887" s="16"/>
      <c r="O3887" s="15"/>
      <c r="P3887" s="15"/>
    </row>
    <row r="3888">
      <c r="A3888" s="15"/>
      <c r="B3888" s="22"/>
      <c r="C3888" s="22"/>
      <c r="D3888" s="22"/>
      <c r="E3888" s="15"/>
      <c r="F3888" s="15"/>
      <c r="G3888" s="15"/>
      <c r="H3888" s="15"/>
      <c r="I3888" s="15"/>
      <c r="J3888" s="15"/>
      <c r="K3888" s="15"/>
      <c r="L3888" s="15"/>
      <c r="M3888" s="16"/>
      <c r="N3888" s="16"/>
      <c r="O3888" s="15"/>
      <c r="P3888" s="15"/>
    </row>
    <row r="3889">
      <c r="A3889" s="15"/>
      <c r="B3889" s="22"/>
      <c r="C3889" s="22"/>
      <c r="D3889" s="22"/>
      <c r="E3889" s="15"/>
      <c r="F3889" s="15"/>
      <c r="G3889" s="15"/>
      <c r="H3889" s="15"/>
      <c r="I3889" s="15"/>
      <c r="J3889" s="15"/>
      <c r="K3889" s="15"/>
      <c r="L3889" s="15"/>
      <c r="M3889" s="16"/>
      <c r="N3889" s="16"/>
      <c r="O3889" s="15"/>
      <c r="P3889" s="15"/>
    </row>
    <row r="3890">
      <c r="A3890" s="15"/>
      <c r="B3890" s="22"/>
      <c r="C3890" s="22"/>
      <c r="D3890" s="22"/>
      <c r="E3890" s="15"/>
      <c r="F3890" s="15"/>
      <c r="G3890" s="15"/>
      <c r="H3890" s="15"/>
      <c r="I3890" s="15"/>
      <c r="J3890" s="15"/>
      <c r="K3890" s="15"/>
      <c r="L3890" s="15"/>
      <c r="M3890" s="16"/>
      <c r="N3890" s="16"/>
      <c r="O3890" s="15"/>
      <c r="P3890" s="15"/>
    </row>
    <row r="3891">
      <c r="A3891" s="15"/>
      <c r="B3891" s="22"/>
      <c r="C3891" s="22"/>
      <c r="D3891" s="22"/>
      <c r="E3891" s="15"/>
      <c r="F3891" s="15"/>
      <c r="G3891" s="15"/>
      <c r="H3891" s="15"/>
      <c r="I3891" s="15"/>
      <c r="J3891" s="15"/>
      <c r="K3891" s="15"/>
      <c r="L3891" s="15"/>
      <c r="M3891" s="16"/>
      <c r="N3891" s="16"/>
      <c r="O3891" s="15"/>
      <c r="P3891" s="15"/>
    </row>
    <row r="3892">
      <c r="A3892" s="15"/>
      <c r="B3892" s="22"/>
      <c r="C3892" s="22"/>
      <c r="D3892" s="22"/>
      <c r="E3892" s="15"/>
      <c r="F3892" s="15"/>
      <c r="G3892" s="15"/>
      <c r="H3892" s="15"/>
      <c r="I3892" s="15"/>
      <c r="J3892" s="15"/>
      <c r="K3892" s="15"/>
      <c r="L3892" s="15"/>
      <c r="M3892" s="16"/>
      <c r="N3892" s="16"/>
      <c r="O3892" s="15"/>
      <c r="P3892" s="15"/>
    </row>
    <row r="3893">
      <c r="A3893" s="15"/>
      <c r="B3893" s="22"/>
      <c r="C3893" s="22"/>
      <c r="D3893" s="22"/>
      <c r="E3893" s="15"/>
      <c r="F3893" s="15"/>
      <c r="G3893" s="15"/>
      <c r="H3893" s="15"/>
      <c r="I3893" s="15"/>
      <c r="J3893" s="15"/>
      <c r="K3893" s="15"/>
      <c r="L3893" s="15"/>
      <c r="M3893" s="16"/>
      <c r="N3893" s="16"/>
      <c r="O3893" s="15"/>
      <c r="P3893" s="15"/>
    </row>
    <row r="3894">
      <c r="A3894" s="15"/>
      <c r="B3894" s="22"/>
      <c r="C3894" s="22"/>
      <c r="D3894" s="22"/>
      <c r="E3894" s="15"/>
      <c r="F3894" s="15"/>
      <c r="G3894" s="15"/>
      <c r="H3894" s="15"/>
      <c r="I3894" s="15"/>
      <c r="J3894" s="15"/>
      <c r="K3894" s="15"/>
      <c r="L3894" s="15"/>
      <c r="M3894" s="16"/>
      <c r="N3894" s="16"/>
      <c r="O3894" s="15"/>
      <c r="P3894" s="15"/>
    </row>
    <row r="3895">
      <c r="A3895" s="15"/>
      <c r="B3895" s="22"/>
      <c r="C3895" s="22"/>
      <c r="D3895" s="22"/>
      <c r="E3895" s="15"/>
      <c r="F3895" s="15"/>
      <c r="G3895" s="15"/>
      <c r="H3895" s="15"/>
      <c r="I3895" s="15"/>
      <c r="J3895" s="15"/>
      <c r="K3895" s="15"/>
      <c r="L3895" s="15"/>
      <c r="M3895" s="16"/>
      <c r="N3895" s="16"/>
      <c r="O3895" s="15"/>
      <c r="P3895" s="15"/>
    </row>
    <row r="3896">
      <c r="A3896" s="15"/>
      <c r="B3896" s="22"/>
      <c r="C3896" s="22"/>
      <c r="D3896" s="22"/>
      <c r="E3896" s="15"/>
      <c r="F3896" s="15"/>
      <c r="G3896" s="15"/>
      <c r="H3896" s="15"/>
      <c r="I3896" s="15"/>
      <c r="J3896" s="15"/>
      <c r="K3896" s="15"/>
      <c r="L3896" s="15"/>
      <c r="M3896" s="16"/>
      <c r="N3896" s="16"/>
      <c r="O3896" s="15"/>
      <c r="P3896" s="15"/>
    </row>
    <row r="3897">
      <c r="A3897" s="15"/>
      <c r="B3897" s="22"/>
      <c r="C3897" s="22"/>
      <c r="D3897" s="22"/>
      <c r="E3897" s="15"/>
      <c r="F3897" s="15"/>
      <c r="G3897" s="15"/>
      <c r="H3897" s="15"/>
      <c r="I3897" s="15"/>
      <c r="J3897" s="15"/>
      <c r="K3897" s="15"/>
      <c r="L3897" s="15"/>
      <c r="M3897" s="16"/>
      <c r="N3897" s="16"/>
      <c r="O3897" s="15"/>
      <c r="P3897" s="15"/>
    </row>
    <row r="3898">
      <c r="A3898" s="15"/>
      <c r="B3898" s="22"/>
      <c r="C3898" s="22"/>
      <c r="D3898" s="22"/>
      <c r="E3898" s="15"/>
      <c r="F3898" s="15"/>
      <c r="G3898" s="15"/>
      <c r="H3898" s="15"/>
      <c r="I3898" s="15"/>
      <c r="J3898" s="15"/>
      <c r="K3898" s="15"/>
      <c r="L3898" s="15"/>
      <c r="M3898" s="16"/>
      <c r="N3898" s="16"/>
      <c r="O3898" s="15"/>
      <c r="P3898" s="15"/>
    </row>
    <row r="3899">
      <c r="A3899" s="15"/>
      <c r="B3899" s="22"/>
      <c r="C3899" s="22"/>
      <c r="D3899" s="22"/>
      <c r="E3899" s="15"/>
      <c r="F3899" s="15"/>
      <c r="G3899" s="15"/>
      <c r="H3899" s="15"/>
      <c r="I3899" s="15"/>
      <c r="J3899" s="15"/>
      <c r="K3899" s="15"/>
      <c r="L3899" s="15"/>
      <c r="M3899" s="16"/>
      <c r="N3899" s="16"/>
      <c r="O3899" s="15"/>
      <c r="P3899" s="15"/>
    </row>
    <row r="3900">
      <c r="A3900" s="15"/>
      <c r="B3900" s="22"/>
      <c r="C3900" s="22"/>
      <c r="D3900" s="22"/>
      <c r="E3900" s="15"/>
      <c r="F3900" s="15"/>
      <c r="G3900" s="15"/>
      <c r="H3900" s="15"/>
      <c r="I3900" s="15"/>
      <c r="J3900" s="15"/>
      <c r="K3900" s="15"/>
      <c r="L3900" s="15"/>
      <c r="M3900" s="16"/>
      <c r="N3900" s="16"/>
      <c r="O3900" s="15"/>
      <c r="P3900" s="15"/>
    </row>
    <row r="3901">
      <c r="A3901" s="15"/>
      <c r="B3901" s="22"/>
      <c r="C3901" s="22"/>
      <c r="D3901" s="22"/>
      <c r="E3901" s="15"/>
      <c r="F3901" s="15"/>
      <c r="G3901" s="15"/>
      <c r="H3901" s="15"/>
      <c r="I3901" s="15"/>
      <c r="J3901" s="15"/>
      <c r="K3901" s="15"/>
      <c r="L3901" s="15"/>
      <c r="M3901" s="16"/>
      <c r="N3901" s="16"/>
      <c r="O3901" s="15"/>
      <c r="P3901" s="15"/>
    </row>
    <row r="3902">
      <c r="A3902" s="15"/>
      <c r="B3902" s="22"/>
      <c r="C3902" s="22"/>
      <c r="D3902" s="22"/>
      <c r="E3902" s="15"/>
      <c r="F3902" s="15"/>
      <c r="G3902" s="15"/>
      <c r="H3902" s="15"/>
      <c r="I3902" s="15"/>
      <c r="J3902" s="15"/>
      <c r="K3902" s="15"/>
      <c r="L3902" s="15"/>
      <c r="M3902" s="16"/>
      <c r="N3902" s="16"/>
      <c r="O3902" s="15"/>
      <c r="P3902" s="15"/>
    </row>
    <row r="3903">
      <c r="A3903" s="15"/>
      <c r="B3903" s="22"/>
      <c r="C3903" s="22"/>
      <c r="D3903" s="22"/>
      <c r="E3903" s="15"/>
      <c r="F3903" s="15"/>
      <c r="G3903" s="15"/>
      <c r="H3903" s="15"/>
      <c r="I3903" s="15"/>
      <c r="J3903" s="15"/>
      <c r="K3903" s="15"/>
      <c r="L3903" s="15"/>
      <c r="M3903" s="16"/>
      <c r="N3903" s="16"/>
      <c r="O3903" s="15"/>
      <c r="P3903" s="15"/>
    </row>
    <row r="3904">
      <c r="A3904" s="15"/>
      <c r="B3904" s="22"/>
      <c r="C3904" s="22"/>
      <c r="D3904" s="22"/>
      <c r="E3904" s="15"/>
      <c r="F3904" s="15"/>
      <c r="G3904" s="15"/>
      <c r="H3904" s="15"/>
      <c r="I3904" s="15"/>
      <c r="J3904" s="15"/>
      <c r="K3904" s="15"/>
      <c r="L3904" s="15"/>
      <c r="M3904" s="16"/>
      <c r="N3904" s="16"/>
      <c r="O3904" s="15"/>
      <c r="P3904" s="15"/>
    </row>
    <row r="3905">
      <c r="A3905" s="15"/>
      <c r="B3905" s="22"/>
      <c r="C3905" s="22"/>
      <c r="D3905" s="22"/>
      <c r="E3905" s="15"/>
      <c r="F3905" s="15"/>
      <c r="G3905" s="15"/>
      <c r="H3905" s="15"/>
      <c r="I3905" s="15"/>
      <c r="J3905" s="15"/>
      <c r="K3905" s="15"/>
      <c r="L3905" s="15"/>
      <c r="M3905" s="16"/>
      <c r="N3905" s="16"/>
      <c r="O3905" s="15"/>
      <c r="P3905" s="15"/>
    </row>
    <row r="3906">
      <c r="A3906" s="15"/>
      <c r="B3906" s="22"/>
      <c r="C3906" s="22"/>
      <c r="D3906" s="22"/>
      <c r="E3906" s="15"/>
      <c r="F3906" s="15"/>
      <c r="G3906" s="15"/>
      <c r="H3906" s="15"/>
      <c r="I3906" s="15"/>
      <c r="J3906" s="15"/>
      <c r="K3906" s="15"/>
      <c r="L3906" s="15"/>
      <c r="M3906" s="16"/>
      <c r="N3906" s="16"/>
      <c r="O3906" s="15"/>
      <c r="P3906" s="15"/>
    </row>
    <row r="3907">
      <c r="A3907" s="15"/>
      <c r="B3907" s="22"/>
      <c r="C3907" s="22"/>
      <c r="D3907" s="22"/>
      <c r="E3907" s="15"/>
      <c r="F3907" s="15"/>
      <c r="G3907" s="15"/>
      <c r="H3907" s="15"/>
      <c r="I3907" s="15"/>
      <c r="J3907" s="15"/>
      <c r="K3907" s="15"/>
      <c r="L3907" s="15"/>
      <c r="M3907" s="16"/>
      <c r="N3907" s="16"/>
      <c r="O3907" s="15"/>
      <c r="P3907" s="15"/>
    </row>
    <row r="3908">
      <c r="A3908" s="15"/>
      <c r="B3908" s="22"/>
      <c r="C3908" s="22"/>
      <c r="D3908" s="22"/>
      <c r="E3908" s="15"/>
      <c r="F3908" s="15"/>
      <c r="G3908" s="15"/>
      <c r="H3908" s="15"/>
      <c r="I3908" s="15"/>
      <c r="J3908" s="15"/>
      <c r="K3908" s="15"/>
      <c r="L3908" s="15"/>
      <c r="M3908" s="16"/>
      <c r="N3908" s="16"/>
      <c r="O3908" s="15"/>
      <c r="P3908" s="15"/>
    </row>
    <row r="3909">
      <c r="A3909" s="15"/>
      <c r="B3909" s="22"/>
      <c r="C3909" s="22"/>
      <c r="D3909" s="22"/>
      <c r="E3909" s="15"/>
      <c r="F3909" s="15"/>
      <c r="G3909" s="15"/>
      <c r="H3909" s="15"/>
      <c r="I3909" s="15"/>
      <c r="J3909" s="15"/>
      <c r="K3909" s="15"/>
      <c r="L3909" s="15"/>
      <c r="M3909" s="16"/>
      <c r="N3909" s="16"/>
      <c r="O3909" s="15"/>
      <c r="P3909" s="15"/>
    </row>
    <row r="3910">
      <c r="A3910" s="15"/>
      <c r="B3910" s="22"/>
      <c r="C3910" s="22"/>
      <c r="D3910" s="22"/>
      <c r="E3910" s="15"/>
      <c r="F3910" s="15"/>
      <c r="G3910" s="15"/>
      <c r="H3910" s="15"/>
      <c r="I3910" s="15"/>
      <c r="J3910" s="15"/>
      <c r="K3910" s="15"/>
      <c r="L3910" s="15"/>
      <c r="M3910" s="16"/>
      <c r="N3910" s="16"/>
      <c r="O3910" s="15"/>
      <c r="P3910" s="15"/>
    </row>
    <row r="3911">
      <c r="A3911" s="15"/>
      <c r="B3911" s="22"/>
      <c r="C3911" s="22"/>
      <c r="D3911" s="22"/>
      <c r="E3911" s="15"/>
      <c r="F3911" s="15"/>
      <c r="G3911" s="15"/>
      <c r="H3911" s="15"/>
      <c r="I3911" s="15"/>
      <c r="J3911" s="15"/>
      <c r="K3911" s="15"/>
      <c r="L3911" s="15"/>
      <c r="M3911" s="16"/>
      <c r="N3911" s="16"/>
      <c r="O3911" s="15"/>
      <c r="P3911" s="15"/>
    </row>
    <row r="3912">
      <c r="A3912" s="15"/>
      <c r="B3912" s="22"/>
      <c r="C3912" s="22"/>
      <c r="D3912" s="22"/>
      <c r="E3912" s="15"/>
      <c r="F3912" s="15"/>
      <c r="G3912" s="15"/>
      <c r="H3912" s="15"/>
      <c r="I3912" s="15"/>
      <c r="J3912" s="15"/>
      <c r="K3912" s="15"/>
      <c r="L3912" s="15"/>
      <c r="M3912" s="16"/>
      <c r="N3912" s="16"/>
      <c r="O3912" s="15"/>
      <c r="P3912" s="15"/>
    </row>
    <row r="3913">
      <c r="A3913" s="15"/>
      <c r="B3913" s="22"/>
      <c r="C3913" s="22"/>
      <c r="D3913" s="22"/>
      <c r="E3913" s="15"/>
      <c r="F3913" s="15"/>
      <c r="G3913" s="15"/>
      <c r="H3913" s="15"/>
      <c r="I3913" s="15"/>
      <c r="J3913" s="15"/>
      <c r="K3913" s="15"/>
      <c r="L3913" s="15"/>
      <c r="M3913" s="16"/>
      <c r="N3913" s="16"/>
      <c r="O3913" s="15"/>
      <c r="P3913" s="15"/>
    </row>
    <row r="3914">
      <c r="A3914" s="15"/>
      <c r="B3914" s="22"/>
      <c r="C3914" s="22"/>
      <c r="D3914" s="22"/>
      <c r="E3914" s="15"/>
      <c r="F3914" s="15"/>
      <c r="G3914" s="15"/>
      <c r="H3914" s="15"/>
      <c r="I3914" s="15"/>
      <c r="J3914" s="15"/>
      <c r="K3914" s="15"/>
      <c r="L3914" s="15"/>
      <c r="M3914" s="16"/>
      <c r="N3914" s="16"/>
      <c r="O3914" s="15"/>
      <c r="P3914" s="15"/>
    </row>
    <row r="3915">
      <c r="A3915" s="15"/>
      <c r="B3915" s="22"/>
      <c r="C3915" s="22"/>
      <c r="D3915" s="22"/>
      <c r="E3915" s="15"/>
      <c r="F3915" s="15"/>
      <c r="G3915" s="15"/>
      <c r="H3915" s="15"/>
      <c r="I3915" s="15"/>
      <c r="J3915" s="15"/>
      <c r="K3915" s="15"/>
      <c r="L3915" s="15"/>
      <c r="M3915" s="16"/>
      <c r="N3915" s="16"/>
      <c r="O3915" s="15"/>
      <c r="P3915" s="15"/>
    </row>
    <row r="3916">
      <c r="A3916" s="15"/>
      <c r="B3916" s="22"/>
      <c r="C3916" s="22"/>
      <c r="D3916" s="22"/>
      <c r="E3916" s="15"/>
      <c r="F3916" s="15"/>
      <c r="G3916" s="15"/>
      <c r="H3916" s="15"/>
      <c r="I3916" s="15"/>
      <c r="J3916" s="15"/>
      <c r="K3916" s="15"/>
      <c r="L3916" s="15"/>
      <c r="M3916" s="16"/>
      <c r="N3916" s="16"/>
      <c r="O3916" s="15"/>
      <c r="P3916" s="15"/>
    </row>
    <row r="3917">
      <c r="A3917" s="15"/>
      <c r="B3917" s="22"/>
      <c r="C3917" s="22"/>
      <c r="D3917" s="22"/>
      <c r="E3917" s="15"/>
      <c r="F3917" s="15"/>
      <c r="G3917" s="15"/>
      <c r="H3917" s="15"/>
      <c r="I3917" s="15"/>
      <c r="J3917" s="15"/>
      <c r="K3917" s="15"/>
      <c r="L3917" s="15"/>
      <c r="M3917" s="16"/>
      <c r="N3917" s="16"/>
      <c r="O3917" s="15"/>
      <c r="P3917" s="15"/>
    </row>
    <row r="3918">
      <c r="A3918" s="15"/>
      <c r="B3918" s="22"/>
      <c r="C3918" s="22"/>
      <c r="D3918" s="22"/>
      <c r="E3918" s="15"/>
      <c r="F3918" s="15"/>
      <c r="G3918" s="15"/>
      <c r="H3918" s="15"/>
      <c r="I3918" s="15"/>
      <c r="J3918" s="15"/>
      <c r="K3918" s="15"/>
      <c r="L3918" s="15"/>
      <c r="M3918" s="16"/>
      <c r="N3918" s="16"/>
      <c r="O3918" s="15"/>
      <c r="P3918" s="15"/>
    </row>
    <row r="3919">
      <c r="A3919" s="15"/>
      <c r="B3919" s="22"/>
      <c r="C3919" s="22"/>
      <c r="D3919" s="22"/>
      <c r="E3919" s="15"/>
      <c r="F3919" s="15"/>
      <c r="G3919" s="15"/>
      <c r="H3919" s="15"/>
      <c r="I3919" s="15"/>
      <c r="J3919" s="15"/>
      <c r="K3919" s="15"/>
      <c r="L3919" s="15"/>
      <c r="M3919" s="16"/>
      <c r="N3919" s="16"/>
      <c r="O3919" s="15"/>
      <c r="P3919" s="15"/>
    </row>
    <row r="3920">
      <c r="A3920" s="15"/>
      <c r="B3920" s="22"/>
      <c r="C3920" s="22"/>
      <c r="D3920" s="22"/>
      <c r="E3920" s="15"/>
      <c r="F3920" s="15"/>
      <c r="G3920" s="15"/>
      <c r="H3920" s="15"/>
      <c r="I3920" s="15"/>
      <c r="J3920" s="15"/>
      <c r="K3920" s="15"/>
      <c r="L3920" s="15"/>
      <c r="M3920" s="16"/>
      <c r="N3920" s="16"/>
      <c r="O3920" s="15"/>
      <c r="P3920" s="15"/>
    </row>
    <row r="3921">
      <c r="A3921" s="15"/>
      <c r="B3921" s="22"/>
      <c r="C3921" s="22"/>
      <c r="D3921" s="22"/>
      <c r="E3921" s="15"/>
      <c r="F3921" s="15"/>
      <c r="G3921" s="15"/>
      <c r="H3921" s="15"/>
      <c r="I3921" s="15"/>
      <c r="J3921" s="15"/>
      <c r="K3921" s="15"/>
      <c r="L3921" s="15"/>
      <c r="M3921" s="16"/>
      <c r="N3921" s="16"/>
      <c r="O3921" s="15"/>
      <c r="P3921" s="15"/>
    </row>
    <row r="3922">
      <c r="A3922" s="15"/>
      <c r="B3922" s="22"/>
      <c r="C3922" s="22"/>
      <c r="D3922" s="22"/>
      <c r="E3922" s="15"/>
      <c r="F3922" s="15"/>
      <c r="G3922" s="15"/>
      <c r="H3922" s="15"/>
      <c r="I3922" s="15"/>
      <c r="J3922" s="15"/>
      <c r="K3922" s="15"/>
      <c r="L3922" s="15"/>
      <c r="M3922" s="16"/>
      <c r="N3922" s="16"/>
      <c r="O3922" s="15"/>
      <c r="P3922" s="15"/>
    </row>
    <row r="3923">
      <c r="A3923" s="15"/>
      <c r="B3923" s="22"/>
      <c r="C3923" s="22"/>
      <c r="D3923" s="22"/>
      <c r="E3923" s="15"/>
      <c r="F3923" s="15"/>
      <c r="G3923" s="15"/>
      <c r="H3923" s="15"/>
      <c r="I3923" s="15"/>
      <c r="J3923" s="15"/>
      <c r="K3923" s="15"/>
      <c r="L3923" s="15"/>
      <c r="M3923" s="16"/>
      <c r="N3923" s="16"/>
      <c r="O3923" s="15"/>
      <c r="P3923" s="15"/>
    </row>
    <row r="3924">
      <c r="A3924" s="15"/>
      <c r="B3924" s="22"/>
      <c r="C3924" s="22"/>
      <c r="D3924" s="22"/>
      <c r="E3924" s="15"/>
      <c r="F3924" s="15"/>
      <c r="G3924" s="15"/>
      <c r="H3924" s="15"/>
      <c r="I3924" s="15"/>
      <c r="J3924" s="15"/>
      <c r="K3924" s="15"/>
      <c r="L3924" s="15"/>
      <c r="M3924" s="16"/>
      <c r="N3924" s="16"/>
      <c r="O3924" s="15"/>
      <c r="P3924" s="15"/>
    </row>
    <row r="3925">
      <c r="A3925" s="15"/>
      <c r="B3925" s="22"/>
      <c r="C3925" s="22"/>
      <c r="D3925" s="22"/>
      <c r="E3925" s="15"/>
      <c r="F3925" s="15"/>
      <c r="G3925" s="15"/>
      <c r="H3925" s="15"/>
      <c r="I3925" s="15"/>
      <c r="J3925" s="15"/>
      <c r="K3925" s="15"/>
      <c r="L3925" s="15"/>
      <c r="M3925" s="16"/>
      <c r="N3925" s="16"/>
      <c r="O3925" s="15"/>
      <c r="P3925" s="15"/>
    </row>
    <row r="3926">
      <c r="A3926" s="15"/>
      <c r="B3926" s="22"/>
      <c r="C3926" s="22"/>
      <c r="D3926" s="22"/>
      <c r="E3926" s="15"/>
      <c r="F3926" s="15"/>
      <c r="G3926" s="15"/>
      <c r="H3926" s="15"/>
      <c r="I3926" s="15"/>
      <c r="J3926" s="15"/>
      <c r="K3926" s="15"/>
      <c r="L3926" s="15"/>
      <c r="M3926" s="16"/>
      <c r="N3926" s="16"/>
      <c r="O3926" s="15"/>
      <c r="P3926" s="15"/>
    </row>
    <row r="3927">
      <c r="A3927" s="15"/>
      <c r="B3927" s="22"/>
      <c r="C3927" s="22"/>
      <c r="D3927" s="22"/>
      <c r="E3927" s="15"/>
      <c r="F3927" s="15"/>
      <c r="G3927" s="15"/>
      <c r="H3927" s="15"/>
      <c r="I3927" s="15"/>
      <c r="J3927" s="15"/>
      <c r="K3927" s="15"/>
      <c r="L3927" s="15"/>
      <c r="M3927" s="16"/>
      <c r="N3927" s="16"/>
      <c r="O3927" s="15"/>
      <c r="P3927" s="15"/>
    </row>
    <row r="3928">
      <c r="A3928" s="15"/>
      <c r="B3928" s="22"/>
      <c r="C3928" s="22"/>
      <c r="D3928" s="22"/>
      <c r="E3928" s="15"/>
      <c r="F3928" s="15"/>
      <c r="G3928" s="15"/>
      <c r="H3928" s="15"/>
      <c r="I3928" s="15"/>
      <c r="J3928" s="15"/>
      <c r="K3928" s="15"/>
      <c r="L3928" s="15"/>
      <c r="M3928" s="16"/>
      <c r="N3928" s="16"/>
      <c r="O3928" s="15"/>
      <c r="P3928" s="15"/>
    </row>
    <row r="3929">
      <c r="A3929" s="15"/>
      <c r="B3929" s="22"/>
      <c r="C3929" s="22"/>
      <c r="D3929" s="22"/>
      <c r="E3929" s="15"/>
      <c r="F3929" s="15"/>
      <c r="G3929" s="15"/>
      <c r="H3929" s="15"/>
      <c r="I3929" s="15"/>
      <c r="J3929" s="15"/>
      <c r="K3929" s="15"/>
      <c r="L3929" s="15"/>
      <c r="M3929" s="16"/>
      <c r="N3929" s="16"/>
      <c r="O3929" s="15"/>
      <c r="P3929" s="15"/>
    </row>
    <row r="3930">
      <c r="A3930" s="15"/>
      <c r="B3930" s="22"/>
      <c r="C3930" s="22"/>
      <c r="D3930" s="22"/>
      <c r="E3930" s="15"/>
      <c r="F3930" s="15"/>
      <c r="G3930" s="15"/>
      <c r="H3930" s="15"/>
      <c r="I3930" s="15"/>
      <c r="J3930" s="15"/>
      <c r="K3930" s="15"/>
      <c r="L3930" s="15"/>
      <c r="M3930" s="16"/>
      <c r="N3930" s="16"/>
      <c r="O3930" s="15"/>
      <c r="P3930" s="15"/>
    </row>
    <row r="3931">
      <c r="A3931" s="15"/>
      <c r="B3931" s="22"/>
      <c r="C3931" s="22"/>
      <c r="D3931" s="22"/>
      <c r="E3931" s="15"/>
      <c r="F3931" s="15"/>
      <c r="G3931" s="15"/>
      <c r="H3931" s="15"/>
      <c r="I3931" s="15"/>
      <c r="J3931" s="15"/>
      <c r="K3931" s="15"/>
      <c r="L3931" s="15"/>
      <c r="M3931" s="16"/>
      <c r="N3931" s="16"/>
      <c r="O3931" s="15"/>
      <c r="P3931" s="15"/>
    </row>
    <row r="3932">
      <c r="A3932" s="15"/>
      <c r="B3932" s="22"/>
      <c r="C3932" s="22"/>
      <c r="D3932" s="22"/>
      <c r="E3932" s="15"/>
      <c r="F3932" s="15"/>
      <c r="G3932" s="15"/>
      <c r="H3932" s="15"/>
      <c r="I3932" s="15"/>
      <c r="J3932" s="15"/>
      <c r="K3932" s="15"/>
      <c r="L3932" s="15"/>
      <c r="M3932" s="16"/>
      <c r="N3932" s="16"/>
      <c r="O3932" s="15"/>
      <c r="P3932" s="15"/>
    </row>
    <row r="3933">
      <c r="A3933" s="15"/>
      <c r="B3933" s="22"/>
      <c r="C3933" s="22"/>
      <c r="D3933" s="22"/>
      <c r="E3933" s="15"/>
      <c r="F3933" s="15"/>
      <c r="G3933" s="15"/>
      <c r="H3933" s="15"/>
      <c r="I3933" s="15"/>
      <c r="J3933" s="15"/>
      <c r="K3933" s="15"/>
      <c r="L3933" s="15"/>
      <c r="M3933" s="16"/>
      <c r="N3933" s="16"/>
      <c r="O3933" s="15"/>
      <c r="P3933" s="15"/>
    </row>
    <row r="3934">
      <c r="A3934" s="15"/>
      <c r="B3934" s="22"/>
      <c r="C3934" s="22"/>
      <c r="D3934" s="22"/>
      <c r="E3934" s="15"/>
      <c r="F3934" s="15"/>
      <c r="G3934" s="15"/>
      <c r="H3934" s="15"/>
      <c r="I3934" s="15"/>
      <c r="J3934" s="15"/>
      <c r="K3934" s="15"/>
      <c r="L3934" s="15"/>
      <c r="M3934" s="16"/>
      <c r="N3934" s="16"/>
      <c r="O3934" s="15"/>
      <c r="P3934" s="15"/>
    </row>
    <row r="3935">
      <c r="A3935" s="15"/>
      <c r="B3935" s="22"/>
      <c r="C3935" s="22"/>
      <c r="D3935" s="22"/>
      <c r="E3935" s="15"/>
      <c r="F3935" s="15"/>
      <c r="G3935" s="15"/>
      <c r="H3935" s="15"/>
      <c r="I3935" s="15"/>
      <c r="J3935" s="15"/>
      <c r="K3935" s="15"/>
      <c r="L3935" s="15"/>
      <c r="M3935" s="16"/>
      <c r="N3935" s="16"/>
      <c r="O3935" s="15"/>
      <c r="P3935" s="15"/>
    </row>
    <row r="3936">
      <c r="A3936" s="15"/>
      <c r="B3936" s="22"/>
      <c r="C3936" s="22"/>
      <c r="D3936" s="22"/>
      <c r="E3936" s="15"/>
      <c r="F3936" s="15"/>
      <c r="G3936" s="15"/>
      <c r="H3936" s="15"/>
      <c r="I3936" s="15"/>
      <c r="J3936" s="15"/>
      <c r="K3936" s="15"/>
      <c r="L3936" s="15"/>
      <c r="M3936" s="16"/>
      <c r="N3936" s="16"/>
      <c r="O3936" s="15"/>
      <c r="P3936" s="15"/>
    </row>
    <row r="3937">
      <c r="A3937" s="15"/>
      <c r="B3937" s="22"/>
      <c r="C3937" s="22"/>
      <c r="D3937" s="22"/>
      <c r="E3937" s="15"/>
      <c r="F3937" s="15"/>
      <c r="G3937" s="15"/>
      <c r="H3937" s="15"/>
      <c r="I3937" s="15"/>
      <c r="J3937" s="15"/>
      <c r="K3937" s="15"/>
      <c r="L3937" s="15"/>
      <c r="M3937" s="16"/>
      <c r="N3937" s="16"/>
      <c r="O3937" s="15"/>
      <c r="P3937" s="15"/>
    </row>
    <row r="3938">
      <c r="A3938" s="15"/>
      <c r="B3938" s="22"/>
      <c r="C3938" s="22"/>
      <c r="D3938" s="22"/>
      <c r="E3938" s="15"/>
      <c r="F3938" s="15"/>
      <c r="G3938" s="15"/>
      <c r="H3938" s="15"/>
      <c r="I3938" s="15"/>
      <c r="J3938" s="15"/>
      <c r="K3938" s="15"/>
      <c r="L3938" s="15"/>
      <c r="M3938" s="16"/>
      <c r="N3938" s="16"/>
      <c r="O3938" s="15"/>
      <c r="P3938" s="15"/>
    </row>
    <row r="3939">
      <c r="A3939" s="15"/>
      <c r="B3939" s="22"/>
      <c r="C3939" s="22"/>
      <c r="D3939" s="22"/>
      <c r="E3939" s="15"/>
      <c r="F3939" s="15"/>
      <c r="G3939" s="15"/>
      <c r="H3939" s="15"/>
      <c r="I3939" s="15"/>
      <c r="J3939" s="15"/>
      <c r="K3939" s="15"/>
      <c r="L3939" s="15"/>
      <c r="M3939" s="16"/>
      <c r="N3939" s="16"/>
      <c r="O3939" s="15"/>
      <c r="P3939" s="15"/>
    </row>
    <row r="3940">
      <c r="A3940" s="15"/>
      <c r="B3940" s="22"/>
      <c r="C3940" s="22"/>
      <c r="D3940" s="22"/>
      <c r="E3940" s="15"/>
      <c r="F3940" s="15"/>
      <c r="G3940" s="15"/>
      <c r="H3940" s="15"/>
      <c r="I3940" s="15"/>
      <c r="J3940" s="15"/>
      <c r="K3940" s="15"/>
      <c r="L3940" s="15"/>
      <c r="M3940" s="16"/>
      <c r="N3940" s="16"/>
      <c r="O3940" s="15"/>
      <c r="P3940" s="15"/>
    </row>
    <row r="3941">
      <c r="A3941" s="15"/>
      <c r="B3941" s="22"/>
      <c r="C3941" s="22"/>
      <c r="D3941" s="22"/>
      <c r="E3941" s="15"/>
      <c r="F3941" s="15"/>
      <c r="G3941" s="15"/>
      <c r="H3941" s="15"/>
      <c r="I3941" s="15"/>
      <c r="J3941" s="15"/>
      <c r="K3941" s="15"/>
      <c r="L3941" s="15"/>
      <c r="M3941" s="16"/>
      <c r="N3941" s="16"/>
      <c r="O3941" s="15"/>
      <c r="P3941" s="15"/>
    </row>
    <row r="3942">
      <c r="A3942" s="15"/>
      <c r="B3942" s="22"/>
      <c r="C3942" s="22"/>
      <c r="D3942" s="22"/>
      <c r="E3942" s="15"/>
      <c r="F3942" s="15"/>
      <c r="G3942" s="15"/>
      <c r="H3942" s="15"/>
      <c r="I3942" s="15"/>
      <c r="J3942" s="15"/>
      <c r="K3942" s="15"/>
      <c r="L3942" s="15"/>
      <c r="M3942" s="16"/>
      <c r="N3942" s="16"/>
      <c r="O3942" s="15"/>
      <c r="P3942" s="15"/>
    </row>
    <row r="3943">
      <c r="A3943" s="15"/>
      <c r="B3943" s="22"/>
      <c r="C3943" s="22"/>
      <c r="D3943" s="22"/>
      <c r="E3943" s="15"/>
      <c r="F3943" s="15"/>
      <c r="G3943" s="15"/>
      <c r="H3943" s="15"/>
      <c r="I3943" s="15"/>
      <c r="J3943" s="15"/>
      <c r="K3943" s="15"/>
      <c r="L3943" s="15"/>
      <c r="M3943" s="16"/>
      <c r="N3943" s="16"/>
      <c r="O3943" s="15"/>
      <c r="P3943" s="15"/>
    </row>
    <row r="3944">
      <c r="A3944" s="15"/>
      <c r="B3944" s="22"/>
      <c r="C3944" s="22"/>
      <c r="D3944" s="22"/>
      <c r="E3944" s="15"/>
      <c r="F3944" s="15"/>
      <c r="G3944" s="15"/>
      <c r="H3944" s="15"/>
      <c r="I3944" s="15"/>
      <c r="J3944" s="15"/>
      <c r="K3944" s="15"/>
      <c r="L3944" s="15"/>
      <c r="M3944" s="16"/>
      <c r="N3944" s="16"/>
      <c r="O3944" s="15"/>
      <c r="P3944" s="15"/>
    </row>
    <row r="3945">
      <c r="A3945" s="15"/>
      <c r="B3945" s="22"/>
      <c r="C3945" s="22"/>
      <c r="D3945" s="22"/>
      <c r="E3945" s="15"/>
      <c r="F3945" s="15"/>
      <c r="G3945" s="15"/>
      <c r="H3945" s="15"/>
      <c r="I3945" s="15"/>
      <c r="J3945" s="15"/>
      <c r="K3945" s="15"/>
      <c r="L3945" s="15"/>
      <c r="M3945" s="16"/>
      <c r="N3945" s="16"/>
      <c r="O3945" s="15"/>
      <c r="P3945" s="15"/>
    </row>
    <row r="3946">
      <c r="A3946" s="15"/>
      <c r="B3946" s="22"/>
      <c r="C3946" s="22"/>
      <c r="D3946" s="22"/>
      <c r="E3946" s="15"/>
      <c r="F3946" s="15"/>
      <c r="G3946" s="15"/>
      <c r="H3946" s="15"/>
      <c r="I3946" s="15"/>
      <c r="J3946" s="15"/>
      <c r="K3946" s="15"/>
      <c r="L3946" s="15"/>
      <c r="M3946" s="16"/>
      <c r="N3946" s="16"/>
      <c r="O3946" s="15"/>
      <c r="P3946" s="15"/>
    </row>
    <row r="3947">
      <c r="A3947" s="15"/>
      <c r="B3947" s="22"/>
      <c r="C3947" s="22"/>
      <c r="D3947" s="22"/>
      <c r="E3947" s="15"/>
      <c r="F3947" s="15"/>
      <c r="G3947" s="15"/>
      <c r="H3947" s="15"/>
      <c r="I3947" s="15"/>
      <c r="J3947" s="15"/>
      <c r="K3947" s="15"/>
      <c r="L3947" s="15"/>
      <c r="M3947" s="16"/>
      <c r="N3947" s="16"/>
      <c r="O3947" s="15"/>
      <c r="P3947" s="15"/>
    </row>
    <row r="3948">
      <c r="A3948" s="15"/>
      <c r="B3948" s="22"/>
      <c r="C3948" s="22"/>
      <c r="D3948" s="22"/>
      <c r="E3948" s="15"/>
      <c r="F3948" s="15"/>
      <c r="G3948" s="15"/>
      <c r="H3948" s="15"/>
      <c r="I3948" s="15"/>
      <c r="J3948" s="15"/>
      <c r="K3948" s="15"/>
      <c r="L3948" s="15"/>
      <c r="M3948" s="16"/>
      <c r="N3948" s="16"/>
      <c r="O3948" s="15"/>
      <c r="P3948" s="15"/>
    </row>
    <row r="3949">
      <c r="A3949" s="15"/>
      <c r="B3949" s="22"/>
      <c r="C3949" s="22"/>
      <c r="D3949" s="22"/>
      <c r="E3949" s="15"/>
      <c r="F3949" s="15"/>
      <c r="G3949" s="15"/>
      <c r="H3949" s="15"/>
      <c r="I3949" s="15"/>
      <c r="J3949" s="15"/>
      <c r="K3949" s="15"/>
      <c r="L3949" s="15"/>
      <c r="M3949" s="16"/>
      <c r="N3949" s="16"/>
      <c r="O3949" s="15"/>
      <c r="P3949" s="15"/>
    </row>
    <row r="3950">
      <c r="A3950" s="15"/>
      <c r="B3950" s="22"/>
      <c r="C3950" s="22"/>
      <c r="D3950" s="22"/>
      <c r="E3950" s="15"/>
      <c r="F3950" s="15"/>
      <c r="G3950" s="15"/>
      <c r="H3950" s="15"/>
      <c r="I3950" s="15"/>
      <c r="J3950" s="15"/>
      <c r="K3950" s="15"/>
      <c r="L3950" s="15"/>
      <c r="M3950" s="16"/>
      <c r="N3950" s="16"/>
      <c r="O3950" s="15"/>
      <c r="P3950" s="15"/>
    </row>
    <row r="3951">
      <c r="A3951" s="15"/>
      <c r="B3951" s="22"/>
      <c r="C3951" s="22"/>
      <c r="D3951" s="22"/>
      <c r="E3951" s="15"/>
      <c r="F3951" s="15"/>
      <c r="G3951" s="15"/>
      <c r="H3951" s="15"/>
      <c r="I3951" s="15"/>
      <c r="J3951" s="15"/>
      <c r="K3951" s="15"/>
      <c r="L3951" s="15"/>
      <c r="M3951" s="16"/>
      <c r="N3951" s="16"/>
      <c r="O3951" s="15"/>
      <c r="P3951" s="15"/>
    </row>
    <row r="3952">
      <c r="A3952" s="15"/>
      <c r="B3952" s="22"/>
      <c r="C3952" s="22"/>
      <c r="D3952" s="22"/>
      <c r="E3952" s="15"/>
      <c r="F3952" s="15"/>
      <c r="G3952" s="15"/>
      <c r="H3952" s="15"/>
      <c r="I3952" s="15"/>
      <c r="J3952" s="15"/>
      <c r="K3952" s="15"/>
      <c r="L3952" s="15"/>
      <c r="M3952" s="16"/>
      <c r="N3952" s="16"/>
      <c r="O3952" s="15"/>
      <c r="P3952" s="15"/>
    </row>
    <row r="3953">
      <c r="A3953" s="15"/>
      <c r="B3953" s="22"/>
      <c r="C3953" s="22"/>
      <c r="D3953" s="22"/>
      <c r="E3953" s="15"/>
      <c r="F3953" s="15"/>
      <c r="G3953" s="15"/>
      <c r="H3953" s="15"/>
      <c r="I3953" s="15"/>
      <c r="J3953" s="15"/>
      <c r="K3953" s="15"/>
      <c r="L3953" s="15"/>
      <c r="M3953" s="16"/>
      <c r="N3953" s="16"/>
      <c r="O3953" s="15"/>
      <c r="P3953" s="15"/>
    </row>
    <row r="3954">
      <c r="A3954" s="15"/>
      <c r="B3954" s="22"/>
      <c r="C3954" s="22"/>
      <c r="D3954" s="22"/>
      <c r="E3954" s="15"/>
      <c r="F3954" s="15"/>
      <c r="G3954" s="15"/>
      <c r="H3954" s="15"/>
      <c r="I3954" s="15"/>
      <c r="J3954" s="15"/>
      <c r="K3954" s="15"/>
      <c r="L3954" s="15"/>
      <c r="M3954" s="16"/>
      <c r="N3954" s="16"/>
      <c r="O3954" s="15"/>
      <c r="P3954" s="15"/>
    </row>
    <row r="3955">
      <c r="A3955" s="15"/>
      <c r="B3955" s="22"/>
      <c r="C3955" s="22"/>
      <c r="D3955" s="22"/>
      <c r="E3955" s="15"/>
      <c r="F3955" s="15"/>
      <c r="G3955" s="15"/>
      <c r="H3955" s="15"/>
      <c r="I3955" s="15"/>
      <c r="J3955" s="15"/>
      <c r="K3955" s="15"/>
      <c r="L3955" s="15"/>
      <c r="M3955" s="16"/>
      <c r="N3955" s="16"/>
      <c r="O3955" s="15"/>
      <c r="P3955" s="15"/>
    </row>
    <row r="3956">
      <c r="A3956" s="15"/>
      <c r="B3956" s="22"/>
      <c r="C3956" s="22"/>
      <c r="D3956" s="22"/>
      <c r="E3956" s="15"/>
      <c r="F3956" s="15"/>
      <c r="G3956" s="15"/>
      <c r="H3956" s="15"/>
      <c r="I3956" s="15"/>
      <c r="J3956" s="15"/>
      <c r="K3956" s="15"/>
      <c r="L3956" s="15"/>
      <c r="M3956" s="16"/>
      <c r="N3956" s="16"/>
      <c r="O3956" s="15"/>
      <c r="P3956" s="15"/>
    </row>
    <row r="3957">
      <c r="A3957" s="15"/>
      <c r="B3957" s="22"/>
      <c r="C3957" s="22"/>
      <c r="D3957" s="22"/>
      <c r="E3957" s="15"/>
      <c r="F3957" s="15"/>
      <c r="G3957" s="15"/>
      <c r="H3957" s="15"/>
      <c r="I3957" s="15"/>
      <c r="J3957" s="15"/>
      <c r="K3957" s="15"/>
      <c r="L3957" s="15"/>
      <c r="M3957" s="16"/>
      <c r="N3957" s="16"/>
      <c r="O3957" s="15"/>
      <c r="P3957" s="15"/>
    </row>
    <row r="3958">
      <c r="A3958" s="15"/>
      <c r="B3958" s="22"/>
      <c r="C3958" s="22"/>
      <c r="D3958" s="22"/>
      <c r="E3958" s="15"/>
      <c r="F3958" s="15"/>
      <c r="G3958" s="15"/>
      <c r="H3958" s="15"/>
      <c r="I3958" s="15"/>
      <c r="J3958" s="15"/>
      <c r="K3958" s="15"/>
      <c r="L3958" s="15"/>
      <c r="M3958" s="16"/>
      <c r="N3958" s="16"/>
      <c r="O3958" s="15"/>
      <c r="P3958" s="15"/>
    </row>
    <row r="3959">
      <c r="A3959" s="15"/>
      <c r="B3959" s="22"/>
      <c r="C3959" s="22"/>
      <c r="D3959" s="22"/>
      <c r="E3959" s="15"/>
      <c r="F3959" s="15"/>
      <c r="G3959" s="15"/>
      <c r="H3959" s="15"/>
      <c r="I3959" s="15"/>
      <c r="J3959" s="15"/>
      <c r="K3959" s="15"/>
      <c r="L3959" s="15"/>
      <c r="M3959" s="16"/>
      <c r="N3959" s="16"/>
      <c r="O3959" s="15"/>
      <c r="P3959" s="15"/>
    </row>
    <row r="3960">
      <c r="A3960" s="15"/>
      <c r="B3960" s="22"/>
      <c r="C3960" s="22"/>
      <c r="D3960" s="22"/>
      <c r="E3960" s="15"/>
      <c r="F3960" s="15"/>
      <c r="G3960" s="15"/>
      <c r="H3960" s="15"/>
      <c r="I3960" s="15"/>
      <c r="J3960" s="15"/>
      <c r="K3960" s="15"/>
      <c r="L3960" s="15"/>
      <c r="M3960" s="16"/>
      <c r="N3960" s="16"/>
      <c r="O3960" s="15"/>
      <c r="P3960" s="15"/>
    </row>
    <row r="3961">
      <c r="A3961" s="15"/>
      <c r="B3961" s="22"/>
      <c r="C3961" s="22"/>
      <c r="D3961" s="22"/>
      <c r="E3961" s="15"/>
      <c r="F3961" s="15"/>
      <c r="G3961" s="15"/>
      <c r="H3961" s="15"/>
      <c r="I3961" s="15"/>
      <c r="J3961" s="15"/>
      <c r="K3961" s="15"/>
      <c r="L3961" s="15"/>
      <c r="M3961" s="16"/>
      <c r="N3961" s="16"/>
      <c r="O3961" s="15"/>
      <c r="P3961" s="15"/>
    </row>
    <row r="3962">
      <c r="A3962" s="15"/>
      <c r="B3962" s="22"/>
      <c r="C3962" s="22"/>
      <c r="D3962" s="22"/>
      <c r="E3962" s="15"/>
      <c r="F3962" s="15"/>
      <c r="G3962" s="15"/>
      <c r="H3962" s="15"/>
      <c r="I3962" s="15"/>
      <c r="J3962" s="15"/>
      <c r="K3962" s="15"/>
      <c r="L3962" s="15"/>
      <c r="M3962" s="16"/>
      <c r="N3962" s="16"/>
      <c r="O3962" s="15"/>
      <c r="P3962" s="15"/>
    </row>
    <row r="3963">
      <c r="A3963" s="15"/>
      <c r="B3963" s="22"/>
      <c r="C3963" s="22"/>
      <c r="D3963" s="22"/>
      <c r="E3963" s="15"/>
      <c r="F3963" s="15"/>
      <c r="G3963" s="15"/>
      <c r="H3963" s="15"/>
      <c r="I3963" s="15"/>
      <c r="J3963" s="15"/>
      <c r="K3963" s="15"/>
      <c r="L3963" s="15"/>
      <c r="M3963" s="16"/>
      <c r="N3963" s="16"/>
      <c r="O3963" s="15"/>
      <c r="P3963" s="15"/>
    </row>
    <row r="3964">
      <c r="A3964" s="15"/>
      <c r="B3964" s="22"/>
      <c r="C3964" s="22"/>
      <c r="D3964" s="22"/>
      <c r="E3964" s="15"/>
      <c r="F3964" s="15"/>
      <c r="G3964" s="15"/>
      <c r="H3964" s="15"/>
      <c r="I3964" s="15"/>
      <c r="J3964" s="15"/>
      <c r="K3964" s="15"/>
      <c r="L3964" s="15"/>
      <c r="M3964" s="16"/>
      <c r="N3964" s="16"/>
      <c r="O3964" s="15"/>
      <c r="P3964" s="15"/>
    </row>
    <row r="3965">
      <c r="A3965" s="15"/>
      <c r="B3965" s="22"/>
      <c r="C3965" s="22"/>
      <c r="D3965" s="22"/>
      <c r="E3965" s="15"/>
      <c r="F3965" s="15"/>
      <c r="G3965" s="15"/>
      <c r="H3965" s="15"/>
      <c r="I3965" s="15"/>
      <c r="J3965" s="15"/>
      <c r="K3965" s="15"/>
      <c r="L3965" s="15"/>
      <c r="M3965" s="16"/>
      <c r="N3965" s="16"/>
      <c r="O3965" s="15"/>
      <c r="P3965" s="15"/>
    </row>
    <row r="3966">
      <c r="A3966" s="15"/>
      <c r="B3966" s="22"/>
      <c r="C3966" s="22"/>
      <c r="D3966" s="22"/>
      <c r="E3966" s="15"/>
      <c r="F3966" s="15"/>
      <c r="G3966" s="15"/>
      <c r="H3966" s="15"/>
      <c r="I3966" s="15"/>
      <c r="J3966" s="15"/>
      <c r="K3966" s="15"/>
      <c r="L3966" s="15"/>
      <c r="M3966" s="16"/>
      <c r="N3966" s="16"/>
      <c r="O3966" s="15"/>
      <c r="P3966" s="15"/>
    </row>
    <row r="3967">
      <c r="A3967" s="15"/>
      <c r="B3967" s="22"/>
      <c r="C3967" s="22"/>
      <c r="D3967" s="22"/>
      <c r="E3967" s="15"/>
      <c r="F3967" s="15"/>
      <c r="G3967" s="15"/>
      <c r="H3967" s="15"/>
      <c r="I3967" s="15"/>
      <c r="J3967" s="15"/>
      <c r="K3967" s="15"/>
      <c r="L3967" s="15"/>
      <c r="M3967" s="16"/>
      <c r="N3967" s="16"/>
      <c r="O3967" s="15"/>
      <c r="P3967" s="15"/>
    </row>
    <row r="3968">
      <c r="A3968" s="15"/>
      <c r="B3968" s="22"/>
      <c r="C3968" s="22"/>
      <c r="D3968" s="22"/>
      <c r="E3968" s="15"/>
      <c r="F3968" s="15"/>
      <c r="G3968" s="15"/>
      <c r="H3968" s="15"/>
      <c r="I3968" s="15"/>
      <c r="J3968" s="15"/>
      <c r="K3968" s="15"/>
      <c r="L3968" s="15"/>
      <c r="M3968" s="16"/>
      <c r="N3968" s="16"/>
      <c r="O3968" s="15"/>
      <c r="P3968" s="15"/>
    </row>
    <row r="3969">
      <c r="A3969" s="15"/>
      <c r="B3969" s="22"/>
      <c r="C3969" s="22"/>
      <c r="D3969" s="22"/>
      <c r="E3969" s="15"/>
      <c r="F3969" s="15"/>
      <c r="G3969" s="15"/>
      <c r="H3969" s="15"/>
      <c r="I3969" s="15"/>
      <c r="J3969" s="15"/>
      <c r="K3969" s="15"/>
      <c r="L3969" s="15"/>
      <c r="M3969" s="16"/>
      <c r="N3969" s="16"/>
      <c r="O3969" s="15"/>
      <c r="P3969" s="15"/>
    </row>
    <row r="3970">
      <c r="A3970" s="15"/>
      <c r="B3970" s="22"/>
      <c r="C3970" s="22"/>
      <c r="D3970" s="22"/>
      <c r="E3970" s="15"/>
      <c r="F3970" s="15"/>
      <c r="G3970" s="15"/>
      <c r="H3970" s="15"/>
      <c r="I3970" s="15"/>
      <c r="J3970" s="15"/>
      <c r="K3970" s="15"/>
      <c r="L3970" s="15"/>
      <c r="M3970" s="16"/>
      <c r="N3970" s="16"/>
      <c r="O3970" s="15"/>
      <c r="P3970" s="15"/>
    </row>
    <row r="3971">
      <c r="A3971" s="15"/>
      <c r="B3971" s="22"/>
      <c r="C3971" s="22"/>
      <c r="D3971" s="22"/>
      <c r="E3971" s="15"/>
      <c r="F3971" s="15"/>
      <c r="G3971" s="15"/>
      <c r="H3971" s="15"/>
      <c r="I3971" s="15"/>
      <c r="J3971" s="15"/>
      <c r="K3971" s="15"/>
      <c r="L3971" s="15"/>
      <c r="M3971" s="16"/>
      <c r="N3971" s="16"/>
      <c r="O3971" s="15"/>
      <c r="P3971" s="15"/>
    </row>
    <row r="3972">
      <c r="A3972" s="15"/>
      <c r="B3972" s="22"/>
      <c r="C3972" s="22"/>
      <c r="D3972" s="22"/>
      <c r="E3972" s="15"/>
      <c r="F3972" s="15"/>
      <c r="G3972" s="15"/>
      <c r="H3972" s="15"/>
      <c r="I3972" s="15"/>
      <c r="J3972" s="15"/>
      <c r="K3972" s="15"/>
      <c r="L3972" s="15"/>
      <c r="M3972" s="16"/>
      <c r="N3972" s="16"/>
      <c r="O3972" s="15"/>
      <c r="P3972" s="15"/>
    </row>
    <row r="3973">
      <c r="A3973" s="15"/>
      <c r="B3973" s="22"/>
      <c r="C3973" s="22"/>
      <c r="D3973" s="22"/>
      <c r="E3973" s="15"/>
      <c r="F3973" s="15"/>
      <c r="G3973" s="15"/>
      <c r="H3973" s="15"/>
      <c r="I3973" s="15"/>
      <c r="J3973" s="15"/>
      <c r="K3973" s="15"/>
      <c r="L3973" s="15"/>
      <c r="M3973" s="16"/>
      <c r="N3973" s="16"/>
      <c r="O3973" s="15"/>
      <c r="P3973" s="15"/>
    </row>
    <row r="3974">
      <c r="A3974" s="15"/>
      <c r="B3974" s="22"/>
      <c r="C3974" s="22"/>
      <c r="D3974" s="22"/>
      <c r="E3974" s="15"/>
      <c r="F3974" s="15"/>
      <c r="G3974" s="15"/>
      <c r="H3974" s="15"/>
      <c r="I3974" s="15"/>
      <c r="J3974" s="15"/>
      <c r="K3974" s="15"/>
      <c r="L3974" s="15"/>
      <c r="M3974" s="16"/>
      <c r="N3974" s="16"/>
      <c r="O3974" s="15"/>
      <c r="P3974" s="15"/>
    </row>
    <row r="3975">
      <c r="A3975" s="15"/>
      <c r="B3975" s="22"/>
      <c r="C3975" s="22"/>
      <c r="D3975" s="22"/>
      <c r="E3975" s="15"/>
      <c r="F3975" s="15"/>
      <c r="G3975" s="15"/>
      <c r="H3975" s="15"/>
      <c r="I3975" s="15"/>
      <c r="J3975" s="15"/>
      <c r="K3975" s="15"/>
      <c r="L3975" s="15"/>
      <c r="M3975" s="16"/>
      <c r="N3975" s="16"/>
      <c r="O3975" s="15"/>
      <c r="P3975" s="15"/>
    </row>
    <row r="3976">
      <c r="A3976" s="15"/>
      <c r="B3976" s="22"/>
      <c r="C3976" s="22"/>
      <c r="D3976" s="22"/>
      <c r="E3976" s="15"/>
      <c r="F3976" s="15"/>
      <c r="G3976" s="15"/>
      <c r="H3976" s="15"/>
      <c r="I3976" s="15"/>
      <c r="J3976" s="15"/>
      <c r="K3976" s="15"/>
      <c r="L3976" s="15"/>
      <c r="M3976" s="16"/>
      <c r="N3976" s="16"/>
      <c r="O3976" s="15"/>
      <c r="P3976" s="15"/>
    </row>
    <row r="3977">
      <c r="A3977" s="15"/>
      <c r="B3977" s="22"/>
      <c r="C3977" s="22"/>
      <c r="D3977" s="22"/>
      <c r="E3977" s="15"/>
      <c r="F3977" s="15"/>
      <c r="G3977" s="15"/>
      <c r="H3977" s="15"/>
      <c r="I3977" s="15"/>
      <c r="J3977" s="15"/>
      <c r="K3977" s="15"/>
      <c r="L3977" s="15"/>
      <c r="M3977" s="16"/>
      <c r="N3977" s="16"/>
      <c r="O3977" s="15"/>
      <c r="P3977" s="15"/>
    </row>
    <row r="3978">
      <c r="A3978" s="15"/>
      <c r="B3978" s="22"/>
      <c r="C3978" s="22"/>
      <c r="D3978" s="22"/>
      <c r="E3978" s="15"/>
      <c r="F3978" s="15"/>
      <c r="G3978" s="15"/>
      <c r="H3978" s="15"/>
      <c r="I3978" s="15"/>
      <c r="J3978" s="15"/>
      <c r="K3978" s="15"/>
      <c r="L3978" s="15"/>
      <c r="M3978" s="16"/>
      <c r="N3978" s="16"/>
      <c r="O3978" s="15"/>
      <c r="P3978" s="15"/>
    </row>
    <row r="3979">
      <c r="A3979" s="15"/>
      <c r="B3979" s="22"/>
      <c r="C3979" s="22"/>
      <c r="D3979" s="22"/>
      <c r="E3979" s="15"/>
      <c r="F3979" s="15"/>
      <c r="G3979" s="15"/>
      <c r="H3979" s="15"/>
      <c r="I3979" s="15"/>
      <c r="J3979" s="15"/>
      <c r="K3979" s="15"/>
      <c r="L3979" s="15"/>
      <c r="M3979" s="16"/>
      <c r="N3979" s="16"/>
      <c r="O3979" s="15"/>
      <c r="P3979" s="15"/>
    </row>
    <row r="3980">
      <c r="A3980" s="15"/>
      <c r="B3980" s="22"/>
      <c r="C3980" s="22"/>
      <c r="D3980" s="22"/>
      <c r="E3980" s="15"/>
      <c r="F3980" s="15"/>
      <c r="G3980" s="15"/>
      <c r="H3980" s="15"/>
      <c r="I3980" s="15"/>
      <c r="J3980" s="15"/>
      <c r="K3980" s="15"/>
      <c r="L3980" s="15"/>
      <c r="M3980" s="16"/>
      <c r="N3980" s="16"/>
      <c r="O3980" s="15"/>
      <c r="P3980" s="15"/>
    </row>
    <row r="3981">
      <c r="A3981" s="15"/>
      <c r="B3981" s="22"/>
      <c r="C3981" s="22"/>
      <c r="D3981" s="22"/>
      <c r="E3981" s="15"/>
      <c r="F3981" s="15"/>
      <c r="G3981" s="15"/>
      <c r="H3981" s="15"/>
      <c r="I3981" s="15"/>
      <c r="J3981" s="15"/>
      <c r="K3981" s="15"/>
      <c r="L3981" s="15"/>
      <c r="M3981" s="16"/>
      <c r="N3981" s="16"/>
      <c r="O3981" s="15"/>
      <c r="P3981" s="15"/>
    </row>
    <row r="3982">
      <c r="A3982" s="15"/>
      <c r="B3982" s="22"/>
      <c r="C3982" s="22"/>
      <c r="D3982" s="22"/>
      <c r="E3982" s="15"/>
      <c r="F3982" s="15"/>
      <c r="G3982" s="15"/>
      <c r="H3982" s="15"/>
      <c r="I3982" s="15"/>
      <c r="J3982" s="15"/>
      <c r="K3982" s="15"/>
      <c r="L3982" s="15"/>
      <c r="M3982" s="16"/>
      <c r="N3982" s="16"/>
      <c r="O3982" s="15"/>
      <c r="P3982" s="15"/>
    </row>
    <row r="3983">
      <c r="A3983" s="15"/>
      <c r="B3983" s="22"/>
      <c r="C3983" s="22"/>
      <c r="D3983" s="22"/>
      <c r="E3983" s="15"/>
      <c r="F3983" s="15"/>
      <c r="G3983" s="15"/>
      <c r="H3983" s="15"/>
      <c r="I3983" s="15"/>
      <c r="J3983" s="15"/>
      <c r="K3983" s="15"/>
      <c r="L3983" s="15"/>
      <c r="M3983" s="16"/>
      <c r="N3983" s="16"/>
      <c r="O3983" s="15"/>
      <c r="P3983" s="15"/>
    </row>
    <row r="3984">
      <c r="A3984" s="15"/>
      <c r="B3984" s="22"/>
      <c r="C3984" s="22"/>
      <c r="D3984" s="22"/>
      <c r="E3984" s="15"/>
      <c r="F3984" s="15"/>
      <c r="G3984" s="15"/>
      <c r="H3984" s="15"/>
      <c r="I3984" s="15"/>
      <c r="J3984" s="15"/>
      <c r="K3984" s="15"/>
      <c r="L3984" s="15"/>
      <c r="M3984" s="16"/>
      <c r="N3984" s="16"/>
      <c r="O3984" s="15"/>
      <c r="P3984" s="15"/>
    </row>
    <row r="3985">
      <c r="A3985" s="15"/>
      <c r="B3985" s="22"/>
      <c r="C3985" s="22"/>
      <c r="D3985" s="22"/>
      <c r="E3985" s="15"/>
      <c r="F3985" s="15"/>
      <c r="G3985" s="15"/>
      <c r="H3985" s="15"/>
      <c r="I3985" s="15"/>
      <c r="J3985" s="15"/>
      <c r="K3985" s="15"/>
      <c r="L3985" s="15"/>
      <c r="M3985" s="16"/>
      <c r="N3985" s="16"/>
      <c r="O3985" s="15"/>
      <c r="P3985" s="15"/>
    </row>
    <row r="3986">
      <c r="A3986" s="15"/>
      <c r="B3986" s="22"/>
      <c r="C3986" s="22"/>
      <c r="D3986" s="22"/>
      <c r="E3986" s="15"/>
      <c r="F3986" s="15"/>
      <c r="G3986" s="15"/>
      <c r="H3986" s="15"/>
      <c r="I3986" s="15"/>
      <c r="J3986" s="15"/>
      <c r="K3986" s="15"/>
      <c r="L3986" s="15"/>
      <c r="M3986" s="16"/>
      <c r="N3986" s="16"/>
      <c r="O3986" s="15"/>
      <c r="P3986" s="15"/>
    </row>
    <row r="3987">
      <c r="A3987" s="15"/>
      <c r="B3987" s="22"/>
      <c r="C3987" s="22"/>
      <c r="D3987" s="22"/>
      <c r="E3987" s="15"/>
      <c r="F3987" s="15"/>
      <c r="G3987" s="15"/>
      <c r="H3987" s="15"/>
      <c r="I3987" s="15"/>
      <c r="J3987" s="15"/>
      <c r="K3987" s="15"/>
      <c r="L3987" s="15"/>
      <c r="M3987" s="16"/>
      <c r="N3987" s="16"/>
      <c r="O3987" s="15"/>
      <c r="P3987" s="15"/>
    </row>
    <row r="3988">
      <c r="A3988" s="15"/>
      <c r="B3988" s="22"/>
      <c r="C3988" s="22"/>
      <c r="D3988" s="22"/>
      <c r="E3988" s="15"/>
      <c r="F3988" s="15"/>
      <c r="G3988" s="15"/>
      <c r="H3988" s="15"/>
      <c r="I3988" s="15"/>
      <c r="J3988" s="15"/>
      <c r="K3988" s="15"/>
      <c r="L3988" s="15"/>
      <c r="M3988" s="16"/>
      <c r="N3988" s="16"/>
      <c r="O3988" s="15"/>
      <c r="P3988" s="15"/>
    </row>
    <row r="3989">
      <c r="A3989" s="15"/>
      <c r="B3989" s="22"/>
      <c r="C3989" s="22"/>
      <c r="D3989" s="22"/>
      <c r="E3989" s="15"/>
      <c r="F3989" s="15"/>
      <c r="G3989" s="15"/>
      <c r="H3989" s="15"/>
      <c r="I3989" s="15"/>
      <c r="J3989" s="15"/>
      <c r="K3989" s="15"/>
      <c r="L3989" s="15"/>
      <c r="M3989" s="16"/>
      <c r="N3989" s="16"/>
      <c r="O3989" s="15"/>
      <c r="P3989" s="15"/>
    </row>
    <row r="3990">
      <c r="A3990" s="15"/>
      <c r="B3990" s="22"/>
      <c r="C3990" s="22"/>
      <c r="D3990" s="22"/>
      <c r="E3990" s="15"/>
      <c r="F3990" s="15"/>
      <c r="G3990" s="15"/>
      <c r="H3990" s="15"/>
      <c r="I3990" s="15"/>
      <c r="J3990" s="15"/>
      <c r="K3990" s="15"/>
      <c r="L3990" s="15"/>
      <c r="M3990" s="16"/>
      <c r="N3990" s="16"/>
      <c r="O3990" s="15"/>
      <c r="P3990" s="15"/>
    </row>
    <row r="3991">
      <c r="A3991" s="15"/>
      <c r="B3991" s="22"/>
      <c r="C3991" s="22"/>
      <c r="D3991" s="22"/>
      <c r="E3991" s="15"/>
      <c r="F3991" s="15"/>
      <c r="G3991" s="15"/>
      <c r="H3991" s="15"/>
      <c r="I3991" s="15"/>
      <c r="J3991" s="15"/>
      <c r="K3991" s="15"/>
      <c r="L3991" s="15"/>
      <c r="M3991" s="16"/>
      <c r="N3991" s="16"/>
      <c r="O3991" s="15"/>
      <c r="P3991" s="15"/>
    </row>
    <row r="3992">
      <c r="A3992" s="15"/>
      <c r="B3992" s="22"/>
      <c r="C3992" s="22"/>
      <c r="D3992" s="22"/>
      <c r="E3992" s="15"/>
      <c r="F3992" s="15"/>
      <c r="G3992" s="15"/>
      <c r="H3992" s="15"/>
      <c r="I3992" s="15"/>
      <c r="J3992" s="15"/>
      <c r="K3992" s="15"/>
      <c r="L3992" s="15"/>
      <c r="M3992" s="16"/>
      <c r="N3992" s="16"/>
      <c r="O3992" s="15"/>
      <c r="P3992" s="15"/>
    </row>
    <row r="3993">
      <c r="A3993" s="15"/>
      <c r="B3993" s="22"/>
      <c r="C3993" s="22"/>
      <c r="D3993" s="22"/>
      <c r="E3993" s="15"/>
      <c r="F3993" s="15"/>
      <c r="G3993" s="15"/>
      <c r="H3993" s="15"/>
      <c r="I3993" s="15"/>
      <c r="J3993" s="15"/>
      <c r="K3993" s="15"/>
      <c r="L3993" s="15"/>
      <c r="M3993" s="16"/>
      <c r="N3993" s="16"/>
      <c r="O3993" s="15"/>
      <c r="P3993" s="15"/>
    </row>
    <row r="3994">
      <c r="A3994" s="15"/>
      <c r="B3994" s="22"/>
      <c r="C3994" s="22"/>
      <c r="D3994" s="22"/>
      <c r="E3994" s="15"/>
      <c r="F3994" s="15"/>
      <c r="G3994" s="15"/>
      <c r="H3994" s="15"/>
      <c r="I3994" s="15"/>
      <c r="J3994" s="15"/>
      <c r="K3994" s="15"/>
      <c r="L3994" s="15"/>
      <c r="M3994" s="16"/>
      <c r="N3994" s="16"/>
      <c r="O3994" s="15"/>
      <c r="P3994" s="15"/>
    </row>
    <row r="3995">
      <c r="A3995" s="15"/>
      <c r="B3995" s="22"/>
      <c r="C3995" s="22"/>
      <c r="D3995" s="22"/>
      <c r="E3995" s="15"/>
      <c r="F3995" s="15"/>
      <c r="G3995" s="15"/>
      <c r="H3995" s="15"/>
      <c r="I3995" s="15"/>
      <c r="J3995" s="15"/>
      <c r="K3995" s="15"/>
      <c r="L3995" s="15"/>
      <c r="M3995" s="16"/>
      <c r="N3995" s="16"/>
      <c r="O3995" s="15"/>
      <c r="P3995" s="15"/>
    </row>
    <row r="3996">
      <c r="A3996" s="15"/>
      <c r="B3996" s="22"/>
      <c r="C3996" s="22"/>
      <c r="D3996" s="22"/>
      <c r="E3996" s="15"/>
      <c r="F3996" s="15"/>
      <c r="G3996" s="15"/>
      <c r="H3996" s="15"/>
      <c r="I3996" s="15"/>
      <c r="J3996" s="15"/>
      <c r="K3996" s="15"/>
      <c r="L3996" s="15"/>
      <c r="M3996" s="16"/>
      <c r="N3996" s="16"/>
      <c r="O3996" s="15"/>
      <c r="P3996" s="15"/>
    </row>
    <row r="3997">
      <c r="A3997" s="15"/>
      <c r="B3997" s="22"/>
      <c r="C3997" s="22"/>
      <c r="D3997" s="22"/>
      <c r="E3997" s="15"/>
      <c r="F3997" s="15"/>
      <c r="G3997" s="15"/>
      <c r="H3997" s="15"/>
      <c r="I3997" s="15"/>
      <c r="J3997" s="15"/>
      <c r="K3997" s="15"/>
      <c r="L3997" s="15"/>
      <c r="M3997" s="16"/>
      <c r="N3997" s="16"/>
      <c r="O3997" s="15"/>
      <c r="P3997" s="15"/>
    </row>
    <row r="3998">
      <c r="A3998" s="15"/>
      <c r="B3998" s="22"/>
      <c r="C3998" s="22"/>
      <c r="D3998" s="22"/>
      <c r="E3998" s="15"/>
      <c r="F3998" s="15"/>
      <c r="G3998" s="15"/>
      <c r="H3998" s="15"/>
      <c r="I3998" s="15"/>
      <c r="J3998" s="15"/>
      <c r="K3998" s="15"/>
      <c r="L3998" s="15"/>
      <c r="M3998" s="16"/>
      <c r="N3998" s="16"/>
      <c r="O3998" s="15"/>
      <c r="P3998" s="15"/>
    </row>
    <row r="3999">
      <c r="A3999" s="15"/>
      <c r="B3999" s="22"/>
      <c r="C3999" s="22"/>
      <c r="D3999" s="22"/>
      <c r="E3999" s="15"/>
      <c r="F3999" s="15"/>
      <c r="G3999" s="15"/>
      <c r="H3999" s="15"/>
      <c r="I3999" s="15"/>
      <c r="J3999" s="15"/>
      <c r="K3999" s="15"/>
      <c r="L3999" s="15"/>
      <c r="M3999" s="16"/>
      <c r="N3999" s="16"/>
      <c r="O3999" s="15"/>
      <c r="P3999" s="15"/>
    </row>
    <row r="4000">
      <c r="A4000" s="15"/>
      <c r="B4000" s="22"/>
      <c r="C4000" s="22"/>
      <c r="D4000" s="22"/>
      <c r="E4000" s="15"/>
      <c r="F4000" s="15"/>
      <c r="G4000" s="15"/>
      <c r="H4000" s="15"/>
      <c r="I4000" s="15"/>
      <c r="J4000" s="15"/>
      <c r="K4000" s="15"/>
      <c r="L4000" s="15"/>
      <c r="M4000" s="16"/>
      <c r="N4000" s="16"/>
      <c r="O4000" s="15"/>
      <c r="P4000" s="15"/>
    </row>
    <row r="4001">
      <c r="A4001" s="15"/>
      <c r="B4001" s="22"/>
      <c r="C4001" s="22"/>
      <c r="D4001" s="22"/>
      <c r="E4001" s="15"/>
      <c r="F4001" s="15"/>
      <c r="G4001" s="15"/>
      <c r="H4001" s="15"/>
      <c r="I4001" s="15"/>
      <c r="J4001" s="15"/>
      <c r="K4001" s="15"/>
      <c r="L4001" s="15"/>
      <c r="M4001" s="16"/>
      <c r="N4001" s="16"/>
      <c r="O4001" s="15"/>
      <c r="P4001" s="15"/>
    </row>
    <row r="4002">
      <c r="A4002" s="15"/>
      <c r="B4002" s="22"/>
      <c r="C4002" s="22"/>
      <c r="D4002" s="22"/>
      <c r="E4002" s="15"/>
      <c r="F4002" s="15"/>
      <c r="G4002" s="15"/>
      <c r="H4002" s="15"/>
      <c r="I4002" s="15"/>
      <c r="J4002" s="15"/>
      <c r="K4002" s="15"/>
      <c r="L4002" s="15"/>
      <c r="M4002" s="16"/>
      <c r="N4002" s="16"/>
      <c r="O4002" s="15"/>
      <c r="P4002" s="15"/>
    </row>
    <row r="4003">
      <c r="A4003" s="15"/>
      <c r="B4003" s="22"/>
      <c r="C4003" s="22"/>
      <c r="D4003" s="22"/>
      <c r="E4003" s="15"/>
      <c r="F4003" s="15"/>
      <c r="G4003" s="15"/>
      <c r="H4003" s="15"/>
      <c r="I4003" s="15"/>
      <c r="J4003" s="15"/>
      <c r="K4003" s="15"/>
      <c r="L4003" s="15"/>
      <c r="M4003" s="16"/>
      <c r="N4003" s="16"/>
      <c r="O4003" s="15"/>
      <c r="P4003" s="15"/>
    </row>
    <row r="4004">
      <c r="A4004" s="15"/>
      <c r="B4004" s="22"/>
      <c r="C4004" s="22"/>
      <c r="D4004" s="22"/>
      <c r="E4004" s="15"/>
      <c r="F4004" s="15"/>
      <c r="G4004" s="15"/>
      <c r="H4004" s="15"/>
      <c r="I4004" s="15"/>
      <c r="J4004" s="15"/>
      <c r="K4004" s="15"/>
      <c r="L4004" s="15"/>
      <c r="M4004" s="16"/>
      <c r="N4004" s="16"/>
      <c r="O4004" s="15"/>
      <c r="P4004" s="15"/>
    </row>
    <row r="4005">
      <c r="A4005" s="15"/>
      <c r="B4005" s="22"/>
      <c r="C4005" s="22"/>
      <c r="D4005" s="22"/>
      <c r="E4005" s="15"/>
      <c r="F4005" s="15"/>
      <c r="G4005" s="15"/>
      <c r="H4005" s="15"/>
      <c r="I4005" s="15"/>
      <c r="J4005" s="15"/>
      <c r="K4005" s="15"/>
      <c r="L4005" s="15"/>
      <c r="M4005" s="16"/>
      <c r="N4005" s="16"/>
      <c r="O4005" s="15"/>
      <c r="P4005" s="15"/>
    </row>
    <row r="4006">
      <c r="A4006" s="15"/>
      <c r="B4006" s="22"/>
      <c r="C4006" s="22"/>
      <c r="D4006" s="22"/>
      <c r="E4006" s="15"/>
      <c r="F4006" s="15"/>
      <c r="G4006" s="15"/>
      <c r="H4006" s="15"/>
      <c r="I4006" s="15"/>
      <c r="J4006" s="15"/>
      <c r="K4006" s="15"/>
      <c r="L4006" s="15"/>
      <c r="M4006" s="16"/>
      <c r="N4006" s="16"/>
      <c r="O4006" s="15"/>
      <c r="P4006" s="15"/>
    </row>
    <row r="4007">
      <c r="A4007" s="15"/>
      <c r="B4007" s="22"/>
      <c r="C4007" s="22"/>
      <c r="D4007" s="22"/>
      <c r="E4007" s="15"/>
      <c r="F4007" s="15"/>
      <c r="G4007" s="15"/>
      <c r="H4007" s="15"/>
      <c r="I4007" s="15"/>
      <c r="J4007" s="15"/>
      <c r="K4007" s="15"/>
      <c r="L4007" s="15"/>
      <c r="M4007" s="16"/>
      <c r="N4007" s="16"/>
      <c r="O4007" s="15"/>
      <c r="P4007" s="15"/>
    </row>
    <row r="4008">
      <c r="A4008" s="15"/>
      <c r="B4008" s="22"/>
      <c r="C4008" s="22"/>
      <c r="D4008" s="22"/>
      <c r="E4008" s="15"/>
      <c r="F4008" s="15"/>
      <c r="G4008" s="15"/>
      <c r="H4008" s="15"/>
      <c r="I4008" s="15"/>
      <c r="J4008" s="15"/>
      <c r="K4008" s="15"/>
      <c r="L4008" s="15"/>
      <c r="M4008" s="16"/>
      <c r="N4008" s="16"/>
      <c r="O4008" s="15"/>
      <c r="P4008" s="15"/>
    </row>
    <row r="4009">
      <c r="A4009" s="15"/>
      <c r="B4009" s="22"/>
      <c r="C4009" s="22"/>
      <c r="D4009" s="22"/>
      <c r="E4009" s="15"/>
      <c r="F4009" s="15"/>
      <c r="G4009" s="15"/>
      <c r="H4009" s="15"/>
      <c r="I4009" s="15"/>
      <c r="J4009" s="15"/>
      <c r="K4009" s="15"/>
      <c r="L4009" s="15"/>
      <c r="M4009" s="16"/>
      <c r="N4009" s="16"/>
      <c r="O4009" s="15"/>
      <c r="P4009" s="15"/>
    </row>
    <row r="4010">
      <c r="A4010" s="15"/>
      <c r="B4010" s="22"/>
      <c r="C4010" s="22"/>
      <c r="D4010" s="22"/>
      <c r="E4010" s="15"/>
      <c r="F4010" s="15"/>
      <c r="G4010" s="15"/>
      <c r="H4010" s="15"/>
      <c r="I4010" s="15"/>
      <c r="J4010" s="15"/>
      <c r="K4010" s="15"/>
      <c r="L4010" s="15"/>
      <c r="M4010" s="16"/>
      <c r="N4010" s="16"/>
      <c r="O4010" s="15"/>
      <c r="P4010" s="15"/>
    </row>
    <row r="4011">
      <c r="A4011" s="15"/>
      <c r="B4011" s="22"/>
      <c r="C4011" s="22"/>
      <c r="D4011" s="22"/>
      <c r="E4011" s="15"/>
      <c r="F4011" s="15"/>
      <c r="G4011" s="15"/>
      <c r="H4011" s="15"/>
      <c r="I4011" s="15"/>
      <c r="J4011" s="15"/>
      <c r="K4011" s="15"/>
      <c r="L4011" s="15"/>
      <c r="M4011" s="16"/>
      <c r="N4011" s="16"/>
      <c r="O4011" s="15"/>
      <c r="P4011" s="15"/>
    </row>
    <row r="4012">
      <c r="A4012" s="15"/>
      <c r="B4012" s="22"/>
      <c r="C4012" s="22"/>
      <c r="D4012" s="22"/>
      <c r="E4012" s="15"/>
      <c r="F4012" s="15"/>
      <c r="G4012" s="15"/>
      <c r="H4012" s="15"/>
      <c r="I4012" s="15"/>
      <c r="J4012" s="15"/>
      <c r="K4012" s="15"/>
      <c r="L4012" s="15"/>
      <c r="M4012" s="16"/>
      <c r="N4012" s="16"/>
      <c r="O4012" s="15"/>
      <c r="P4012" s="15"/>
    </row>
    <row r="4013">
      <c r="A4013" s="15"/>
      <c r="B4013" s="22"/>
      <c r="C4013" s="22"/>
      <c r="D4013" s="22"/>
      <c r="E4013" s="15"/>
      <c r="F4013" s="15"/>
      <c r="G4013" s="15"/>
      <c r="H4013" s="15"/>
      <c r="I4013" s="15"/>
      <c r="J4013" s="15"/>
      <c r="K4013" s="15"/>
      <c r="L4013" s="15"/>
      <c r="M4013" s="16"/>
      <c r="N4013" s="16"/>
      <c r="O4013" s="15"/>
      <c r="P4013" s="15"/>
    </row>
    <row r="4014">
      <c r="A4014" s="15"/>
      <c r="B4014" s="22"/>
      <c r="C4014" s="22"/>
      <c r="D4014" s="22"/>
      <c r="E4014" s="15"/>
      <c r="F4014" s="15"/>
      <c r="G4014" s="15"/>
      <c r="H4014" s="15"/>
      <c r="I4014" s="15"/>
      <c r="J4014" s="15"/>
      <c r="K4014" s="15"/>
      <c r="L4014" s="15"/>
      <c r="M4014" s="16"/>
      <c r="N4014" s="16"/>
      <c r="O4014" s="15"/>
      <c r="P4014" s="15"/>
    </row>
    <row r="4015">
      <c r="A4015" s="15"/>
      <c r="B4015" s="22"/>
      <c r="C4015" s="22"/>
      <c r="D4015" s="22"/>
      <c r="E4015" s="15"/>
      <c r="F4015" s="15"/>
      <c r="G4015" s="15"/>
      <c r="H4015" s="15"/>
      <c r="I4015" s="15"/>
      <c r="J4015" s="15"/>
      <c r="K4015" s="15"/>
      <c r="L4015" s="15"/>
      <c r="M4015" s="16"/>
      <c r="N4015" s="16"/>
      <c r="O4015" s="15"/>
      <c r="P4015" s="15"/>
    </row>
    <row r="4016">
      <c r="A4016" s="15"/>
      <c r="B4016" s="22"/>
      <c r="C4016" s="22"/>
      <c r="D4016" s="22"/>
      <c r="E4016" s="15"/>
      <c r="F4016" s="15"/>
      <c r="G4016" s="15"/>
      <c r="H4016" s="15"/>
      <c r="I4016" s="15"/>
      <c r="J4016" s="15"/>
      <c r="K4016" s="15"/>
      <c r="L4016" s="15"/>
      <c r="M4016" s="16"/>
      <c r="N4016" s="16"/>
      <c r="O4016" s="15"/>
      <c r="P4016" s="15"/>
    </row>
    <row r="4017">
      <c r="A4017" s="15"/>
      <c r="B4017" s="22"/>
      <c r="C4017" s="22"/>
      <c r="D4017" s="22"/>
      <c r="E4017" s="15"/>
      <c r="F4017" s="15"/>
      <c r="G4017" s="15"/>
      <c r="H4017" s="15"/>
      <c r="I4017" s="15"/>
      <c r="J4017" s="15"/>
      <c r="K4017" s="15"/>
      <c r="L4017" s="15"/>
      <c r="M4017" s="16"/>
      <c r="N4017" s="16"/>
      <c r="O4017" s="15"/>
      <c r="P4017" s="15"/>
    </row>
    <row r="4018">
      <c r="A4018" s="15"/>
      <c r="B4018" s="22"/>
      <c r="C4018" s="22"/>
      <c r="D4018" s="22"/>
      <c r="E4018" s="15"/>
      <c r="F4018" s="15"/>
      <c r="G4018" s="15"/>
      <c r="H4018" s="15"/>
      <c r="I4018" s="15"/>
      <c r="J4018" s="15"/>
      <c r="K4018" s="15"/>
      <c r="L4018" s="15"/>
      <c r="M4018" s="16"/>
      <c r="N4018" s="16"/>
      <c r="O4018" s="15"/>
      <c r="P4018" s="15"/>
    </row>
    <row r="4019">
      <c r="A4019" s="15"/>
      <c r="B4019" s="22"/>
      <c r="C4019" s="22"/>
      <c r="D4019" s="22"/>
      <c r="E4019" s="15"/>
      <c r="F4019" s="15"/>
      <c r="G4019" s="15"/>
      <c r="H4019" s="15"/>
      <c r="I4019" s="15"/>
      <c r="J4019" s="15"/>
      <c r="K4019" s="15"/>
      <c r="L4019" s="15"/>
      <c r="M4019" s="16"/>
      <c r="N4019" s="16"/>
      <c r="O4019" s="15"/>
      <c r="P4019" s="15"/>
    </row>
    <row r="4020">
      <c r="A4020" s="15"/>
      <c r="B4020" s="22"/>
      <c r="C4020" s="22"/>
      <c r="D4020" s="22"/>
      <c r="E4020" s="15"/>
      <c r="F4020" s="15"/>
      <c r="G4020" s="15"/>
      <c r="H4020" s="15"/>
      <c r="I4020" s="15"/>
      <c r="J4020" s="15"/>
      <c r="K4020" s="15"/>
      <c r="L4020" s="15"/>
      <c r="M4020" s="16"/>
      <c r="N4020" s="16"/>
      <c r="O4020" s="15"/>
      <c r="P4020" s="15"/>
    </row>
    <row r="4021">
      <c r="A4021" s="15"/>
      <c r="B4021" s="22"/>
      <c r="C4021" s="22"/>
      <c r="D4021" s="22"/>
      <c r="E4021" s="15"/>
      <c r="F4021" s="15"/>
      <c r="G4021" s="15"/>
      <c r="H4021" s="15"/>
      <c r="I4021" s="15"/>
      <c r="J4021" s="15"/>
      <c r="K4021" s="15"/>
      <c r="L4021" s="15"/>
      <c r="M4021" s="16"/>
      <c r="N4021" s="16"/>
      <c r="O4021" s="15"/>
      <c r="P4021" s="15"/>
    </row>
    <row r="4022">
      <c r="A4022" s="15"/>
      <c r="B4022" s="22"/>
      <c r="C4022" s="22"/>
      <c r="D4022" s="22"/>
      <c r="E4022" s="15"/>
      <c r="F4022" s="15"/>
      <c r="G4022" s="15"/>
      <c r="H4022" s="15"/>
      <c r="I4022" s="15"/>
      <c r="J4022" s="15"/>
      <c r="K4022" s="15"/>
      <c r="L4022" s="15"/>
      <c r="M4022" s="16"/>
      <c r="N4022" s="16"/>
      <c r="O4022" s="15"/>
      <c r="P4022" s="15"/>
    </row>
    <row r="4023">
      <c r="A4023" s="15"/>
      <c r="B4023" s="22"/>
      <c r="C4023" s="22"/>
      <c r="D4023" s="22"/>
      <c r="E4023" s="15"/>
      <c r="F4023" s="15"/>
      <c r="G4023" s="15"/>
      <c r="H4023" s="15"/>
      <c r="I4023" s="15"/>
      <c r="J4023" s="15"/>
      <c r="K4023" s="15"/>
      <c r="L4023" s="15"/>
      <c r="M4023" s="16"/>
      <c r="N4023" s="16"/>
      <c r="O4023" s="15"/>
      <c r="P4023" s="15"/>
    </row>
    <row r="4024">
      <c r="A4024" s="15"/>
      <c r="B4024" s="22"/>
      <c r="C4024" s="22"/>
      <c r="D4024" s="22"/>
      <c r="E4024" s="15"/>
      <c r="F4024" s="15"/>
      <c r="G4024" s="15"/>
      <c r="H4024" s="15"/>
      <c r="I4024" s="15"/>
      <c r="J4024" s="15"/>
      <c r="K4024" s="15"/>
      <c r="L4024" s="15"/>
      <c r="M4024" s="16"/>
      <c r="N4024" s="16"/>
      <c r="O4024" s="15"/>
      <c r="P4024" s="15"/>
    </row>
    <row r="4025">
      <c r="A4025" s="15"/>
      <c r="B4025" s="22"/>
      <c r="C4025" s="22"/>
      <c r="D4025" s="22"/>
      <c r="E4025" s="15"/>
      <c r="F4025" s="15"/>
      <c r="G4025" s="15"/>
      <c r="H4025" s="15"/>
      <c r="I4025" s="15"/>
      <c r="J4025" s="15"/>
      <c r="K4025" s="15"/>
      <c r="L4025" s="15"/>
      <c r="M4025" s="16"/>
      <c r="N4025" s="16"/>
      <c r="O4025" s="15"/>
      <c r="P4025" s="15"/>
    </row>
    <row r="4026">
      <c r="A4026" s="15"/>
      <c r="B4026" s="22"/>
      <c r="C4026" s="22"/>
      <c r="D4026" s="22"/>
      <c r="E4026" s="15"/>
      <c r="F4026" s="15"/>
      <c r="G4026" s="15"/>
      <c r="H4026" s="15"/>
      <c r="I4026" s="15"/>
      <c r="J4026" s="15"/>
      <c r="K4026" s="15"/>
      <c r="L4026" s="15"/>
      <c r="M4026" s="16"/>
      <c r="N4026" s="16"/>
      <c r="O4026" s="15"/>
      <c r="P4026" s="15"/>
    </row>
    <row r="4027">
      <c r="A4027" s="15"/>
      <c r="B4027" s="22"/>
      <c r="C4027" s="22"/>
      <c r="D4027" s="22"/>
      <c r="E4027" s="15"/>
      <c r="F4027" s="15"/>
      <c r="G4027" s="15"/>
      <c r="H4027" s="15"/>
      <c r="I4027" s="15"/>
      <c r="J4027" s="15"/>
      <c r="K4027" s="15"/>
      <c r="L4027" s="15"/>
      <c r="M4027" s="16"/>
      <c r="N4027" s="16"/>
      <c r="O4027" s="15"/>
      <c r="P4027" s="15"/>
    </row>
    <row r="4028">
      <c r="A4028" s="15"/>
      <c r="B4028" s="22"/>
      <c r="C4028" s="22"/>
      <c r="D4028" s="22"/>
      <c r="E4028" s="15"/>
      <c r="F4028" s="15"/>
      <c r="G4028" s="15"/>
      <c r="H4028" s="15"/>
      <c r="I4028" s="15"/>
      <c r="J4028" s="15"/>
      <c r="K4028" s="15"/>
      <c r="L4028" s="15"/>
      <c r="M4028" s="16"/>
      <c r="N4028" s="16"/>
      <c r="O4028" s="15"/>
      <c r="P4028" s="15"/>
    </row>
    <row r="4029">
      <c r="A4029" s="15"/>
      <c r="B4029" s="22"/>
      <c r="C4029" s="22"/>
      <c r="D4029" s="22"/>
      <c r="E4029" s="15"/>
      <c r="F4029" s="15"/>
      <c r="G4029" s="15"/>
      <c r="H4029" s="15"/>
      <c r="I4029" s="15"/>
      <c r="J4029" s="15"/>
      <c r="K4029" s="15"/>
      <c r="L4029" s="15"/>
      <c r="M4029" s="16"/>
      <c r="N4029" s="16"/>
      <c r="O4029" s="15"/>
      <c r="P4029" s="15"/>
    </row>
    <row r="4030">
      <c r="A4030" s="15"/>
      <c r="B4030" s="22"/>
      <c r="C4030" s="22"/>
      <c r="D4030" s="22"/>
      <c r="E4030" s="15"/>
      <c r="F4030" s="15"/>
      <c r="G4030" s="15"/>
      <c r="H4030" s="15"/>
      <c r="I4030" s="15"/>
      <c r="J4030" s="15"/>
      <c r="K4030" s="15"/>
      <c r="L4030" s="15"/>
      <c r="M4030" s="16"/>
      <c r="N4030" s="16"/>
      <c r="O4030" s="15"/>
      <c r="P4030" s="15"/>
    </row>
    <row r="4031">
      <c r="A4031" s="15"/>
      <c r="B4031" s="22"/>
      <c r="C4031" s="22"/>
      <c r="D4031" s="22"/>
      <c r="E4031" s="15"/>
      <c r="F4031" s="15"/>
      <c r="G4031" s="15"/>
      <c r="H4031" s="15"/>
      <c r="I4031" s="15"/>
      <c r="J4031" s="15"/>
      <c r="K4031" s="15"/>
      <c r="L4031" s="15"/>
      <c r="M4031" s="16"/>
      <c r="N4031" s="16"/>
      <c r="O4031" s="15"/>
      <c r="P4031" s="15"/>
    </row>
    <row r="4032">
      <c r="A4032" s="15"/>
      <c r="B4032" s="22"/>
      <c r="C4032" s="22"/>
      <c r="D4032" s="22"/>
      <c r="E4032" s="15"/>
      <c r="F4032" s="15"/>
      <c r="G4032" s="15"/>
      <c r="H4032" s="15"/>
      <c r="I4032" s="15"/>
      <c r="J4032" s="15"/>
      <c r="K4032" s="15"/>
      <c r="L4032" s="15"/>
      <c r="M4032" s="16"/>
      <c r="N4032" s="16"/>
      <c r="O4032" s="15"/>
      <c r="P4032" s="15"/>
    </row>
    <row r="4033">
      <c r="A4033" s="15"/>
      <c r="B4033" s="22"/>
      <c r="C4033" s="22"/>
      <c r="D4033" s="22"/>
      <c r="E4033" s="15"/>
      <c r="F4033" s="15"/>
      <c r="G4033" s="15"/>
      <c r="H4033" s="15"/>
      <c r="I4033" s="15"/>
      <c r="J4033" s="15"/>
      <c r="K4033" s="15"/>
      <c r="L4033" s="15"/>
      <c r="M4033" s="16"/>
      <c r="N4033" s="16"/>
      <c r="O4033" s="15"/>
      <c r="P4033" s="15"/>
    </row>
    <row r="4034">
      <c r="A4034" s="15"/>
      <c r="B4034" s="22"/>
      <c r="C4034" s="22"/>
      <c r="D4034" s="22"/>
      <c r="E4034" s="15"/>
      <c r="F4034" s="15"/>
      <c r="G4034" s="15"/>
      <c r="H4034" s="15"/>
      <c r="I4034" s="15"/>
      <c r="J4034" s="15"/>
      <c r="K4034" s="15"/>
      <c r="L4034" s="15"/>
      <c r="M4034" s="16"/>
      <c r="N4034" s="16"/>
      <c r="O4034" s="15"/>
      <c r="P4034" s="15"/>
    </row>
    <row r="4035">
      <c r="A4035" s="15"/>
      <c r="B4035" s="22"/>
      <c r="C4035" s="22"/>
      <c r="D4035" s="22"/>
      <c r="E4035" s="15"/>
      <c r="F4035" s="15"/>
      <c r="G4035" s="15"/>
      <c r="H4035" s="15"/>
      <c r="I4035" s="15"/>
      <c r="J4035" s="15"/>
      <c r="K4035" s="15"/>
      <c r="L4035" s="15"/>
      <c r="M4035" s="16"/>
      <c r="N4035" s="16"/>
      <c r="O4035" s="15"/>
      <c r="P4035" s="15"/>
    </row>
    <row r="4036">
      <c r="A4036" s="15"/>
      <c r="B4036" s="22"/>
      <c r="C4036" s="22"/>
      <c r="D4036" s="22"/>
      <c r="E4036" s="15"/>
      <c r="F4036" s="15"/>
      <c r="G4036" s="15"/>
      <c r="H4036" s="15"/>
      <c r="I4036" s="15"/>
      <c r="J4036" s="15"/>
      <c r="K4036" s="15"/>
      <c r="L4036" s="15"/>
      <c r="M4036" s="16"/>
      <c r="N4036" s="16"/>
      <c r="O4036" s="15"/>
      <c r="P4036" s="15"/>
    </row>
    <row r="4037">
      <c r="A4037" s="15"/>
      <c r="B4037" s="22"/>
      <c r="C4037" s="22"/>
      <c r="D4037" s="22"/>
      <c r="E4037" s="15"/>
      <c r="F4037" s="15"/>
      <c r="G4037" s="15"/>
      <c r="H4037" s="15"/>
      <c r="I4037" s="15"/>
      <c r="J4037" s="15"/>
      <c r="K4037" s="15"/>
      <c r="L4037" s="15"/>
      <c r="M4037" s="16"/>
      <c r="N4037" s="16"/>
      <c r="O4037" s="15"/>
      <c r="P4037" s="15"/>
    </row>
    <row r="4038">
      <c r="A4038" s="15"/>
      <c r="B4038" s="22"/>
      <c r="C4038" s="22"/>
      <c r="D4038" s="22"/>
      <c r="E4038" s="15"/>
      <c r="F4038" s="15"/>
      <c r="G4038" s="15"/>
      <c r="H4038" s="15"/>
      <c r="I4038" s="15"/>
      <c r="J4038" s="15"/>
      <c r="K4038" s="15"/>
      <c r="L4038" s="15"/>
      <c r="M4038" s="16"/>
      <c r="N4038" s="16"/>
      <c r="O4038" s="15"/>
      <c r="P4038" s="15"/>
    </row>
    <row r="4039">
      <c r="A4039" s="15"/>
      <c r="B4039" s="22"/>
      <c r="C4039" s="22"/>
      <c r="D4039" s="22"/>
      <c r="E4039" s="15"/>
      <c r="F4039" s="15"/>
      <c r="G4039" s="15"/>
      <c r="H4039" s="15"/>
      <c r="I4039" s="15"/>
      <c r="J4039" s="15"/>
      <c r="K4039" s="15"/>
      <c r="L4039" s="15"/>
      <c r="M4039" s="16"/>
      <c r="N4039" s="16"/>
      <c r="O4039" s="15"/>
      <c r="P4039" s="15"/>
    </row>
    <row r="4040">
      <c r="A4040" s="15"/>
      <c r="B4040" s="22"/>
      <c r="C4040" s="22"/>
      <c r="D4040" s="22"/>
      <c r="E4040" s="15"/>
      <c r="F4040" s="15"/>
      <c r="G4040" s="15"/>
      <c r="H4040" s="15"/>
      <c r="I4040" s="15"/>
      <c r="J4040" s="15"/>
      <c r="K4040" s="15"/>
      <c r="L4040" s="15"/>
      <c r="M4040" s="16"/>
      <c r="N4040" s="16"/>
      <c r="O4040" s="15"/>
      <c r="P4040" s="15"/>
    </row>
    <row r="4041">
      <c r="A4041" s="15"/>
      <c r="B4041" s="22"/>
      <c r="C4041" s="22"/>
      <c r="D4041" s="22"/>
      <c r="E4041" s="15"/>
      <c r="F4041" s="15"/>
      <c r="G4041" s="15"/>
      <c r="H4041" s="15"/>
      <c r="I4041" s="15"/>
      <c r="J4041" s="15"/>
      <c r="K4041" s="15"/>
      <c r="L4041" s="15"/>
      <c r="M4041" s="16"/>
      <c r="N4041" s="16"/>
      <c r="O4041" s="15"/>
      <c r="P4041" s="15"/>
    </row>
    <row r="4042">
      <c r="A4042" s="15"/>
      <c r="B4042" s="22"/>
      <c r="C4042" s="22"/>
      <c r="D4042" s="22"/>
      <c r="E4042" s="15"/>
      <c r="F4042" s="15"/>
      <c r="G4042" s="15"/>
      <c r="H4042" s="15"/>
      <c r="I4042" s="15"/>
      <c r="J4042" s="15"/>
      <c r="K4042" s="15"/>
      <c r="L4042" s="15"/>
      <c r="M4042" s="16"/>
      <c r="N4042" s="16"/>
      <c r="O4042" s="15"/>
      <c r="P4042" s="15"/>
    </row>
    <row r="4043">
      <c r="A4043" s="15"/>
      <c r="B4043" s="22"/>
      <c r="C4043" s="22"/>
      <c r="D4043" s="22"/>
      <c r="E4043" s="15"/>
      <c r="F4043" s="15"/>
      <c r="G4043" s="15"/>
      <c r="H4043" s="15"/>
      <c r="I4043" s="15"/>
      <c r="J4043" s="15"/>
      <c r="K4043" s="15"/>
      <c r="L4043" s="15"/>
      <c r="M4043" s="16"/>
      <c r="N4043" s="16"/>
      <c r="O4043" s="15"/>
      <c r="P4043" s="15"/>
    </row>
    <row r="4044">
      <c r="A4044" s="15"/>
      <c r="B4044" s="22"/>
      <c r="C4044" s="22"/>
      <c r="D4044" s="22"/>
      <c r="E4044" s="15"/>
      <c r="F4044" s="15"/>
      <c r="G4044" s="15"/>
      <c r="H4044" s="15"/>
      <c r="I4044" s="15"/>
      <c r="J4044" s="15"/>
      <c r="K4044" s="15"/>
      <c r="L4044" s="15"/>
      <c r="M4044" s="16"/>
      <c r="N4044" s="16"/>
      <c r="O4044" s="15"/>
      <c r="P4044" s="15"/>
    </row>
    <row r="4045">
      <c r="A4045" s="15"/>
      <c r="B4045" s="22"/>
      <c r="C4045" s="22"/>
      <c r="D4045" s="22"/>
      <c r="E4045" s="15"/>
      <c r="F4045" s="15"/>
      <c r="G4045" s="15"/>
      <c r="H4045" s="15"/>
      <c r="I4045" s="15"/>
      <c r="J4045" s="15"/>
      <c r="K4045" s="15"/>
      <c r="L4045" s="15"/>
      <c r="M4045" s="16"/>
      <c r="N4045" s="16"/>
      <c r="O4045" s="15"/>
      <c r="P4045" s="15"/>
    </row>
    <row r="4046">
      <c r="A4046" s="15"/>
      <c r="B4046" s="22"/>
      <c r="C4046" s="22"/>
      <c r="D4046" s="22"/>
      <c r="E4046" s="15"/>
      <c r="F4046" s="15"/>
      <c r="G4046" s="15"/>
      <c r="H4046" s="15"/>
      <c r="I4046" s="15"/>
      <c r="J4046" s="15"/>
      <c r="K4046" s="15"/>
      <c r="L4046" s="15"/>
      <c r="M4046" s="16"/>
      <c r="N4046" s="16"/>
      <c r="O4046" s="15"/>
      <c r="P4046" s="15"/>
    </row>
    <row r="4047">
      <c r="A4047" s="15"/>
      <c r="B4047" s="22"/>
      <c r="C4047" s="22"/>
      <c r="D4047" s="22"/>
      <c r="E4047" s="15"/>
      <c r="F4047" s="15"/>
      <c r="G4047" s="15"/>
      <c r="H4047" s="15"/>
      <c r="I4047" s="15"/>
      <c r="J4047" s="15"/>
      <c r="K4047" s="15"/>
      <c r="L4047" s="15"/>
      <c r="M4047" s="16"/>
      <c r="N4047" s="16"/>
      <c r="O4047" s="15"/>
      <c r="P4047" s="15"/>
    </row>
    <row r="4048">
      <c r="A4048" s="15"/>
      <c r="B4048" s="22"/>
      <c r="C4048" s="22"/>
      <c r="D4048" s="22"/>
      <c r="E4048" s="15"/>
      <c r="F4048" s="15"/>
      <c r="G4048" s="15"/>
      <c r="H4048" s="15"/>
      <c r="I4048" s="15"/>
      <c r="J4048" s="15"/>
      <c r="K4048" s="15"/>
      <c r="L4048" s="15"/>
      <c r="M4048" s="16"/>
      <c r="N4048" s="16"/>
      <c r="O4048" s="15"/>
      <c r="P4048" s="15"/>
    </row>
    <row r="4049">
      <c r="A4049" s="15"/>
      <c r="B4049" s="22"/>
      <c r="C4049" s="22"/>
      <c r="D4049" s="22"/>
      <c r="E4049" s="15"/>
      <c r="F4049" s="15"/>
      <c r="G4049" s="15"/>
      <c r="H4049" s="15"/>
      <c r="I4049" s="15"/>
      <c r="J4049" s="15"/>
      <c r="K4049" s="15"/>
      <c r="L4049" s="15"/>
      <c r="M4049" s="16"/>
      <c r="N4049" s="16"/>
      <c r="O4049" s="15"/>
      <c r="P4049" s="15"/>
    </row>
    <row r="4050">
      <c r="A4050" s="15"/>
      <c r="B4050" s="22"/>
      <c r="C4050" s="22"/>
      <c r="D4050" s="22"/>
      <c r="E4050" s="15"/>
      <c r="F4050" s="15"/>
      <c r="G4050" s="15"/>
      <c r="H4050" s="15"/>
      <c r="I4050" s="15"/>
      <c r="J4050" s="15"/>
      <c r="K4050" s="15"/>
      <c r="L4050" s="15"/>
      <c r="M4050" s="16"/>
      <c r="N4050" s="16"/>
      <c r="O4050" s="15"/>
      <c r="P4050" s="15"/>
    </row>
    <row r="4051">
      <c r="A4051" s="15"/>
      <c r="B4051" s="22"/>
      <c r="C4051" s="22"/>
      <c r="D4051" s="22"/>
      <c r="E4051" s="15"/>
      <c r="F4051" s="15"/>
      <c r="G4051" s="15"/>
      <c r="H4051" s="15"/>
      <c r="I4051" s="15"/>
      <c r="J4051" s="15"/>
      <c r="K4051" s="15"/>
      <c r="L4051" s="15"/>
      <c r="M4051" s="16"/>
      <c r="N4051" s="16"/>
      <c r="O4051" s="15"/>
      <c r="P4051" s="15"/>
    </row>
    <row r="4052">
      <c r="A4052" s="15"/>
      <c r="B4052" s="22"/>
      <c r="C4052" s="22"/>
      <c r="D4052" s="22"/>
      <c r="E4052" s="15"/>
      <c r="F4052" s="15"/>
      <c r="G4052" s="15"/>
      <c r="H4052" s="15"/>
      <c r="I4052" s="15"/>
      <c r="J4052" s="15"/>
      <c r="K4052" s="15"/>
      <c r="L4052" s="15"/>
      <c r="M4052" s="16"/>
      <c r="N4052" s="16"/>
      <c r="O4052" s="15"/>
      <c r="P4052" s="15"/>
    </row>
    <row r="4053">
      <c r="A4053" s="15"/>
      <c r="B4053" s="22"/>
      <c r="C4053" s="22"/>
      <c r="D4053" s="22"/>
      <c r="E4053" s="15"/>
      <c r="F4053" s="15"/>
      <c r="G4053" s="15"/>
      <c r="H4053" s="15"/>
      <c r="I4053" s="15"/>
      <c r="J4053" s="15"/>
      <c r="K4053" s="15"/>
      <c r="L4053" s="15"/>
      <c r="M4053" s="16"/>
      <c r="N4053" s="16"/>
      <c r="O4053" s="15"/>
      <c r="P4053" s="15"/>
    </row>
    <row r="4054">
      <c r="A4054" s="15"/>
      <c r="B4054" s="22"/>
      <c r="C4054" s="22"/>
      <c r="D4054" s="22"/>
      <c r="E4054" s="15"/>
      <c r="F4054" s="15"/>
      <c r="G4054" s="15"/>
      <c r="H4054" s="15"/>
      <c r="I4054" s="15"/>
      <c r="J4054" s="15"/>
      <c r="K4054" s="15"/>
      <c r="L4054" s="15"/>
      <c r="M4054" s="16"/>
      <c r="N4054" s="16"/>
      <c r="O4054" s="15"/>
      <c r="P4054" s="15"/>
    </row>
    <row r="4055">
      <c r="A4055" s="15"/>
      <c r="B4055" s="22"/>
      <c r="C4055" s="22"/>
      <c r="D4055" s="22"/>
      <c r="E4055" s="15"/>
      <c r="F4055" s="15"/>
      <c r="G4055" s="15"/>
      <c r="H4055" s="15"/>
      <c r="I4055" s="15"/>
      <c r="J4055" s="15"/>
      <c r="K4055" s="15"/>
      <c r="L4055" s="15"/>
      <c r="M4055" s="16"/>
      <c r="N4055" s="16"/>
      <c r="O4055" s="15"/>
      <c r="P4055" s="15"/>
    </row>
    <row r="4056">
      <c r="A4056" s="15"/>
      <c r="B4056" s="22"/>
      <c r="C4056" s="22"/>
      <c r="D4056" s="22"/>
      <c r="E4056" s="15"/>
      <c r="F4056" s="15"/>
      <c r="G4056" s="15"/>
      <c r="H4056" s="15"/>
      <c r="I4056" s="15"/>
      <c r="J4056" s="15"/>
      <c r="K4056" s="15"/>
      <c r="L4056" s="15"/>
      <c r="M4056" s="16"/>
      <c r="N4056" s="16"/>
      <c r="O4056" s="15"/>
      <c r="P4056" s="15"/>
    </row>
    <row r="4057">
      <c r="A4057" s="15"/>
      <c r="B4057" s="22"/>
      <c r="C4057" s="22"/>
      <c r="D4057" s="22"/>
      <c r="E4057" s="15"/>
      <c r="F4057" s="15"/>
      <c r="G4057" s="15"/>
      <c r="H4057" s="15"/>
      <c r="I4057" s="15"/>
      <c r="J4057" s="15"/>
      <c r="K4057" s="15"/>
      <c r="L4057" s="15"/>
      <c r="M4057" s="16"/>
      <c r="N4057" s="16"/>
      <c r="O4057" s="15"/>
      <c r="P4057" s="15"/>
    </row>
    <row r="4058">
      <c r="A4058" s="15"/>
      <c r="B4058" s="22"/>
      <c r="C4058" s="22"/>
      <c r="D4058" s="22"/>
      <c r="E4058" s="15"/>
      <c r="F4058" s="15"/>
      <c r="G4058" s="15"/>
      <c r="H4058" s="15"/>
      <c r="I4058" s="15"/>
      <c r="J4058" s="15"/>
      <c r="K4058" s="15"/>
      <c r="L4058" s="15"/>
      <c r="M4058" s="16"/>
      <c r="N4058" s="16"/>
      <c r="O4058" s="15"/>
      <c r="P4058" s="15"/>
    </row>
    <row r="4059">
      <c r="A4059" s="15"/>
      <c r="B4059" s="22"/>
      <c r="C4059" s="22"/>
      <c r="D4059" s="22"/>
      <c r="E4059" s="15"/>
      <c r="F4059" s="15"/>
      <c r="G4059" s="15"/>
      <c r="H4059" s="15"/>
      <c r="I4059" s="15"/>
      <c r="J4059" s="15"/>
      <c r="K4059" s="15"/>
      <c r="L4059" s="15"/>
      <c r="M4059" s="16"/>
      <c r="N4059" s="16"/>
      <c r="O4059" s="15"/>
      <c r="P4059" s="15"/>
    </row>
    <row r="4060">
      <c r="A4060" s="15"/>
      <c r="B4060" s="22"/>
      <c r="C4060" s="22"/>
      <c r="D4060" s="22"/>
      <c r="E4060" s="15"/>
      <c r="F4060" s="15"/>
      <c r="G4060" s="15"/>
      <c r="H4060" s="15"/>
      <c r="I4060" s="15"/>
      <c r="J4060" s="15"/>
      <c r="K4060" s="15"/>
      <c r="L4060" s="15"/>
      <c r="M4060" s="16"/>
      <c r="N4060" s="16"/>
      <c r="O4060" s="15"/>
      <c r="P4060" s="15"/>
    </row>
    <row r="4061">
      <c r="A4061" s="15"/>
      <c r="B4061" s="22"/>
      <c r="C4061" s="22"/>
      <c r="D4061" s="22"/>
      <c r="E4061" s="15"/>
      <c r="F4061" s="15"/>
      <c r="G4061" s="15"/>
      <c r="H4061" s="15"/>
      <c r="I4061" s="15"/>
      <c r="J4061" s="15"/>
      <c r="K4061" s="15"/>
      <c r="L4061" s="15"/>
      <c r="M4061" s="16"/>
      <c r="N4061" s="16"/>
      <c r="O4061" s="15"/>
      <c r="P4061" s="15"/>
    </row>
    <row r="4062">
      <c r="A4062" s="15"/>
      <c r="B4062" s="22"/>
      <c r="C4062" s="22"/>
      <c r="D4062" s="22"/>
      <c r="E4062" s="15"/>
      <c r="F4062" s="15"/>
      <c r="G4062" s="15"/>
      <c r="H4062" s="15"/>
      <c r="I4062" s="15"/>
      <c r="J4062" s="15"/>
      <c r="K4062" s="15"/>
      <c r="L4062" s="15"/>
      <c r="M4062" s="16"/>
      <c r="N4062" s="16"/>
      <c r="O4062" s="15"/>
      <c r="P4062" s="15"/>
    </row>
    <row r="4063">
      <c r="A4063" s="15"/>
      <c r="B4063" s="22"/>
      <c r="C4063" s="22"/>
      <c r="D4063" s="22"/>
      <c r="E4063" s="15"/>
      <c r="F4063" s="15"/>
      <c r="G4063" s="15"/>
      <c r="H4063" s="15"/>
      <c r="I4063" s="15"/>
      <c r="J4063" s="15"/>
      <c r="K4063" s="15"/>
      <c r="L4063" s="15"/>
      <c r="M4063" s="16"/>
      <c r="N4063" s="16"/>
      <c r="O4063" s="15"/>
      <c r="P4063" s="15"/>
    </row>
    <row r="4064">
      <c r="A4064" s="15"/>
      <c r="B4064" s="22"/>
      <c r="C4064" s="22"/>
      <c r="D4064" s="22"/>
      <c r="E4064" s="15"/>
      <c r="F4064" s="15"/>
      <c r="G4064" s="15"/>
      <c r="H4064" s="15"/>
      <c r="I4064" s="15"/>
      <c r="J4064" s="15"/>
      <c r="K4064" s="15"/>
      <c r="L4064" s="15"/>
      <c r="M4064" s="16"/>
      <c r="N4064" s="16"/>
      <c r="O4064" s="15"/>
      <c r="P4064" s="15"/>
    </row>
    <row r="4065">
      <c r="A4065" s="15"/>
      <c r="B4065" s="22"/>
      <c r="C4065" s="22"/>
      <c r="D4065" s="22"/>
      <c r="E4065" s="15"/>
      <c r="F4065" s="15"/>
      <c r="G4065" s="15"/>
      <c r="H4065" s="15"/>
      <c r="I4065" s="15"/>
      <c r="J4065" s="15"/>
      <c r="K4065" s="15"/>
      <c r="L4065" s="15"/>
      <c r="M4065" s="16"/>
      <c r="N4065" s="16"/>
      <c r="O4065" s="15"/>
      <c r="P4065" s="15"/>
    </row>
    <row r="4066">
      <c r="A4066" s="15"/>
      <c r="B4066" s="22"/>
      <c r="C4066" s="22"/>
      <c r="D4066" s="22"/>
      <c r="E4066" s="15"/>
      <c r="F4066" s="15"/>
      <c r="G4066" s="15"/>
      <c r="H4066" s="15"/>
      <c r="I4066" s="15"/>
      <c r="J4066" s="15"/>
      <c r="K4066" s="15"/>
      <c r="L4066" s="15"/>
      <c r="M4066" s="16"/>
      <c r="N4066" s="16"/>
      <c r="O4066" s="15"/>
      <c r="P4066" s="15"/>
    </row>
    <row r="4067">
      <c r="A4067" s="15"/>
      <c r="B4067" s="22"/>
      <c r="C4067" s="22"/>
      <c r="D4067" s="22"/>
      <c r="E4067" s="15"/>
      <c r="F4067" s="15"/>
      <c r="G4067" s="15"/>
      <c r="H4067" s="15"/>
      <c r="I4067" s="15"/>
      <c r="J4067" s="15"/>
      <c r="K4067" s="15"/>
      <c r="L4067" s="15"/>
      <c r="M4067" s="16"/>
      <c r="N4067" s="16"/>
      <c r="O4067" s="15"/>
      <c r="P4067" s="15"/>
    </row>
    <row r="4068">
      <c r="A4068" s="15"/>
      <c r="B4068" s="22"/>
      <c r="C4068" s="22"/>
      <c r="D4068" s="22"/>
      <c r="E4068" s="15"/>
      <c r="F4068" s="15"/>
      <c r="G4068" s="15"/>
      <c r="H4068" s="15"/>
      <c r="I4068" s="15"/>
      <c r="J4068" s="15"/>
      <c r="K4068" s="15"/>
      <c r="L4068" s="15"/>
      <c r="M4068" s="16"/>
      <c r="N4068" s="16"/>
      <c r="O4068" s="15"/>
      <c r="P4068" s="15"/>
    </row>
    <row r="4069">
      <c r="A4069" s="15"/>
      <c r="B4069" s="22"/>
      <c r="C4069" s="22"/>
      <c r="D4069" s="22"/>
      <c r="E4069" s="15"/>
      <c r="F4069" s="15"/>
      <c r="G4069" s="15"/>
      <c r="H4069" s="15"/>
      <c r="I4069" s="15"/>
      <c r="J4069" s="15"/>
      <c r="K4069" s="15"/>
      <c r="L4069" s="15"/>
      <c r="M4069" s="16"/>
      <c r="N4069" s="16"/>
      <c r="O4069" s="15"/>
      <c r="P4069" s="15"/>
    </row>
    <row r="4070">
      <c r="A4070" s="15"/>
      <c r="B4070" s="22"/>
      <c r="C4070" s="22"/>
      <c r="D4070" s="22"/>
      <c r="E4070" s="15"/>
      <c r="F4070" s="15"/>
      <c r="G4070" s="15"/>
      <c r="H4070" s="15"/>
      <c r="I4070" s="15"/>
      <c r="J4070" s="15"/>
      <c r="K4070" s="15"/>
      <c r="L4070" s="15"/>
      <c r="M4070" s="16"/>
      <c r="N4070" s="16"/>
      <c r="O4070" s="15"/>
      <c r="P4070" s="15"/>
    </row>
  </sheetData>
  <mergeCells count="2">
    <mergeCell ref="G1:O1"/>
    <mergeCell ref="A1:F1"/>
  </mergeCells>
  <hyperlinks>
    <hyperlink r:id="rId1" ref="B3"/>
    <hyperlink r:id="rId2" ref="E3"/>
    <hyperlink r:id="rId3" ref="F3"/>
    <hyperlink r:id="rId4" ref="O3"/>
    <hyperlink r:id="rId5" ref="B4"/>
    <hyperlink r:id="rId6" ref="C4"/>
    <hyperlink r:id="rId7" ref="E4"/>
    <hyperlink r:id="rId8" ref="O4"/>
    <hyperlink r:id="rId9" ref="B5"/>
    <hyperlink r:id="rId10" ref="E5"/>
    <hyperlink r:id="rId11" ref="O5"/>
    <hyperlink r:id="rId12" ref="B6"/>
    <hyperlink r:id="rId13" ref="E6"/>
    <hyperlink r:id="rId14" ref="O6"/>
    <hyperlink r:id="rId15" ref="B7"/>
    <hyperlink r:id="rId16" ref="E7"/>
    <hyperlink r:id="rId17" ref="O7"/>
    <hyperlink r:id="rId18" ref="B8"/>
    <hyperlink r:id="rId19" ref="E8"/>
    <hyperlink r:id="rId20" ref="O8"/>
    <hyperlink r:id="rId21" ref="B9"/>
    <hyperlink r:id="rId22" ref="E9"/>
    <hyperlink r:id="rId23" ref="O9"/>
    <hyperlink r:id="rId24" ref="B10"/>
    <hyperlink r:id="rId25" ref="E10"/>
    <hyperlink r:id="rId26" ref="O10"/>
    <hyperlink r:id="rId27" ref="B11"/>
    <hyperlink r:id="rId28" ref="E11"/>
    <hyperlink r:id="rId29" ref="O11"/>
    <hyperlink r:id="rId30" ref="B12"/>
    <hyperlink r:id="rId31" ref="E12"/>
    <hyperlink r:id="rId32" ref="O12"/>
    <hyperlink r:id="rId33" ref="B13"/>
    <hyperlink r:id="rId34" ref="E13"/>
    <hyperlink r:id="rId35" ref="O13"/>
    <hyperlink r:id="rId36" ref="B14"/>
    <hyperlink r:id="rId37" ref="E14"/>
    <hyperlink r:id="rId38" ref="O14"/>
    <hyperlink r:id="rId39" ref="B15"/>
    <hyperlink r:id="rId40" ref="E15"/>
    <hyperlink r:id="rId41" ref="O15"/>
    <hyperlink r:id="rId42" ref="B16"/>
    <hyperlink r:id="rId43" ref="E16"/>
    <hyperlink r:id="rId44" ref="O16"/>
    <hyperlink r:id="rId45" ref="B17"/>
    <hyperlink r:id="rId46" ref="E17"/>
    <hyperlink r:id="rId47" ref="O17"/>
    <hyperlink r:id="rId48" ref="B18"/>
    <hyperlink r:id="rId49" ref="E18"/>
    <hyperlink r:id="rId50" ref="O18"/>
    <hyperlink r:id="rId51" ref="B19"/>
    <hyperlink r:id="rId52" ref="E19"/>
    <hyperlink r:id="rId53" ref="O19"/>
    <hyperlink r:id="rId54" ref="B20"/>
    <hyperlink r:id="rId55" ref="E20"/>
    <hyperlink r:id="rId56" ref="O20"/>
    <hyperlink r:id="rId57" ref="B21"/>
    <hyperlink r:id="rId58" ref="E21"/>
    <hyperlink r:id="rId59" ref="O21"/>
    <hyperlink r:id="rId60" ref="B22"/>
    <hyperlink r:id="rId61" ref="E22"/>
    <hyperlink r:id="rId62" ref="O22"/>
    <hyperlink r:id="rId63" ref="B23"/>
    <hyperlink r:id="rId64" ref="E23"/>
    <hyperlink r:id="rId65" ref="O23"/>
    <hyperlink r:id="rId66" ref="B24"/>
    <hyperlink r:id="rId67" ref="E24"/>
    <hyperlink r:id="rId68" ref="O24"/>
    <hyperlink r:id="rId69" ref="B25"/>
    <hyperlink r:id="rId70" ref="E25"/>
    <hyperlink r:id="rId71" ref="O25"/>
    <hyperlink r:id="rId72" ref="B26"/>
    <hyperlink r:id="rId73" ref="E26"/>
    <hyperlink r:id="rId74" ref="O26"/>
    <hyperlink r:id="rId75" ref="B27"/>
    <hyperlink r:id="rId76" ref="E27"/>
    <hyperlink r:id="rId77" ref="O27"/>
    <hyperlink r:id="rId78" ref="B28"/>
    <hyperlink r:id="rId79" ref="E28"/>
    <hyperlink r:id="rId80" ref="O28"/>
    <hyperlink r:id="rId81" ref="B29"/>
    <hyperlink r:id="rId82" ref="E29"/>
    <hyperlink r:id="rId83" ref="O29"/>
    <hyperlink r:id="rId84" ref="B30"/>
    <hyperlink r:id="rId85" ref="E30"/>
    <hyperlink r:id="rId86" ref="O30"/>
    <hyperlink r:id="rId87" ref="B31"/>
    <hyperlink r:id="rId88" ref="E31"/>
    <hyperlink r:id="rId89" ref="O31"/>
    <hyperlink r:id="rId90" ref="B32"/>
    <hyperlink r:id="rId91" ref="E32"/>
    <hyperlink r:id="rId92" ref="O32"/>
    <hyperlink r:id="rId93" ref="B33"/>
    <hyperlink r:id="rId94" ref="E33"/>
    <hyperlink r:id="rId95" ref="O33"/>
    <hyperlink r:id="rId96" ref="B34"/>
    <hyperlink r:id="rId97" ref="E34"/>
    <hyperlink r:id="rId98" ref="O34"/>
    <hyperlink r:id="rId99" ref="B35"/>
    <hyperlink r:id="rId100" ref="E35"/>
    <hyperlink r:id="rId101" ref="O35"/>
    <hyperlink r:id="rId102" ref="B36"/>
    <hyperlink r:id="rId103" ref="E36"/>
    <hyperlink r:id="rId104" ref="O36"/>
    <hyperlink r:id="rId105" ref="B37"/>
    <hyperlink r:id="rId106" ref="E37"/>
    <hyperlink r:id="rId107" ref="O37"/>
    <hyperlink r:id="rId108" ref="B38"/>
    <hyperlink r:id="rId109" ref="E38"/>
    <hyperlink r:id="rId110" ref="O38"/>
    <hyperlink r:id="rId111" ref="B39"/>
    <hyperlink r:id="rId112" ref="E39"/>
    <hyperlink r:id="rId113" ref="O39"/>
    <hyperlink r:id="rId114" ref="B40"/>
    <hyperlink r:id="rId115" ref="E40"/>
    <hyperlink r:id="rId116" ref="O40"/>
    <hyperlink r:id="rId117" ref="B41"/>
    <hyperlink r:id="rId118" ref="E41"/>
    <hyperlink r:id="rId119" ref="O41"/>
    <hyperlink r:id="rId120" ref="B42"/>
    <hyperlink r:id="rId121" ref="E42"/>
    <hyperlink r:id="rId122" ref="O42"/>
    <hyperlink r:id="rId123" ref="B43"/>
    <hyperlink r:id="rId124" ref="E43"/>
    <hyperlink r:id="rId125" ref="O43"/>
    <hyperlink r:id="rId126" ref="B44"/>
    <hyperlink r:id="rId127" ref="E44"/>
    <hyperlink r:id="rId128" ref="O44"/>
    <hyperlink r:id="rId129" ref="B45"/>
    <hyperlink r:id="rId130" ref="E45"/>
    <hyperlink r:id="rId131" ref="O45"/>
    <hyperlink r:id="rId132" ref="B46"/>
    <hyperlink r:id="rId133" ref="E46"/>
    <hyperlink r:id="rId134" ref="O46"/>
    <hyperlink r:id="rId135" ref="B47"/>
    <hyperlink r:id="rId136" ref="E47"/>
    <hyperlink r:id="rId137" ref="O47"/>
    <hyperlink r:id="rId138" ref="B48"/>
    <hyperlink r:id="rId139" ref="E48"/>
    <hyperlink r:id="rId140" ref="O48"/>
    <hyperlink r:id="rId141" ref="B49"/>
    <hyperlink r:id="rId142" ref="E49"/>
    <hyperlink r:id="rId143" ref="O49"/>
    <hyperlink r:id="rId144" ref="B50"/>
    <hyperlink r:id="rId145" ref="E50"/>
    <hyperlink r:id="rId146" ref="O50"/>
    <hyperlink r:id="rId147" ref="B51"/>
    <hyperlink r:id="rId148" ref="E51"/>
    <hyperlink r:id="rId149" ref="O51"/>
    <hyperlink r:id="rId150" ref="B52"/>
    <hyperlink r:id="rId151" ref="E52"/>
    <hyperlink r:id="rId152" ref="O52"/>
    <hyperlink r:id="rId153" ref="B53"/>
    <hyperlink r:id="rId154" ref="E53"/>
    <hyperlink r:id="rId155" ref="O53"/>
    <hyperlink r:id="rId156" ref="B54"/>
    <hyperlink r:id="rId157" ref="E54"/>
    <hyperlink r:id="rId158" ref="O54"/>
    <hyperlink r:id="rId159" ref="B55"/>
    <hyperlink r:id="rId160" ref="E55"/>
    <hyperlink r:id="rId161" ref="O55"/>
    <hyperlink r:id="rId162" ref="B56"/>
    <hyperlink r:id="rId163" ref="E56"/>
    <hyperlink r:id="rId164" ref="O56"/>
    <hyperlink r:id="rId165" ref="B57"/>
    <hyperlink r:id="rId166" ref="E57"/>
    <hyperlink r:id="rId167" ref="O57"/>
    <hyperlink r:id="rId168" ref="B58"/>
    <hyperlink r:id="rId169" ref="E58"/>
    <hyperlink r:id="rId170" ref="O58"/>
    <hyperlink r:id="rId171" ref="B59"/>
    <hyperlink r:id="rId172" ref="E59"/>
    <hyperlink r:id="rId173" ref="O59"/>
    <hyperlink r:id="rId174" ref="B60"/>
    <hyperlink r:id="rId175" ref="E60"/>
    <hyperlink r:id="rId176" ref="O60"/>
    <hyperlink r:id="rId177" ref="B61"/>
    <hyperlink r:id="rId178" ref="E61"/>
    <hyperlink r:id="rId179" ref="O61"/>
    <hyperlink r:id="rId180" ref="B62"/>
    <hyperlink r:id="rId181" ref="E62"/>
    <hyperlink r:id="rId182" ref="O62"/>
    <hyperlink r:id="rId183" ref="B63"/>
    <hyperlink r:id="rId184" ref="E63"/>
    <hyperlink r:id="rId185" ref="O63"/>
    <hyperlink r:id="rId186" ref="B64"/>
    <hyperlink r:id="rId187" ref="E64"/>
    <hyperlink r:id="rId188" ref="O64"/>
    <hyperlink r:id="rId189" ref="B65"/>
    <hyperlink r:id="rId190" ref="E65"/>
    <hyperlink r:id="rId191" ref="O65"/>
    <hyperlink r:id="rId192" ref="B66"/>
    <hyperlink r:id="rId193" ref="E66"/>
    <hyperlink r:id="rId194" ref="O66"/>
    <hyperlink r:id="rId195" ref="B67"/>
    <hyperlink r:id="rId196" ref="E67"/>
    <hyperlink r:id="rId197" ref="O67"/>
    <hyperlink r:id="rId198" ref="B68"/>
    <hyperlink r:id="rId199" ref="E68"/>
    <hyperlink r:id="rId200" ref="O68"/>
    <hyperlink r:id="rId201" ref="B69"/>
    <hyperlink r:id="rId202" ref="E69"/>
    <hyperlink r:id="rId203" ref="O69"/>
    <hyperlink r:id="rId204" ref="B70"/>
    <hyperlink r:id="rId205" ref="E70"/>
    <hyperlink r:id="rId206" ref="O70"/>
    <hyperlink r:id="rId207" ref="B71"/>
    <hyperlink r:id="rId208" ref="E71"/>
    <hyperlink r:id="rId209" ref="O71"/>
    <hyperlink r:id="rId210" ref="B72"/>
    <hyperlink r:id="rId211" ref="E72"/>
    <hyperlink r:id="rId212" ref="F72"/>
    <hyperlink r:id="rId213" ref="O72"/>
    <hyperlink r:id="rId214" ref="B73"/>
    <hyperlink r:id="rId215" ref="E73"/>
    <hyperlink r:id="rId216" ref="F73"/>
    <hyperlink r:id="rId217" ref="O73"/>
    <hyperlink r:id="rId218" ref="B74"/>
    <hyperlink r:id="rId219" ref="E74"/>
    <hyperlink r:id="rId220" ref="O74"/>
    <hyperlink r:id="rId221" ref="B75"/>
    <hyperlink r:id="rId222" ref="E75"/>
    <hyperlink r:id="rId223" ref="O75"/>
    <hyperlink r:id="rId224" ref="B76"/>
    <hyperlink r:id="rId225" ref="E76"/>
    <hyperlink r:id="rId226" ref="O76"/>
    <hyperlink r:id="rId227" ref="B77"/>
    <hyperlink r:id="rId228" ref="E77"/>
    <hyperlink r:id="rId229" ref="O77"/>
    <hyperlink r:id="rId230" ref="B78"/>
    <hyperlink r:id="rId231" ref="E78"/>
    <hyperlink r:id="rId232" ref="O78"/>
    <hyperlink r:id="rId233" ref="B79"/>
    <hyperlink r:id="rId234" ref="E79"/>
    <hyperlink r:id="rId235" ref="O79"/>
    <hyperlink r:id="rId236" ref="B80"/>
    <hyperlink r:id="rId237" ref="E80"/>
    <hyperlink r:id="rId238" ref="O80"/>
    <hyperlink r:id="rId239" ref="B81"/>
    <hyperlink r:id="rId240" ref="E81"/>
    <hyperlink r:id="rId241" ref="O81"/>
    <hyperlink r:id="rId242" ref="B82"/>
    <hyperlink r:id="rId243" ref="E82"/>
    <hyperlink r:id="rId244" ref="O82"/>
    <hyperlink r:id="rId245" ref="B83"/>
    <hyperlink r:id="rId246" ref="E83"/>
    <hyperlink r:id="rId247" ref="O83"/>
    <hyperlink r:id="rId248" ref="B84"/>
    <hyperlink r:id="rId249" ref="E84"/>
    <hyperlink r:id="rId250" ref="O84"/>
    <hyperlink r:id="rId251" ref="B85"/>
    <hyperlink r:id="rId252" ref="E85"/>
    <hyperlink r:id="rId253" ref="O85"/>
    <hyperlink r:id="rId254" ref="B86"/>
    <hyperlink r:id="rId255" ref="E86"/>
    <hyperlink r:id="rId256" ref="O86"/>
    <hyperlink r:id="rId257" ref="B87"/>
    <hyperlink r:id="rId258" ref="E87"/>
    <hyperlink r:id="rId259" ref="O87"/>
    <hyperlink r:id="rId260" ref="B88"/>
    <hyperlink r:id="rId261" ref="E88"/>
    <hyperlink r:id="rId262" ref="O88"/>
    <hyperlink r:id="rId263" ref="B89"/>
    <hyperlink r:id="rId264" ref="E89"/>
    <hyperlink r:id="rId265" ref="O89"/>
    <hyperlink r:id="rId266" ref="B90"/>
    <hyperlink r:id="rId267" ref="E90"/>
    <hyperlink r:id="rId268" ref="O90"/>
    <hyperlink r:id="rId269" ref="B91"/>
    <hyperlink r:id="rId270" ref="E91"/>
    <hyperlink r:id="rId271" ref="O91"/>
    <hyperlink r:id="rId272" ref="B92"/>
    <hyperlink r:id="rId273" ref="E92"/>
    <hyperlink r:id="rId274" ref="O92"/>
    <hyperlink r:id="rId275" ref="B93"/>
    <hyperlink r:id="rId276" ref="E93"/>
    <hyperlink r:id="rId277" ref="O93"/>
    <hyperlink r:id="rId278" ref="B94"/>
    <hyperlink r:id="rId279" ref="E94"/>
    <hyperlink r:id="rId280" ref="O94"/>
    <hyperlink r:id="rId281" ref="B95"/>
    <hyperlink r:id="rId282" ref="E95"/>
    <hyperlink r:id="rId283" ref="O95"/>
    <hyperlink r:id="rId284" ref="B96"/>
    <hyperlink r:id="rId285" ref="E96"/>
    <hyperlink r:id="rId286" ref="O96"/>
    <hyperlink r:id="rId287" ref="B97"/>
    <hyperlink r:id="rId288" ref="E97"/>
    <hyperlink r:id="rId289" ref="O97"/>
    <hyperlink r:id="rId290" ref="B98"/>
    <hyperlink r:id="rId291" ref="E98"/>
    <hyperlink r:id="rId292" ref="O98"/>
    <hyperlink r:id="rId293" ref="B99"/>
    <hyperlink r:id="rId294" ref="E99"/>
    <hyperlink r:id="rId295" ref="O99"/>
    <hyperlink r:id="rId296" ref="B100"/>
    <hyperlink r:id="rId297" ref="E100"/>
    <hyperlink r:id="rId298" ref="O100"/>
    <hyperlink r:id="rId299" ref="B101"/>
    <hyperlink r:id="rId300" ref="E101"/>
    <hyperlink r:id="rId301" ref="O101"/>
    <hyperlink r:id="rId302" ref="B102"/>
    <hyperlink r:id="rId303" ref="E102"/>
    <hyperlink r:id="rId304" ref="O102"/>
    <hyperlink r:id="rId305" ref="B103"/>
    <hyperlink r:id="rId306" ref="E103"/>
    <hyperlink r:id="rId307" ref="O103"/>
    <hyperlink r:id="rId308" ref="B104"/>
    <hyperlink r:id="rId309" ref="E104"/>
    <hyperlink r:id="rId310" ref="O104"/>
    <hyperlink r:id="rId311" ref="B105"/>
    <hyperlink r:id="rId312" ref="E105"/>
    <hyperlink r:id="rId313" ref="O105"/>
    <hyperlink r:id="rId314" ref="B106"/>
    <hyperlink r:id="rId315" ref="E106"/>
    <hyperlink r:id="rId316" ref="O106"/>
    <hyperlink r:id="rId317" ref="B107"/>
    <hyperlink r:id="rId318" ref="E107"/>
    <hyperlink r:id="rId319" ref="O107"/>
    <hyperlink r:id="rId320" ref="B108"/>
    <hyperlink r:id="rId321" ref="E108"/>
    <hyperlink r:id="rId322" ref="O108"/>
    <hyperlink r:id="rId323" ref="B109"/>
    <hyperlink r:id="rId324" ref="E109"/>
    <hyperlink r:id="rId325" ref="O109"/>
    <hyperlink r:id="rId326" ref="B110"/>
    <hyperlink r:id="rId327" ref="E110"/>
    <hyperlink r:id="rId328" ref="O110"/>
    <hyperlink r:id="rId329" ref="B111"/>
    <hyperlink r:id="rId330" ref="E111"/>
    <hyperlink r:id="rId331" ref="O111"/>
    <hyperlink r:id="rId332" ref="B112"/>
    <hyperlink r:id="rId333" ref="E112"/>
    <hyperlink r:id="rId334" ref="O112"/>
    <hyperlink r:id="rId335" ref="B113"/>
    <hyperlink r:id="rId336" ref="E113"/>
    <hyperlink r:id="rId337" ref="O113"/>
    <hyperlink r:id="rId338" ref="B114"/>
    <hyperlink r:id="rId339" ref="E114"/>
    <hyperlink r:id="rId340" ref="O114"/>
    <hyperlink r:id="rId341" ref="B115"/>
    <hyperlink r:id="rId342" ref="E115"/>
    <hyperlink r:id="rId343" ref="O115"/>
    <hyperlink r:id="rId344" ref="B116"/>
    <hyperlink r:id="rId345" ref="E116"/>
    <hyperlink r:id="rId346" ref="O116"/>
    <hyperlink r:id="rId347" ref="B117"/>
    <hyperlink r:id="rId348" ref="E117"/>
    <hyperlink r:id="rId349" ref="O117"/>
    <hyperlink r:id="rId350" ref="B118"/>
    <hyperlink r:id="rId351" ref="E118"/>
    <hyperlink r:id="rId352" ref="O118"/>
    <hyperlink r:id="rId353" ref="B119"/>
    <hyperlink r:id="rId354" ref="E119"/>
    <hyperlink r:id="rId355" ref="O119"/>
    <hyperlink r:id="rId356" ref="B120"/>
    <hyperlink r:id="rId357" ref="E120"/>
    <hyperlink r:id="rId358" ref="O120"/>
    <hyperlink r:id="rId359" ref="B121"/>
    <hyperlink r:id="rId360" ref="E121"/>
    <hyperlink r:id="rId361" ref="O121"/>
    <hyperlink r:id="rId362" ref="B122"/>
    <hyperlink r:id="rId363" ref="E122"/>
    <hyperlink r:id="rId364" ref="O122"/>
    <hyperlink r:id="rId365" ref="B123"/>
    <hyperlink r:id="rId366" ref="E123"/>
    <hyperlink r:id="rId367" ref="O123"/>
    <hyperlink r:id="rId368" ref="B124"/>
    <hyperlink r:id="rId369" ref="E124"/>
    <hyperlink r:id="rId370" ref="O124"/>
    <hyperlink r:id="rId371" ref="B125"/>
    <hyperlink r:id="rId372" ref="E125"/>
    <hyperlink r:id="rId373" ref="O125"/>
    <hyperlink r:id="rId374" ref="B126"/>
    <hyperlink r:id="rId375" ref="E126"/>
    <hyperlink r:id="rId376" ref="O126"/>
    <hyperlink r:id="rId377" ref="B127"/>
    <hyperlink r:id="rId378" ref="E127"/>
    <hyperlink r:id="rId379" ref="O127"/>
    <hyperlink r:id="rId380" ref="B128"/>
    <hyperlink r:id="rId381" ref="E128"/>
    <hyperlink r:id="rId382" ref="O128"/>
    <hyperlink r:id="rId383" ref="B129"/>
    <hyperlink r:id="rId384" ref="E129"/>
    <hyperlink r:id="rId385" ref="O129"/>
    <hyperlink r:id="rId386" ref="B130"/>
    <hyperlink r:id="rId387" ref="E130"/>
    <hyperlink r:id="rId388" ref="O130"/>
    <hyperlink r:id="rId389" ref="B131"/>
    <hyperlink r:id="rId390" ref="E131"/>
    <hyperlink r:id="rId391" ref="O131"/>
    <hyperlink r:id="rId392" ref="B132"/>
    <hyperlink r:id="rId393" ref="E132"/>
    <hyperlink r:id="rId394" ref="O132"/>
    <hyperlink r:id="rId395" ref="B133"/>
    <hyperlink r:id="rId396" ref="E133"/>
    <hyperlink r:id="rId397" ref="O133"/>
    <hyperlink r:id="rId398" ref="B134"/>
    <hyperlink r:id="rId399" ref="E134"/>
    <hyperlink r:id="rId400" ref="O134"/>
    <hyperlink r:id="rId401" ref="B135"/>
    <hyperlink r:id="rId402" ref="E135"/>
    <hyperlink r:id="rId403" ref="O135"/>
    <hyperlink r:id="rId404" ref="B136"/>
    <hyperlink r:id="rId405" ref="E136"/>
    <hyperlink r:id="rId406" ref="O136"/>
    <hyperlink r:id="rId407" ref="B137"/>
    <hyperlink r:id="rId408" ref="E137"/>
    <hyperlink r:id="rId409" ref="O137"/>
    <hyperlink r:id="rId410" ref="B138"/>
    <hyperlink r:id="rId411" ref="C138"/>
    <hyperlink r:id="rId412" ref="E138"/>
    <hyperlink r:id="rId413" ref="O138"/>
    <hyperlink r:id="rId414" ref="B139"/>
    <hyperlink r:id="rId415" ref="E139"/>
    <hyperlink r:id="rId416" ref="O139"/>
    <hyperlink r:id="rId417" ref="B140"/>
    <hyperlink r:id="rId418" ref="E140"/>
    <hyperlink r:id="rId419" ref="O140"/>
    <hyperlink r:id="rId420" ref="B141"/>
    <hyperlink r:id="rId421" ref="E141"/>
    <hyperlink r:id="rId422" ref="O141"/>
    <hyperlink r:id="rId423" ref="B142"/>
    <hyperlink r:id="rId424" ref="E142"/>
    <hyperlink r:id="rId425" ref="O142"/>
    <hyperlink r:id="rId426" ref="B143"/>
    <hyperlink r:id="rId427" ref="E143"/>
    <hyperlink r:id="rId428" ref="O143"/>
    <hyperlink r:id="rId429" ref="B144"/>
    <hyperlink r:id="rId430" ref="E144"/>
    <hyperlink r:id="rId431" ref="O144"/>
    <hyperlink r:id="rId432" ref="B145"/>
    <hyperlink r:id="rId433" ref="E145"/>
    <hyperlink r:id="rId434" ref="O145"/>
    <hyperlink r:id="rId435" ref="B146"/>
    <hyperlink r:id="rId436" ref="E146"/>
    <hyperlink r:id="rId437" ref="F146"/>
    <hyperlink r:id="rId438" ref="O146"/>
    <hyperlink r:id="rId439" ref="B147"/>
    <hyperlink r:id="rId440" ref="E147"/>
    <hyperlink r:id="rId441" ref="F147"/>
    <hyperlink r:id="rId442" ref="O147"/>
    <hyperlink r:id="rId443" ref="B148"/>
    <hyperlink r:id="rId444" ref="E148"/>
    <hyperlink r:id="rId445" ref="F148"/>
    <hyperlink r:id="rId446" ref="O148"/>
    <hyperlink r:id="rId447" ref="B149"/>
    <hyperlink r:id="rId448" ref="E149"/>
    <hyperlink r:id="rId449" ref="F149"/>
    <hyperlink r:id="rId450" ref="O149"/>
    <hyperlink r:id="rId451" ref="B150"/>
    <hyperlink r:id="rId452" ref="E150"/>
    <hyperlink r:id="rId453" ref="F150"/>
    <hyperlink r:id="rId454" ref="O150"/>
    <hyperlink r:id="rId455" ref="B151"/>
    <hyperlink r:id="rId456" ref="E151"/>
    <hyperlink r:id="rId457" ref="O151"/>
    <hyperlink r:id="rId458" ref="B152"/>
    <hyperlink r:id="rId459" ref="E152"/>
    <hyperlink r:id="rId460" ref="O152"/>
    <hyperlink r:id="rId461" ref="B153"/>
    <hyperlink r:id="rId462" ref="E153"/>
    <hyperlink r:id="rId463" ref="O153"/>
    <hyperlink r:id="rId464" ref="B154"/>
    <hyperlink r:id="rId465" ref="E154"/>
    <hyperlink r:id="rId466" ref="O154"/>
    <hyperlink r:id="rId467" ref="B155"/>
    <hyperlink r:id="rId468" ref="E155"/>
    <hyperlink r:id="rId469" ref="O155"/>
    <hyperlink r:id="rId470" ref="B156"/>
    <hyperlink r:id="rId471" ref="E156"/>
    <hyperlink r:id="rId472" ref="O156"/>
    <hyperlink r:id="rId473" ref="B157"/>
    <hyperlink r:id="rId474" ref="E157"/>
    <hyperlink r:id="rId475" ref="O157"/>
    <hyperlink r:id="rId476" ref="B158"/>
    <hyperlink r:id="rId477" ref="E158"/>
    <hyperlink r:id="rId478" ref="O158"/>
    <hyperlink r:id="rId479" ref="B159"/>
    <hyperlink r:id="rId480" ref="E159"/>
    <hyperlink r:id="rId481" ref="O159"/>
    <hyperlink r:id="rId482" ref="B160"/>
    <hyperlink r:id="rId483" ref="E160"/>
    <hyperlink r:id="rId484" ref="O160"/>
    <hyperlink r:id="rId485" ref="B161"/>
    <hyperlink r:id="rId486" ref="E161"/>
    <hyperlink r:id="rId487" ref="O161"/>
    <hyperlink r:id="rId488" ref="B162"/>
    <hyperlink r:id="rId489" ref="E162"/>
    <hyperlink r:id="rId490" ref="O162"/>
    <hyperlink r:id="rId491" ref="B163"/>
    <hyperlink r:id="rId492" ref="E163"/>
    <hyperlink r:id="rId493" ref="O163"/>
    <hyperlink r:id="rId494" ref="B164"/>
    <hyperlink r:id="rId495" ref="E164"/>
    <hyperlink r:id="rId496" ref="O164"/>
    <hyperlink r:id="rId497" ref="B165"/>
    <hyperlink r:id="rId498" ref="E165"/>
    <hyperlink r:id="rId499" ref="O165"/>
    <hyperlink r:id="rId500" ref="B166"/>
    <hyperlink r:id="rId501" ref="E166"/>
    <hyperlink r:id="rId502" ref="O166"/>
    <hyperlink r:id="rId503" ref="B167"/>
    <hyperlink r:id="rId504" ref="E167"/>
    <hyperlink r:id="rId505" ref="O167"/>
    <hyperlink r:id="rId506" ref="B168"/>
    <hyperlink r:id="rId507" ref="E168"/>
    <hyperlink r:id="rId508" ref="O168"/>
    <hyperlink r:id="rId509" ref="B169"/>
    <hyperlink r:id="rId510" ref="E169"/>
    <hyperlink r:id="rId511" ref="O169"/>
    <hyperlink r:id="rId512" ref="B170"/>
    <hyperlink r:id="rId513" ref="E170"/>
    <hyperlink r:id="rId514" ref="O170"/>
    <hyperlink r:id="rId515" ref="B171"/>
    <hyperlink r:id="rId516" ref="E171"/>
    <hyperlink r:id="rId517" ref="O171"/>
    <hyperlink r:id="rId518" ref="B172"/>
    <hyperlink r:id="rId519" ref="E172"/>
    <hyperlink r:id="rId520" ref="O172"/>
    <hyperlink r:id="rId521" ref="B173"/>
    <hyperlink r:id="rId522" ref="E173"/>
    <hyperlink r:id="rId523" ref="O173"/>
    <hyperlink r:id="rId524" ref="B174"/>
    <hyperlink r:id="rId525" ref="E174"/>
    <hyperlink r:id="rId526" ref="O174"/>
    <hyperlink r:id="rId527" ref="B175"/>
    <hyperlink r:id="rId528" ref="E175"/>
    <hyperlink r:id="rId529" ref="O175"/>
    <hyperlink r:id="rId530" ref="B176"/>
    <hyperlink r:id="rId531" ref="E176"/>
    <hyperlink r:id="rId532" ref="O176"/>
    <hyperlink r:id="rId533" ref="B177"/>
    <hyperlink r:id="rId534" ref="E177"/>
    <hyperlink r:id="rId535" ref="O177"/>
    <hyperlink r:id="rId536" ref="B178"/>
    <hyperlink r:id="rId537" ref="E178"/>
    <hyperlink r:id="rId538" ref="O178"/>
    <hyperlink r:id="rId539" ref="B179"/>
    <hyperlink r:id="rId540" ref="E179"/>
    <hyperlink r:id="rId541" ref="O179"/>
    <hyperlink r:id="rId542" ref="B180"/>
    <hyperlink r:id="rId543" ref="E180"/>
    <hyperlink r:id="rId544" ref="O180"/>
    <hyperlink r:id="rId545" ref="B181"/>
    <hyperlink r:id="rId546" ref="E181"/>
    <hyperlink r:id="rId547" ref="O181"/>
    <hyperlink r:id="rId548" ref="B182"/>
    <hyperlink r:id="rId549" ref="E182"/>
    <hyperlink r:id="rId550" ref="O182"/>
    <hyperlink r:id="rId551" ref="B183"/>
    <hyperlink r:id="rId552" ref="E183"/>
    <hyperlink r:id="rId553" ref="O183"/>
    <hyperlink r:id="rId554" ref="B184"/>
    <hyperlink r:id="rId555" ref="E184"/>
    <hyperlink r:id="rId556" ref="O184"/>
    <hyperlink r:id="rId557" ref="B185"/>
    <hyperlink r:id="rId558" ref="E185"/>
    <hyperlink r:id="rId559" ref="O185"/>
    <hyperlink r:id="rId560" ref="B186"/>
    <hyperlink r:id="rId561" ref="E186"/>
    <hyperlink r:id="rId562" ref="O186"/>
    <hyperlink r:id="rId563" ref="B187"/>
    <hyperlink r:id="rId564" ref="E187"/>
    <hyperlink r:id="rId565" ref="O187"/>
    <hyperlink r:id="rId566" ref="B188"/>
    <hyperlink r:id="rId567" ref="E188"/>
    <hyperlink r:id="rId568" ref="O188"/>
    <hyperlink r:id="rId569" ref="B189"/>
    <hyperlink r:id="rId570" ref="E189"/>
    <hyperlink r:id="rId571" ref="O189"/>
    <hyperlink r:id="rId572" ref="B190"/>
    <hyperlink r:id="rId573" ref="E190"/>
    <hyperlink r:id="rId574" ref="O190"/>
    <hyperlink r:id="rId575" ref="B191"/>
    <hyperlink r:id="rId576" ref="E191"/>
    <hyperlink r:id="rId577" ref="O191"/>
    <hyperlink r:id="rId578" ref="B192"/>
    <hyperlink r:id="rId579" ref="E192"/>
    <hyperlink r:id="rId580" ref="O192"/>
    <hyperlink r:id="rId581" ref="B193"/>
    <hyperlink r:id="rId582" ref="E193"/>
    <hyperlink r:id="rId583" ref="O193"/>
    <hyperlink r:id="rId584" ref="B194"/>
    <hyperlink r:id="rId585" ref="E194"/>
    <hyperlink r:id="rId586" ref="O194"/>
    <hyperlink r:id="rId587" ref="B195"/>
    <hyperlink r:id="rId588" ref="E195"/>
    <hyperlink r:id="rId589" ref="O195"/>
    <hyperlink r:id="rId590" ref="B196"/>
    <hyperlink r:id="rId591" ref="E196"/>
    <hyperlink r:id="rId592" ref="O196"/>
    <hyperlink r:id="rId593" ref="B197"/>
    <hyperlink r:id="rId594" ref="E197"/>
    <hyperlink r:id="rId595" ref="O197"/>
    <hyperlink r:id="rId596" ref="B198"/>
    <hyperlink r:id="rId597" ref="E198"/>
    <hyperlink r:id="rId598" ref="O198"/>
    <hyperlink r:id="rId599" ref="B199"/>
    <hyperlink r:id="rId600" ref="E199"/>
    <hyperlink r:id="rId601" ref="O199"/>
    <hyperlink r:id="rId602" ref="B200"/>
    <hyperlink r:id="rId603" ref="E200"/>
    <hyperlink r:id="rId604" ref="O200"/>
    <hyperlink r:id="rId605" ref="B201"/>
    <hyperlink r:id="rId606" ref="E201"/>
    <hyperlink r:id="rId607" ref="O201"/>
    <hyperlink r:id="rId608" ref="B202"/>
    <hyperlink r:id="rId609" ref="E202"/>
    <hyperlink r:id="rId610" ref="O202"/>
    <hyperlink r:id="rId611" ref="B203"/>
    <hyperlink r:id="rId612" ref="E203"/>
    <hyperlink r:id="rId613" ref="O203"/>
    <hyperlink r:id="rId614" ref="B204"/>
    <hyperlink r:id="rId615" ref="E204"/>
    <hyperlink r:id="rId616" ref="O204"/>
    <hyperlink r:id="rId617" ref="B205"/>
    <hyperlink r:id="rId618" ref="E205"/>
    <hyperlink r:id="rId619" ref="O205"/>
    <hyperlink r:id="rId620" ref="B206"/>
    <hyperlink r:id="rId621" ref="E206"/>
    <hyperlink r:id="rId622" ref="O206"/>
    <hyperlink r:id="rId623" ref="B207"/>
    <hyperlink r:id="rId624" ref="E207"/>
    <hyperlink r:id="rId625" ref="O207"/>
    <hyperlink r:id="rId626" ref="B208"/>
    <hyperlink r:id="rId627" ref="E208"/>
    <hyperlink r:id="rId628" ref="O208"/>
    <hyperlink r:id="rId629" ref="B209"/>
    <hyperlink r:id="rId630" ref="E209"/>
    <hyperlink r:id="rId631" ref="O209"/>
    <hyperlink r:id="rId632" ref="B210"/>
    <hyperlink r:id="rId633" ref="E210"/>
    <hyperlink r:id="rId634" ref="O210"/>
    <hyperlink r:id="rId635" ref="B211"/>
    <hyperlink r:id="rId636" ref="E211"/>
    <hyperlink r:id="rId637" ref="O211"/>
    <hyperlink r:id="rId638" ref="B212"/>
    <hyperlink r:id="rId639" ref="E212"/>
    <hyperlink r:id="rId640" ref="O212"/>
    <hyperlink r:id="rId641" ref="B213"/>
    <hyperlink r:id="rId642" ref="E213"/>
    <hyperlink r:id="rId643" ref="O213"/>
    <hyperlink r:id="rId644" ref="B214"/>
    <hyperlink r:id="rId645" ref="E214"/>
    <hyperlink r:id="rId646" ref="O214"/>
    <hyperlink r:id="rId647" ref="B215"/>
    <hyperlink r:id="rId648" ref="E215"/>
    <hyperlink r:id="rId649" ref="O215"/>
    <hyperlink r:id="rId650" ref="B216"/>
    <hyperlink r:id="rId651" ref="E216"/>
    <hyperlink r:id="rId652" ref="O216"/>
    <hyperlink r:id="rId653" ref="B217"/>
    <hyperlink r:id="rId654" ref="E217"/>
    <hyperlink r:id="rId655" ref="O217"/>
    <hyperlink r:id="rId656" ref="B218"/>
    <hyperlink r:id="rId657" ref="E218"/>
    <hyperlink r:id="rId658" ref="O218"/>
    <hyperlink r:id="rId659" ref="B219"/>
    <hyperlink r:id="rId660" ref="E219"/>
    <hyperlink r:id="rId661" ref="O219"/>
    <hyperlink r:id="rId662" ref="B220"/>
    <hyperlink r:id="rId663" ref="E220"/>
    <hyperlink r:id="rId664" ref="O220"/>
    <hyperlink r:id="rId665" ref="B221"/>
    <hyperlink r:id="rId666" ref="E221"/>
    <hyperlink r:id="rId667" ref="O221"/>
    <hyperlink r:id="rId668" ref="B222"/>
    <hyperlink r:id="rId669" ref="E222"/>
    <hyperlink r:id="rId670" ref="O222"/>
    <hyperlink r:id="rId671" ref="B223"/>
    <hyperlink r:id="rId672" ref="E223"/>
    <hyperlink r:id="rId673" ref="O223"/>
    <hyperlink r:id="rId674" ref="B224"/>
    <hyperlink r:id="rId675" ref="E224"/>
    <hyperlink r:id="rId676" ref="O224"/>
    <hyperlink r:id="rId677" ref="B225"/>
    <hyperlink r:id="rId678" ref="E225"/>
    <hyperlink r:id="rId679" ref="O225"/>
    <hyperlink r:id="rId680" ref="B226"/>
    <hyperlink r:id="rId681" ref="E226"/>
    <hyperlink r:id="rId682" ref="O226"/>
    <hyperlink r:id="rId683" ref="B227"/>
    <hyperlink r:id="rId684" ref="E227"/>
    <hyperlink r:id="rId685" ref="O227"/>
    <hyperlink r:id="rId686" ref="B228"/>
    <hyperlink r:id="rId687" ref="E228"/>
    <hyperlink r:id="rId688" ref="O228"/>
    <hyperlink r:id="rId689" ref="B229"/>
    <hyperlink r:id="rId690" ref="E229"/>
    <hyperlink r:id="rId691" ref="O229"/>
    <hyperlink r:id="rId692" ref="B230"/>
    <hyperlink r:id="rId693" ref="E230"/>
    <hyperlink r:id="rId694" ref="O230"/>
    <hyperlink r:id="rId695" ref="B231"/>
    <hyperlink r:id="rId696" ref="E231"/>
    <hyperlink r:id="rId697" ref="O231"/>
    <hyperlink r:id="rId698" ref="B232"/>
    <hyperlink r:id="rId699" ref="E232"/>
    <hyperlink r:id="rId700" ref="F232"/>
    <hyperlink r:id="rId701" ref="O232"/>
    <hyperlink r:id="rId702" ref="B233"/>
    <hyperlink r:id="rId703" ref="E233"/>
    <hyperlink r:id="rId704" ref="O233"/>
    <hyperlink r:id="rId705" ref="B234"/>
    <hyperlink r:id="rId706" ref="E234"/>
    <hyperlink r:id="rId707" ref="O234"/>
    <hyperlink r:id="rId708" ref="B235"/>
    <hyperlink r:id="rId709" ref="E235"/>
    <hyperlink r:id="rId710" ref="O235"/>
    <hyperlink r:id="rId711" ref="B236"/>
    <hyperlink r:id="rId712" ref="E236"/>
    <hyperlink r:id="rId713" ref="O236"/>
    <hyperlink r:id="rId714" ref="B237"/>
    <hyperlink r:id="rId715" ref="E237"/>
    <hyperlink r:id="rId716" ref="O237"/>
    <hyperlink r:id="rId717" ref="B238"/>
    <hyperlink r:id="rId718" ref="E238"/>
    <hyperlink r:id="rId719" ref="O238"/>
    <hyperlink r:id="rId720" ref="B239"/>
    <hyperlink r:id="rId721" ref="E239"/>
    <hyperlink r:id="rId722" ref="O239"/>
    <hyperlink r:id="rId723" ref="B240"/>
    <hyperlink r:id="rId724" ref="E240"/>
    <hyperlink r:id="rId725" ref="O240"/>
    <hyperlink r:id="rId726" ref="B241"/>
    <hyperlink r:id="rId727" ref="E241"/>
    <hyperlink r:id="rId728" ref="O241"/>
    <hyperlink r:id="rId729" ref="B242"/>
    <hyperlink r:id="rId730" ref="E242"/>
    <hyperlink r:id="rId731" ref="O242"/>
    <hyperlink r:id="rId732" ref="B243"/>
    <hyperlink r:id="rId733" ref="E243"/>
    <hyperlink r:id="rId734" ref="O243"/>
    <hyperlink r:id="rId735" ref="B244"/>
    <hyperlink r:id="rId736" ref="E244"/>
    <hyperlink r:id="rId737" ref="O244"/>
    <hyperlink r:id="rId738" ref="B245"/>
    <hyperlink r:id="rId739" ref="E245"/>
    <hyperlink r:id="rId740" ref="O245"/>
    <hyperlink r:id="rId741" ref="B246"/>
    <hyperlink r:id="rId742" ref="E246"/>
    <hyperlink r:id="rId743" ref="O246"/>
    <hyperlink r:id="rId744" ref="B247"/>
    <hyperlink r:id="rId745" ref="E247"/>
    <hyperlink r:id="rId746" ref="O247"/>
    <hyperlink r:id="rId747" ref="B248"/>
    <hyperlink r:id="rId748" ref="E248"/>
    <hyperlink r:id="rId749" ref="O248"/>
    <hyperlink r:id="rId750" ref="B249"/>
    <hyperlink r:id="rId751" ref="E249"/>
    <hyperlink r:id="rId752" ref="O249"/>
    <hyperlink r:id="rId753" ref="B250"/>
    <hyperlink r:id="rId754" ref="E250"/>
    <hyperlink r:id="rId755" ref="O250"/>
    <hyperlink r:id="rId756" ref="B251"/>
    <hyperlink r:id="rId757" ref="E251"/>
    <hyperlink r:id="rId758" ref="O251"/>
    <hyperlink r:id="rId759" ref="B252"/>
    <hyperlink r:id="rId760" ref="E252"/>
    <hyperlink r:id="rId761" ref="O252"/>
    <hyperlink r:id="rId762" ref="B253"/>
    <hyperlink r:id="rId763" ref="E253"/>
    <hyperlink r:id="rId764" ref="O253"/>
    <hyperlink r:id="rId765" ref="B254"/>
    <hyperlink r:id="rId766" ref="E254"/>
    <hyperlink r:id="rId767" ref="O254"/>
    <hyperlink r:id="rId768" ref="B255"/>
    <hyperlink r:id="rId769" ref="E255"/>
    <hyperlink r:id="rId770" ref="O255"/>
    <hyperlink r:id="rId771" ref="B256"/>
    <hyperlink r:id="rId772" ref="E256"/>
    <hyperlink r:id="rId773" ref="O256"/>
    <hyperlink r:id="rId774" ref="B257"/>
    <hyperlink r:id="rId775" ref="E257"/>
    <hyperlink r:id="rId776" ref="O257"/>
    <hyperlink r:id="rId777" ref="B258"/>
    <hyperlink r:id="rId778" ref="E258"/>
    <hyperlink r:id="rId779" ref="O258"/>
    <hyperlink r:id="rId780" ref="B259"/>
    <hyperlink r:id="rId781" ref="E259"/>
    <hyperlink r:id="rId782" ref="O259"/>
    <hyperlink r:id="rId783" ref="B260"/>
    <hyperlink r:id="rId784" ref="E260"/>
    <hyperlink r:id="rId785" ref="O260"/>
    <hyperlink r:id="rId786" ref="B261"/>
    <hyperlink r:id="rId787" ref="E261"/>
    <hyperlink r:id="rId788" ref="O261"/>
    <hyperlink r:id="rId789" ref="B262"/>
    <hyperlink r:id="rId790" ref="E262"/>
    <hyperlink r:id="rId791" ref="O262"/>
    <hyperlink r:id="rId792" ref="B263"/>
    <hyperlink r:id="rId793" ref="E263"/>
    <hyperlink r:id="rId794" ref="O263"/>
    <hyperlink r:id="rId795" ref="B264"/>
    <hyperlink r:id="rId796" ref="E264"/>
    <hyperlink r:id="rId797" ref="O264"/>
    <hyperlink r:id="rId798" ref="B265"/>
    <hyperlink r:id="rId799" ref="E265"/>
    <hyperlink r:id="rId800" ref="O265"/>
    <hyperlink r:id="rId801" ref="B266"/>
    <hyperlink r:id="rId802" ref="E266"/>
    <hyperlink r:id="rId803" ref="O266"/>
    <hyperlink r:id="rId804" ref="B267"/>
    <hyperlink r:id="rId805" ref="E267"/>
    <hyperlink r:id="rId806" ref="O267"/>
    <hyperlink r:id="rId807" ref="B268"/>
    <hyperlink r:id="rId808" ref="E268"/>
    <hyperlink r:id="rId809" ref="O268"/>
    <hyperlink r:id="rId810" ref="B269"/>
    <hyperlink r:id="rId811" ref="E269"/>
    <hyperlink r:id="rId812" ref="O269"/>
    <hyperlink r:id="rId813" ref="B270"/>
    <hyperlink r:id="rId814" ref="E270"/>
    <hyperlink r:id="rId815" ref="O270"/>
    <hyperlink r:id="rId816" ref="B271"/>
    <hyperlink r:id="rId817" ref="E271"/>
    <hyperlink r:id="rId818" ref="O271"/>
    <hyperlink r:id="rId819" ref="B272"/>
    <hyperlink r:id="rId820" ref="E272"/>
    <hyperlink r:id="rId821" ref="O272"/>
    <hyperlink r:id="rId822" ref="B273"/>
    <hyperlink r:id="rId823" ref="E273"/>
    <hyperlink r:id="rId824" ref="O273"/>
    <hyperlink r:id="rId825" ref="B274"/>
    <hyperlink r:id="rId826" ref="E274"/>
    <hyperlink r:id="rId827" ref="O274"/>
    <hyperlink r:id="rId828" ref="B275"/>
    <hyperlink r:id="rId829" ref="E275"/>
    <hyperlink r:id="rId830" ref="F275"/>
    <hyperlink r:id="rId831" ref="O275"/>
    <hyperlink r:id="rId832" ref="B276"/>
    <hyperlink r:id="rId833" ref="E276"/>
    <hyperlink r:id="rId834" ref="O276"/>
    <hyperlink r:id="rId835" ref="B277"/>
    <hyperlink r:id="rId836" ref="E277"/>
    <hyperlink r:id="rId837" ref="O277"/>
    <hyperlink r:id="rId838" ref="B278"/>
    <hyperlink r:id="rId839" ref="E278"/>
    <hyperlink r:id="rId840" ref="O278"/>
    <hyperlink r:id="rId841" ref="B279"/>
    <hyperlink r:id="rId842" ref="E279"/>
    <hyperlink r:id="rId843" ref="O279"/>
    <hyperlink r:id="rId844" ref="B280"/>
    <hyperlink r:id="rId845" ref="E280"/>
    <hyperlink r:id="rId846" ref="O280"/>
    <hyperlink r:id="rId847" ref="B281"/>
    <hyperlink r:id="rId848" ref="E281"/>
    <hyperlink r:id="rId849" ref="O281"/>
    <hyperlink r:id="rId850" ref="B282"/>
    <hyperlink r:id="rId851" ref="E282"/>
    <hyperlink r:id="rId852" ref="O282"/>
    <hyperlink r:id="rId853" ref="B283"/>
    <hyperlink r:id="rId854" ref="E283"/>
    <hyperlink r:id="rId855" ref="O283"/>
    <hyperlink r:id="rId856" ref="B284"/>
    <hyperlink r:id="rId857" ref="E284"/>
    <hyperlink r:id="rId858" ref="O284"/>
    <hyperlink r:id="rId859" ref="B285"/>
    <hyperlink r:id="rId860" ref="E285"/>
    <hyperlink r:id="rId861" ref="O285"/>
    <hyperlink r:id="rId862" ref="B286"/>
    <hyperlink r:id="rId863" ref="E286"/>
    <hyperlink r:id="rId864" ref="O286"/>
    <hyperlink r:id="rId865" ref="B287"/>
    <hyperlink r:id="rId866" ref="E287"/>
    <hyperlink r:id="rId867" ref="O287"/>
    <hyperlink r:id="rId868" ref="B288"/>
    <hyperlink r:id="rId869" ref="E288"/>
    <hyperlink r:id="rId870" ref="O288"/>
    <hyperlink r:id="rId871" ref="B289"/>
    <hyperlink r:id="rId872" ref="E289"/>
    <hyperlink r:id="rId873" ref="O289"/>
    <hyperlink r:id="rId874" ref="B290"/>
    <hyperlink r:id="rId875" ref="E290"/>
    <hyperlink r:id="rId876" ref="O290"/>
    <hyperlink r:id="rId877" ref="B291"/>
    <hyperlink r:id="rId878" ref="E291"/>
    <hyperlink r:id="rId879" ref="O291"/>
    <hyperlink r:id="rId880" ref="B292"/>
    <hyperlink r:id="rId881" ref="E292"/>
    <hyperlink r:id="rId882" ref="O292"/>
    <hyperlink r:id="rId883" ref="B293"/>
    <hyperlink r:id="rId884" ref="E293"/>
    <hyperlink r:id="rId885" ref="O293"/>
    <hyperlink r:id="rId886" ref="B294"/>
    <hyperlink r:id="rId887" ref="E294"/>
    <hyperlink r:id="rId888" ref="O294"/>
    <hyperlink r:id="rId889" ref="B295"/>
    <hyperlink r:id="rId890" ref="E295"/>
    <hyperlink r:id="rId891" ref="O295"/>
    <hyperlink r:id="rId892" ref="B296"/>
    <hyperlink r:id="rId893" ref="E296"/>
    <hyperlink r:id="rId894" ref="F296"/>
    <hyperlink r:id="rId895" ref="O296"/>
    <hyperlink r:id="rId896" ref="B297"/>
    <hyperlink r:id="rId897" ref="E297"/>
    <hyperlink r:id="rId898" ref="F297"/>
    <hyperlink r:id="rId899" ref="O297"/>
    <hyperlink r:id="rId900" ref="B298"/>
    <hyperlink r:id="rId901" ref="E298"/>
    <hyperlink r:id="rId902" ref="F298"/>
    <hyperlink r:id="rId903" ref="O298"/>
    <hyperlink r:id="rId904" ref="B299"/>
    <hyperlink r:id="rId905" ref="E299"/>
    <hyperlink r:id="rId906" ref="F299"/>
    <hyperlink r:id="rId907" ref="O299"/>
    <hyperlink r:id="rId908" ref="B300"/>
    <hyperlink r:id="rId909" ref="E300"/>
    <hyperlink r:id="rId910" ref="O300"/>
    <hyperlink r:id="rId911" ref="B301"/>
    <hyperlink r:id="rId912" ref="E301"/>
    <hyperlink r:id="rId913" ref="O301"/>
    <hyperlink r:id="rId914" ref="B302"/>
    <hyperlink r:id="rId915" ref="E302"/>
    <hyperlink r:id="rId916" ref="O302"/>
    <hyperlink r:id="rId917" ref="B303"/>
    <hyperlink r:id="rId918" ref="E303"/>
    <hyperlink r:id="rId919" ref="O303"/>
    <hyperlink r:id="rId920" ref="B304"/>
    <hyperlink r:id="rId921" ref="E304"/>
    <hyperlink r:id="rId922" ref="O304"/>
    <hyperlink r:id="rId923" ref="B305"/>
    <hyperlink r:id="rId924" ref="E305"/>
    <hyperlink r:id="rId925" ref="O305"/>
    <hyperlink r:id="rId926" ref="B306"/>
    <hyperlink r:id="rId927" ref="E306"/>
    <hyperlink r:id="rId928" ref="O306"/>
    <hyperlink r:id="rId929" ref="B307"/>
    <hyperlink r:id="rId930" ref="E307"/>
    <hyperlink r:id="rId931" ref="O307"/>
    <hyperlink r:id="rId932" ref="B308"/>
    <hyperlink r:id="rId933" ref="E308"/>
    <hyperlink r:id="rId934" ref="O308"/>
    <hyperlink r:id="rId935" ref="B309"/>
    <hyperlink r:id="rId936" ref="E309"/>
    <hyperlink r:id="rId937" ref="O309"/>
    <hyperlink r:id="rId938" ref="B310"/>
    <hyperlink r:id="rId939" ref="E310"/>
    <hyperlink r:id="rId940" ref="O310"/>
    <hyperlink r:id="rId941" ref="B311"/>
    <hyperlink r:id="rId942" ref="E311"/>
    <hyperlink r:id="rId943" ref="O311"/>
    <hyperlink r:id="rId944" ref="B312"/>
    <hyperlink r:id="rId945" ref="E312"/>
    <hyperlink r:id="rId946" ref="O312"/>
    <hyperlink r:id="rId947" ref="B313"/>
    <hyperlink r:id="rId948" ref="E313"/>
    <hyperlink r:id="rId949" ref="O313"/>
    <hyperlink r:id="rId950" ref="B314"/>
    <hyperlink r:id="rId951" ref="E314"/>
    <hyperlink r:id="rId952" ref="O314"/>
    <hyperlink r:id="rId953" ref="B315"/>
    <hyperlink r:id="rId954" ref="E315"/>
    <hyperlink r:id="rId955" ref="O315"/>
    <hyperlink r:id="rId956" ref="B316"/>
    <hyperlink r:id="rId957" ref="E316"/>
    <hyperlink r:id="rId958" ref="O316"/>
    <hyperlink r:id="rId959" ref="B317"/>
    <hyperlink r:id="rId960" ref="E317"/>
    <hyperlink r:id="rId961" ref="O317"/>
    <hyperlink r:id="rId962" ref="B318"/>
    <hyperlink r:id="rId963" ref="E318"/>
    <hyperlink r:id="rId964" ref="O318"/>
    <hyperlink r:id="rId965" ref="B319"/>
    <hyperlink r:id="rId966" ref="E319"/>
    <hyperlink r:id="rId967" ref="O319"/>
    <hyperlink r:id="rId968" ref="B320"/>
    <hyperlink r:id="rId969" ref="E320"/>
    <hyperlink r:id="rId970" ref="O320"/>
    <hyperlink r:id="rId971" ref="B321"/>
    <hyperlink r:id="rId972" ref="E321"/>
    <hyperlink r:id="rId973" ref="O321"/>
    <hyperlink r:id="rId974" ref="B322"/>
    <hyperlink r:id="rId975" ref="E322"/>
    <hyperlink r:id="rId976" ref="O322"/>
    <hyperlink r:id="rId977" ref="B323"/>
    <hyperlink r:id="rId978" ref="E323"/>
    <hyperlink r:id="rId979" ref="O323"/>
    <hyperlink r:id="rId980" ref="B324"/>
    <hyperlink r:id="rId981" ref="E324"/>
    <hyperlink r:id="rId982" ref="O324"/>
    <hyperlink r:id="rId983" ref="B325"/>
    <hyperlink r:id="rId984" ref="E325"/>
    <hyperlink r:id="rId985" ref="F325"/>
    <hyperlink r:id="rId986" ref="O325"/>
    <hyperlink r:id="rId987" ref="B326"/>
    <hyperlink r:id="rId988" ref="E326"/>
    <hyperlink r:id="rId989" ref="F326"/>
    <hyperlink r:id="rId990" ref="O326"/>
    <hyperlink r:id="rId991" ref="B327"/>
    <hyperlink r:id="rId992" ref="E327"/>
    <hyperlink r:id="rId993" ref="F327"/>
    <hyperlink r:id="rId994" ref="O327"/>
    <hyperlink r:id="rId995" ref="B328"/>
    <hyperlink r:id="rId996" ref="E328"/>
    <hyperlink r:id="rId997" ref="O328"/>
    <hyperlink r:id="rId998" ref="B329"/>
    <hyperlink r:id="rId999" ref="E329"/>
    <hyperlink r:id="rId1000" ref="O329"/>
    <hyperlink r:id="rId1001" ref="B330"/>
    <hyperlink r:id="rId1002" ref="E330"/>
    <hyperlink r:id="rId1003" ref="O330"/>
    <hyperlink r:id="rId1004" ref="B331"/>
    <hyperlink r:id="rId1005" ref="E331"/>
    <hyperlink r:id="rId1006" ref="O331"/>
    <hyperlink r:id="rId1007" ref="B332"/>
    <hyperlink r:id="rId1008" ref="E332"/>
    <hyperlink r:id="rId1009" ref="O332"/>
    <hyperlink r:id="rId1010" ref="B333"/>
    <hyperlink r:id="rId1011" ref="E333"/>
    <hyperlink r:id="rId1012" ref="O333"/>
    <hyperlink r:id="rId1013" ref="B334"/>
    <hyperlink r:id="rId1014" ref="E334"/>
    <hyperlink r:id="rId1015" ref="O334"/>
    <hyperlink r:id="rId1016" ref="B335"/>
    <hyperlink r:id="rId1017" ref="E335"/>
    <hyperlink r:id="rId1018" ref="O335"/>
    <hyperlink r:id="rId1019" ref="B336"/>
    <hyperlink r:id="rId1020" ref="E336"/>
    <hyperlink r:id="rId1021" ref="O336"/>
    <hyperlink r:id="rId1022" ref="B337"/>
    <hyperlink r:id="rId1023" ref="E337"/>
    <hyperlink r:id="rId1024" ref="F337"/>
    <hyperlink r:id="rId1025" ref="O337"/>
    <hyperlink r:id="rId1026" ref="B338"/>
    <hyperlink r:id="rId1027" ref="E338"/>
    <hyperlink r:id="rId1028" ref="O338"/>
    <hyperlink r:id="rId1029" ref="B339"/>
    <hyperlink r:id="rId1030" ref="E339"/>
    <hyperlink r:id="rId1031" ref="N339"/>
    <hyperlink r:id="rId1032" ref="O339"/>
    <hyperlink r:id="rId1033" ref="B340"/>
    <hyperlink r:id="rId1034" ref="E340"/>
    <hyperlink r:id="rId1035" ref="O340"/>
    <hyperlink r:id="rId1036" ref="B341"/>
    <hyperlink r:id="rId1037" ref="E341"/>
    <hyperlink r:id="rId1038" ref="O341"/>
    <hyperlink r:id="rId1039" ref="B342"/>
    <hyperlink r:id="rId1040" ref="E342"/>
    <hyperlink r:id="rId1041" ref="O342"/>
    <hyperlink r:id="rId1042" ref="B343"/>
    <hyperlink r:id="rId1043" ref="E343"/>
    <hyperlink r:id="rId1044" ref="O343"/>
    <hyperlink r:id="rId1045" ref="B344"/>
    <hyperlink r:id="rId1046" ref="E344"/>
    <hyperlink r:id="rId1047" ref="O344"/>
    <hyperlink r:id="rId1048" ref="B345"/>
    <hyperlink r:id="rId1049" ref="E345"/>
    <hyperlink r:id="rId1050" ref="O345"/>
    <hyperlink r:id="rId1051" ref="B346"/>
    <hyperlink r:id="rId1052" ref="E346"/>
    <hyperlink r:id="rId1053" ref="O346"/>
    <hyperlink r:id="rId1054" ref="B347"/>
    <hyperlink r:id="rId1055" ref="E347"/>
    <hyperlink r:id="rId1056" ref="O347"/>
    <hyperlink r:id="rId1057" ref="B348"/>
    <hyperlink r:id="rId1058" ref="E348"/>
    <hyperlink r:id="rId1059" ref="O348"/>
    <hyperlink r:id="rId1060" ref="B349"/>
    <hyperlink r:id="rId1061" ref="E349"/>
    <hyperlink r:id="rId1062" ref="O349"/>
    <hyperlink r:id="rId1063" ref="B350"/>
    <hyperlink r:id="rId1064" ref="E350"/>
    <hyperlink r:id="rId1065" ref="O350"/>
    <hyperlink r:id="rId1066" ref="B351"/>
    <hyperlink r:id="rId1067" ref="E351"/>
    <hyperlink r:id="rId1068" ref="O351"/>
    <hyperlink r:id="rId1069" ref="B352"/>
    <hyperlink r:id="rId1070" ref="E352"/>
    <hyperlink r:id="rId1071" ref="O352"/>
    <hyperlink r:id="rId1072" ref="B353"/>
    <hyperlink r:id="rId1073" ref="E353"/>
    <hyperlink r:id="rId1074" ref="O353"/>
    <hyperlink r:id="rId1075" ref="B354"/>
    <hyperlink r:id="rId1076" ref="E354"/>
    <hyperlink r:id="rId1077" ref="O354"/>
    <hyperlink r:id="rId1078" ref="B355"/>
    <hyperlink r:id="rId1079" ref="E355"/>
    <hyperlink r:id="rId1080" ref="O355"/>
    <hyperlink r:id="rId1081" ref="B356"/>
    <hyperlink r:id="rId1082" ref="E356"/>
    <hyperlink r:id="rId1083" ref="F356"/>
    <hyperlink r:id="rId1084" ref="O356"/>
    <hyperlink r:id="rId1085" ref="B357"/>
    <hyperlink r:id="rId1086" ref="E357"/>
    <hyperlink r:id="rId1087" ref="O357"/>
    <hyperlink r:id="rId1088" ref="B358"/>
    <hyperlink r:id="rId1089" ref="E358"/>
    <hyperlink r:id="rId1090" ref="O358"/>
    <hyperlink r:id="rId1091" ref="B359"/>
    <hyperlink r:id="rId1092" ref="E359"/>
    <hyperlink r:id="rId1093" ref="O359"/>
    <hyperlink r:id="rId1094" ref="B360"/>
    <hyperlink r:id="rId1095" ref="E360"/>
    <hyperlink r:id="rId1096" ref="O360"/>
    <hyperlink r:id="rId1097" ref="B361"/>
    <hyperlink r:id="rId1098" ref="E361"/>
    <hyperlink r:id="rId1099" ref="O361"/>
    <hyperlink r:id="rId1100" ref="B362"/>
    <hyperlink r:id="rId1101" ref="E362"/>
    <hyperlink r:id="rId1102" ref="O362"/>
    <hyperlink r:id="rId1103" ref="B363"/>
    <hyperlink r:id="rId1104" ref="E363"/>
    <hyperlink r:id="rId1105" ref="O363"/>
    <hyperlink r:id="rId1106" ref="B364"/>
    <hyperlink r:id="rId1107" ref="E364"/>
    <hyperlink r:id="rId1108" ref="O364"/>
    <hyperlink r:id="rId1109" ref="B365"/>
    <hyperlink r:id="rId1110" ref="E365"/>
    <hyperlink r:id="rId1111" ref="O365"/>
    <hyperlink r:id="rId1112" ref="B366"/>
    <hyperlink r:id="rId1113" ref="E366"/>
    <hyperlink r:id="rId1114" ref="O366"/>
    <hyperlink r:id="rId1115" ref="B367"/>
    <hyperlink r:id="rId1116" ref="E367"/>
    <hyperlink r:id="rId1117" ref="O367"/>
    <hyperlink r:id="rId1118" ref="B368"/>
    <hyperlink r:id="rId1119" ref="E368"/>
    <hyperlink r:id="rId1120" ref="O368"/>
    <hyperlink r:id="rId1121" ref="B369"/>
    <hyperlink r:id="rId1122" ref="E369"/>
    <hyperlink r:id="rId1123" ref="O369"/>
    <hyperlink r:id="rId1124" ref="B370"/>
    <hyperlink r:id="rId1125" ref="E370"/>
    <hyperlink r:id="rId1126" ref="O370"/>
    <hyperlink r:id="rId1127" ref="B371"/>
    <hyperlink r:id="rId1128" ref="E371"/>
    <hyperlink r:id="rId1129" ref="O371"/>
    <hyperlink r:id="rId1130" ref="B372"/>
    <hyperlink r:id="rId1131" ref="E372"/>
    <hyperlink r:id="rId1132" ref="O372"/>
    <hyperlink r:id="rId1133" ref="B373"/>
    <hyperlink r:id="rId1134" ref="E373"/>
    <hyperlink r:id="rId1135" ref="O373"/>
    <hyperlink r:id="rId1136" ref="B374"/>
    <hyperlink r:id="rId1137" ref="E374"/>
    <hyperlink r:id="rId1138" ref="O374"/>
    <hyperlink r:id="rId1139" ref="B375"/>
    <hyperlink r:id="rId1140" ref="E375"/>
    <hyperlink r:id="rId1141" ref="O375"/>
    <hyperlink r:id="rId1142" ref="B376"/>
    <hyperlink r:id="rId1143" ref="E376"/>
    <hyperlink r:id="rId1144" ref="O376"/>
    <hyperlink r:id="rId1145" ref="B377"/>
    <hyperlink r:id="rId1146" ref="E377"/>
    <hyperlink r:id="rId1147" ref="O377"/>
    <hyperlink r:id="rId1148" ref="B378"/>
    <hyperlink r:id="rId1149" ref="E378"/>
    <hyperlink r:id="rId1150" ref="O378"/>
    <hyperlink r:id="rId1151" ref="B379"/>
    <hyperlink r:id="rId1152" ref="E379"/>
    <hyperlink r:id="rId1153" ref="O379"/>
    <hyperlink r:id="rId1154" ref="B380"/>
    <hyperlink r:id="rId1155" ref="E380"/>
    <hyperlink r:id="rId1156" ref="O380"/>
    <hyperlink r:id="rId1157" ref="B381"/>
    <hyperlink r:id="rId1158" ref="E381"/>
    <hyperlink r:id="rId1159" ref="O381"/>
    <hyperlink r:id="rId1160" ref="B382"/>
    <hyperlink r:id="rId1161" ref="E382"/>
    <hyperlink r:id="rId1162" ref="O382"/>
    <hyperlink r:id="rId1163" ref="B383"/>
    <hyperlink r:id="rId1164" ref="E383"/>
    <hyperlink r:id="rId1165" ref="O383"/>
    <hyperlink r:id="rId1166" ref="B384"/>
    <hyperlink r:id="rId1167" ref="E384"/>
    <hyperlink r:id="rId1168" ref="O384"/>
    <hyperlink r:id="rId1169" ref="B385"/>
    <hyperlink r:id="rId1170" ref="E385"/>
    <hyperlink r:id="rId1171" ref="O385"/>
    <hyperlink r:id="rId1172" ref="B386"/>
    <hyperlink r:id="rId1173" ref="E386"/>
    <hyperlink r:id="rId1174" ref="O386"/>
    <hyperlink r:id="rId1175" ref="B387"/>
    <hyperlink r:id="rId1176" ref="E387"/>
    <hyperlink r:id="rId1177" ref="O387"/>
    <hyperlink r:id="rId1178" ref="B388"/>
    <hyperlink r:id="rId1179" ref="E388"/>
    <hyperlink r:id="rId1180" ref="O388"/>
    <hyperlink r:id="rId1181" ref="B389"/>
    <hyperlink r:id="rId1182" ref="E389"/>
    <hyperlink r:id="rId1183" ref="O389"/>
    <hyperlink r:id="rId1184" ref="B390"/>
    <hyperlink r:id="rId1185" ref="E390"/>
    <hyperlink r:id="rId1186" ref="O390"/>
    <hyperlink r:id="rId1187" ref="B391"/>
    <hyperlink r:id="rId1188" ref="E391"/>
    <hyperlink r:id="rId1189" ref="O391"/>
    <hyperlink r:id="rId1190" ref="B392"/>
    <hyperlink r:id="rId1191" ref="E392"/>
    <hyperlink r:id="rId1192" ref="O392"/>
    <hyperlink r:id="rId1193" ref="B393"/>
    <hyperlink r:id="rId1194" ref="E393"/>
    <hyperlink r:id="rId1195" ref="O393"/>
    <hyperlink r:id="rId1196" ref="B394"/>
    <hyperlink r:id="rId1197" ref="E394"/>
    <hyperlink r:id="rId1198" ref="O394"/>
    <hyperlink r:id="rId1199" ref="B395"/>
    <hyperlink r:id="rId1200" ref="E395"/>
    <hyperlink r:id="rId1201" ref="O395"/>
    <hyperlink r:id="rId1202" ref="B396"/>
    <hyperlink r:id="rId1203" ref="E396"/>
    <hyperlink r:id="rId1204" ref="F396"/>
    <hyperlink r:id="rId1205" ref="O396"/>
    <hyperlink r:id="rId1206" ref="B397"/>
    <hyperlink r:id="rId1207" ref="E397"/>
    <hyperlink r:id="rId1208" ref="F397"/>
    <hyperlink r:id="rId1209" ref="O397"/>
    <hyperlink r:id="rId1210" ref="B398"/>
    <hyperlink r:id="rId1211" ref="E398"/>
    <hyperlink r:id="rId1212" ref="O398"/>
    <hyperlink r:id="rId1213" ref="B399"/>
    <hyperlink r:id="rId1214" ref="E399"/>
    <hyperlink r:id="rId1215" ref="O399"/>
    <hyperlink r:id="rId1216" ref="B400"/>
    <hyperlink r:id="rId1217" ref="E400"/>
    <hyperlink r:id="rId1218" ref="O400"/>
    <hyperlink r:id="rId1219" ref="B401"/>
    <hyperlink r:id="rId1220" ref="E401"/>
    <hyperlink r:id="rId1221" ref="O401"/>
    <hyperlink r:id="rId1222" ref="B402"/>
    <hyperlink r:id="rId1223" ref="E402"/>
    <hyperlink r:id="rId1224" ref="O402"/>
    <hyperlink r:id="rId1225" ref="B403"/>
    <hyperlink r:id="rId1226" ref="E403"/>
    <hyperlink r:id="rId1227" ref="O403"/>
    <hyperlink r:id="rId1228" ref="B404"/>
    <hyperlink r:id="rId1229" ref="E404"/>
    <hyperlink r:id="rId1230" ref="O404"/>
    <hyperlink r:id="rId1231" ref="B405"/>
    <hyperlink r:id="rId1232" ref="E405"/>
    <hyperlink r:id="rId1233" ref="O405"/>
    <hyperlink r:id="rId1234" ref="B406"/>
    <hyperlink r:id="rId1235" ref="E406"/>
    <hyperlink r:id="rId1236" ref="O406"/>
    <hyperlink r:id="rId1237" ref="B407"/>
    <hyperlink r:id="rId1238" ref="E407"/>
    <hyperlink r:id="rId1239" ref="O407"/>
    <hyperlink r:id="rId1240" ref="B408"/>
    <hyperlink r:id="rId1241" ref="E408"/>
    <hyperlink r:id="rId1242" ref="M408"/>
    <hyperlink r:id="rId1243" ref="O408"/>
    <hyperlink r:id="rId1244" ref="B409"/>
    <hyperlink r:id="rId1245" ref="E409"/>
    <hyperlink r:id="rId1246" ref="O409"/>
    <hyperlink r:id="rId1247" ref="B410"/>
    <hyperlink r:id="rId1248" ref="E410"/>
    <hyperlink r:id="rId1249" ref="O410"/>
    <hyperlink r:id="rId1250" ref="B411"/>
    <hyperlink r:id="rId1251" ref="E411"/>
    <hyperlink r:id="rId1252" ref="O411"/>
    <hyperlink r:id="rId1253" ref="B412"/>
    <hyperlink r:id="rId1254" ref="E412"/>
    <hyperlink r:id="rId1255" ref="O412"/>
    <hyperlink r:id="rId1256" ref="B413"/>
    <hyperlink r:id="rId1257" ref="E413"/>
    <hyperlink r:id="rId1258" ref="O413"/>
    <hyperlink r:id="rId1259" ref="B414"/>
    <hyperlink r:id="rId1260" ref="E414"/>
    <hyperlink r:id="rId1261" ref="O414"/>
    <hyperlink r:id="rId1262" ref="B415"/>
    <hyperlink r:id="rId1263" ref="E415"/>
    <hyperlink r:id="rId1264" ref="O415"/>
    <hyperlink r:id="rId1265" ref="B416"/>
    <hyperlink r:id="rId1266" ref="E416"/>
    <hyperlink r:id="rId1267" ref="O416"/>
    <hyperlink r:id="rId1268" ref="B417"/>
    <hyperlink r:id="rId1269" ref="E417"/>
    <hyperlink r:id="rId1270" ref="O417"/>
    <hyperlink r:id="rId1271" ref="B418"/>
    <hyperlink r:id="rId1272" ref="E418"/>
    <hyperlink r:id="rId1273" ref="O418"/>
    <hyperlink r:id="rId1274" ref="B419"/>
    <hyperlink r:id="rId1275" ref="E419"/>
    <hyperlink r:id="rId1276" ref="O419"/>
    <hyperlink r:id="rId1277" ref="B420"/>
    <hyperlink r:id="rId1278" ref="E420"/>
    <hyperlink r:id="rId1279" ref="O420"/>
    <hyperlink r:id="rId1280" ref="B421"/>
    <hyperlink r:id="rId1281" ref="E421"/>
    <hyperlink r:id="rId1282" ref="O421"/>
    <hyperlink r:id="rId1283" ref="B422"/>
    <hyperlink r:id="rId1284" ref="E422"/>
    <hyperlink r:id="rId1285" ref="O422"/>
    <hyperlink r:id="rId1286" ref="B423"/>
    <hyperlink r:id="rId1287" ref="E423"/>
    <hyperlink r:id="rId1288" ref="O423"/>
    <hyperlink r:id="rId1289" ref="B424"/>
    <hyperlink r:id="rId1290" ref="E424"/>
    <hyperlink r:id="rId1291" ref="O424"/>
    <hyperlink r:id="rId1292" ref="B425"/>
    <hyperlink r:id="rId1293" ref="E425"/>
    <hyperlink r:id="rId1294" ref="O425"/>
    <hyperlink r:id="rId1295" ref="B426"/>
    <hyperlink r:id="rId1296" ref="E426"/>
    <hyperlink r:id="rId1297" ref="O426"/>
    <hyperlink r:id="rId1298" ref="B427"/>
    <hyperlink r:id="rId1299" ref="E427"/>
    <hyperlink r:id="rId1300" ref="O427"/>
    <hyperlink r:id="rId1301" ref="B428"/>
    <hyperlink r:id="rId1302" ref="E428"/>
    <hyperlink r:id="rId1303" ref="O428"/>
    <hyperlink r:id="rId1304" ref="B429"/>
    <hyperlink r:id="rId1305" ref="E429"/>
    <hyperlink r:id="rId1306" ref="O429"/>
    <hyperlink r:id="rId1307" ref="B430"/>
    <hyperlink r:id="rId1308" ref="E430"/>
    <hyperlink r:id="rId1309" ref="O430"/>
    <hyperlink r:id="rId1310" ref="B431"/>
    <hyperlink r:id="rId1311" ref="E431"/>
    <hyperlink r:id="rId1312" ref="O431"/>
    <hyperlink r:id="rId1313" ref="B432"/>
    <hyperlink r:id="rId1314" ref="E432"/>
    <hyperlink r:id="rId1315" ref="O432"/>
    <hyperlink r:id="rId1316" ref="B433"/>
    <hyperlink r:id="rId1317" ref="E433"/>
    <hyperlink r:id="rId1318" ref="O433"/>
    <hyperlink r:id="rId1319" ref="B434"/>
    <hyperlink r:id="rId1320" ref="E434"/>
    <hyperlink r:id="rId1321" ref="O434"/>
    <hyperlink r:id="rId1322" ref="B435"/>
    <hyperlink r:id="rId1323" ref="E435"/>
    <hyperlink r:id="rId1324" ref="O435"/>
    <hyperlink r:id="rId1325" ref="B436"/>
    <hyperlink r:id="rId1326" ref="E436"/>
    <hyperlink r:id="rId1327" ref="O436"/>
    <hyperlink r:id="rId1328" ref="B437"/>
    <hyperlink r:id="rId1329" ref="E437"/>
    <hyperlink r:id="rId1330" ref="O437"/>
    <hyperlink r:id="rId1331" ref="B438"/>
    <hyperlink r:id="rId1332" ref="E438"/>
    <hyperlink r:id="rId1333" ref="O438"/>
    <hyperlink r:id="rId1334" ref="B439"/>
    <hyperlink r:id="rId1335" ref="E439"/>
    <hyperlink r:id="rId1336" ref="O439"/>
    <hyperlink r:id="rId1337" ref="B440"/>
    <hyperlink r:id="rId1338" ref="E440"/>
    <hyperlink r:id="rId1339" ref="O440"/>
    <hyperlink r:id="rId1340" ref="B441"/>
    <hyperlink r:id="rId1341" ref="E441"/>
    <hyperlink r:id="rId1342" ref="O441"/>
    <hyperlink r:id="rId1343" ref="B442"/>
    <hyperlink r:id="rId1344" ref="E442"/>
    <hyperlink r:id="rId1345" ref="O442"/>
    <hyperlink r:id="rId1346" ref="B443"/>
    <hyperlink r:id="rId1347" ref="E443"/>
    <hyperlink r:id="rId1348" ref="F443"/>
    <hyperlink r:id="rId1349" ref="O443"/>
    <hyperlink r:id="rId1350" ref="B444"/>
    <hyperlink r:id="rId1351" ref="C444"/>
    <hyperlink r:id="rId1352" ref="E444"/>
    <hyperlink r:id="rId1353" ref="O444"/>
    <hyperlink r:id="rId1354" ref="B445"/>
    <hyperlink r:id="rId1355" ref="E445"/>
    <hyperlink r:id="rId1356" ref="O445"/>
    <hyperlink r:id="rId1357" ref="B446"/>
    <hyperlink r:id="rId1358" ref="E446"/>
    <hyperlink r:id="rId1359" ref="O446"/>
    <hyperlink r:id="rId1360" ref="B447"/>
    <hyperlink r:id="rId1361" ref="E447"/>
    <hyperlink r:id="rId1362" ref="O447"/>
    <hyperlink r:id="rId1363" ref="B448"/>
    <hyperlink r:id="rId1364" ref="E448"/>
    <hyperlink r:id="rId1365" ref="O448"/>
    <hyperlink r:id="rId1366" ref="B449"/>
    <hyperlink r:id="rId1367" ref="E449"/>
    <hyperlink r:id="rId1368" ref="O449"/>
    <hyperlink r:id="rId1369" ref="B450"/>
    <hyperlink r:id="rId1370" ref="E450"/>
    <hyperlink r:id="rId1371" ref="O450"/>
    <hyperlink r:id="rId1372" ref="B451"/>
    <hyperlink r:id="rId1373" ref="E451"/>
    <hyperlink r:id="rId1374" ref="O451"/>
    <hyperlink r:id="rId1375" ref="B452"/>
    <hyperlink r:id="rId1376" ref="E452"/>
    <hyperlink r:id="rId1377" ref="O452"/>
    <hyperlink r:id="rId1378" ref="B453"/>
    <hyperlink r:id="rId1379" ref="E453"/>
    <hyperlink r:id="rId1380" ref="O453"/>
    <hyperlink r:id="rId1381" ref="B454"/>
    <hyperlink r:id="rId1382" ref="E454"/>
    <hyperlink r:id="rId1383" ref="O454"/>
    <hyperlink r:id="rId1384" ref="B455"/>
    <hyperlink r:id="rId1385" ref="E455"/>
    <hyperlink r:id="rId1386" ref="O455"/>
    <hyperlink r:id="rId1387" ref="B456"/>
    <hyperlink r:id="rId1388" ref="E456"/>
    <hyperlink r:id="rId1389" ref="O456"/>
    <hyperlink r:id="rId1390" ref="B457"/>
    <hyperlink r:id="rId1391" ref="E457"/>
    <hyperlink r:id="rId1392" ref="O457"/>
    <hyperlink r:id="rId1393" ref="B458"/>
    <hyperlink r:id="rId1394" ref="E458"/>
    <hyperlink r:id="rId1395" ref="O458"/>
    <hyperlink r:id="rId1396" ref="B459"/>
    <hyperlink r:id="rId1397" ref="E459"/>
    <hyperlink r:id="rId1398" ref="O459"/>
    <hyperlink r:id="rId1399" ref="B460"/>
    <hyperlink r:id="rId1400" ref="E460"/>
    <hyperlink r:id="rId1401" ref="O460"/>
    <hyperlink r:id="rId1402" ref="B461"/>
    <hyperlink r:id="rId1403" ref="E461"/>
    <hyperlink r:id="rId1404" ref="O461"/>
    <hyperlink r:id="rId1405" ref="B462"/>
    <hyperlink r:id="rId1406" ref="E462"/>
    <hyperlink r:id="rId1407" ref="O462"/>
    <hyperlink r:id="rId1408" ref="B463"/>
    <hyperlink r:id="rId1409" ref="E463"/>
    <hyperlink r:id="rId1410" ref="O463"/>
    <hyperlink r:id="rId1411" ref="B464"/>
    <hyperlink r:id="rId1412" ref="E464"/>
    <hyperlink r:id="rId1413" ref="O464"/>
    <hyperlink r:id="rId1414" ref="B465"/>
    <hyperlink r:id="rId1415" ref="E465"/>
    <hyperlink r:id="rId1416" ref="O465"/>
    <hyperlink r:id="rId1417" ref="B466"/>
    <hyperlink r:id="rId1418" ref="E466"/>
    <hyperlink r:id="rId1419" ref="O466"/>
    <hyperlink r:id="rId1420" ref="B467"/>
    <hyperlink r:id="rId1421" ref="E467"/>
    <hyperlink r:id="rId1422" ref="O467"/>
    <hyperlink r:id="rId1423" ref="B468"/>
    <hyperlink r:id="rId1424" ref="E468"/>
    <hyperlink r:id="rId1425" ref="O468"/>
    <hyperlink r:id="rId1426" ref="B469"/>
    <hyperlink r:id="rId1427" ref="E469"/>
    <hyperlink r:id="rId1428" ref="O469"/>
    <hyperlink r:id="rId1429" ref="B470"/>
    <hyperlink r:id="rId1430" ref="E470"/>
    <hyperlink r:id="rId1431" ref="O470"/>
    <hyperlink r:id="rId1432" ref="B471"/>
    <hyperlink r:id="rId1433" ref="E471"/>
    <hyperlink r:id="rId1434" ref="O471"/>
    <hyperlink r:id="rId1435" ref="B472"/>
    <hyperlink r:id="rId1436" ref="E472"/>
    <hyperlink r:id="rId1437" ref="O472"/>
    <hyperlink r:id="rId1438" ref="B473"/>
    <hyperlink r:id="rId1439" ref="E473"/>
    <hyperlink r:id="rId1440" ref="O473"/>
    <hyperlink r:id="rId1441" ref="B474"/>
    <hyperlink r:id="rId1442" ref="E474"/>
    <hyperlink r:id="rId1443" ref="O474"/>
    <hyperlink r:id="rId1444" ref="B475"/>
    <hyperlink r:id="rId1445" ref="E475"/>
    <hyperlink r:id="rId1446" ref="O475"/>
    <hyperlink r:id="rId1447" ref="B476"/>
    <hyperlink r:id="rId1448" ref="E476"/>
    <hyperlink r:id="rId1449" ref="O476"/>
    <hyperlink r:id="rId1450" ref="B477"/>
    <hyperlink r:id="rId1451" ref="E477"/>
    <hyperlink r:id="rId1452" ref="O477"/>
    <hyperlink r:id="rId1453" ref="B478"/>
    <hyperlink r:id="rId1454" ref="E478"/>
    <hyperlink r:id="rId1455" ref="O478"/>
    <hyperlink r:id="rId1456" ref="B479"/>
    <hyperlink r:id="rId1457" ref="E479"/>
    <hyperlink r:id="rId1458" ref="O479"/>
    <hyperlink r:id="rId1459" ref="B480"/>
    <hyperlink r:id="rId1460" ref="E480"/>
    <hyperlink r:id="rId1461" ref="O480"/>
    <hyperlink r:id="rId1462" ref="B481"/>
    <hyperlink r:id="rId1463" ref="E481"/>
    <hyperlink r:id="rId1464" ref="O481"/>
    <hyperlink r:id="rId1465" ref="B482"/>
    <hyperlink r:id="rId1466" ref="E482"/>
    <hyperlink r:id="rId1467" ref="O482"/>
    <hyperlink r:id="rId1468" ref="B483"/>
    <hyperlink r:id="rId1469" ref="E483"/>
    <hyperlink r:id="rId1470" ref="O483"/>
    <hyperlink r:id="rId1471" ref="B484"/>
    <hyperlink r:id="rId1472" ref="E484"/>
    <hyperlink r:id="rId1473" ref="O484"/>
    <hyperlink r:id="rId1474" ref="B485"/>
    <hyperlink r:id="rId1475" ref="E485"/>
    <hyperlink r:id="rId1476" ref="O485"/>
    <hyperlink r:id="rId1477" ref="B486"/>
    <hyperlink r:id="rId1478" ref="E486"/>
    <hyperlink r:id="rId1479" ref="O486"/>
    <hyperlink r:id="rId1480" ref="B487"/>
    <hyperlink r:id="rId1481" ref="E487"/>
    <hyperlink r:id="rId1482" ref="O487"/>
    <hyperlink r:id="rId1483" ref="B488"/>
    <hyperlink r:id="rId1484" ref="E488"/>
    <hyperlink r:id="rId1485" ref="O488"/>
    <hyperlink r:id="rId1486" ref="B489"/>
    <hyperlink r:id="rId1487" ref="E489"/>
    <hyperlink r:id="rId1488" ref="O489"/>
    <hyperlink r:id="rId1489" ref="B490"/>
    <hyperlink r:id="rId1490" ref="E490"/>
    <hyperlink r:id="rId1491" ref="O490"/>
    <hyperlink r:id="rId1492" ref="B491"/>
    <hyperlink r:id="rId1493" ref="E491"/>
    <hyperlink r:id="rId1494" ref="O491"/>
    <hyperlink r:id="rId1495" ref="B492"/>
    <hyperlink r:id="rId1496" ref="E492"/>
    <hyperlink r:id="rId1497" ref="O492"/>
    <hyperlink r:id="rId1498" ref="B493"/>
    <hyperlink r:id="rId1499" ref="E493"/>
    <hyperlink r:id="rId1500" ref="O493"/>
    <hyperlink r:id="rId1501" ref="B494"/>
    <hyperlink r:id="rId1502" ref="E494"/>
    <hyperlink r:id="rId1503" ref="O494"/>
    <hyperlink r:id="rId1504" ref="B495"/>
    <hyperlink r:id="rId1505" ref="E495"/>
    <hyperlink r:id="rId1506" ref="O495"/>
    <hyperlink r:id="rId1507" ref="B496"/>
    <hyperlink r:id="rId1508" ref="E496"/>
    <hyperlink r:id="rId1509" ref="O496"/>
    <hyperlink r:id="rId1510" ref="B497"/>
    <hyperlink r:id="rId1511" ref="E497"/>
    <hyperlink r:id="rId1512" ref="O497"/>
    <hyperlink r:id="rId1513" ref="B498"/>
    <hyperlink r:id="rId1514" ref="E498"/>
    <hyperlink r:id="rId1515" ref="O498"/>
    <hyperlink r:id="rId1516" ref="B499"/>
    <hyperlink r:id="rId1517" ref="E499"/>
    <hyperlink r:id="rId1518" ref="O499"/>
    <hyperlink r:id="rId1519" ref="B500"/>
    <hyperlink r:id="rId1520" ref="E500"/>
    <hyperlink r:id="rId1521" ref="O500"/>
    <hyperlink r:id="rId1522" ref="B501"/>
    <hyperlink r:id="rId1523" ref="E501"/>
    <hyperlink r:id="rId1524" ref="O501"/>
    <hyperlink r:id="rId1525" ref="B502"/>
    <hyperlink r:id="rId1526" ref="E502"/>
    <hyperlink r:id="rId1527" ref="O502"/>
    <hyperlink r:id="rId1528" ref="B503"/>
    <hyperlink r:id="rId1529" ref="E503"/>
    <hyperlink r:id="rId1530" ref="O503"/>
    <hyperlink r:id="rId1531" ref="B504"/>
    <hyperlink r:id="rId1532" ref="E504"/>
    <hyperlink r:id="rId1533" ref="O504"/>
    <hyperlink r:id="rId1534" ref="B505"/>
    <hyperlink r:id="rId1535" ref="E505"/>
    <hyperlink r:id="rId1536" ref="O505"/>
    <hyperlink r:id="rId1537" ref="B506"/>
    <hyperlink r:id="rId1538" ref="E506"/>
    <hyperlink r:id="rId1539" ref="O506"/>
    <hyperlink r:id="rId1540" ref="B507"/>
    <hyperlink r:id="rId1541" ref="E507"/>
    <hyperlink r:id="rId1542" ref="O507"/>
    <hyperlink r:id="rId1543" ref="B508"/>
    <hyperlink r:id="rId1544" ref="E508"/>
    <hyperlink r:id="rId1545" ref="O508"/>
    <hyperlink r:id="rId1546" ref="B509"/>
    <hyperlink r:id="rId1547" ref="E509"/>
    <hyperlink r:id="rId1548" ref="O509"/>
    <hyperlink r:id="rId1549" ref="B510"/>
    <hyperlink r:id="rId1550" ref="E510"/>
    <hyperlink r:id="rId1551" ref="O510"/>
    <hyperlink r:id="rId1552" ref="B511"/>
    <hyperlink r:id="rId1553" ref="E511"/>
    <hyperlink r:id="rId1554" ref="O511"/>
    <hyperlink r:id="rId1555" ref="B512"/>
    <hyperlink r:id="rId1556" ref="E512"/>
    <hyperlink r:id="rId1557" ref="O512"/>
    <hyperlink r:id="rId1558" ref="B513"/>
    <hyperlink r:id="rId1559" ref="E513"/>
    <hyperlink r:id="rId1560" ref="O513"/>
    <hyperlink r:id="rId1561" ref="B514"/>
    <hyperlink r:id="rId1562" ref="E514"/>
    <hyperlink r:id="rId1563" ref="O514"/>
    <hyperlink r:id="rId1564" ref="B515"/>
    <hyperlink r:id="rId1565" ref="E515"/>
    <hyperlink r:id="rId1566" ref="O515"/>
    <hyperlink r:id="rId1567" ref="B516"/>
    <hyperlink r:id="rId1568" ref="E516"/>
    <hyperlink r:id="rId1569" ref="O516"/>
    <hyperlink r:id="rId1570" ref="B517"/>
    <hyperlink r:id="rId1571" ref="E517"/>
    <hyperlink r:id="rId1572" ref="O517"/>
    <hyperlink r:id="rId1573" ref="B518"/>
    <hyperlink r:id="rId1574" ref="E518"/>
    <hyperlink r:id="rId1575" ref="O518"/>
    <hyperlink r:id="rId1576" ref="B519"/>
    <hyperlink r:id="rId1577" ref="E519"/>
    <hyperlink r:id="rId1578" ref="O519"/>
    <hyperlink r:id="rId1579" ref="B520"/>
    <hyperlink r:id="rId1580" ref="E520"/>
    <hyperlink r:id="rId1581" ref="O520"/>
    <hyperlink r:id="rId1582" ref="B521"/>
    <hyperlink r:id="rId1583" ref="E521"/>
    <hyperlink r:id="rId1584" ref="F521"/>
    <hyperlink r:id="rId1585" ref="O521"/>
    <hyperlink r:id="rId1586" ref="B522"/>
    <hyperlink r:id="rId1587" ref="E522"/>
    <hyperlink r:id="rId1588" ref="F522"/>
    <hyperlink r:id="rId1589" ref="O522"/>
    <hyperlink r:id="rId1590" ref="B523"/>
    <hyperlink r:id="rId1591" ref="E523"/>
    <hyperlink r:id="rId1592" ref="O523"/>
    <hyperlink r:id="rId1593" ref="B524"/>
    <hyperlink r:id="rId1594" ref="E524"/>
    <hyperlink r:id="rId1595" ref="O524"/>
    <hyperlink r:id="rId1596" ref="B525"/>
    <hyperlink r:id="rId1597" ref="E525"/>
    <hyperlink r:id="rId1598" ref="O525"/>
    <hyperlink r:id="rId1599" ref="B526"/>
    <hyperlink r:id="rId1600" ref="E526"/>
    <hyperlink r:id="rId1601" ref="O526"/>
    <hyperlink r:id="rId1602" ref="B527"/>
    <hyperlink r:id="rId1603" ref="E527"/>
    <hyperlink r:id="rId1604" ref="O527"/>
    <hyperlink r:id="rId1605" ref="B528"/>
    <hyperlink r:id="rId1606" ref="E528"/>
    <hyperlink r:id="rId1607" ref="O528"/>
    <hyperlink r:id="rId1608" ref="B529"/>
    <hyperlink r:id="rId1609" ref="E529"/>
    <hyperlink r:id="rId1610" ref="O529"/>
    <hyperlink r:id="rId1611" ref="B530"/>
    <hyperlink r:id="rId1612" ref="E530"/>
    <hyperlink r:id="rId1613" ref="O530"/>
    <hyperlink r:id="rId1614" ref="B531"/>
    <hyperlink r:id="rId1615" ref="E531"/>
    <hyperlink r:id="rId1616" ref="O531"/>
    <hyperlink r:id="rId1617" ref="B532"/>
    <hyperlink r:id="rId1618" ref="E532"/>
    <hyperlink r:id="rId1619" ref="O532"/>
    <hyperlink r:id="rId1620" ref="B533"/>
    <hyperlink r:id="rId1621" ref="E533"/>
    <hyperlink r:id="rId1622" ref="O533"/>
    <hyperlink r:id="rId1623" ref="B534"/>
    <hyperlink r:id="rId1624" ref="E534"/>
    <hyperlink r:id="rId1625" ref="O534"/>
    <hyperlink r:id="rId1626" ref="B535"/>
    <hyperlink r:id="rId1627" ref="E535"/>
    <hyperlink r:id="rId1628" ref="O535"/>
    <hyperlink r:id="rId1629" ref="B536"/>
    <hyperlink r:id="rId1630" ref="E536"/>
    <hyperlink r:id="rId1631" ref="O536"/>
    <hyperlink r:id="rId1632" ref="B537"/>
    <hyperlink r:id="rId1633" ref="E537"/>
    <hyperlink r:id="rId1634" ref="O537"/>
    <hyperlink r:id="rId1635" ref="B538"/>
    <hyperlink r:id="rId1636" ref="E538"/>
    <hyperlink r:id="rId1637" ref="O538"/>
    <hyperlink r:id="rId1638" ref="B539"/>
    <hyperlink r:id="rId1639" ref="E539"/>
    <hyperlink r:id="rId1640" ref="O539"/>
    <hyperlink r:id="rId1641" ref="B540"/>
    <hyperlink r:id="rId1642" ref="E540"/>
    <hyperlink r:id="rId1643" ref="O540"/>
    <hyperlink r:id="rId1644" ref="B541"/>
    <hyperlink r:id="rId1645" ref="E541"/>
    <hyperlink r:id="rId1646" ref="O541"/>
    <hyperlink r:id="rId1647" ref="B542"/>
    <hyperlink r:id="rId1648" ref="E542"/>
    <hyperlink r:id="rId1649" ref="O542"/>
    <hyperlink r:id="rId1650" ref="B543"/>
    <hyperlink r:id="rId1651" ref="E543"/>
    <hyperlink r:id="rId1652" ref="O543"/>
    <hyperlink r:id="rId1653" ref="B544"/>
    <hyperlink r:id="rId1654" ref="E544"/>
    <hyperlink r:id="rId1655" ref="O544"/>
    <hyperlink r:id="rId1656" ref="B545"/>
    <hyperlink r:id="rId1657" ref="E545"/>
    <hyperlink r:id="rId1658" ref="O545"/>
    <hyperlink r:id="rId1659" ref="B546"/>
    <hyperlink r:id="rId1660" ref="E546"/>
    <hyperlink r:id="rId1661" ref="O546"/>
    <hyperlink r:id="rId1662" ref="B547"/>
    <hyperlink r:id="rId1663" ref="E547"/>
    <hyperlink r:id="rId1664" ref="O547"/>
    <hyperlink r:id="rId1665" ref="B548"/>
    <hyperlink r:id="rId1666" ref="E548"/>
    <hyperlink r:id="rId1667" ref="O548"/>
    <hyperlink r:id="rId1668" ref="B549"/>
    <hyperlink r:id="rId1669" ref="E549"/>
    <hyperlink r:id="rId1670" ref="O549"/>
    <hyperlink r:id="rId1671" ref="B550"/>
    <hyperlink r:id="rId1672" ref="E550"/>
    <hyperlink r:id="rId1673" ref="O550"/>
    <hyperlink r:id="rId1674" ref="B551"/>
    <hyperlink r:id="rId1675" ref="E551"/>
    <hyperlink r:id="rId1676" ref="O551"/>
    <hyperlink r:id="rId1677" ref="B552"/>
    <hyperlink r:id="rId1678" ref="E552"/>
    <hyperlink r:id="rId1679" ref="O552"/>
    <hyperlink r:id="rId1680" ref="B553"/>
    <hyperlink r:id="rId1681" ref="E553"/>
    <hyperlink r:id="rId1682" ref="O553"/>
    <hyperlink r:id="rId1683" ref="B554"/>
    <hyperlink r:id="rId1684" ref="E554"/>
    <hyperlink r:id="rId1685" ref="O554"/>
    <hyperlink r:id="rId1686" ref="B555"/>
    <hyperlink r:id="rId1687" ref="E555"/>
    <hyperlink r:id="rId1688" ref="O555"/>
    <hyperlink r:id="rId1689" ref="B556"/>
    <hyperlink r:id="rId1690" ref="E556"/>
    <hyperlink r:id="rId1691" ref="O556"/>
    <hyperlink r:id="rId1692" ref="B557"/>
    <hyperlink r:id="rId1693" ref="E557"/>
    <hyperlink r:id="rId1694" ref="O557"/>
    <hyperlink r:id="rId1695" ref="B558"/>
    <hyperlink r:id="rId1696" ref="E558"/>
    <hyperlink r:id="rId1697" ref="O558"/>
    <hyperlink r:id="rId1698" ref="B559"/>
    <hyperlink r:id="rId1699" ref="E559"/>
    <hyperlink r:id="rId1700" ref="O559"/>
    <hyperlink r:id="rId1701" ref="B560"/>
    <hyperlink r:id="rId1702" ref="E560"/>
    <hyperlink r:id="rId1703" ref="O560"/>
    <hyperlink r:id="rId1704" ref="B561"/>
    <hyperlink r:id="rId1705" ref="E561"/>
    <hyperlink r:id="rId1706" ref="O561"/>
    <hyperlink r:id="rId1707" ref="B562"/>
    <hyperlink r:id="rId1708" ref="E562"/>
    <hyperlink r:id="rId1709" ref="O562"/>
    <hyperlink r:id="rId1710" ref="B563"/>
    <hyperlink r:id="rId1711" ref="E563"/>
    <hyperlink r:id="rId1712" ref="O563"/>
    <hyperlink r:id="rId1713" ref="B564"/>
    <hyperlink r:id="rId1714" ref="E564"/>
    <hyperlink r:id="rId1715" ref="O564"/>
    <hyperlink r:id="rId1716" ref="B565"/>
    <hyperlink r:id="rId1717" ref="E565"/>
    <hyperlink r:id="rId1718" ref="O565"/>
    <hyperlink r:id="rId1719" ref="B566"/>
    <hyperlink r:id="rId1720" ref="E566"/>
    <hyperlink r:id="rId1721" ref="O566"/>
    <hyperlink r:id="rId1722" ref="B567"/>
    <hyperlink r:id="rId1723" ref="E567"/>
    <hyperlink r:id="rId1724" ref="O567"/>
    <hyperlink r:id="rId1725" ref="B568"/>
    <hyperlink r:id="rId1726" ref="E568"/>
    <hyperlink r:id="rId1727" ref="O568"/>
    <hyperlink r:id="rId1728" ref="B569"/>
    <hyperlink r:id="rId1729" ref="E569"/>
    <hyperlink r:id="rId1730" ref="O569"/>
    <hyperlink r:id="rId1731" ref="B570"/>
    <hyperlink r:id="rId1732" ref="E570"/>
    <hyperlink r:id="rId1733" ref="O570"/>
    <hyperlink r:id="rId1734" ref="B571"/>
    <hyperlink r:id="rId1735" ref="E571"/>
    <hyperlink r:id="rId1736" ref="O571"/>
    <hyperlink r:id="rId1737" ref="B572"/>
    <hyperlink r:id="rId1738" ref="E572"/>
    <hyperlink r:id="rId1739" ref="O572"/>
    <hyperlink r:id="rId1740" ref="B573"/>
    <hyperlink r:id="rId1741" ref="E573"/>
    <hyperlink r:id="rId1742" ref="O573"/>
    <hyperlink r:id="rId1743" ref="B574"/>
    <hyperlink r:id="rId1744" ref="E574"/>
    <hyperlink r:id="rId1745" ref="O574"/>
    <hyperlink r:id="rId1746" ref="B575"/>
    <hyperlink r:id="rId1747" ref="E575"/>
    <hyperlink r:id="rId1748" ref="O575"/>
    <hyperlink r:id="rId1749" ref="B576"/>
    <hyperlink r:id="rId1750" ref="E576"/>
    <hyperlink r:id="rId1751" ref="O576"/>
    <hyperlink r:id="rId1752" ref="B577"/>
    <hyperlink r:id="rId1753" ref="E577"/>
    <hyperlink r:id="rId1754" ref="O577"/>
    <hyperlink r:id="rId1755" ref="B578"/>
    <hyperlink r:id="rId1756" ref="E578"/>
    <hyperlink r:id="rId1757" ref="O578"/>
    <hyperlink r:id="rId1758" ref="B579"/>
    <hyperlink r:id="rId1759" ref="E579"/>
    <hyperlink r:id="rId1760" ref="O579"/>
    <hyperlink r:id="rId1761" ref="B580"/>
    <hyperlink r:id="rId1762" ref="E580"/>
    <hyperlink r:id="rId1763" ref="O580"/>
    <hyperlink r:id="rId1764" ref="B581"/>
    <hyperlink r:id="rId1765" ref="E581"/>
    <hyperlink r:id="rId1766" ref="O581"/>
    <hyperlink r:id="rId1767" ref="B582"/>
    <hyperlink r:id="rId1768" ref="E582"/>
    <hyperlink r:id="rId1769" ref="O582"/>
    <hyperlink r:id="rId1770" ref="B583"/>
    <hyperlink r:id="rId1771" ref="E583"/>
    <hyperlink r:id="rId1772" ref="O583"/>
    <hyperlink r:id="rId1773" ref="B584"/>
    <hyperlink r:id="rId1774" ref="E584"/>
    <hyperlink r:id="rId1775" ref="O584"/>
    <hyperlink r:id="rId1776" ref="B585"/>
    <hyperlink r:id="rId1777" ref="E585"/>
    <hyperlink r:id="rId1778" ref="O585"/>
    <hyperlink r:id="rId1779" ref="B586"/>
    <hyperlink r:id="rId1780" ref="E586"/>
    <hyperlink r:id="rId1781" ref="O586"/>
    <hyperlink r:id="rId1782" ref="B587"/>
    <hyperlink r:id="rId1783" ref="E587"/>
    <hyperlink r:id="rId1784" ref="F587"/>
    <hyperlink r:id="rId1785" ref="O587"/>
    <hyperlink r:id="rId1786" ref="B588"/>
    <hyperlink r:id="rId1787" ref="E588"/>
    <hyperlink r:id="rId1788" ref="O588"/>
    <hyperlink r:id="rId1789" ref="B589"/>
    <hyperlink r:id="rId1790" ref="E589"/>
    <hyperlink r:id="rId1791" ref="O589"/>
    <hyperlink r:id="rId1792" ref="B590"/>
    <hyperlink r:id="rId1793" ref="E590"/>
    <hyperlink r:id="rId1794" ref="O590"/>
    <hyperlink r:id="rId1795" ref="B591"/>
    <hyperlink r:id="rId1796" ref="E591"/>
    <hyperlink r:id="rId1797" ref="O591"/>
    <hyperlink r:id="rId1798" ref="B592"/>
    <hyperlink r:id="rId1799" ref="E592"/>
    <hyperlink r:id="rId1800" ref="O592"/>
    <hyperlink r:id="rId1801" ref="B593"/>
    <hyperlink r:id="rId1802" ref="E593"/>
    <hyperlink r:id="rId1803" ref="O593"/>
    <hyperlink r:id="rId1804" ref="B594"/>
    <hyperlink r:id="rId1805" ref="E594"/>
    <hyperlink r:id="rId1806" ref="O594"/>
    <hyperlink r:id="rId1807" ref="B595"/>
    <hyperlink r:id="rId1808" ref="E595"/>
    <hyperlink r:id="rId1809" ref="O595"/>
    <hyperlink r:id="rId1810" ref="B596"/>
    <hyperlink r:id="rId1811" ref="E596"/>
    <hyperlink r:id="rId1812" ref="O596"/>
    <hyperlink r:id="rId1813" ref="B597"/>
    <hyperlink r:id="rId1814" ref="E597"/>
    <hyperlink r:id="rId1815" ref="O597"/>
    <hyperlink r:id="rId1816" ref="B598"/>
    <hyperlink r:id="rId1817" ref="E598"/>
    <hyperlink r:id="rId1818" ref="O598"/>
    <hyperlink r:id="rId1819" ref="B599"/>
    <hyperlink r:id="rId1820" ref="E599"/>
    <hyperlink r:id="rId1821" ref="O599"/>
    <hyperlink r:id="rId1822" ref="B600"/>
    <hyperlink r:id="rId1823" ref="E600"/>
    <hyperlink r:id="rId1824" ref="O600"/>
    <hyperlink r:id="rId1825" ref="B601"/>
    <hyperlink r:id="rId1826" ref="E601"/>
    <hyperlink r:id="rId1827" ref="O601"/>
    <hyperlink r:id="rId1828" ref="B602"/>
    <hyperlink r:id="rId1829" ref="E602"/>
    <hyperlink r:id="rId1830" ref="O602"/>
    <hyperlink r:id="rId1831" ref="B603"/>
    <hyperlink r:id="rId1832" ref="E603"/>
    <hyperlink r:id="rId1833" ref="O603"/>
    <hyperlink r:id="rId1834" ref="B604"/>
    <hyperlink r:id="rId1835" ref="E604"/>
    <hyperlink r:id="rId1836" ref="O604"/>
    <hyperlink r:id="rId1837" ref="B605"/>
    <hyperlink r:id="rId1838" ref="E605"/>
    <hyperlink r:id="rId1839" ref="O605"/>
    <hyperlink r:id="rId1840" ref="B606"/>
    <hyperlink r:id="rId1841" ref="E606"/>
    <hyperlink r:id="rId1842" ref="O606"/>
    <hyperlink r:id="rId1843" ref="B607"/>
    <hyperlink r:id="rId1844" ref="E607"/>
    <hyperlink r:id="rId1845" ref="O607"/>
    <hyperlink r:id="rId1846" ref="B608"/>
    <hyperlink r:id="rId1847" ref="E608"/>
    <hyperlink r:id="rId1848" ref="O608"/>
    <hyperlink r:id="rId1849" ref="B609"/>
    <hyperlink r:id="rId1850" ref="E609"/>
    <hyperlink r:id="rId1851" ref="O609"/>
    <hyperlink r:id="rId1852" ref="B610"/>
    <hyperlink r:id="rId1853" ref="E610"/>
    <hyperlink r:id="rId1854" ref="O610"/>
    <hyperlink r:id="rId1855" ref="B611"/>
    <hyperlink r:id="rId1856" ref="E611"/>
    <hyperlink r:id="rId1857" ref="O611"/>
    <hyperlink r:id="rId1858" ref="B612"/>
    <hyperlink r:id="rId1859" ref="E612"/>
    <hyperlink r:id="rId1860" ref="O612"/>
    <hyperlink r:id="rId1861" ref="B613"/>
    <hyperlink r:id="rId1862" ref="E613"/>
    <hyperlink r:id="rId1863" ref="O613"/>
    <hyperlink r:id="rId1864" ref="B614"/>
    <hyperlink r:id="rId1865" ref="E614"/>
    <hyperlink r:id="rId1866" ref="O614"/>
    <hyperlink r:id="rId1867" ref="B615"/>
    <hyperlink r:id="rId1868" ref="E615"/>
    <hyperlink r:id="rId1869" ref="O615"/>
    <hyperlink r:id="rId1870" ref="B616"/>
    <hyperlink r:id="rId1871" ref="E616"/>
    <hyperlink r:id="rId1872" ref="O616"/>
    <hyperlink r:id="rId1873" ref="B617"/>
    <hyperlink r:id="rId1874" ref="E617"/>
    <hyperlink r:id="rId1875" ref="O617"/>
    <hyperlink r:id="rId1876" ref="B618"/>
    <hyperlink r:id="rId1877" ref="E618"/>
    <hyperlink r:id="rId1878" ref="O618"/>
    <hyperlink r:id="rId1879" ref="B619"/>
    <hyperlink r:id="rId1880" ref="E619"/>
    <hyperlink r:id="rId1881" ref="O619"/>
    <hyperlink r:id="rId1882" ref="B620"/>
    <hyperlink r:id="rId1883" ref="E620"/>
    <hyperlink r:id="rId1884" ref="O620"/>
    <hyperlink r:id="rId1885" ref="B621"/>
    <hyperlink r:id="rId1886" ref="E621"/>
    <hyperlink r:id="rId1887" ref="O621"/>
    <hyperlink r:id="rId1888" ref="B622"/>
    <hyperlink r:id="rId1889" ref="E622"/>
    <hyperlink r:id="rId1890" ref="O622"/>
    <hyperlink r:id="rId1891" ref="B623"/>
    <hyperlink r:id="rId1892" ref="E623"/>
    <hyperlink r:id="rId1893" ref="O623"/>
    <hyperlink r:id="rId1894" ref="B624"/>
    <hyperlink r:id="rId1895" ref="E624"/>
    <hyperlink r:id="rId1896" ref="O624"/>
    <hyperlink r:id="rId1897" ref="B625"/>
    <hyperlink r:id="rId1898" ref="E625"/>
    <hyperlink r:id="rId1899" ref="O625"/>
    <hyperlink r:id="rId1900" ref="B626"/>
    <hyperlink r:id="rId1901" ref="E626"/>
    <hyperlink r:id="rId1902" ref="O626"/>
    <hyperlink r:id="rId1903" ref="B627"/>
    <hyperlink r:id="rId1904" ref="E627"/>
    <hyperlink r:id="rId1905" ref="O627"/>
    <hyperlink r:id="rId1906" ref="B628"/>
    <hyperlink r:id="rId1907" ref="E628"/>
    <hyperlink r:id="rId1908" ref="O628"/>
    <hyperlink r:id="rId1909" ref="B629"/>
    <hyperlink r:id="rId1910" ref="E629"/>
    <hyperlink r:id="rId1911" ref="O629"/>
    <hyperlink r:id="rId1912" ref="B630"/>
    <hyperlink r:id="rId1913" ref="E630"/>
    <hyperlink r:id="rId1914" ref="O630"/>
    <hyperlink r:id="rId1915" ref="B631"/>
    <hyperlink r:id="rId1916" ref="E631"/>
    <hyperlink r:id="rId1917" ref="O631"/>
    <hyperlink r:id="rId1918" ref="B632"/>
    <hyperlink r:id="rId1919" ref="E632"/>
    <hyperlink r:id="rId1920" ref="O632"/>
    <hyperlink r:id="rId1921" ref="B633"/>
    <hyperlink r:id="rId1922" ref="E633"/>
    <hyperlink r:id="rId1923" ref="O633"/>
    <hyperlink r:id="rId1924" ref="B634"/>
    <hyperlink r:id="rId1925" ref="E634"/>
    <hyperlink r:id="rId1926" ref="O634"/>
    <hyperlink r:id="rId1927" ref="B635"/>
    <hyperlink r:id="rId1928" ref="E635"/>
    <hyperlink r:id="rId1929" ref="O635"/>
    <hyperlink r:id="rId1930" ref="B636"/>
    <hyperlink r:id="rId1931" ref="C636"/>
    <hyperlink r:id="rId1932" ref="E636"/>
    <hyperlink r:id="rId1933" ref="O636"/>
    <hyperlink r:id="rId1934" ref="B637"/>
    <hyperlink r:id="rId1935" ref="E637"/>
    <hyperlink r:id="rId1936" ref="O637"/>
    <hyperlink r:id="rId1937" ref="B638"/>
    <hyperlink r:id="rId1938" ref="E638"/>
    <hyperlink r:id="rId1939" ref="O638"/>
    <hyperlink r:id="rId1940" ref="B639"/>
    <hyperlink r:id="rId1941" ref="E639"/>
    <hyperlink r:id="rId1942" ref="O639"/>
    <hyperlink r:id="rId1943" ref="B640"/>
    <hyperlink r:id="rId1944" ref="E640"/>
    <hyperlink r:id="rId1945" ref="O640"/>
    <hyperlink r:id="rId1946" ref="B641"/>
    <hyperlink r:id="rId1947" ref="E641"/>
    <hyperlink r:id="rId1948" ref="O641"/>
    <hyperlink r:id="rId1949" ref="B642"/>
    <hyperlink r:id="rId1950" ref="E642"/>
    <hyperlink r:id="rId1951" ref="O642"/>
    <hyperlink r:id="rId1952" ref="B643"/>
    <hyperlink r:id="rId1953" ref="E643"/>
    <hyperlink r:id="rId1954" ref="O643"/>
    <hyperlink r:id="rId1955" ref="B644"/>
    <hyperlink r:id="rId1956" ref="E644"/>
    <hyperlink r:id="rId1957" ref="O644"/>
    <hyperlink r:id="rId1958" ref="B645"/>
    <hyperlink r:id="rId1959" ref="E645"/>
    <hyperlink r:id="rId1960" ref="O645"/>
    <hyperlink r:id="rId1961" ref="B646"/>
    <hyperlink r:id="rId1962" ref="E646"/>
    <hyperlink r:id="rId1963" ref="O646"/>
    <hyperlink r:id="rId1964" ref="B647"/>
    <hyperlink r:id="rId1965" ref="E647"/>
    <hyperlink r:id="rId1966" ref="O647"/>
    <hyperlink r:id="rId1967" ref="B648"/>
    <hyperlink r:id="rId1968" ref="E648"/>
    <hyperlink r:id="rId1969" ref="O648"/>
    <hyperlink r:id="rId1970" ref="B649"/>
    <hyperlink r:id="rId1971" ref="E649"/>
    <hyperlink r:id="rId1972" ref="O649"/>
    <hyperlink r:id="rId1973" ref="B650"/>
    <hyperlink r:id="rId1974" ref="E650"/>
    <hyperlink r:id="rId1975" ref="O650"/>
    <hyperlink r:id="rId1976" ref="B651"/>
    <hyperlink r:id="rId1977" ref="E651"/>
    <hyperlink r:id="rId1978" ref="O651"/>
    <hyperlink r:id="rId1979" ref="B652"/>
    <hyperlink r:id="rId1980" ref="E652"/>
    <hyperlink r:id="rId1981" ref="O652"/>
    <hyperlink r:id="rId1982" ref="B653"/>
    <hyperlink r:id="rId1983" ref="E653"/>
    <hyperlink r:id="rId1984" ref="O653"/>
    <hyperlink r:id="rId1985" ref="B654"/>
    <hyperlink r:id="rId1986" ref="E654"/>
    <hyperlink r:id="rId1987" ref="O654"/>
    <hyperlink r:id="rId1988" ref="B655"/>
    <hyperlink r:id="rId1989" ref="E655"/>
    <hyperlink r:id="rId1990" ref="O655"/>
    <hyperlink r:id="rId1991" ref="B656"/>
    <hyperlink r:id="rId1992" ref="E656"/>
    <hyperlink r:id="rId1993" ref="O656"/>
    <hyperlink r:id="rId1994" ref="B657"/>
    <hyperlink r:id="rId1995" ref="E657"/>
    <hyperlink r:id="rId1996" ref="O657"/>
    <hyperlink r:id="rId1997" ref="B658"/>
    <hyperlink r:id="rId1998" ref="E658"/>
    <hyperlink r:id="rId1999" ref="O658"/>
    <hyperlink r:id="rId2000" ref="B659"/>
    <hyperlink r:id="rId2001" ref="E659"/>
    <hyperlink r:id="rId2002" ref="O659"/>
    <hyperlink r:id="rId2003" ref="B660"/>
    <hyperlink r:id="rId2004" ref="E660"/>
    <hyperlink r:id="rId2005" ref="O660"/>
    <hyperlink r:id="rId2006" ref="B661"/>
    <hyperlink r:id="rId2007" ref="E661"/>
    <hyperlink r:id="rId2008" ref="O661"/>
    <hyperlink r:id="rId2009" ref="B662"/>
    <hyperlink r:id="rId2010" ref="E662"/>
    <hyperlink r:id="rId2011" ref="O662"/>
    <hyperlink r:id="rId2012" ref="B663"/>
    <hyperlink r:id="rId2013" ref="E663"/>
    <hyperlink r:id="rId2014" ref="O663"/>
    <hyperlink r:id="rId2015" ref="B664"/>
    <hyperlink r:id="rId2016" ref="E664"/>
    <hyperlink r:id="rId2017" ref="O664"/>
    <hyperlink r:id="rId2018" ref="B665"/>
    <hyperlink r:id="rId2019" ref="E665"/>
    <hyperlink r:id="rId2020" ref="O665"/>
    <hyperlink r:id="rId2021" ref="B666"/>
    <hyperlink r:id="rId2022" ref="E666"/>
    <hyperlink r:id="rId2023" ref="O666"/>
    <hyperlink r:id="rId2024" ref="B667"/>
    <hyperlink r:id="rId2025" ref="E667"/>
    <hyperlink r:id="rId2026" ref="O667"/>
    <hyperlink r:id="rId2027" ref="B668"/>
    <hyperlink r:id="rId2028" ref="E668"/>
    <hyperlink r:id="rId2029" ref="O668"/>
    <hyperlink r:id="rId2030" ref="B669"/>
    <hyperlink r:id="rId2031" ref="E669"/>
    <hyperlink r:id="rId2032" ref="O669"/>
    <hyperlink r:id="rId2033" ref="B670"/>
    <hyperlink r:id="rId2034" ref="E670"/>
    <hyperlink r:id="rId2035" ref="O670"/>
    <hyperlink r:id="rId2036" ref="B671"/>
    <hyperlink r:id="rId2037" ref="E671"/>
    <hyperlink r:id="rId2038" ref="O671"/>
    <hyperlink r:id="rId2039" ref="B672"/>
    <hyperlink r:id="rId2040" ref="E672"/>
    <hyperlink r:id="rId2041" ref="O672"/>
    <hyperlink r:id="rId2042" ref="B673"/>
    <hyperlink r:id="rId2043" ref="E673"/>
    <hyperlink r:id="rId2044" ref="O673"/>
    <hyperlink r:id="rId2045" ref="B674"/>
    <hyperlink r:id="rId2046" ref="E674"/>
    <hyperlink r:id="rId2047" ref="O674"/>
    <hyperlink r:id="rId2048" ref="B675"/>
    <hyperlink r:id="rId2049" ref="E675"/>
    <hyperlink r:id="rId2050" ref="O675"/>
    <hyperlink r:id="rId2051" ref="B676"/>
    <hyperlink r:id="rId2052" ref="E676"/>
    <hyperlink r:id="rId2053" ref="O676"/>
    <hyperlink r:id="rId2054" ref="B677"/>
    <hyperlink r:id="rId2055" ref="E677"/>
    <hyperlink r:id="rId2056" ref="O677"/>
    <hyperlink r:id="rId2057" ref="B678"/>
    <hyperlink r:id="rId2058" ref="E678"/>
    <hyperlink r:id="rId2059" ref="O678"/>
    <hyperlink r:id="rId2060" ref="B679"/>
    <hyperlink r:id="rId2061" ref="E679"/>
    <hyperlink r:id="rId2062" ref="O679"/>
    <hyperlink r:id="rId2063" ref="B680"/>
    <hyperlink r:id="rId2064" ref="E680"/>
    <hyperlink r:id="rId2065" ref="O680"/>
    <hyperlink r:id="rId2066" ref="B681"/>
    <hyperlink r:id="rId2067" ref="E681"/>
    <hyperlink r:id="rId2068" ref="O681"/>
    <hyperlink r:id="rId2069" ref="B682"/>
    <hyperlink r:id="rId2070" ref="E682"/>
    <hyperlink r:id="rId2071" ref="O682"/>
    <hyperlink r:id="rId2072" ref="B683"/>
    <hyperlink r:id="rId2073" ref="E683"/>
    <hyperlink r:id="rId2074" ref="O683"/>
    <hyperlink r:id="rId2075" ref="B684"/>
    <hyperlink r:id="rId2076" ref="E684"/>
    <hyperlink r:id="rId2077" ref="O684"/>
    <hyperlink r:id="rId2078" ref="B685"/>
    <hyperlink r:id="rId2079" ref="E685"/>
    <hyperlink r:id="rId2080" ref="O685"/>
    <hyperlink r:id="rId2081" ref="B686"/>
    <hyperlink r:id="rId2082" ref="E686"/>
    <hyperlink r:id="rId2083" ref="O686"/>
    <hyperlink r:id="rId2084" ref="B687"/>
    <hyperlink r:id="rId2085" ref="E687"/>
    <hyperlink r:id="rId2086" ref="O687"/>
    <hyperlink r:id="rId2087" ref="B688"/>
    <hyperlink r:id="rId2088" ref="E688"/>
    <hyperlink r:id="rId2089" ref="O688"/>
    <hyperlink r:id="rId2090" ref="B689"/>
    <hyperlink r:id="rId2091" ref="E689"/>
    <hyperlink r:id="rId2092" ref="O689"/>
    <hyperlink r:id="rId2093" ref="B690"/>
    <hyperlink r:id="rId2094" ref="E690"/>
    <hyperlink r:id="rId2095" ref="O690"/>
    <hyperlink r:id="rId2096" ref="B691"/>
    <hyperlink r:id="rId2097" ref="E691"/>
    <hyperlink r:id="rId2098" ref="F691"/>
    <hyperlink r:id="rId2099" ref="O691"/>
    <hyperlink r:id="rId2100" ref="B692"/>
    <hyperlink r:id="rId2101" ref="E692"/>
    <hyperlink r:id="rId2102" ref="O692"/>
    <hyperlink r:id="rId2103" ref="B693"/>
    <hyperlink r:id="rId2104" ref="E693"/>
    <hyperlink r:id="rId2105" ref="O693"/>
    <hyperlink r:id="rId2106" ref="B694"/>
    <hyperlink r:id="rId2107" ref="E694"/>
    <hyperlink r:id="rId2108" ref="O694"/>
    <hyperlink r:id="rId2109" ref="B695"/>
    <hyperlink r:id="rId2110" ref="E695"/>
    <hyperlink r:id="rId2111" ref="O695"/>
    <hyperlink r:id="rId2112" ref="B696"/>
    <hyperlink r:id="rId2113" ref="E696"/>
    <hyperlink r:id="rId2114" ref="O696"/>
    <hyperlink r:id="rId2115" ref="B697"/>
    <hyperlink r:id="rId2116" ref="E697"/>
    <hyperlink r:id="rId2117" ref="O697"/>
    <hyperlink r:id="rId2118" ref="B698"/>
    <hyperlink r:id="rId2119" ref="E698"/>
    <hyperlink r:id="rId2120" ref="O698"/>
    <hyperlink r:id="rId2121" ref="B699"/>
    <hyperlink r:id="rId2122" ref="E699"/>
    <hyperlink r:id="rId2123" ref="O699"/>
    <hyperlink r:id="rId2124" ref="B700"/>
    <hyperlink r:id="rId2125" ref="E700"/>
    <hyperlink r:id="rId2126" ref="O700"/>
    <hyperlink r:id="rId2127" ref="B701"/>
    <hyperlink r:id="rId2128" ref="E701"/>
    <hyperlink r:id="rId2129" ref="O701"/>
    <hyperlink r:id="rId2130" ref="B702"/>
    <hyperlink r:id="rId2131" ref="E702"/>
    <hyperlink r:id="rId2132" ref="O702"/>
    <hyperlink r:id="rId2133" ref="B703"/>
    <hyperlink r:id="rId2134" ref="E703"/>
    <hyperlink r:id="rId2135" ref="O703"/>
    <hyperlink r:id="rId2136" ref="B704"/>
    <hyperlink r:id="rId2137" ref="E704"/>
    <hyperlink r:id="rId2138" ref="O704"/>
    <hyperlink r:id="rId2139" ref="B705"/>
    <hyperlink r:id="rId2140" ref="E705"/>
    <hyperlink r:id="rId2141" ref="O705"/>
    <hyperlink r:id="rId2142" ref="B706"/>
    <hyperlink r:id="rId2143" ref="E706"/>
    <hyperlink r:id="rId2144" ref="O706"/>
    <hyperlink r:id="rId2145" ref="B707"/>
    <hyperlink r:id="rId2146" ref="E707"/>
    <hyperlink r:id="rId2147" ref="O707"/>
    <hyperlink r:id="rId2148" ref="B708"/>
    <hyperlink r:id="rId2149" ref="E708"/>
    <hyperlink r:id="rId2150" ref="O708"/>
    <hyperlink r:id="rId2151" ref="B709"/>
    <hyperlink r:id="rId2152" ref="E709"/>
    <hyperlink r:id="rId2153" ref="O709"/>
    <hyperlink r:id="rId2154" ref="B710"/>
    <hyperlink r:id="rId2155" ref="E710"/>
    <hyperlink r:id="rId2156" ref="O710"/>
    <hyperlink r:id="rId2157" ref="B711"/>
    <hyperlink r:id="rId2158" ref="E711"/>
    <hyperlink r:id="rId2159" ref="M711"/>
    <hyperlink r:id="rId2160" ref="O711"/>
    <hyperlink r:id="rId2161" ref="B712"/>
    <hyperlink r:id="rId2162" ref="E712"/>
    <hyperlink r:id="rId2163" ref="O712"/>
    <hyperlink r:id="rId2164" ref="B713"/>
    <hyperlink r:id="rId2165" ref="E713"/>
    <hyperlink r:id="rId2166" ref="O713"/>
    <hyperlink r:id="rId2167" ref="B714"/>
    <hyperlink r:id="rId2168" ref="E714"/>
    <hyperlink r:id="rId2169" ref="O714"/>
    <hyperlink r:id="rId2170" ref="B715"/>
    <hyperlink r:id="rId2171" ref="E715"/>
    <hyperlink r:id="rId2172" ref="O715"/>
    <hyperlink r:id="rId2173" ref="B716"/>
    <hyperlink r:id="rId2174" ref="E716"/>
    <hyperlink r:id="rId2175" ref="F716"/>
    <hyperlink r:id="rId2176" ref="O716"/>
    <hyperlink r:id="rId2177" ref="B717"/>
    <hyperlink r:id="rId2178" ref="E717"/>
    <hyperlink r:id="rId2179" ref="O717"/>
    <hyperlink r:id="rId2180" ref="B718"/>
    <hyperlink r:id="rId2181" ref="E718"/>
    <hyperlink r:id="rId2182" ref="O718"/>
    <hyperlink r:id="rId2183" ref="B719"/>
    <hyperlink r:id="rId2184" ref="E719"/>
    <hyperlink r:id="rId2185" ref="O719"/>
    <hyperlink r:id="rId2186" ref="B720"/>
    <hyperlink r:id="rId2187" ref="E720"/>
    <hyperlink r:id="rId2188" ref="O720"/>
    <hyperlink r:id="rId2189" ref="B721"/>
    <hyperlink r:id="rId2190" ref="E721"/>
    <hyperlink r:id="rId2191" ref="O721"/>
    <hyperlink r:id="rId2192" ref="B722"/>
    <hyperlink r:id="rId2193" ref="E722"/>
    <hyperlink r:id="rId2194" ref="O722"/>
    <hyperlink r:id="rId2195" ref="B723"/>
    <hyperlink r:id="rId2196" ref="E723"/>
    <hyperlink r:id="rId2197" ref="F723"/>
    <hyperlink r:id="rId2198" ref="O723"/>
    <hyperlink r:id="rId2199" ref="B724"/>
    <hyperlink r:id="rId2200" ref="E724"/>
    <hyperlink r:id="rId2201" ref="O724"/>
    <hyperlink r:id="rId2202" ref="B725"/>
    <hyperlink r:id="rId2203" ref="E725"/>
    <hyperlink r:id="rId2204" ref="O725"/>
    <hyperlink r:id="rId2205" ref="B726"/>
    <hyperlink r:id="rId2206" ref="E726"/>
    <hyperlink r:id="rId2207" ref="O726"/>
    <hyperlink r:id="rId2208" ref="B727"/>
    <hyperlink r:id="rId2209" ref="E727"/>
    <hyperlink r:id="rId2210" ref="O727"/>
    <hyperlink r:id="rId2211" ref="B728"/>
    <hyperlink r:id="rId2212" ref="E728"/>
    <hyperlink r:id="rId2213" ref="O728"/>
    <hyperlink r:id="rId2214" ref="B729"/>
    <hyperlink r:id="rId2215" ref="E729"/>
    <hyperlink r:id="rId2216" ref="O729"/>
    <hyperlink r:id="rId2217" ref="B730"/>
    <hyperlink r:id="rId2218" ref="E730"/>
    <hyperlink r:id="rId2219" ref="O730"/>
    <hyperlink r:id="rId2220" ref="B731"/>
    <hyperlink r:id="rId2221" ref="E731"/>
    <hyperlink r:id="rId2222" ref="O731"/>
    <hyperlink r:id="rId2223" ref="B732"/>
    <hyperlink r:id="rId2224" ref="E732"/>
    <hyperlink r:id="rId2225" ref="O732"/>
    <hyperlink r:id="rId2226" ref="B733"/>
    <hyperlink r:id="rId2227" ref="E733"/>
    <hyperlink r:id="rId2228" ref="O733"/>
    <hyperlink r:id="rId2229" ref="B734"/>
    <hyperlink r:id="rId2230" ref="E734"/>
    <hyperlink r:id="rId2231" ref="O734"/>
    <hyperlink r:id="rId2232" ref="B735"/>
    <hyperlink r:id="rId2233" ref="E735"/>
    <hyperlink r:id="rId2234" ref="O735"/>
    <hyperlink r:id="rId2235" ref="B736"/>
    <hyperlink r:id="rId2236" ref="E736"/>
    <hyperlink r:id="rId2237" ref="O736"/>
    <hyperlink r:id="rId2238" ref="B737"/>
    <hyperlink r:id="rId2239" ref="E737"/>
    <hyperlink r:id="rId2240" ref="O737"/>
    <hyperlink r:id="rId2241" ref="B738"/>
    <hyperlink r:id="rId2242" ref="E738"/>
    <hyperlink r:id="rId2243" ref="O738"/>
    <hyperlink r:id="rId2244" ref="B739"/>
    <hyperlink r:id="rId2245" ref="E739"/>
    <hyperlink r:id="rId2246" ref="O739"/>
    <hyperlink r:id="rId2247" ref="B740"/>
    <hyperlink r:id="rId2248" ref="E740"/>
    <hyperlink r:id="rId2249" ref="O740"/>
    <hyperlink r:id="rId2250" ref="B741"/>
    <hyperlink r:id="rId2251" ref="E741"/>
    <hyperlink r:id="rId2252" ref="O741"/>
    <hyperlink r:id="rId2253" ref="B742"/>
    <hyperlink r:id="rId2254" ref="E742"/>
    <hyperlink r:id="rId2255" ref="O742"/>
    <hyperlink r:id="rId2256" ref="B743"/>
    <hyperlink r:id="rId2257" ref="E743"/>
    <hyperlink r:id="rId2258" ref="O743"/>
    <hyperlink r:id="rId2259" ref="B744"/>
    <hyperlink r:id="rId2260" ref="E744"/>
    <hyperlink r:id="rId2261" ref="O744"/>
    <hyperlink r:id="rId2262" ref="B745"/>
    <hyperlink r:id="rId2263" ref="E745"/>
    <hyperlink r:id="rId2264" ref="O745"/>
    <hyperlink r:id="rId2265" ref="B746"/>
    <hyperlink r:id="rId2266" ref="E746"/>
    <hyperlink r:id="rId2267" ref="O746"/>
    <hyperlink r:id="rId2268" ref="B747"/>
    <hyperlink r:id="rId2269" ref="E747"/>
    <hyperlink r:id="rId2270" ref="O747"/>
    <hyperlink r:id="rId2271" ref="B748"/>
    <hyperlink r:id="rId2272" ref="E748"/>
    <hyperlink r:id="rId2273" ref="O748"/>
    <hyperlink r:id="rId2274" ref="B749"/>
    <hyperlink r:id="rId2275" ref="E749"/>
    <hyperlink r:id="rId2276" ref="O749"/>
    <hyperlink r:id="rId2277" ref="B750"/>
    <hyperlink r:id="rId2278" ref="E750"/>
    <hyperlink r:id="rId2279" ref="O750"/>
    <hyperlink r:id="rId2280" ref="B751"/>
    <hyperlink r:id="rId2281" ref="E751"/>
    <hyperlink r:id="rId2282" ref="O751"/>
    <hyperlink r:id="rId2283" ref="B752"/>
    <hyperlink r:id="rId2284" ref="E752"/>
    <hyperlink r:id="rId2285" ref="O752"/>
    <hyperlink r:id="rId2286" ref="B753"/>
    <hyperlink r:id="rId2287" ref="E753"/>
    <hyperlink r:id="rId2288" ref="O753"/>
    <hyperlink r:id="rId2289" ref="B754"/>
    <hyperlink r:id="rId2290" ref="E754"/>
    <hyperlink r:id="rId2291" ref="O754"/>
    <hyperlink r:id="rId2292" ref="B755"/>
    <hyperlink r:id="rId2293" ref="E755"/>
    <hyperlink r:id="rId2294" ref="O755"/>
    <hyperlink r:id="rId2295" ref="B756"/>
    <hyperlink r:id="rId2296" ref="E756"/>
    <hyperlink r:id="rId2297" ref="O756"/>
    <hyperlink r:id="rId2298" ref="B757"/>
    <hyperlink r:id="rId2299" ref="E757"/>
    <hyperlink r:id="rId2300" ref="O757"/>
    <hyperlink r:id="rId2301" ref="B758"/>
    <hyperlink r:id="rId2302" ref="E758"/>
    <hyperlink r:id="rId2303" ref="O758"/>
    <hyperlink r:id="rId2304" ref="B759"/>
    <hyperlink r:id="rId2305" ref="E759"/>
    <hyperlink r:id="rId2306" ref="O759"/>
    <hyperlink r:id="rId2307" ref="B760"/>
    <hyperlink r:id="rId2308" ref="E760"/>
    <hyperlink r:id="rId2309" ref="O760"/>
    <hyperlink r:id="rId2310" ref="B761"/>
    <hyperlink r:id="rId2311" ref="E761"/>
    <hyperlink r:id="rId2312" ref="O761"/>
    <hyperlink r:id="rId2313" ref="B762"/>
    <hyperlink r:id="rId2314" ref="E762"/>
    <hyperlink r:id="rId2315" ref="O762"/>
    <hyperlink r:id="rId2316" ref="B763"/>
    <hyperlink r:id="rId2317" ref="E763"/>
    <hyperlink r:id="rId2318" ref="O763"/>
    <hyperlink r:id="rId2319" ref="B764"/>
    <hyperlink r:id="rId2320" ref="E764"/>
    <hyperlink r:id="rId2321" ref="O764"/>
    <hyperlink r:id="rId2322" ref="B765"/>
    <hyperlink r:id="rId2323" ref="E765"/>
    <hyperlink r:id="rId2324" ref="O765"/>
    <hyperlink r:id="rId2325" ref="B766"/>
    <hyperlink r:id="rId2326" ref="E766"/>
    <hyperlink r:id="rId2327" ref="O766"/>
    <hyperlink r:id="rId2328" ref="B767"/>
    <hyperlink r:id="rId2329" ref="E767"/>
    <hyperlink r:id="rId2330" ref="O767"/>
    <hyperlink r:id="rId2331" ref="B768"/>
    <hyperlink r:id="rId2332" ref="E768"/>
    <hyperlink r:id="rId2333" ref="O768"/>
    <hyperlink r:id="rId2334" ref="B769"/>
    <hyperlink r:id="rId2335" ref="E769"/>
    <hyperlink r:id="rId2336" ref="O769"/>
    <hyperlink r:id="rId2337" ref="B770"/>
    <hyperlink r:id="rId2338" ref="E770"/>
    <hyperlink r:id="rId2339" ref="O770"/>
    <hyperlink r:id="rId2340" ref="B771"/>
    <hyperlink r:id="rId2341" ref="E771"/>
    <hyperlink r:id="rId2342" ref="O771"/>
    <hyperlink r:id="rId2343" ref="B772"/>
    <hyperlink r:id="rId2344" ref="E772"/>
    <hyperlink r:id="rId2345" ref="O772"/>
    <hyperlink r:id="rId2346" ref="B773"/>
    <hyperlink r:id="rId2347" ref="E773"/>
    <hyperlink r:id="rId2348" ref="O773"/>
    <hyperlink r:id="rId2349" ref="B774"/>
    <hyperlink r:id="rId2350" ref="E774"/>
    <hyperlink r:id="rId2351" ref="O774"/>
    <hyperlink r:id="rId2352" ref="B775"/>
    <hyperlink r:id="rId2353" ref="E775"/>
    <hyperlink r:id="rId2354" ref="O775"/>
    <hyperlink r:id="rId2355" ref="B776"/>
    <hyperlink r:id="rId2356" ref="E776"/>
    <hyperlink r:id="rId2357" ref="O776"/>
    <hyperlink r:id="rId2358" ref="B777"/>
    <hyperlink r:id="rId2359" ref="E777"/>
    <hyperlink r:id="rId2360" ref="O777"/>
    <hyperlink r:id="rId2361" ref="B778"/>
    <hyperlink r:id="rId2362" ref="E778"/>
    <hyperlink r:id="rId2363" ref="O778"/>
    <hyperlink r:id="rId2364" ref="B779"/>
    <hyperlink r:id="rId2365" ref="E779"/>
    <hyperlink r:id="rId2366" ref="O779"/>
    <hyperlink r:id="rId2367" ref="B780"/>
    <hyperlink r:id="rId2368" ref="E780"/>
    <hyperlink r:id="rId2369" ref="O780"/>
    <hyperlink r:id="rId2370" ref="B781"/>
    <hyperlink r:id="rId2371" ref="E781"/>
    <hyperlink r:id="rId2372" ref="O781"/>
    <hyperlink r:id="rId2373" ref="B782"/>
    <hyperlink r:id="rId2374" ref="E782"/>
    <hyperlink r:id="rId2375" ref="O782"/>
    <hyperlink r:id="rId2376" ref="B783"/>
    <hyperlink r:id="rId2377" ref="E783"/>
    <hyperlink r:id="rId2378" ref="O783"/>
    <hyperlink r:id="rId2379" ref="B784"/>
    <hyperlink r:id="rId2380" ref="E784"/>
    <hyperlink r:id="rId2381" ref="O784"/>
    <hyperlink r:id="rId2382" ref="B785"/>
    <hyperlink r:id="rId2383" ref="E785"/>
    <hyperlink r:id="rId2384" ref="O785"/>
    <hyperlink r:id="rId2385" ref="B786"/>
    <hyperlink r:id="rId2386" ref="E786"/>
    <hyperlink r:id="rId2387" ref="O786"/>
    <hyperlink r:id="rId2388" ref="B787"/>
    <hyperlink r:id="rId2389" ref="E787"/>
    <hyperlink r:id="rId2390" ref="O787"/>
    <hyperlink r:id="rId2391" ref="B788"/>
    <hyperlink r:id="rId2392" ref="E788"/>
    <hyperlink r:id="rId2393" ref="O788"/>
    <hyperlink r:id="rId2394" ref="B789"/>
    <hyperlink r:id="rId2395" ref="E789"/>
    <hyperlink r:id="rId2396" ref="O789"/>
    <hyperlink r:id="rId2397" ref="B790"/>
    <hyperlink r:id="rId2398" ref="E790"/>
    <hyperlink r:id="rId2399" ref="O790"/>
    <hyperlink r:id="rId2400" ref="B791"/>
    <hyperlink r:id="rId2401" ref="E791"/>
    <hyperlink r:id="rId2402" ref="O791"/>
    <hyperlink r:id="rId2403" ref="B792"/>
    <hyperlink r:id="rId2404" ref="E792"/>
    <hyperlink r:id="rId2405" ref="O792"/>
    <hyperlink r:id="rId2406" ref="B793"/>
    <hyperlink r:id="rId2407" ref="E793"/>
    <hyperlink r:id="rId2408" ref="O793"/>
    <hyperlink r:id="rId2409" ref="B794"/>
    <hyperlink r:id="rId2410" ref="E794"/>
    <hyperlink r:id="rId2411" ref="O794"/>
    <hyperlink r:id="rId2412" ref="B795"/>
    <hyperlink r:id="rId2413" ref="E795"/>
    <hyperlink r:id="rId2414" ref="O795"/>
    <hyperlink r:id="rId2415" ref="B796"/>
    <hyperlink r:id="rId2416" ref="E796"/>
    <hyperlink r:id="rId2417" ref="O796"/>
    <hyperlink r:id="rId2418" ref="B797"/>
    <hyperlink r:id="rId2419" ref="E797"/>
    <hyperlink r:id="rId2420" ref="O797"/>
    <hyperlink r:id="rId2421" ref="B798"/>
    <hyperlink r:id="rId2422" ref="E798"/>
    <hyperlink r:id="rId2423" ref="O798"/>
    <hyperlink r:id="rId2424" ref="B799"/>
    <hyperlink r:id="rId2425" ref="E799"/>
    <hyperlink r:id="rId2426" ref="O799"/>
    <hyperlink r:id="rId2427" ref="B800"/>
    <hyperlink r:id="rId2428" ref="E800"/>
    <hyperlink r:id="rId2429" ref="O800"/>
    <hyperlink r:id="rId2430" ref="B801"/>
    <hyperlink r:id="rId2431" ref="E801"/>
    <hyperlink r:id="rId2432" ref="O801"/>
    <hyperlink r:id="rId2433" ref="B802"/>
    <hyperlink r:id="rId2434" ref="E802"/>
    <hyperlink r:id="rId2435" ref="O802"/>
    <hyperlink r:id="rId2436" ref="B803"/>
    <hyperlink r:id="rId2437" ref="E803"/>
    <hyperlink r:id="rId2438" ref="O803"/>
    <hyperlink r:id="rId2439" ref="B804"/>
    <hyperlink r:id="rId2440" ref="E804"/>
    <hyperlink r:id="rId2441" ref="O804"/>
    <hyperlink r:id="rId2442" ref="B805"/>
    <hyperlink r:id="rId2443" ref="E805"/>
    <hyperlink r:id="rId2444" ref="O805"/>
    <hyperlink r:id="rId2445" ref="B806"/>
    <hyperlink r:id="rId2446" ref="E806"/>
    <hyperlink r:id="rId2447" ref="O806"/>
    <hyperlink r:id="rId2448" ref="B807"/>
    <hyperlink r:id="rId2449" ref="E807"/>
    <hyperlink r:id="rId2450" ref="O807"/>
    <hyperlink r:id="rId2451" ref="B808"/>
    <hyperlink r:id="rId2452" ref="E808"/>
    <hyperlink r:id="rId2453" ref="O808"/>
    <hyperlink r:id="rId2454" ref="B809"/>
    <hyperlink r:id="rId2455" ref="E809"/>
    <hyperlink r:id="rId2456" ref="O809"/>
    <hyperlink r:id="rId2457" ref="B810"/>
    <hyperlink r:id="rId2458" ref="E810"/>
    <hyperlink r:id="rId2459" ref="O810"/>
    <hyperlink r:id="rId2460" ref="B811"/>
    <hyperlink r:id="rId2461" ref="E811"/>
    <hyperlink r:id="rId2462" ref="O811"/>
    <hyperlink r:id="rId2463" ref="B812"/>
    <hyperlink r:id="rId2464" ref="E812"/>
    <hyperlink r:id="rId2465" ref="O812"/>
    <hyperlink r:id="rId2466" ref="B813"/>
    <hyperlink r:id="rId2467" ref="E813"/>
    <hyperlink r:id="rId2468" ref="O813"/>
    <hyperlink r:id="rId2469" ref="B814"/>
    <hyperlink r:id="rId2470" ref="E814"/>
    <hyperlink r:id="rId2471" ref="O814"/>
    <hyperlink r:id="rId2472" ref="B815"/>
    <hyperlink r:id="rId2473" ref="E815"/>
    <hyperlink r:id="rId2474" ref="O815"/>
    <hyperlink r:id="rId2475" ref="B816"/>
    <hyperlink r:id="rId2476" ref="E816"/>
    <hyperlink r:id="rId2477" ref="O816"/>
    <hyperlink r:id="rId2478" ref="B817"/>
    <hyperlink r:id="rId2479" ref="E817"/>
    <hyperlink r:id="rId2480" ref="O817"/>
    <hyperlink r:id="rId2481" ref="B818"/>
    <hyperlink r:id="rId2482" ref="E818"/>
    <hyperlink r:id="rId2483" ref="O818"/>
    <hyperlink r:id="rId2484" ref="B819"/>
    <hyperlink r:id="rId2485" ref="E819"/>
    <hyperlink r:id="rId2486" ref="O819"/>
    <hyperlink r:id="rId2487" ref="B820"/>
    <hyperlink r:id="rId2488" ref="E820"/>
    <hyperlink r:id="rId2489" ref="O820"/>
    <hyperlink r:id="rId2490" ref="B821"/>
    <hyperlink r:id="rId2491" ref="E821"/>
    <hyperlink r:id="rId2492" ref="F821"/>
    <hyperlink r:id="rId2493" ref="O821"/>
    <hyperlink r:id="rId2494" ref="B822"/>
    <hyperlink r:id="rId2495" ref="E822"/>
    <hyperlink r:id="rId2496" ref="F822"/>
    <hyperlink r:id="rId2497" ref="O822"/>
    <hyperlink r:id="rId2498" ref="B823"/>
    <hyperlink r:id="rId2499" ref="E823"/>
    <hyperlink r:id="rId2500" ref="O823"/>
    <hyperlink r:id="rId2501" ref="B824"/>
    <hyperlink r:id="rId2502" ref="E824"/>
    <hyperlink r:id="rId2503" ref="O824"/>
    <hyperlink r:id="rId2504" ref="B825"/>
    <hyperlink r:id="rId2505" ref="E825"/>
    <hyperlink r:id="rId2506" ref="O825"/>
    <hyperlink r:id="rId2507" ref="B826"/>
    <hyperlink r:id="rId2508" ref="E826"/>
    <hyperlink r:id="rId2509" ref="O826"/>
    <hyperlink r:id="rId2510" ref="B827"/>
    <hyperlink r:id="rId2511" ref="E827"/>
    <hyperlink r:id="rId2512" ref="O827"/>
    <hyperlink r:id="rId2513" ref="B828"/>
    <hyperlink r:id="rId2514" ref="E828"/>
    <hyperlink r:id="rId2515" ref="O828"/>
    <hyperlink r:id="rId2516" ref="B829"/>
    <hyperlink r:id="rId2517" ref="E829"/>
    <hyperlink r:id="rId2518" ref="O829"/>
    <hyperlink r:id="rId2519" ref="B830"/>
    <hyperlink r:id="rId2520" ref="E830"/>
    <hyperlink r:id="rId2521" ref="O830"/>
    <hyperlink r:id="rId2522" ref="B831"/>
    <hyperlink r:id="rId2523" ref="E831"/>
    <hyperlink r:id="rId2524" ref="O831"/>
    <hyperlink r:id="rId2525" ref="B832"/>
    <hyperlink r:id="rId2526" ref="E832"/>
    <hyperlink r:id="rId2527" ref="O832"/>
    <hyperlink r:id="rId2528" ref="B833"/>
    <hyperlink r:id="rId2529" ref="E833"/>
    <hyperlink r:id="rId2530" ref="O833"/>
    <hyperlink r:id="rId2531" ref="B834"/>
    <hyperlink r:id="rId2532" ref="E834"/>
    <hyperlink r:id="rId2533" ref="O834"/>
    <hyperlink r:id="rId2534" ref="B835"/>
    <hyperlink r:id="rId2535" ref="C835"/>
    <hyperlink r:id="rId2536" ref="E835"/>
    <hyperlink r:id="rId2537" ref="O835"/>
    <hyperlink r:id="rId2538" ref="B836"/>
    <hyperlink r:id="rId2539" ref="E836"/>
    <hyperlink r:id="rId2540" ref="O836"/>
    <hyperlink r:id="rId2541" ref="B837"/>
    <hyperlink r:id="rId2542" ref="E837"/>
    <hyperlink r:id="rId2543" ref="O837"/>
    <hyperlink r:id="rId2544" ref="B838"/>
    <hyperlink r:id="rId2545" ref="E838"/>
    <hyperlink r:id="rId2546" ref="O838"/>
    <hyperlink r:id="rId2547" ref="B839"/>
    <hyperlink r:id="rId2548" ref="E839"/>
    <hyperlink r:id="rId2549" ref="O839"/>
    <hyperlink r:id="rId2550" ref="B840"/>
    <hyperlink r:id="rId2551" ref="E840"/>
    <hyperlink r:id="rId2552" ref="O840"/>
    <hyperlink r:id="rId2553" ref="B841"/>
    <hyperlink r:id="rId2554" ref="E841"/>
    <hyperlink r:id="rId2555" ref="O841"/>
    <hyperlink r:id="rId2556" ref="B842"/>
    <hyperlink r:id="rId2557" ref="E842"/>
    <hyperlink r:id="rId2558" ref="O842"/>
    <hyperlink r:id="rId2559" ref="B843"/>
    <hyperlink r:id="rId2560" ref="E843"/>
    <hyperlink r:id="rId2561" ref="O843"/>
    <hyperlink r:id="rId2562" ref="B844"/>
    <hyperlink r:id="rId2563" ref="E844"/>
    <hyperlink r:id="rId2564" ref="O844"/>
    <hyperlink r:id="rId2565" ref="B845"/>
    <hyperlink r:id="rId2566" ref="E845"/>
    <hyperlink r:id="rId2567" ref="O845"/>
    <hyperlink r:id="rId2568" ref="B846"/>
    <hyperlink r:id="rId2569" ref="E846"/>
    <hyperlink r:id="rId2570" ref="O846"/>
    <hyperlink r:id="rId2571" ref="B847"/>
    <hyperlink r:id="rId2572" ref="E847"/>
    <hyperlink r:id="rId2573" ref="O847"/>
    <hyperlink r:id="rId2574" ref="B848"/>
    <hyperlink r:id="rId2575" ref="E848"/>
    <hyperlink r:id="rId2576" ref="O848"/>
    <hyperlink r:id="rId2577" ref="B849"/>
    <hyperlink r:id="rId2578" ref="E849"/>
    <hyperlink r:id="rId2579" ref="O849"/>
    <hyperlink r:id="rId2580" ref="B850"/>
    <hyperlink r:id="rId2581" ref="E850"/>
    <hyperlink r:id="rId2582" ref="O850"/>
    <hyperlink r:id="rId2583" ref="B851"/>
    <hyperlink r:id="rId2584" ref="E851"/>
    <hyperlink r:id="rId2585" ref="O851"/>
    <hyperlink r:id="rId2586" ref="B852"/>
    <hyperlink r:id="rId2587" ref="E852"/>
    <hyperlink r:id="rId2588" ref="O852"/>
    <hyperlink r:id="rId2589" ref="B853"/>
    <hyperlink r:id="rId2590" ref="E853"/>
    <hyperlink r:id="rId2591" ref="O853"/>
    <hyperlink r:id="rId2592" ref="B854"/>
    <hyperlink r:id="rId2593" ref="E854"/>
    <hyperlink r:id="rId2594" ref="O854"/>
    <hyperlink r:id="rId2595" ref="B855"/>
    <hyperlink r:id="rId2596" ref="E855"/>
    <hyperlink r:id="rId2597" ref="O855"/>
    <hyperlink r:id="rId2598" ref="B856"/>
    <hyperlink r:id="rId2599" ref="E856"/>
    <hyperlink r:id="rId2600" ref="O856"/>
    <hyperlink r:id="rId2601" ref="B857"/>
    <hyperlink r:id="rId2602" ref="E857"/>
    <hyperlink r:id="rId2603" ref="O857"/>
    <hyperlink r:id="rId2604" ref="B858"/>
    <hyperlink r:id="rId2605" ref="E858"/>
    <hyperlink r:id="rId2606" ref="M858"/>
    <hyperlink r:id="rId2607" ref="O858"/>
    <hyperlink r:id="rId2608" ref="B859"/>
    <hyperlink r:id="rId2609" ref="E859"/>
    <hyperlink r:id="rId2610" ref="O859"/>
    <hyperlink r:id="rId2611" ref="B860"/>
    <hyperlink r:id="rId2612" ref="E860"/>
    <hyperlink r:id="rId2613" ref="O860"/>
    <hyperlink r:id="rId2614" ref="B861"/>
    <hyperlink r:id="rId2615" ref="E861"/>
    <hyperlink r:id="rId2616" ref="O861"/>
    <hyperlink r:id="rId2617" ref="B862"/>
    <hyperlink r:id="rId2618" ref="E862"/>
    <hyperlink r:id="rId2619" ref="O862"/>
    <hyperlink r:id="rId2620" ref="B863"/>
    <hyperlink r:id="rId2621" ref="E863"/>
    <hyperlink r:id="rId2622" ref="O863"/>
    <hyperlink r:id="rId2623" ref="B864"/>
    <hyperlink r:id="rId2624" ref="E864"/>
    <hyperlink r:id="rId2625" ref="O864"/>
    <hyperlink r:id="rId2626" ref="B865"/>
    <hyperlink r:id="rId2627" ref="E865"/>
    <hyperlink r:id="rId2628" ref="O865"/>
    <hyperlink r:id="rId2629" ref="B866"/>
    <hyperlink r:id="rId2630" ref="E866"/>
    <hyperlink r:id="rId2631" ref="O866"/>
    <hyperlink r:id="rId2632" ref="B867"/>
    <hyperlink r:id="rId2633" ref="E867"/>
    <hyperlink r:id="rId2634" ref="F867"/>
    <hyperlink r:id="rId2635" ref="O867"/>
    <hyperlink r:id="rId2636" ref="B868"/>
    <hyperlink r:id="rId2637" ref="E868"/>
    <hyperlink r:id="rId2638" ref="O868"/>
    <hyperlink r:id="rId2639" ref="B869"/>
    <hyperlink r:id="rId2640" ref="E869"/>
    <hyperlink r:id="rId2641" ref="O869"/>
    <hyperlink r:id="rId2642" ref="B870"/>
    <hyperlink r:id="rId2643" ref="E870"/>
    <hyperlink r:id="rId2644" ref="O870"/>
    <hyperlink r:id="rId2645" ref="B871"/>
    <hyperlink r:id="rId2646" ref="E871"/>
    <hyperlink r:id="rId2647" ref="O871"/>
    <hyperlink r:id="rId2648" ref="B872"/>
    <hyperlink r:id="rId2649" ref="E872"/>
    <hyperlink r:id="rId2650" ref="O872"/>
    <hyperlink r:id="rId2651" ref="B873"/>
    <hyperlink r:id="rId2652" ref="E873"/>
    <hyperlink r:id="rId2653" ref="O873"/>
    <hyperlink r:id="rId2654" ref="B874"/>
    <hyperlink r:id="rId2655" ref="E874"/>
    <hyperlink r:id="rId2656" ref="O874"/>
    <hyperlink r:id="rId2657" ref="B875"/>
    <hyperlink r:id="rId2658" ref="E875"/>
    <hyperlink r:id="rId2659" ref="O875"/>
    <hyperlink r:id="rId2660" ref="B876"/>
    <hyperlink r:id="rId2661" ref="E876"/>
    <hyperlink r:id="rId2662" ref="O876"/>
    <hyperlink r:id="rId2663" ref="B877"/>
    <hyperlink r:id="rId2664" ref="E877"/>
    <hyperlink r:id="rId2665" ref="O877"/>
    <hyperlink r:id="rId2666" ref="B878"/>
    <hyperlink r:id="rId2667" ref="E878"/>
    <hyperlink r:id="rId2668" ref="O878"/>
    <hyperlink r:id="rId2669" ref="B879"/>
    <hyperlink r:id="rId2670" ref="E879"/>
    <hyperlink r:id="rId2671" ref="O879"/>
    <hyperlink r:id="rId2672" ref="B880"/>
    <hyperlink r:id="rId2673" ref="E880"/>
    <hyperlink r:id="rId2674" ref="O880"/>
    <hyperlink r:id="rId2675" ref="B881"/>
    <hyperlink r:id="rId2676" ref="E881"/>
    <hyperlink r:id="rId2677" ref="O881"/>
    <hyperlink r:id="rId2678" ref="B882"/>
    <hyperlink r:id="rId2679" ref="E882"/>
    <hyperlink r:id="rId2680" ref="O882"/>
    <hyperlink r:id="rId2681" ref="B883"/>
    <hyperlink r:id="rId2682" ref="E883"/>
    <hyperlink r:id="rId2683" ref="O883"/>
    <hyperlink r:id="rId2684" ref="B884"/>
    <hyperlink r:id="rId2685" ref="E884"/>
    <hyperlink r:id="rId2686" ref="O884"/>
    <hyperlink r:id="rId2687" ref="B885"/>
    <hyperlink r:id="rId2688" ref="E885"/>
    <hyperlink r:id="rId2689" ref="O885"/>
    <hyperlink r:id="rId2690" ref="B886"/>
    <hyperlink r:id="rId2691" ref="E886"/>
    <hyperlink r:id="rId2692" ref="O886"/>
    <hyperlink r:id="rId2693" ref="B887"/>
    <hyperlink r:id="rId2694" ref="E887"/>
    <hyperlink r:id="rId2695" ref="O887"/>
    <hyperlink r:id="rId2696" ref="B888"/>
    <hyperlink r:id="rId2697" ref="E888"/>
    <hyperlink r:id="rId2698" ref="O888"/>
    <hyperlink r:id="rId2699" ref="B889"/>
    <hyperlink r:id="rId2700" ref="E889"/>
    <hyperlink r:id="rId2701" ref="O889"/>
    <hyperlink r:id="rId2702" ref="B890"/>
    <hyperlink r:id="rId2703" ref="E890"/>
    <hyperlink r:id="rId2704" ref="O890"/>
    <hyperlink r:id="rId2705" ref="B891"/>
    <hyperlink r:id="rId2706" ref="E891"/>
    <hyperlink r:id="rId2707" ref="O891"/>
    <hyperlink r:id="rId2708" ref="B892"/>
    <hyperlink r:id="rId2709" ref="E892"/>
    <hyperlink r:id="rId2710" ref="O892"/>
    <hyperlink r:id="rId2711" ref="B893"/>
    <hyperlink r:id="rId2712" ref="E893"/>
    <hyperlink r:id="rId2713" ref="O893"/>
    <hyperlink r:id="rId2714" ref="B894"/>
    <hyperlink r:id="rId2715" ref="E894"/>
    <hyperlink r:id="rId2716" ref="O894"/>
    <hyperlink r:id="rId2717" ref="B895"/>
    <hyperlink r:id="rId2718" ref="E895"/>
    <hyperlink r:id="rId2719" ref="O895"/>
    <hyperlink r:id="rId2720" ref="B896"/>
    <hyperlink r:id="rId2721" ref="E896"/>
    <hyperlink r:id="rId2722" ref="O896"/>
    <hyperlink r:id="rId2723" ref="B897"/>
    <hyperlink r:id="rId2724" ref="E897"/>
    <hyperlink r:id="rId2725" ref="O897"/>
    <hyperlink r:id="rId2726" ref="B898"/>
    <hyperlink r:id="rId2727" ref="E898"/>
    <hyperlink r:id="rId2728" ref="F898"/>
    <hyperlink r:id="rId2729" ref="O898"/>
    <hyperlink r:id="rId2730" ref="B899"/>
    <hyperlink r:id="rId2731" ref="E899"/>
    <hyperlink r:id="rId2732" ref="O899"/>
    <hyperlink r:id="rId2733" ref="B900"/>
    <hyperlink r:id="rId2734" ref="E900"/>
    <hyperlink r:id="rId2735" ref="O900"/>
    <hyperlink r:id="rId2736" ref="B901"/>
    <hyperlink r:id="rId2737" ref="E901"/>
    <hyperlink r:id="rId2738" ref="F901"/>
    <hyperlink r:id="rId2739" ref="O901"/>
    <hyperlink r:id="rId2740" ref="B902"/>
    <hyperlink r:id="rId2741" ref="E902"/>
    <hyperlink r:id="rId2742" ref="O902"/>
    <hyperlink r:id="rId2743" ref="B903"/>
    <hyperlink r:id="rId2744" ref="E903"/>
    <hyperlink r:id="rId2745" ref="O903"/>
    <hyperlink r:id="rId2746" ref="B904"/>
    <hyperlink r:id="rId2747" ref="E904"/>
    <hyperlink r:id="rId2748" ref="O904"/>
    <hyperlink r:id="rId2749" ref="B905"/>
    <hyperlink r:id="rId2750" ref="E905"/>
    <hyperlink r:id="rId2751" ref="O905"/>
    <hyperlink r:id="rId2752" ref="B906"/>
    <hyperlink r:id="rId2753" ref="E906"/>
    <hyperlink r:id="rId2754" ref="O906"/>
    <hyperlink r:id="rId2755" ref="B907"/>
    <hyperlink r:id="rId2756" ref="E907"/>
    <hyperlink r:id="rId2757" ref="O907"/>
    <hyperlink r:id="rId2758" ref="B908"/>
    <hyperlink r:id="rId2759" ref="E908"/>
    <hyperlink r:id="rId2760" ref="O908"/>
    <hyperlink r:id="rId2761" ref="B909"/>
    <hyperlink r:id="rId2762" ref="E909"/>
    <hyperlink r:id="rId2763" ref="O909"/>
    <hyperlink r:id="rId2764" ref="B910"/>
    <hyperlink r:id="rId2765" ref="E910"/>
    <hyperlink r:id="rId2766" ref="O910"/>
    <hyperlink r:id="rId2767" ref="B911"/>
    <hyperlink r:id="rId2768" ref="E911"/>
    <hyperlink r:id="rId2769" ref="O911"/>
    <hyperlink r:id="rId2770" ref="B912"/>
    <hyperlink r:id="rId2771" ref="E912"/>
    <hyperlink r:id="rId2772" ref="O912"/>
    <hyperlink r:id="rId2773" ref="B913"/>
    <hyperlink r:id="rId2774" ref="E913"/>
    <hyperlink r:id="rId2775" ref="O913"/>
    <hyperlink r:id="rId2776" ref="B914"/>
    <hyperlink r:id="rId2777" ref="E914"/>
    <hyperlink r:id="rId2778" ref="O914"/>
    <hyperlink r:id="rId2779" ref="B915"/>
    <hyperlink r:id="rId2780" ref="E915"/>
    <hyperlink r:id="rId2781" ref="O915"/>
    <hyperlink r:id="rId2782" ref="B916"/>
    <hyperlink r:id="rId2783" ref="E916"/>
    <hyperlink r:id="rId2784" ref="O916"/>
    <hyperlink r:id="rId2785" ref="B917"/>
    <hyperlink r:id="rId2786" ref="E917"/>
    <hyperlink r:id="rId2787" ref="O917"/>
    <hyperlink r:id="rId2788" ref="B918"/>
    <hyperlink r:id="rId2789" ref="E918"/>
    <hyperlink r:id="rId2790" ref="O918"/>
    <hyperlink r:id="rId2791" ref="B919"/>
    <hyperlink r:id="rId2792" ref="E919"/>
    <hyperlink r:id="rId2793" ref="O919"/>
    <hyperlink r:id="rId2794" ref="B920"/>
    <hyperlink r:id="rId2795" ref="E920"/>
    <hyperlink r:id="rId2796" ref="O920"/>
    <hyperlink r:id="rId2797" ref="B921"/>
    <hyperlink r:id="rId2798" ref="E921"/>
    <hyperlink r:id="rId2799" ref="O921"/>
    <hyperlink r:id="rId2800" ref="B922"/>
    <hyperlink r:id="rId2801" ref="E922"/>
    <hyperlink r:id="rId2802" ref="O922"/>
    <hyperlink r:id="rId2803" ref="B923"/>
    <hyperlink r:id="rId2804" ref="E923"/>
    <hyperlink r:id="rId2805" ref="O923"/>
    <hyperlink r:id="rId2806" ref="B924"/>
    <hyperlink r:id="rId2807" ref="E924"/>
    <hyperlink r:id="rId2808" ref="O924"/>
    <hyperlink r:id="rId2809" ref="B925"/>
    <hyperlink r:id="rId2810" ref="E925"/>
    <hyperlink r:id="rId2811" ref="O925"/>
    <hyperlink r:id="rId2812" ref="B926"/>
    <hyperlink r:id="rId2813" ref="E926"/>
    <hyperlink r:id="rId2814" ref="O926"/>
    <hyperlink r:id="rId2815" ref="B927"/>
    <hyperlink r:id="rId2816" ref="E927"/>
    <hyperlink r:id="rId2817" ref="O927"/>
    <hyperlink r:id="rId2818" ref="B928"/>
    <hyperlink r:id="rId2819" ref="E928"/>
    <hyperlink r:id="rId2820" ref="O928"/>
    <hyperlink r:id="rId2821" ref="B929"/>
    <hyperlink r:id="rId2822" ref="E929"/>
    <hyperlink r:id="rId2823" ref="O929"/>
    <hyperlink r:id="rId2824" ref="B930"/>
    <hyperlink r:id="rId2825" ref="E930"/>
    <hyperlink r:id="rId2826" ref="O930"/>
    <hyperlink r:id="rId2827" ref="B931"/>
    <hyperlink r:id="rId2828" ref="E931"/>
    <hyperlink r:id="rId2829" ref="O931"/>
    <hyperlink r:id="rId2830" ref="B932"/>
    <hyperlink r:id="rId2831" ref="E932"/>
    <hyperlink r:id="rId2832" ref="O932"/>
    <hyperlink r:id="rId2833" ref="B933"/>
    <hyperlink r:id="rId2834" ref="E933"/>
    <hyperlink r:id="rId2835" ref="O933"/>
    <hyperlink r:id="rId2836" ref="B934"/>
    <hyperlink r:id="rId2837" ref="E934"/>
    <hyperlink r:id="rId2838" ref="O934"/>
    <hyperlink r:id="rId2839" ref="B935"/>
    <hyperlink r:id="rId2840" ref="E935"/>
    <hyperlink r:id="rId2841" ref="O935"/>
    <hyperlink r:id="rId2842" ref="B936"/>
    <hyperlink r:id="rId2843" ref="E936"/>
    <hyperlink r:id="rId2844" ref="O936"/>
    <hyperlink r:id="rId2845" ref="B937"/>
    <hyperlink r:id="rId2846" ref="E937"/>
    <hyperlink r:id="rId2847" ref="O937"/>
    <hyperlink r:id="rId2848" ref="B938"/>
    <hyperlink r:id="rId2849" ref="E938"/>
    <hyperlink r:id="rId2850" ref="O938"/>
    <hyperlink r:id="rId2851" ref="B939"/>
    <hyperlink r:id="rId2852" ref="E939"/>
    <hyperlink r:id="rId2853" ref="O939"/>
    <hyperlink r:id="rId2854" ref="B940"/>
    <hyperlink r:id="rId2855" ref="E940"/>
    <hyperlink r:id="rId2856" ref="O940"/>
    <hyperlink r:id="rId2857" ref="B941"/>
    <hyperlink r:id="rId2858" ref="E941"/>
    <hyperlink r:id="rId2859" ref="O941"/>
    <hyperlink r:id="rId2860" ref="B942"/>
    <hyperlink r:id="rId2861" ref="E942"/>
    <hyperlink r:id="rId2862" ref="O942"/>
    <hyperlink r:id="rId2863" ref="B943"/>
    <hyperlink r:id="rId2864" ref="E943"/>
    <hyperlink r:id="rId2865" ref="O943"/>
    <hyperlink r:id="rId2866" ref="B944"/>
    <hyperlink r:id="rId2867" ref="E944"/>
    <hyperlink r:id="rId2868" ref="O944"/>
    <hyperlink r:id="rId2869" ref="B945"/>
    <hyperlink r:id="rId2870" ref="E945"/>
    <hyperlink r:id="rId2871" ref="O945"/>
    <hyperlink r:id="rId2872" ref="B946"/>
    <hyperlink r:id="rId2873" ref="E946"/>
    <hyperlink r:id="rId2874" ref="O946"/>
    <hyperlink r:id="rId2875" ref="B947"/>
    <hyperlink r:id="rId2876" ref="E947"/>
    <hyperlink r:id="rId2877" ref="O947"/>
    <hyperlink r:id="rId2878" ref="B948"/>
    <hyperlink r:id="rId2879" ref="E948"/>
    <hyperlink r:id="rId2880" ref="O948"/>
    <hyperlink r:id="rId2881" ref="B949"/>
    <hyperlink r:id="rId2882" ref="E949"/>
    <hyperlink r:id="rId2883" ref="O949"/>
    <hyperlink r:id="rId2884" ref="B950"/>
    <hyperlink r:id="rId2885" ref="E950"/>
    <hyperlink r:id="rId2886" ref="O950"/>
    <hyperlink r:id="rId2887" ref="B951"/>
    <hyperlink r:id="rId2888" ref="E951"/>
    <hyperlink r:id="rId2889" ref="O951"/>
    <hyperlink r:id="rId2890" ref="B952"/>
    <hyperlink r:id="rId2891" ref="E952"/>
    <hyperlink r:id="rId2892" ref="O952"/>
    <hyperlink r:id="rId2893" ref="B953"/>
    <hyperlink r:id="rId2894" ref="E953"/>
    <hyperlink r:id="rId2895" ref="O953"/>
    <hyperlink r:id="rId2896" ref="B954"/>
    <hyperlink r:id="rId2897" ref="E954"/>
    <hyperlink r:id="rId2898" ref="O954"/>
    <hyperlink r:id="rId2899" ref="B955"/>
    <hyperlink r:id="rId2900" ref="E955"/>
    <hyperlink r:id="rId2901" ref="O955"/>
    <hyperlink r:id="rId2902" ref="B956"/>
    <hyperlink r:id="rId2903" ref="E956"/>
    <hyperlink r:id="rId2904" ref="O956"/>
    <hyperlink r:id="rId2905" ref="B957"/>
    <hyperlink r:id="rId2906" ref="E957"/>
    <hyperlink r:id="rId2907" ref="F957"/>
    <hyperlink r:id="rId2908" ref="O957"/>
    <hyperlink r:id="rId2909" ref="B958"/>
    <hyperlink r:id="rId2910" ref="E958"/>
    <hyperlink r:id="rId2911" ref="O958"/>
    <hyperlink r:id="rId2912" ref="B959"/>
    <hyperlink r:id="rId2913" ref="E959"/>
    <hyperlink r:id="rId2914" ref="O959"/>
    <hyperlink r:id="rId2915" ref="B960"/>
    <hyperlink r:id="rId2916" ref="E960"/>
    <hyperlink r:id="rId2917" ref="O960"/>
    <hyperlink r:id="rId2918" ref="B961"/>
    <hyperlink r:id="rId2919" ref="E961"/>
    <hyperlink r:id="rId2920" ref="O961"/>
    <hyperlink r:id="rId2921" ref="B962"/>
    <hyperlink r:id="rId2922" ref="E962"/>
    <hyperlink r:id="rId2923" ref="O962"/>
    <hyperlink r:id="rId2924" ref="B963"/>
    <hyperlink r:id="rId2925" ref="E963"/>
    <hyperlink r:id="rId2926" ref="O963"/>
    <hyperlink r:id="rId2927" ref="B964"/>
    <hyperlink r:id="rId2928" ref="E964"/>
    <hyperlink r:id="rId2929" ref="O964"/>
    <hyperlink r:id="rId2930" ref="B965"/>
    <hyperlink r:id="rId2931" ref="E965"/>
    <hyperlink r:id="rId2932" ref="O965"/>
    <hyperlink r:id="rId2933" ref="B966"/>
    <hyperlink r:id="rId2934" ref="E966"/>
    <hyperlink r:id="rId2935" ref="O966"/>
    <hyperlink r:id="rId2936" ref="B967"/>
    <hyperlink r:id="rId2937" ref="E967"/>
    <hyperlink r:id="rId2938" ref="O967"/>
    <hyperlink r:id="rId2939" ref="B968"/>
    <hyperlink r:id="rId2940" ref="E968"/>
    <hyperlink r:id="rId2941" ref="O968"/>
    <hyperlink r:id="rId2942" ref="B969"/>
    <hyperlink r:id="rId2943" ref="E969"/>
    <hyperlink r:id="rId2944" ref="O969"/>
    <hyperlink r:id="rId2945" ref="B970"/>
    <hyperlink r:id="rId2946" ref="E970"/>
    <hyperlink r:id="rId2947" ref="O970"/>
    <hyperlink r:id="rId2948" ref="B971"/>
    <hyperlink r:id="rId2949" ref="E971"/>
    <hyperlink r:id="rId2950" ref="O971"/>
    <hyperlink r:id="rId2951" ref="B972"/>
    <hyperlink r:id="rId2952" ref="E972"/>
    <hyperlink r:id="rId2953" ref="O972"/>
    <hyperlink r:id="rId2954" ref="B973"/>
    <hyperlink r:id="rId2955" ref="E973"/>
    <hyperlink r:id="rId2956" ref="O973"/>
    <hyperlink r:id="rId2957" ref="B974"/>
    <hyperlink r:id="rId2958" ref="E974"/>
    <hyperlink r:id="rId2959" ref="O974"/>
    <hyperlink r:id="rId2960" ref="B975"/>
    <hyperlink r:id="rId2961" ref="E975"/>
    <hyperlink r:id="rId2962" ref="O975"/>
    <hyperlink r:id="rId2963" ref="B976"/>
    <hyperlink r:id="rId2964" ref="E976"/>
    <hyperlink r:id="rId2965" ref="O976"/>
    <hyperlink r:id="rId2966" ref="B977"/>
    <hyperlink r:id="rId2967" ref="E977"/>
    <hyperlink r:id="rId2968" ref="O977"/>
    <hyperlink r:id="rId2969" ref="B978"/>
    <hyperlink r:id="rId2970" ref="E978"/>
    <hyperlink r:id="rId2971" ref="O978"/>
    <hyperlink r:id="rId2972" ref="B979"/>
    <hyperlink r:id="rId2973" ref="E979"/>
    <hyperlink r:id="rId2974" ref="O979"/>
    <hyperlink r:id="rId2975" ref="B980"/>
    <hyperlink r:id="rId2976" ref="E980"/>
    <hyperlink r:id="rId2977" ref="O980"/>
    <hyperlink r:id="rId2978" ref="B981"/>
    <hyperlink r:id="rId2979" ref="E981"/>
    <hyperlink r:id="rId2980" ref="O981"/>
    <hyperlink r:id="rId2981" ref="B982"/>
    <hyperlink r:id="rId2982" ref="E982"/>
    <hyperlink r:id="rId2983" ref="O982"/>
    <hyperlink r:id="rId2984" ref="B983"/>
    <hyperlink r:id="rId2985" ref="E983"/>
    <hyperlink r:id="rId2986" ref="O983"/>
    <hyperlink r:id="rId2987" ref="B984"/>
    <hyperlink r:id="rId2988" ref="E984"/>
    <hyperlink r:id="rId2989" ref="O984"/>
    <hyperlink r:id="rId2990" ref="B985"/>
    <hyperlink r:id="rId2991" ref="E985"/>
    <hyperlink r:id="rId2992" ref="F985"/>
    <hyperlink r:id="rId2993" ref="O985"/>
    <hyperlink r:id="rId2994" ref="B986"/>
    <hyperlink r:id="rId2995" ref="E986"/>
    <hyperlink r:id="rId2996" ref="O986"/>
    <hyperlink r:id="rId2997" ref="B987"/>
    <hyperlink r:id="rId2998" ref="E987"/>
    <hyperlink r:id="rId2999" ref="O987"/>
    <hyperlink r:id="rId3000" ref="B988"/>
    <hyperlink r:id="rId3001" ref="E988"/>
    <hyperlink r:id="rId3002" ref="O988"/>
    <hyperlink r:id="rId3003" ref="B989"/>
    <hyperlink r:id="rId3004" ref="E989"/>
    <hyperlink r:id="rId3005" ref="O989"/>
    <hyperlink r:id="rId3006" ref="B990"/>
    <hyperlink r:id="rId3007" ref="E990"/>
    <hyperlink r:id="rId3008" ref="O990"/>
    <hyperlink r:id="rId3009" ref="B991"/>
    <hyperlink r:id="rId3010" ref="E991"/>
    <hyperlink r:id="rId3011" ref="O991"/>
    <hyperlink r:id="rId3012" ref="B992"/>
    <hyperlink r:id="rId3013" ref="E992"/>
    <hyperlink r:id="rId3014" ref="O992"/>
    <hyperlink r:id="rId3015" ref="B993"/>
    <hyperlink r:id="rId3016" ref="E993"/>
    <hyperlink r:id="rId3017" ref="O993"/>
    <hyperlink r:id="rId3018" ref="B994"/>
    <hyperlink r:id="rId3019" ref="E994"/>
    <hyperlink r:id="rId3020" ref="O994"/>
    <hyperlink r:id="rId3021" ref="B995"/>
    <hyperlink r:id="rId3022" ref="E995"/>
    <hyperlink r:id="rId3023" ref="O995"/>
    <hyperlink r:id="rId3024" ref="B996"/>
    <hyperlink r:id="rId3025" ref="E996"/>
    <hyperlink r:id="rId3026" ref="O996"/>
    <hyperlink r:id="rId3027" ref="B997"/>
    <hyperlink r:id="rId3028" ref="E997"/>
    <hyperlink r:id="rId3029" ref="O997"/>
    <hyperlink r:id="rId3030" ref="B998"/>
    <hyperlink r:id="rId3031" ref="E998"/>
    <hyperlink r:id="rId3032" ref="O998"/>
    <hyperlink r:id="rId3033" ref="B999"/>
    <hyperlink r:id="rId3034" ref="E999"/>
    <hyperlink r:id="rId3035" ref="O999"/>
    <hyperlink r:id="rId3036" ref="B1000"/>
    <hyperlink r:id="rId3037" ref="E1000"/>
    <hyperlink r:id="rId3038" ref="O1000"/>
    <hyperlink r:id="rId3039" ref="B1001"/>
    <hyperlink r:id="rId3040" ref="E1001"/>
    <hyperlink r:id="rId3041" ref="O1001"/>
    <hyperlink r:id="rId3042" ref="B1002"/>
    <hyperlink r:id="rId3043" ref="E1002"/>
    <hyperlink r:id="rId3044" ref="O1002"/>
    <hyperlink r:id="rId3045" ref="B1003"/>
    <hyperlink r:id="rId3046" ref="E1003"/>
    <hyperlink r:id="rId3047" ref="O1003"/>
    <hyperlink r:id="rId3048" ref="B1004"/>
    <hyperlink r:id="rId3049" ref="E1004"/>
    <hyperlink r:id="rId3050" ref="O1004"/>
    <hyperlink r:id="rId3051" ref="B1005"/>
    <hyperlink r:id="rId3052" ref="E1005"/>
    <hyperlink r:id="rId3053" ref="O1005"/>
    <hyperlink r:id="rId3054" ref="B1006"/>
    <hyperlink r:id="rId3055" ref="E1006"/>
    <hyperlink r:id="rId3056" ref="O1006"/>
    <hyperlink r:id="rId3057" ref="B1007"/>
    <hyperlink r:id="rId3058" ref="E1007"/>
    <hyperlink r:id="rId3059" ref="O1007"/>
    <hyperlink r:id="rId3060" ref="B1008"/>
    <hyperlink r:id="rId3061" ref="E1008"/>
    <hyperlink r:id="rId3062" ref="O1008"/>
    <hyperlink r:id="rId3063" ref="B1009"/>
    <hyperlink r:id="rId3064" ref="E1009"/>
    <hyperlink r:id="rId3065" ref="O1009"/>
    <hyperlink r:id="rId3066" ref="B1010"/>
    <hyperlink r:id="rId3067" ref="E1010"/>
    <hyperlink r:id="rId3068" ref="O1010"/>
    <hyperlink r:id="rId3069" ref="B1011"/>
    <hyperlink r:id="rId3070" ref="E1011"/>
    <hyperlink r:id="rId3071" ref="O1011"/>
    <hyperlink r:id="rId3072" ref="B1012"/>
    <hyperlink r:id="rId3073" ref="E1012"/>
    <hyperlink r:id="rId3074" ref="O1012"/>
    <hyperlink r:id="rId3075" ref="B1013"/>
    <hyperlink r:id="rId3076" ref="E1013"/>
    <hyperlink r:id="rId3077" ref="F1013"/>
    <hyperlink r:id="rId3078" ref="O1013"/>
    <hyperlink r:id="rId3079" ref="B1014"/>
    <hyperlink r:id="rId3080" ref="E1014"/>
    <hyperlink r:id="rId3081" ref="O1014"/>
    <hyperlink r:id="rId3082" ref="B1015"/>
    <hyperlink r:id="rId3083" ref="E1015"/>
    <hyperlink r:id="rId3084" ref="O1015"/>
    <hyperlink r:id="rId3085" ref="B1016"/>
    <hyperlink r:id="rId3086" ref="E1016"/>
    <hyperlink r:id="rId3087" ref="O1016"/>
    <hyperlink r:id="rId3088" ref="B1017"/>
    <hyperlink r:id="rId3089" ref="E1017"/>
    <hyperlink r:id="rId3090" ref="O1017"/>
    <hyperlink r:id="rId3091" ref="B1018"/>
    <hyperlink r:id="rId3092" ref="E1018"/>
    <hyperlink r:id="rId3093" ref="O1018"/>
    <hyperlink r:id="rId3094" ref="B1019"/>
    <hyperlink r:id="rId3095" ref="E1019"/>
    <hyperlink r:id="rId3096" ref="O1019"/>
    <hyperlink r:id="rId3097" ref="B1020"/>
    <hyperlink r:id="rId3098" ref="E1020"/>
    <hyperlink r:id="rId3099" ref="O1020"/>
    <hyperlink r:id="rId3100" ref="B1021"/>
    <hyperlink r:id="rId3101" ref="E1021"/>
    <hyperlink r:id="rId3102" ref="O1021"/>
    <hyperlink r:id="rId3103" ref="B1022"/>
    <hyperlink r:id="rId3104" ref="E1022"/>
    <hyperlink r:id="rId3105" ref="O1022"/>
    <hyperlink r:id="rId3106" ref="B1023"/>
    <hyperlink r:id="rId3107" ref="E1023"/>
    <hyperlink r:id="rId3108" ref="O1023"/>
    <hyperlink r:id="rId3109" ref="B1024"/>
    <hyperlink r:id="rId3110" ref="E1024"/>
    <hyperlink r:id="rId3111" ref="O1024"/>
    <hyperlink r:id="rId3112" ref="B1025"/>
    <hyperlink r:id="rId3113" ref="E1025"/>
    <hyperlink r:id="rId3114" ref="O1025"/>
    <hyperlink r:id="rId3115" ref="B1026"/>
    <hyperlink r:id="rId3116" ref="E1026"/>
    <hyperlink r:id="rId3117" ref="O1026"/>
    <hyperlink r:id="rId3118" ref="B1027"/>
    <hyperlink r:id="rId3119" ref="E1027"/>
    <hyperlink r:id="rId3120" ref="O1027"/>
    <hyperlink r:id="rId3121" ref="B1028"/>
    <hyperlink r:id="rId3122" ref="E1028"/>
    <hyperlink r:id="rId3123" ref="O1028"/>
    <hyperlink r:id="rId3124" ref="B1029"/>
    <hyperlink r:id="rId3125" ref="E1029"/>
    <hyperlink r:id="rId3126" ref="O1029"/>
    <hyperlink r:id="rId3127" ref="B1030"/>
    <hyperlink r:id="rId3128" ref="E1030"/>
    <hyperlink r:id="rId3129" ref="O1030"/>
    <hyperlink r:id="rId3130" ref="B1031"/>
    <hyperlink r:id="rId3131" ref="E1031"/>
    <hyperlink r:id="rId3132" ref="O1031"/>
    <hyperlink r:id="rId3133" ref="B1032"/>
    <hyperlink r:id="rId3134" ref="E1032"/>
    <hyperlink r:id="rId3135" ref="O1032"/>
    <hyperlink r:id="rId3136" ref="B1033"/>
    <hyperlink r:id="rId3137" ref="E1033"/>
    <hyperlink r:id="rId3138" ref="O1033"/>
    <hyperlink r:id="rId3139" ref="B1034"/>
    <hyperlink r:id="rId3140" ref="E1034"/>
    <hyperlink r:id="rId3141" ref="O1034"/>
    <hyperlink r:id="rId3142" ref="B1035"/>
    <hyperlink r:id="rId3143" ref="E1035"/>
    <hyperlink r:id="rId3144" ref="O1035"/>
    <hyperlink r:id="rId3145" ref="B1036"/>
    <hyperlink r:id="rId3146" ref="E1036"/>
    <hyperlink r:id="rId3147" ref="O1036"/>
    <hyperlink r:id="rId3148" ref="B1037"/>
    <hyperlink r:id="rId3149" ref="E1037"/>
    <hyperlink r:id="rId3150" ref="O1037"/>
    <hyperlink r:id="rId3151" ref="B1038"/>
    <hyperlink r:id="rId3152" ref="E1038"/>
    <hyperlink r:id="rId3153" ref="O1038"/>
    <hyperlink r:id="rId3154" ref="B1039"/>
    <hyperlink r:id="rId3155" ref="E1039"/>
    <hyperlink r:id="rId3156" ref="O1039"/>
    <hyperlink r:id="rId3157" ref="B1040"/>
    <hyperlink r:id="rId3158" ref="E1040"/>
    <hyperlink r:id="rId3159" ref="O1040"/>
    <hyperlink r:id="rId3160" ref="B1041"/>
    <hyperlink r:id="rId3161" ref="E1041"/>
    <hyperlink r:id="rId3162" ref="O1041"/>
    <hyperlink r:id="rId3163" ref="B1042"/>
    <hyperlink r:id="rId3164" ref="E1042"/>
    <hyperlink r:id="rId3165" ref="O1042"/>
    <hyperlink r:id="rId3166" ref="B1043"/>
    <hyperlink r:id="rId3167" ref="E1043"/>
    <hyperlink r:id="rId3168" ref="O1043"/>
    <hyperlink r:id="rId3169" ref="B1044"/>
    <hyperlink r:id="rId3170" ref="E1044"/>
    <hyperlink r:id="rId3171" ref="O1044"/>
    <hyperlink r:id="rId3172" ref="B1045"/>
    <hyperlink r:id="rId3173" ref="E1045"/>
    <hyperlink r:id="rId3174" ref="O1045"/>
    <hyperlink r:id="rId3175" ref="B1046"/>
    <hyperlink r:id="rId3176" ref="E1046"/>
    <hyperlink r:id="rId3177" ref="O1046"/>
    <hyperlink r:id="rId3178" ref="B1047"/>
    <hyperlink r:id="rId3179" ref="E1047"/>
    <hyperlink r:id="rId3180" ref="O1047"/>
    <hyperlink r:id="rId3181" ref="B1048"/>
    <hyperlink r:id="rId3182" ref="E1048"/>
    <hyperlink r:id="rId3183" ref="O1048"/>
    <hyperlink r:id="rId3184" ref="B1049"/>
    <hyperlink r:id="rId3185" ref="E1049"/>
    <hyperlink r:id="rId3186" ref="O1049"/>
    <hyperlink r:id="rId3187" ref="B1050"/>
    <hyperlink r:id="rId3188" ref="E1050"/>
    <hyperlink r:id="rId3189" ref="O1050"/>
    <hyperlink r:id="rId3190" ref="B1051"/>
    <hyperlink r:id="rId3191" ref="E1051"/>
    <hyperlink r:id="rId3192" ref="O1051"/>
    <hyperlink r:id="rId3193" ref="B1052"/>
    <hyperlink r:id="rId3194" ref="E1052"/>
    <hyperlink r:id="rId3195" ref="O1052"/>
    <hyperlink r:id="rId3196" ref="B1053"/>
    <hyperlink r:id="rId3197" ref="E1053"/>
    <hyperlink r:id="rId3198" ref="O1053"/>
    <hyperlink r:id="rId3199" ref="B1054"/>
    <hyperlink r:id="rId3200" ref="E1054"/>
    <hyperlink r:id="rId3201" ref="O1054"/>
    <hyperlink r:id="rId3202" ref="B1055"/>
    <hyperlink r:id="rId3203" ref="E1055"/>
    <hyperlink r:id="rId3204" ref="O1055"/>
    <hyperlink r:id="rId3205" ref="B1056"/>
    <hyperlink r:id="rId3206" ref="E1056"/>
    <hyperlink r:id="rId3207" ref="O1056"/>
    <hyperlink r:id="rId3208" ref="B1057"/>
    <hyperlink r:id="rId3209" ref="E1057"/>
    <hyperlink r:id="rId3210" ref="O1057"/>
    <hyperlink r:id="rId3211" ref="B1058"/>
    <hyperlink r:id="rId3212" ref="E1058"/>
    <hyperlink r:id="rId3213" ref="O1058"/>
    <hyperlink r:id="rId3214" ref="B1059"/>
    <hyperlink r:id="rId3215" ref="E1059"/>
    <hyperlink r:id="rId3216" ref="O1059"/>
    <hyperlink r:id="rId3217" ref="B1060"/>
    <hyperlink r:id="rId3218" ref="E1060"/>
    <hyperlink r:id="rId3219" ref="O1060"/>
    <hyperlink r:id="rId3220" ref="B1061"/>
    <hyperlink r:id="rId3221" ref="E1061"/>
    <hyperlink r:id="rId3222" ref="O1061"/>
    <hyperlink r:id="rId3223" ref="B1062"/>
    <hyperlink r:id="rId3224" ref="E1062"/>
    <hyperlink r:id="rId3225" ref="O1062"/>
    <hyperlink r:id="rId3226" ref="B1063"/>
    <hyperlink r:id="rId3227" ref="E1063"/>
    <hyperlink r:id="rId3228" ref="O1063"/>
    <hyperlink r:id="rId3229" ref="B1064"/>
    <hyperlink r:id="rId3230" ref="E1064"/>
    <hyperlink r:id="rId3231" ref="O1064"/>
    <hyperlink r:id="rId3232" ref="B1065"/>
    <hyperlink r:id="rId3233" ref="E1065"/>
    <hyperlink r:id="rId3234" ref="O1065"/>
    <hyperlink r:id="rId3235" ref="B1066"/>
    <hyperlink r:id="rId3236" ref="E1066"/>
    <hyperlink r:id="rId3237" ref="O1066"/>
    <hyperlink r:id="rId3238" ref="B1067"/>
    <hyperlink r:id="rId3239" ref="E1067"/>
    <hyperlink r:id="rId3240" ref="O1067"/>
    <hyperlink r:id="rId3241" ref="B1068"/>
    <hyperlink r:id="rId3242" ref="E1068"/>
    <hyperlink r:id="rId3243" ref="O1068"/>
    <hyperlink r:id="rId3244" ref="B1069"/>
    <hyperlink r:id="rId3245" ref="E1069"/>
    <hyperlink r:id="rId3246" ref="O1069"/>
    <hyperlink r:id="rId3247" ref="B1070"/>
    <hyperlink r:id="rId3248" ref="E1070"/>
    <hyperlink r:id="rId3249" ref="O1070"/>
    <hyperlink r:id="rId3250" ref="B1071"/>
    <hyperlink r:id="rId3251" ref="E1071"/>
    <hyperlink r:id="rId3252" ref="O1071"/>
    <hyperlink r:id="rId3253" ref="B1072"/>
    <hyperlink r:id="rId3254" ref="E1072"/>
    <hyperlink r:id="rId3255" ref="O1072"/>
    <hyperlink r:id="rId3256" ref="B1073"/>
    <hyperlink r:id="rId3257" ref="E1073"/>
    <hyperlink r:id="rId3258" ref="F1073"/>
    <hyperlink r:id="rId3259" ref="O1073"/>
    <hyperlink r:id="rId3260" ref="B1074"/>
    <hyperlink r:id="rId3261" ref="E1074"/>
    <hyperlink r:id="rId3262" ref="O1074"/>
    <hyperlink r:id="rId3263" ref="B1075"/>
    <hyperlink r:id="rId3264" ref="E1075"/>
    <hyperlink r:id="rId3265" ref="O1075"/>
    <hyperlink r:id="rId3266" ref="B1076"/>
    <hyperlink r:id="rId3267" ref="E1076"/>
    <hyperlink r:id="rId3268" ref="O1076"/>
    <hyperlink r:id="rId3269" ref="B1077"/>
    <hyperlink r:id="rId3270" ref="E1077"/>
    <hyperlink r:id="rId3271" ref="O1077"/>
    <hyperlink r:id="rId3272" ref="B1078"/>
    <hyperlink r:id="rId3273" ref="E1078"/>
    <hyperlink r:id="rId3274" ref="O1078"/>
    <hyperlink r:id="rId3275" ref="B1079"/>
    <hyperlink r:id="rId3276" ref="E1079"/>
    <hyperlink r:id="rId3277" ref="O1079"/>
    <hyperlink r:id="rId3278" ref="B1080"/>
    <hyperlink r:id="rId3279" ref="E1080"/>
    <hyperlink r:id="rId3280" ref="O1080"/>
    <hyperlink r:id="rId3281" ref="B1081"/>
    <hyperlink r:id="rId3282" ref="E1081"/>
    <hyperlink r:id="rId3283" ref="O1081"/>
    <hyperlink r:id="rId3284" ref="B1082"/>
    <hyperlink r:id="rId3285" ref="E1082"/>
    <hyperlink r:id="rId3286" ref="O1082"/>
    <hyperlink r:id="rId3287" ref="B1083"/>
    <hyperlink r:id="rId3288" ref="E1083"/>
    <hyperlink r:id="rId3289" ref="O1083"/>
    <hyperlink r:id="rId3290" ref="B1084"/>
    <hyperlink r:id="rId3291" ref="E1084"/>
    <hyperlink r:id="rId3292" ref="O1084"/>
    <hyperlink r:id="rId3293" ref="B1085"/>
    <hyperlink r:id="rId3294" ref="E1085"/>
    <hyperlink r:id="rId3295" ref="O1085"/>
    <hyperlink r:id="rId3296" ref="B1086"/>
    <hyperlink r:id="rId3297" ref="E1086"/>
    <hyperlink r:id="rId3298" ref="O1086"/>
    <hyperlink r:id="rId3299" ref="B1087"/>
    <hyperlink r:id="rId3300" ref="E1087"/>
    <hyperlink r:id="rId3301" ref="O1087"/>
    <hyperlink r:id="rId3302" ref="B1088"/>
    <hyperlink r:id="rId3303" ref="E1088"/>
    <hyperlink r:id="rId3304" ref="O1088"/>
    <hyperlink r:id="rId3305" ref="B1089"/>
    <hyperlink r:id="rId3306" ref="E1089"/>
    <hyperlink r:id="rId3307" ref="O1089"/>
    <hyperlink r:id="rId3308" ref="B1090"/>
    <hyperlink r:id="rId3309" ref="E1090"/>
    <hyperlink r:id="rId3310" ref="O1090"/>
    <hyperlink r:id="rId3311" ref="B1091"/>
    <hyperlink r:id="rId3312" ref="E1091"/>
    <hyperlink r:id="rId3313" ref="O1091"/>
    <hyperlink r:id="rId3314" ref="B1092"/>
    <hyperlink r:id="rId3315" ref="E1092"/>
    <hyperlink r:id="rId3316" ref="O1092"/>
    <hyperlink r:id="rId3317" ref="B1093"/>
    <hyperlink r:id="rId3318" ref="E1093"/>
    <hyperlink r:id="rId3319" ref="O1093"/>
    <hyperlink r:id="rId3320" ref="B1094"/>
    <hyperlink r:id="rId3321" ref="E1094"/>
    <hyperlink r:id="rId3322" ref="O1094"/>
    <hyperlink r:id="rId3323" ref="B1095"/>
    <hyperlink r:id="rId3324" ref="E1095"/>
    <hyperlink r:id="rId3325" ref="O1095"/>
    <hyperlink r:id="rId3326" ref="B1096"/>
    <hyperlink r:id="rId3327" ref="E1096"/>
    <hyperlink r:id="rId3328" ref="O1096"/>
    <hyperlink r:id="rId3329" ref="B1097"/>
    <hyperlink r:id="rId3330" ref="E1097"/>
    <hyperlink r:id="rId3331" ref="O1097"/>
    <hyperlink r:id="rId3332" ref="B1098"/>
    <hyperlink r:id="rId3333" ref="E1098"/>
    <hyperlink r:id="rId3334" ref="O1098"/>
    <hyperlink r:id="rId3335" ref="B1099"/>
    <hyperlink r:id="rId3336" ref="E1099"/>
    <hyperlink r:id="rId3337" ref="O1099"/>
    <hyperlink r:id="rId3338" ref="B1100"/>
    <hyperlink r:id="rId3339" ref="E1100"/>
    <hyperlink r:id="rId3340" ref="O1100"/>
    <hyperlink r:id="rId3341" ref="B1101"/>
    <hyperlink r:id="rId3342" ref="E1101"/>
    <hyperlink r:id="rId3343" ref="O1101"/>
    <hyperlink r:id="rId3344" ref="B1102"/>
    <hyperlink r:id="rId3345" ref="E1102"/>
    <hyperlink r:id="rId3346" ref="O1102"/>
    <hyperlink r:id="rId3347" ref="B1103"/>
    <hyperlink r:id="rId3348" ref="C1103"/>
    <hyperlink r:id="rId3349" ref="E1103"/>
    <hyperlink r:id="rId3350" ref="O1103"/>
    <hyperlink r:id="rId3351" ref="B1104"/>
    <hyperlink r:id="rId3352" ref="E1104"/>
    <hyperlink r:id="rId3353" ref="O1104"/>
    <hyperlink r:id="rId3354" ref="B1105"/>
    <hyperlink r:id="rId3355" ref="E1105"/>
    <hyperlink r:id="rId3356" ref="O1105"/>
    <hyperlink r:id="rId3357" ref="B1106"/>
    <hyperlink r:id="rId3358" ref="E1106"/>
    <hyperlink r:id="rId3359" ref="O1106"/>
    <hyperlink r:id="rId3360" ref="B1107"/>
    <hyperlink r:id="rId3361" ref="E1107"/>
    <hyperlink r:id="rId3362" ref="O1107"/>
    <hyperlink r:id="rId3363" ref="B1108"/>
    <hyperlink r:id="rId3364" ref="E1108"/>
    <hyperlink r:id="rId3365" ref="O1108"/>
    <hyperlink r:id="rId3366" ref="B1109"/>
    <hyperlink r:id="rId3367" ref="E1109"/>
    <hyperlink r:id="rId3368" ref="O1109"/>
    <hyperlink r:id="rId3369" ref="B1110"/>
    <hyperlink r:id="rId3370" ref="E1110"/>
    <hyperlink r:id="rId3371" ref="O1110"/>
    <hyperlink r:id="rId3372" ref="B1111"/>
    <hyperlink r:id="rId3373" ref="E1111"/>
    <hyperlink r:id="rId3374" ref="O1111"/>
    <hyperlink r:id="rId3375" ref="B1112"/>
    <hyperlink r:id="rId3376" ref="E1112"/>
    <hyperlink r:id="rId3377" ref="O1112"/>
    <hyperlink r:id="rId3378" ref="B1113"/>
    <hyperlink r:id="rId3379" ref="E1113"/>
    <hyperlink r:id="rId3380" ref="O1113"/>
    <hyperlink r:id="rId3381" ref="B1114"/>
    <hyperlink r:id="rId3382" ref="C1114"/>
    <hyperlink r:id="rId3383" ref="E1114"/>
    <hyperlink r:id="rId3384" ref="O1114"/>
    <hyperlink r:id="rId3385" ref="B1115"/>
    <hyperlink r:id="rId3386" ref="E1115"/>
    <hyperlink r:id="rId3387" ref="O1115"/>
    <hyperlink r:id="rId3388" ref="B1116"/>
    <hyperlink r:id="rId3389" ref="E1116"/>
    <hyperlink r:id="rId3390" ref="O1116"/>
    <hyperlink r:id="rId3391" ref="B1117"/>
    <hyperlink r:id="rId3392" ref="E1117"/>
    <hyperlink r:id="rId3393" ref="O1117"/>
    <hyperlink r:id="rId3394" ref="B1118"/>
    <hyperlink r:id="rId3395" ref="E1118"/>
    <hyperlink r:id="rId3396" ref="O1118"/>
    <hyperlink r:id="rId3397" ref="B1119"/>
    <hyperlink r:id="rId3398" ref="E1119"/>
    <hyperlink r:id="rId3399" ref="O1119"/>
    <hyperlink r:id="rId3400" ref="B1120"/>
    <hyperlink r:id="rId3401" ref="E1120"/>
    <hyperlink r:id="rId3402" ref="O1120"/>
    <hyperlink r:id="rId3403" ref="B1121"/>
    <hyperlink r:id="rId3404" ref="E1121"/>
    <hyperlink r:id="rId3405" ref="O1121"/>
    <hyperlink r:id="rId3406" ref="B1122"/>
    <hyperlink r:id="rId3407" ref="E1122"/>
    <hyperlink r:id="rId3408" ref="O1122"/>
    <hyperlink r:id="rId3409" ref="B1123"/>
    <hyperlink r:id="rId3410" ref="E1123"/>
    <hyperlink r:id="rId3411" ref="O1123"/>
    <hyperlink r:id="rId3412" ref="B1124"/>
    <hyperlink r:id="rId3413" ref="E1124"/>
    <hyperlink r:id="rId3414" ref="O1124"/>
    <hyperlink r:id="rId3415" ref="B1125"/>
    <hyperlink r:id="rId3416" ref="E1125"/>
    <hyperlink r:id="rId3417" ref="O1125"/>
    <hyperlink r:id="rId3418" ref="B1126"/>
    <hyperlink r:id="rId3419" ref="E1126"/>
    <hyperlink r:id="rId3420" ref="O1126"/>
    <hyperlink r:id="rId3421" ref="B1127"/>
    <hyperlink r:id="rId3422" ref="E1127"/>
    <hyperlink r:id="rId3423" ref="O1127"/>
    <hyperlink r:id="rId3424" ref="B1128"/>
    <hyperlink r:id="rId3425" ref="E1128"/>
    <hyperlink r:id="rId3426" ref="F1128"/>
    <hyperlink r:id="rId3427" ref="O1128"/>
    <hyperlink r:id="rId3428" ref="B1129"/>
    <hyperlink r:id="rId3429" ref="C1129"/>
    <hyperlink r:id="rId3430" ref="E1129"/>
    <hyperlink r:id="rId3431" ref="O1129"/>
    <hyperlink r:id="rId3432" ref="B1130"/>
    <hyperlink r:id="rId3433" ref="E1130"/>
    <hyperlink r:id="rId3434" ref="O1130"/>
    <hyperlink r:id="rId3435" ref="B1131"/>
    <hyperlink r:id="rId3436" ref="E1131"/>
    <hyperlink r:id="rId3437" ref="O1131"/>
    <hyperlink r:id="rId3438" ref="B1132"/>
    <hyperlink r:id="rId3439" ref="E1132"/>
    <hyperlink r:id="rId3440" ref="O1132"/>
    <hyperlink r:id="rId3441" ref="B1133"/>
    <hyperlink r:id="rId3442" ref="E1133"/>
    <hyperlink r:id="rId3443" ref="O1133"/>
    <hyperlink r:id="rId3444" ref="B1134"/>
    <hyperlink r:id="rId3445" ref="E1134"/>
    <hyperlink r:id="rId3446" ref="O1134"/>
    <hyperlink r:id="rId3447" ref="B1135"/>
    <hyperlink r:id="rId3448" ref="E1135"/>
    <hyperlink r:id="rId3449" ref="O1135"/>
    <hyperlink r:id="rId3450" ref="B1136"/>
    <hyperlink r:id="rId3451" ref="E1136"/>
    <hyperlink r:id="rId3452" ref="O1136"/>
    <hyperlink r:id="rId3453" ref="B1137"/>
    <hyperlink r:id="rId3454" ref="E1137"/>
    <hyperlink r:id="rId3455" ref="O1137"/>
    <hyperlink r:id="rId3456" ref="B1138"/>
    <hyperlink r:id="rId3457" ref="E1138"/>
    <hyperlink r:id="rId3458" ref="O1138"/>
    <hyperlink r:id="rId3459" ref="B1139"/>
    <hyperlink r:id="rId3460" ref="E1139"/>
    <hyperlink r:id="rId3461" ref="O1139"/>
    <hyperlink r:id="rId3462" ref="B1140"/>
    <hyperlink r:id="rId3463" ref="E1140"/>
    <hyperlink r:id="rId3464" ref="O1140"/>
    <hyperlink r:id="rId3465" ref="B1141"/>
    <hyperlink r:id="rId3466" ref="E1141"/>
    <hyperlink r:id="rId3467" ref="O1141"/>
    <hyperlink r:id="rId3468" ref="B1142"/>
    <hyperlink r:id="rId3469" ref="E1142"/>
    <hyperlink r:id="rId3470" ref="O1142"/>
    <hyperlink r:id="rId3471" ref="B1143"/>
    <hyperlink r:id="rId3472" ref="E1143"/>
    <hyperlink r:id="rId3473" ref="O1143"/>
    <hyperlink r:id="rId3474" ref="B1144"/>
    <hyperlink r:id="rId3475" ref="E1144"/>
    <hyperlink r:id="rId3476" ref="O1144"/>
    <hyperlink r:id="rId3477" ref="B1145"/>
    <hyperlink r:id="rId3478" ref="E1145"/>
    <hyperlink r:id="rId3479" ref="O1145"/>
    <hyperlink r:id="rId3480" ref="B1146"/>
    <hyperlink r:id="rId3481" ref="E1146"/>
    <hyperlink r:id="rId3482" ref="O1146"/>
    <hyperlink r:id="rId3483" ref="B1147"/>
    <hyperlink r:id="rId3484" ref="E1147"/>
    <hyperlink r:id="rId3485" ref="O1147"/>
    <hyperlink r:id="rId3486" ref="B1148"/>
    <hyperlink r:id="rId3487" ref="E1148"/>
    <hyperlink r:id="rId3488" ref="O1148"/>
    <hyperlink r:id="rId3489" ref="B1149"/>
    <hyperlink r:id="rId3490" ref="E1149"/>
    <hyperlink r:id="rId3491" ref="O1149"/>
    <hyperlink r:id="rId3492" ref="B1150"/>
    <hyperlink r:id="rId3493" ref="E1150"/>
    <hyperlink r:id="rId3494" ref="O1150"/>
    <hyperlink r:id="rId3495" ref="B1151"/>
    <hyperlink r:id="rId3496" ref="E1151"/>
    <hyperlink r:id="rId3497" ref="F1151"/>
    <hyperlink r:id="rId3498" ref="O1151"/>
    <hyperlink r:id="rId3499" ref="B1152"/>
    <hyperlink r:id="rId3500" ref="E1152"/>
    <hyperlink r:id="rId3501" ref="O1152"/>
    <hyperlink r:id="rId3502" ref="B1153"/>
    <hyperlink r:id="rId3503" ref="E1153"/>
    <hyperlink r:id="rId3504" ref="O1153"/>
    <hyperlink r:id="rId3505" ref="B1154"/>
    <hyperlink r:id="rId3506" ref="E1154"/>
    <hyperlink r:id="rId3507" ref="O1154"/>
    <hyperlink r:id="rId3508" ref="B1155"/>
    <hyperlink r:id="rId3509" ref="E1155"/>
    <hyperlink r:id="rId3510" ref="O1155"/>
    <hyperlink r:id="rId3511" ref="B1156"/>
    <hyperlink r:id="rId3512" ref="E1156"/>
    <hyperlink r:id="rId3513" ref="O1156"/>
    <hyperlink r:id="rId3514" ref="B1157"/>
    <hyperlink r:id="rId3515" ref="E1157"/>
    <hyperlink r:id="rId3516" ref="O1157"/>
    <hyperlink r:id="rId3517" ref="B1158"/>
    <hyperlink r:id="rId3518" ref="E1158"/>
    <hyperlink r:id="rId3519" ref="O1158"/>
    <hyperlink r:id="rId3520" ref="B1159"/>
    <hyperlink r:id="rId3521" ref="E1159"/>
    <hyperlink r:id="rId3522" ref="O1159"/>
    <hyperlink r:id="rId3523" ref="B1160"/>
    <hyperlink r:id="rId3524" ref="E1160"/>
    <hyperlink r:id="rId3525" ref="O1160"/>
    <hyperlink r:id="rId3526" ref="B1161"/>
    <hyperlink r:id="rId3527" ref="E1161"/>
    <hyperlink r:id="rId3528" ref="O1161"/>
    <hyperlink r:id="rId3529" ref="B1162"/>
    <hyperlink r:id="rId3530" ref="E1162"/>
    <hyperlink r:id="rId3531" ref="O1162"/>
    <hyperlink r:id="rId3532" ref="B1163"/>
    <hyperlink r:id="rId3533" ref="E1163"/>
    <hyperlink r:id="rId3534" ref="O1163"/>
    <hyperlink r:id="rId3535" ref="B1164"/>
    <hyperlink r:id="rId3536" ref="E1164"/>
    <hyperlink r:id="rId3537" ref="O1164"/>
    <hyperlink r:id="rId3538" ref="B1165"/>
    <hyperlink r:id="rId3539" ref="E1165"/>
    <hyperlink r:id="rId3540" ref="O1165"/>
    <hyperlink r:id="rId3541" ref="B1166"/>
    <hyperlink r:id="rId3542" ref="E1166"/>
    <hyperlink r:id="rId3543" ref="O1166"/>
    <hyperlink r:id="rId3544" ref="B1167"/>
    <hyperlink r:id="rId3545" ref="E1167"/>
    <hyperlink r:id="rId3546" ref="O1167"/>
    <hyperlink r:id="rId3547" ref="B1168"/>
    <hyperlink r:id="rId3548" ref="E1168"/>
    <hyperlink r:id="rId3549" ref="O1168"/>
    <hyperlink r:id="rId3550" ref="B1169"/>
    <hyperlink r:id="rId3551" ref="E1169"/>
    <hyperlink r:id="rId3552" ref="O1169"/>
    <hyperlink r:id="rId3553" ref="B1170"/>
    <hyperlink r:id="rId3554" ref="E1170"/>
    <hyperlink r:id="rId3555" ref="O1170"/>
    <hyperlink r:id="rId3556" ref="B1171"/>
    <hyperlink r:id="rId3557" ref="E1171"/>
    <hyperlink r:id="rId3558" ref="O1171"/>
    <hyperlink r:id="rId3559" ref="B1172"/>
    <hyperlink r:id="rId3560" ref="E1172"/>
    <hyperlink r:id="rId3561" ref="O1172"/>
    <hyperlink r:id="rId3562" ref="B1173"/>
    <hyperlink r:id="rId3563" ref="E1173"/>
    <hyperlink r:id="rId3564" ref="O1173"/>
    <hyperlink r:id="rId3565" ref="B1174"/>
    <hyperlink r:id="rId3566" ref="E1174"/>
    <hyperlink r:id="rId3567" ref="O1174"/>
    <hyperlink r:id="rId3568" ref="B1175"/>
    <hyperlink r:id="rId3569" ref="E1175"/>
    <hyperlink r:id="rId3570" ref="O1175"/>
    <hyperlink r:id="rId3571" ref="B1176"/>
    <hyperlink r:id="rId3572" ref="E1176"/>
    <hyperlink r:id="rId3573" ref="O1176"/>
    <hyperlink r:id="rId3574" ref="B1177"/>
    <hyperlink r:id="rId3575" ref="E1177"/>
    <hyperlink r:id="rId3576" ref="O1177"/>
    <hyperlink r:id="rId3577" ref="B1178"/>
    <hyperlink r:id="rId3578" ref="E1178"/>
    <hyperlink r:id="rId3579" ref="O1178"/>
    <hyperlink r:id="rId3580" ref="B1179"/>
    <hyperlink r:id="rId3581" ref="E1179"/>
    <hyperlink r:id="rId3582" ref="O1179"/>
    <hyperlink r:id="rId3583" ref="B1180"/>
    <hyperlink r:id="rId3584" ref="E1180"/>
    <hyperlink r:id="rId3585" ref="O1180"/>
    <hyperlink r:id="rId3586" ref="B1181"/>
    <hyperlink r:id="rId3587" ref="E1181"/>
    <hyperlink r:id="rId3588" ref="O1181"/>
    <hyperlink r:id="rId3589" ref="B1182"/>
    <hyperlink r:id="rId3590" ref="E1182"/>
    <hyperlink r:id="rId3591" ref="O1182"/>
    <hyperlink r:id="rId3592" ref="B1183"/>
    <hyperlink r:id="rId3593" ref="E1183"/>
    <hyperlink r:id="rId3594" ref="O1183"/>
    <hyperlink r:id="rId3595" ref="B1184"/>
    <hyperlink r:id="rId3596" ref="E1184"/>
    <hyperlink r:id="rId3597" ref="O1184"/>
    <hyperlink r:id="rId3598" ref="B1185"/>
    <hyperlink r:id="rId3599" ref="E1185"/>
    <hyperlink r:id="rId3600" ref="O1185"/>
    <hyperlink r:id="rId3601" ref="B1186"/>
    <hyperlink r:id="rId3602" ref="E1186"/>
    <hyperlink r:id="rId3603" ref="O1186"/>
    <hyperlink r:id="rId3604" ref="B1187"/>
    <hyperlink r:id="rId3605" ref="E1187"/>
    <hyperlink r:id="rId3606" ref="O1187"/>
    <hyperlink r:id="rId3607" ref="B1188"/>
    <hyperlink r:id="rId3608" ref="E1188"/>
    <hyperlink r:id="rId3609" ref="O1188"/>
    <hyperlink r:id="rId3610" ref="B1189"/>
    <hyperlink r:id="rId3611" ref="E1189"/>
    <hyperlink r:id="rId3612" ref="O1189"/>
    <hyperlink r:id="rId3613" ref="B1190"/>
    <hyperlink r:id="rId3614" ref="E1190"/>
    <hyperlink r:id="rId3615" ref="O1190"/>
    <hyperlink r:id="rId3616" ref="B1191"/>
    <hyperlink r:id="rId3617" ref="E1191"/>
    <hyperlink r:id="rId3618" ref="O1191"/>
    <hyperlink r:id="rId3619" ref="B1192"/>
    <hyperlink r:id="rId3620" ref="E1192"/>
    <hyperlink r:id="rId3621" ref="O1192"/>
    <hyperlink r:id="rId3622" ref="B1193"/>
    <hyperlink r:id="rId3623" ref="E1193"/>
    <hyperlink r:id="rId3624" ref="O1193"/>
    <hyperlink r:id="rId3625" ref="B1194"/>
    <hyperlink r:id="rId3626" ref="E1194"/>
    <hyperlink r:id="rId3627" ref="O1194"/>
    <hyperlink r:id="rId3628" ref="B1195"/>
    <hyperlink r:id="rId3629" ref="E1195"/>
    <hyperlink r:id="rId3630" ref="O1195"/>
    <hyperlink r:id="rId3631" ref="B1196"/>
    <hyperlink r:id="rId3632" ref="E1196"/>
    <hyperlink r:id="rId3633" ref="O1196"/>
    <hyperlink r:id="rId3634" ref="B1197"/>
    <hyperlink r:id="rId3635" ref="E1197"/>
    <hyperlink r:id="rId3636" ref="O1197"/>
    <hyperlink r:id="rId3637" ref="B1198"/>
    <hyperlink r:id="rId3638" ref="E1198"/>
    <hyperlink r:id="rId3639" ref="O1198"/>
    <hyperlink r:id="rId3640" ref="B1199"/>
    <hyperlink r:id="rId3641" ref="E1199"/>
    <hyperlink r:id="rId3642" ref="O1199"/>
    <hyperlink r:id="rId3643" ref="B1200"/>
    <hyperlink r:id="rId3644" ref="E1200"/>
    <hyperlink r:id="rId3645" ref="O1200"/>
    <hyperlink r:id="rId3646" ref="B1201"/>
    <hyperlink r:id="rId3647" ref="E1201"/>
    <hyperlink r:id="rId3648" ref="O1201"/>
    <hyperlink r:id="rId3649" ref="B1202"/>
    <hyperlink r:id="rId3650" ref="E1202"/>
    <hyperlink r:id="rId3651" ref="O1202"/>
    <hyperlink r:id="rId3652" ref="B1203"/>
    <hyperlink r:id="rId3653" ref="E1203"/>
    <hyperlink r:id="rId3654" ref="O1203"/>
    <hyperlink r:id="rId3655" ref="B1204"/>
    <hyperlink r:id="rId3656" ref="E1204"/>
    <hyperlink r:id="rId3657" ref="O1204"/>
    <hyperlink r:id="rId3658" ref="B1205"/>
    <hyperlink r:id="rId3659" ref="E1205"/>
    <hyperlink r:id="rId3660" ref="O1205"/>
    <hyperlink r:id="rId3661" ref="B1206"/>
    <hyperlink r:id="rId3662" ref="E1206"/>
    <hyperlink r:id="rId3663" ref="O1206"/>
    <hyperlink r:id="rId3664" ref="B1207"/>
    <hyperlink r:id="rId3665" ref="E1207"/>
    <hyperlink r:id="rId3666" ref="O1207"/>
    <hyperlink r:id="rId3667" ref="B1208"/>
    <hyperlink r:id="rId3668" ref="E1208"/>
    <hyperlink r:id="rId3669" ref="F1208"/>
    <hyperlink r:id="rId3670" ref="O1208"/>
    <hyperlink r:id="rId3671" ref="B1209"/>
    <hyperlink r:id="rId3672" ref="E1209"/>
    <hyperlink r:id="rId3673" ref="F1209"/>
    <hyperlink r:id="rId3674" ref="O1209"/>
    <hyperlink r:id="rId3675" ref="B1210"/>
    <hyperlink r:id="rId3676" ref="E1210"/>
    <hyperlink r:id="rId3677" ref="O1210"/>
    <hyperlink r:id="rId3678" ref="B1211"/>
    <hyperlink r:id="rId3679" ref="E1211"/>
    <hyperlink r:id="rId3680" ref="O1211"/>
    <hyperlink r:id="rId3681" ref="B1212"/>
    <hyperlink r:id="rId3682" ref="E1212"/>
    <hyperlink r:id="rId3683" ref="O1212"/>
    <hyperlink r:id="rId3684" ref="B1213"/>
    <hyperlink r:id="rId3685" ref="E1213"/>
    <hyperlink r:id="rId3686" ref="O1213"/>
    <hyperlink r:id="rId3687" ref="B1214"/>
    <hyperlink r:id="rId3688" ref="E1214"/>
    <hyperlink r:id="rId3689" ref="O1214"/>
    <hyperlink r:id="rId3690" ref="B1215"/>
    <hyperlink r:id="rId3691" ref="E1215"/>
    <hyperlink r:id="rId3692" ref="O1215"/>
    <hyperlink r:id="rId3693" ref="B1216"/>
    <hyperlink r:id="rId3694" ref="E1216"/>
    <hyperlink r:id="rId3695" ref="O1216"/>
    <hyperlink r:id="rId3696" ref="B1217"/>
    <hyperlink r:id="rId3697" ref="E1217"/>
    <hyperlink r:id="rId3698" ref="O1217"/>
    <hyperlink r:id="rId3699" ref="B1218"/>
    <hyperlink r:id="rId3700" ref="E1218"/>
    <hyperlink r:id="rId3701" ref="O1218"/>
    <hyperlink r:id="rId3702" ref="B1219"/>
    <hyperlink r:id="rId3703" ref="E1219"/>
    <hyperlink r:id="rId3704" ref="O1219"/>
    <hyperlink r:id="rId3705" ref="B1220"/>
    <hyperlink r:id="rId3706" ref="E1220"/>
    <hyperlink r:id="rId3707" ref="O1220"/>
    <hyperlink r:id="rId3708" ref="B1221"/>
    <hyperlink r:id="rId3709" ref="E1221"/>
    <hyperlink r:id="rId3710" ref="O1221"/>
    <hyperlink r:id="rId3711" ref="B1222"/>
    <hyperlink r:id="rId3712" ref="E1222"/>
    <hyperlink r:id="rId3713" ref="O1222"/>
    <hyperlink r:id="rId3714" ref="B1223"/>
    <hyperlink r:id="rId3715" ref="E1223"/>
    <hyperlink r:id="rId3716" ref="O1223"/>
    <hyperlink r:id="rId3717" ref="B1224"/>
    <hyperlink r:id="rId3718" ref="E1224"/>
    <hyperlink r:id="rId3719" ref="O1224"/>
    <hyperlink r:id="rId3720" ref="B1225"/>
    <hyperlink r:id="rId3721" ref="E1225"/>
    <hyperlink r:id="rId3722" ref="O1225"/>
    <hyperlink r:id="rId3723" ref="B1226"/>
    <hyperlink r:id="rId3724" ref="E1226"/>
    <hyperlink r:id="rId3725" ref="O1226"/>
    <hyperlink r:id="rId3726" ref="B1227"/>
    <hyperlink r:id="rId3727" ref="E1227"/>
    <hyperlink r:id="rId3728" ref="O1227"/>
    <hyperlink r:id="rId3729" ref="B1228"/>
    <hyperlink r:id="rId3730" ref="E1228"/>
    <hyperlink r:id="rId3731" ref="O1228"/>
    <hyperlink r:id="rId3732" ref="B1229"/>
    <hyperlink r:id="rId3733" ref="E1229"/>
    <hyperlink r:id="rId3734" ref="O1229"/>
    <hyperlink r:id="rId3735" ref="B1230"/>
    <hyperlink r:id="rId3736" ref="E1230"/>
    <hyperlink r:id="rId3737" ref="O1230"/>
    <hyperlink r:id="rId3738" ref="B1231"/>
    <hyperlink r:id="rId3739" ref="E1231"/>
    <hyperlink r:id="rId3740" ref="O1231"/>
    <hyperlink r:id="rId3741" ref="B1232"/>
    <hyperlink r:id="rId3742" ref="E1232"/>
    <hyperlink r:id="rId3743" ref="O1232"/>
    <hyperlink r:id="rId3744" ref="B1233"/>
    <hyperlink r:id="rId3745" ref="E1233"/>
    <hyperlink r:id="rId3746" ref="O1233"/>
    <hyperlink r:id="rId3747" ref="B1234"/>
    <hyperlink r:id="rId3748" ref="E1234"/>
    <hyperlink r:id="rId3749" ref="O1234"/>
    <hyperlink r:id="rId3750" ref="B1235"/>
    <hyperlink r:id="rId3751" ref="E1235"/>
    <hyperlink r:id="rId3752" ref="O1235"/>
    <hyperlink r:id="rId3753" ref="B1236"/>
    <hyperlink r:id="rId3754" ref="E1236"/>
    <hyperlink r:id="rId3755" ref="O1236"/>
    <hyperlink r:id="rId3756" ref="B1237"/>
    <hyperlink r:id="rId3757" ref="E1237"/>
    <hyperlink r:id="rId3758" ref="O1237"/>
    <hyperlink r:id="rId3759" ref="B1238"/>
    <hyperlink r:id="rId3760" ref="E1238"/>
    <hyperlink r:id="rId3761" ref="O1238"/>
    <hyperlink r:id="rId3762" ref="B1239"/>
    <hyperlink r:id="rId3763" ref="E1239"/>
    <hyperlink r:id="rId3764" ref="O1239"/>
    <hyperlink r:id="rId3765" ref="B1240"/>
    <hyperlink r:id="rId3766" ref="E1240"/>
    <hyperlink r:id="rId3767" ref="O1240"/>
    <hyperlink r:id="rId3768" ref="B1241"/>
    <hyperlink r:id="rId3769" ref="E1241"/>
    <hyperlink r:id="rId3770" ref="O1241"/>
    <hyperlink r:id="rId3771" ref="B1242"/>
    <hyperlink r:id="rId3772" ref="E1242"/>
    <hyperlink r:id="rId3773" ref="O1242"/>
    <hyperlink r:id="rId3774" ref="B1243"/>
    <hyperlink r:id="rId3775" ref="E1243"/>
    <hyperlink r:id="rId3776" ref="O1243"/>
    <hyperlink r:id="rId3777" ref="B1244"/>
    <hyperlink r:id="rId3778" ref="E1244"/>
    <hyperlink r:id="rId3779" ref="O1244"/>
    <hyperlink r:id="rId3780" ref="B1245"/>
    <hyperlink r:id="rId3781" ref="E1245"/>
    <hyperlink r:id="rId3782" ref="O1245"/>
    <hyperlink r:id="rId3783" ref="B1246"/>
    <hyperlink r:id="rId3784" ref="E1246"/>
    <hyperlink r:id="rId3785" ref="O1246"/>
    <hyperlink r:id="rId3786" ref="B1247"/>
    <hyperlink r:id="rId3787" ref="E1247"/>
    <hyperlink r:id="rId3788" ref="O1247"/>
    <hyperlink r:id="rId3789" ref="B1248"/>
    <hyperlink r:id="rId3790" ref="E1248"/>
    <hyperlink r:id="rId3791" ref="O1248"/>
    <hyperlink r:id="rId3792" ref="B1249"/>
    <hyperlink r:id="rId3793" ref="E1249"/>
    <hyperlink r:id="rId3794" ref="O1249"/>
    <hyperlink r:id="rId3795" ref="B1250"/>
    <hyperlink r:id="rId3796" ref="E1250"/>
    <hyperlink r:id="rId3797" ref="O1250"/>
    <hyperlink r:id="rId3798" ref="B1251"/>
    <hyperlink r:id="rId3799" ref="E1251"/>
    <hyperlink r:id="rId3800" ref="O1251"/>
    <hyperlink r:id="rId3801" ref="B1252"/>
    <hyperlink r:id="rId3802" ref="E1252"/>
    <hyperlink r:id="rId3803" ref="O1252"/>
    <hyperlink r:id="rId3804" ref="B1253"/>
    <hyperlink r:id="rId3805" ref="E1253"/>
    <hyperlink r:id="rId3806" ref="O1253"/>
    <hyperlink r:id="rId3807" ref="B1254"/>
    <hyperlink r:id="rId3808" ref="E1254"/>
    <hyperlink r:id="rId3809" ref="O1254"/>
    <hyperlink r:id="rId3810" ref="B1255"/>
    <hyperlink r:id="rId3811" ref="E1255"/>
    <hyperlink r:id="rId3812" ref="O1255"/>
    <hyperlink r:id="rId3813" ref="B1256"/>
    <hyperlink r:id="rId3814" ref="E1256"/>
    <hyperlink r:id="rId3815" ref="O1256"/>
    <hyperlink r:id="rId3816" ref="B1257"/>
    <hyperlink r:id="rId3817" ref="E1257"/>
    <hyperlink r:id="rId3818" ref="O1257"/>
    <hyperlink r:id="rId3819" ref="B1258"/>
    <hyperlink r:id="rId3820" ref="E1258"/>
    <hyperlink r:id="rId3821" ref="O1258"/>
    <hyperlink r:id="rId3822" ref="B1259"/>
    <hyperlink r:id="rId3823" ref="E1259"/>
    <hyperlink r:id="rId3824" ref="O1259"/>
    <hyperlink r:id="rId3825" ref="B1260"/>
    <hyperlink r:id="rId3826" ref="E1260"/>
    <hyperlink r:id="rId3827" ref="O1260"/>
    <hyperlink r:id="rId3828" ref="B1261"/>
    <hyperlink r:id="rId3829" ref="E1261"/>
    <hyperlink r:id="rId3830" ref="O1261"/>
    <hyperlink r:id="rId3831" ref="B1262"/>
    <hyperlink r:id="rId3832" ref="E1262"/>
    <hyperlink r:id="rId3833" ref="O1262"/>
    <hyperlink r:id="rId3834" ref="B1263"/>
    <hyperlink r:id="rId3835" ref="E1263"/>
    <hyperlink r:id="rId3836" ref="O1263"/>
    <hyperlink r:id="rId3837" ref="B1264"/>
    <hyperlink r:id="rId3838" ref="E1264"/>
    <hyperlink r:id="rId3839" ref="O1264"/>
    <hyperlink r:id="rId3840" ref="B1265"/>
    <hyperlink r:id="rId3841" ref="E1265"/>
    <hyperlink r:id="rId3842" ref="O1265"/>
    <hyperlink r:id="rId3843" ref="B1266"/>
    <hyperlink r:id="rId3844" ref="E1266"/>
    <hyperlink r:id="rId3845" ref="O1266"/>
    <hyperlink r:id="rId3846" ref="B1267"/>
    <hyperlink r:id="rId3847" ref="E1267"/>
    <hyperlink r:id="rId3848" ref="O1267"/>
    <hyperlink r:id="rId3849" ref="B1268"/>
    <hyperlink r:id="rId3850" ref="E1268"/>
    <hyperlink r:id="rId3851" ref="O1268"/>
    <hyperlink r:id="rId3852" ref="B1269"/>
    <hyperlink r:id="rId3853" ref="E1269"/>
    <hyperlink r:id="rId3854" ref="O1269"/>
    <hyperlink r:id="rId3855" ref="B1270"/>
    <hyperlink r:id="rId3856" ref="E1270"/>
    <hyperlink r:id="rId3857" ref="O1270"/>
    <hyperlink r:id="rId3858" ref="B1271"/>
    <hyperlink r:id="rId3859" ref="E1271"/>
    <hyperlink r:id="rId3860" ref="O1271"/>
    <hyperlink r:id="rId3861" ref="B1272"/>
    <hyperlink r:id="rId3862" ref="E1272"/>
    <hyperlink r:id="rId3863" ref="O1272"/>
    <hyperlink r:id="rId3864" ref="B1273"/>
    <hyperlink r:id="rId3865" ref="E1273"/>
    <hyperlink r:id="rId3866" ref="O1273"/>
    <hyperlink r:id="rId3867" ref="B1274"/>
    <hyperlink r:id="rId3868" ref="E1274"/>
    <hyperlink r:id="rId3869" ref="O1274"/>
    <hyperlink r:id="rId3870" ref="B1275"/>
    <hyperlink r:id="rId3871" ref="E1275"/>
    <hyperlink r:id="rId3872" ref="O1275"/>
    <hyperlink r:id="rId3873" ref="B1276"/>
    <hyperlink r:id="rId3874" ref="E1276"/>
    <hyperlink r:id="rId3875" ref="O1276"/>
    <hyperlink r:id="rId3876" ref="B1277"/>
    <hyperlink r:id="rId3877" ref="E1277"/>
    <hyperlink r:id="rId3878" ref="O1277"/>
    <hyperlink r:id="rId3879" ref="B1278"/>
    <hyperlink r:id="rId3880" ref="E1278"/>
    <hyperlink r:id="rId3881" ref="O1278"/>
    <hyperlink r:id="rId3882" ref="B1279"/>
    <hyperlink r:id="rId3883" ref="E1279"/>
    <hyperlink r:id="rId3884" ref="O1279"/>
    <hyperlink r:id="rId3885" ref="B1280"/>
    <hyperlink r:id="rId3886" ref="E1280"/>
    <hyperlink r:id="rId3887" ref="O1280"/>
    <hyperlink r:id="rId3888" ref="B1281"/>
    <hyperlink r:id="rId3889" ref="E1281"/>
    <hyperlink r:id="rId3890" ref="O1281"/>
    <hyperlink r:id="rId3891" ref="B1282"/>
    <hyperlink r:id="rId3892" ref="E1282"/>
    <hyperlink r:id="rId3893" ref="O1282"/>
    <hyperlink r:id="rId3894" ref="B1283"/>
    <hyperlink r:id="rId3895" ref="E1283"/>
    <hyperlink r:id="rId3896" ref="O1283"/>
    <hyperlink r:id="rId3897" ref="B1284"/>
    <hyperlink r:id="rId3898" ref="E1284"/>
    <hyperlink r:id="rId3899" ref="O1284"/>
    <hyperlink r:id="rId3900" ref="B1285"/>
    <hyperlink r:id="rId3901" ref="E1285"/>
    <hyperlink r:id="rId3902" ref="F1285"/>
    <hyperlink r:id="rId3903" ref="O1285"/>
    <hyperlink r:id="rId3904" ref="B1286"/>
    <hyperlink r:id="rId3905" ref="E1286"/>
    <hyperlink r:id="rId3906" ref="O1286"/>
    <hyperlink r:id="rId3907" ref="B1287"/>
    <hyperlink r:id="rId3908" ref="E1287"/>
    <hyperlink r:id="rId3909" ref="O1287"/>
    <hyperlink r:id="rId3910" ref="B1288"/>
    <hyperlink r:id="rId3911" ref="E1288"/>
    <hyperlink r:id="rId3912" ref="O1288"/>
    <hyperlink r:id="rId3913" ref="B1289"/>
    <hyperlink r:id="rId3914" ref="E1289"/>
    <hyperlink r:id="rId3915" ref="O1289"/>
    <hyperlink r:id="rId3916" ref="B1290"/>
    <hyperlink r:id="rId3917" ref="E1290"/>
    <hyperlink r:id="rId3918" ref="O1290"/>
    <hyperlink r:id="rId3919" ref="B1291"/>
    <hyperlink r:id="rId3920" ref="E1291"/>
    <hyperlink r:id="rId3921" ref="O1291"/>
    <hyperlink r:id="rId3922" ref="B1292"/>
    <hyperlink r:id="rId3923" ref="E1292"/>
    <hyperlink r:id="rId3924" ref="O1292"/>
    <hyperlink r:id="rId3925" ref="B1293"/>
    <hyperlink r:id="rId3926" ref="E1293"/>
    <hyperlink r:id="rId3927" ref="O1293"/>
    <hyperlink r:id="rId3928" ref="B1294"/>
    <hyperlink r:id="rId3929" ref="E1294"/>
    <hyperlink r:id="rId3930" ref="O1294"/>
    <hyperlink r:id="rId3931" ref="B1295"/>
    <hyperlink r:id="rId3932" ref="E1295"/>
    <hyperlink r:id="rId3933" ref="O1295"/>
    <hyperlink r:id="rId3934" ref="B1296"/>
    <hyperlink r:id="rId3935" ref="E1296"/>
    <hyperlink r:id="rId3936" ref="O1296"/>
    <hyperlink r:id="rId3937" ref="B1297"/>
    <hyperlink r:id="rId3938" ref="E1297"/>
    <hyperlink r:id="rId3939" ref="O1297"/>
    <hyperlink r:id="rId3940" ref="B1298"/>
    <hyperlink r:id="rId3941" ref="E1298"/>
    <hyperlink r:id="rId3942" ref="O1298"/>
    <hyperlink r:id="rId3943" ref="B1299"/>
    <hyperlink r:id="rId3944" ref="E1299"/>
    <hyperlink r:id="rId3945" ref="O1299"/>
    <hyperlink r:id="rId3946" ref="B1300"/>
    <hyperlink r:id="rId3947" ref="E1300"/>
    <hyperlink r:id="rId3948" ref="O1300"/>
    <hyperlink r:id="rId3949" ref="B1301"/>
    <hyperlink r:id="rId3950" ref="E1301"/>
    <hyperlink r:id="rId3951" ref="O1301"/>
    <hyperlink r:id="rId3952" ref="B1302"/>
    <hyperlink r:id="rId3953" ref="E1302"/>
    <hyperlink r:id="rId3954" ref="O1302"/>
    <hyperlink r:id="rId3955" ref="B1303"/>
    <hyperlink r:id="rId3956" ref="E1303"/>
    <hyperlink r:id="rId3957" ref="F1303"/>
    <hyperlink r:id="rId3958" ref="O1303"/>
    <hyperlink r:id="rId3959" ref="B1304"/>
    <hyperlink r:id="rId3960" ref="E1304"/>
    <hyperlink r:id="rId3961" ref="O1304"/>
    <hyperlink r:id="rId3962" ref="B1305"/>
    <hyperlink r:id="rId3963" ref="E1305"/>
    <hyperlink r:id="rId3964" ref="O1305"/>
    <hyperlink r:id="rId3965" ref="B1306"/>
    <hyperlink r:id="rId3966" ref="E1306"/>
    <hyperlink r:id="rId3967" ref="O1306"/>
    <hyperlink r:id="rId3968" ref="B1307"/>
    <hyperlink r:id="rId3969" ref="E1307"/>
    <hyperlink r:id="rId3970" ref="O1307"/>
    <hyperlink r:id="rId3971" ref="B1308"/>
    <hyperlink r:id="rId3972" ref="E1308"/>
    <hyperlink r:id="rId3973" ref="O1308"/>
    <hyperlink r:id="rId3974" ref="B1309"/>
    <hyperlink r:id="rId3975" ref="E1309"/>
    <hyperlink r:id="rId3976" ref="O1309"/>
    <hyperlink r:id="rId3977" ref="B1310"/>
    <hyperlink r:id="rId3978" ref="E1310"/>
    <hyperlink r:id="rId3979" ref="O1310"/>
    <hyperlink r:id="rId3980" ref="B1311"/>
    <hyperlink r:id="rId3981" ref="E1311"/>
    <hyperlink r:id="rId3982" ref="O1311"/>
    <hyperlink r:id="rId3983" ref="B1312"/>
    <hyperlink r:id="rId3984" ref="E1312"/>
    <hyperlink r:id="rId3985" ref="O1312"/>
    <hyperlink r:id="rId3986" ref="B1313"/>
    <hyperlink r:id="rId3987" ref="E1313"/>
    <hyperlink r:id="rId3988" ref="O1313"/>
    <hyperlink r:id="rId3989" ref="B1314"/>
    <hyperlink r:id="rId3990" ref="E1314"/>
    <hyperlink r:id="rId3991" ref="O1314"/>
    <hyperlink r:id="rId3992" ref="B1315"/>
    <hyperlink r:id="rId3993" ref="E1315"/>
    <hyperlink r:id="rId3994" ref="O1315"/>
    <hyperlink r:id="rId3995" ref="B1316"/>
    <hyperlink r:id="rId3996" ref="E1316"/>
    <hyperlink r:id="rId3997" ref="O1316"/>
    <hyperlink r:id="rId3998" ref="B1317"/>
    <hyperlink r:id="rId3999" ref="E1317"/>
    <hyperlink r:id="rId4000" ref="O1317"/>
    <hyperlink r:id="rId4001" ref="B1318"/>
    <hyperlink r:id="rId4002" ref="E1318"/>
    <hyperlink r:id="rId4003" ref="O1318"/>
    <hyperlink r:id="rId4004" ref="B1319"/>
    <hyperlink r:id="rId4005" ref="E1319"/>
    <hyperlink r:id="rId4006" ref="O1319"/>
    <hyperlink r:id="rId4007" ref="B1320"/>
    <hyperlink r:id="rId4008" ref="E1320"/>
    <hyperlink r:id="rId4009" ref="O1320"/>
    <hyperlink r:id="rId4010" ref="B1321"/>
    <hyperlink r:id="rId4011" ref="E1321"/>
    <hyperlink r:id="rId4012" ref="O1321"/>
    <hyperlink r:id="rId4013" ref="B1322"/>
    <hyperlink r:id="rId4014" ref="E1322"/>
    <hyperlink r:id="rId4015" ref="O1322"/>
    <hyperlink r:id="rId4016" ref="B1323"/>
    <hyperlink r:id="rId4017" ref="E1323"/>
    <hyperlink r:id="rId4018" ref="O1323"/>
    <hyperlink r:id="rId4019" ref="B1324"/>
    <hyperlink r:id="rId4020" ref="E1324"/>
    <hyperlink r:id="rId4021" ref="O1324"/>
    <hyperlink r:id="rId4022" ref="B1325"/>
    <hyperlink r:id="rId4023" ref="E1325"/>
    <hyperlink r:id="rId4024" ref="O1325"/>
    <hyperlink r:id="rId4025" ref="B1326"/>
    <hyperlink r:id="rId4026" ref="E1326"/>
    <hyperlink r:id="rId4027" ref="O1326"/>
    <hyperlink r:id="rId4028" ref="B1327"/>
    <hyperlink r:id="rId4029" ref="E1327"/>
    <hyperlink r:id="rId4030" ref="O1327"/>
    <hyperlink r:id="rId4031" ref="B1328"/>
    <hyperlink r:id="rId4032" ref="E1328"/>
    <hyperlink r:id="rId4033" ref="O1328"/>
    <hyperlink r:id="rId4034" ref="B1329"/>
    <hyperlink r:id="rId4035" ref="E1329"/>
    <hyperlink r:id="rId4036" ref="O1329"/>
    <hyperlink r:id="rId4037" ref="B1330"/>
    <hyperlink r:id="rId4038" ref="E1330"/>
    <hyperlink r:id="rId4039" ref="O1330"/>
    <hyperlink r:id="rId4040" ref="B1331"/>
    <hyperlink r:id="rId4041" ref="E1331"/>
    <hyperlink r:id="rId4042" ref="O1331"/>
    <hyperlink r:id="rId4043" ref="B1332"/>
    <hyperlink r:id="rId4044" ref="E1332"/>
    <hyperlink r:id="rId4045" ref="O1332"/>
    <hyperlink r:id="rId4046" ref="B1333"/>
    <hyperlink r:id="rId4047" ref="E1333"/>
    <hyperlink r:id="rId4048" ref="O1333"/>
    <hyperlink r:id="rId4049" ref="B1334"/>
    <hyperlink r:id="rId4050" ref="E1334"/>
    <hyperlink r:id="rId4051" ref="O1334"/>
    <hyperlink r:id="rId4052" ref="B1335"/>
    <hyperlink r:id="rId4053" ref="E1335"/>
    <hyperlink r:id="rId4054" ref="O1335"/>
    <hyperlink r:id="rId4055" ref="B1336"/>
    <hyperlink r:id="rId4056" ref="E1336"/>
    <hyperlink r:id="rId4057" ref="O1336"/>
    <hyperlink r:id="rId4058" ref="B1337"/>
    <hyperlink r:id="rId4059" ref="E1337"/>
    <hyperlink r:id="rId4060" ref="O1337"/>
    <hyperlink r:id="rId4061" ref="B1338"/>
    <hyperlink r:id="rId4062" ref="E1338"/>
    <hyperlink r:id="rId4063" ref="O1338"/>
    <hyperlink r:id="rId4064" ref="B1339"/>
    <hyperlink r:id="rId4065" ref="E1339"/>
    <hyperlink r:id="rId4066" ref="O1339"/>
    <hyperlink r:id="rId4067" ref="B1340"/>
    <hyperlink r:id="rId4068" ref="E1340"/>
    <hyperlink r:id="rId4069" ref="O1340"/>
    <hyperlink r:id="rId4070" ref="B1341"/>
    <hyperlink r:id="rId4071" ref="E1341"/>
    <hyperlink r:id="rId4072" ref="O1341"/>
    <hyperlink r:id="rId4073" ref="B1342"/>
    <hyperlink r:id="rId4074" ref="E1342"/>
    <hyperlink r:id="rId4075" ref="O1342"/>
    <hyperlink r:id="rId4076" ref="B1343"/>
    <hyperlink r:id="rId4077" ref="E1343"/>
    <hyperlink r:id="rId4078" ref="O1343"/>
    <hyperlink r:id="rId4079" ref="B1344"/>
    <hyperlink r:id="rId4080" ref="E1344"/>
    <hyperlink r:id="rId4081" ref="O1344"/>
    <hyperlink r:id="rId4082" ref="B1345"/>
    <hyperlink r:id="rId4083" ref="E1345"/>
    <hyperlink r:id="rId4084" ref="O1345"/>
    <hyperlink r:id="rId4085" ref="B1346"/>
    <hyperlink r:id="rId4086" ref="E1346"/>
    <hyperlink r:id="rId4087" ref="O1346"/>
    <hyperlink r:id="rId4088" ref="B1347"/>
    <hyperlink r:id="rId4089" ref="E1347"/>
    <hyperlink r:id="rId4090" ref="O1347"/>
    <hyperlink r:id="rId4091" ref="B1348"/>
    <hyperlink r:id="rId4092" ref="E1348"/>
    <hyperlink r:id="rId4093" ref="O1348"/>
    <hyperlink r:id="rId4094" ref="B1349"/>
    <hyperlink r:id="rId4095" ref="E1349"/>
    <hyperlink r:id="rId4096" ref="O1349"/>
    <hyperlink r:id="rId4097" ref="B1350"/>
    <hyperlink r:id="rId4098" ref="E1350"/>
    <hyperlink r:id="rId4099" ref="O1350"/>
    <hyperlink r:id="rId4100" ref="B1351"/>
    <hyperlink r:id="rId4101" ref="E1351"/>
    <hyperlink r:id="rId4102" ref="O1351"/>
    <hyperlink r:id="rId4103" ref="B1352"/>
    <hyperlink r:id="rId4104" ref="E1352"/>
    <hyperlink r:id="rId4105" ref="O1352"/>
    <hyperlink r:id="rId4106" ref="B1353"/>
    <hyperlink r:id="rId4107" ref="E1353"/>
    <hyperlink r:id="rId4108" ref="O1353"/>
    <hyperlink r:id="rId4109" ref="B1354"/>
    <hyperlink r:id="rId4110" ref="E1354"/>
    <hyperlink r:id="rId4111" ref="O1354"/>
    <hyperlink r:id="rId4112" ref="B1355"/>
    <hyperlink r:id="rId4113" ref="E1355"/>
    <hyperlink r:id="rId4114" ref="O1355"/>
    <hyperlink r:id="rId4115" ref="B1356"/>
    <hyperlink r:id="rId4116" ref="E1356"/>
    <hyperlink r:id="rId4117" ref="O1356"/>
    <hyperlink r:id="rId4118" ref="B1357"/>
    <hyperlink r:id="rId4119" ref="E1357"/>
    <hyperlink r:id="rId4120" ref="O1357"/>
    <hyperlink r:id="rId4121" ref="B1358"/>
    <hyperlink r:id="rId4122" ref="E1358"/>
    <hyperlink r:id="rId4123" ref="O1358"/>
    <hyperlink r:id="rId4124" ref="B1359"/>
    <hyperlink r:id="rId4125" ref="E1359"/>
    <hyperlink r:id="rId4126" ref="O1359"/>
    <hyperlink r:id="rId4127" ref="B1360"/>
    <hyperlink r:id="rId4128" ref="E1360"/>
    <hyperlink r:id="rId4129" ref="O1360"/>
    <hyperlink r:id="rId4130" ref="B1361"/>
    <hyperlink r:id="rId4131" ref="E1361"/>
    <hyperlink r:id="rId4132" ref="O1361"/>
    <hyperlink r:id="rId4133" ref="B1362"/>
    <hyperlink r:id="rId4134" ref="E1362"/>
    <hyperlink r:id="rId4135" ref="O1362"/>
    <hyperlink r:id="rId4136" ref="B1363"/>
    <hyperlink r:id="rId4137" ref="E1363"/>
    <hyperlink r:id="rId4138" ref="O1363"/>
    <hyperlink r:id="rId4139" ref="B1364"/>
    <hyperlink r:id="rId4140" ref="E1364"/>
    <hyperlink r:id="rId4141" ref="O1364"/>
    <hyperlink r:id="rId4142" ref="B1365"/>
    <hyperlink r:id="rId4143" ref="E1365"/>
    <hyperlink r:id="rId4144" ref="O1365"/>
    <hyperlink r:id="rId4145" ref="B1366"/>
    <hyperlink r:id="rId4146" ref="E1366"/>
    <hyperlink r:id="rId4147" ref="O1366"/>
    <hyperlink r:id="rId4148" ref="B1367"/>
    <hyperlink r:id="rId4149" ref="E1367"/>
    <hyperlink r:id="rId4150" ref="O1367"/>
    <hyperlink r:id="rId4151" ref="B1368"/>
    <hyperlink r:id="rId4152" ref="E1368"/>
    <hyperlink r:id="rId4153" ref="O1368"/>
    <hyperlink r:id="rId4154" ref="B1369"/>
    <hyperlink r:id="rId4155" ref="E1369"/>
    <hyperlink r:id="rId4156" ref="O1369"/>
    <hyperlink r:id="rId4157" ref="B1370"/>
    <hyperlink r:id="rId4158" ref="E1370"/>
    <hyperlink r:id="rId4159" ref="O1370"/>
    <hyperlink r:id="rId4160" ref="B1371"/>
    <hyperlink r:id="rId4161" ref="E1371"/>
    <hyperlink r:id="rId4162" ref="O1371"/>
    <hyperlink r:id="rId4163" ref="B1372"/>
    <hyperlink r:id="rId4164" ref="E1372"/>
    <hyperlink r:id="rId4165" ref="O1372"/>
    <hyperlink r:id="rId4166" ref="B1373"/>
    <hyperlink r:id="rId4167" ref="E1373"/>
    <hyperlink r:id="rId4168" ref="O1373"/>
    <hyperlink r:id="rId4169" ref="B1374"/>
    <hyperlink r:id="rId4170" ref="E1374"/>
    <hyperlink r:id="rId4171" ref="O1374"/>
    <hyperlink r:id="rId4172" ref="B1375"/>
    <hyperlink r:id="rId4173" ref="E1375"/>
    <hyperlink r:id="rId4174" ref="O1375"/>
    <hyperlink r:id="rId4175" ref="B1376"/>
    <hyperlink r:id="rId4176" ref="E1376"/>
    <hyperlink r:id="rId4177" ref="O1376"/>
    <hyperlink r:id="rId4178" ref="B1377"/>
    <hyperlink r:id="rId4179" ref="E1377"/>
    <hyperlink r:id="rId4180" ref="O1377"/>
    <hyperlink r:id="rId4181" ref="B1378"/>
    <hyperlink r:id="rId4182" ref="E1378"/>
    <hyperlink r:id="rId4183" ref="O1378"/>
    <hyperlink r:id="rId4184" ref="B1379"/>
    <hyperlink r:id="rId4185" ref="E1379"/>
    <hyperlink r:id="rId4186" ref="O1379"/>
    <hyperlink r:id="rId4187" ref="B1380"/>
    <hyperlink r:id="rId4188" ref="E1380"/>
    <hyperlink r:id="rId4189" ref="O1380"/>
    <hyperlink r:id="rId4190" ref="B1381"/>
    <hyperlink r:id="rId4191" ref="E1381"/>
    <hyperlink r:id="rId4192" ref="O1381"/>
    <hyperlink r:id="rId4193" ref="B1382"/>
    <hyperlink r:id="rId4194" ref="E1382"/>
    <hyperlink r:id="rId4195" ref="O1382"/>
    <hyperlink r:id="rId4196" ref="B1383"/>
    <hyperlink r:id="rId4197" ref="E1383"/>
    <hyperlink r:id="rId4198" ref="O1383"/>
    <hyperlink r:id="rId4199" ref="B1384"/>
    <hyperlink r:id="rId4200" ref="E1384"/>
    <hyperlink r:id="rId4201" ref="O1384"/>
    <hyperlink r:id="rId4202" ref="B1385"/>
    <hyperlink r:id="rId4203" ref="E1385"/>
    <hyperlink r:id="rId4204" ref="O1385"/>
    <hyperlink r:id="rId4205" ref="B1386"/>
    <hyperlink r:id="rId4206" ref="E1386"/>
    <hyperlink r:id="rId4207" ref="O1386"/>
    <hyperlink r:id="rId4208" ref="B1387"/>
    <hyperlink r:id="rId4209" ref="E1387"/>
    <hyperlink r:id="rId4210" ref="O1387"/>
    <hyperlink r:id="rId4211" ref="B1388"/>
    <hyperlink r:id="rId4212" ref="E1388"/>
    <hyperlink r:id="rId4213" ref="O1388"/>
    <hyperlink r:id="rId4214" ref="B1389"/>
    <hyperlink r:id="rId4215" ref="E1389"/>
    <hyperlink r:id="rId4216" ref="O1389"/>
    <hyperlink r:id="rId4217" ref="B1390"/>
    <hyperlink r:id="rId4218" ref="E1390"/>
    <hyperlink r:id="rId4219" ref="O1390"/>
    <hyperlink r:id="rId4220" ref="B1391"/>
    <hyperlink r:id="rId4221" ref="E1391"/>
    <hyperlink r:id="rId4222" ref="O1391"/>
    <hyperlink r:id="rId4223" ref="B1392"/>
    <hyperlink r:id="rId4224" ref="E1392"/>
    <hyperlink r:id="rId4225" ref="O1392"/>
    <hyperlink r:id="rId4226" ref="B1393"/>
    <hyperlink r:id="rId4227" ref="E1393"/>
    <hyperlink r:id="rId4228" ref="O1393"/>
    <hyperlink r:id="rId4229" ref="B1394"/>
    <hyperlink r:id="rId4230" ref="E1394"/>
    <hyperlink r:id="rId4231" ref="O1394"/>
    <hyperlink r:id="rId4232" ref="B1395"/>
    <hyperlink r:id="rId4233" ref="E1395"/>
    <hyperlink r:id="rId4234" ref="O1395"/>
    <hyperlink r:id="rId4235" ref="B1396"/>
    <hyperlink r:id="rId4236" ref="E1396"/>
    <hyperlink r:id="rId4237" ref="F1396"/>
    <hyperlink r:id="rId4238" ref="O1396"/>
    <hyperlink r:id="rId4239" ref="B1397"/>
    <hyperlink r:id="rId4240" ref="E1397"/>
    <hyperlink r:id="rId4241" ref="O1397"/>
    <hyperlink r:id="rId4242" ref="B1398"/>
    <hyperlink r:id="rId4243" ref="E1398"/>
    <hyperlink r:id="rId4244" ref="O1398"/>
    <hyperlink r:id="rId4245" ref="B1399"/>
    <hyperlink r:id="rId4246" ref="E1399"/>
    <hyperlink r:id="rId4247" ref="O1399"/>
    <hyperlink r:id="rId4248" ref="B1400"/>
    <hyperlink r:id="rId4249" ref="E1400"/>
    <hyperlink r:id="rId4250" ref="O1400"/>
    <hyperlink r:id="rId4251" ref="B1401"/>
    <hyperlink r:id="rId4252" ref="E1401"/>
    <hyperlink r:id="rId4253" ref="O1401"/>
    <hyperlink r:id="rId4254" ref="B1402"/>
    <hyperlink r:id="rId4255" ref="E1402"/>
    <hyperlink r:id="rId4256" ref="O1402"/>
    <hyperlink r:id="rId4257" ref="B1403"/>
    <hyperlink r:id="rId4258" ref="E1403"/>
    <hyperlink r:id="rId4259" ref="O1403"/>
    <hyperlink r:id="rId4260" ref="B1404"/>
    <hyperlink r:id="rId4261" ref="E1404"/>
    <hyperlink r:id="rId4262" ref="O1404"/>
    <hyperlink r:id="rId4263" ref="B1405"/>
    <hyperlink r:id="rId4264" ref="E1405"/>
    <hyperlink r:id="rId4265" ref="O1405"/>
    <hyperlink r:id="rId4266" ref="B1406"/>
    <hyperlink r:id="rId4267" ref="E1406"/>
    <hyperlink r:id="rId4268" ref="O1406"/>
    <hyperlink r:id="rId4269" ref="B1407"/>
    <hyperlink r:id="rId4270" ref="E1407"/>
    <hyperlink r:id="rId4271" ref="O1407"/>
    <hyperlink r:id="rId4272" ref="B1408"/>
    <hyperlink r:id="rId4273" ref="E1408"/>
    <hyperlink r:id="rId4274" ref="O1408"/>
    <hyperlink r:id="rId4275" ref="B1409"/>
    <hyperlink r:id="rId4276" ref="E1409"/>
    <hyperlink r:id="rId4277" ref="O1409"/>
    <hyperlink r:id="rId4278" ref="B1410"/>
    <hyperlink r:id="rId4279" ref="E1410"/>
    <hyperlink r:id="rId4280" ref="O1410"/>
    <hyperlink r:id="rId4281" ref="B1411"/>
    <hyperlink r:id="rId4282" ref="E1411"/>
    <hyperlink r:id="rId4283" ref="F1411"/>
    <hyperlink r:id="rId4284" ref="O1411"/>
    <hyperlink r:id="rId4285" ref="B1412"/>
    <hyperlink r:id="rId4286" ref="E1412"/>
    <hyperlink r:id="rId4287" ref="O1412"/>
    <hyperlink r:id="rId4288" ref="B1413"/>
    <hyperlink r:id="rId4289" ref="E1413"/>
    <hyperlink r:id="rId4290" ref="O1413"/>
    <hyperlink r:id="rId4291" ref="B1414"/>
    <hyperlink r:id="rId4292" ref="E1414"/>
    <hyperlink r:id="rId4293" ref="O1414"/>
    <hyperlink r:id="rId4294" ref="B1415"/>
    <hyperlink r:id="rId4295" ref="E1415"/>
    <hyperlink r:id="rId4296" ref="O1415"/>
    <hyperlink r:id="rId4297" ref="B1416"/>
    <hyperlink r:id="rId4298" ref="E1416"/>
    <hyperlink r:id="rId4299" ref="O1416"/>
    <hyperlink r:id="rId4300" ref="B1417"/>
    <hyperlink r:id="rId4301" ref="E1417"/>
    <hyperlink r:id="rId4302" ref="O1417"/>
    <hyperlink r:id="rId4303" ref="B1418"/>
    <hyperlink r:id="rId4304" ref="E1418"/>
    <hyperlink r:id="rId4305" ref="O1418"/>
    <hyperlink r:id="rId4306" ref="B1419"/>
    <hyperlink r:id="rId4307" ref="E1419"/>
    <hyperlink r:id="rId4308" ref="O1419"/>
    <hyperlink r:id="rId4309" ref="B1420"/>
    <hyperlink r:id="rId4310" ref="E1420"/>
    <hyperlink r:id="rId4311" ref="O1420"/>
    <hyperlink r:id="rId4312" ref="B1421"/>
    <hyperlink r:id="rId4313" ref="E1421"/>
    <hyperlink r:id="rId4314" ref="O1421"/>
    <hyperlink r:id="rId4315" ref="B1422"/>
    <hyperlink r:id="rId4316" ref="E1422"/>
    <hyperlink r:id="rId4317" ref="O1422"/>
    <hyperlink r:id="rId4318" ref="B1423"/>
    <hyperlink r:id="rId4319" ref="E1423"/>
    <hyperlink r:id="rId4320" ref="O1423"/>
    <hyperlink r:id="rId4321" ref="B1424"/>
    <hyperlink r:id="rId4322" ref="E1424"/>
    <hyperlink r:id="rId4323" ref="O1424"/>
    <hyperlink r:id="rId4324" ref="B1425"/>
    <hyperlink r:id="rId4325" ref="E1425"/>
    <hyperlink r:id="rId4326" ref="O1425"/>
    <hyperlink r:id="rId4327" ref="B1426"/>
    <hyperlink r:id="rId4328" ref="E1426"/>
    <hyperlink r:id="rId4329" ref="F1426"/>
    <hyperlink r:id="rId4330" ref="O1426"/>
    <hyperlink r:id="rId4331" ref="B1427"/>
    <hyperlink r:id="rId4332" ref="E1427"/>
    <hyperlink r:id="rId4333" ref="O1427"/>
    <hyperlink r:id="rId4334" ref="B1428"/>
    <hyperlink r:id="rId4335" ref="E1428"/>
    <hyperlink r:id="rId4336" ref="O1428"/>
    <hyperlink r:id="rId4337" ref="B1429"/>
    <hyperlink r:id="rId4338" ref="E1429"/>
    <hyperlink r:id="rId4339" ref="O1429"/>
    <hyperlink r:id="rId4340" ref="B1430"/>
    <hyperlink r:id="rId4341" ref="E1430"/>
    <hyperlink r:id="rId4342" ref="O1430"/>
    <hyperlink r:id="rId4343" ref="B1431"/>
    <hyperlink r:id="rId4344" ref="E1431"/>
    <hyperlink r:id="rId4345" ref="O1431"/>
    <hyperlink r:id="rId4346" ref="B1432"/>
    <hyperlink r:id="rId4347" ref="E1432"/>
    <hyperlink r:id="rId4348" ref="O1432"/>
    <hyperlink r:id="rId4349" ref="B1433"/>
    <hyperlink r:id="rId4350" ref="E1433"/>
    <hyperlink r:id="rId4351" ref="O1433"/>
    <hyperlink r:id="rId4352" ref="B1434"/>
    <hyperlink r:id="rId4353" ref="E1434"/>
    <hyperlink r:id="rId4354" ref="O1434"/>
    <hyperlink r:id="rId4355" ref="B1435"/>
    <hyperlink r:id="rId4356" ref="E1435"/>
    <hyperlink r:id="rId4357" ref="O1435"/>
    <hyperlink r:id="rId4358" ref="B1436"/>
    <hyperlink r:id="rId4359" ref="E1436"/>
    <hyperlink r:id="rId4360" ref="O1436"/>
    <hyperlink r:id="rId4361" ref="B1437"/>
    <hyperlink r:id="rId4362" ref="E1437"/>
    <hyperlink r:id="rId4363" ref="O1437"/>
    <hyperlink r:id="rId4364" ref="B1438"/>
    <hyperlink r:id="rId4365" ref="E1438"/>
    <hyperlink r:id="rId4366" ref="O1438"/>
    <hyperlink r:id="rId4367" ref="B1439"/>
    <hyperlink r:id="rId4368" ref="E1439"/>
    <hyperlink r:id="rId4369" ref="O1439"/>
    <hyperlink r:id="rId4370" ref="B1440"/>
    <hyperlink r:id="rId4371" ref="E1440"/>
    <hyperlink r:id="rId4372" ref="O1440"/>
    <hyperlink r:id="rId4373" ref="B1441"/>
    <hyperlink r:id="rId4374" ref="E1441"/>
    <hyperlink r:id="rId4375" ref="O1441"/>
    <hyperlink r:id="rId4376" ref="B1442"/>
    <hyperlink r:id="rId4377" ref="E1442"/>
    <hyperlink r:id="rId4378" ref="O1442"/>
    <hyperlink r:id="rId4379" ref="B1443"/>
    <hyperlink r:id="rId4380" ref="E1443"/>
    <hyperlink r:id="rId4381" ref="O1443"/>
    <hyperlink r:id="rId4382" ref="B1444"/>
    <hyperlink r:id="rId4383" ref="E1444"/>
    <hyperlink r:id="rId4384" ref="O1444"/>
    <hyperlink r:id="rId4385" ref="B1445"/>
    <hyperlink r:id="rId4386" ref="E1445"/>
    <hyperlink r:id="rId4387" ref="O1445"/>
    <hyperlink r:id="rId4388" ref="B1446"/>
    <hyperlink r:id="rId4389" ref="E1446"/>
    <hyperlink r:id="rId4390" ref="O1446"/>
    <hyperlink r:id="rId4391" ref="B1447"/>
    <hyperlink r:id="rId4392" ref="E1447"/>
    <hyperlink r:id="rId4393" ref="O1447"/>
    <hyperlink r:id="rId4394" ref="B1448"/>
    <hyperlink r:id="rId4395" ref="E1448"/>
    <hyperlink r:id="rId4396" ref="O1448"/>
    <hyperlink r:id="rId4397" ref="B1449"/>
    <hyperlink r:id="rId4398" ref="E1449"/>
    <hyperlink r:id="rId4399" ref="O1449"/>
    <hyperlink r:id="rId4400" ref="B1450"/>
    <hyperlink r:id="rId4401" ref="E1450"/>
    <hyperlink r:id="rId4402" ref="O1450"/>
    <hyperlink r:id="rId4403" ref="B1451"/>
    <hyperlink r:id="rId4404" ref="E1451"/>
    <hyperlink r:id="rId4405" ref="O1451"/>
    <hyperlink r:id="rId4406" ref="B1452"/>
    <hyperlink r:id="rId4407" ref="E1452"/>
    <hyperlink r:id="rId4408" ref="O1452"/>
    <hyperlink r:id="rId4409" ref="B1453"/>
    <hyperlink r:id="rId4410" ref="E1453"/>
    <hyperlink r:id="rId4411" ref="O1453"/>
    <hyperlink r:id="rId4412" ref="B1454"/>
    <hyperlink r:id="rId4413" ref="E1454"/>
    <hyperlink r:id="rId4414" ref="O1454"/>
    <hyperlink r:id="rId4415" ref="B1455"/>
    <hyperlink r:id="rId4416" ref="E1455"/>
    <hyperlink r:id="rId4417" ref="O1455"/>
    <hyperlink r:id="rId4418" ref="B1456"/>
    <hyperlink r:id="rId4419" ref="E1456"/>
    <hyperlink r:id="rId4420" ref="O1456"/>
    <hyperlink r:id="rId4421" ref="B1457"/>
    <hyperlink r:id="rId4422" ref="E1457"/>
    <hyperlink r:id="rId4423" ref="O1457"/>
    <hyperlink r:id="rId4424" ref="B1458"/>
    <hyperlink r:id="rId4425" ref="E1458"/>
    <hyperlink r:id="rId4426" ref="O1458"/>
    <hyperlink r:id="rId4427" ref="B1459"/>
    <hyperlink r:id="rId4428" ref="E1459"/>
    <hyperlink r:id="rId4429" ref="O1459"/>
    <hyperlink r:id="rId4430" ref="B1460"/>
    <hyperlink r:id="rId4431" ref="E1460"/>
    <hyperlink r:id="rId4432" ref="O1460"/>
    <hyperlink r:id="rId4433" ref="B1461"/>
    <hyperlink r:id="rId4434" ref="E1461"/>
    <hyperlink r:id="rId4435" ref="O1461"/>
    <hyperlink r:id="rId4436" ref="B1462"/>
    <hyperlink r:id="rId4437" ref="E1462"/>
    <hyperlink r:id="rId4438" ref="O1462"/>
    <hyperlink r:id="rId4439" ref="B1463"/>
    <hyperlink r:id="rId4440" ref="E1463"/>
    <hyperlink r:id="rId4441" ref="F1463"/>
    <hyperlink r:id="rId4442" ref="O1463"/>
    <hyperlink r:id="rId4443" ref="B1464"/>
    <hyperlink r:id="rId4444" ref="E1464"/>
    <hyperlink r:id="rId4445" ref="O1464"/>
    <hyperlink r:id="rId4446" ref="B1465"/>
    <hyperlink r:id="rId4447" ref="E1465"/>
    <hyperlink r:id="rId4448" ref="O1465"/>
    <hyperlink r:id="rId4449" ref="B1466"/>
    <hyperlink r:id="rId4450" ref="E1466"/>
    <hyperlink r:id="rId4451" ref="O1466"/>
    <hyperlink r:id="rId4452" ref="B1467"/>
    <hyperlink r:id="rId4453" ref="E1467"/>
    <hyperlink r:id="rId4454" ref="O1467"/>
    <hyperlink r:id="rId4455" ref="B1468"/>
    <hyperlink r:id="rId4456" ref="E1468"/>
    <hyperlink r:id="rId4457" ref="O1468"/>
    <hyperlink r:id="rId4458" ref="B1469"/>
    <hyperlink r:id="rId4459" ref="E1469"/>
    <hyperlink r:id="rId4460" ref="O1469"/>
    <hyperlink r:id="rId4461" ref="B1470"/>
    <hyperlink r:id="rId4462" ref="E1470"/>
    <hyperlink r:id="rId4463" ref="O1470"/>
    <hyperlink r:id="rId4464" ref="B1471"/>
    <hyperlink r:id="rId4465" ref="E1471"/>
    <hyperlink r:id="rId4466" ref="O1471"/>
    <hyperlink r:id="rId4467" ref="B1472"/>
    <hyperlink r:id="rId4468" ref="E1472"/>
    <hyperlink r:id="rId4469" ref="O1472"/>
    <hyperlink r:id="rId4470" ref="B1473"/>
    <hyperlink r:id="rId4471" ref="E1473"/>
    <hyperlink r:id="rId4472" ref="O1473"/>
    <hyperlink r:id="rId4473" ref="B1474"/>
    <hyperlink r:id="rId4474" ref="E1474"/>
    <hyperlink r:id="rId4475" ref="O1474"/>
    <hyperlink r:id="rId4476" ref="B1475"/>
    <hyperlink r:id="rId4477" ref="E1475"/>
    <hyperlink r:id="rId4478" ref="O1475"/>
    <hyperlink r:id="rId4479" ref="B1476"/>
    <hyperlink r:id="rId4480" ref="E1476"/>
    <hyperlink r:id="rId4481" ref="O1476"/>
    <hyperlink r:id="rId4482" ref="B1477"/>
    <hyperlink r:id="rId4483" ref="E1477"/>
    <hyperlink r:id="rId4484" ref="O1477"/>
    <hyperlink r:id="rId4485" ref="B1478"/>
    <hyperlink r:id="rId4486" ref="E1478"/>
    <hyperlink r:id="rId4487" ref="O1478"/>
    <hyperlink r:id="rId4488" ref="B1479"/>
    <hyperlink r:id="rId4489" ref="E1479"/>
    <hyperlink r:id="rId4490" ref="O1479"/>
    <hyperlink r:id="rId4491" ref="B1480"/>
    <hyperlink r:id="rId4492" ref="E1480"/>
    <hyperlink r:id="rId4493" ref="O1480"/>
    <hyperlink r:id="rId4494" ref="B1481"/>
    <hyperlink r:id="rId4495" ref="E1481"/>
    <hyperlink r:id="rId4496" ref="O1481"/>
    <hyperlink r:id="rId4497" ref="B1482"/>
    <hyperlink r:id="rId4498" ref="E1482"/>
    <hyperlink r:id="rId4499" ref="O1482"/>
    <hyperlink r:id="rId4500" ref="B1483"/>
    <hyperlink r:id="rId4501" ref="E1483"/>
    <hyperlink r:id="rId4502" ref="O1483"/>
    <hyperlink r:id="rId4503" ref="B1484"/>
    <hyperlink r:id="rId4504" ref="E1484"/>
    <hyperlink r:id="rId4505" ref="O1484"/>
    <hyperlink r:id="rId4506" ref="B1485"/>
    <hyperlink r:id="rId4507" ref="E1485"/>
    <hyperlink r:id="rId4508" ref="O1485"/>
    <hyperlink r:id="rId4509" ref="B1486"/>
    <hyperlink r:id="rId4510" ref="E1486"/>
    <hyperlink r:id="rId4511" ref="O1486"/>
    <hyperlink r:id="rId4512" ref="B1487"/>
    <hyperlink r:id="rId4513" ref="E1487"/>
    <hyperlink r:id="rId4514" ref="O1487"/>
    <hyperlink r:id="rId4515" ref="B1488"/>
    <hyperlink r:id="rId4516" ref="E1488"/>
    <hyperlink r:id="rId4517" ref="O1488"/>
    <hyperlink r:id="rId4518" ref="B1489"/>
    <hyperlink r:id="rId4519" ref="E1489"/>
    <hyperlink r:id="rId4520" ref="O1489"/>
    <hyperlink r:id="rId4521" ref="B1490"/>
    <hyperlink r:id="rId4522" ref="E1490"/>
    <hyperlink r:id="rId4523" ref="O1490"/>
    <hyperlink r:id="rId4524" ref="B1491"/>
    <hyperlink r:id="rId4525" ref="E1491"/>
    <hyperlink r:id="rId4526" ref="O1491"/>
    <hyperlink r:id="rId4527" ref="B1492"/>
    <hyperlink r:id="rId4528" ref="E1492"/>
    <hyperlink r:id="rId4529" ref="O1492"/>
    <hyperlink r:id="rId4530" ref="B1493"/>
    <hyperlink r:id="rId4531" ref="E1493"/>
    <hyperlink r:id="rId4532" ref="O1493"/>
    <hyperlink r:id="rId4533" ref="B1494"/>
    <hyperlink r:id="rId4534" ref="E1494"/>
    <hyperlink r:id="rId4535" ref="O1494"/>
    <hyperlink r:id="rId4536" ref="B1495"/>
    <hyperlink r:id="rId4537" ref="E1495"/>
    <hyperlink r:id="rId4538" ref="O1495"/>
    <hyperlink r:id="rId4539" ref="B1496"/>
    <hyperlink r:id="rId4540" ref="E1496"/>
    <hyperlink r:id="rId4541" ref="O1496"/>
    <hyperlink r:id="rId4542" ref="B1497"/>
    <hyperlink r:id="rId4543" ref="E1497"/>
    <hyperlink r:id="rId4544" ref="F1497"/>
    <hyperlink r:id="rId4545" ref="O1497"/>
    <hyperlink r:id="rId4546" ref="B1498"/>
    <hyperlink r:id="rId4547" ref="E1498"/>
    <hyperlink r:id="rId4548" ref="O1498"/>
    <hyperlink r:id="rId4549" ref="B1499"/>
    <hyperlink r:id="rId4550" ref="E1499"/>
    <hyperlink r:id="rId4551" ref="O1499"/>
    <hyperlink r:id="rId4552" ref="B1500"/>
    <hyperlink r:id="rId4553" ref="E1500"/>
    <hyperlink r:id="rId4554" ref="O1500"/>
    <hyperlink r:id="rId4555" ref="B1501"/>
    <hyperlink r:id="rId4556" ref="E1501"/>
    <hyperlink r:id="rId4557" ref="O1501"/>
    <hyperlink r:id="rId4558" ref="B1502"/>
    <hyperlink r:id="rId4559" ref="E1502"/>
    <hyperlink r:id="rId4560" ref="O1502"/>
    <hyperlink r:id="rId4561" ref="B1503"/>
    <hyperlink r:id="rId4562" ref="E1503"/>
    <hyperlink r:id="rId4563" ref="O1503"/>
    <hyperlink r:id="rId4564" ref="B1504"/>
    <hyperlink r:id="rId4565" ref="E1504"/>
    <hyperlink r:id="rId4566" ref="O1504"/>
    <hyperlink r:id="rId4567" ref="B1505"/>
    <hyperlink r:id="rId4568" ref="E1505"/>
    <hyperlink r:id="rId4569" ref="O1505"/>
    <hyperlink r:id="rId4570" ref="B1506"/>
    <hyperlink r:id="rId4571" ref="E1506"/>
    <hyperlink r:id="rId4572" ref="O1506"/>
    <hyperlink r:id="rId4573" ref="B1507"/>
    <hyperlink r:id="rId4574" ref="E1507"/>
    <hyperlink r:id="rId4575" ref="O1507"/>
    <hyperlink r:id="rId4576" ref="B1508"/>
    <hyperlink r:id="rId4577" ref="E1508"/>
    <hyperlink r:id="rId4578" ref="O1508"/>
    <hyperlink r:id="rId4579" ref="B1509"/>
    <hyperlink r:id="rId4580" ref="E1509"/>
    <hyperlink r:id="rId4581" ref="O1509"/>
    <hyperlink r:id="rId4582" ref="B1510"/>
    <hyperlink r:id="rId4583" ref="E1510"/>
    <hyperlink r:id="rId4584" ref="O1510"/>
    <hyperlink r:id="rId4585" ref="B1511"/>
    <hyperlink r:id="rId4586" ref="E1511"/>
    <hyperlink r:id="rId4587" ref="O1511"/>
    <hyperlink r:id="rId4588" ref="B1512"/>
    <hyperlink r:id="rId4589" ref="E1512"/>
    <hyperlink r:id="rId4590" ref="O1512"/>
    <hyperlink r:id="rId4591" ref="B1513"/>
    <hyperlink r:id="rId4592" ref="E1513"/>
    <hyperlink r:id="rId4593" ref="O1513"/>
    <hyperlink r:id="rId4594" ref="B1514"/>
    <hyperlink r:id="rId4595" ref="E1514"/>
    <hyperlink r:id="rId4596" ref="O1514"/>
    <hyperlink r:id="rId4597" ref="B1515"/>
    <hyperlink r:id="rId4598" ref="E1515"/>
    <hyperlink r:id="rId4599" ref="O1515"/>
    <hyperlink r:id="rId4600" ref="B1516"/>
    <hyperlink r:id="rId4601" ref="E1516"/>
    <hyperlink r:id="rId4602" ref="O1516"/>
    <hyperlink r:id="rId4603" ref="B1517"/>
    <hyperlink r:id="rId4604" ref="E1517"/>
    <hyperlink r:id="rId4605" ref="O1517"/>
    <hyperlink r:id="rId4606" ref="B1518"/>
    <hyperlink r:id="rId4607" ref="E1518"/>
    <hyperlink r:id="rId4608" ref="O1518"/>
    <hyperlink r:id="rId4609" ref="B1519"/>
    <hyperlink r:id="rId4610" ref="E1519"/>
    <hyperlink r:id="rId4611" ref="O1519"/>
    <hyperlink r:id="rId4612" ref="B1520"/>
    <hyperlink r:id="rId4613" ref="E1520"/>
    <hyperlink r:id="rId4614" ref="O1520"/>
    <hyperlink r:id="rId4615" ref="B1521"/>
    <hyperlink r:id="rId4616" ref="E1521"/>
    <hyperlink r:id="rId4617" ref="O1521"/>
    <hyperlink r:id="rId4618" ref="B1522"/>
    <hyperlink r:id="rId4619" ref="E1522"/>
    <hyperlink r:id="rId4620" ref="O1522"/>
    <hyperlink r:id="rId4621" ref="B1523"/>
    <hyperlink r:id="rId4622" ref="E1523"/>
    <hyperlink r:id="rId4623" ref="O1523"/>
    <hyperlink r:id="rId4624" ref="B1524"/>
    <hyperlink r:id="rId4625" ref="E1524"/>
    <hyperlink r:id="rId4626" ref="O1524"/>
    <hyperlink r:id="rId4627" ref="B1525"/>
    <hyperlink r:id="rId4628" ref="E1525"/>
    <hyperlink r:id="rId4629" ref="O1525"/>
    <hyperlink r:id="rId4630" ref="B1526"/>
    <hyperlink r:id="rId4631" ref="E1526"/>
    <hyperlink r:id="rId4632" ref="O1526"/>
    <hyperlink r:id="rId4633" ref="B1527"/>
    <hyperlink r:id="rId4634" ref="E1527"/>
    <hyperlink r:id="rId4635" ref="O1527"/>
    <hyperlink r:id="rId4636" ref="B1528"/>
    <hyperlink r:id="rId4637" ref="E1528"/>
    <hyperlink r:id="rId4638" ref="O1528"/>
    <hyperlink r:id="rId4639" ref="B1529"/>
    <hyperlink r:id="rId4640" ref="E1529"/>
    <hyperlink r:id="rId4641" ref="O1529"/>
    <hyperlink r:id="rId4642" ref="B1530"/>
    <hyperlink r:id="rId4643" ref="E1530"/>
    <hyperlink r:id="rId4644" ref="O1530"/>
    <hyperlink r:id="rId4645" ref="B1531"/>
    <hyperlink r:id="rId4646" ref="E1531"/>
    <hyperlink r:id="rId4647" ref="O1531"/>
    <hyperlink r:id="rId4648" ref="B1532"/>
    <hyperlink r:id="rId4649" ref="E1532"/>
    <hyperlink r:id="rId4650" ref="O1532"/>
    <hyperlink r:id="rId4651" ref="B1533"/>
    <hyperlink r:id="rId4652" ref="E1533"/>
    <hyperlink r:id="rId4653" ref="O1533"/>
    <hyperlink r:id="rId4654" ref="B1534"/>
    <hyperlink r:id="rId4655" ref="E1534"/>
    <hyperlink r:id="rId4656" ref="O1534"/>
    <hyperlink r:id="rId4657" ref="B1535"/>
    <hyperlink r:id="rId4658" ref="E1535"/>
    <hyperlink r:id="rId4659" ref="O1535"/>
    <hyperlink r:id="rId4660" ref="B1536"/>
    <hyperlink r:id="rId4661" ref="E1536"/>
    <hyperlink r:id="rId4662" ref="O1536"/>
    <hyperlink r:id="rId4663" ref="B1537"/>
    <hyperlink r:id="rId4664" ref="E1537"/>
    <hyperlink r:id="rId4665" ref="O1537"/>
    <hyperlink r:id="rId4666" ref="B1538"/>
    <hyperlink r:id="rId4667" ref="E1538"/>
    <hyperlink r:id="rId4668" ref="O1538"/>
    <hyperlink r:id="rId4669" ref="B1539"/>
    <hyperlink r:id="rId4670" ref="E1539"/>
    <hyperlink r:id="rId4671" ref="O1539"/>
    <hyperlink r:id="rId4672" ref="B1540"/>
    <hyperlink r:id="rId4673" ref="E1540"/>
    <hyperlink r:id="rId4674" ref="O1540"/>
    <hyperlink r:id="rId4675" ref="B1541"/>
    <hyperlink r:id="rId4676" ref="E1541"/>
    <hyperlink r:id="rId4677" ref="O1541"/>
    <hyperlink r:id="rId4678" ref="B1542"/>
    <hyperlink r:id="rId4679" ref="E1542"/>
    <hyperlink r:id="rId4680" ref="O1542"/>
    <hyperlink r:id="rId4681" ref="B1543"/>
    <hyperlink r:id="rId4682" ref="E1543"/>
    <hyperlink r:id="rId4683" ref="O1543"/>
    <hyperlink r:id="rId4684" ref="B1544"/>
    <hyperlink r:id="rId4685" ref="E1544"/>
    <hyperlink r:id="rId4686" ref="O1544"/>
    <hyperlink r:id="rId4687" ref="B1545"/>
    <hyperlink r:id="rId4688" ref="E1545"/>
    <hyperlink r:id="rId4689" ref="O1545"/>
    <hyperlink r:id="rId4690" ref="B1546"/>
    <hyperlink r:id="rId4691" ref="E1546"/>
    <hyperlink r:id="rId4692" ref="O1546"/>
    <hyperlink r:id="rId4693" ref="B1547"/>
    <hyperlink r:id="rId4694" ref="E1547"/>
    <hyperlink r:id="rId4695" ref="O1547"/>
    <hyperlink r:id="rId4696" ref="B1548"/>
    <hyperlink r:id="rId4697" ref="E1548"/>
    <hyperlink r:id="rId4698" ref="O1548"/>
    <hyperlink r:id="rId4699" ref="B1549"/>
    <hyperlink r:id="rId4700" ref="E1549"/>
    <hyperlink r:id="rId4701" ref="O1549"/>
    <hyperlink r:id="rId4702" ref="B1550"/>
    <hyperlink r:id="rId4703" ref="E1550"/>
    <hyperlink r:id="rId4704" ref="O1550"/>
    <hyperlink r:id="rId4705" ref="B1551"/>
    <hyperlink r:id="rId4706" ref="E1551"/>
    <hyperlink r:id="rId4707" ref="O1551"/>
    <hyperlink r:id="rId4708" ref="B1552"/>
    <hyperlink r:id="rId4709" ref="E1552"/>
    <hyperlink r:id="rId4710" ref="O1552"/>
    <hyperlink r:id="rId4711" ref="B1553"/>
    <hyperlink r:id="rId4712" ref="E1553"/>
    <hyperlink r:id="rId4713" ref="O1553"/>
    <hyperlink r:id="rId4714" ref="B1554"/>
    <hyperlink r:id="rId4715" ref="E1554"/>
    <hyperlink r:id="rId4716" ref="O1554"/>
    <hyperlink r:id="rId4717" ref="B1555"/>
    <hyperlink r:id="rId4718" ref="E1555"/>
    <hyperlink r:id="rId4719" ref="O1555"/>
    <hyperlink r:id="rId4720" ref="B1556"/>
    <hyperlink r:id="rId4721" ref="E1556"/>
    <hyperlink r:id="rId4722" ref="O1556"/>
    <hyperlink r:id="rId4723" ref="B1557"/>
    <hyperlink r:id="rId4724" ref="E1557"/>
    <hyperlink r:id="rId4725" ref="O1557"/>
    <hyperlink r:id="rId4726" ref="B1558"/>
    <hyperlink r:id="rId4727" ref="E1558"/>
    <hyperlink r:id="rId4728" ref="F1558"/>
    <hyperlink r:id="rId4729" ref="O1558"/>
    <hyperlink r:id="rId4730" ref="B1559"/>
    <hyperlink r:id="rId4731" ref="E1559"/>
    <hyperlink r:id="rId4732" ref="O1559"/>
    <hyperlink r:id="rId4733" ref="B1560"/>
    <hyperlink r:id="rId4734" ref="E1560"/>
    <hyperlink r:id="rId4735" ref="O1560"/>
    <hyperlink r:id="rId4736" ref="B1561"/>
    <hyperlink r:id="rId4737" ref="E1561"/>
    <hyperlink r:id="rId4738" ref="O1561"/>
    <hyperlink r:id="rId4739" ref="B1562"/>
    <hyperlink r:id="rId4740" ref="E1562"/>
    <hyperlink r:id="rId4741" ref="O1562"/>
    <hyperlink r:id="rId4742" ref="B1563"/>
    <hyperlink r:id="rId4743" ref="E1563"/>
    <hyperlink r:id="rId4744" ref="O1563"/>
    <hyperlink r:id="rId4745" ref="B1564"/>
    <hyperlink r:id="rId4746" ref="E1564"/>
    <hyperlink r:id="rId4747" ref="O1564"/>
    <hyperlink r:id="rId4748" ref="B1565"/>
    <hyperlink r:id="rId4749" ref="E1565"/>
    <hyperlink r:id="rId4750" ref="O1565"/>
    <hyperlink r:id="rId4751" ref="B1566"/>
    <hyperlink r:id="rId4752" ref="E1566"/>
    <hyperlink r:id="rId4753" ref="O1566"/>
    <hyperlink r:id="rId4754" ref="B1567"/>
    <hyperlink r:id="rId4755" ref="E1567"/>
    <hyperlink r:id="rId4756" ref="O1567"/>
    <hyperlink r:id="rId4757" ref="B1568"/>
    <hyperlink r:id="rId4758" ref="E1568"/>
    <hyperlink r:id="rId4759" ref="O1568"/>
    <hyperlink r:id="rId4760" ref="B1569"/>
    <hyperlink r:id="rId4761" ref="E1569"/>
    <hyperlink r:id="rId4762" ref="O1569"/>
    <hyperlink r:id="rId4763" ref="B1570"/>
    <hyperlink r:id="rId4764" ref="E1570"/>
    <hyperlink r:id="rId4765" ref="O1570"/>
    <hyperlink r:id="rId4766" ref="B1571"/>
    <hyperlink r:id="rId4767" ref="E1571"/>
    <hyperlink r:id="rId4768" ref="O1571"/>
    <hyperlink r:id="rId4769" ref="B1572"/>
    <hyperlink r:id="rId4770" ref="E1572"/>
    <hyperlink r:id="rId4771" ref="O1572"/>
    <hyperlink r:id="rId4772" ref="B1573"/>
    <hyperlink r:id="rId4773" ref="E1573"/>
    <hyperlink r:id="rId4774" ref="O1573"/>
    <hyperlink r:id="rId4775" ref="B1574"/>
    <hyperlink r:id="rId4776" ref="E1574"/>
    <hyperlink r:id="rId4777" ref="O1574"/>
    <hyperlink r:id="rId4778" ref="B1575"/>
    <hyperlink r:id="rId4779" ref="E1575"/>
    <hyperlink r:id="rId4780" ref="O1575"/>
    <hyperlink r:id="rId4781" ref="B1576"/>
    <hyperlink r:id="rId4782" ref="E1576"/>
    <hyperlink r:id="rId4783" ref="O1576"/>
    <hyperlink r:id="rId4784" ref="B1577"/>
    <hyperlink r:id="rId4785" ref="E1577"/>
    <hyperlink r:id="rId4786" ref="O1577"/>
    <hyperlink r:id="rId4787" ref="B1578"/>
    <hyperlink r:id="rId4788" ref="E1578"/>
    <hyperlink r:id="rId4789" ref="O1578"/>
    <hyperlink r:id="rId4790" ref="B1579"/>
    <hyperlink r:id="rId4791" ref="E1579"/>
    <hyperlink r:id="rId4792" ref="O1579"/>
    <hyperlink r:id="rId4793" ref="B1580"/>
    <hyperlink r:id="rId4794" ref="E1580"/>
    <hyperlink r:id="rId4795" ref="O1580"/>
    <hyperlink r:id="rId4796" ref="B1581"/>
    <hyperlink r:id="rId4797" ref="E1581"/>
    <hyperlink r:id="rId4798" ref="O1581"/>
    <hyperlink r:id="rId4799" ref="B1582"/>
    <hyperlink r:id="rId4800" ref="E1582"/>
    <hyperlink r:id="rId4801" ref="O1582"/>
    <hyperlink r:id="rId4802" ref="B1583"/>
    <hyperlink r:id="rId4803" ref="E1583"/>
    <hyperlink r:id="rId4804" ref="O1583"/>
    <hyperlink r:id="rId4805" ref="B1584"/>
    <hyperlink r:id="rId4806" ref="E1584"/>
    <hyperlink r:id="rId4807" ref="O1584"/>
    <hyperlink r:id="rId4808" ref="B1585"/>
    <hyperlink r:id="rId4809" ref="E1585"/>
    <hyperlink r:id="rId4810" ref="O1585"/>
    <hyperlink r:id="rId4811" ref="B1586"/>
    <hyperlink r:id="rId4812" ref="E1586"/>
    <hyperlink r:id="rId4813" ref="O1586"/>
    <hyperlink r:id="rId4814" ref="B1587"/>
    <hyperlink r:id="rId4815" ref="E1587"/>
    <hyperlink r:id="rId4816" ref="O1587"/>
    <hyperlink r:id="rId4817" ref="B1588"/>
    <hyperlink r:id="rId4818" ref="E1588"/>
    <hyperlink r:id="rId4819" ref="O1588"/>
    <hyperlink r:id="rId4820" ref="B1589"/>
    <hyperlink r:id="rId4821" ref="E1589"/>
    <hyperlink r:id="rId4822" ref="O1589"/>
    <hyperlink r:id="rId4823" ref="B1590"/>
    <hyperlink r:id="rId4824" ref="E1590"/>
    <hyperlink r:id="rId4825" ref="O1590"/>
    <hyperlink r:id="rId4826" ref="B1591"/>
    <hyperlink r:id="rId4827" ref="E1591"/>
    <hyperlink r:id="rId4828" ref="O1591"/>
    <hyperlink r:id="rId4829" ref="B1592"/>
    <hyperlink r:id="rId4830" ref="E1592"/>
    <hyperlink r:id="rId4831" ref="O1592"/>
    <hyperlink r:id="rId4832" ref="B1593"/>
    <hyperlink r:id="rId4833" ref="E1593"/>
    <hyperlink r:id="rId4834" ref="O1593"/>
    <hyperlink r:id="rId4835" ref="B1594"/>
    <hyperlink r:id="rId4836" ref="E1594"/>
    <hyperlink r:id="rId4837" ref="O1594"/>
    <hyperlink r:id="rId4838" ref="B1595"/>
    <hyperlink r:id="rId4839" ref="E1595"/>
    <hyperlink r:id="rId4840" ref="O1595"/>
    <hyperlink r:id="rId4841" ref="B1596"/>
    <hyperlink r:id="rId4842" ref="E1596"/>
    <hyperlink r:id="rId4843" ref="O1596"/>
    <hyperlink r:id="rId4844" ref="B1597"/>
    <hyperlink r:id="rId4845" ref="E1597"/>
    <hyperlink r:id="rId4846" ref="O1597"/>
    <hyperlink r:id="rId4847" ref="B1598"/>
    <hyperlink r:id="rId4848" ref="E1598"/>
    <hyperlink r:id="rId4849" ref="O1598"/>
    <hyperlink r:id="rId4850" ref="B1599"/>
    <hyperlink r:id="rId4851" ref="E1599"/>
    <hyperlink r:id="rId4852" ref="O1599"/>
    <hyperlink r:id="rId4853" ref="B1600"/>
    <hyperlink r:id="rId4854" ref="E1600"/>
    <hyperlink r:id="rId4855" ref="O1600"/>
    <hyperlink r:id="rId4856" ref="B1601"/>
    <hyperlink r:id="rId4857" ref="E1601"/>
    <hyperlink r:id="rId4858" ref="O1601"/>
    <hyperlink r:id="rId4859" ref="B1602"/>
    <hyperlink r:id="rId4860" ref="E1602"/>
    <hyperlink r:id="rId4861" ref="O1602"/>
    <hyperlink r:id="rId4862" ref="B1603"/>
    <hyperlink r:id="rId4863" ref="E1603"/>
    <hyperlink r:id="rId4864" ref="O1603"/>
    <hyperlink r:id="rId4865" ref="B1604"/>
    <hyperlink r:id="rId4866" ref="E1604"/>
    <hyperlink r:id="rId4867" ref="O1604"/>
    <hyperlink r:id="rId4868" ref="B1605"/>
    <hyperlink r:id="rId4869" ref="E1605"/>
    <hyperlink r:id="rId4870" ref="O1605"/>
    <hyperlink r:id="rId4871" ref="B1606"/>
    <hyperlink r:id="rId4872" ref="E1606"/>
    <hyperlink r:id="rId4873" ref="O1606"/>
    <hyperlink r:id="rId4874" ref="B1607"/>
    <hyperlink r:id="rId4875" ref="E1607"/>
    <hyperlink r:id="rId4876" ref="O1607"/>
    <hyperlink r:id="rId4877" ref="B1608"/>
    <hyperlink r:id="rId4878" ref="E1608"/>
    <hyperlink r:id="rId4879" ref="O1608"/>
    <hyperlink r:id="rId4880" ref="B1609"/>
    <hyperlink r:id="rId4881" ref="E1609"/>
    <hyperlink r:id="rId4882" ref="O1609"/>
    <hyperlink r:id="rId4883" ref="B1610"/>
    <hyperlink r:id="rId4884" ref="E1610"/>
    <hyperlink r:id="rId4885" ref="O1610"/>
    <hyperlink r:id="rId4886" ref="B1611"/>
    <hyperlink r:id="rId4887" ref="E1611"/>
    <hyperlink r:id="rId4888" ref="O1611"/>
    <hyperlink r:id="rId4889" ref="B1612"/>
    <hyperlink r:id="rId4890" ref="E1612"/>
    <hyperlink r:id="rId4891" ref="O1612"/>
    <hyperlink r:id="rId4892" ref="B1613"/>
    <hyperlink r:id="rId4893" ref="E1613"/>
    <hyperlink r:id="rId4894" ref="O1613"/>
    <hyperlink r:id="rId4895" ref="B1614"/>
    <hyperlink r:id="rId4896" ref="E1614"/>
    <hyperlink r:id="rId4897" ref="O1614"/>
    <hyperlink r:id="rId4898" ref="B1615"/>
    <hyperlink r:id="rId4899" ref="E1615"/>
    <hyperlink r:id="rId4900" ref="O1615"/>
    <hyperlink r:id="rId4901" ref="B1616"/>
    <hyperlink r:id="rId4902" ref="E1616"/>
    <hyperlink r:id="rId4903" ref="O1616"/>
    <hyperlink r:id="rId4904" ref="B1617"/>
    <hyperlink r:id="rId4905" ref="E1617"/>
    <hyperlink r:id="rId4906" ref="O1617"/>
    <hyperlink r:id="rId4907" ref="B1618"/>
    <hyperlink r:id="rId4908" ref="E1618"/>
    <hyperlink r:id="rId4909" ref="O1618"/>
    <hyperlink r:id="rId4910" ref="B1619"/>
    <hyperlink r:id="rId4911" ref="E1619"/>
    <hyperlink r:id="rId4912" ref="O1619"/>
    <hyperlink r:id="rId4913" ref="B1620"/>
    <hyperlink r:id="rId4914" ref="E1620"/>
    <hyperlink r:id="rId4915" ref="O1620"/>
    <hyperlink r:id="rId4916" ref="B1621"/>
    <hyperlink r:id="rId4917" ref="E1621"/>
    <hyperlink r:id="rId4918" ref="O1621"/>
    <hyperlink r:id="rId4919" ref="B1622"/>
    <hyperlink r:id="rId4920" ref="E1622"/>
    <hyperlink r:id="rId4921" ref="O1622"/>
    <hyperlink r:id="rId4922" ref="B1623"/>
    <hyperlink r:id="rId4923" ref="E1623"/>
    <hyperlink r:id="rId4924" ref="O1623"/>
    <hyperlink r:id="rId4925" ref="B1624"/>
    <hyperlink r:id="rId4926" ref="E1624"/>
    <hyperlink r:id="rId4927" ref="O1624"/>
    <hyperlink r:id="rId4928" ref="B1625"/>
    <hyperlink r:id="rId4929" ref="E1625"/>
    <hyperlink r:id="rId4930" ref="O1625"/>
    <hyperlink r:id="rId4931" ref="B1626"/>
    <hyperlink r:id="rId4932" ref="E1626"/>
    <hyperlink r:id="rId4933" ref="O1626"/>
    <hyperlink r:id="rId4934" ref="B1627"/>
    <hyperlink r:id="rId4935" ref="E1627"/>
    <hyperlink r:id="rId4936" ref="O1627"/>
    <hyperlink r:id="rId4937" ref="B1628"/>
    <hyperlink r:id="rId4938" ref="E1628"/>
    <hyperlink r:id="rId4939" ref="O1628"/>
    <hyperlink r:id="rId4940" ref="B1629"/>
    <hyperlink r:id="rId4941" ref="E1629"/>
    <hyperlink r:id="rId4942" ref="O1629"/>
    <hyperlink r:id="rId4943" ref="B1630"/>
    <hyperlink r:id="rId4944" ref="E1630"/>
    <hyperlink r:id="rId4945" ref="O1630"/>
    <hyperlink r:id="rId4946" ref="B1631"/>
    <hyperlink r:id="rId4947" ref="E1631"/>
    <hyperlink r:id="rId4948" ref="O1631"/>
    <hyperlink r:id="rId4949" ref="B1632"/>
    <hyperlink r:id="rId4950" ref="E1632"/>
    <hyperlink r:id="rId4951" ref="O1632"/>
    <hyperlink r:id="rId4952" ref="B1633"/>
    <hyperlink r:id="rId4953" ref="E1633"/>
    <hyperlink r:id="rId4954" ref="O1633"/>
    <hyperlink r:id="rId4955" ref="B1634"/>
    <hyperlink r:id="rId4956" ref="E1634"/>
    <hyperlink r:id="rId4957" ref="O1634"/>
    <hyperlink r:id="rId4958" ref="B1635"/>
    <hyperlink r:id="rId4959" ref="E1635"/>
    <hyperlink r:id="rId4960" ref="O1635"/>
    <hyperlink r:id="rId4961" ref="B1636"/>
    <hyperlink r:id="rId4962" ref="E1636"/>
    <hyperlink r:id="rId4963" ref="O1636"/>
    <hyperlink r:id="rId4964" ref="B1637"/>
    <hyperlink r:id="rId4965" ref="E1637"/>
    <hyperlink r:id="rId4966" ref="O1637"/>
    <hyperlink r:id="rId4967" ref="B1638"/>
    <hyperlink r:id="rId4968" ref="E1638"/>
    <hyperlink r:id="rId4969" ref="O1638"/>
    <hyperlink r:id="rId4970" ref="B1639"/>
    <hyperlink r:id="rId4971" ref="E1639"/>
    <hyperlink r:id="rId4972" ref="O1639"/>
    <hyperlink r:id="rId4973" ref="B1640"/>
    <hyperlink r:id="rId4974" ref="E1640"/>
    <hyperlink r:id="rId4975" ref="O1640"/>
    <hyperlink r:id="rId4976" ref="B1641"/>
    <hyperlink r:id="rId4977" ref="E1641"/>
    <hyperlink r:id="rId4978" ref="O1641"/>
    <hyperlink r:id="rId4979" ref="B1642"/>
    <hyperlink r:id="rId4980" ref="E1642"/>
    <hyperlink r:id="rId4981" ref="O1642"/>
    <hyperlink r:id="rId4982" ref="B1643"/>
    <hyperlink r:id="rId4983" ref="E1643"/>
    <hyperlink r:id="rId4984" ref="O1643"/>
    <hyperlink r:id="rId4985" ref="B1644"/>
    <hyperlink r:id="rId4986" ref="E1644"/>
    <hyperlink r:id="rId4987" ref="O1644"/>
    <hyperlink r:id="rId4988" ref="B1645"/>
    <hyperlink r:id="rId4989" ref="E1645"/>
    <hyperlink r:id="rId4990" ref="O1645"/>
    <hyperlink r:id="rId4991" ref="B1646"/>
    <hyperlink r:id="rId4992" ref="E1646"/>
    <hyperlink r:id="rId4993" ref="O1646"/>
    <hyperlink r:id="rId4994" ref="B1647"/>
    <hyperlink r:id="rId4995" ref="E1647"/>
    <hyperlink r:id="rId4996" ref="O1647"/>
    <hyperlink r:id="rId4997" ref="B1648"/>
    <hyperlink r:id="rId4998" ref="E1648"/>
    <hyperlink r:id="rId4999" ref="O1648"/>
    <hyperlink r:id="rId5000" ref="B1649"/>
    <hyperlink r:id="rId5001" ref="E1649"/>
    <hyperlink r:id="rId5002" ref="O1649"/>
    <hyperlink r:id="rId5003" ref="B1650"/>
    <hyperlink r:id="rId5004" ref="E1650"/>
    <hyperlink r:id="rId5005" ref="O1650"/>
    <hyperlink r:id="rId5006" ref="B1651"/>
    <hyperlink r:id="rId5007" ref="E1651"/>
    <hyperlink r:id="rId5008" ref="O1651"/>
    <hyperlink r:id="rId5009" ref="B1652"/>
    <hyperlink r:id="rId5010" ref="E1652"/>
    <hyperlink r:id="rId5011" ref="O1652"/>
    <hyperlink r:id="rId5012" ref="B1653"/>
    <hyperlink r:id="rId5013" ref="E1653"/>
    <hyperlink r:id="rId5014" ref="O1653"/>
    <hyperlink r:id="rId5015" ref="B1654"/>
    <hyperlink r:id="rId5016" ref="E1654"/>
    <hyperlink r:id="rId5017" ref="O1654"/>
    <hyperlink r:id="rId5018" ref="B1655"/>
    <hyperlink r:id="rId5019" ref="E1655"/>
    <hyperlink r:id="rId5020" ref="O1655"/>
    <hyperlink r:id="rId5021" ref="B1656"/>
    <hyperlink r:id="rId5022" ref="E1656"/>
    <hyperlink r:id="rId5023" ref="O1656"/>
    <hyperlink r:id="rId5024" ref="B1657"/>
    <hyperlink r:id="rId5025" ref="E1657"/>
    <hyperlink r:id="rId5026" ref="O1657"/>
    <hyperlink r:id="rId5027" ref="B1658"/>
    <hyperlink r:id="rId5028" ref="E1658"/>
    <hyperlink r:id="rId5029" ref="O1658"/>
    <hyperlink r:id="rId5030" ref="B1659"/>
    <hyperlink r:id="rId5031" ref="E1659"/>
    <hyperlink r:id="rId5032" ref="O1659"/>
    <hyperlink r:id="rId5033" ref="B1660"/>
    <hyperlink r:id="rId5034" ref="E1660"/>
    <hyperlink r:id="rId5035" ref="O1660"/>
    <hyperlink r:id="rId5036" ref="B1661"/>
    <hyperlink r:id="rId5037" ref="E1661"/>
    <hyperlink r:id="rId5038" ref="O1661"/>
    <hyperlink r:id="rId5039" ref="B1662"/>
    <hyperlink r:id="rId5040" ref="E1662"/>
    <hyperlink r:id="rId5041" ref="O1662"/>
    <hyperlink r:id="rId5042" ref="B1663"/>
    <hyperlink r:id="rId5043" ref="E1663"/>
    <hyperlink r:id="rId5044" ref="O1663"/>
    <hyperlink r:id="rId5045" ref="B1664"/>
    <hyperlink r:id="rId5046" ref="E1664"/>
    <hyperlink r:id="rId5047" ref="O1664"/>
    <hyperlink r:id="rId5048" ref="B1665"/>
    <hyperlink r:id="rId5049" ref="E1665"/>
    <hyperlink r:id="rId5050" ref="O1665"/>
    <hyperlink r:id="rId5051" ref="B1666"/>
    <hyperlink r:id="rId5052" ref="E1666"/>
    <hyperlink r:id="rId5053" ref="O1666"/>
    <hyperlink r:id="rId5054" ref="B1667"/>
    <hyperlink r:id="rId5055" ref="E1667"/>
    <hyperlink r:id="rId5056" ref="O1667"/>
    <hyperlink r:id="rId5057" ref="B1668"/>
    <hyperlink r:id="rId5058" ref="E1668"/>
    <hyperlink r:id="rId5059" ref="O1668"/>
    <hyperlink r:id="rId5060" ref="B1669"/>
    <hyperlink r:id="rId5061" ref="E1669"/>
    <hyperlink r:id="rId5062" ref="O1669"/>
    <hyperlink r:id="rId5063" ref="B1670"/>
    <hyperlink r:id="rId5064" ref="E1670"/>
    <hyperlink r:id="rId5065" ref="O1670"/>
    <hyperlink r:id="rId5066" ref="B1671"/>
    <hyperlink r:id="rId5067" ref="E1671"/>
    <hyperlink r:id="rId5068" ref="O1671"/>
    <hyperlink r:id="rId5069" ref="B1672"/>
    <hyperlink r:id="rId5070" ref="E1672"/>
    <hyperlink r:id="rId5071" ref="O1672"/>
    <hyperlink r:id="rId5072" ref="B1673"/>
    <hyperlink r:id="rId5073" ref="E1673"/>
    <hyperlink r:id="rId5074" ref="O1673"/>
    <hyperlink r:id="rId5075" ref="B1674"/>
    <hyperlink r:id="rId5076" ref="E1674"/>
    <hyperlink r:id="rId5077" ref="O1674"/>
    <hyperlink r:id="rId5078" ref="B1675"/>
    <hyperlink r:id="rId5079" ref="E1675"/>
    <hyperlink r:id="rId5080" ref="O1675"/>
    <hyperlink r:id="rId5081" ref="B1676"/>
    <hyperlink r:id="rId5082" ref="E1676"/>
    <hyperlink r:id="rId5083" ref="O1676"/>
    <hyperlink r:id="rId5084" ref="B1677"/>
    <hyperlink r:id="rId5085" ref="E1677"/>
    <hyperlink r:id="rId5086" ref="O1677"/>
    <hyperlink r:id="rId5087" ref="B1678"/>
    <hyperlink r:id="rId5088" ref="E1678"/>
    <hyperlink r:id="rId5089" ref="O1678"/>
    <hyperlink r:id="rId5090" ref="B1679"/>
    <hyperlink r:id="rId5091" ref="E1679"/>
    <hyperlink r:id="rId5092" ref="O1679"/>
    <hyperlink r:id="rId5093" ref="B1680"/>
    <hyperlink r:id="rId5094" ref="E1680"/>
    <hyperlink r:id="rId5095" ref="O1680"/>
    <hyperlink r:id="rId5096" ref="B1681"/>
    <hyperlink r:id="rId5097" ref="E1681"/>
    <hyperlink r:id="rId5098" ref="O1681"/>
    <hyperlink r:id="rId5099" ref="B1682"/>
    <hyperlink r:id="rId5100" ref="E1682"/>
    <hyperlink r:id="rId5101" ref="O1682"/>
    <hyperlink r:id="rId5102" ref="B1683"/>
    <hyperlink r:id="rId5103" ref="E1683"/>
    <hyperlink r:id="rId5104" ref="O1683"/>
    <hyperlink r:id="rId5105" ref="B1684"/>
    <hyperlink r:id="rId5106" ref="E1684"/>
    <hyperlink r:id="rId5107" ref="O1684"/>
    <hyperlink r:id="rId5108" ref="B1685"/>
    <hyperlink r:id="rId5109" ref="E1685"/>
    <hyperlink r:id="rId5110" ref="O1685"/>
    <hyperlink r:id="rId5111" ref="B1686"/>
    <hyperlink r:id="rId5112" ref="E1686"/>
    <hyperlink r:id="rId5113" ref="O1686"/>
    <hyperlink r:id="rId5114" ref="B1687"/>
    <hyperlink r:id="rId5115" ref="E1687"/>
    <hyperlink r:id="rId5116" ref="O1687"/>
    <hyperlink r:id="rId5117" ref="B1688"/>
    <hyperlink r:id="rId5118" ref="E1688"/>
    <hyperlink r:id="rId5119" ref="O1688"/>
    <hyperlink r:id="rId5120" ref="B1689"/>
    <hyperlink r:id="rId5121" ref="E1689"/>
    <hyperlink r:id="rId5122" ref="O1689"/>
    <hyperlink r:id="rId5123" ref="B1690"/>
    <hyperlink r:id="rId5124" ref="E1690"/>
    <hyperlink r:id="rId5125" ref="O1690"/>
    <hyperlink r:id="rId5126" ref="B1691"/>
    <hyperlink r:id="rId5127" ref="E1691"/>
    <hyperlink r:id="rId5128" ref="O1691"/>
    <hyperlink r:id="rId5129" ref="B1692"/>
    <hyperlink r:id="rId5130" ref="E1692"/>
    <hyperlink r:id="rId5131" ref="O1692"/>
    <hyperlink r:id="rId5132" ref="B1693"/>
    <hyperlink r:id="rId5133" ref="E1693"/>
    <hyperlink r:id="rId5134" ref="O1693"/>
    <hyperlink r:id="rId5135" ref="B1694"/>
    <hyperlink r:id="rId5136" ref="E1694"/>
    <hyperlink r:id="rId5137" ref="O1694"/>
    <hyperlink r:id="rId5138" ref="B1695"/>
    <hyperlink r:id="rId5139" ref="E1695"/>
    <hyperlink r:id="rId5140" ref="O1695"/>
    <hyperlink r:id="rId5141" ref="B1696"/>
    <hyperlink r:id="rId5142" ref="E1696"/>
    <hyperlink r:id="rId5143" ref="O1696"/>
    <hyperlink r:id="rId5144" ref="B1697"/>
    <hyperlink r:id="rId5145" ref="E1697"/>
    <hyperlink r:id="rId5146" ref="O1697"/>
    <hyperlink r:id="rId5147" ref="B1698"/>
    <hyperlink r:id="rId5148" ref="E1698"/>
    <hyperlink r:id="rId5149" ref="O1698"/>
    <hyperlink r:id="rId5150" ref="B1699"/>
    <hyperlink r:id="rId5151" ref="E1699"/>
    <hyperlink r:id="rId5152" ref="O1699"/>
    <hyperlink r:id="rId5153" ref="B1700"/>
    <hyperlink r:id="rId5154" ref="E1700"/>
    <hyperlink r:id="rId5155" ref="O1700"/>
    <hyperlink r:id="rId5156" ref="B1701"/>
    <hyperlink r:id="rId5157" ref="E1701"/>
    <hyperlink r:id="rId5158" ref="O1701"/>
    <hyperlink r:id="rId5159" ref="B1702"/>
    <hyperlink r:id="rId5160" ref="E1702"/>
    <hyperlink r:id="rId5161" ref="O1702"/>
    <hyperlink r:id="rId5162" ref="B1703"/>
    <hyperlink r:id="rId5163" ref="E1703"/>
    <hyperlink r:id="rId5164" ref="O1703"/>
    <hyperlink r:id="rId5165" ref="B1704"/>
    <hyperlink r:id="rId5166" ref="E1704"/>
    <hyperlink r:id="rId5167" ref="O1704"/>
    <hyperlink r:id="rId5168" ref="B1705"/>
    <hyperlink r:id="rId5169" ref="E1705"/>
    <hyperlink r:id="rId5170" ref="O1705"/>
    <hyperlink r:id="rId5171" ref="B1706"/>
    <hyperlink r:id="rId5172" ref="E1706"/>
    <hyperlink r:id="rId5173" ref="O1706"/>
    <hyperlink r:id="rId5174" ref="B1707"/>
    <hyperlink r:id="rId5175" ref="E1707"/>
    <hyperlink r:id="rId5176" ref="O1707"/>
    <hyperlink r:id="rId5177" ref="B1708"/>
    <hyperlink r:id="rId5178" ref="E1708"/>
    <hyperlink r:id="rId5179" ref="O1708"/>
    <hyperlink r:id="rId5180" ref="B1709"/>
    <hyperlink r:id="rId5181" ref="E1709"/>
    <hyperlink r:id="rId5182" ref="O1709"/>
    <hyperlink r:id="rId5183" ref="B1710"/>
    <hyperlink r:id="rId5184" ref="E1710"/>
    <hyperlink r:id="rId5185" ref="O1710"/>
    <hyperlink r:id="rId5186" ref="B1711"/>
    <hyperlink r:id="rId5187" ref="E1711"/>
    <hyperlink r:id="rId5188" ref="O1711"/>
    <hyperlink r:id="rId5189" ref="B1712"/>
    <hyperlink r:id="rId5190" ref="E1712"/>
    <hyperlink r:id="rId5191" ref="O1712"/>
    <hyperlink r:id="rId5192" ref="B1713"/>
    <hyperlink r:id="rId5193" ref="E1713"/>
    <hyperlink r:id="rId5194" ref="O1713"/>
    <hyperlink r:id="rId5195" ref="B1714"/>
    <hyperlink r:id="rId5196" ref="E1714"/>
    <hyperlink r:id="rId5197" ref="O1714"/>
    <hyperlink r:id="rId5198" ref="B1715"/>
    <hyperlink r:id="rId5199" ref="E1715"/>
    <hyperlink r:id="rId5200" ref="O1715"/>
    <hyperlink r:id="rId5201" ref="B1716"/>
    <hyperlink r:id="rId5202" ref="E1716"/>
    <hyperlink r:id="rId5203" ref="O1716"/>
    <hyperlink r:id="rId5204" ref="B1717"/>
    <hyperlink r:id="rId5205" ref="E1717"/>
    <hyperlink r:id="rId5206" ref="O1717"/>
    <hyperlink r:id="rId5207" ref="B1718"/>
    <hyperlink r:id="rId5208" ref="E1718"/>
    <hyperlink r:id="rId5209" ref="O1718"/>
    <hyperlink r:id="rId5210" ref="B1719"/>
    <hyperlink r:id="rId5211" ref="E1719"/>
    <hyperlink r:id="rId5212" ref="O1719"/>
    <hyperlink r:id="rId5213" ref="B1720"/>
    <hyperlink r:id="rId5214" ref="E1720"/>
    <hyperlink r:id="rId5215" ref="O1720"/>
    <hyperlink r:id="rId5216" ref="B1721"/>
    <hyperlink r:id="rId5217" ref="E1721"/>
    <hyperlink r:id="rId5218" ref="O1721"/>
    <hyperlink r:id="rId5219" ref="B1722"/>
    <hyperlink r:id="rId5220" ref="E1722"/>
    <hyperlink r:id="rId5221" ref="O1722"/>
    <hyperlink r:id="rId5222" ref="B1723"/>
    <hyperlink r:id="rId5223" ref="E1723"/>
    <hyperlink r:id="rId5224" ref="O1723"/>
    <hyperlink r:id="rId5225" ref="B1724"/>
    <hyperlink r:id="rId5226" ref="E1724"/>
    <hyperlink r:id="rId5227" ref="O1724"/>
    <hyperlink r:id="rId5228" ref="B1725"/>
    <hyperlink r:id="rId5229" ref="E1725"/>
    <hyperlink r:id="rId5230" ref="O1725"/>
    <hyperlink r:id="rId5231" ref="B1726"/>
    <hyperlink r:id="rId5232" ref="E1726"/>
    <hyperlink r:id="rId5233" ref="O1726"/>
    <hyperlink r:id="rId5234" ref="B1727"/>
    <hyperlink r:id="rId5235" ref="E1727"/>
    <hyperlink r:id="rId5236" ref="O1727"/>
    <hyperlink r:id="rId5237" ref="B1728"/>
    <hyperlink r:id="rId5238" ref="E1728"/>
    <hyperlink r:id="rId5239" ref="O1728"/>
    <hyperlink r:id="rId5240" ref="B1729"/>
    <hyperlink r:id="rId5241" ref="E1729"/>
    <hyperlink r:id="rId5242" ref="O1729"/>
    <hyperlink r:id="rId5243" ref="B1730"/>
    <hyperlink r:id="rId5244" ref="E1730"/>
    <hyperlink r:id="rId5245" ref="O1730"/>
    <hyperlink r:id="rId5246" ref="B1731"/>
    <hyperlink r:id="rId5247" ref="E1731"/>
    <hyperlink r:id="rId5248" ref="O1731"/>
    <hyperlink r:id="rId5249" ref="B1732"/>
    <hyperlink r:id="rId5250" ref="E1732"/>
    <hyperlink r:id="rId5251" ref="O1732"/>
    <hyperlink r:id="rId5252" ref="B1733"/>
    <hyperlink r:id="rId5253" ref="E1733"/>
    <hyperlink r:id="rId5254" ref="O1733"/>
    <hyperlink r:id="rId5255" ref="B1734"/>
    <hyperlink r:id="rId5256" ref="E1734"/>
    <hyperlink r:id="rId5257" ref="O1734"/>
    <hyperlink r:id="rId5258" ref="B1735"/>
    <hyperlink r:id="rId5259" ref="E1735"/>
    <hyperlink r:id="rId5260" ref="O1735"/>
    <hyperlink r:id="rId5261" ref="B1736"/>
    <hyperlink r:id="rId5262" ref="E1736"/>
    <hyperlink r:id="rId5263" ref="O1736"/>
    <hyperlink r:id="rId5264" ref="B1737"/>
    <hyperlink r:id="rId5265" ref="E1737"/>
    <hyperlink r:id="rId5266" ref="O1737"/>
    <hyperlink r:id="rId5267" ref="B1738"/>
    <hyperlink r:id="rId5268" ref="E1738"/>
    <hyperlink r:id="rId5269" ref="O1738"/>
    <hyperlink r:id="rId5270" ref="B1739"/>
    <hyperlink r:id="rId5271" ref="E1739"/>
    <hyperlink r:id="rId5272" ref="O1739"/>
    <hyperlink r:id="rId5273" ref="B1740"/>
    <hyperlink r:id="rId5274" ref="E1740"/>
    <hyperlink r:id="rId5275" ref="O1740"/>
    <hyperlink r:id="rId5276" ref="B1741"/>
    <hyperlink r:id="rId5277" ref="E1741"/>
    <hyperlink r:id="rId5278" ref="O1741"/>
    <hyperlink r:id="rId5279" ref="B1742"/>
    <hyperlink r:id="rId5280" ref="E1742"/>
    <hyperlink r:id="rId5281" ref="O1742"/>
    <hyperlink r:id="rId5282" ref="B1743"/>
    <hyperlink r:id="rId5283" ref="E1743"/>
    <hyperlink r:id="rId5284" ref="O1743"/>
    <hyperlink r:id="rId5285" ref="B1744"/>
    <hyperlink r:id="rId5286" ref="E1744"/>
    <hyperlink r:id="rId5287" ref="O1744"/>
    <hyperlink r:id="rId5288" ref="B1745"/>
    <hyperlink r:id="rId5289" ref="E1745"/>
    <hyperlink r:id="rId5290" ref="O1745"/>
    <hyperlink r:id="rId5291" ref="B1746"/>
    <hyperlink r:id="rId5292" ref="E1746"/>
    <hyperlink r:id="rId5293" ref="O1746"/>
    <hyperlink r:id="rId5294" ref="B1747"/>
    <hyperlink r:id="rId5295" ref="E1747"/>
    <hyperlink r:id="rId5296" ref="O1747"/>
    <hyperlink r:id="rId5297" ref="B1748"/>
    <hyperlink r:id="rId5298" ref="E1748"/>
    <hyperlink r:id="rId5299" ref="O1748"/>
    <hyperlink r:id="rId5300" ref="B1749"/>
    <hyperlink r:id="rId5301" ref="E1749"/>
    <hyperlink r:id="rId5302" ref="O1749"/>
    <hyperlink r:id="rId5303" ref="B1750"/>
    <hyperlink r:id="rId5304" ref="E1750"/>
    <hyperlink r:id="rId5305" ref="O1750"/>
    <hyperlink r:id="rId5306" ref="B1751"/>
    <hyperlink r:id="rId5307" ref="E1751"/>
    <hyperlink r:id="rId5308" ref="O1751"/>
    <hyperlink r:id="rId5309" ref="B1752"/>
    <hyperlink r:id="rId5310" ref="E1752"/>
    <hyperlink r:id="rId5311" ref="O1752"/>
    <hyperlink r:id="rId5312" ref="B1753"/>
    <hyperlink r:id="rId5313" ref="E1753"/>
    <hyperlink r:id="rId5314" ref="O1753"/>
    <hyperlink r:id="rId5315" ref="B1754"/>
    <hyperlink r:id="rId5316" ref="E1754"/>
    <hyperlink r:id="rId5317" ref="O1754"/>
    <hyperlink r:id="rId5318" ref="B1755"/>
    <hyperlink r:id="rId5319" ref="E1755"/>
    <hyperlink r:id="rId5320" ref="O1755"/>
    <hyperlink r:id="rId5321" ref="B1756"/>
    <hyperlink r:id="rId5322" ref="E1756"/>
    <hyperlink r:id="rId5323" ref="O1756"/>
    <hyperlink r:id="rId5324" ref="B1757"/>
    <hyperlink r:id="rId5325" ref="E1757"/>
    <hyperlink r:id="rId5326" ref="O1757"/>
    <hyperlink r:id="rId5327" ref="B1758"/>
    <hyperlink r:id="rId5328" ref="E1758"/>
    <hyperlink r:id="rId5329" ref="O1758"/>
    <hyperlink r:id="rId5330" ref="B1759"/>
    <hyperlink r:id="rId5331" ref="E1759"/>
    <hyperlink r:id="rId5332" ref="O1759"/>
    <hyperlink r:id="rId5333" ref="B1760"/>
    <hyperlink r:id="rId5334" ref="E1760"/>
    <hyperlink r:id="rId5335" ref="O1760"/>
    <hyperlink r:id="rId5336" ref="B1761"/>
    <hyperlink r:id="rId5337" ref="E1761"/>
    <hyperlink r:id="rId5338" ref="O1761"/>
    <hyperlink r:id="rId5339" ref="B1762"/>
    <hyperlink r:id="rId5340" ref="E1762"/>
    <hyperlink r:id="rId5341" ref="O1762"/>
    <hyperlink r:id="rId5342" ref="B1763"/>
    <hyperlink r:id="rId5343" ref="E1763"/>
    <hyperlink r:id="rId5344" ref="O1763"/>
    <hyperlink r:id="rId5345" ref="B1764"/>
    <hyperlink r:id="rId5346" ref="E1764"/>
    <hyperlink r:id="rId5347" ref="O1764"/>
    <hyperlink r:id="rId5348" ref="B1765"/>
    <hyperlink r:id="rId5349" ref="E1765"/>
    <hyperlink r:id="rId5350" ref="O1765"/>
    <hyperlink r:id="rId5351" ref="B1766"/>
    <hyperlink r:id="rId5352" ref="E1766"/>
    <hyperlink r:id="rId5353" ref="O1766"/>
    <hyperlink r:id="rId5354" ref="B1767"/>
    <hyperlink r:id="rId5355" ref="E1767"/>
    <hyperlink r:id="rId5356" ref="O1767"/>
    <hyperlink r:id="rId5357" ref="B1768"/>
    <hyperlink r:id="rId5358" ref="E1768"/>
    <hyperlink r:id="rId5359" ref="O1768"/>
    <hyperlink r:id="rId5360" ref="B1769"/>
    <hyperlink r:id="rId5361" ref="E1769"/>
    <hyperlink r:id="rId5362" ref="O1769"/>
    <hyperlink r:id="rId5363" ref="B1770"/>
    <hyperlink r:id="rId5364" ref="E1770"/>
    <hyperlink r:id="rId5365" ref="O1770"/>
    <hyperlink r:id="rId5366" ref="B1771"/>
    <hyperlink r:id="rId5367" ref="E1771"/>
    <hyperlink r:id="rId5368" ref="O1771"/>
    <hyperlink r:id="rId5369" ref="B1772"/>
    <hyperlink r:id="rId5370" ref="E1772"/>
    <hyperlink r:id="rId5371" ref="O1772"/>
    <hyperlink r:id="rId5372" ref="B1773"/>
    <hyperlink r:id="rId5373" ref="E1773"/>
    <hyperlink r:id="rId5374" ref="O1773"/>
    <hyperlink r:id="rId5375" ref="B1774"/>
    <hyperlink r:id="rId5376" ref="E1774"/>
    <hyperlink r:id="rId5377" ref="O1774"/>
    <hyperlink r:id="rId5378" ref="B1775"/>
    <hyperlink r:id="rId5379" ref="E1775"/>
    <hyperlink r:id="rId5380" ref="O1775"/>
    <hyperlink r:id="rId5381" ref="B1776"/>
    <hyperlink r:id="rId5382" ref="E1776"/>
    <hyperlink r:id="rId5383" ref="O1776"/>
    <hyperlink r:id="rId5384" ref="B1777"/>
    <hyperlink r:id="rId5385" ref="E1777"/>
    <hyperlink r:id="rId5386" ref="O1777"/>
    <hyperlink r:id="rId5387" ref="B1778"/>
    <hyperlink r:id="rId5388" ref="E1778"/>
    <hyperlink r:id="rId5389" ref="O1778"/>
    <hyperlink r:id="rId5390" ref="B1779"/>
    <hyperlink r:id="rId5391" ref="E1779"/>
    <hyperlink r:id="rId5392" ref="O1779"/>
    <hyperlink r:id="rId5393" ref="B1780"/>
    <hyperlink r:id="rId5394" ref="E1780"/>
    <hyperlink r:id="rId5395" ref="O1780"/>
    <hyperlink r:id="rId5396" ref="B1781"/>
    <hyperlink r:id="rId5397" ref="E1781"/>
    <hyperlink r:id="rId5398" ref="O1781"/>
    <hyperlink r:id="rId5399" ref="B1782"/>
    <hyperlink r:id="rId5400" ref="E1782"/>
    <hyperlink r:id="rId5401" ref="O1782"/>
    <hyperlink r:id="rId5402" ref="B1783"/>
    <hyperlink r:id="rId5403" ref="E1783"/>
    <hyperlink r:id="rId5404" ref="O1783"/>
    <hyperlink r:id="rId5405" ref="B1784"/>
    <hyperlink r:id="rId5406" ref="E1784"/>
    <hyperlink r:id="rId5407" ref="O1784"/>
    <hyperlink r:id="rId5408" ref="B1785"/>
    <hyperlink r:id="rId5409" ref="E1785"/>
    <hyperlink r:id="rId5410" ref="O1785"/>
    <hyperlink r:id="rId5411" ref="B1786"/>
    <hyperlink r:id="rId5412" ref="E1786"/>
    <hyperlink r:id="rId5413" ref="O1786"/>
    <hyperlink r:id="rId5414" ref="B1787"/>
    <hyperlink r:id="rId5415" ref="E1787"/>
    <hyperlink r:id="rId5416" ref="O1787"/>
    <hyperlink r:id="rId5417" ref="B1788"/>
    <hyperlink r:id="rId5418" ref="E1788"/>
    <hyperlink r:id="rId5419" ref="O1788"/>
    <hyperlink r:id="rId5420" ref="B1789"/>
    <hyperlink r:id="rId5421" ref="E1789"/>
    <hyperlink r:id="rId5422" ref="O1789"/>
    <hyperlink r:id="rId5423" ref="B1790"/>
    <hyperlink r:id="rId5424" ref="E1790"/>
    <hyperlink r:id="rId5425" ref="O1790"/>
    <hyperlink r:id="rId5426" ref="B1791"/>
    <hyperlink r:id="rId5427" ref="E1791"/>
    <hyperlink r:id="rId5428" ref="O1791"/>
    <hyperlink r:id="rId5429" ref="B1792"/>
    <hyperlink r:id="rId5430" ref="E1792"/>
    <hyperlink r:id="rId5431" ref="O1792"/>
    <hyperlink r:id="rId5432" ref="B1793"/>
    <hyperlink r:id="rId5433" ref="E1793"/>
    <hyperlink r:id="rId5434" ref="O1793"/>
    <hyperlink r:id="rId5435" ref="B1794"/>
    <hyperlink r:id="rId5436" ref="E1794"/>
    <hyperlink r:id="rId5437" ref="O1794"/>
    <hyperlink r:id="rId5438" ref="B1795"/>
    <hyperlink r:id="rId5439" ref="E1795"/>
    <hyperlink r:id="rId5440" ref="O1795"/>
    <hyperlink r:id="rId5441" ref="B1796"/>
    <hyperlink r:id="rId5442" ref="E1796"/>
    <hyperlink r:id="rId5443" ref="O1796"/>
    <hyperlink r:id="rId5444" ref="B1797"/>
    <hyperlink r:id="rId5445" ref="E1797"/>
    <hyperlink r:id="rId5446" ref="O1797"/>
    <hyperlink r:id="rId5447" ref="B1798"/>
    <hyperlink r:id="rId5448" ref="E1798"/>
    <hyperlink r:id="rId5449" ref="O1798"/>
    <hyperlink r:id="rId5450" ref="B1799"/>
    <hyperlink r:id="rId5451" ref="E1799"/>
    <hyperlink r:id="rId5452" ref="O1799"/>
    <hyperlink r:id="rId5453" ref="B1800"/>
    <hyperlink r:id="rId5454" ref="E1800"/>
    <hyperlink r:id="rId5455" ref="O1800"/>
    <hyperlink r:id="rId5456" ref="B1801"/>
    <hyperlink r:id="rId5457" ref="E1801"/>
    <hyperlink r:id="rId5458" ref="O1801"/>
    <hyperlink r:id="rId5459" ref="B1802"/>
    <hyperlink r:id="rId5460" ref="E1802"/>
    <hyperlink r:id="rId5461" ref="O1802"/>
    <hyperlink r:id="rId5462" ref="B1803"/>
    <hyperlink r:id="rId5463" ref="E1803"/>
    <hyperlink r:id="rId5464" ref="O1803"/>
    <hyperlink r:id="rId5465" ref="B1804"/>
    <hyperlink r:id="rId5466" ref="E1804"/>
    <hyperlink r:id="rId5467" ref="O1804"/>
    <hyperlink r:id="rId5468" ref="B1805"/>
    <hyperlink r:id="rId5469" ref="E1805"/>
    <hyperlink r:id="rId5470" ref="O1805"/>
    <hyperlink r:id="rId5471" ref="B1806"/>
    <hyperlink r:id="rId5472" ref="E1806"/>
    <hyperlink r:id="rId5473" ref="O1806"/>
    <hyperlink r:id="rId5474" ref="B1807"/>
    <hyperlink r:id="rId5475" ref="E1807"/>
    <hyperlink r:id="rId5476" ref="O1807"/>
    <hyperlink r:id="rId5477" ref="B1808"/>
    <hyperlink r:id="rId5478" ref="E1808"/>
    <hyperlink r:id="rId5479" ref="O1808"/>
    <hyperlink r:id="rId5480" ref="B1809"/>
    <hyperlink r:id="rId5481" ref="E1809"/>
    <hyperlink r:id="rId5482" ref="O1809"/>
    <hyperlink r:id="rId5483" ref="B1810"/>
    <hyperlink r:id="rId5484" ref="E1810"/>
    <hyperlink r:id="rId5485" ref="O1810"/>
    <hyperlink r:id="rId5486" ref="B1811"/>
    <hyperlink r:id="rId5487" ref="E1811"/>
    <hyperlink r:id="rId5488" ref="O1811"/>
    <hyperlink r:id="rId5489" ref="B1812"/>
    <hyperlink r:id="rId5490" ref="E1812"/>
    <hyperlink r:id="rId5491" ref="O1812"/>
    <hyperlink r:id="rId5492" ref="B1813"/>
    <hyperlink r:id="rId5493" ref="E1813"/>
    <hyperlink r:id="rId5494" ref="O1813"/>
    <hyperlink r:id="rId5495" ref="B1814"/>
    <hyperlink r:id="rId5496" ref="E1814"/>
    <hyperlink r:id="rId5497" ref="O1814"/>
    <hyperlink r:id="rId5498" ref="B1815"/>
    <hyperlink r:id="rId5499" ref="E1815"/>
    <hyperlink r:id="rId5500" ref="O1815"/>
    <hyperlink r:id="rId5501" ref="B1816"/>
    <hyperlink r:id="rId5502" ref="E1816"/>
    <hyperlink r:id="rId5503" ref="O1816"/>
    <hyperlink r:id="rId5504" ref="B1817"/>
    <hyperlink r:id="rId5505" ref="E1817"/>
    <hyperlink r:id="rId5506" ref="O1817"/>
    <hyperlink r:id="rId5507" ref="B1818"/>
    <hyperlink r:id="rId5508" ref="E1818"/>
    <hyperlink r:id="rId5509" ref="O1818"/>
    <hyperlink r:id="rId5510" ref="B1819"/>
    <hyperlink r:id="rId5511" ref="E1819"/>
    <hyperlink r:id="rId5512" ref="O1819"/>
    <hyperlink r:id="rId5513" ref="B1820"/>
    <hyperlink r:id="rId5514" ref="E1820"/>
    <hyperlink r:id="rId5515" ref="O1820"/>
    <hyperlink r:id="rId5516" ref="B1821"/>
    <hyperlink r:id="rId5517" ref="E1821"/>
    <hyperlink r:id="rId5518" ref="O1821"/>
    <hyperlink r:id="rId5519" ref="B1822"/>
    <hyperlink r:id="rId5520" ref="E1822"/>
    <hyperlink r:id="rId5521" ref="O1822"/>
    <hyperlink r:id="rId5522" ref="B1823"/>
    <hyperlink r:id="rId5523" ref="E1823"/>
    <hyperlink r:id="rId5524" ref="O1823"/>
    <hyperlink r:id="rId5525" ref="B1824"/>
    <hyperlink r:id="rId5526" ref="E1824"/>
    <hyperlink r:id="rId5527" ref="O1824"/>
    <hyperlink r:id="rId5528" ref="B1825"/>
    <hyperlink r:id="rId5529" ref="E1825"/>
    <hyperlink r:id="rId5530" ref="O1825"/>
    <hyperlink r:id="rId5531" ref="B1826"/>
    <hyperlink r:id="rId5532" ref="E1826"/>
    <hyperlink r:id="rId5533" ref="O1826"/>
    <hyperlink r:id="rId5534" ref="B1827"/>
    <hyperlink r:id="rId5535" ref="E1827"/>
    <hyperlink r:id="rId5536" ref="F1827"/>
    <hyperlink r:id="rId5537" ref="O1827"/>
    <hyperlink r:id="rId5538" ref="B1828"/>
    <hyperlink r:id="rId5539" ref="E1828"/>
    <hyperlink r:id="rId5540" ref="F1828"/>
    <hyperlink r:id="rId5541" ref="O1828"/>
    <hyperlink r:id="rId5542" ref="B1829"/>
    <hyperlink r:id="rId5543" ref="E1829"/>
    <hyperlink r:id="rId5544" ref="O1829"/>
    <hyperlink r:id="rId5545" ref="B1830"/>
    <hyperlink r:id="rId5546" ref="E1830"/>
    <hyperlink r:id="rId5547" ref="O1830"/>
    <hyperlink r:id="rId5548" ref="B1831"/>
    <hyperlink r:id="rId5549" ref="E1831"/>
    <hyperlink r:id="rId5550" ref="O1831"/>
    <hyperlink r:id="rId5551" ref="B1832"/>
    <hyperlink r:id="rId5552" ref="E1832"/>
    <hyperlink r:id="rId5553" ref="O1832"/>
    <hyperlink r:id="rId5554" ref="B1833"/>
    <hyperlink r:id="rId5555" ref="E1833"/>
    <hyperlink r:id="rId5556" ref="O1833"/>
    <hyperlink r:id="rId5557" ref="B1834"/>
    <hyperlink r:id="rId5558" ref="E1834"/>
    <hyperlink r:id="rId5559" ref="O1834"/>
    <hyperlink r:id="rId5560" ref="B1835"/>
    <hyperlink r:id="rId5561" ref="E1835"/>
    <hyperlink r:id="rId5562" ref="O1835"/>
    <hyperlink r:id="rId5563" ref="B1836"/>
    <hyperlink r:id="rId5564" ref="E1836"/>
    <hyperlink r:id="rId5565" ref="O1836"/>
    <hyperlink r:id="rId5566" ref="B1837"/>
    <hyperlink r:id="rId5567" ref="E1837"/>
    <hyperlink r:id="rId5568" ref="F1837"/>
    <hyperlink r:id="rId5569" ref="O1837"/>
    <hyperlink r:id="rId5570" ref="B1838"/>
    <hyperlink r:id="rId5571" ref="E1838"/>
    <hyperlink r:id="rId5572" ref="O1838"/>
    <hyperlink r:id="rId5573" ref="B1839"/>
    <hyperlink r:id="rId5574" ref="E1839"/>
    <hyperlink r:id="rId5575" ref="O1839"/>
    <hyperlink r:id="rId5576" ref="B1840"/>
    <hyperlink r:id="rId5577" ref="E1840"/>
    <hyperlink r:id="rId5578" ref="O1840"/>
    <hyperlink r:id="rId5579" ref="B1841"/>
    <hyperlink r:id="rId5580" ref="E1841"/>
    <hyperlink r:id="rId5581" ref="O1841"/>
    <hyperlink r:id="rId5582" ref="B1842"/>
    <hyperlink r:id="rId5583" ref="E1842"/>
    <hyperlink r:id="rId5584" ref="F1842"/>
    <hyperlink r:id="rId5585" ref="O1842"/>
    <hyperlink r:id="rId5586" ref="B1843"/>
    <hyperlink r:id="rId5587" ref="E1843"/>
    <hyperlink r:id="rId5588" ref="F1843"/>
    <hyperlink r:id="rId5589" ref="O1843"/>
    <hyperlink r:id="rId5590" ref="B1844"/>
    <hyperlink r:id="rId5591" ref="E1844"/>
    <hyperlink r:id="rId5592" ref="O1844"/>
    <hyperlink r:id="rId5593" ref="B1845"/>
    <hyperlink r:id="rId5594" ref="E1845"/>
    <hyperlink r:id="rId5595" ref="O1845"/>
    <hyperlink r:id="rId5596" ref="B1846"/>
    <hyperlink r:id="rId5597" ref="E1846"/>
    <hyperlink r:id="rId5598" ref="O1846"/>
    <hyperlink r:id="rId5599" ref="B1847"/>
    <hyperlink r:id="rId5600" ref="E1847"/>
    <hyperlink r:id="rId5601" ref="O1847"/>
    <hyperlink r:id="rId5602" ref="B1848"/>
    <hyperlink r:id="rId5603" ref="E1848"/>
    <hyperlink r:id="rId5604" ref="O1848"/>
    <hyperlink r:id="rId5605" ref="B1849"/>
    <hyperlink r:id="rId5606" ref="E1849"/>
    <hyperlink r:id="rId5607" ref="O1849"/>
    <hyperlink r:id="rId5608" ref="B1850"/>
    <hyperlink r:id="rId5609" ref="E1850"/>
    <hyperlink r:id="rId5610" ref="O1850"/>
    <hyperlink r:id="rId5611" ref="B1851"/>
    <hyperlink r:id="rId5612" ref="E1851"/>
    <hyperlink r:id="rId5613" ref="O1851"/>
    <hyperlink r:id="rId5614" ref="B1852"/>
    <hyperlink r:id="rId5615" ref="E1852"/>
    <hyperlink r:id="rId5616" ref="O1852"/>
    <hyperlink r:id="rId5617" ref="B1853"/>
    <hyperlink r:id="rId5618" ref="E1853"/>
    <hyperlink r:id="rId5619" ref="F1853"/>
    <hyperlink r:id="rId5620" ref="O1853"/>
    <hyperlink r:id="rId5621" ref="B1854"/>
    <hyperlink r:id="rId5622" ref="E1854"/>
    <hyperlink r:id="rId5623" ref="F1854"/>
    <hyperlink r:id="rId5624" ref="O1854"/>
    <hyperlink r:id="rId5625" ref="B1855"/>
    <hyperlink r:id="rId5626" ref="E1855"/>
    <hyperlink r:id="rId5627" ref="F1855"/>
    <hyperlink r:id="rId5628" ref="O1855"/>
    <hyperlink r:id="rId5629" ref="B1856"/>
    <hyperlink r:id="rId5630" ref="E1856"/>
    <hyperlink r:id="rId5631" ref="O1856"/>
    <hyperlink r:id="rId5632" ref="B1857"/>
    <hyperlink r:id="rId5633" ref="E1857"/>
    <hyperlink r:id="rId5634" ref="O1857"/>
    <hyperlink r:id="rId5635" ref="B1858"/>
    <hyperlink r:id="rId5636" ref="E1858"/>
    <hyperlink r:id="rId5637" ref="O1858"/>
    <hyperlink r:id="rId5638" ref="B1859"/>
    <hyperlink r:id="rId5639" ref="E1859"/>
    <hyperlink r:id="rId5640" ref="O1859"/>
    <hyperlink r:id="rId5641" ref="B1860"/>
    <hyperlink r:id="rId5642" ref="E1860"/>
    <hyperlink r:id="rId5643" ref="O1860"/>
    <hyperlink r:id="rId5644" ref="B1861"/>
    <hyperlink r:id="rId5645" ref="E1861"/>
    <hyperlink r:id="rId5646" ref="O1861"/>
    <hyperlink r:id="rId5647" ref="B1862"/>
    <hyperlink r:id="rId5648" ref="E1862"/>
    <hyperlink r:id="rId5649" ref="O1862"/>
    <hyperlink r:id="rId5650" ref="B1863"/>
    <hyperlink r:id="rId5651" ref="E1863"/>
    <hyperlink r:id="rId5652" ref="O1863"/>
    <hyperlink r:id="rId5653" ref="B1864"/>
    <hyperlink r:id="rId5654" ref="E1864"/>
    <hyperlink r:id="rId5655" ref="O1864"/>
    <hyperlink r:id="rId5656" ref="B1865"/>
    <hyperlink r:id="rId5657" ref="E1865"/>
    <hyperlink r:id="rId5658" ref="O1865"/>
    <hyperlink r:id="rId5659" ref="B1866"/>
    <hyperlink r:id="rId5660" ref="E1866"/>
    <hyperlink r:id="rId5661" ref="O1866"/>
    <hyperlink r:id="rId5662" ref="B1867"/>
    <hyperlink r:id="rId5663" ref="E1867"/>
    <hyperlink r:id="rId5664" ref="O1867"/>
    <hyperlink r:id="rId5665" ref="B1868"/>
    <hyperlink r:id="rId5666" ref="E1868"/>
    <hyperlink r:id="rId5667" ref="O1868"/>
    <hyperlink r:id="rId5668" ref="B1869"/>
    <hyperlink r:id="rId5669" ref="E1869"/>
    <hyperlink r:id="rId5670" ref="O1869"/>
    <hyperlink r:id="rId5671" ref="B1870"/>
    <hyperlink r:id="rId5672" ref="E1870"/>
    <hyperlink r:id="rId5673" ref="O1870"/>
    <hyperlink r:id="rId5674" ref="B1871"/>
    <hyperlink r:id="rId5675" ref="E1871"/>
    <hyperlink r:id="rId5676" ref="O1871"/>
    <hyperlink r:id="rId5677" ref="B1872"/>
    <hyperlink r:id="rId5678" ref="E1872"/>
    <hyperlink r:id="rId5679" ref="O1872"/>
    <hyperlink r:id="rId5680" ref="B1873"/>
    <hyperlink r:id="rId5681" ref="E1873"/>
    <hyperlink r:id="rId5682" ref="O1873"/>
    <hyperlink r:id="rId5683" ref="B1874"/>
    <hyperlink r:id="rId5684" ref="E1874"/>
    <hyperlink r:id="rId5685" ref="O1874"/>
    <hyperlink r:id="rId5686" ref="B1875"/>
    <hyperlink r:id="rId5687" ref="E1875"/>
    <hyperlink r:id="rId5688" ref="O1875"/>
    <hyperlink r:id="rId5689" ref="B1876"/>
    <hyperlink r:id="rId5690" ref="E1876"/>
    <hyperlink r:id="rId5691" ref="O1876"/>
    <hyperlink r:id="rId5692" ref="B1877"/>
    <hyperlink r:id="rId5693" ref="E1877"/>
    <hyperlink r:id="rId5694" ref="O1877"/>
    <hyperlink r:id="rId5695" ref="B1878"/>
    <hyperlink r:id="rId5696" ref="E1878"/>
    <hyperlink r:id="rId5697" ref="O1878"/>
    <hyperlink r:id="rId5698" ref="B1879"/>
    <hyperlink r:id="rId5699" ref="E1879"/>
    <hyperlink r:id="rId5700" ref="O1879"/>
    <hyperlink r:id="rId5701" ref="B1880"/>
    <hyperlink r:id="rId5702" ref="E1880"/>
    <hyperlink r:id="rId5703" ref="O1880"/>
    <hyperlink r:id="rId5704" ref="B1881"/>
    <hyperlink r:id="rId5705" ref="E1881"/>
    <hyperlink r:id="rId5706" ref="O1881"/>
    <hyperlink r:id="rId5707" ref="B1882"/>
    <hyperlink r:id="rId5708" ref="E1882"/>
    <hyperlink r:id="rId5709" ref="O1882"/>
    <hyperlink r:id="rId5710" ref="B1883"/>
    <hyperlink r:id="rId5711" ref="E1883"/>
    <hyperlink r:id="rId5712" ref="O1883"/>
    <hyperlink r:id="rId5713" ref="B1884"/>
    <hyperlink r:id="rId5714" ref="E1884"/>
    <hyperlink r:id="rId5715" ref="O1884"/>
    <hyperlink r:id="rId5716" ref="B1885"/>
    <hyperlink r:id="rId5717" ref="E1885"/>
    <hyperlink r:id="rId5718" ref="O1885"/>
    <hyperlink r:id="rId5719" ref="B1886"/>
    <hyperlink r:id="rId5720" ref="E1886"/>
    <hyperlink r:id="rId5721" ref="O1886"/>
    <hyperlink r:id="rId5722" ref="B1887"/>
    <hyperlink r:id="rId5723" ref="E1887"/>
    <hyperlink r:id="rId5724" ref="O1887"/>
    <hyperlink r:id="rId5725" ref="B1888"/>
    <hyperlink r:id="rId5726" ref="E1888"/>
    <hyperlink r:id="rId5727" ref="O1888"/>
    <hyperlink r:id="rId5728" ref="B1889"/>
    <hyperlink r:id="rId5729" ref="E1889"/>
    <hyperlink r:id="rId5730" ref="O1889"/>
    <hyperlink r:id="rId5731" ref="B1890"/>
    <hyperlink r:id="rId5732" ref="E1890"/>
    <hyperlink r:id="rId5733" ref="O1890"/>
    <hyperlink r:id="rId5734" ref="B1891"/>
    <hyperlink r:id="rId5735" ref="E1891"/>
    <hyperlink r:id="rId5736" ref="O1891"/>
    <hyperlink r:id="rId5737" ref="B1892"/>
    <hyperlink r:id="rId5738" ref="E1892"/>
    <hyperlink r:id="rId5739" ref="F1892"/>
    <hyperlink r:id="rId5740" ref="O1892"/>
    <hyperlink r:id="rId5741" ref="B1893"/>
    <hyperlink r:id="rId5742" ref="E1893"/>
    <hyperlink r:id="rId5743" ref="O1893"/>
    <hyperlink r:id="rId5744" ref="B1894"/>
    <hyperlink r:id="rId5745" ref="E1894"/>
    <hyperlink r:id="rId5746" ref="O1894"/>
    <hyperlink r:id="rId5747" ref="B1895"/>
    <hyperlink r:id="rId5748" ref="E1895"/>
    <hyperlink r:id="rId5749" ref="O1895"/>
    <hyperlink r:id="rId5750" ref="B1896"/>
    <hyperlink r:id="rId5751" ref="E1896"/>
    <hyperlink r:id="rId5752" ref="O1896"/>
    <hyperlink r:id="rId5753" ref="B1897"/>
    <hyperlink r:id="rId5754" ref="E1897"/>
    <hyperlink r:id="rId5755" ref="O1897"/>
    <hyperlink r:id="rId5756" ref="B1898"/>
    <hyperlink r:id="rId5757" ref="E1898"/>
    <hyperlink r:id="rId5758" ref="O1898"/>
    <hyperlink r:id="rId5759" ref="B1899"/>
    <hyperlink r:id="rId5760" ref="E1899"/>
    <hyperlink r:id="rId5761" ref="O1899"/>
    <hyperlink r:id="rId5762" ref="B1900"/>
    <hyperlink r:id="rId5763" ref="E1900"/>
    <hyperlink r:id="rId5764" ref="O1900"/>
    <hyperlink r:id="rId5765" ref="B1901"/>
    <hyperlink r:id="rId5766" ref="E1901"/>
    <hyperlink r:id="rId5767" ref="O1901"/>
    <hyperlink r:id="rId5768" ref="B1902"/>
    <hyperlink r:id="rId5769" ref="E1902"/>
    <hyperlink r:id="rId5770" ref="O1902"/>
    <hyperlink r:id="rId5771" ref="B1903"/>
    <hyperlink r:id="rId5772" ref="E1903"/>
    <hyperlink r:id="rId5773" ref="O1903"/>
    <hyperlink r:id="rId5774" ref="B1904"/>
    <hyperlink r:id="rId5775" ref="E1904"/>
    <hyperlink r:id="rId5776" ref="O1904"/>
    <hyperlink r:id="rId5777" ref="B1905"/>
    <hyperlink r:id="rId5778" ref="E1905"/>
    <hyperlink r:id="rId5779" ref="O1905"/>
    <hyperlink r:id="rId5780" ref="B1906"/>
    <hyperlink r:id="rId5781" ref="E1906"/>
    <hyperlink r:id="rId5782" ref="O1906"/>
    <hyperlink r:id="rId5783" ref="B1907"/>
    <hyperlink r:id="rId5784" ref="E1907"/>
    <hyperlink r:id="rId5785" ref="O1907"/>
    <hyperlink r:id="rId5786" ref="B1908"/>
    <hyperlink r:id="rId5787" ref="E1908"/>
    <hyperlink r:id="rId5788" ref="O1908"/>
    <hyperlink r:id="rId5789" ref="B1909"/>
    <hyperlink r:id="rId5790" ref="E1909"/>
    <hyperlink r:id="rId5791" ref="O1909"/>
    <hyperlink r:id="rId5792" ref="B1910"/>
    <hyperlink r:id="rId5793" ref="E1910"/>
    <hyperlink r:id="rId5794" ref="O1910"/>
    <hyperlink r:id="rId5795" ref="B1911"/>
    <hyperlink r:id="rId5796" ref="E1911"/>
    <hyperlink r:id="rId5797" ref="O1911"/>
    <hyperlink r:id="rId5798" ref="B1912"/>
    <hyperlink r:id="rId5799" ref="E1912"/>
    <hyperlink r:id="rId5800" ref="O1912"/>
    <hyperlink r:id="rId5801" ref="B1913"/>
    <hyperlink r:id="rId5802" ref="E1913"/>
    <hyperlink r:id="rId5803" ref="O1913"/>
    <hyperlink r:id="rId5804" ref="B1914"/>
    <hyperlink r:id="rId5805" ref="E1914"/>
    <hyperlink r:id="rId5806" ref="O1914"/>
    <hyperlink r:id="rId5807" ref="B1915"/>
    <hyperlink r:id="rId5808" ref="E1915"/>
    <hyperlink r:id="rId5809" ref="O1915"/>
    <hyperlink r:id="rId5810" ref="B1916"/>
    <hyperlink r:id="rId5811" ref="E1916"/>
    <hyperlink r:id="rId5812" ref="O1916"/>
    <hyperlink r:id="rId5813" ref="B1917"/>
    <hyperlink r:id="rId5814" ref="E1917"/>
    <hyperlink r:id="rId5815" ref="O1917"/>
    <hyperlink r:id="rId5816" ref="B1918"/>
    <hyperlink r:id="rId5817" ref="E1918"/>
    <hyperlink r:id="rId5818" ref="O1918"/>
    <hyperlink r:id="rId5819" ref="B1919"/>
    <hyperlink r:id="rId5820" ref="E1919"/>
    <hyperlink r:id="rId5821" ref="O1919"/>
    <hyperlink r:id="rId5822" ref="B1920"/>
    <hyperlink r:id="rId5823" ref="E1920"/>
    <hyperlink r:id="rId5824" ref="O1920"/>
    <hyperlink r:id="rId5825" ref="B1921"/>
    <hyperlink r:id="rId5826" ref="E1921"/>
    <hyperlink r:id="rId5827" ref="O1921"/>
    <hyperlink r:id="rId5828" ref="B1922"/>
    <hyperlink r:id="rId5829" ref="E1922"/>
    <hyperlink r:id="rId5830" ref="O1922"/>
    <hyperlink r:id="rId5831" ref="B1923"/>
    <hyperlink r:id="rId5832" ref="E1923"/>
    <hyperlink r:id="rId5833" ref="M1923"/>
    <hyperlink r:id="rId5834" ref="O1923"/>
    <hyperlink r:id="rId5835" ref="B1924"/>
    <hyperlink r:id="rId5836" ref="E1924"/>
    <hyperlink r:id="rId5837" ref="O1924"/>
    <hyperlink r:id="rId5838" ref="B1925"/>
    <hyperlink r:id="rId5839" ref="E1925"/>
    <hyperlink r:id="rId5840" ref="O1925"/>
    <hyperlink r:id="rId5841" ref="B1926"/>
    <hyperlink r:id="rId5842" ref="E1926"/>
    <hyperlink r:id="rId5843" ref="O1926"/>
    <hyperlink r:id="rId5844" ref="B1927"/>
    <hyperlink r:id="rId5845" ref="E1927"/>
    <hyperlink r:id="rId5846" ref="O1927"/>
    <hyperlink r:id="rId5847" ref="B1928"/>
    <hyperlink r:id="rId5848" ref="E1928"/>
    <hyperlink r:id="rId5849" ref="O1928"/>
    <hyperlink r:id="rId5850" ref="B1929"/>
    <hyperlink r:id="rId5851" ref="E1929"/>
    <hyperlink r:id="rId5852" ref="O1929"/>
    <hyperlink r:id="rId5853" ref="B1930"/>
    <hyperlink r:id="rId5854" ref="E1930"/>
    <hyperlink r:id="rId5855" ref="O1930"/>
    <hyperlink r:id="rId5856" ref="B1931"/>
    <hyperlink r:id="rId5857" ref="E1931"/>
    <hyperlink r:id="rId5858" ref="O1931"/>
    <hyperlink r:id="rId5859" ref="B1932"/>
    <hyperlink r:id="rId5860" ref="E1932"/>
    <hyperlink r:id="rId5861" ref="O1932"/>
    <hyperlink r:id="rId5862" ref="B1933"/>
    <hyperlink r:id="rId5863" ref="E1933"/>
    <hyperlink r:id="rId5864" ref="O1933"/>
    <hyperlink r:id="rId5865" ref="B1934"/>
    <hyperlink r:id="rId5866" ref="E1934"/>
    <hyperlink r:id="rId5867" ref="O1934"/>
    <hyperlink r:id="rId5868" ref="B1935"/>
    <hyperlink r:id="rId5869" ref="E1935"/>
    <hyperlink r:id="rId5870" ref="O1935"/>
    <hyperlink r:id="rId5871" ref="B1936"/>
    <hyperlink r:id="rId5872" ref="E1936"/>
    <hyperlink r:id="rId5873" ref="O1936"/>
    <hyperlink r:id="rId5874" ref="B1937"/>
    <hyperlink r:id="rId5875" ref="E1937"/>
    <hyperlink r:id="rId5876" ref="O1937"/>
    <hyperlink r:id="rId5877" ref="B1938"/>
    <hyperlink r:id="rId5878" ref="E1938"/>
    <hyperlink r:id="rId5879" ref="O1938"/>
    <hyperlink r:id="rId5880" ref="B1939"/>
    <hyperlink r:id="rId5881" ref="E1939"/>
    <hyperlink r:id="rId5882" ref="O1939"/>
    <hyperlink r:id="rId5883" ref="B1940"/>
    <hyperlink r:id="rId5884" ref="E1940"/>
    <hyperlink r:id="rId5885" ref="O1940"/>
    <hyperlink r:id="rId5886" ref="B1941"/>
    <hyperlink r:id="rId5887" ref="E1941"/>
    <hyperlink r:id="rId5888" ref="O1941"/>
    <hyperlink r:id="rId5889" ref="B1942"/>
    <hyperlink r:id="rId5890" ref="E1942"/>
    <hyperlink r:id="rId5891" ref="O1942"/>
    <hyperlink r:id="rId5892" ref="B1943"/>
    <hyperlink r:id="rId5893" ref="E1943"/>
    <hyperlink r:id="rId5894" ref="O1943"/>
    <hyperlink r:id="rId5895" ref="B1944"/>
    <hyperlink r:id="rId5896" ref="E1944"/>
    <hyperlink r:id="rId5897" ref="O1944"/>
    <hyperlink r:id="rId5898" ref="B1945"/>
    <hyperlink r:id="rId5899" ref="E1945"/>
    <hyperlink r:id="rId5900" ref="O1945"/>
    <hyperlink r:id="rId5901" ref="B1946"/>
    <hyperlink r:id="rId5902" ref="E1946"/>
    <hyperlink r:id="rId5903" ref="O1946"/>
    <hyperlink r:id="rId5904" ref="B1947"/>
    <hyperlink r:id="rId5905" ref="E1947"/>
    <hyperlink r:id="rId5906" ref="O1947"/>
    <hyperlink r:id="rId5907" ref="B1948"/>
    <hyperlink r:id="rId5908" ref="E1948"/>
    <hyperlink r:id="rId5909" ref="O1948"/>
    <hyperlink r:id="rId5910" ref="B1949"/>
    <hyperlink r:id="rId5911" ref="E1949"/>
    <hyperlink r:id="rId5912" ref="O1949"/>
    <hyperlink r:id="rId5913" ref="B1950"/>
    <hyperlink r:id="rId5914" ref="E1950"/>
    <hyperlink r:id="rId5915" ref="O1950"/>
    <hyperlink r:id="rId5916" ref="B1951"/>
    <hyperlink r:id="rId5917" ref="E1951"/>
    <hyperlink r:id="rId5918" ref="O1951"/>
    <hyperlink r:id="rId5919" ref="B1952"/>
    <hyperlink r:id="rId5920" ref="E1952"/>
    <hyperlink r:id="rId5921" ref="O1952"/>
    <hyperlink r:id="rId5922" ref="B1953"/>
    <hyperlink r:id="rId5923" ref="E1953"/>
    <hyperlink r:id="rId5924" ref="O1953"/>
    <hyperlink r:id="rId5925" ref="B1954"/>
    <hyperlink r:id="rId5926" ref="E1954"/>
    <hyperlink r:id="rId5927" ref="O1954"/>
    <hyperlink r:id="rId5928" ref="B1955"/>
    <hyperlink r:id="rId5929" ref="C1955"/>
    <hyperlink r:id="rId5930" ref="E1955"/>
    <hyperlink r:id="rId5931" ref="O1955"/>
    <hyperlink r:id="rId5932" ref="B1956"/>
    <hyperlink r:id="rId5933" ref="E1956"/>
    <hyperlink r:id="rId5934" ref="O1956"/>
    <hyperlink r:id="rId5935" ref="B1957"/>
    <hyperlink r:id="rId5936" ref="E1957"/>
    <hyperlink r:id="rId5937" ref="O1957"/>
    <hyperlink r:id="rId5938" ref="B1958"/>
    <hyperlink r:id="rId5939" ref="E1958"/>
    <hyperlink r:id="rId5940" ref="O1958"/>
    <hyperlink r:id="rId5941" ref="B1959"/>
    <hyperlink r:id="rId5942" ref="E1959"/>
    <hyperlink r:id="rId5943" ref="O1959"/>
    <hyperlink r:id="rId5944" ref="B1960"/>
    <hyperlink r:id="rId5945" ref="E1960"/>
    <hyperlink r:id="rId5946" ref="O1960"/>
    <hyperlink r:id="rId5947" ref="B1961"/>
    <hyperlink r:id="rId5948" ref="E1961"/>
    <hyperlink r:id="rId5949" ref="O1961"/>
    <hyperlink r:id="rId5950" ref="B1962"/>
    <hyperlink r:id="rId5951" ref="E1962"/>
    <hyperlink r:id="rId5952" ref="O1962"/>
    <hyperlink r:id="rId5953" ref="B1963"/>
    <hyperlink r:id="rId5954" ref="E1963"/>
    <hyperlink r:id="rId5955" ref="O1963"/>
    <hyperlink r:id="rId5956" ref="B1964"/>
    <hyperlink r:id="rId5957" ref="E1964"/>
    <hyperlink r:id="rId5958" ref="O1964"/>
    <hyperlink r:id="rId5959" ref="B1965"/>
    <hyperlink r:id="rId5960" ref="E1965"/>
    <hyperlink r:id="rId5961" ref="O1965"/>
    <hyperlink r:id="rId5962" ref="B1966"/>
    <hyperlink r:id="rId5963" ref="E1966"/>
    <hyperlink r:id="rId5964" ref="O1966"/>
    <hyperlink r:id="rId5965" ref="B1967"/>
    <hyperlink r:id="rId5966" ref="E1967"/>
    <hyperlink r:id="rId5967" ref="O1967"/>
    <hyperlink r:id="rId5968" ref="B1968"/>
    <hyperlink r:id="rId5969" ref="E1968"/>
    <hyperlink r:id="rId5970" ref="O1968"/>
    <hyperlink r:id="rId5971" ref="B1969"/>
    <hyperlink r:id="rId5972" ref="E1969"/>
    <hyperlink r:id="rId5973" ref="O1969"/>
    <hyperlink r:id="rId5974" ref="B1970"/>
    <hyperlink r:id="rId5975" ref="E1970"/>
    <hyperlink r:id="rId5976" ref="O1970"/>
    <hyperlink r:id="rId5977" ref="B1971"/>
    <hyperlink r:id="rId5978" ref="E1971"/>
    <hyperlink r:id="rId5979" ref="O1971"/>
    <hyperlink r:id="rId5980" ref="B1972"/>
    <hyperlink r:id="rId5981" ref="E1972"/>
    <hyperlink r:id="rId5982" ref="O1972"/>
    <hyperlink r:id="rId5983" ref="B1973"/>
    <hyperlink r:id="rId5984" ref="E1973"/>
    <hyperlink r:id="rId5985" ref="O1973"/>
    <hyperlink r:id="rId5986" ref="B1974"/>
    <hyperlink r:id="rId5987" ref="E1974"/>
    <hyperlink r:id="rId5988" ref="O1974"/>
    <hyperlink r:id="rId5989" ref="B1975"/>
    <hyperlink r:id="rId5990" ref="E1975"/>
    <hyperlink r:id="rId5991" ref="O1975"/>
    <hyperlink r:id="rId5992" ref="B1976"/>
    <hyperlink r:id="rId5993" ref="E1976"/>
    <hyperlink r:id="rId5994" ref="O1976"/>
    <hyperlink r:id="rId5995" ref="B1977"/>
    <hyperlink r:id="rId5996" ref="E1977"/>
    <hyperlink r:id="rId5997" ref="O1977"/>
    <hyperlink r:id="rId5998" ref="B1978"/>
    <hyperlink r:id="rId5999" ref="E1978"/>
    <hyperlink r:id="rId6000" ref="O1978"/>
    <hyperlink r:id="rId6001" ref="B1979"/>
    <hyperlink r:id="rId6002" ref="E1979"/>
    <hyperlink r:id="rId6003" ref="O1979"/>
    <hyperlink r:id="rId6004" ref="B1980"/>
    <hyperlink r:id="rId6005" ref="E1980"/>
    <hyperlink r:id="rId6006" ref="O1980"/>
    <hyperlink r:id="rId6007" ref="B1981"/>
    <hyperlink r:id="rId6008" ref="E1981"/>
    <hyperlink r:id="rId6009" ref="O1981"/>
    <hyperlink r:id="rId6010" ref="B1982"/>
    <hyperlink r:id="rId6011" ref="E1982"/>
    <hyperlink r:id="rId6012" ref="O1982"/>
    <hyperlink r:id="rId6013" ref="B1983"/>
    <hyperlink r:id="rId6014" ref="E1983"/>
    <hyperlink r:id="rId6015" ref="O1983"/>
    <hyperlink r:id="rId6016" ref="B1984"/>
    <hyperlink r:id="rId6017" ref="E1984"/>
    <hyperlink r:id="rId6018" ref="O1984"/>
    <hyperlink r:id="rId6019" ref="B1985"/>
    <hyperlink r:id="rId6020" ref="E1985"/>
    <hyperlink r:id="rId6021" ref="O1985"/>
    <hyperlink r:id="rId6022" ref="B1986"/>
    <hyperlink r:id="rId6023" ref="E1986"/>
    <hyperlink r:id="rId6024" ref="O1986"/>
    <hyperlink r:id="rId6025" ref="B1987"/>
    <hyperlink r:id="rId6026" ref="E1987"/>
    <hyperlink r:id="rId6027" ref="O1987"/>
    <hyperlink r:id="rId6028" ref="B1988"/>
    <hyperlink r:id="rId6029" ref="E1988"/>
    <hyperlink r:id="rId6030" ref="O1988"/>
    <hyperlink r:id="rId6031" ref="B1989"/>
    <hyperlink r:id="rId6032" ref="E1989"/>
    <hyperlink r:id="rId6033" ref="O1989"/>
    <hyperlink r:id="rId6034" ref="B1990"/>
    <hyperlink r:id="rId6035" ref="E1990"/>
    <hyperlink r:id="rId6036" ref="O1990"/>
    <hyperlink r:id="rId6037" ref="B1991"/>
    <hyperlink r:id="rId6038" ref="E1991"/>
    <hyperlink r:id="rId6039" ref="O1991"/>
    <hyperlink r:id="rId6040" ref="B1992"/>
    <hyperlink r:id="rId6041" ref="E1992"/>
    <hyperlink r:id="rId6042" ref="O1992"/>
    <hyperlink r:id="rId6043" ref="B1993"/>
    <hyperlink r:id="rId6044" ref="E1993"/>
    <hyperlink r:id="rId6045" ref="O1993"/>
    <hyperlink r:id="rId6046" ref="B1994"/>
    <hyperlink r:id="rId6047" ref="E1994"/>
    <hyperlink r:id="rId6048" ref="O1994"/>
    <hyperlink r:id="rId6049" ref="B1995"/>
    <hyperlink r:id="rId6050" ref="E1995"/>
    <hyperlink r:id="rId6051" ref="O1995"/>
    <hyperlink r:id="rId6052" ref="B1996"/>
    <hyperlink r:id="rId6053" ref="E1996"/>
    <hyperlink r:id="rId6054" ref="O1996"/>
    <hyperlink r:id="rId6055" ref="B1997"/>
    <hyperlink r:id="rId6056" ref="E1997"/>
    <hyperlink r:id="rId6057" ref="O1997"/>
    <hyperlink r:id="rId6058" ref="B1998"/>
    <hyperlink r:id="rId6059" ref="E1998"/>
    <hyperlink r:id="rId6060" ref="O1998"/>
    <hyperlink r:id="rId6061" ref="B1999"/>
    <hyperlink r:id="rId6062" ref="E1999"/>
    <hyperlink r:id="rId6063" ref="O1999"/>
    <hyperlink r:id="rId6064" ref="B2000"/>
    <hyperlink r:id="rId6065" ref="E2000"/>
    <hyperlink r:id="rId6066" ref="O2000"/>
    <hyperlink r:id="rId6067" ref="B2001"/>
    <hyperlink r:id="rId6068" ref="E2001"/>
    <hyperlink r:id="rId6069" ref="O2001"/>
    <hyperlink r:id="rId6070" ref="B2002"/>
    <hyperlink r:id="rId6071" ref="E2002"/>
    <hyperlink r:id="rId6072" ref="O2002"/>
    <hyperlink r:id="rId6073" ref="B2003"/>
    <hyperlink r:id="rId6074" ref="E2003"/>
    <hyperlink r:id="rId6075" ref="O2003"/>
    <hyperlink r:id="rId6076" ref="B2004"/>
    <hyperlink r:id="rId6077" ref="E2004"/>
    <hyperlink r:id="rId6078" ref="O2004"/>
    <hyperlink r:id="rId6079" ref="B2005"/>
    <hyperlink r:id="rId6080" ref="E2005"/>
    <hyperlink r:id="rId6081" ref="O2005"/>
    <hyperlink r:id="rId6082" ref="B2006"/>
    <hyperlink r:id="rId6083" ref="E2006"/>
    <hyperlink r:id="rId6084" ref="O2006"/>
    <hyperlink r:id="rId6085" ref="B2007"/>
    <hyperlink r:id="rId6086" ref="E2007"/>
    <hyperlink r:id="rId6087" ref="O2007"/>
    <hyperlink r:id="rId6088" ref="B2008"/>
    <hyperlink r:id="rId6089" ref="E2008"/>
    <hyperlink r:id="rId6090" ref="O2008"/>
    <hyperlink r:id="rId6091" ref="B2009"/>
    <hyperlink r:id="rId6092" ref="E2009"/>
    <hyperlink r:id="rId6093" ref="O2009"/>
    <hyperlink r:id="rId6094" ref="B2010"/>
    <hyperlink r:id="rId6095" ref="E2010"/>
    <hyperlink r:id="rId6096" ref="O2010"/>
    <hyperlink r:id="rId6097" ref="B2011"/>
    <hyperlink r:id="rId6098" ref="E2011"/>
    <hyperlink r:id="rId6099" ref="O2011"/>
    <hyperlink r:id="rId6100" ref="B2012"/>
    <hyperlink r:id="rId6101" ref="E2012"/>
    <hyperlink r:id="rId6102" ref="O2012"/>
    <hyperlink r:id="rId6103" ref="B2013"/>
    <hyperlink r:id="rId6104" ref="E2013"/>
    <hyperlink r:id="rId6105" ref="O2013"/>
    <hyperlink r:id="rId6106" ref="B2014"/>
    <hyperlink r:id="rId6107" ref="E2014"/>
    <hyperlink r:id="rId6108" ref="O2014"/>
    <hyperlink r:id="rId6109" ref="B2015"/>
    <hyperlink r:id="rId6110" ref="E2015"/>
    <hyperlink r:id="rId6111" ref="O2015"/>
    <hyperlink r:id="rId6112" ref="B2016"/>
    <hyperlink r:id="rId6113" ref="E2016"/>
    <hyperlink r:id="rId6114" ref="O2016"/>
    <hyperlink r:id="rId6115" ref="B2017"/>
    <hyperlink r:id="rId6116" ref="E2017"/>
    <hyperlink r:id="rId6117" ref="O2017"/>
    <hyperlink r:id="rId6118" ref="B2018"/>
    <hyperlink r:id="rId6119" ref="E2018"/>
    <hyperlink r:id="rId6120" ref="O2018"/>
    <hyperlink r:id="rId6121" ref="B2019"/>
    <hyperlink r:id="rId6122" ref="E2019"/>
    <hyperlink r:id="rId6123" ref="O2019"/>
    <hyperlink r:id="rId6124" ref="B2020"/>
    <hyperlink r:id="rId6125" ref="E2020"/>
    <hyperlink r:id="rId6126" ref="O2020"/>
    <hyperlink r:id="rId6127" ref="B2021"/>
    <hyperlink r:id="rId6128" ref="E2021"/>
    <hyperlink r:id="rId6129" ref="O2021"/>
    <hyperlink r:id="rId6130" ref="B2022"/>
    <hyperlink r:id="rId6131" ref="E2022"/>
    <hyperlink r:id="rId6132" ref="O2022"/>
    <hyperlink r:id="rId6133" ref="B2023"/>
    <hyperlink r:id="rId6134" ref="E2023"/>
    <hyperlink r:id="rId6135" ref="O2023"/>
    <hyperlink r:id="rId6136" ref="B2024"/>
    <hyperlink r:id="rId6137" ref="E2024"/>
    <hyperlink r:id="rId6138" ref="O2024"/>
    <hyperlink r:id="rId6139" ref="B2025"/>
    <hyperlink r:id="rId6140" ref="E2025"/>
    <hyperlink r:id="rId6141" ref="O2025"/>
    <hyperlink r:id="rId6142" ref="B2026"/>
    <hyperlink r:id="rId6143" ref="E2026"/>
    <hyperlink r:id="rId6144" ref="O2026"/>
    <hyperlink r:id="rId6145" ref="B2027"/>
    <hyperlink r:id="rId6146" ref="E2027"/>
    <hyperlink r:id="rId6147" ref="O2027"/>
    <hyperlink r:id="rId6148" ref="B2028"/>
    <hyperlink r:id="rId6149" ref="E2028"/>
    <hyperlink r:id="rId6150" ref="O2028"/>
    <hyperlink r:id="rId6151" ref="B2029"/>
    <hyperlink r:id="rId6152" ref="E2029"/>
    <hyperlink r:id="rId6153" ref="O2029"/>
    <hyperlink r:id="rId6154" ref="B2030"/>
    <hyperlink r:id="rId6155" ref="E2030"/>
    <hyperlink r:id="rId6156" ref="O2030"/>
    <hyperlink r:id="rId6157" ref="B2031"/>
    <hyperlink r:id="rId6158" ref="E2031"/>
    <hyperlink r:id="rId6159" ref="O2031"/>
    <hyperlink r:id="rId6160" ref="B2032"/>
    <hyperlink r:id="rId6161" ref="E2032"/>
    <hyperlink r:id="rId6162" ref="O2032"/>
    <hyperlink r:id="rId6163" ref="B2033"/>
    <hyperlink r:id="rId6164" ref="E2033"/>
    <hyperlink r:id="rId6165" ref="O2033"/>
    <hyperlink r:id="rId6166" ref="B2034"/>
    <hyperlink r:id="rId6167" ref="E2034"/>
    <hyperlink r:id="rId6168" ref="O2034"/>
    <hyperlink r:id="rId6169" ref="B2035"/>
    <hyperlink r:id="rId6170" ref="E2035"/>
    <hyperlink r:id="rId6171" ref="F2035"/>
    <hyperlink r:id="rId6172" ref="O2035"/>
    <hyperlink r:id="rId6173" ref="B2036"/>
    <hyperlink r:id="rId6174" ref="E2036"/>
    <hyperlink r:id="rId6175" ref="O2036"/>
    <hyperlink r:id="rId6176" ref="B2037"/>
    <hyperlink r:id="rId6177" ref="E2037"/>
    <hyperlink r:id="rId6178" ref="O2037"/>
    <hyperlink r:id="rId6179" ref="B2038"/>
    <hyperlink r:id="rId6180" ref="E2038"/>
    <hyperlink r:id="rId6181" ref="O2038"/>
    <hyperlink r:id="rId6182" ref="B2039"/>
    <hyperlink r:id="rId6183" ref="E2039"/>
    <hyperlink r:id="rId6184" ref="O2039"/>
    <hyperlink r:id="rId6185" ref="B2040"/>
    <hyperlink r:id="rId6186" ref="E2040"/>
    <hyperlink r:id="rId6187" ref="O2040"/>
    <hyperlink r:id="rId6188" ref="B2041"/>
    <hyperlink r:id="rId6189" ref="E2041"/>
    <hyperlink r:id="rId6190" ref="O2041"/>
    <hyperlink r:id="rId6191" ref="B2042"/>
    <hyperlink r:id="rId6192" ref="E2042"/>
    <hyperlink r:id="rId6193" ref="O2042"/>
    <hyperlink r:id="rId6194" ref="B2043"/>
    <hyperlink r:id="rId6195" ref="E2043"/>
    <hyperlink r:id="rId6196" ref="O2043"/>
    <hyperlink r:id="rId6197" ref="B2044"/>
    <hyperlink r:id="rId6198" ref="E2044"/>
    <hyperlink r:id="rId6199" ref="O2044"/>
    <hyperlink r:id="rId6200" ref="B2045"/>
    <hyperlink r:id="rId6201" ref="E2045"/>
    <hyperlink r:id="rId6202" ref="O2045"/>
    <hyperlink r:id="rId6203" ref="B2046"/>
    <hyperlink r:id="rId6204" ref="E2046"/>
    <hyperlink r:id="rId6205" ref="O2046"/>
    <hyperlink r:id="rId6206" ref="B2047"/>
    <hyperlink r:id="rId6207" ref="E2047"/>
    <hyperlink r:id="rId6208" ref="O2047"/>
    <hyperlink r:id="rId6209" ref="B2048"/>
    <hyperlink r:id="rId6210" ref="E2048"/>
    <hyperlink r:id="rId6211" ref="O2048"/>
    <hyperlink r:id="rId6212" ref="B2049"/>
    <hyperlink r:id="rId6213" ref="E2049"/>
    <hyperlink r:id="rId6214" ref="O2049"/>
    <hyperlink r:id="rId6215" ref="B2050"/>
    <hyperlink r:id="rId6216" ref="E2050"/>
    <hyperlink r:id="rId6217" ref="O2050"/>
    <hyperlink r:id="rId6218" ref="B2051"/>
    <hyperlink r:id="rId6219" ref="E2051"/>
    <hyperlink r:id="rId6220" ref="O2051"/>
    <hyperlink r:id="rId6221" ref="B2052"/>
    <hyperlink r:id="rId6222" ref="E2052"/>
    <hyperlink r:id="rId6223" ref="O2052"/>
    <hyperlink r:id="rId6224" ref="B2053"/>
    <hyperlink r:id="rId6225" ref="E2053"/>
    <hyperlink r:id="rId6226" ref="F2053"/>
    <hyperlink r:id="rId6227" ref="O2053"/>
    <hyperlink r:id="rId6228" ref="B2054"/>
    <hyperlink r:id="rId6229" ref="E2054"/>
    <hyperlink r:id="rId6230" ref="O2054"/>
    <hyperlink r:id="rId6231" ref="B2055"/>
    <hyperlink r:id="rId6232" ref="E2055"/>
    <hyperlink r:id="rId6233" ref="O2055"/>
    <hyperlink r:id="rId6234" ref="B2056"/>
    <hyperlink r:id="rId6235" ref="E2056"/>
    <hyperlink r:id="rId6236" ref="O2056"/>
    <hyperlink r:id="rId6237" ref="B2057"/>
    <hyperlink r:id="rId6238" ref="E2057"/>
    <hyperlink r:id="rId6239" ref="O2057"/>
    <hyperlink r:id="rId6240" ref="B2058"/>
    <hyperlink r:id="rId6241" ref="E2058"/>
    <hyperlink r:id="rId6242" ref="O2058"/>
    <hyperlink r:id="rId6243" ref="B2059"/>
    <hyperlink r:id="rId6244" ref="E2059"/>
    <hyperlink r:id="rId6245" ref="O2059"/>
    <hyperlink r:id="rId6246" ref="B2060"/>
    <hyperlink r:id="rId6247" ref="E2060"/>
    <hyperlink r:id="rId6248" ref="O2060"/>
    <hyperlink r:id="rId6249" ref="B2061"/>
    <hyperlink r:id="rId6250" ref="E2061"/>
    <hyperlink r:id="rId6251" ref="O2061"/>
    <hyperlink r:id="rId6252" ref="B2062"/>
    <hyperlink r:id="rId6253" ref="E2062"/>
    <hyperlink r:id="rId6254" ref="O2062"/>
    <hyperlink r:id="rId6255" ref="B2063"/>
    <hyperlink r:id="rId6256" ref="E2063"/>
    <hyperlink r:id="rId6257" ref="O2063"/>
    <hyperlink r:id="rId6258" ref="B2064"/>
    <hyperlink r:id="rId6259" ref="E2064"/>
    <hyperlink r:id="rId6260" ref="O2064"/>
    <hyperlink r:id="rId6261" ref="B2065"/>
    <hyperlink r:id="rId6262" ref="E2065"/>
    <hyperlink r:id="rId6263" ref="O2065"/>
    <hyperlink r:id="rId6264" ref="B2066"/>
    <hyperlink r:id="rId6265" ref="E2066"/>
    <hyperlink r:id="rId6266" ref="O2066"/>
    <hyperlink r:id="rId6267" ref="B2067"/>
    <hyperlink r:id="rId6268" ref="E2067"/>
    <hyperlink r:id="rId6269" ref="O2067"/>
    <hyperlink r:id="rId6270" ref="B2068"/>
    <hyperlink r:id="rId6271" ref="E2068"/>
    <hyperlink r:id="rId6272" ref="O2068"/>
    <hyperlink r:id="rId6273" ref="B2069"/>
    <hyperlink r:id="rId6274" ref="E2069"/>
    <hyperlink r:id="rId6275" ref="O2069"/>
    <hyperlink r:id="rId6276" ref="B2070"/>
    <hyperlink r:id="rId6277" ref="E2070"/>
    <hyperlink r:id="rId6278" ref="O2070"/>
    <hyperlink r:id="rId6279" ref="B2071"/>
    <hyperlink r:id="rId6280" ref="E2071"/>
    <hyperlink r:id="rId6281" ref="O2071"/>
    <hyperlink r:id="rId6282" ref="B2072"/>
    <hyperlink r:id="rId6283" ref="E2072"/>
    <hyperlink r:id="rId6284" ref="O2072"/>
    <hyperlink r:id="rId6285" ref="B2073"/>
    <hyperlink r:id="rId6286" ref="E2073"/>
    <hyperlink r:id="rId6287" ref="O2073"/>
    <hyperlink r:id="rId6288" ref="B2074"/>
    <hyperlink r:id="rId6289" ref="E2074"/>
    <hyperlink r:id="rId6290" ref="O2074"/>
    <hyperlink r:id="rId6291" ref="B2075"/>
    <hyperlink r:id="rId6292" ref="E2075"/>
    <hyperlink r:id="rId6293" ref="O2075"/>
    <hyperlink r:id="rId6294" ref="B2076"/>
    <hyperlink r:id="rId6295" ref="E2076"/>
    <hyperlink r:id="rId6296" ref="O2076"/>
    <hyperlink r:id="rId6297" ref="B2077"/>
    <hyperlink r:id="rId6298" ref="E2077"/>
    <hyperlink r:id="rId6299" ref="O2077"/>
    <hyperlink r:id="rId6300" ref="B2078"/>
    <hyperlink r:id="rId6301" ref="E2078"/>
    <hyperlink r:id="rId6302" ref="O2078"/>
    <hyperlink r:id="rId6303" ref="B2079"/>
    <hyperlink r:id="rId6304" ref="E2079"/>
    <hyperlink r:id="rId6305" ref="F2079"/>
    <hyperlink r:id="rId6306" ref="O2079"/>
    <hyperlink r:id="rId6307" ref="B2080"/>
    <hyperlink r:id="rId6308" ref="E2080"/>
    <hyperlink r:id="rId6309" ref="F2080"/>
    <hyperlink r:id="rId6310" ref="O2080"/>
    <hyperlink r:id="rId6311" ref="B2081"/>
    <hyperlink r:id="rId6312" ref="E2081"/>
    <hyperlink r:id="rId6313" ref="F2081"/>
    <hyperlink r:id="rId6314" ref="O2081"/>
    <hyperlink r:id="rId6315" ref="B2082"/>
    <hyperlink r:id="rId6316" ref="E2082"/>
    <hyperlink r:id="rId6317" ref="F2082"/>
    <hyperlink r:id="rId6318" ref="O2082"/>
    <hyperlink r:id="rId6319" ref="B2083"/>
    <hyperlink r:id="rId6320" ref="E2083"/>
    <hyperlink r:id="rId6321" ref="O2083"/>
    <hyperlink r:id="rId6322" ref="B2084"/>
    <hyperlink r:id="rId6323" ref="E2084"/>
    <hyperlink r:id="rId6324" ref="O2084"/>
    <hyperlink r:id="rId6325" ref="B2085"/>
    <hyperlink r:id="rId6326" ref="E2085"/>
    <hyperlink r:id="rId6327" ref="O2085"/>
    <hyperlink r:id="rId6328" ref="B2086"/>
    <hyperlink r:id="rId6329" ref="E2086"/>
    <hyperlink r:id="rId6330" ref="O2086"/>
    <hyperlink r:id="rId6331" ref="B2087"/>
    <hyperlink r:id="rId6332" ref="E2087"/>
    <hyperlink r:id="rId6333" ref="O2087"/>
    <hyperlink r:id="rId6334" ref="B2088"/>
    <hyperlink r:id="rId6335" ref="E2088"/>
    <hyperlink r:id="rId6336" ref="O2088"/>
    <hyperlink r:id="rId6337" ref="B2089"/>
    <hyperlink r:id="rId6338" ref="E2089"/>
    <hyperlink r:id="rId6339" ref="O2089"/>
    <hyperlink r:id="rId6340" ref="B2090"/>
    <hyperlink r:id="rId6341" ref="E2090"/>
    <hyperlink r:id="rId6342" ref="O2090"/>
    <hyperlink r:id="rId6343" ref="B2091"/>
    <hyperlink r:id="rId6344" ref="E2091"/>
    <hyperlink r:id="rId6345" ref="O2091"/>
    <hyperlink r:id="rId6346" ref="B2092"/>
    <hyperlink r:id="rId6347" ref="E2092"/>
    <hyperlink r:id="rId6348" ref="O2092"/>
    <hyperlink r:id="rId6349" ref="B2093"/>
    <hyperlink r:id="rId6350" ref="E2093"/>
    <hyperlink r:id="rId6351" ref="O2093"/>
    <hyperlink r:id="rId6352" ref="B2094"/>
    <hyperlink r:id="rId6353" ref="E2094"/>
    <hyperlink r:id="rId6354" ref="O2094"/>
    <hyperlink r:id="rId6355" ref="B2095"/>
    <hyperlink r:id="rId6356" ref="E2095"/>
    <hyperlink r:id="rId6357" ref="O2095"/>
    <hyperlink r:id="rId6358" ref="B2096"/>
    <hyperlink r:id="rId6359" ref="E2096"/>
    <hyperlink r:id="rId6360" ref="O2096"/>
    <hyperlink r:id="rId6361" ref="B2097"/>
    <hyperlink r:id="rId6362" ref="E2097"/>
    <hyperlink r:id="rId6363" ref="O2097"/>
    <hyperlink r:id="rId6364" ref="B2098"/>
    <hyperlink r:id="rId6365" ref="E2098"/>
    <hyperlink r:id="rId6366" ref="O2098"/>
    <hyperlink r:id="rId6367" ref="B2099"/>
    <hyperlink r:id="rId6368" ref="E2099"/>
    <hyperlink r:id="rId6369" ref="O2099"/>
    <hyperlink r:id="rId6370" ref="B2100"/>
    <hyperlink r:id="rId6371" ref="E2100"/>
    <hyperlink r:id="rId6372" ref="O2100"/>
    <hyperlink r:id="rId6373" ref="B2101"/>
    <hyperlink r:id="rId6374" ref="E2101"/>
    <hyperlink r:id="rId6375" ref="O2101"/>
    <hyperlink r:id="rId6376" ref="B2102"/>
    <hyperlink r:id="rId6377" ref="E2102"/>
    <hyperlink r:id="rId6378" ref="O2102"/>
    <hyperlink r:id="rId6379" ref="B2103"/>
    <hyperlink r:id="rId6380" ref="E2103"/>
    <hyperlink r:id="rId6381" ref="O2103"/>
    <hyperlink r:id="rId6382" ref="B2104"/>
    <hyperlink r:id="rId6383" ref="E2104"/>
    <hyperlink r:id="rId6384" ref="O2104"/>
    <hyperlink r:id="rId6385" ref="B2105"/>
    <hyperlink r:id="rId6386" ref="E2105"/>
    <hyperlink r:id="rId6387" ref="O2105"/>
    <hyperlink r:id="rId6388" ref="B2106"/>
    <hyperlink r:id="rId6389" ref="E2106"/>
    <hyperlink r:id="rId6390" ref="O2106"/>
    <hyperlink r:id="rId6391" ref="B2107"/>
    <hyperlink r:id="rId6392" ref="E2107"/>
    <hyperlink r:id="rId6393" ref="O2107"/>
    <hyperlink r:id="rId6394" ref="B2108"/>
    <hyperlink r:id="rId6395" ref="E2108"/>
    <hyperlink r:id="rId6396" ref="O2108"/>
    <hyperlink r:id="rId6397" ref="B2109"/>
    <hyperlink r:id="rId6398" ref="E2109"/>
    <hyperlink r:id="rId6399" ref="O2109"/>
    <hyperlink r:id="rId6400" ref="B2110"/>
    <hyperlink r:id="rId6401" ref="E2110"/>
    <hyperlink r:id="rId6402" ref="O2110"/>
    <hyperlink r:id="rId6403" ref="B2111"/>
    <hyperlink r:id="rId6404" ref="E2111"/>
    <hyperlink r:id="rId6405" ref="O2111"/>
    <hyperlink r:id="rId6406" ref="B2112"/>
    <hyperlink r:id="rId6407" ref="E2112"/>
    <hyperlink r:id="rId6408" ref="O2112"/>
    <hyperlink r:id="rId6409" ref="B2113"/>
    <hyperlink r:id="rId6410" ref="E2113"/>
    <hyperlink r:id="rId6411" ref="O2113"/>
    <hyperlink r:id="rId6412" ref="B2114"/>
    <hyperlink r:id="rId6413" ref="E2114"/>
    <hyperlink r:id="rId6414" ref="O2114"/>
    <hyperlink r:id="rId6415" ref="B2115"/>
    <hyperlink r:id="rId6416" ref="E2115"/>
    <hyperlink r:id="rId6417" ref="O2115"/>
    <hyperlink r:id="rId6418" ref="B2116"/>
    <hyperlink r:id="rId6419" ref="E2116"/>
    <hyperlink r:id="rId6420" ref="O2116"/>
    <hyperlink r:id="rId6421" ref="B2117"/>
    <hyperlink r:id="rId6422" ref="E2117"/>
    <hyperlink r:id="rId6423" ref="O2117"/>
    <hyperlink r:id="rId6424" ref="B2118"/>
    <hyperlink r:id="rId6425" ref="E2118"/>
    <hyperlink r:id="rId6426" ref="O2118"/>
    <hyperlink r:id="rId6427" ref="B2119"/>
    <hyperlink r:id="rId6428" ref="E2119"/>
    <hyperlink r:id="rId6429" ref="O2119"/>
    <hyperlink r:id="rId6430" ref="B2120"/>
    <hyperlink r:id="rId6431" ref="E2120"/>
    <hyperlink r:id="rId6432" ref="O2120"/>
    <hyperlink r:id="rId6433" ref="B2121"/>
    <hyperlink r:id="rId6434" ref="E2121"/>
    <hyperlink r:id="rId6435" ref="O2121"/>
    <hyperlink r:id="rId6436" ref="B2122"/>
    <hyperlink r:id="rId6437" ref="E2122"/>
    <hyperlink r:id="rId6438" ref="O2122"/>
    <hyperlink r:id="rId6439" ref="B2123"/>
    <hyperlink r:id="rId6440" ref="E2123"/>
    <hyperlink r:id="rId6441" ref="O2123"/>
    <hyperlink r:id="rId6442" ref="B2124"/>
    <hyperlink r:id="rId6443" ref="E2124"/>
    <hyperlink r:id="rId6444" ref="O2124"/>
    <hyperlink r:id="rId6445" ref="B2125"/>
    <hyperlink r:id="rId6446" ref="E2125"/>
    <hyperlink r:id="rId6447" ref="O2125"/>
    <hyperlink r:id="rId6448" ref="B2126"/>
    <hyperlink r:id="rId6449" ref="E2126"/>
    <hyperlink r:id="rId6450" ref="O2126"/>
    <hyperlink r:id="rId6451" ref="B2127"/>
    <hyperlink r:id="rId6452" ref="E2127"/>
    <hyperlink r:id="rId6453" ref="O2127"/>
    <hyperlink r:id="rId6454" ref="B2128"/>
    <hyperlink r:id="rId6455" ref="E2128"/>
    <hyperlink r:id="rId6456" ref="O2128"/>
    <hyperlink r:id="rId6457" ref="B2129"/>
    <hyperlink r:id="rId6458" ref="E2129"/>
    <hyperlink r:id="rId6459" ref="O2129"/>
    <hyperlink r:id="rId6460" ref="B2130"/>
    <hyperlink r:id="rId6461" ref="E2130"/>
    <hyperlink r:id="rId6462" ref="O2130"/>
    <hyperlink r:id="rId6463" ref="B2131"/>
    <hyperlink r:id="rId6464" ref="E2131"/>
    <hyperlink r:id="rId6465" ref="O2131"/>
    <hyperlink r:id="rId6466" ref="B2132"/>
    <hyperlink r:id="rId6467" ref="E2132"/>
    <hyperlink r:id="rId6468" ref="O2132"/>
    <hyperlink r:id="rId6469" ref="B2133"/>
    <hyperlink r:id="rId6470" ref="E2133"/>
    <hyperlink r:id="rId6471" ref="O2133"/>
    <hyperlink r:id="rId6472" ref="B2134"/>
    <hyperlink r:id="rId6473" ref="E2134"/>
    <hyperlink r:id="rId6474" ref="O2134"/>
    <hyperlink r:id="rId6475" ref="B2135"/>
    <hyperlink r:id="rId6476" ref="E2135"/>
    <hyperlink r:id="rId6477" ref="O2135"/>
    <hyperlink r:id="rId6478" ref="B2136"/>
    <hyperlink r:id="rId6479" ref="E2136"/>
    <hyperlink r:id="rId6480" ref="O2136"/>
    <hyperlink r:id="rId6481" ref="B2137"/>
    <hyperlink r:id="rId6482" ref="E2137"/>
    <hyperlink r:id="rId6483" ref="O2137"/>
    <hyperlink r:id="rId6484" ref="B2138"/>
    <hyperlink r:id="rId6485" ref="E2138"/>
    <hyperlink r:id="rId6486" ref="O2138"/>
    <hyperlink r:id="rId6487" ref="B2139"/>
    <hyperlink r:id="rId6488" ref="E2139"/>
    <hyperlink r:id="rId6489" ref="O2139"/>
    <hyperlink r:id="rId6490" ref="B2140"/>
    <hyperlink r:id="rId6491" ref="E2140"/>
    <hyperlink r:id="rId6492" ref="O2140"/>
    <hyperlink r:id="rId6493" ref="B2141"/>
    <hyperlink r:id="rId6494" ref="E2141"/>
    <hyperlink r:id="rId6495" ref="O2141"/>
    <hyperlink r:id="rId6496" ref="B2142"/>
    <hyperlink r:id="rId6497" ref="E2142"/>
    <hyperlink r:id="rId6498" ref="O2142"/>
    <hyperlink r:id="rId6499" ref="B2143"/>
    <hyperlink r:id="rId6500" ref="E2143"/>
    <hyperlink r:id="rId6501" ref="O2143"/>
    <hyperlink r:id="rId6502" ref="B2144"/>
    <hyperlink r:id="rId6503" ref="E2144"/>
    <hyperlink r:id="rId6504" ref="O2144"/>
    <hyperlink r:id="rId6505" ref="B2145"/>
    <hyperlink r:id="rId6506" ref="E2145"/>
    <hyperlink r:id="rId6507" ref="F2145"/>
    <hyperlink r:id="rId6508" ref="O2145"/>
    <hyperlink r:id="rId6509" ref="B2146"/>
    <hyperlink r:id="rId6510" ref="E2146"/>
    <hyperlink r:id="rId6511" ref="O2146"/>
    <hyperlink r:id="rId6512" ref="B2147"/>
    <hyperlink r:id="rId6513" ref="E2147"/>
    <hyperlink r:id="rId6514" ref="O2147"/>
    <hyperlink r:id="rId6515" ref="B2148"/>
    <hyperlink r:id="rId6516" ref="E2148"/>
    <hyperlink r:id="rId6517" ref="O2148"/>
    <hyperlink r:id="rId6518" ref="B2149"/>
    <hyperlink r:id="rId6519" ref="E2149"/>
    <hyperlink r:id="rId6520" ref="O2149"/>
    <hyperlink r:id="rId6521" ref="B2150"/>
    <hyperlink r:id="rId6522" ref="E2150"/>
    <hyperlink r:id="rId6523" ref="O2150"/>
    <hyperlink r:id="rId6524" ref="B2151"/>
    <hyperlink r:id="rId6525" ref="E2151"/>
    <hyperlink r:id="rId6526" ref="O2151"/>
    <hyperlink r:id="rId6527" ref="B2152"/>
    <hyperlink r:id="rId6528" ref="E2152"/>
    <hyperlink r:id="rId6529" ref="O2152"/>
    <hyperlink r:id="rId6530" ref="B2153"/>
    <hyperlink r:id="rId6531" ref="E2153"/>
    <hyperlink r:id="rId6532" ref="O2153"/>
    <hyperlink r:id="rId6533" ref="B2154"/>
    <hyperlink r:id="rId6534" ref="E2154"/>
    <hyperlink r:id="rId6535" ref="O2154"/>
    <hyperlink r:id="rId6536" ref="B2155"/>
    <hyperlink r:id="rId6537" ref="E2155"/>
    <hyperlink r:id="rId6538" ref="O2155"/>
    <hyperlink r:id="rId6539" ref="B2156"/>
    <hyperlink r:id="rId6540" ref="E2156"/>
    <hyperlink r:id="rId6541" ref="O2156"/>
    <hyperlink r:id="rId6542" ref="B2157"/>
    <hyperlink r:id="rId6543" ref="E2157"/>
    <hyperlink r:id="rId6544" ref="O2157"/>
    <hyperlink r:id="rId6545" ref="B2158"/>
    <hyperlink r:id="rId6546" ref="E2158"/>
    <hyperlink r:id="rId6547" ref="O2158"/>
    <hyperlink r:id="rId6548" ref="B2159"/>
    <hyperlink r:id="rId6549" ref="E2159"/>
    <hyperlink r:id="rId6550" ref="O2159"/>
    <hyperlink r:id="rId6551" ref="B2160"/>
    <hyperlink r:id="rId6552" ref="E2160"/>
    <hyperlink r:id="rId6553" ref="O2160"/>
    <hyperlink r:id="rId6554" ref="B2161"/>
    <hyperlink r:id="rId6555" ref="E2161"/>
    <hyperlink r:id="rId6556" ref="O2161"/>
    <hyperlink r:id="rId6557" ref="B2162"/>
    <hyperlink r:id="rId6558" ref="E2162"/>
    <hyperlink r:id="rId6559" ref="O2162"/>
    <hyperlink r:id="rId6560" ref="B2163"/>
    <hyperlink r:id="rId6561" ref="E2163"/>
    <hyperlink r:id="rId6562" ref="O2163"/>
    <hyperlink r:id="rId6563" ref="B2164"/>
    <hyperlink r:id="rId6564" ref="E2164"/>
    <hyperlink r:id="rId6565" ref="O2164"/>
    <hyperlink r:id="rId6566" ref="B2165"/>
    <hyperlink r:id="rId6567" ref="E2165"/>
    <hyperlink r:id="rId6568" ref="O2165"/>
    <hyperlink r:id="rId6569" ref="B2166"/>
    <hyperlink r:id="rId6570" ref="E2166"/>
    <hyperlink r:id="rId6571" ref="O2166"/>
    <hyperlink r:id="rId6572" ref="B2167"/>
    <hyperlink r:id="rId6573" ref="E2167"/>
    <hyperlink r:id="rId6574" ref="O2167"/>
    <hyperlink r:id="rId6575" ref="B2168"/>
    <hyperlink r:id="rId6576" ref="E2168"/>
    <hyperlink r:id="rId6577" ref="O2168"/>
    <hyperlink r:id="rId6578" ref="B2169"/>
    <hyperlink r:id="rId6579" ref="E2169"/>
    <hyperlink r:id="rId6580" ref="O2169"/>
    <hyperlink r:id="rId6581" ref="B2170"/>
    <hyperlink r:id="rId6582" ref="E2170"/>
    <hyperlink r:id="rId6583" ref="O2170"/>
    <hyperlink r:id="rId6584" ref="B2171"/>
    <hyperlink r:id="rId6585" ref="E2171"/>
    <hyperlink r:id="rId6586" ref="O2171"/>
    <hyperlink r:id="rId6587" ref="B2172"/>
    <hyperlink r:id="rId6588" ref="E2172"/>
    <hyperlink r:id="rId6589" ref="O2172"/>
    <hyperlink r:id="rId6590" ref="B2173"/>
    <hyperlink r:id="rId6591" ref="E2173"/>
    <hyperlink r:id="rId6592" ref="O2173"/>
    <hyperlink r:id="rId6593" ref="B2174"/>
    <hyperlink r:id="rId6594" ref="E2174"/>
    <hyperlink r:id="rId6595" ref="O2174"/>
    <hyperlink r:id="rId6596" ref="B2175"/>
    <hyperlink r:id="rId6597" ref="E2175"/>
    <hyperlink r:id="rId6598" ref="O2175"/>
    <hyperlink r:id="rId6599" ref="B2176"/>
    <hyperlink r:id="rId6600" ref="E2176"/>
    <hyperlink r:id="rId6601" ref="O2176"/>
    <hyperlink r:id="rId6602" ref="B2177"/>
    <hyperlink r:id="rId6603" ref="E2177"/>
    <hyperlink r:id="rId6604" ref="O2177"/>
    <hyperlink r:id="rId6605" ref="B2178"/>
    <hyperlink r:id="rId6606" ref="E2178"/>
    <hyperlink r:id="rId6607" ref="O2178"/>
    <hyperlink r:id="rId6608" ref="B2179"/>
    <hyperlink r:id="rId6609" ref="E2179"/>
    <hyperlink r:id="rId6610" ref="O2179"/>
    <hyperlink r:id="rId6611" ref="B2180"/>
    <hyperlink r:id="rId6612" ref="E2180"/>
    <hyperlink r:id="rId6613" ref="O2180"/>
    <hyperlink r:id="rId6614" ref="B2181"/>
    <hyperlink r:id="rId6615" ref="E2181"/>
    <hyperlink r:id="rId6616" ref="O2181"/>
    <hyperlink r:id="rId6617" ref="B2182"/>
    <hyperlink r:id="rId6618" ref="E2182"/>
    <hyperlink r:id="rId6619" ref="O2182"/>
    <hyperlink r:id="rId6620" ref="B2183"/>
    <hyperlink r:id="rId6621" ref="E2183"/>
    <hyperlink r:id="rId6622" ref="O2183"/>
    <hyperlink r:id="rId6623" ref="B2184"/>
    <hyperlink r:id="rId6624" ref="E2184"/>
    <hyperlink r:id="rId6625" ref="O2184"/>
    <hyperlink r:id="rId6626" ref="B2185"/>
    <hyperlink r:id="rId6627" ref="E2185"/>
    <hyperlink r:id="rId6628" ref="O2185"/>
    <hyperlink r:id="rId6629" ref="B2186"/>
    <hyperlink r:id="rId6630" ref="E2186"/>
    <hyperlink r:id="rId6631" ref="O2186"/>
    <hyperlink r:id="rId6632" ref="B2187"/>
    <hyperlink r:id="rId6633" ref="E2187"/>
    <hyperlink r:id="rId6634" ref="O2187"/>
    <hyperlink r:id="rId6635" ref="B2188"/>
    <hyperlink r:id="rId6636" ref="E2188"/>
    <hyperlink r:id="rId6637" ref="O2188"/>
    <hyperlink r:id="rId6638" ref="B2189"/>
    <hyperlink r:id="rId6639" ref="E2189"/>
    <hyperlink r:id="rId6640" ref="O2189"/>
    <hyperlink r:id="rId6641" ref="B2190"/>
    <hyperlink r:id="rId6642" ref="E2190"/>
    <hyperlink r:id="rId6643" ref="O2190"/>
    <hyperlink r:id="rId6644" ref="B2191"/>
    <hyperlink r:id="rId6645" ref="E2191"/>
    <hyperlink r:id="rId6646" ref="O2191"/>
    <hyperlink r:id="rId6647" ref="B2192"/>
    <hyperlink r:id="rId6648" ref="E2192"/>
    <hyperlink r:id="rId6649" ref="O2192"/>
    <hyperlink r:id="rId6650" ref="B2193"/>
    <hyperlink r:id="rId6651" ref="E2193"/>
    <hyperlink r:id="rId6652" ref="O2193"/>
    <hyperlink r:id="rId6653" ref="B2194"/>
    <hyperlink r:id="rId6654" ref="E2194"/>
    <hyperlink r:id="rId6655" ref="O2194"/>
    <hyperlink r:id="rId6656" ref="B2195"/>
    <hyperlink r:id="rId6657" ref="E2195"/>
    <hyperlink r:id="rId6658" ref="O2195"/>
    <hyperlink r:id="rId6659" ref="B2196"/>
    <hyperlink r:id="rId6660" ref="E2196"/>
    <hyperlink r:id="rId6661" ref="O2196"/>
    <hyperlink r:id="rId6662" ref="B2197"/>
    <hyperlink r:id="rId6663" ref="E2197"/>
    <hyperlink r:id="rId6664" ref="O2197"/>
    <hyperlink r:id="rId6665" ref="B2198"/>
    <hyperlink r:id="rId6666" ref="E2198"/>
    <hyperlink r:id="rId6667" ref="O2198"/>
    <hyperlink r:id="rId6668" ref="B2199"/>
    <hyperlink r:id="rId6669" ref="E2199"/>
    <hyperlink r:id="rId6670" ref="O2199"/>
    <hyperlink r:id="rId6671" ref="B2200"/>
    <hyperlink r:id="rId6672" ref="E2200"/>
    <hyperlink r:id="rId6673" ref="O2200"/>
    <hyperlink r:id="rId6674" ref="B2201"/>
    <hyperlink r:id="rId6675" ref="E2201"/>
    <hyperlink r:id="rId6676" ref="O2201"/>
    <hyperlink r:id="rId6677" ref="B2202"/>
    <hyperlink r:id="rId6678" ref="E2202"/>
    <hyperlink r:id="rId6679" ref="O2202"/>
    <hyperlink r:id="rId6680" ref="B2203"/>
    <hyperlink r:id="rId6681" ref="E2203"/>
    <hyperlink r:id="rId6682" ref="O2203"/>
    <hyperlink r:id="rId6683" ref="B2204"/>
    <hyperlink r:id="rId6684" ref="E2204"/>
    <hyperlink r:id="rId6685" ref="O2204"/>
    <hyperlink r:id="rId6686" ref="B2205"/>
    <hyperlink r:id="rId6687" ref="E2205"/>
    <hyperlink r:id="rId6688" ref="O2205"/>
    <hyperlink r:id="rId6689" ref="B2206"/>
    <hyperlink r:id="rId6690" ref="E2206"/>
    <hyperlink r:id="rId6691" ref="O2206"/>
    <hyperlink r:id="rId6692" ref="B2207"/>
    <hyperlink r:id="rId6693" ref="E2207"/>
    <hyperlink r:id="rId6694" ref="O2207"/>
    <hyperlink r:id="rId6695" ref="B2208"/>
    <hyperlink r:id="rId6696" ref="E2208"/>
    <hyperlink r:id="rId6697" ref="O2208"/>
    <hyperlink r:id="rId6698" ref="B2209"/>
    <hyperlink r:id="rId6699" ref="E2209"/>
    <hyperlink r:id="rId6700" ref="O2209"/>
    <hyperlink r:id="rId6701" ref="B2210"/>
    <hyperlink r:id="rId6702" ref="E2210"/>
    <hyperlink r:id="rId6703" ref="O2210"/>
    <hyperlink r:id="rId6704" ref="B2211"/>
    <hyperlink r:id="rId6705" ref="E2211"/>
    <hyperlink r:id="rId6706" ref="O2211"/>
    <hyperlink r:id="rId6707" ref="B2212"/>
    <hyperlink r:id="rId6708" ref="E2212"/>
    <hyperlink r:id="rId6709" ref="O2212"/>
    <hyperlink r:id="rId6710" ref="B2213"/>
    <hyperlink r:id="rId6711" ref="E2213"/>
    <hyperlink r:id="rId6712" ref="O2213"/>
    <hyperlink r:id="rId6713" ref="B2214"/>
    <hyperlink r:id="rId6714" ref="E2214"/>
    <hyperlink r:id="rId6715" ref="O2214"/>
    <hyperlink r:id="rId6716" ref="B2215"/>
    <hyperlink r:id="rId6717" ref="E2215"/>
    <hyperlink r:id="rId6718" ref="O2215"/>
    <hyperlink r:id="rId6719" ref="B2216"/>
    <hyperlink r:id="rId6720" ref="E2216"/>
    <hyperlink r:id="rId6721" ref="O2216"/>
    <hyperlink r:id="rId6722" ref="B2217"/>
    <hyperlink r:id="rId6723" ref="E2217"/>
    <hyperlink r:id="rId6724" ref="O2217"/>
    <hyperlink r:id="rId6725" ref="B2218"/>
    <hyperlink r:id="rId6726" ref="E2218"/>
    <hyperlink r:id="rId6727" ref="O2218"/>
    <hyperlink r:id="rId6728" ref="B2219"/>
    <hyperlink r:id="rId6729" ref="E2219"/>
    <hyperlink r:id="rId6730" ref="O2219"/>
    <hyperlink r:id="rId6731" ref="B2220"/>
    <hyperlink r:id="rId6732" ref="E2220"/>
    <hyperlink r:id="rId6733" ref="O2220"/>
    <hyperlink r:id="rId6734" ref="B2221"/>
    <hyperlink r:id="rId6735" ref="E2221"/>
    <hyperlink r:id="rId6736" ref="O2221"/>
    <hyperlink r:id="rId6737" ref="B2222"/>
    <hyperlink r:id="rId6738" ref="E2222"/>
    <hyperlink r:id="rId6739" ref="O2222"/>
    <hyperlink r:id="rId6740" ref="B2223"/>
    <hyperlink r:id="rId6741" ref="E2223"/>
    <hyperlink r:id="rId6742" ref="O2223"/>
    <hyperlink r:id="rId6743" ref="B2224"/>
    <hyperlink r:id="rId6744" ref="E2224"/>
    <hyperlink r:id="rId6745" ref="O2224"/>
    <hyperlink r:id="rId6746" ref="B2225"/>
    <hyperlink r:id="rId6747" ref="E2225"/>
    <hyperlink r:id="rId6748" ref="O2225"/>
    <hyperlink r:id="rId6749" ref="B2226"/>
    <hyperlink r:id="rId6750" ref="E2226"/>
    <hyperlink r:id="rId6751" ref="O2226"/>
    <hyperlink r:id="rId6752" ref="B2227"/>
    <hyperlink r:id="rId6753" ref="E2227"/>
    <hyperlink r:id="rId6754" ref="O2227"/>
    <hyperlink r:id="rId6755" ref="B2228"/>
    <hyperlink r:id="rId6756" ref="E2228"/>
    <hyperlink r:id="rId6757" ref="O2228"/>
    <hyperlink r:id="rId6758" ref="B2229"/>
    <hyperlink r:id="rId6759" ref="E2229"/>
    <hyperlink r:id="rId6760" ref="O2229"/>
    <hyperlink r:id="rId6761" ref="B2230"/>
    <hyperlink r:id="rId6762" ref="E2230"/>
    <hyperlink r:id="rId6763" ref="O2230"/>
    <hyperlink r:id="rId6764" ref="B2231"/>
    <hyperlink r:id="rId6765" ref="E2231"/>
    <hyperlink r:id="rId6766" ref="O2231"/>
    <hyperlink r:id="rId6767" ref="B2232"/>
    <hyperlink r:id="rId6768" ref="E2232"/>
    <hyperlink r:id="rId6769" ref="O2232"/>
    <hyperlink r:id="rId6770" ref="B2233"/>
    <hyperlink r:id="rId6771" ref="E2233"/>
    <hyperlink r:id="rId6772" ref="O2233"/>
    <hyperlink r:id="rId6773" ref="B2234"/>
    <hyperlink r:id="rId6774" ref="E2234"/>
    <hyperlink r:id="rId6775" ref="O2234"/>
    <hyperlink r:id="rId6776" ref="B2235"/>
    <hyperlink r:id="rId6777" ref="E2235"/>
    <hyperlink r:id="rId6778" ref="O2235"/>
    <hyperlink r:id="rId6779" ref="B2236"/>
    <hyperlink r:id="rId6780" ref="E2236"/>
    <hyperlink r:id="rId6781" ref="O2236"/>
    <hyperlink r:id="rId6782" ref="B2237"/>
    <hyperlink r:id="rId6783" ref="E2237"/>
    <hyperlink r:id="rId6784" ref="O2237"/>
    <hyperlink r:id="rId6785" ref="B2238"/>
    <hyperlink r:id="rId6786" ref="E2238"/>
    <hyperlink r:id="rId6787" ref="O2238"/>
    <hyperlink r:id="rId6788" ref="B2239"/>
    <hyperlink r:id="rId6789" ref="E2239"/>
    <hyperlink r:id="rId6790" ref="O2239"/>
    <hyperlink r:id="rId6791" ref="B2240"/>
    <hyperlink r:id="rId6792" ref="E2240"/>
    <hyperlink r:id="rId6793" ref="F2240"/>
    <hyperlink r:id="rId6794" ref="O2240"/>
    <hyperlink r:id="rId6795" ref="B2241"/>
    <hyperlink r:id="rId6796" ref="E2241"/>
    <hyperlink r:id="rId6797" ref="O2241"/>
    <hyperlink r:id="rId6798" ref="B2242"/>
    <hyperlink r:id="rId6799" ref="E2242"/>
    <hyperlink r:id="rId6800" ref="O2242"/>
    <hyperlink r:id="rId6801" ref="B2243"/>
    <hyperlink r:id="rId6802" ref="E2243"/>
    <hyperlink r:id="rId6803" ref="O2243"/>
    <hyperlink r:id="rId6804" ref="B2244"/>
    <hyperlink r:id="rId6805" ref="E2244"/>
    <hyperlink r:id="rId6806" ref="O2244"/>
    <hyperlink r:id="rId6807" ref="B2245"/>
    <hyperlink r:id="rId6808" ref="E2245"/>
    <hyperlink r:id="rId6809" ref="O2245"/>
    <hyperlink r:id="rId6810" ref="B2246"/>
    <hyperlink r:id="rId6811" ref="E2246"/>
    <hyperlink r:id="rId6812" ref="O2246"/>
    <hyperlink r:id="rId6813" ref="B2247"/>
    <hyperlink r:id="rId6814" ref="E2247"/>
    <hyperlink r:id="rId6815" ref="O2247"/>
    <hyperlink r:id="rId6816" ref="B2248"/>
    <hyperlink r:id="rId6817" ref="E2248"/>
    <hyperlink r:id="rId6818" ref="O2248"/>
    <hyperlink r:id="rId6819" ref="B2249"/>
    <hyperlink r:id="rId6820" ref="E2249"/>
    <hyperlink r:id="rId6821" ref="O2249"/>
    <hyperlink r:id="rId6822" ref="B2250"/>
    <hyperlink r:id="rId6823" ref="E2250"/>
    <hyperlink r:id="rId6824" ref="O2250"/>
    <hyperlink r:id="rId6825" ref="B2251"/>
    <hyperlink r:id="rId6826" ref="E2251"/>
    <hyperlink r:id="rId6827" ref="O2251"/>
    <hyperlink r:id="rId6828" ref="B2252"/>
    <hyperlink r:id="rId6829" ref="C2252"/>
    <hyperlink r:id="rId6830" ref="E2252"/>
    <hyperlink r:id="rId6831" ref="O2252"/>
    <hyperlink r:id="rId6832" ref="B2253"/>
    <hyperlink r:id="rId6833" ref="E2253"/>
    <hyperlink r:id="rId6834" ref="O2253"/>
    <hyperlink r:id="rId6835" ref="B2254"/>
    <hyperlink r:id="rId6836" ref="E2254"/>
    <hyperlink r:id="rId6837" ref="O2254"/>
    <hyperlink r:id="rId6838" ref="B2255"/>
    <hyperlink r:id="rId6839" ref="E2255"/>
    <hyperlink r:id="rId6840" ref="O2255"/>
    <hyperlink r:id="rId6841" ref="B2256"/>
    <hyperlink r:id="rId6842" ref="E2256"/>
    <hyperlink r:id="rId6843" ref="O2256"/>
    <hyperlink r:id="rId6844" ref="B2257"/>
    <hyperlink r:id="rId6845" ref="E2257"/>
    <hyperlink r:id="rId6846" ref="O2257"/>
    <hyperlink r:id="rId6847" ref="B2258"/>
    <hyperlink r:id="rId6848" ref="E2258"/>
    <hyperlink r:id="rId6849" ref="O2258"/>
    <hyperlink r:id="rId6850" ref="B2259"/>
    <hyperlink r:id="rId6851" ref="E2259"/>
    <hyperlink r:id="rId6852" ref="O2259"/>
    <hyperlink r:id="rId6853" ref="B2260"/>
    <hyperlink r:id="rId6854" ref="E2260"/>
    <hyperlink r:id="rId6855" ref="O2260"/>
    <hyperlink r:id="rId6856" ref="B2261"/>
    <hyperlink r:id="rId6857" ref="E2261"/>
    <hyperlink r:id="rId6858" ref="O2261"/>
    <hyperlink r:id="rId6859" ref="B2262"/>
    <hyperlink r:id="rId6860" ref="E2262"/>
    <hyperlink r:id="rId6861" ref="O2262"/>
    <hyperlink r:id="rId6862" ref="B2263"/>
    <hyperlink r:id="rId6863" ref="E2263"/>
    <hyperlink r:id="rId6864" ref="O2263"/>
    <hyperlink r:id="rId6865" ref="B2264"/>
    <hyperlink r:id="rId6866" ref="E2264"/>
    <hyperlink r:id="rId6867" ref="O2264"/>
    <hyperlink r:id="rId6868" ref="B2265"/>
    <hyperlink r:id="rId6869" ref="E2265"/>
    <hyperlink r:id="rId6870" ref="O2265"/>
    <hyperlink r:id="rId6871" ref="B2266"/>
    <hyperlink r:id="rId6872" ref="E2266"/>
    <hyperlink r:id="rId6873" ref="O2266"/>
    <hyperlink r:id="rId6874" ref="B2267"/>
    <hyperlink r:id="rId6875" ref="E2267"/>
    <hyperlink r:id="rId6876" ref="M2267"/>
    <hyperlink r:id="rId6877" ref="O2267"/>
    <hyperlink r:id="rId6878" ref="B2268"/>
    <hyperlink r:id="rId6879" ref="E2268"/>
    <hyperlink r:id="rId6880" ref="O2268"/>
    <hyperlink r:id="rId6881" ref="B2269"/>
    <hyperlink r:id="rId6882" ref="E2269"/>
    <hyperlink r:id="rId6883" ref="O2269"/>
    <hyperlink r:id="rId6884" ref="B2270"/>
    <hyperlink r:id="rId6885" ref="E2270"/>
    <hyperlink r:id="rId6886" ref="O2270"/>
    <hyperlink r:id="rId6887" ref="B2271"/>
    <hyperlink r:id="rId6888" ref="E2271"/>
    <hyperlink r:id="rId6889" ref="O2271"/>
    <hyperlink r:id="rId6890" ref="B2272"/>
    <hyperlink r:id="rId6891" ref="E2272"/>
    <hyperlink r:id="rId6892" ref="O2272"/>
    <hyperlink r:id="rId6893" ref="B2273"/>
    <hyperlink r:id="rId6894" ref="E2273"/>
    <hyperlink r:id="rId6895" ref="O2273"/>
    <hyperlink r:id="rId6896" ref="B2274"/>
    <hyperlink r:id="rId6897" ref="E2274"/>
    <hyperlink r:id="rId6898" ref="O2274"/>
    <hyperlink r:id="rId6899" ref="B2275"/>
    <hyperlink r:id="rId6900" ref="E2275"/>
    <hyperlink r:id="rId6901" ref="O2275"/>
    <hyperlink r:id="rId6902" ref="B2276"/>
    <hyperlink r:id="rId6903" ref="E2276"/>
    <hyperlink r:id="rId6904" ref="O2276"/>
    <hyperlink r:id="rId6905" ref="B2277"/>
    <hyperlink r:id="rId6906" ref="E2277"/>
    <hyperlink r:id="rId6907" ref="O2277"/>
    <hyperlink r:id="rId6908" ref="B2278"/>
    <hyperlink r:id="rId6909" ref="E2278"/>
    <hyperlink r:id="rId6910" ref="O2278"/>
    <hyperlink r:id="rId6911" ref="B2279"/>
    <hyperlink r:id="rId6912" ref="E2279"/>
    <hyperlink r:id="rId6913" ref="O2279"/>
    <hyperlink r:id="rId6914" ref="B2280"/>
    <hyperlink r:id="rId6915" ref="E2280"/>
    <hyperlink r:id="rId6916" ref="O2280"/>
    <hyperlink r:id="rId6917" ref="B2281"/>
    <hyperlink r:id="rId6918" ref="E2281"/>
    <hyperlink r:id="rId6919" ref="O2281"/>
    <hyperlink r:id="rId6920" ref="B2282"/>
    <hyperlink r:id="rId6921" ref="E2282"/>
    <hyperlink r:id="rId6922" ref="O2282"/>
    <hyperlink r:id="rId6923" ref="B2283"/>
    <hyperlink r:id="rId6924" ref="E2283"/>
    <hyperlink r:id="rId6925" ref="O2283"/>
    <hyperlink r:id="rId6926" ref="B2284"/>
    <hyperlink r:id="rId6927" ref="E2284"/>
    <hyperlink r:id="rId6928" ref="O2284"/>
    <hyperlink r:id="rId6929" ref="B2285"/>
    <hyperlink r:id="rId6930" ref="E2285"/>
    <hyperlink r:id="rId6931" ref="O2285"/>
    <hyperlink r:id="rId6932" ref="B2286"/>
    <hyperlink r:id="rId6933" ref="E2286"/>
    <hyperlink r:id="rId6934" ref="O2286"/>
    <hyperlink r:id="rId6935" ref="B2287"/>
    <hyperlink r:id="rId6936" ref="E2287"/>
    <hyperlink r:id="rId6937" ref="O2287"/>
    <hyperlink r:id="rId6938" ref="B2288"/>
    <hyperlink r:id="rId6939" ref="E2288"/>
    <hyperlink r:id="rId6940" ref="O2288"/>
    <hyperlink r:id="rId6941" ref="B2289"/>
    <hyperlink r:id="rId6942" ref="E2289"/>
    <hyperlink r:id="rId6943" ref="O2289"/>
    <hyperlink r:id="rId6944" ref="B2290"/>
    <hyperlink r:id="rId6945" ref="E2290"/>
    <hyperlink r:id="rId6946" ref="O2290"/>
    <hyperlink r:id="rId6947" ref="B2291"/>
    <hyperlink r:id="rId6948" ref="E2291"/>
    <hyperlink r:id="rId6949" ref="O2291"/>
    <hyperlink r:id="rId6950" ref="B2292"/>
    <hyperlink r:id="rId6951" ref="E2292"/>
    <hyperlink r:id="rId6952" ref="O2292"/>
    <hyperlink r:id="rId6953" ref="B2293"/>
    <hyperlink r:id="rId6954" ref="E2293"/>
    <hyperlink r:id="rId6955" ref="O2293"/>
    <hyperlink r:id="rId6956" ref="B2294"/>
    <hyperlink r:id="rId6957" ref="E2294"/>
    <hyperlink r:id="rId6958" ref="O2294"/>
    <hyperlink r:id="rId6959" ref="B2295"/>
    <hyperlink r:id="rId6960" ref="C2295"/>
    <hyperlink r:id="rId6961" ref="E2295"/>
    <hyperlink r:id="rId6962" ref="O2295"/>
    <hyperlink r:id="rId6963" ref="B2296"/>
    <hyperlink r:id="rId6964" ref="E2296"/>
    <hyperlink r:id="rId6965" ref="O2296"/>
    <hyperlink r:id="rId6966" ref="B2297"/>
    <hyperlink r:id="rId6967" ref="E2297"/>
    <hyperlink r:id="rId6968" ref="O2297"/>
    <hyperlink r:id="rId6969" ref="B2298"/>
    <hyperlink r:id="rId6970" ref="E2298"/>
    <hyperlink r:id="rId6971" ref="O2298"/>
    <hyperlink r:id="rId6972" ref="B2299"/>
    <hyperlink r:id="rId6973" ref="E2299"/>
    <hyperlink r:id="rId6974" ref="O2299"/>
    <hyperlink r:id="rId6975" ref="B2300"/>
    <hyperlink r:id="rId6976" ref="E2300"/>
    <hyperlink r:id="rId6977" ref="O2300"/>
    <hyperlink r:id="rId6978" ref="B2301"/>
    <hyperlink r:id="rId6979" ref="E2301"/>
    <hyperlink r:id="rId6980" ref="O2301"/>
    <hyperlink r:id="rId6981" ref="B2302"/>
    <hyperlink r:id="rId6982" ref="E2302"/>
    <hyperlink r:id="rId6983" ref="O2302"/>
    <hyperlink r:id="rId6984" ref="B2303"/>
    <hyperlink r:id="rId6985" ref="E2303"/>
    <hyperlink r:id="rId6986" ref="O2303"/>
    <hyperlink r:id="rId6987" ref="B2304"/>
    <hyperlink r:id="rId6988" ref="E2304"/>
    <hyperlink r:id="rId6989" ref="O2304"/>
    <hyperlink r:id="rId6990" ref="B2305"/>
    <hyperlink r:id="rId6991" ref="E2305"/>
    <hyperlink r:id="rId6992" ref="O2305"/>
    <hyperlink r:id="rId6993" ref="B2306"/>
    <hyperlink r:id="rId6994" ref="E2306"/>
    <hyperlink r:id="rId6995" ref="O2306"/>
    <hyperlink r:id="rId6996" ref="B2307"/>
    <hyperlink r:id="rId6997" ref="E2307"/>
    <hyperlink r:id="rId6998" ref="O2307"/>
    <hyperlink r:id="rId6999" ref="B2308"/>
    <hyperlink r:id="rId7000" ref="E2308"/>
    <hyperlink r:id="rId7001" ref="O2308"/>
    <hyperlink r:id="rId7002" ref="B2309"/>
    <hyperlink r:id="rId7003" ref="E2309"/>
    <hyperlink r:id="rId7004" ref="O2309"/>
    <hyperlink r:id="rId7005" ref="B2310"/>
    <hyperlink r:id="rId7006" ref="E2310"/>
    <hyperlink r:id="rId7007" ref="O2310"/>
    <hyperlink r:id="rId7008" ref="B2311"/>
    <hyperlink r:id="rId7009" ref="E2311"/>
    <hyperlink r:id="rId7010" ref="O2311"/>
    <hyperlink r:id="rId7011" ref="B2312"/>
    <hyperlink r:id="rId7012" ref="E2312"/>
    <hyperlink r:id="rId7013" ref="O2312"/>
    <hyperlink r:id="rId7014" ref="B2313"/>
    <hyperlink r:id="rId7015" ref="E2313"/>
    <hyperlink r:id="rId7016" ref="O2313"/>
    <hyperlink r:id="rId7017" ref="B2314"/>
    <hyperlink r:id="rId7018" ref="E2314"/>
    <hyperlink r:id="rId7019" ref="O2314"/>
    <hyperlink r:id="rId7020" ref="B2315"/>
    <hyperlink r:id="rId7021" ref="E2315"/>
    <hyperlink r:id="rId7022" ref="O2315"/>
    <hyperlink r:id="rId7023" ref="B2316"/>
    <hyperlink r:id="rId7024" ref="E2316"/>
    <hyperlink r:id="rId7025" ref="N2316"/>
    <hyperlink r:id="rId7026" ref="O2316"/>
    <hyperlink r:id="rId7027" ref="B2317"/>
    <hyperlink r:id="rId7028" ref="E2317"/>
    <hyperlink r:id="rId7029" ref="O2317"/>
    <hyperlink r:id="rId7030" ref="B2318"/>
    <hyperlink r:id="rId7031" ref="E2318"/>
    <hyperlink r:id="rId7032" ref="O2318"/>
    <hyperlink r:id="rId7033" ref="B2319"/>
    <hyperlink r:id="rId7034" ref="E2319"/>
    <hyperlink r:id="rId7035" ref="O2319"/>
    <hyperlink r:id="rId7036" ref="B2320"/>
    <hyperlink r:id="rId7037" ref="E2320"/>
    <hyperlink r:id="rId7038" ref="O2320"/>
    <hyperlink r:id="rId7039" ref="B2321"/>
    <hyperlink r:id="rId7040" ref="E2321"/>
    <hyperlink r:id="rId7041" ref="O2321"/>
    <hyperlink r:id="rId7042" ref="B2322"/>
    <hyperlink r:id="rId7043" ref="E2322"/>
    <hyperlink r:id="rId7044" ref="O2322"/>
    <hyperlink r:id="rId7045" ref="B2323"/>
    <hyperlink r:id="rId7046" ref="E2323"/>
    <hyperlink r:id="rId7047" ref="O2323"/>
    <hyperlink r:id="rId7048" ref="B2324"/>
    <hyperlink r:id="rId7049" ref="E2324"/>
    <hyperlink r:id="rId7050" ref="O2324"/>
    <hyperlink r:id="rId7051" ref="B2325"/>
    <hyperlink r:id="rId7052" ref="E2325"/>
    <hyperlink r:id="rId7053" ref="O2325"/>
    <hyperlink r:id="rId7054" ref="B2326"/>
    <hyperlink r:id="rId7055" ref="E2326"/>
    <hyperlink r:id="rId7056" ref="O2326"/>
    <hyperlink r:id="rId7057" ref="B2327"/>
    <hyperlink r:id="rId7058" ref="E2327"/>
    <hyperlink r:id="rId7059" ref="O2327"/>
    <hyperlink r:id="rId7060" ref="B2328"/>
    <hyperlink r:id="rId7061" ref="E2328"/>
    <hyperlink r:id="rId7062" ref="O2328"/>
    <hyperlink r:id="rId7063" ref="B2329"/>
    <hyperlink r:id="rId7064" ref="E2329"/>
    <hyperlink r:id="rId7065" ref="O2329"/>
    <hyperlink r:id="rId7066" ref="B2330"/>
    <hyperlink r:id="rId7067" ref="E2330"/>
    <hyperlink r:id="rId7068" ref="F2330"/>
    <hyperlink r:id="rId7069" ref="O2330"/>
    <hyperlink r:id="rId7070" ref="B2331"/>
    <hyperlink r:id="rId7071" ref="E2331"/>
    <hyperlink r:id="rId7072" ref="O2331"/>
    <hyperlink r:id="rId7073" ref="B2332"/>
    <hyperlink r:id="rId7074" ref="E2332"/>
    <hyperlink r:id="rId7075" ref="O2332"/>
    <hyperlink r:id="rId7076" ref="B2333"/>
    <hyperlink r:id="rId7077" ref="E2333"/>
    <hyperlink r:id="rId7078" ref="O2333"/>
    <hyperlink r:id="rId7079" ref="B2334"/>
    <hyperlink r:id="rId7080" ref="E2334"/>
    <hyperlink r:id="rId7081" ref="O2334"/>
    <hyperlink r:id="rId7082" ref="B2335"/>
    <hyperlink r:id="rId7083" ref="E2335"/>
    <hyperlink r:id="rId7084" ref="O2335"/>
    <hyperlink r:id="rId7085" ref="B2336"/>
    <hyperlink r:id="rId7086" ref="E2336"/>
    <hyperlink r:id="rId7087" ref="O2336"/>
    <hyperlink r:id="rId7088" ref="B2337"/>
    <hyperlink r:id="rId7089" ref="E2337"/>
    <hyperlink r:id="rId7090" ref="O2337"/>
    <hyperlink r:id="rId7091" ref="B2338"/>
    <hyperlink r:id="rId7092" ref="E2338"/>
    <hyperlink r:id="rId7093" ref="O2338"/>
    <hyperlink r:id="rId7094" ref="B2339"/>
    <hyperlink r:id="rId7095" ref="E2339"/>
    <hyperlink r:id="rId7096" ref="O2339"/>
    <hyperlink r:id="rId7097" ref="B2340"/>
    <hyperlink r:id="rId7098" ref="E2340"/>
    <hyperlink r:id="rId7099" ref="O2340"/>
    <hyperlink r:id="rId7100" ref="B2341"/>
    <hyperlink r:id="rId7101" ref="E2341"/>
    <hyperlink r:id="rId7102" ref="O2341"/>
    <hyperlink r:id="rId7103" ref="B2342"/>
    <hyperlink r:id="rId7104" ref="E2342"/>
    <hyperlink r:id="rId7105" ref="O2342"/>
    <hyperlink r:id="rId7106" ref="B2343"/>
    <hyperlink r:id="rId7107" ref="E2343"/>
    <hyperlink r:id="rId7108" ref="O2343"/>
    <hyperlink r:id="rId7109" ref="B2344"/>
    <hyperlink r:id="rId7110" ref="E2344"/>
    <hyperlink r:id="rId7111" ref="O2344"/>
    <hyperlink r:id="rId7112" ref="B2345"/>
    <hyperlink r:id="rId7113" ref="E2345"/>
    <hyperlink r:id="rId7114" ref="O2345"/>
    <hyperlink r:id="rId7115" ref="B2346"/>
    <hyperlink r:id="rId7116" ref="E2346"/>
    <hyperlink r:id="rId7117" ref="O2346"/>
    <hyperlink r:id="rId7118" ref="B2347"/>
    <hyperlink r:id="rId7119" ref="E2347"/>
    <hyperlink r:id="rId7120" ref="O2347"/>
    <hyperlink r:id="rId7121" ref="B2348"/>
    <hyperlink r:id="rId7122" ref="E2348"/>
    <hyperlink r:id="rId7123" ref="O2348"/>
    <hyperlink r:id="rId7124" ref="B2349"/>
    <hyperlink r:id="rId7125" ref="E2349"/>
    <hyperlink r:id="rId7126" ref="O2349"/>
    <hyperlink r:id="rId7127" ref="B2350"/>
    <hyperlink r:id="rId7128" ref="E2350"/>
    <hyperlink r:id="rId7129" ref="O2350"/>
    <hyperlink r:id="rId7130" ref="B2351"/>
    <hyperlink r:id="rId7131" ref="E2351"/>
    <hyperlink r:id="rId7132" ref="O2351"/>
    <hyperlink r:id="rId7133" ref="B2352"/>
    <hyperlink r:id="rId7134" ref="E2352"/>
    <hyperlink r:id="rId7135" ref="O2352"/>
    <hyperlink r:id="rId7136" ref="B2353"/>
    <hyperlink r:id="rId7137" ref="E2353"/>
    <hyperlink r:id="rId7138" ref="O2353"/>
    <hyperlink r:id="rId7139" ref="B2354"/>
    <hyperlink r:id="rId7140" ref="E2354"/>
    <hyperlink r:id="rId7141" ref="O2354"/>
    <hyperlink r:id="rId7142" ref="B2355"/>
    <hyperlink r:id="rId7143" ref="E2355"/>
    <hyperlink r:id="rId7144" ref="O2355"/>
    <hyperlink r:id="rId7145" ref="B2356"/>
    <hyperlink r:id="rId7146" ref="E2356"/>
    <hyperlink r:id="rId7147" ref="O2356"/>
    <hyperlink r:id="rId7148" ref="B2357"/>
    <hyperlink r:id="rId7149" ref="E2357"/>
    <hyperlink r:id="rId7150" ref="O2357"/>
    <hyperlink r:id="rId7151" ref="B2358"/>
    <hyperlink r:id="rId7152" ref="E2358"/>
    <hyperlink r:id="rId7153" ref="O2358"/>
    <hyperlink r:id="rId7154" ref="B2359"/>
    <hyperlink r:id="rId7155" ref="E2359"/>
    <hyperlink r:id="rId7156" ref="O2359"/>
    <hyperlink r:id="rId7157" ref="B2360"/>
    <hyperlink r:id="rId7158" ref="E2360"/>
    <hyperlink r:id="rId7159" ref="O2360"/>
    <hyperlink r:id="rId7160" ref="B2361"/>
    <hyperlink r:id="rId7161" ref="E2361"/>
    <hyperlink r:id="rId7162" ref="O2361"/>
    <hyperlink r:id="rId7163" ref="B2362"/>
    <hyperlink r:id="rId7164" ref="E2362"/>
    <hyperlink r:id="rId7165" ref="O2362"/>
    <hyperlink r:id="rId7166" ref="B2363"/>
    <hyperlink r:id="rId7167" ref="E2363"/>
    <hyperlink r:id="rId7168" ref="O2363"/>
    <hyperlink r:id="rId7169" ref="B2364"/>
    <hyperlink r:id="rId7170" ref="E2364"/>
    <hyperlink r:id="rId7171" ref="O2364"/>
    <hyperlink r:id="rId7172" ref="B2365"/>
    <hyperlink r:id="rId7173" ref="E2365"/>
    <hyperlink r:id="rId7174" ref="O2365"/>
    <hyperlink r:id="rId7175" ref="B2366"/>
    <hyperlink r:id="rId7176" ref="E2366"/>
    <hyperlink r:id="rId7177" ref="O2366"/>
    <hyperlink r:id="rId7178" ref="B2367"/>
    <hyperlink r:id="rId7179" ref="E2367"/>
    <hyperlink r:id="rId7180" ref="O2367"/>
    <hyperlink r:id="rId7181" ref="B2368"/>
    <hyperlink r:id="rId7182" ref="E2368"/>
    <hyperlink r:id="rId7183" ref="O2368"/>
    <hyperlink r:id="rId7184" ref="B2369"/>
    <hyperlink r:id="rId7185" ref="E2369"/>
    <hyperlink r:id="rId7186" ref="O2369"/>
    <hyperlink r:id="rId7187" ref="B2370"/>
    <hyperlink r:id="rId7188" ref="E2370"/>
    <hyperlink r:id="rId7189" ref="O2370"/>
    <hyperlink r:id="rId7190" ref="B2371"/>
    <hyperlink r:id="rId7191" ref="E2371"/>
    <hyperlink r:id="rId7192" ref="O2371"/>
    <hyperlink r:id="rId7193" ref="B2372"/>
    <hyperlink r:id="rId7194" ref="E2372"/>
    <hyperlink r:id="rId7195" ref="O2372"/>
    <hyperlink r:id="rId7196" ref="B2373"/>
    <hyperlink r:id="rId7197" ref="E2373"/>
    <hyperlink r:id="rId7198" ref="O2373"/>
    <hyperlink r:id="rId7199" ref="B2374"/>
    <hyperlink r:id="rId7200" ref="E2374"/>
    <hyperlink r:id="rId7201" ref="O2374"/>
    <hyperlink r:id="rId7202" ref="B2375"/>
    <hyperlink r:id="rId7203" ref="E2375"/>
    <hyperlink r:id="rId7204" ref="O2375"/>
    <hyperlink r:id="rId7205" ref="B2376"/>
    <hyperlink r:id="rId7206" ref="E2376"/>
    <hyperlink r:id="rId7207" ref="O2376"/>
    <hyperlink r:id="rId7208" ref="B2377"/>
    <hyperlink r:id="rId7209" ref="E2377"/>
    <hyperlink r:id="rId7210" ref="O2377"/>
    <hyperlink r:id="rId7211" ref="B2378"/>
    <hyperlink r:id="rId7212" ref="E2378"/>
    <hyperlink r:id="rId7213" ref="O2378"/>
    <hyperlink r:id="rId7214" ref="B2379"/>
    <hyperlink r:id="rId7215" ref="E2379"/>
    <hyperlink r:id="rId7216" ref="O2379"/>
    <hyperlink r:id="rId7217" ref="B2380"/>
    <hyperlink r:id="rId7218" ref="E2380"/>
    <hyperlink r:id="rId7219" ref="O2380"/>
    <hyperlink r:id="rId7220" ref="B2381"/>
    <hyperlink r:id="rId7221" ref="E2381"/>
    <hyperlink r:id="rId7222" ref="O2381"/>
    <hyperlink r:id="rId7223" ref="B2382"/>
    <hyperlink r:id="rId7224" ref="E2382"/>
    <hyperlink r:id="rId7225" ref="O2382"/>
    <hyperlink r:id="rId7226" ref="B2383"/>
    <hyperlink r:id="rId7227" ref="C2383"/>
    <hyperlink r:id="rId7228" ref="E2383"/>
    <hyperlink r:id="rId7229" ref="O2383"/>
    <hyperlink r:id="rId7230" ref="B2384"/>
    <hyperlink r:id="rId7231" ref="E2384"/>
    <hyperlink r:id="rId7232" ref="F2384"/>
    <hyperlink r:id="rId7233" ref="O2384"/>
    <hyperlink r:id="rId7234" ref="B2385"/>
    <hyperlink r:id="rId7235" ref="E2385"/>
    <hyperlink r:id="rId7236" ref="O2385"/>
    <hyperlink r:id="rId7237" ref="B2386"/>
    <hyperlink r:id="rId7238" ref="E2386"/>
    <hyperlink r:id="rId7239" ref="O2386"/>
    <hyperlink r:id="rId7240" ref="B2387"/>
    <hyperlink r:id="rId7241" ref="E2387"/>
    <hyperlink r:id="rId7242" ref="O2387"/>
    <hyperlink r:id="rId7243" ref="B2388"/>
    <hyperlink r:id="rId7244" ref="E2388"/>
    <hyperlink r:id="rId7245" ref="O2388"/>
    <hyperlink r:id="rId7246" ref="B2389"/>
    <hyperlink r:id="rId7247" ref="E2389"/>
    <hyperlink r:id="rId7248" ref="O2389"/>
    <hyperlink r:id="rId7249" ref="B2390"/>
    <hyperlink r:id="rId7250" ref="E2390"/>
    <hyperlink r:id="rId7251" ref="O2390"/>
    <hyperlink r:id="rId7252" ref="B2391"/>
    <hyperlink r:id="rId7253" ref="E2391"/>
    <hyperlink r:id="rId7254" ref="O2391"/>
    <hyperlink r:id="rId7255" ref="B2392"/>
    <hyperlink r:id="rId7256" ref="E2392"/>
    <hyperlink r:id="rId7257" ref="O2392"/>
    <hyperlink r:id="rId7258" ref="B2393"/>
    <hyperlink r:id="rId7259" ref="E2393"/>
    <hyperlink r:id="rId7260" ref="O2393"/>
    <hyperlink r:id="rId7261" ref="B2394"/>
    <hyperlink r:id="rId7262" ref="E2394"/>
    <hyperlink r:id="rId7263" ref="O2394"/>
    <hyperlink r:id="rId7264" ref="B2395"/>
    <hyperlink r:id="rId7265" ref="E2395"/>
    <hyperlink r:id="rId7266" ref="O2395"/>
    <hyperlink r:id="rId7267" ref="B2396"/>
    <hyperlink r:id="rId7268" ref="E2396"/>
    <hyperlink r:id="rId7269" ref="O2396"/>
    <hyperlink r:id="rId7270" ref="B2397"/>
    <hyperlink r:id="rId7271" ref="E2397"/>
    <hyperlink r:id="rId7272" ref="O2397"/>
    <hyperlink r:id="rId7273" ref="B2398"/>
    <hyperlink r:id="rId7274" ref="E2398"/>
    <hyperlink r:id="rId7275" ref="O2398"/>
    <hyperlink r:id="rId7276" ref="B2399"/>
    <hyperlink r:id="rId7277" ref="E2399"/>
    <hyperlink r:id="rId7278" ref="O2399"/>
    <hyperlink r:id="rId7279" ref="B2400"/>
    <hyperlink r:id="rId7280" ref="E2400"/>
    <hyperlink r:id="rId7281" ref="O2400"/>
    <hyperlink r:id="rId7282" ref="B2401"/>
    <hyperlink r:id="rId7283" ref="E2401"/>
    <hyperlink r:id="rId7284" ref="O2401"/>
    <hyperlink r:id="rId7285" ref="B2402"/>
    <hyperlink r:id="rId7286" ref="E2402"/>
    <hyperlink r:id="rId7287" ref="O2402"/>
    <hyperlink r:id="rId7288" ref="B2403"/>
    <hyperlink r:id="rId7289" ref="E2403"/>
    <hyperlink r:id="rId7290" ref="O2403"/>
    <hyperlink r:id="rId7291" ref="B2404"/>
    <hyperlink r:id="rId7292" ref="E2404"/>
    <hyperlink r:id="rId7293" ref="O2404"/>
    <hyperlink r:id="rId7294" ref="B2405"/>
    <hyperlink r:id="rId7295" ref="E2405"/>
    <hyperlink r:id="rId7296" ref="O2405"/>
    <hyperlink r:id="rId7297" ref="B2406"/>
    <hyperlink r:id="rId7298" ref="E2406"/>
    <hyperlink r:id="rId7299" ref="O2406"/>
    <hyperlink r:id="rId7300" ref="B2407"/>
    <hyperlink r:id="rId7301" ref="E2407"/>
    <hyperlink r:id="rId7302" ref="O2407"/>
    <hyperlink r:id="rId7303" ref="B2408"/>
    <hyperlink r:id="rId7304" ref="E2408"/>
    <hyperlink r:id="rId7305" ref="O2408"/>
    <hyperlink r:id="rId7306" ref="B2409"/>
    <hyperlink r:id="rId7307" ref="E2409"/>
    <hyperlink r:id="rId7308" ref="O2409"/>
    <hyperlink r:id="rId7309" ref="B2410"/>
    <hyperlink r:id="rId7310" ref="E2410"/>
    <hyperlink r:id="rId7311" ref="O2410"/>
    <hyperlink r:id="rId7312" ref="B2411"/>
    <hyperlink r:id="rId7313" ref="E2411"/>
    <hyperlink r:id="rId7314" ref="O2411"/>
    <hyperlink r:id="rId7315" ref="B2412"/>
    <hyperlink r:id="rId7316" ref="E2412"/>
    <hyperlink r:id="rId7317" ref="O2412"/>
    <hyperlink r:id="rId7318" ref="B2413"/>
    <hyperlink r:id="rId7319" ref="E2413"/>
    <hyperlink r:id="rId7320" ref="O2413"/>
    <hyperlink r:id="rId7321" ref="B2414"/>
    <hyperlink r:id="rId7322" ref="E2414"/>
    <hyperlink r:id="rId7323" ref="O2414"/>
    <hyperlink r:id="rId7324" ref="B2415"/>
    <hyperlink r:id="rId7325" ref="E2415"/>
    <hyperlink r:id="rId7326" ref="O2415"/>
    <hyperlink r:id="rId7327" ref="B2416"/>
    <hyperlink r:id="rId7328" ref="E2416"/>
    <hyperlink r:id="rId7329" ref="O2416"/>
    <hyperlink r:id="rId7330" ref="B2417"/>
    <hyperlink r:id="rId7331" ref="E2417"/>
    <hyperlink r:id="rId7332" ref="O2417"/>
    <hyperlink r:id="rId7333" ref="B2418"/>
    <hyperlink r:id="rId7334" ref="E2418"/>
    <hyperlink r:id="rId7335" ref="O2418"/>
    <hyperlink r:id="rId7336" ref="B2419"/>
    <hyperlink r:id="rId7337" ref="E2419"/>
    <hyperlink r:id="rId7338" ref="O2419"/>
    <hyperlink r:id="rId7339" ref="B2420"/>
    <hyperlink r:id="rId7340" ref="E2420"/>
    <hyperlink r:id="rId7341" ref="O2420"/>
    <hyperlink r:id="rId7342" ref="B2421"/>
    <hyperlink r:id="rId7343" ref="E2421"/>
    <hyperlink r:id="rId7344" ref="O2421"/>
    <hyperlink r:id="rId7345" ref="B2422"/>
    <hyperlink r:id="rId7346" ref="E2422"/>
    <hyperlink r:id="rId7347" ref="O2422"/>
    <hyperlink r:id="rId7348" ref="B2423"/>
    <hyperlink r:id="rId7349" ref="E2423"/>
    <hyperlink r:id="rId7350" ref="O2423"/>
    <hyperlink r:id="rId7351" ref="B2424"/>
    <hyperlink r:id="rId7352" ref="E2424"/>
    <hyperlink r:id="rId7353" ref="O2424"/>
    <hyperlink r:id="rId7354" ref="B2425"/>
    <hyperlink r:id="rId7355" ref="E2425"/>
    <hyperlink r:id="rId7356" ref="O2425"/>
    <hyperlink r:id="rId7357" ref="B2426"/>
    <hyperlink r:id="rId7358" ref="E2426"/>
    <hyperlink r:id="rId7359" ref="O2426"/>
    <hyperlink r:id="rId7360" ref="B2427"/>
    <hyperlink r:id="rId7361" ref="E2427"/>
    <hyperlink r:id="rId7362" ref="O2427"/>
    <hyperlink r:id="rId7363" ref="B2428"/>
    <hyperlink r:id="rId7364" ref="E2428"/>
    <hyperlink r:id="rId7365" ref="O2428"/>
    <hyperlink r:id="rId7366" ref="B2429"/>
    <hyperlink r:id="rId7367" ref="E2429"/>
    <hyperlink r:id="rId7368" ref="O2429"/>
    <hyperlink r:id="rId7369" ref="B2430"/>
    <hyperlink r:id="rId7370" ref="E2430"/>
    <hyperlink r:id="rId7371" ref="O2430"/>
    <hyperlink r:id="rId7372" ref="B2431"/>
    <hyperlink r:id="rId7373" ref="E2431"/>
    <hyperlink r:id="rId7374" ref="O2431"/>
    <hyperlink r:id="rId7375" ref="B2432"/>
    <hyperlink r:id="rId7376" ref="E2432"/>
    <hyperlink r:id="rId7377" ref="O2432"/>
    <hyperlink r:id="rId7378" ref="B2433"/>
    <hyperlink r:id="rId7379" ref="E2433"/>
    <hyperlink r:id="rId7380" ref="O2433"/>
    <hyperlink r:id="rId7381" ref="B2434"/>
    <hyperlink r:id="rId7382" ref="E2434"/>
    <hyperlink r:id="rId7383" ref="O2434"/>
    <hyperlink r:id="rId7384" ref="B2435"/>
    <hyperlink r:id="rId7385" ref="E2435"/>
    <hyperlink r:id="rId7386" ref="O2435"/>
    <hyperlink r:id="rId7387" ref="B2436"/>
    <hyperlink r:id="rId7388" ref="E2436"/>
    <hyperlink r:id="rId7389" ref="O2436"/>
    <hyperlink r:id="rId7390" ref="B2437"/>
    <hyperlink r:id="rId7391" ref="E2437"/>
    <hyperlink r:id="rId7392" ref="O2437"/>
    <hyperlink r:id="rId7393" ref="B2438"/>
    <hyperlink r:id="rId7394" ref="E2438"/>
    <hyperlink r:id="rId7395" ref="O2438"/>
    <hyperlink r:id="rId7396" ref="B2439"/>
    <hyperlink r:id="rId7397" ref="E2439"/>
    <hyperlink r:id="rId7398" ref="O2439"/>
    <hyperlink r:id="rId7399" ref="B2440"/>
    <hyperlink r:id="rId7400" ref="E2440"/>
    <hyperlink r:id="rId7401" ref="O2440"/>
    <hyperlink r:id="rId7402" ref="B2441"/>
    <hyperlink r:id="rId7403" ref="E2441"/>
    <hyperlink r:id="rId7404" ref="O2441"/>
    <hyperlink r:id="rId7405" ref="B2442"/>
    <hyperlink r:id="rId7406" ref="E2442"/>
    <hyperlink r:id="rId7407" ref="O2442"/>
    <hyperlink r:id="rId7408" ref="B2443"/>
    <hyperlink r:id="rId7409" ref="E2443"/>
    <hyperlink r:id="rId7410" ref="O2443"/>
    <hyperlink r:id="rId7411" ref="B2444"/>
    <hyperlink r:id="rId7412" ref="E2444"/>
    <hyperlink r:id="rId7413" ref="O2444"/>
    <hyperlink r:id="rId7414" ref="B2445"/>
    <hyperlink r:id="rId7415" ref="E2445"/>
    <hyperlink r:id="rId7416" ref="O2445"/>
    <hyperlink r:id="rId7417" ref="B2446"/>
    <hyperlink r:id="rId7418" ref="E2446"/>
    <hyperlink r:id="rId7419" ref="O2446"/>
    <hyperlink r:id="rId7420" ref="B2447"/>
    <hyperlink r:id="rId7421" ref="E2447"/>
    <hyperlink r:id="rId7422" ref="O2447"/>
    <hyperlink r:id="rId7423" ref="B2448"/>
    <hyperlink r:id="rId7424" ref="E2448"/>
    <hyperlink r:id="rId7425" ref="O2448"/>
    <hyperlink r:id="rId7426" ref="B2449"/>
    <hyperlink r:id="rId7427" ref="E2449"/>
    <hyperlink r:id="rId7428" ref="O2449"/>
    <hyperlink r:id="rId7429" ref="B2450"/>
    <hyperlink r:id="rId7430" ref="E2450"/>
    <hyperlink r:id="rId7431" ref="O2450"/>
    <hyperlink r:id="rId7432" ref="B2451"/>
    <hyperlink r:id="rId7433" ref="E2451"/>
    <hyperlink r:id="rId7434" ref="O2451"/>
    <hyperlink r:id="rId7435" ref="B2452"/>
    <hyperlink r:id="rId7436" ref="E2452"/>
    <hyperlink r:id="rId7437" ref="O2452"/>
    <hyperlink r:id="rId7438" ref="B2453"/>
    <hyperlink r:id="rId7439" ref="E2453"/>
    <hyperlink r:id="rId7440" ref="O2453"/>
    <hyperlink r:id="rId7441" ref="B2454"/>
    <hyperlink r:id="rId7442" ref="E2454"/>
    <hyperlink r:id="rId7443" ref="O2454"/>
    <hyperlink r:id="rId7444" ref="B2455"/>
    <hyperlink r:id="rId7445" ref="E2455"/>
    <hyperlink r:id="rId7446" ref="O2455"/>
    <hyperlink r:id="rId7447" ref="B2456"/>
    <hyperlink r:id="rId7448" ref="E2456"/>
    <hyperlink r:id="rId7449" ref="O2456"/>
    <hyperlink r:id="rId7450" ref="B2457"/>
    <hyperlink r:id="rId7451" ref="E2457"/>
    <hyperlink r:id="rId7452" ref="O2457"/>
    <hyperlink r:id="rId7453" ref="B2458"/>
    <hyperlink r:id="rId7454" ref="E2458"/>
    <hyperlink r:id="rId7455" ref="O2458"/>
    <hyperlink r:id="rId7456" ref="B2459"/>
    <hyperlink r:id="rId7457" ref="E2459"/>
    <hyperlink r:id="rId7458" ref="O2459"/>
    <hyperlink r:id="rId7459" ref="B2460"/>
    <hyperlink r:id="rId7460" ref="E2460"/>
    <hyperlink r:id="rId7461" ref="O2460"/>
    <hyperlink r:id="rId7462" ref="B2461"/>
    <hyperlink r:id="rId7463" ref="E2461"/>
    <hyperlink r:id="rId7464" ref="O2461"/>
    <hyperlink r:id="rId7465" ref="B2462"/>
    <hyperlink r:id="rId7466" ref="E2462"/>
    <hyperlink r:id="rId7467" ref="O2462"/>
    <hyperlink r:id="rId7468" ref="B2463"/>
    <hyperlink r:id="rId7469" ref="E2463"/>
    <hyperlink r:id="rId7470" ref="O2463"/>
    <hyperlink r:id="rId7471" ref="B2464"/>
    <hyperlink r:id="rId7472" ref="E2464"/>
    <hyperlink r:id="rId7473" ref="O2464"/>
    <hyperlink r:id="rId7474" ref="B2465"/>
    <hyperlink r:id="rId7475" ref="E2465"/>
    <hyperlink r:id="rId7476" ref="O2465"/>
    <hyperlink r:id="rId7477" ref="B2466"/>
    <hyperlink r:id="rId7478" ref="E2466"/>
    <hyperlink r:id="rId7479" ref="O2466"/>
    <hyperlink r:id="rId7480" ref="B2467"/>
    <hyperlink r:id="rId7481" ref="E2467"/>
    <hyperlink r:id="rId7482" ref="O2467"/>
    <hyperlink r:id="rId7483" ref="B2468"/>
    <hyperlink r:id="rId7484" ref="E2468"/>
    <hyperlink r:id="rId7485" ref="O2468"/>
    <hyperlink r:id="rId7486" ref="B2469"/>
    <hyperlink r:id="rId7487" ref="E2469"/>
    <hyperlink r:id="rId7488" ref="O2469"/>
    <hyperlink r:id="rId7489" ref="B2470"/>
    <hyperlink r:id="rId7490" ref="E2470"/>
    <hyperlink r:id="rId7491" ref="O2470"/>
    <hyperlink r:id="rId7492" ref="B2471"/>
    <hyperlink r:id="rId7493" ref="E2471"/>
    <hyperlink r:id="rId7494" ref="O2471"/>
    <hyperlink r:id="rId7495" ref="B2472"/>
    <hyperlink r:id="rId7496" ref="E2472"/>
    <hyperlink r:id="rId7497" ref="O2472"/>
    <hyperlink r:id="rId7498" ref="B2473"/>
    <hyperlink r:id="rId7499" ref="E2473"/>
    <hyperlink r:id="rId7500" ref="O2473"/>
    <hyperlink r:id="rId7501" ref="B2474"/>
    <hyperlink r:id="rId7502" ref="E2474"/>
    <hyperlink r:id="rId7503" ref="O2474"/>
    <hyperlink r:id="rId7504" ref="B2475"/>
    <hyperlink r:id="rId7505" ref="E2475"/>
    <hyperlink r:id="rId7506" ref="O2475"/>
    <hyperlink r:id="rId7507" ref="B2476"/>
    <hyperlink r:id="rId7508" ref="E2476"/>
    <hyperlink r:id="rId7509" ref="F2476"/>
    <hyperlink r:id="rId7510" ref="O2476"/>
    <hyperlink r:id="rId7511" ref="B2477"/>
    <hyperlink r:id="rId7512" ref="E2477"/>
    <hyperlink r:id="rId7513" ref="F2477"/>
    <hyperlink r:id="rId7514" ref="O2477"/>
    <hyperlink r:id="rId7515" ref="B2478"/>
    <hyperlink r:id="rId7516" ref="E2478"/>
    <hyperlink r:id="rId7517" ref="F2478"/>
    <hyperlink r:id="rId7518" ref="O2478"/>
    <hyperlink r:id="rId7519" ref="B2479"/>
    <hyperlink r:id="rId7520" ref="E2479"/>
    <hyperlink r:id="rId7521" ref="O2479"/>
    <hyperlink r:id="rId7522" ref="B2480"/>
    <hyperlink r:id="rId7523" ref="E2480"/>
    <hyperlink r:id="rId7524" ref="O2480"/>
    <hyperlink r:id="rId7525" ref="B2481"/>
    <hyperlink r:id="rId7526" ref="E2481"/>
    <hyperlink r:id="rId7527" ref="O2481"/>
    <hyperlink r:id="rId7528" ref="B2482"/>
    <hyperlink r:id="rId7529" ref="E2482"/>
    <hyperlink r:id="rId7530" ref="O2482"/>
    <hyperlink r:id="rId7531" ref="B2483"/>
    <hyperlink r:id="rId7532" ref="E2483"/>
    <hyperlink r:id="rId7533" ref="O2483"/>
    <hyperlink r:id="rId7534" ref="B2484"/>
    <hyperlink r:id="rId7535" ref="E2484"/>
    <hyperlink r:id="rId7536" ref="O2484"/>
    <hyperlink r:id="rId7537" ref="B2485"/>
    <hyperlink r:id="rId7538" ref="E2485"/>
    <hyperlink r:id="rId7539" ref="O2485"/>
    <hyperlink r:id="rId7540" ref="B2486"/>
    <hyperlink r:id="rId7541" ref="E2486"/>
    <hyperlink r:id="rId7542" ref="O2486"/>
    <hyperlink r:id="rId7543" ref="B2487"/>
    <hyperlink r:id="rId7544" ref="E2487"/>
    <hyperlink r:id="rId7545" ref="O2487"/>
    <hyperlink r:id="rId7546" ref="B2488"/>
    <hyperlink r:id="rId7547" ref="E2488"/>
    <hyperlink r:id="rId7548" ref="O2488"/>
    <hyperlink r:id="rId7549" ref="B2489"/>
    <hyperlink r:id="rId7550" ref="E2489"/>
    <hyperlink r:id="rId7551" ref="O2489"/>
    <hyperlink r:id="rId7552" ref="B2490"/>
    <hyperlink r:id="rId7553" ref="E2490"/>
    <hyperlink r:id="rId7554" ref="O2490"/>
    <hyperlink r:id="rId7555" ref="B2491"/>
    <hyperlink r:id="rId7556" ref="E2491"/>
    <hyperlink r:id="rId7557" ref="O2491"/>
    <hyperlink r:id="rId7558" ref="B2492"/>
    <hyperlink r:id="rId7559" ref="E2492"/>
    <hyperlink r:id="rId7560" ref="O2492"/>
    <hyperlink r:id="rId7561" ref="B2493"/>
    <hyperlink r:id="rId7562" ref="E2493"/>
    <hyperlink r:id="rId7563" ref="O2493"/>
    <hyperlink r:id="rId7564" ref="B2494"/>
    <hyperlink r:id="rId7565" ref="E2494"/>
    <hyperlink r:id="rId7566" ref="O2494"/>
    <hyperlink r:id="rId7567" ref="B2495"/>
    <hyperlink r:id="rId7568" ref="E2495"/>
    <hyperlink r:id="rId7569" ref="O2495"/>
    <hyperlink r:id="rId7570" ref="B2496"/>
    <hyperlink r:id="rId7571" ref="E2496"/>
    <hyperlink r:id="rId7572" ref="O2496"/>
    <hyperlink r:id="rId7573" ref="B2497"/>
    <hyperlink r:id="rId7574" ref="E2497"/>
    <hyperlink r:id="rId7575" ref="O2497"/>
    <hyperlink r:id="rId7576" ref="B2498"/>
    <hyperlink r:id="rId7577" ref="E2498"/>
    <hyperlink r:id="rId7578" ref="O2498"/>
    <hyperlink r:id="rId7579" ref="B2499"/>
    <hyperlink r:id="rId7580" ref="E2499"/>
    <hyperlink r:id="rId7581" ref="O2499"/>
    <hyperlink r:id="rId7582" ref="B2500"/>
    <hyperlink r:id="rId7583" ref="E2500"/>
    <hyperlink r:id="rId7584" ref="O2500"/>
    <hyperlink r:id="rId7585" ref="B2501"/>
    <hyperlink r:id="rId7586" ref="E2501"/>
    <hyperlink r:id="rId7587" ref="O2501"/>
    <hyperlink r:id="rId7588" ref="B2502"/>
    <hyperlink r:id="rId7589" ref="E2502"/>
    <hyperlink r:id="rId7590" ref="O2502"/>
    <hyperlink r:id="rId7591" ref="B2503"/>
    <hyperlink r:id="rId7592" ref="E2503"/>
    <hyperlink r:id="rId7593" ref="O2503"/>
    <hyperlink r:id="rId7594" ref="B2504"/>
    <hyperlink r:id="rId7595" ref="E2504"/>
    <hyperlink r:id="rId7596" ref="O2504"/>
    <hyperlink r:id="rId7597" ref="B2505"/>
    <hyperlink r:id="rId7598" ref="E2505"/>
    <hyperlink r:id="rId7599" ref="O2505"/>
    <hyperlink r:id="rId7600" ref="B2506"/>
    <hyperlink r:id="rId7601" ref="E2506"/>
    <hyperlink r:id="rId7602" ref="O2506"/>
    <hyperlink r:id="rId7603" ref="B2507"/>
    <hyperlink r:id="rId7604" ref="E2507"/>
    <hyperlink r:id="rId7605" ref="O2507"/>
    <hyperlink r:id="rId7606" ref="B2508"/>
    <hyperlink r:id="rId7607" ref="E2508"/>
    <hyperlink r:id="rId7608" ref="O2508"/>
    <hyperlink r:id="rId7609" ref="B2509"/>
    <hyperlink r:id="rId7610" ref="E2509"/>
    <hyperlink r:id="rId7611" ref="O2509"/>
    <hyperlink r:id="rId7612" ref="B2510"/>
    <hyperlink r:id="rId7613" ref="E2510"/>
    <hyperlink r:id="rId7614" ref="O2510"/>
    <hyperlink r:id="rId7615" ref="B2511"/>
    <hyperlink r:id="rId7616" ref="E2511"/>
    <hyperlink r:id="rId7617" ref="O2511"/>
    <hyperlink r:id="rId7618" ref="B2512"/>
    <hyperlink r:id="rId7619" ref="E2512"/>
    <hyperlink r:id="rId7620" ref="O2512"/>
    <hyperlink r:id="rId7621" ref="B2513"/>
    <hyperlink r:id="rId7622" ref="E2513"/>
    <hyperlink r:id="rId7623" ref="O2513"/>
    <hyperlink r:id="rId7624" ref="B2514"/>
    <hyperlink r:id="rId7625" ref="E2514"/>
    <hyperlink r:id="rId7626" ref="O2514"/>
    <hyperlink r:id="rId7627" ref="B2515"/>
    <hyperlink r:id="rId7628" ref="E2515"/>
    <hyperlink r:id="rId7629" ref="O2515"/>
    <hyperlink r:id="rId7630" ref="B2516"/>
    <hyperlink r:id="rId7631" ref="E2516"/>
    <hyperlink r:id="rId7632" ref="O2516"/>
    <hyperlink r:id="rId7633" ref="B2517"/>
    <hyperlink r:id="rId7634" ref="E2517"/>
    <hyperlink r:id="rId7635" ref="O2517"/>
    <hyperlink r:id="rId7636" ref="B2518"/>
    <hyperlink r:id="rId7637" ref="E2518"/>
    <hyperlink r:id="rId7638" ref="O2518"/>
    <hyperlink r:id="rId7639" ref="B2519"/>
    <hyperlink r:id="rId7640" ref="E2519"/>
    <hyperlink r:id="rId7641" ref="O2519"/>
    <hyperlink r:id="rId7642" ref="B2520"/>
    <hyperlink r:id="rId7643" ref="E2520"/>
    <hyperlink r:id="rId7644" ref="O2520"/>
    <hyperlink r:id="rId7645" ref="B2521"/>
    <hyperlink r:id="rId7646" ref="E2521"/>
    <hyperlink r:id="rId7647" ref="O2521"/>
    <hyperlink r:id="rId7648" ref="B2522"/>
    <hyperlink r:id="rId7649" ref="E2522"/>
    <hyperlink r:id="rId7650" ref="O2522"/>
    <hyperlink r:id="rId7651" ref="B2523"/>
    <hyperlink r:id="rId7652" ref="E2523"/>
    <hyperlink r:id="rId7653" ref="O2523"/>
    <hyperlink r:id="rId7654" ref="B2524"/>
    <hyperlink r:id="rId7655" ref="E2524"/>
    <hyperlink r:id="rId7656" ref="O2524"/>
    <hyperlink r:id="rId7657" ref="B2525"/>
    <hyperlink r:id="rId7658" ref="E2525"/>
    <hyperlink r:id="rId7659" ref="O2525"/>
    <hyperlink r:id="rId7660" ref="B2526"/>
    <hyperlink r:id="rId7661" ref="E2526"/>
    <hyperlink r:id="rId7662" ref="O2526"/>
    <hyperlink r:id="rId7663" ref="B2527"/>
    <hyperlink r:id="rId7664" ref="E2527"/>
    <hyperlink r:id="rId7665" ref="O2527"/>
    <hyperlink r:id="rId7666" ref="B2528"/>
    <hyperlink r:id="rId7667" ref="E2528"/>
    <hyperlink r:id="rId7668" ref="O2528"/>
    <hyperlink r:id="rId7669" ref="B2529"/>
    <hyperlink r:id="rId7670" ref="E2529"/>
    <hyperlink r:id="rId7671" ref="O2529"/>
    <hyperlink r:id="rId7672" ref="B2530"/>
    <hyperlink r:id="rId7673" ref="E2530"/>
    <hyperlink r:id="rId7674" ref="O2530"/>
    <hyperlink r:id="rId7675" ref="B2531"/>
    <hyperlink r:id="rId7676" ref="E2531"/>
    <hyperlink r:id="rId7677" ref="O2531"/>
    <hyperlink r:id="rId7678" ref="B2532"/>
    <hyperlink r:id="rId7679" ref="E2532"/>
    <hyperlink r:id="rId7680" ref="O2532"/>
    <hyperlink r:id="rId7681" ref="B2533"/>
    <hyperlink r:id="rId7682" ref="E2533"/>
    <hyperlink r:id="rId7683" ref="O2533"/>
    <hyperlink r:id="rId7684" ref="B2534"/>
    <hyperlink r:id="rId7685" ref="E2534"/>
    <hyperlink r:id="rId7686" ref="O2534"/>
    <hyperlink r:id="rId7687" ref="B2535"/>
    <hyperlink r:id="rId7688" ref="E2535"/>
    <hyperlink r:id="rId7689" ref="O2535"/>
    <hyperlink r:id="rId7690" ref="B2536"/>
    <hyperlink r:id="rId7691" ref="E2536"/>
    <hyperlink r:id="rId7692" ref="F2536"/>
    <hyperlink r:id="rId7693" ref="O2536"/>
    <hyperlink r:id="rId7694" ref="B2537"/>
    <hyperlink r:id="rId7695" ref="E2537"/>
    <hyperlink r:id="rId7696" ref="O2537"/>
    <hyperlink r:id="rId7697" ref="B2538"/>
    <hyperlink r:id="rId7698" ref="E2538"/>
    <hyperlink r:id="rId7699" ref="O2538"/>
    <hyperlink r:id="rId7700" ref="B2539"/>
    <hyperlink r:id="rId7701" ref="E2539"/>
    <hyperlink r:id="rId7702" ref="O2539"/>
    <hyperlink r:id="rId7703" ref="B2540"/>
    <hyperlink r:id="rId7704" ref="E2540"/>
    <hyperlink r:id="rId7705" ref="O2540"/>
    <hyperlink r:id="rId7706" ref="B2541"/>
    <hyperlink r:id="rId7707" ref="E2541"/>
    <hyperlink r:id="rId7708" ref="O2541"/>
    <hyperlink r:id="rId7709" ref="B2542"/>
    <hyperlink r:id="rId7710" ref="E2542"/>
    <hyperlink r:id="rId7711" ref="O2542"/>
    <hyperlink r:id="rId7712" ref="B2543"/>
    <hyperlink r:id="rId7713" ref="E2543"/>
    <hyperlink r:id="rId7714" ref="O2543"/>
    <hyperlink r:id="rId7715" ref="B2544"/>
    <hyperlink r:id="rId7716" ref="E2544"/>
    <hyperlink r:id="rId7717" ref="O2544"/>
    <hyperlink r:id="rId7718" ref="B2545"/>
    <hyperlink r:id="rId7719" ref="E2545"/>
    <hyperlink r:id="rId7720" ref="O2545"/>
    <hyperlink r:id="rId7721" ref="B2546"/>
    <hyperlink r:id="rId7722" ref="E2546"/>
    <hyperlink r:id="rId7723" ref="O2546"/>
    <hyperlink r:id="rId7724" ref="B2547"/>
    <hyperlink r:id="rId7725" ref="E2547"/>
    <hyperlink r:id="rId7726" ref="O2547"/>
    <hyperlink r:id="rId7727" ref="B2548"/>
    <hyperlink r:id="rId7728" ref="E2548"/>
    <hyperlink r:id="rId7729" ref="O2548"/>
    <hyperlink r:id="rId7730" ref="B2549"/>
    <hyperlink r:id="rId7731" ref="E2549"/>
    <hyperlink r:id="rId7732" ref="O2549"/>
    <hyperlink r:id="rId7733" ref="B2550"/>
    <hyperlink r:id="rId7734" ref="E2550"/>
    <hyperlink r:id="rId7735" ref="O2550"/>
    <hyperlink r:id="rId7736" ref="B2551"/>
    <hyperlink r:id="rId7737" ref="E2551"/>
    <hyperlink r:id="rId7738" ref="O2551"/>
    <hyperlink r:id="rId7739" ref="B2552"/>
    <hyperlink r:id="rId7740" ref="E2552"/>
    <hyperlink r:id="rId7741" ref="O2552"/>
    <hyperlink r:id="rId7742" ref="B2553"/>
    <hyperlink r:id="rId7743" ref="E2553"/>
    <hyperlink r:id="rId7744" ref="O2553"/>
    <hyperlink r:id="rId7745" ref="B2554"/>
    <hyperlink r:id="rId7746" ref="E2554"/>
    <hyperlink r:id="rId7747" ref="O2554"/>
    <hyperlink r:id="rId7748" ref="B2555"/>
    <hyperlink r:id="rId7749" ref="E2555"/>
    <hyperlink r:id="rId7750" ref="O2555"/>
    <hyperlink r:id="rId7751" ref="B2556"/>
    <hyperlink r:id="rId7752" ref="E2556"/>
    <hyperlink r:id="rId7753" ref="O2556"/>
    <hyperlink r:id="rId7754" ref="B2557"/>
    <hyperlink r:id="rId7755" ref="E2557"/>
    <hyperlink r:id="rId7756" ref="O2557"/>
    <hyperlink r:id="rId7757" ref="B2558"/>
    <hyperlink r:id="rId7758" ref="E2558"/>
    <hyperlink r:id="rId7759" ref="O2558"/>
    <hyperlink r:id="rId7760" ref="B2559"/>
    <hyperlink r:id="rId7761" ref="E2559"/>
    <hyperlink r:id="rId7762" ref="O2559"/>
    <hyperlink r:id="rId7763" ref="B2560"/>
    <hyperlink r:id="rId7764" ref="E2560"/>
    <hyperlink r:id="rId7765" ref="O2560"/>
    <hyperlink r:id="rId7766" ref="B2561"/>
    <hyperlink r:id="rId7767" ref="E2561"/>
    <hyperlink r:id="rId7768" ref="O2561"/>
    <hyperlink r:id="rId7769" ref="B2562"/>
    <hyperlink r:id="rId7770" ref="E2562"/>
    <hyperlink r:id="rId7771" ref="O2562"/>
    <hyperlink r:id="rId7772" ref="B2563"/>
    <hyperlink r:id="rId7773" ref="E2563"/>
    <hyperlink r:id="rId7774" ref="O2563"/>
    <hyperlink r:id="rId7775" ref="B2564"/>
    <hyperlink r:id="rId7776" ref="E2564"/>
    <hyperlink r:id="rId7777" ref="O2564"/>
    <hyperlink r:id="rId7778" ref="B2565"/>
    <hyperlink r:id="rId7779" ref="E2565"/>
    <hyperlink r:id="rId7780" ref="O2565"/>
    <hyperlink r:id="rId7781" ref="B2566"/>
    <hyperlink r:id="rId7782" ref="E2566"/>
    <hyperlink r:id="rId7783" ref="O2566"/>
    <hyperlink r:id="rId7784" ref="B2567"/>
    <hyperlink r:id="rId7785" ref="E2567"/>
    <hyperlink r:id="rId7786" ref="O2567"/>
    <hyperlink r:id="rId7787" ref="B2568"/>
    <hyperlink r:id="rId7788" ref="E2568"/>
    <hyperlink r:id="rId7789" ref="O2568"/>
    <hyperlink r:id="rId7790" ref="B2569"/>
    <hyperlink r:id="rId7791" ref="E2569"/>
    <hyperlink r:id="rId7792" ref="O2569"/>
    <hyperlink r:id="rId7793" ref="B2570"/>
    <hyperlink r:id="rId7794" ref="E2570"/>
    <hyperlink r:id="rId7795" ref="O2570"/>
    <hyperlink r:id="rId7796" ref="B2571"/>
    <hyperlink r:id="rId7797" ref="E2571"/>
    <hyperlink r:id="rId7798" ref="O2571"/>
    <hyperlink r:id="rId7799" ref="B2572"/>
    <hyperlink r:id="rId7800" ref="E2572"/>
    <hyperlink r:id="rId7801" ref="O2572"/>
    <hyperlink r:id="rId7802" ref="B2573"/>
    <hyperlink r:id="rId7803" ref="E2573"/>
    <hyperlink r:id="rId7804" ref="O2573"/>
    <hyperlink r:id="rId7805" ref="B2574"/>
    <hyperlink r:id="rId7806" ref="E2574"/>
    <hyperlink r:id="rId7807" ref="O2574"/>
    <hyperlink r:id="rId7808" ref="B2575"/>
    <hyperlink r:id="rId7809" ref="E2575"/>
    <hyperlink r:id="rId7810" ref="O2575"/>
    <hyperlink r:id="rId7811" ref="B2576"/>
    <hyperlink r:id="rId7812" ref="E2576"/>
    <hyperlink r:id="rId7813" ref="F2576"/>
    <hyperlink r:id="rId7814" ref="O2576"/>
    <hyperlink r:id="rId7815" ref="B2577"/>
    <hyperlink r:id="rId7816" ref="E2577"/>
    <hyperlink r:id="rId7817" ref="F2577"/>
    <hyperlink r:id="rId7818" ref="O2577"/>
    <hyperlink r:id="rId7819" ref="B2578"/>
    <hyperlink r:id="rId7820" ref="E2578"/>
    <hyperlink r:id="rId7821" ref="O2578"/>
    <hyperlink r:id="rId7822" ref="B2579"/>
    <hyperlink r:id="rId7823" ref="E2579"/>
    <hyperlink r:id="rId7824" ref="O2579"/>
    <hyperlink r:id="rId7825" ref="B2580"/>
    <hyperlink r:id="rId7826" ref="E2580"/>
    <hyperlink r:id="rId7827" ref="O2580"/>
    <hyperlink r:id="rId7828" ref="B2581"/>
    <hyperlink r:id="rId7829" ref="E2581"/>
    <hyperlink r:id="rId7830" ref="O2581"/>
    <hyperlink r:id="rId7831" ref="B2582"/>
    <hyperlink r:id="rId7832" ref="E2582"/>
    <hyperlink r:id="rId7833" ref="O2582"/>
    <hyperlink r:id="rId7834" ref="B2583"/>
    <hyperlink r:id="rId7835" ref="E2583"/>
    <hyperlink r:id="rId7836" ref="O2583"/>
    <hyperlink r:id="rId7837" ref="B2584"/>
    <hyperlink r:id="rId7838" ref="E2584"/>
    <hyperlink r:id="rId7839" ref="O2584"/>
    <hyperlink r:id="rId7840" ref="B2585"/>
    <hyperlink r:id="rId7841" ref="E2585"/>
    <hyperlink r:id="rId7842" ref="O2585"/>
    <hyperlink r:id="rId7843" ref="B2586"/>
    <hyperlink r:id="rId7844" ref="E2586"/>
    <hyperlink r:id="rId7845" ref="O2586"/>
    <hyperlink r:id="rId7846" ref="B2587"/>
    <hyperlink r:id="rId7847" ref="E2587"/>
    <hyperlink r:id="rId7848" ref="O2587"/>
    <hyperlink r:id="rId7849" ref="B2588"/>
    <hyperlink r:id="rId7850" ref="E2588"/>
    <hyperlink r:id="rId7851" ref="O2588"/>
    <hyperlink r:id="rId7852" ref="B2589"/>
    <hyperlink r:id="rId7853" ref="E2589"/>
    <hyperlink r:id="rId7854" ref="O2589"/>
    <hyperlink r:id="rId7855" ref="B2590"/>
    <hyperlink r:id="rId7856" ref="E2590"/>
    <hyperlink r:id="rId7857" ref="O2590"/>
    <hyperlink r:id="rId7858" ref="B2591"/>
    <hyperlink r:id="rId7859" ref="E2591"/>
    <hyperlink r:id="rId7860" ref="O2591"/>
    <hyperlink r:id="rId7861" ref="B2592"/>
    <hyperlink r:id="rId7862" ref="E2592"/>
    <hyperlink r:id="rId7863" ref="O2592"/>
    <hyperlink r:id="rId7864" ref="B2593"/>
    <hyperlink r:id="rId7865" ref="E2593"/>
    <hyperlink r:id="rId7866" ref="O2593"/>
    <hyperlink r:id="rId7867" ref="B2594"/>
    <hyperlink r:id="rId7868" ref="E2594"/>
    <hyperlink r:id="rId7869" ref="O2594"/>
    <hyperlink r:id="rId7870" ref="B2595"/>
    <hyperlink r:id="rId7871" ref="E2595"/>
    <hyperlink r:id="rId7872" ref="O2595"/>
    <hyperlink r:id="rId7873" ref="B2596"/>
    <hyperlink r:id="rId7874" ref="E2596"/>
    <hyperlink r:id="rId7875" ref="O2596"/>
    <hyperlink r:id="rId7876" ref="B2597"/>
    <hyperlink r:id="rId7877" ref="E2597"/>
    <hyperlink r:id="rId7878" ref="O2597"/>
    <hyperlink r:id="rId7879" ref="B2598"/>
    <hyperlink r:id="rId7880" ref="E2598"/>
    <hyperlink r:id="rId7881" ref="O2598"/>
    <hyperlink r:id="rId7882" ref="B2599"/>
    <hyperlink r:id="rId7883" ref="E2599"/>
    <hyperlink r:id="rId7884" ref="O2599"/>
    <hyperlink r:id="rId7885" ref="B2600"/>
    <hyperlink r:id="rId7886" ref="E2600"/>
    <hyperlink r:id="rId7887" ref="O2600"/>
    <hyperlink r:id="rId7888" ref="B2601"/>
    <hyperlink r:id="rId7889" ref="E2601"/>
    <hyperlink r:id="rId7890" ref="O2601"/>
    <hyperlink r:id="rId7891" ref="B2602"/>
    <hyperlink r:id="rId7892" ref="E2602"/>
    <hyperlink r:id="rId7893" ref="O2602"/>
    <hyperlink r:id="rId7894" ref="B2603"/>
    <hyperlink r:id="rId7895" ref="E2603"/>
    <hyperlink r:id="rId7896" ref="O2603"/>
    <hyperlink r:id="rId7897" ref="B2604"/>
    <hyperlink r:id="rId7898" ref="E2604"/>
    <hyperlink r:id="rId7899" ref="O2604"/>
    <hyperlink r:id="rId7900" ref="B2605"/>
    <hyperlink r:id="rId7901" ref="E2605"/>
    <hyperlink r:id="rId7902" ref="O2605"/>
    <hyperlink r:id="rId7903" ref="B2606"/>
    <hyperlink r:id="rId7904" ref="E2606"/>
    <hyperlink r:id="rId7905" ref="O2606"/>
    <hyperlink r:id="rId7906" ref="B2607"/>
    <hyperlink r:id="rId7907" ref="E2607"/>
    <hyperlink r:id="rId7908" ref="O2607"/>
    <hyperlink r:id="rId7909" ref="B2608"/>
    <hyperlink r:id="rId7910" ref="E2608"/>
    <hyperlink r:id="rId7911" ref="O2608"/>
    <hyperlink r:id="rId7912" ref="B2609"/>
    <hyperlink r:id="rId7913" ref="E2609"/>
    <hyperlink r:id="rId7914" ref="O2609"/>
    <hyperlink r:id="rId7915" ref="B2610"/>
    <hyperlink r:id="rId7916" ref="E2610"/>
    <hyperlink r:id="rId7917" ref="O2610"/>
    <hyperlink r:id="rId7918" ref="B2611"/>
    <hyperlink r:id="rId7919" ref="E2611"/>
    <hyperlink r:id="rId7920" ref="O2611"/>
    <hyperlink r:id="rId7921" ref="B2612"/>
    <hyperlink r:id="rId7922" ref="E2612"/>
    <hyperlink r:id="rId7923" ref="O2612"/>
    <hyperlink r:id="rId7924" ref="B2613"/>
    <hyperlink r:id="rId7925" ref="E2613"/>
    <hyperlink r:id="rId7926" ref="O2613"/>
    <hyperlink r:id="rId7927" ref="B2614"/>
    <hyperlink r:id="rId7928" ref="E2614"/>
    <hyperlink r:id="rId7929" ref="O2614"/>
    <hyperlink r:id="rId7930" ref="B2615"/>
    <hyperlink r:id="rId7931" ref="E2615"/>
    <hyperlink r:id="rId7932" ref="O2615"/>
    <hyperlink r:id="rId7933" ref="B2616"/>
    <hyperlink r:id="rId7934" ref="E2616"/>
    <hyperlink r:id="rId7935" ref="O2616"/>
    <hyperlink r:id="rId7936" ref="B2617"/>
    <hyperlink r:id="rId7937" ref="E2617"/>
    <hyperlink r:id="rId7938" ref="O2617"/>
    <hyperlink r:id="rId7939" ref="B2618"/>
    <hyperlink r:id="rId7940" ref="E2618"/>
    <hyperlink r:id="rId7941" ref="O2618"/>
    <hyperlink r:id="rId7942" ref="B2619"/>
    <hyperlink r:id="rId7943" ref="E2619"/>
    <hyperlink r:id="rId7944" ref="O2619"/>
    <hyperlink r:id="rId7945" ref="B2620"/>
    <hyperlink r:id="rId7946" ref="E2620"/>
    <hyperlink r:id="rId7947" ref="O2620"/>
    <hyperlink r:id="rId7948" ref="B2621"/>
    <hyperlink r:id="rId7949" ref="E2621"/>
    <hyperlink r:id="rId7950" ref="O2621"/>
    <hyperlink r:id="rId7951" ref="B2622"/>
    <hyperlink r:id="rId7952" ref="E2622"/>
    <hyperlink r:id="rId7953" ref="O2622"/>
    <hyperlink r:id="rId7954" ref="B2623"/>
    <hyperlink r:id="rId7955" ref="E2623"/>
    <hyperlink r:id="rId7956" ref="O2623"/>
    <hyperlink r:id="rId7957" ref="B2624"/>
    <hyperlink r:id="rId7958" ref="E2624"/>
    <hyperlink r:id="rId7959" ref="O2624"/>
    <hyperlink r:id="rId7960" ref="B2625"/>
    <hyperlink r:id="rId7961" ref="E2625"/>
    <hyperlink r:id="rId7962" ref="O2625"/>
    <hyperlink r:id="rId7963" ref="B2626"/>
    <hyperlink r:id="rId7964" ref="E2626"/>
    <hyperlink r:id="rId7965" ref="O2626"/>
    <hyperlink r:id="rId7966" ref="B2627"/>
    <hyperlink r:id="rId7967" ref="E2627"/>
    <hyperlink r:id="rId7968" ref="O2627"/>
    <hyperlink r:id="rId7969" ref="B2628"/>
    <hyperlink r:id="rId7970" ref="E2628"/>
    <hyperlink r:id="rId7971" ref="O2628"/>
    <hyperlink r:id="rId7972" ref="B2629"/>
    <hyperlink r:id="rId7973" ref="E2629"/>
    <hyperlink r:id="rId7974" ref="O2629"/>
    <hyperlink r:id="rId7975" ref="B2630"/>
    <hyperlink r:id="rId7976" ref="E2630"/>
    <hyperlink r:id="rId7977" ref="O2630"/>
    <hyperlink r:id="rId7978" ref="B2631"/>
    <hyperlink r:id="rId7979" ref="E2631"/>
    <hyperlink r:id="rId7980" ref="O2631"/>
    <hyperlink r:id="rId7981" ref="B2632"/>
    <hyperlink r:id="rId7982" ref="E2632"/>
    <hyperlink r:id="rId7983" ref="O2632"/>
    <hyperlink r:id="rId7984" ref="B2633"/>
    <hyperlink r:id="rId7985" ref="E2633"/>
    <hyperlink r:id="rId7986" ref="O2633"/>
    <hyperlink r:id="rId7987" ref="B2634"/>
    <hyperlink r:id="rId7988" ref="E2634"/>
    <hyperlink r:id="rId7989" ref="O2634"/>
    <hyperlink r:id="rId7990" ref="B2635"/>
    <hyperlink r:id="rId7991" ref="E2635"/>
    <hyperlink r:id="rId7992" ref="O2635"/>
    <hyperlink r:id="rId7993" ref="B2636"/>
    <hyperlink r:id="rId7994" ref="E2636"/>
    <hyperlink r:id="rId7995" ref="O2636"/>
    <hyperlink r:id="rId7996" ref="B2637"/>
    <hyperlink r:id="rId7997" ref="E2637"/>
    <hyperlink r:id="rId7998" ref="O2637"/>
    <hyperlink r:id="rId7999" ref="B2638"/>
    <hyperlink r:id="rId8000" ref="E2638"/>
    <hyperlink r:id="rId8001" ref="O2638"/>
    <hyperlink r:id="rId8002" ref="B2639"/>
    <hyperlink r:id="rId8003" ref="E2639"/>
    <hyperlink r:id="rId8004" ref="O2639"/>
    <hyperlink r:id="rId8005" ref="B2640"/>
    <hyperlink r:id="rId8006" ref="E2640"/>
    <hyperlink r:id="rId8007" ref="O2640"/>
    <hyperlink r:id="rId8008" ref="B2641"/>
    <hyperlink r:id="rId8009" ref="E2641"/>
    <hyperlink r:id="rId8010" ref="O2641"/>
    <hyperlink r:id="rId8011" ref="B2642"/>
    <hyperlink r:id="rId8012" ref="E2642"/>
    <hyperlink r:id="rId8013" ref="O2642"/>
    <hyperlink r:id="rId8014" ref="B2643"/>
    <hyperlink r:id="rId8015" ref="E2643"/>
    <hyperlink r:id="rId8016" ref="O2643"/>
    <hyperlink r:id="rId8017" ref="B2644"/>
    <hyperlink r:id="rId8018" ref="E2644"/>
    <hyperlink r:id="rId8019" ref="O2644"/>
    <hyperlink r:id="rId8020" ref="B2645"/>
    <hyperlink r:id="rId8021" ref="E2645"/>
    <hyperlink r:id="rId8022" ref="O2645"/>
    <hyperlink r:id="rId8023" ref="B2646"/>
    <hyperlink r:id="rId8024" ref="E2646"/>
    <hyperlink r:id="rId8025" ref="O2646"/>
    <hyperlink r:id="rId8026" ref="B2647"/>
    <hyperlink r:id="rId8027" ref="E2647"/>
    <hyperlink r:id="rId8028" ref="O2647"/>
    <hyperlink r:id="rId8029" ref="B2648"/>
    <hyperlink r:id="rId8030" ref="E2648"/>
    <hyperlink r:id="rId8031" ref="O2648"/>
    <hyperlink r:id="rId8032" ref="B2649"/>
    <hyperlink r:id="rId8033" ref="E2649"/>
    <hyperlink r:id="rId8034" ref="O2649"/>
    <hyperlink r:id="rId8035" ref="B2650"/>
    <hyperlink r:id="rId8036" ref="E2650"/>
    <hyperlink r:id="rId8037" ref="O2650"/>
    <hyperlink r:id="rId8038" ref="B2651"/>
    <hyperlink r:id="rId8039" ref="E2651"/>
    <hyperlink r:id="rId8040" ref="O2651"/>
    <hyperlink r:id="rId8041" ref="B2652"/>
    <hyperlink r:id="rId8042" ref="E2652"/>
    <hyperlink r:id="rId8043" ref="O2652"/>
    <hyperlink r:id="rId8044" ref="B2653"/>
    <hyperlink r:id="rId8045" ref="E2653"/>
    <hyperlink r:id="rId8046" ref="O2653"/>
    <hyperlink r:id="rId8047" ref="B2654"/>
    <hyperlink r:id="rId8048" ref="E2654"/>
    <hyperlink r:id="rId8049" ref="O2654"/>
    <hyperlink r:id="rId8050" ref="B2655"/>
    <hyperlink r:id="rId8051" ref="E2655"/>
    <hyperlink r:id="rId8052" ref="O2655"/>
    <hyperlink r:id="rId8053" ref="B2656"/>
    <hyperlink r:id="rId8054" ref="E2656"/>
    <hyperlink r:id="rId8055" ref="O2656"/>
    <hyperlink r:id="rId8056" ref="B2657"/>
    <hyperlink r:id="rId8057" ref="E2657"/>
    <hyperlink r:id="rId8058" ref="O2657"/>
    <hyperlink r:id="rId8059" ref="B2658"/>
    <hyperlink r:id="rId8060" ref="E2658"/>
    <hyperlink r:id="rId8061" ref="O2658"/>
    <hyperlink r:id="rId8062" ref="B2659"/>
    <hyperlink r:id="rId8063" ref="E2659"/>
    <hyperlink r:id="rId8064" ref="O2659"/>
    <hyperlink r:id="rId8065" ref="B2660"/>
    <hyperlink r:id="rId8066" ref="E2660"/>
    <hyperlink r:id="rId8067" ref="O2660"/>
    <hyperlink r:id="rId8068" ref="B2661"/>
    <hyperlink r:id="rId8069" ref="E2661"/>
    <hyperlink r:id="rId8070" ref="O2661"/>
    <hyperlink r:id="rId8071" ref="B2662"/>
    <hyperlink r:id="rId8072" ref="E2662"/>
    <hyperlink r:id="rId8073" ref="O2662"/>
    <hyperlink r:id="rId8074" ref="B2663"/>
    <hyperlink r:id="rId8075" ref="E2663"/>
    <hyperlink r:id="rId8076" ref="O2663"/>
    <hyperlink r:id="rId8077" ref="B2664"/>
    <hyperlink r:id="rId8078" ref="E2664"/>
    <hyperlink r:id="rId8079" ref="O2664"/>
    <hyperlink r:id="rId8080" ref="B2665"/>
    <hyperlink r:id="rId8081" ref="E2665"/>
    <hyperlink r:id="rId8082" ref="O2665"/>
    <hyperlink r:id="rId8083" ref="B2666"/>
    <hyperlink r:id="rId8084" ref="E2666"/>
    <hyperlink r:id="rId8085" ref="O2666"/>
    <hyperlink r:id="rId8086" ref="B2667"/>
    <hyperlink r:id="rId8087" ref="E2667"/>
    <hyperlink r:id="rId8088" ref="O2667"/>
    <hyperlink r:id="rId8089" ref="B2668"/>
    <hyperlink r:id="rId8090" ref="E2668"/>
    <hyperlink r:id="rId8091" ref="F2668"/>
    <hyperlink r:id="rId8092" ref="O2668"/>
    <hyperlink r:id="rId8093" ref="B2669"/>
    <hyperlink r:id="rId8094" ref="E2669"/>
    <hyperlink r:id="rId8095" ref="O2669"/>
    <hyperlink r:id="rId8096" ref="B2670"/>
    <hyperlink r:id="rId8097" ref="E2670"/>
    <hyperlink r:id="rId8098" ref="O2670"/>
    <hyperlink r:id="rId8099" ref="B2671"/>
    <hyperlink r:id="rId8100" ref="E2671"/>
    <hyperlink r:id="rId8101" ref="O2671"/>
    <hyperlink r:id="rId8102" ref="B2672"/>
    <hyperlink r:id="rId8103" ref="E2672"/>
    <hyperlink r:id="rId8104" ref="O2672"/>
    <hyperlink r:id="rId8105" ref="B2673"/>
    <hyperlink r:id="rId8106" ref="E2673"/>
    <hyperlink r:id="rId8107" ref="O2673"/>
    <hyperlink r:id="rId8108" ref="B2674"/>
    <hyperlink r:id="rId8109" ref="E2674"/>
    <hyperlink r:id="rId8110" ref="O2674"/>
    <hyperlink r:id="rId8111" ref="B2675"/>
    <hyperlink r:id="rId8112" ref="E2675"/>
    <hyperlink r:id="rId8113" ref="O2675"/>
    <hyperlink r:id="rId8114" ref="B2676"/>
    <hyperlink r:id="rId8115" ref="E2676"/>
    <hyperlink r:id="rId8116" ref="O2676"/>
    <hyperlink r:id="rId8117" ref="B2677"/>
    <hyperlink r:id="rId8118" ref="E2677"/>
    <hyperlink r:id="rId8119" ref="O2677"/>
    <hyperlink r:id="rId8120" ref="B2678"/>
    <hyperlink r:id="rId8121" ref="E2678"/>
    <hyperlink r:id="rId8122" ref="O2678"/>
    <hyperlink r:id="rId8123" ref="B2679"/>
    <hyperlink r:id="rId8124" ref="E2679"/>
    <hyperlink r:id="rId8125" ref="O2679"/>
    <hyperlink r:id="rId8126" ref="B2680"/>
    <hyperlink r:id="rId8127" ref="E2680"/>
    <hyperlink r:id="rId8128" ref="O2680"/>
    <hyperlink r:id="rId8129" ref="B2681"/>
    <hyperlink r:id="rId8130" ref="E2681"/>
    <hyperlink r:id="rId8131" ref="O2681"/>
    <hyperlink r:id="rId8132" ref="B2682"/>
    <hyperlink r:id="rId8133" ref="E2682"/>
    <hyperlink r:id="rId8134" ref="O2682"/>
    <hyperlink r:id="rId8135" ref="B2683"/>
    <hyperlink r:id="rId8136" ref="E2683"/>
    <hyperlink r:id="rId8137" ref="O2683"/>
    <hyperlink r:id="rId8138" ref="B2684"/>
    <hyperlink r:id="rId8139" ref="E2684"/>
    <hyperlink r:id="rId8140" ref="O2684"/>
    <hyperlink r:id="rId8141" ref="B2685"/>
    <hyperlink r:id="rId8142" ref="E2685"/>
    <hyperlink r:id="rId8143" ref="O2685"/>
    <hyperlink r:id="rId8144" ref="B2686"/>
    <hyperlink r:id="rId8145" ref="E2686"/>
    <hyperlink r:id="rId8146" ref="O2686"/>
    <hyperlink r:id="rId8147" ref="B2687"/>
    <hyperlink r:id="rId8148" ref="E2687"/>
    <hyperlink r:id="rId8149" ref="O2687"/>
    <hyperlink r:id="rId8150" ref="B2688"/>
    <hyperlink r:id="rId8151" ref="E2688"/>
    <hyperlink r:id="rId8152" ref="F2688"/>
    <hyperlink r:id="rId8153" ref="O2688"/>
    <hyperlink r:id="rId8154" ref="B2689"/>
    <hyperlink r:id="rId8155" ref="E2689"/>
    <hyperlink r:id="rId8156" ref="O2689"/>
    <hyperlink r:id="rId8157" ref="B2690"/>
    <hyperlink r:id="rId8158" ref="E2690"/>
    <hyperlink r:id="rId8159" ref="O2690"/>
    <hyperlink r:id="rId8160" ref="B2691"/>
    <hyperlink r:id="rId8161" ref="E2691"/>
    <hyperlink r:id="rId8162" ref="O2691"/>
    <hyperlink r:id="rId8163" ref="B2692"/>
    <hyperlink r:id="rId8164" ref="E2692"/>
    <hyperlink r:id="rId8165" ref="O2692"/>
    <hyperlink r:id="rId8166" ref="B2693"/>
    <hyperlink r:id="rId8167" ref="E2693"/>
    <hyperlink r:id="rId8168" ref="O2693"/>
    <hyperlink r:id="rId8169" ref="B2694"/>
    <hyperlink r:id="rId8170" ref="E2694"/>
    <hyperlink r:id="rId8171" ref="O2694"/>
    <hyperlink r:id="rId8172" ref="B2695"/>
    <hyperlink r:id="rId8173" ref="E2695"/>
    <hyperlink r:id="rId8174" ref="O2695"/>
    <hyperlink r:id="rId8175" ref="B2696"/>
    <hyperlink r:id="rId8176" ref="E2696"/>
    <hyperlink r:id="rId8177" ref="O2696"/>
    <hyperlink r:id="rId8178" ref="B2697"/>
    <hyperlink r:id="rId8179" ref="E2697"/>
    <hyperlink r:id="rId8180" ref="O2697"/>
    <hyperlink r:id="rId8181" ref="B2698"/>
    <hyperlink r:id="rId8182" ref="E2698"/>
    <hyperlink r:id="rId8183" ref="O2698"/>
    <hyperlink r:id="rId8184" ref="B2699"/>
    <hyperlink r:id="rId8185" ref="E2699"/>
    <hyperlink r:id="rId8186" ref="O2699"/>
    <hyperlink r:id="rId8187" ref="B2700"/>
    <hyperlink r:id="rId8188" ref="E2700"/>
    <hyperlink r:id="rId8189" ref="O2700"/>
    <hyperlink r:id="rId8190" ref="B2701"/>
    <hyperlink r:id="rId8191" ref="E2701"/>
    <hyperlink r:id="rId8192" ref="O2701"/>
    <hyperlink r:id="rId8193" ref="B2702"/>
    <hyperlink r:id="rId8194" ref="E2702"/>
    <hyperlink r:id="rId8195" ref="O2702"/>
    <hyperlink r:id="rId8196" ref="B2703"/>
    <hyperlink r:id="rId8197" ref="E2703"/>
    <hyperlink r:id="rId8198" ref="O2703"/>
    <hyperlink r:id="rId8199" ref="B2704"/>
    <hyperlink r:id="rId8200" ref="E2704"/>
    <hyperlink r:id="rId8201" ref="O2704"/>
    <hyperlink r:id="rId8202" ref="B2705"/>
    <hyperlink r:id="rId8203" ref="E2705"/>
    <hyperlink r:id="rId8204" ref="O2705"/>
    <hyperlink r:id="rId8205" ref="B2706"/>
    <hyperlink r:id="rId8206" ref="E2706"/>
    <hyperlink r:id="rId8207" ref="O2706"/>
    <hyperlink r:id="rId8208" ref="B2707"/>
    <hyperlink r:id="rId8209" ref="E2707"/>
    <hyperlink r:id="rId8210" ref="O2707"/>
    <hyperlink r:id="rId8211" ref="B2708"/>
    <hyperlink r:id="rId8212" ref="E2708"/>
    <hyperlink r:id="rId8213" ref="O2708"/>
    <hyperlink r:id="rId8214" ref="B2709"/>
    <hyperlink r:id="rId8215" ref="E2709"/>
    <hyperlink r:id="rId8216" ref="O2709"/>
    <hyperlink r:id="rId8217" ref="B2710"/>
    <hyperlink r:id="rId8218" ref="E2710"/>
    <hyperlink r:id="rId8219" ref="O2710"/>
    <hyperlink r:id="rId8220" ref="B2711"/>
    <hyperlink r:id="rId8221" ref="E2711"/>
    <hyperlink r:id="rId8222" ref="O2711"/>
    <hyperlink r:id="rId8223" ref="B2712"/>
    <hyperlink r:id="rId8224" ref="E2712"/>
    <hyperlink r:id="rId8225" ref="O2712"/>
    <hyperlink r:id="rId8226" ref="B2713"/>
    <hyperlink r:id="rId8227" ref="E2713"/>
    <hyperlink r:id="rId8228" ref="O2713"/>
    <hyperlink r:id="rId8229" ref="B2714"/>
    <hyperlink r:id="rId8230" ref="E2714"/>
    <hyperlink r:id="rId8231" ref="O2714"/>
    <hyperlink r:id="rId8232" ref="B2715"/>
    <hyperlink r:id="rId8233" ref="E2715"/>
    <hyperlink r:id="rId8234" ref="O2715"/>
    <hyperlink r:id="rId8235" ref="B2716"/>
    <hyperlink r:id="rId8236" ref="E2716"/>
    <hyperlink r:id="rId8237" ref="O2716"/>
    <hyperlink r:id="rId8238" ref="B2717"/>
    <hyperlink r:id="rId8239" ref="E2717"/>
    <hyperlink r:id="rId8240" ref="O2717"/>
    <hyperlink r:id="rId8241" ref="B2718"/>
    <hyperlink r:id="rId8242" ref="E2718"/>
    <hyperlink r:id="rId8243" ref="O2718"/>
    <hyperlink r:id="rId8244" ref="B2719"/>
    <hyperlink r:id="rId8245" ref="E2719"/>
    <hyperlink r:id="rId8246" ref="O2719"/>
    <hyperlink r:id="rId8247" ref="B2720"/>
    <hyperlink r:id="rId8248" ref="E2720"/>
    <hyperlink r:id="rId8249" ref="O2720"/>
    <hyperlink r:id="rId8250" ref="B2721"/>
    <hyperlink r:id="rId8251" ref="E2721"/>
    <hyperlink r:id="rId8252" ref="O2721"/>
    <hyperlink r:id="rId8253" ref="B2722"/>
    <hyperlink r:id="rId8254" ref="E2722"/>
    <hyperlink r:id="rId8255" ref="O2722"/>
    <hyperlink r:id="rId8256" ref="B2723"/>
    <hyperlink r:id="rId8257" ref="E2723"/>
    <hyperlink r:id="rId8258" ref="O2723"/>
    <hyperlink r:id="rId8259" ref="B2724"/>
    <hyperlink r:id="rId8260" ref="E2724"/>
    <hyperlink r:id="rId8261" ref="O2724"/>
    <hyperlink r:id="rId8262" ref="B2725"/>
    <hyperlink r:id="rId8263" ref="E2725"/>
    <hyperlink r:id="rId8264" ref="O2725"/>
    <hyperlink r:id="rId8265" ref="B2726"/>
    <hyperlink r:id="rId8266" ref="E2726"/>
    <hyperlink r:id="rId8267" ref="O2726"/>
    <hyperlink r:id="rId8268" ref="B2727"/>
    <hyperlink r:id="rId8269" ref="E2727"/>
    <hyperlink r:id="rId8270" ref="O2727"/>
    <hyperlink r:id="rId8271" ref="B2728"/>
    <hyperlink r:id="rId8272" ref="E2728"/>
    <hyperlink r:id="rId8273" ref="O2728"/>
    <hyperlink r:id="rId8274" ref="B2729"/>
    <hyperlink r:id="rId8275" ref="E2729"/>
    <hyperlink r:id="rId8276" ref="O2729"/>
    <hyperlink r:id="rId8277" ref="B2730"/>
    <hyperlink r:id="rId8278" ref="E2730"/>
    <hyperlink r:id="rId8279" ref="O2730"/>
    <hyperlink r:id="rId8280" ref="B2731"/>
    <hyperlink r:id="rId8281" ref="E2731"/>
    <hyperlink r:id="rId8282" ref="O2731"/>
    <hyperlink r:id="rId8283" ref="B2732"/>
    <hyperlink r:id="rId8284" ref="E2732"/>
    <hyperlink r:id="rId8285" ref="O2732"/>
    <hyperlink r:id="rId8286" ref="B2733"/>
    <hyperlink r:id="rId8287" ref="E2733"/>
    <hyperlink r:id="rId8288" ref="O2733"/>
    <hyperlink r:id="rId8289" ref="B2734"/>
    <hyperlink r:id="rId8290" ref="E2734"/>
    <hyperlink r:id="rId8291" ref="O2734"/>
    <hyperlink r:id="rId8292" ref="B2735"/>
    <hyperlink r:id="rId8293" ref="E2735"/>
    <hyperlink r:id="rId8294" ref="O2735"/>
    <hyperlink r:id="rId8295" ref="B2736"/>
    <hyperlink r:id="rId8296" ref="E2736"/>
    <hyperlink r:id="rId8297" ref="O2736"/>
    <hyperlink r:id="rId8298" ref="B2737"/>
    <hyperlink r:id="rId8299" ref="E2737"/>
    <hyperlink r:id="rId8300" ref="O2737"/>
    <hyperlink r:id="rId8301" ref="B2738"/>
    <hyperlink r:id="rId8302" ref="E2738"/>
    <hyperlink r:id="rId8303" ref="O2738"/>
    <hyperlink r:id="rId8304" ref="B2739"/>
    <hyperlink r:id="rId8305" ref="E2739"/>
    <hyperlink r:id="rId8306" ref="O2739"/>
    <hyperlink r:id="rId8307" ref="B2740"/>
    <hyperlink r:id="rId8308" ref="E2740"/>
    <hyperlink r:id="rId8309" ref="F2740"/>
    <hyperlink r:id="rId8310" ref="O2740"/>
    <hyperlink r:id="rId8311" ref="B2741"/>
    <hyperlink r:id="rId8312" ref="E2741"/>
    <hyperlink r:id="rId8313" ref="O2741"/>
    <hyperlink r:id="rId8314" ref="B2742"/>
    <hyperlink r:id="rId8315" ref="E2742"/>
    <hyperlink r:id="rId8316" ref="O2742"/>
    <hyperlink r:id="rId8317" ref="B2743"/>
    <hyperlink r:id="rId8318" ref="E2743"/>
    <hyperlink r:id="rId8319" ref="O2743"/>
    <hyperlink r:id="rId8320" ref="B2744"/>
    <hyperlink r:id="rId8321" ref="E2744"/>
    <hyperlink r:id="rId8322" ref="O2744"/>
    <hyperlink r:id="rId8323" ref="B2745"/>
    <hyperlink r:id="rId8324" ref="E2745"/>
    <hyperlink r:id="rId8325" ref="O2745"/>
    <hyperlink r:id="rId8326" ref="B2746"/>
    <hyperlink r:id="rId8327" ref="E2746"/>
    <hyperlink r:id="rId8328" ref="O2746"/>
    <hyperlink r:id="rId8329" ref="B2747"/>
    <hyperlink r:id="rId8330" ref="E2747"/>
    <hyperlink r:id="rId8331" ref="O2747"/>
    <hyperlink r:id="rId8332" ref="B2748"/>
    <hyperlink r:id="rId8333" ref="E2748"/>
    <hyperlink r:id="rId8334" ref="O2748"/>
    <hyperlink r:id="rId8335" ref="B2749"/>
    <hyperlink r:id="rId8336" ref="E2749"/>
    <hyperlink r:id="rId8337" ref="O2749"/>
    <hyperlink r:id="rId8338" ref="B2750"/>
    <hyperlink r:id="rId8339" ref="E2750"/>
    <hyperlink r:id="rId8340" ref="O2750"/>
    <hyperlink r:id="rId8341" ref="B2751"/>
    <hyperlink r:id="rId8342" ref="E2751"/>
    <hyperlink r:id="rId8343" ref="O2751"/>
    <hyperlink r:id="rId8344" ref="B2752"/>
    <hyperlink r:id="rId8345" ref="E2752"/>
    <hyperlink r:id="rId8346" ref="O2752"/>
    <hyperlink r:id="rId8347" ref="B2753"/>
    <hyperlink r:id="rId8348" ref="E2753"/>
    <hyperlink r:id="rId8349" ref="O2753"/>
    <hyperlink r:id="rId8350" ref="B2754"/>
    <hyperlink r:id="rId8351" ref="E2754"/>
    <hyperlink r:id="rId8352" ref="O2754"/>
    <hyperlink r:id="rId8353" ref="B2755"/>
    <hyperlink r:id="rId8354" ref="E2755"/>
    <hyperlink r:id="rId8355" ref="O2755"/>
    <hyperlink r:id="rId8356" ref="B2756"/>
    <hyperlink r:id="rId8357" ref="E2756"/>
    <hyperlink r:id="rId8358" ref="O2756"/>
    <hyperlink r:id="rId8359" ref="B2757"/>
    <hyperlink r:id="rId8360" ref="E2757"/>
    <hyperlink r:id="rId8361" ref="O2757"/>
    <hyperlink r:id="rId8362" ref="B2758"/>
    <hyperlink r:id="rId8363" ref="E2758"/>
    <hyperlink r:id="rId8364" ref="O2758"/>
    <hyperlink r:id="rId8365" ref="B2759"/>
    <hyperlink r:id="rId8366" ref="E2759"/>
    <hyperlink r:id="rId8367" ref="O2759"/>
    <hyperlink r:id="rId8368" ref="B2760"/>
    <hyperlink r:id="rId8369" ref="E2760"/>
    <hyperlink r:id="rId8370" ref="O2760"/>
    <hyperlink r:id="rId8371" ref="B2761"/>
    <hyperlink r:id="rId8372" ref="E2761"/>
    <hyperlink r:id="rId8373" ref="O2761"/>
    <hyperlink r:id="rId8374" ref="B2762"/>
    <hyperlink r:id="rId8375" ref="E2762"/>
    <hyperlink r:id="rId8376" ref="O2762"/>
    <hyperlink r:id="rId8377" ref="B2763"/>
    <hyperlink r:id="rId8378" ref="E2763"/>
    <hyperlink r:id="rId8379" ref="O2763"/>
    <hyperlink r:id="rId8380" ref="B2764"/>
    <hyperlink r:id="rId8381" ref="E2764"/>
    <hyperlink r:id="rId8382" ref="F2764"/>
    <hyperlink r:id="rId8383" ref="O2764"/>
    <hyperlink r:id="rId8384" ref="B2765"/>
    <hyperlink r:id="rId8385" ref="E2765"/>
    <hyperlink r:id="rId8386" ref="O2765"/>
    <hyperlink r:id="rId8387" ref="B2766"/>
    <hyperlink r:id="rId8388" ref="E2766"/>
    <hyperlink r:id="rId8389" ref="O2766"/>
    <hyperlink r:id="rId8390" ref="B2767"/>
    <hyperlink r:id="rId8391" ref="E2767"/>
    <hyperlink r:id="rId8392" ref="O2767"/>
    <hyperlink r:id="rId8393" ref="B2768"/>
    <hyperlink r:id="rId8394" ref="E2768"/>
    <hyperlink r:id="rId8395" ref="O2768"/>
    <hyperlink r:id="rId8396" ref="B2769"/>
    <hyperlink r:id="rId8397" ref="E2769"/>
    <hyperlink r:id="rId8398" ref="O2769"/>
    <hyperlink r:id="rId8399" ref="B2770"/>
    <hyperlink r:id="rId8400" ref="E2770"/>
    <hyperlink r:id="rId8401" ref="O2770"/>
    <hyperlink r:id="rId8402" ref="B2771"/>
    <hyperlink r:id="rId8403" ref="E2771"/>
    <hyperlink r:id="rId8404" ref="O2771"/>
    <hyperlink r:id="rId8405" ref="B2772"/>
    <hyperlink r:id="rId8406" ref="E2772"/>
    <hyperlink r:id="rId8407" ref="O2772"/>
    <hyperlink r:id="rId8408" ref="B2773"/>
    <hyperlink r:id="rId8409" ref="E2773"/>
    <hyperlink r:id="rId8410" ref="O2773"/>
    <hyperlink r:id="rId8411" ref="B2774"/>
    <hyperlink r:id="rId8412" ref="E2774"/>
    <hyperlink r:id="rId8413" ref="O2774"/>
    <hyperlink r:id="rId8414" ref="B2775"/>
    <hyperlink r:id="rId8415" ref="E2775"/>
    <hyperlink r:id="rId8416" ref="O2775"/>
    <hyperlink r:id="rId8417" ref="B2776"/>
    <hyperlink r:id="rId8418" ref="E2776"/>
    <hyperlink r:id="rId8419" ref="O2776"/>
    <hyperlink r:id="rId8420" ref="B2777"/>
    <hyperlink r:id="rId8421" ref="E2777"/>
    <hyperlink r:id="rId8422" ref="O2777"/>
    <hyperlink r:id="rId8423" ref="B2778"/>
    <hyperlink r:id="rId8424" ref="E2778"/>
    <hyperlink r:id="rId8425" ref="O2778"/>
    <hyperlink r:id="rId8426" ref="B2779"/>
    <hyperlink r:id="rId8427" ref="E2779"/>
    <hyperlink r:id="rId8428" ref="O2779"/>
    <hyperlink r:id="rId8429" ref="B2780"/>
    <hyperlink r:id="rId8430" ref="E2780"/>
    <hyperlink r:id="rId8431" ref="O2780"/>
    <hyperlink r:id="rId8432" ref="B2781"/>
    <hyperlink r:id="rId8433" ref="E2781"/>
    <hyperlink r:id="rId8434" ref="O2781"/>
    <hyperlink r:id="rId8435" ref="B2782"/>
    <hyperlink r:id="rId8436" ref="E2782"/>
    <hyperlink r:id="rId8437" ref="O2782"/>
    <hyperlink r:id="rId8438" ref="B2783"/>
    <hyperlink r:id="rId8439" ref="E2783"/>
    <hyperlink r:id="rId8440" ref="O2783"/>
    <hyperlink r:id="rId8441" ref="B2784"/>
    <hyperlink r:id="rId8442" ref="E2784"/>
    <hyperlink r:id="rId8443" ref="O2784"/>
    <hyperlink r:id="rId8444" ref="B2785"/>
    <hyperlink r:id="rId8445" ref="E2785"/>
    <hyperlink r:id="rId8446" ref="O2785"/>
    <hyperlink r:id="rId8447" ref="B2786"/>
    <hyperlink r:id="rId8448" ref="E2786"/>
    <hyperlink r:id="rId8449" ref="O2786"/>
    <hyperlink r:id="rId8450" ref="B2787"/>
    <hyperlink r:id="rId8451" ref="E2787"/>
    <hyperlink r:id="rId8452" ref="O2787"/>
    <hyperlink r:id="rId8453" ref="B2788"/>
    <hyperlink r:id="rId8454" ref="E2788"/>
    <hyperlink r:id="rId8455" ref="O2788"/>
    <hyperlink r:id="rId8456" ref="B2789"/>
    <hyperlink r:id="rId8457" ref="E2789"/>
    <hyperlink r:id="rId8458" ref="O2789"/>
    <hyperlink r:id="rId8459" ref="B2790"/>
    <hyperlink r:id="rId8460" ref="E2790"/>
    <hyperlink r:id="rId8461" ref="O2790"/>
    <hyperlink r:id="rId8462" ref="B2791"/>
    <hyperlink r:id="rId8463" ref="E2791"/>
    <hyperlink r:id="rId8464" ref="O2791"/>
    <hyperlink r:id="rId8465" ref="B2792"/>
    <hyperlink r:id="rId8466" ref="E2792"/>
    <hyperlink r:id="rId8467" ref="O2792"/>
    <hyperlink r:id="rId8468" ref="B2793"/>
    <hyperlink r:id="rId8469" ref="E2793"/>
    <hyperlink r:id="rId8470" ref="O2793"/>
    <hyperlink r:id="rId8471" ref="B2794"/>
    <hyperlink r:id="rId8472" ref="E2794"/>
    <hyperlink r:id="rId8473" ref="O2794"/>
    <hyperlink r:id="rId8474" ref="B2795"/>
    <hyperlink r:id="rId8475" ref="E2795"/>
    <hyperlink r:id="rId8476" ref="O2795"/>
    <hyperlink r:id="rId8477" ref="B2796"/>
    <hyperlink r:id="rId8478" ref="E2796"/>
    <hyperlink r:id="rId8479" ref="O2796"/>
    <hyperlink r:id="rId8480" ref="B2797"/>
    <hyperlink r:id="rId8481" ref="E2797"/>
    <hyperlink r:id="rId8482" ref="O2797"/>
    <hyperlink r:id="rId8483" ref="B2798"/>
    <hyperlink r:id="rId8484" ref="E2798"/>
    <hyperlink r:id="rId8485" ref="O2798"/>
    <hyperlink r:id="rId8486" ref="B2799"/>
    <hyperlink r:id="rId8487" ref="E2799"/>
    <hyperlink r:id="rId8488" ref="O2799"/>
    <hyperlink r:id="rId8489" ref="B2800"/>
    <hyperlink r:id="rId8490" ref="E2800"/>
    <hyperlink r:id="rId8491" ref="O2800"/>
    <hyperlink r:id="rId8492" ref="B2801"/>
    <hyperlink r:id="rId8493" ref="E2801"/>
    <hyperlink r:id="rId8494" ref="O2801"/>
    <hyperlink r:id="rId8495" ref="B2802"/>
    <hyperlink r:id="rId8496" ref="E2802"/>
    <hyperlink r:id="rId8497" ref="O2802"/>
    <hyperlink r:id="rId8498" ref="B2803"/>
    <hyperlink r:id="rId8499" ref="E2803"/>
    <hyperlink r:id="rId8500" ref="O2803"/>
    <hyperlink r:id="rId8501" ref="B2804"/>
    <hyperlink r:id="rId8502" ref="E2804"/>
    <hyperlink r:id="rId8503" ref="O2804"/>
    <hyperlink r:id="rId8504" ref="B2805"/>
    <hyperlink r:id="rId8505" ref="E2805"/>
    <hyperlink r:id="rId8506" ref="O2805"/>
    <hyperlink r:id="rId8507" ref="B2806"/>
    <hyperlink r:id="rId8508" ref="E2806"/>
    <hyperlink r:id="rId8509" ref="O2806"/>
    <hyperlink r:id="rId8510" ref="B2807"/>
    <hyperlink r:id="rId8511" ref="E2807"/>
    <hyperlink r:id="rId8512" ref="O2807"/>
    <hyperlink r:id="rId8513" ref="B2808"/>
    <hyperlink r:id="rId8514" ref="E2808"/>
    <hyperlink r:id="rId8515" ref="O2808"/>
    <hyperlink r:id="rId8516" ref="B2809"/>
    <hyperlink r:id="rId8517" ref="E2809"/>
    <hyperlink r:id="rId8518" ref="O2809"/>
    <hyperlink r:id="rId8519" ref="B2810"/>
    <hyperlink r:id="rId8520" ref="E2810"/>
    <hyperlink r:id="rId8521" ref="O2810"/>
    <hyperlink r:id="rId8522" ref="B2811"/>
    <hyperlink r:id="rId8523" ref="E2811"/>
    <hyperlink r:id="rId8524" ref="O2811"/>
    <hyperlink r:id="rId8525" ref="B2812"/>
    <hyperlink r:id="rId8526" ref="E2812"/>
    <hyperlink r:id="rId8527" ref="O2812"/>
    <hyperlink r:id="rId8528" ref="B2813"/>
    <hyperlink r:id="rId8529" ref="E2813"/>
    <hyperlink r:id="rId8530" ref="O2813"/>
    <hyperlink r:id="rId8531" ref="B2814"/>
    <hyperlink r:id="rId8532" ref="E2814"/>
    <hyperlink r:id="rId8533" ref="O2814"/>
    <hyperlink r:id="rId8534" ref="B2815"/>
    <hyperlink r:id="rId8535" ref="E2815"/>
    <hyperlink r:id="rId8536" ref="O2815"/>
    <hyperlink r:id="rId8537" ref="B2816"/>
    <hyperlink r:id="rId8538" ref="E2816"/>
    <hyperlink r:id="rId8539" ref="O2816"/>
    <hyperlink r:id="rId8540" ref="B2817"/>
    <hyperlink r:id="rId8541" ref="E2817"/>
    <hyperlink r:id="rId8542" ref="O2817"/>
    <hyperlink r:id="rId8543" ref="B2818"/>
    <hyperlink r:id="rId8544" ref="E2818"/>
    <hyperlink r:id="rId8545" ref="O2818"/>
    <hyperlink r:id="rId8546" ref="B2819"/>
    <hyperlink r:id="rId8547" ref="E2819"/>
    <hyperlink r:id="rId8548" ref="O2819"/>
    <hyperlink r:id="rId8549" ref="B2820"/>
    <hyperlink r:id="rId8550" ref="E2820"/>
    <hyperlink r:id="rId8551" ref="O2820"/>
    <hyperlink r:id="rId8552" ref="B2821"/>
    <hyperlink r:id="rId8553" ref="E2821"/>
    <hyperlink r:id="rId8554" ref="O2821"/>
    <hyperlink r:id="rId8555" ref="B2822"/>
    <hyperlink r:id="rId8556" ref="E2822"/>
    <hyperlink r:id="rId8557" ref="O2822"/>
    <hyperlink r:id="rId8558" ref="B2823"/>
    <hyperlink r:id="rId8559" ref="E2823"/>
    <hyperlink r:id="rId8560" ref="O2823"/>
    <hyperlink r:id="rId8561" ref="B2824"/>
    <hyperlink r:id="rId8562" ref="E2824"/>
    <hyperlink r:id="rId8563" ref="O2824"/>
    <hyperlink r:id="rId8564" ref="B2825"/>
    <hyperlink r:id="rId8565" ref="E2825"/>
    <hyperlink r:id="rId8566" ref="O2825"/>
    <hyperlink r:id="rId8567" ref="B2826"/>
    <hyperlink r:id="rId8568" ref="E2826"/>
    <hyperlink r:id="rId8569" ref="O2826"/>
    <hyperlink r:id="rId8570" ref="B2827"/>
    <hyperlink r:id="rId8571" ref="E2827"/>
    <hyperlink r:id="rId8572" ref="O2827"/>
    <hyperlink r:id="rId8573" ref="B2828"/>
    <hyperlink r:id="rId8574" ref="E2828"/>
    <hyperlink r:id="rId8575" ref="O2828"/>
    <hyperlink r:id="rId8576" ref="B2829"/>
    <hyperlink r:id="rId8577" ref="E2829"/>
    <hyperlink r:id="rId8578" ref="O2829"/>
    <hyperlink r:id="rId8579" ref="B2830"/>
    <hyperlink r:id="rId8580" ref="E2830"/>
    <hyperlink r:id="rId8581" ref="O2830"/>
    <hyperlink r:id="rId8582" ref="B2831"/>
    <hyperlink r:id="rId8583" ref="E2831"/>
    <hyperlink r:id="rId8584" ref="O2831"/>
    <hyperlink r:id="rId8585" ref="B2832"/>
    <hyperlink r:id="rId8586" ref="E2832"/>
    <hyperlink r:id="rId8587" ref="O2832"/>
    <hyperlink r:id="rId8588" ref="B2833"/>
    <hyperlink r:id="rId8589" ref="E2833"/>
    <hyperlink r:id="rId8590" ref="O2833"/>
    <hyperlink r:id="rId8591" ref="B2834"/>
    <hyperlink r:id="rId8592" ref="E2834"/>
    <hyperlink r:id="rId8593" ref="O2834"/>
    <hyperlink r:id="rId8594" ref="B2835"/>
    <hyperlink r:id="rId8595" ref="E2835"/>
    <hyperlink r:id="rId8596" ref="O2835"/>
    <hyperlink r:id="rId8597" ref="B2836"/>
    <hyperlink r:id="rId8598" ref="E2836"/>
    <hyperlink r:id="rId8599" ref="O2836"/>
    <hyperlink r:id="rId8600" ref="B2837"/>
    <hyperlink r:id="rId8601" ref="E2837"/>
    <hyperlink r:id="rId8602" ref="O2837"/>
    <hyperlink r:id="rId8603" ref="B2838"/>
    <hyperlink r:id="rId8604" ref="E2838"/>
    <hyperlink r:id="rId8605" ref="O2838"/>
    <hyperlink r:id="rId8606" ref="B2839"/>
    <hyperlink r:id="rId8607" ref="E2839"/>
    <hyperlink r:id="rId8608" ref="O2839"/>
    <hyperlink r:id="rId8609" ref="B2840"/>
    <hyperlink r:id="rId8610" ref="E2840"/>
    <hyperlink r:id="rId8611" ref="O2840"/>
    <hyperlink r:id="rId8612" ref="B2841"/>
    <hyperlink r:id="rId8613" ref="E2841"/>
    <hyperlink r:id="rId8614" ref="O2841"/>
    <hyperlink r:id="rId8615" ref="B2842"/>
    <hyperlink r:id="rId8616" ref="E2842"/>
    <hyperlink r:id="rId8617" ref="O2842"/>
    <hyperlink r:id="rId8618" ref="B2843"/>
    <hyperlink r:id="rId8619" ref="E2843"/>
    <hyperlink r:id="rId8620" ref="O2843"/>
    <hyperlink r:id="rId8621" ref="B2844"/>
    <hyperlink r:id="rId8622" ref="E2844"/>
    <hyperlink r:id="rId8623" ref="O2844"/>
    <hyperlink r:id="rId8624" ref="B2845"/>
    <hyperlink r:id="rId8625" ref="E2845"/>
    <hyperlink r:id="rId8626" ref="O2845"/>
    <hyperlink r:id="rId8627" ref="B2846"/>
    <hyperlink r:id="rId8628" ref="E2846"/>
    <hyperlink r:id="rId8629" ref="O2846"/>
    <hyperlink r:id="rId8630" ref="B2847"/>
    <hyperlink r:id="rId8631" ref="E2847"/>
    <hyperlink r:id="rId8632" ref="O2847"/>
    <hyperlink r:id="rId8633" ref="B2848"/>
    <hyperlink r:id="rId8634" ref="E2848"/>
    <hyperlink r:id="rId8635" ref="O2848"/>
    <hyperlink r:id="rId8636" ref="B2849"/>
    <hyperlink r:id="rId8637" ref="E2849"/>
    <hyperlink r:id="rId8638" ref="O2849"/>
    <hyperlink r:id="rId8639" ref="B2850"/>
    <hyperlink r:id="rId8640" ref="E2850"/>
    <hyperlink r:id="rId8641" ref="O2850"/>
    <hyperlink r:id="rId8642" ref="B2851"/>
    <hyperlink r:id="rId8643" ref="E2851"/>
    <hyperlink r:id="rId8644" ref="O2851"/>
    <hyperlink r:id="rId8645" ref="B2852"/>
    <hyperlink r:id="rId8646" ref="E2852"/>
    <hyperlink r:id="rId8647" ref="O2852"/>
    <hyperlink r:id="rId8648" ref="B2853"/>
    <hyperlink r:id="rId8649" ref="E2853"/>
    <hyperlink r:id="rId8650" ref="O2853"/>
    <hyperlink r:id="rId8651" ref="B2854"/>
    <hyperlink r:id="rId8652" ref="E2854"/>
    <hyperlink r:id="rId8653" ref="O2854"/>
    <hyperlink r:id="rId8654" ref="B2855"/>
    <hyperlink r:id="rId8655" ref="E2855"/>
    <hyperlink r:id="rId8656" ref="O2855"/>
    <hyperlink r:id="rId8657" ref="B2856"/>
    <hyperlink r:id="rId8658" ref="E2856"/>
    <hyperlink r:id="rId8659" ref="O2856"/>
    <hyperlink r:id="rId8660" ref="B2857"/>
    <hyperlink r:id="rId8661" ref="E2857"/>
    <hyperlink r:id="rId8662" ref="O2857"/>
    <hyperlink r:id="rId8663" ref="B2858"/>
    <hyperlink r:id="rId8664" ref="E2858"/>
    <hyperlink r:id="rId8665" ref="O2858"/>
    <hyperlink r:id="rId8666" ref="B2859"/>
    <hyperlink r:id="rId8667" ref="E2859"/>
    <hyperlink r:id="rId8668" ref="O2859"/>
    <hyperlink r:id="rId8669" ref="B2860"/>
    <hyperlink r:id="rId8670" ref="E2860"/>
    <hyperlink r:id="rId8671" ref="O2860"/>
    <hyperlink r:id="rId8672" ref="B2861"/>
    <hyperlink r:id="rId8673" ref="E2861"/>
    <hyperlink r:id="rId8674" ref="O2861"/>
    <hyperlink r:id="rId8675" ref="B2862"/>
    <hyperlink r:id="rId8676" ref="E2862"/>
    <hyperlink r:id="rId8677" ref="O2862"/>
    <hyperlink r:id="rId8678" ref="B2863"/>
    <hyperlink r:id="rId8679" ref="E2863"/>
    <hyperlink r:id="rId8680" ref="O2863"/>
    <hyperlink r:id="rId8681" ref="B2864"/>
    <hyperlink r:id="rId8682" ref="E2864"/>
    <hyperlink r:id="rId8683" ref="O2864"/>
    <hyperlink r:id="rId8684" ref="B2865"/>
    <hyperlink r:id="rId8685" ref="E2865"/>
    <hyperlink r:id="rId8686" ref="O2865"/>
    <hyperlink r:id="rId8687" ref="B2866"/>
    <hyperlink r:id="rId8688" ref="E2866"/>
    <hyperlink r:id="rId8689" ref="O2866"/>
    <hyperlink r:id="rId8690" ref="B2867"/>
    <hyperlink r:id="rId8691" ref="E2867"/>
    <hyperlink r:id="rId8692" ref="O2867"/>
    <hyperlink r:id="rId8693" ref="B2868"/>
    <hyperlink r:id="rId8694" ref="E2868"/>
    <hyperlink r:id="rId8695" ref="O2868"/>
    <hyperlink r:id="rId8696" ref="B2869"/>
    <hyperlink r:id="rId8697" ref="E2869"/>
    <hyperlink r:id="rId8698" ref="O2869"/>
    <hyperlink r:id="rId8699" ref="B2870"/>
    <hyperlink r:id="rId8700" ref="E2870"/>
    <hyperlink r:id="rId8701" ref="O2870"/>
    <hyperlink r:id="rId8702" ref="B2871"/>
    <hyperlink r:id="rId8703" ref="E2871"/>
    <hyperlink r:id="rId8704" ref="O2871"/>
    <hyperlink r:id="rId8705" ref="B2872"/>
    <hyperlink r:id="rId8706" ref="E2872"/>
    <hyperlink r:id="rId8707" ref="O2872"/>
    <hyperlink r:id="rId8708" ref="B2873"/>
    <hyperlink r:id="rId8709" ref="E2873"/>
    <hyperlink r:id="rId8710" ref="O2873"/>
    <hyperlink r:id="rId8711" ref="B2874"/>
    <hyperlink r:id="rId8712" ref="E2874"/>
    <hyperlink r:id="rId8713" ref="O2874"/>
    <hyperlink r:id="rId8714" ref="B2875"/>
    <hyperlink r:id="rId8715" ref="E2875"/>
    <hyperlink r:id="rId8716" ref="O2875"/>
    <hyperlink r:id="rId8717" ref="B2876"/>
    <hyperlink r:id="rId8718" ref="E2876"/>
    <hyperlink r:id="rId8719" ref="O2876"/>
    <hyperlink r:id="rId8720" ref="B2877"/>
    <hyperlink r:id="rId8721" ref="E2877"/>
    <hyperlink r:id="rId8722" ref="O2877"/>
    <hyperlink r:id="rId8723" ref="B2878"/>
    <hyperlink r:id="rId8724" ref="E2878"/>
    <hyperlink r:id="rId8725" ref="O2878"/>
    <hyperlink r:id="rId8726" ref="B2879"/>
    <hyperlink r:id="rId8727" ref="E2879"/>
    <hyperlink r:id="rId8728" ref="O2879"/>
    <hyperlink r:id="rId8729" ref="B2880"/>
    <hyperlink r:id="rId8730" ref="E2880"/>
    <hyperlink r:id="rId8731" ref="O2880"/>
    <hyperlink r:id="rId8732" ref="B2881"/>
    <hyperlink r:id="rId8733" ref="E2881"/>
    <hyperlink r:id="rId8734" ref="O2881"/>
    <hyperlink r:id="rId8735" ref="B2882"/>
    <hyperlink r:id="rId8736" ref="E2882"/>
    <hyperlink r:id="rId8737" ref="O2882"/>
    <hyperlink r:id="rId8738" ref="B2883"/>
    <hyperlink r:id="rId8739" ref="E2883"/>
    <hyperlink r:id="rId8740" ref="O2883"/>
    <hyperlink r:id="rId8741" ref="B2884"/>
    <hyperlink r:id="rId8742" ref="E2884"/>
    <hyperlink r:id="rId8743" ref="O2884"/>
    <hyperlink r:id="rId8744" ref="B2885"/>
    <hyperlink r:id="rId8745" ref="E2885"/>
    <hyperlink r:id="rId8746" ref="O2885"/>
    <hyperlink r:id="rId8747" ref="B2886"/>
    <hyperlink r:id="rId8748" ref="E2886"/>
    <hyperlink r:id="rId8749" ref="O2886"/>
    <hyperlink r:id="rId8750" ref="B2887"/>
    <hyperlink r:id="rId8751" ref="E2887"/>
    <hyperlink r:id="rId8752" ref="O2887"/>
    <hyperlink r:id="rId8753" ref="B2888"/>
    <hyperlink r:id="rId8754" ref="E2888"/>
    <hyperlink r:id="rId8755" ref="O2888"/>
    <hyperlink r:id="rId8756" ref="B2889"/>
    <hyperlink r:id="rId8757" ref="E2889"/>
    <hyperlink r:id="rId8758" ref="O2889"/>
    <hyperlink r:id="rId8759" ref="B2890"/>
    <hyperlink r:id="rId8760" ref="E2890"/>
    <hyperlink r:id="rId8761" ref="O2890"/>
    <hyperlink r:id="rId8762" ref="B2891"/>
    <hyperlink r:id="rId8763" ref="E2891"/>
    <hyperlink r:id="rId8764" ref="O2891"/>
    <hyperlink r:id="rId8765" ref="B2892"/>
    <hyperlink r:id="rId8766" ref="E2892"/>
    <hyperlink r:id="rId8767" ref="O2892"/>
    <hyperlink r:id="rId8768" ref="B2893"/>
    <hyperlink r:id="rId8769" ref="E2893"/>
    <hyperlink r:id="rId8770" ref="O2893"/>
    <hyperlink r:id="rId8771" ref="B2894"/>
    <hyperlink r:id="rId8772" ref="E2894"/>
    <hyperlink r:id="rId8773" ref="O2894"/>
    <hyperlink r:id="rId8774" ref="B2895"/>
    <hyperlink r:id="rId8775" ref="E2895"/>
    <hyperlink r:id="rId8776" ref="O2895"/>
    <hyperlink r:id="rId8777" ref="B2896"/>
    <hyperlink r:id="rId8778" ref="E2896"/>
    <hyperlink r:id="rId8779" ref="O2896"/>
    <hyperlink r:id="rId8780" ref="B2897"/>
    <hyperlink r:id="rId8781" ref="E2897"/>
    <hyperlink r:id="rId8782" ref="O2897"/>
    <hyperlink r:id="rId8783" ref="B2898"/>
    <hyperlink r:id="rId8784" ref="E2898"/>
    <hyperlink r:id="rId8785" ref="O2898"/>
    <hyperlink r:id="rId8786" ref="B2899"/>
    <hyperlink r:id="rId8787" ref="E2899"/>
    <hyperlink r:id="rId8788" ref="O2899"/>
    <hyperlink r:id="rId8789" ref="B2900"/>
    <hyperlink r:id="rId8790" ref="E2900"/>
    <hyperlink r:id="rId8791" ref="O2900"/>
    <hyperlink r:id="rId8792" ref="B2901"/>
    <hyperlink r:id="rId8793" ref="E2901"/>
    <hyperlink r:id="rId8794" ref="O2901"/>
    <hyperlink r:id="rId8795" ref="B2902"/>
    <hyperlink r:id="rId8796" ref="E2902"/>
    <hyperlink r:id="rId8797" ref="O2902"/>
    <hyperlink r:id="rId8798" ref="B2903"/>
    <hyperlink r:id="rId8799" ref="E2903"/>
    <hyperlink r:id="rId8800" ref="O2903"/>
    <hyperlink r:id="rId8801" ref="B2904"/>
    <hyperlink r:id="rId8802" ref="E2904"/>
    <hyperlink r:id="rId8803" ref="O2904"/>
    <hyperlink r:id="rId8804" ref="B2905"/>
    <hyperlink r:id="rId8805" ref="E2905"/>
    <hyperlink r:id="rId8806" ref="O2905"/>
    <hyperlink r:id="rId8807" ref="B2906"/>
    <hyperlink r:id="rId8808" ref="E2906"/>
    <hyperlink r:id="rId8809" ref="O2906"/>
    <hyperlink r:id="rId8810" ref="B2907"/>
    <hyperlink r:id="rId8811" ref="E2907"/>
    <hyperlink r:id="rId8812" ref="O2907"/>
    <hyperlink r:id="rId8813" ref="B2908"/>
    <hyperlink r:id="rId8814" ref="E2908"/>
    <hyperlink r:id="rId8815" ref="O2908"/>
    <hyperlink r:id="rId8816" ref="B2909"/>
    <hyperlink r:id="rId8817" ref="E2909"/>
    <hyperlink r:id="rId8818" ref="O2909"/>
    <hyperlink r:id="rId8819" ref="B2910"/>
    <hyperlink r:id="rId8820" ref="E2910"/>
    <hyperlink r:id="rId8821" ref="O2910"/>
    <hyperlink r:id="rId8822" ref="B2911"/>
    <hyperlink r:id="rId8823" ref="E2911"/>
    <hyperlink r:id="rId8824" ref="O2911"/>
    <hyperlink r:id="rId8825" ref="B2912"/>
    <hyperlink r:id="rId8826" ref="E2912"/>
    <hyperlink r:id="rId8827" ref="O2912"/>
    <hyperlink r:id="rId8828" ref="B2913"/>
    <hyperlink r:id="rId8829" ref="E2913"/>
    <hyperlink r:id="rId8830" ref="O2913"/>
    <hyperlink r:id="rId8831" ref="B2914"/>
    <hyperlink r:id="rId8832" ref="E2914"/>
    <hyperlink r:id="rId8833" ref="O2914"/>
    <hyperlink r:id="rId8834" ref="B2915"/>
    <hyperlink r:id="rId8835" ref="E2915"/>
    <hyperlink r:id="rId8836" ref="O2915"/>
    <hyperlink r:id="rId8837" ref="B2916"/>
    <hyperlink r:id="rId8838" ref="E2916"/>
    <hyperlink r:id="rId8839" ref="O2916"/>
    <hyperlink r:id="rId8840" ref="B2917"/>
    <hyperlink r:id="rId8841" ref="E2917"/>
    <hyperlink r:id="rId8842" ref="O2917"/>
    <hyperlink r:id="rId8843" ref="B2918"/>
    <hyperlink r:id="rId8844" ref="E2918"/>
    <hyperlink r:id="rId8845" ref="O2918"/>
    <hyperlink r:id="rId8846" ref="B2919"/>
    <hyperlink r:id="rId8847" ref="E2919"/>
    <hyperlink r:id="rId8848" ref="O2919"/>
    <hyperlink r:id="rId8849" ref="B2920"/>
    <hyperlink r:id="rId8850" ref="E2920"/>
    <hyperlink r:id="rId8851" ref="O2920"/>
    <hyperlink r:id="rId8852" ref="B2921"/>
    <hyperlink r:id="rId8853" ref="E2921"/>
    <hyperlink r:id="rId8854" ref="O2921"/>
    <hyperlink r:id="rId8855" ref="B2922"/>
    <hyperlink r:id="rId8856" ref="E2922"/>
    <hyperlink r:id="rId8857" ref="O2922"/>
    <hyperlink r:id="rId8858" ref="B2923"/>
    <hyperlink r:id="rId8859" ref="E2923"/>
    <hyperlink r:id="rId8860" ref="O2923"/>
    <hyperlink r:id="rId8861" ref="B2924"/>
    <hyperlink r:id="rId8862" ref="E2924"/>
    <hyperlink r:id="rId8863" ref="O2924"/>
    <hyperlink r:id="rId8864" ref="B2925"/>
    <hyperlink r:id="rId8865" ref="E2925"/>
    <hyperlink r:id="rId8866" ref="O2925"/>
    <hyperlink r:id="rId8867" ref="B2926"/>
    <hyperlink r:id="rId8868" ref="E2926"/>
    <hyperlink r:id="rId8869" ref="O2926"/>
    <hyperlink r:id="rId8870" ref="B2927"/>
    <hyperlink r:id="rId8871" ref="E2927"/>
    <hyperlink r:id="rId8872" ref="O2927"/>
    <hyperlink r:id="rId8873" ref="B2928"/>
    <hyperlink r:id="rId8874" ref="E2928"/>
    <hyperlink r:id="rId8875" ref="O2928"/>
    <hyperlink r:id="rId8876" ref="B2929"/>
    <hyperlink r:id="rId8877" ref="E2929"/>
    <hyperlink r:id="rId8878" ref="F2929"/>
    <hyperlink r:id="rId8879" ref="O2929"/>
    <hyperlink r:id="rId8880" ref="B2930"/>
    <hyperlink r:id="rId8881" ref="E2930"/>
    <hyperlink r:id="rId8882" ref="O2930"/>
    <hyperlink r:id="rId8883" ref="B2931"/>
    <hyperlink r:id="rId8884" ref="E2931"/>
    <hyperlink r:id="rId8885" ref="O2931"/>
    <hyperlink r:id="rId8886" ref="B2932"/>
    <hyperlink r:id="rId8887" ref="E2932"/>
    <hyperlink r:id="rId8888" ref="O2932"/>
    <hyperlink r:id="rId8889" ref="B2933"/>
    <hyperlink r:id="rId8890" ref="E2933"/>
    <hyperlink r:id="rId8891" ref="O2933"/>
    <hyperlink r:id="rId8892" ref="B2934"/>
    <hyperlink r:id="rId8893" ref="E2934"/>
    <hyperlink r:id="rId8894" ref="O2934"/>
    <hyperlink r:id="rId8895" ref="B2935"/>
    <hyperlink r:id="rId8896" ref="E2935"/>
    <hyperlink r:id="rId8897" ref="O2935"/>
    <hyperlink r:id="rId8898" ref="B2936"/>
    <hyperlink r:id="rId8899" ref="E2936"/>
    <hyperlink r:id="rId8900" ref="O2936"/>
    <hyperlink r:id="rId8901" ref="B2937"/>
    <hyperlink r:id="rId8902" ref="E2937"/>
    <hyperlink r:id="rId8903" ref="O2937"/>
    <hyperlink r:id="rId8904" ref="B2938"/>
    <hyperlink r:id="rId8905" ref="E2938"/>
    <hyperlink r:id="rId8906" ref="O2938"/>
    <hyperlink r:id="rId8907" ref="B2939"/>
    <hyperlink r:id="rId8908" ref="E2939"/>
    <hyperlink r:id="rId8909" ref="O2939"/>
    <hyperlink r:id="rId8910" ref="B2940"/>
    <hyperlink r:id="rId8911" ref="E2940"/>
    <hyperlink r:id="rId8912" ref="O2940"/>
    <hyperlink r:id="rId8913" ref="B2941"/>
    <hyperlink r:id="rId8914" ref="E2941"/>
    <hyperlink r:id="rId8915" ref="O2941"/>
    <hyperlink r:id="rId8916" ref="B2942"/>
    <hyperlink r:id="rId8917" ref="E2942"/>
    <hyperlink r:id="rId8918" ref="O2942"/>
    <hyperlink r:id="rId8919" ref="B2943"/>
    <hyperlink r:id="rId8920" ref="E2943"/>
    <hyperlink r:id="rId8921" ref="O2943"/>
    <hyperlink r:id="rId8922" ref="B2944"/>
    <hyperlink r:id="rId8923" ref="E2944"/>
    <hyperlink r:id="rId8924" ref="O2944"/>
    <hyperlink r:id="rId8925" ref="B2945"/>
    <hyperlink r:id="rId8926" ref="E2945"/>
    <hyperlink r:id="rId8927" ref="O2945"/>
    <hyperlink r:id="rId8928" ref="B2946"/>
    <hyperlink r:id="rId8929" ref="E2946"/>
    <hyperlink r:id="rId8930" ref="O2946"/>
    <hyperlink r:id="rId8931" ref="B2947"/>
    <hyperlink r:id="rId8932" ref="E2947"/>
    <hyperlink r:id="rId8933" ref="O2947"/>
    <hyperlink r:id="rId8934" ref="B2948"/>
    <hyperlink r:id="rId8935" ref="E2948"/>
    <hyperlink r:id="rId8936" ref="O2948"/>
    <hyperlink r:id="rId8937" ref="B2949"/>
    <hyperlink r:id="rId8938" ref="E2949"/>
    <hyperlink r:id="rId8939" ref="O2949"/>
    <hyperlink r:id="rId8940" ref="B2950"/>
    <hyperlink r:id="rId8941" ref="E2950"/>
    <hyperlink r:id="rId8942" ref="O2950"/>
    <hyperlink r:id="rId8943" ref="B2951"/>
    <hyperlink r:id="rId8944" ref="E2951"/>
    <hyperlink r:id="rId8945" ref="O2951"/>
    <hyperlink r:id="rId8946" ref="B2952"/>
    <hyperlink r:id="rId8947" ref="E2952"/>
    <hyperlink r:id="rId8948" ref="O2952"/>
    <hyperlink r:id="rId8949" ref="B2953"/>
    <hyperlink r:id="rId8950" ref="E2953"/>
    <hyperlink r:id="rId8951" ref="O2953"/>
    <hyperlink r:id="rId8952" ref="B2954"/>
    <hyperlink r:id="rId8953" ref="E2954"/>
    <hyperlink r:id="rId8954" ref="O2954"/>
    <hyperlink r:id="rId8955" ref="B2955"/>
    <hyperlink r:id="rId8956" ref="E2955"/>
    <hyperlink r:id="rId8957" ref="O2955"/>
    <hyperlink r:id="rId8958" ref="B2956"/>
    <hyperlink r:id="rId8959" ref="E2956"/>
    <hyperlink r:id="rId8960" ref="O2956"/>
    <hyperlink r:id="rId8961" ref="B2957"/>
    <hyperlink r:id="rId8962" ref="E2957"/>
    <hyperlink r:id="rId8963" ref="O2957"/>
    <hyperlink r:id="rId8964" ref="B2958"/>
    <hyperlink r:id="rId8965" ref="E2958"/>
    <hyperlink r:id="rId8966" ref="O2958"/>
    <hyperlink r:id="rId8967" ref="B2959"/>
    <hyperlink r:id="rId8968" ref="E2959"/>
    <hyperlink r:id="rId8969" ref="O2959"/>
    <hyperlink r:id="rId8970" ref="B2960"/>
    <hyperlink r:id="rId8971" ref="E2960"/>
    <hyperlink r:id="rId8972" ref="O2960"/>
    <hyperlink r:id="rId8973" ref="B2961"/>
    <hyperlink r:id="rId8974" ref="E2961"/>
    <hyperlink r:id="rId8975" ref="O2961"/>
    <hyperlink r:id="rId8976" ref="B2962"/>
    <hyperlink r:id="rId8977" ref="E2962"/>
    <hyperlink r:id="rId8978" ref="O2962"/>
    <hyperlink r:id="rId8979" ref="B2963"/>
    <hyperlink r:id="rId8980" ref="E2963"/>
    <hyperlink r:id="rId8981" ref="O2963"/>
    <hyperlink r:id="rId8982" ref="B2964"/>
    <hyperlink r:id="rId8983" ref="E2964"/>
    <hyperlink r:id="rId8984" ref="O2964"/>
    <hyperlink r:id="rId8985" ref="B2965"/>
    <hyperlink r:id="rId8986" ref="E2965"/>
    <hyperlink r:id="rId8987" ref="O2965"/>
    <hyperlink r:id="rId8988" ref="B2966"/>
    <hyperlink r:id="rId8989" ref="E2966"/>
    <hyperlink r:id="rId8990" ref="O2966"/>
    <hyperlink r:id="rId8991" ref="B2967"/>
    <hyperlink r:id="rId8992" ref="E2967"/>
    <hyperlink r:id="rId8993" ref="O2967"/>
    <hyperlink r:id="rId8994" ref="B2968"/>
    <hyperlink r:id="rId8995" ref="E2968"/>
    <hyperlink r:id="rId8996" ref="O2968"/>
    <hyperlink r:id="rId8997" ref="B2969"/>
    <hyperlink r:id="rId8998" ref="E2969"/>
    <hyperlink r:id="rId8999" ref="O2969"/>
    <hyperlink r:id="rId9000" ref="B2970"/>
    <hyperlink r:id="rId9001" ref="E2970"/>
    <hyperlink r:id="rId9002" ref="O2970"/>
    <hyperlink r:id="rId9003" ref="B2971"/>
    <hyperlink r:id="rId9004" ref="E2971"/>
    <hyperlink r:id="rId9005" ref="O2971"/>
    <hyperlink r:id="rId9006" ref="B2972"/>
    <hyperlink r:id="rId9007" ref="E2972"/>
    <hyperlink r:id="rId9008" ref="O2972"/>
    <hyperlink r:id="rId9009" ref="B2973"/>
    <hyperlink r:id="rId9010" ref="E2973"/>
    <hyperlink r:id="rId9011" ref="O2973"/>
    <hyperlink r:id="rId9012" ref="B2974"/>
    <hyperlink r:id="rId9013" ref="E2974"/>
    <hyperlink r:id="rId9014" ref="O2974"/>
    <hyperlink r:id="rId9015" ref="B2975"/>
    <hyperlink r:id="rId9016" ref="E2975"/>
    <hyperlink r:id="rId9017" ref="O2975"/>
    <hyperlink r:id="rId9018" ref="B2976"/>
    <hyperlink r:id="rId9019" ref="E2976"/>
    <hyperlink r:id="rId9020" ref="O2976"/>
    <hyperlink r:id="rId9021" ref="B2977"/>
    <hyperlink r:id="rId9022" ref="E2977"/>
    <hyperlink r:id="rId9023" ref="O2977"/>
    <hyperlink r:id="rId9024" ref="B2978"/>
    <hyperlink r:id="rId9025" ref="E2978"/>
    <hyperlink r:id="rId9026" ref="O2978"/>
    <hyperlink r:id="rId9027" ref="B2979"/>
    <hyperlink r:id="rId9028" ref="E2979"/>
    <hyperlink r:id="rId9029" ref="O2979"/>
    <hyperlink r:id="rId9030" ref="B2980"/>
    <hyperlink r:id="rId9031" ref="E2980"/>
    <hyperlink r:id="rId9032" ref="O2980"/>
    <hyperlink r:id="rId9033" ref="B2981"/>
    <hyperlink r:id="rId9034" ref="E2981"/>
    <hyperlink r:id="rId9035" ref="O2981"/>
    <hyperlink r:id="rId9036" ref="B2982"/>
    <hyperlink r:id="rId9037" ref="E2982"/>
    <hyperlink r:id="rId9038" ref="O2982"/>
    <hyperlink r:id="rId9039" ref="B2983"/>
    <hyperlink r:id="rId9040" ref="E2983"/>
    <hyperlink r:id="rId9041" ref="O2983"/>
    <hyperlink r:id="rId9042" ref="B2984"/>
    <hyperlink r:id="rId9043" ref="E2984"/>
    <hyperlink r:id="rId9044" ref="O2984"/>
    <hyperlink r:id="rId9045" ref="B2985"/>
    <hyperlink r:id="rId9046" ref="E2985"/>
    <hyperlink r:id="rId9047" ref="O2985"/>
    <hyperlink r:id="rId9048" ref="B2986"/>
    <hyperlink r:id="rId9049" ref="E2986"/>
    <hyperlink r:id="rId9050" ref="O2986"/>
    <hyperlink r:id="rId9051" ref="B2987"/>
    <hyperlink r:id="rId9052" ref="E2987"/>
    <hyperlink r:id="rId9053" ref="O2987"/>
    <hyperlink r:id="rId9054" ref="B2988"/>
    <hyperlink r:id="rId9055" ref="E2988"/>
    <hyperlink r:id="rId9056" ref="O2988"/>
    <hyperlink r:id="rId9057" ref="B2989"/>
    <hyperlink r:id="rId9058" ref="E2989"/>
    <hyperlink r:id="rId9059" ref="O2989"/>
    <hyperlink r:id="rId9060" ref="B2990"/>
    <hyperlink r:id="rId9061" ref="E2990"/>
    <hyperlink r:id="rId9062" ref="O2990"/>
    <hyperlink r:id="rId9063" ref="B2991"/>
    <hyperlink r:id="rId9064" ref="E2991"/>
    <hyperlink r:id="rId9065" ref="O2991"/>
    <hyperlink r:id="rId9066" ref="B2992"/>
    <hyperlink r:id="rId9067" ref="E2992"/>
    <hyperlink r:id="rId9068" ref="O2992"/>
    <hyperlink r:id="rId9069" ref="B2993"/>
    <hyperlink r:id="rId9070" ref="E2993"/>
    <hyperlink r:id="rId9071" ref="O2993"/>
    <hyperlink r:id="rId9072" ref="B2994"/>
    <hyperlink r:id="rId9073" ref="E2994"/>
    <hyperlink r:id="rId9074" ref="O2994"/>
    <hyperlink r:id="rId9075" ref="B2995"/>
    <hyperlink r:id="rId9076" ref="E2995"/>
    <hyperlink r:id="rId9077" ref="O2995"/>
    <hyperlink r:id="rId9078" ref="B2996"/>
    <hyperlink r:id="rId9079" ref="E2996"/>
    <hyperlink r:id="rId9080" ref="O2996"/>
    <hyperlink r:id="rId9081" ref="B2997"/>
    <hyperlink r:id="rId9082" ref="E2997"/>
    <hyperlink r:id="rId9083" ref="O2997"/>
    <hyperlink r:id="rId9084" ref="B2998"/>
    <hyperlink r:id="rId9085" ref="E2998"/>
    <hyperlink r:id="rId9086" ref="O2998"/>
    <hyperlink r:id="rId9087" ref="B2999"/>
    <hyperlink r:id="rId9088" ref="E2999"/>
    <hyperlink r:id="rId9089" ref="O2999"/>
    <hyperlink r:id="rId9090" ref="B3000"/>
    <hyperlink r:id="rId9091" ref="E3000"/>
    <hyperlink r:id="rId9092" ref="O3000"/>
    <hyperlink r:id="rId9093" ref="B3001"/>
    <hyperlink r:id="rId9094" ref="E3001"/>
    <hyperlink r:id="rId9095" ref="O3001"/>
    <hyperlink r:id="rId9096" ref="B3002"/>
    <hyperlink r:id="rId9097" ref="E3002"/>
    <hyperlink r:id="rId9098" ref="O3002"/>
    <hyperlink r:id="rId9099" ref="B3003"/>
    <hyperlink r:id="rId9100" ref="E3003"/>
    <hyperlink r:id="rId9101" ref="O3003"/>
    <hyperlink r:id="rId9102" ref="B3004"/>
    <hyperlink r:id="rId9103" ref="E3004"/>
    <hyperlink r:id="rId9104" ref="O3004"/>
    <hyperlink r:id="rId9105" ref="B3005"/>
    <hyperlink r:id="rId9106" ref="E3005"/>
    <hyperlink r:id="rId9107" ref="O3005"/>
    <hyperlink r:id="rId9108" ref="B3006"/>
    <hyperlink r:id="rId9109" ref="E3006"/>
    <hyperlink r:id="rId9110" ref="O3006"/>
    <hyperlink r:id="rId9111" ref="B3007"/>
    <hyperlink r:id="rId9112" ref="E3007"/>
    <hyperlink r:id="rId9113" ref="O3007"/>
    <hyperlink r:id="rId9114" ref="B3008"/>
    <hyperlink r:id="rId9115" ref="E3008"/>
    <hyperlink r:id="rId9116" ref="O3008"/>
    <hyperlink r:id="rId9117" ref="B3009"/>
    <hyperlink r:id="rId9118" ref="E3009"/>
    <hyperlink r:id="rId9119" ref="O3009"/>
    <hyperlink r:id="rId9120" ref="B3010"/>
    <hyperlink r:id="rId9121" ref="E3010"/>
    <hyperlink r:id="rId9122" ref="O3010"/>
    <hyperlink r:id="rId9123" ref="B3011"/>
    <hyperlink r:id="rId9124" ref="E3011"/>
    <hyperlink r:id="rId9125" ref="O3011"/>
    <hyperlink r:id="rId9126" ref="B3012"/>
    <hyperlink r:id="rId9127" ref="E3012"/>
    <hyperlink r:id="rId9128" ref="O3012"/>
    <hyperlink r:id="rId9129" ref="B3013"/>
    <hyperlink r:id="rId9130" ref="E3013"/>
    <hyperlink r:id="rId9131" ref="O3013"/>
    <hyperlink r:id="rId9132" ref="B3014"/>
    <hyperlink r:id="rId9133" ref="E3014"/>
    <hyperlink r:id="rId9134" ref="O3014"/>
    <hyperlink r:id="rId9135" ref="B3015"/>
    <hyperlink r:id="rId9136" ref="E3015"/>
    <hyperlink r:id="rId9137" ref="O3015"/>
    <hyperlink r:id="rId9138" ref="B3016"/>
    <hyperlink r:id="rId9139" ref="E3016"/>
    <hyperlink r:id="rId9140" ref="O3016"/>
    <hyperlink r:id="rId9141" ref="B3017"/>
    <hyperlink r:id="rId9142" ref="E3017"/>
    <hyperlink r:id="rId9143" ref="O3017"/>
    <hyperlink r:id="rId9144" ref="B3018"/>
    <hyperlink r:id="rId9145" ref="E3018"/>
    <hyperlink r:id="rId9146" ref="O3018"/>
    <hyperlink r:id="rId9147" ref="B3019"/>
    <hyperlink r:id="rId9148" ref="E3019"/>
    <hyperlink r:id="rId9149" ref="O3019"/>
    <hyperlink r:id="rId9150" ref="B3020"/>
    <hyperlink r:id="rId9151" ref="E3020"/>
    <hyperlink r:id="rId9152" ref="O3020"/>
    <hyperlink r:id="rId9153" ref="B3021"/>
    <hyperlink r:id="rId9154" ref="E3021"/>
    <hyperlink r:id="rId9155" ref="O3021"/>
    <hyperlink r:id="rId9156" ref="B3022"/>
    <hyperlink r:id="rId9157" ref="E3022"/>
    <hyperlink r:id="rId9158" ref="O3022"/>
    <hyperlink r:id="rId9159" ref="B3023"/>
    <hyperlink r:id="rId9160" ref="E3023"/>
    <hyperlink r:id="rId9161" ref="O3023"/>
    <hyperlink r:id="rId9162" ref="B3024"/>
    <hyperlink r:id="rId9163" ref="E3024"/>
    <hyperlink r:id="rId9164" ref="O3024"/>
    <hyperlink r:id="rId9165" ref="B3025"/>
    <hyperlink r:id="rId9166" ref="E3025"/>
    <hyperlink r:id="rId9167" ref="O3025"/>
    <hyperlink r:id="rId9168" ref="B3026"/>
    <hyperlink r:id="rId9169" ref="E3026"/>
    <hyperlink r:id="rId9170" ref="O3026"/>
    <hyperlink r:id="rId9171" ref="B3027"/>
    <hyperlink r:id="rId9172" ref="E3027"/>
    <hyperlink r:id="rId9173" ref="O3027"/>
    <hyperlink r:id="rId9174" ref="B3028"/>
    <hyperlink r:id="rId9175" ref="E3028"/>
    <hyperlink r:id="rId9176" ref="O3028"/>
    <hyperlink r:id="rId9177" ref="B3029"/>
    <hyperlink r:id="rId9178" ref="E3029"/>
    <hyperlink r:id="rId9179" ref="O3029"/>
    <hyperlink r:id="rId9180" ref="B3030"/>
    <hyperlink r:id="rId9181" ref="E3030"/>
    <hyperlink r:id="rId9182" ref="F3030"/>
    <hyperlink r:id="rId9183" ref="O3030"/>
    <hyperlink r:id="rId9184" ref="B3031"/>
    <hyperlink r:id="rId9185" ref="E3031"/>
    <hyperlink r:id="rId9186" ref="O3031"/>
    <hyperlink r:id="rId9187" ref="B3032"/>
    <hyperlink r:id="rId9188" ref="E3032"/>
    <hyperlink r:id="rId9189" ref="O3032"/>
    <hyperlink r:id="rId9190" ref="B3033"/>
    <hyperlink r:id="rId9191" ref="E3033"/>
    <hyperlink r:id="rId9192" ref="O3033"/>
    <hyperlink r:id="rId9193" ref="B3034"/>
    <hyperlink r:id="rId9194" ref="E3034"/>
    <hyperlink r:id="rId9195" ref="O3034"/>
    <hyperlink r:id="rId9196" ref="B3035"/>
    <hyperlink r:id="rId9197" ref="E3035"/>
    <hyperlink r:id="rId9198" ref="O3035"/>
    <hyperlink r:id="rId9199" ref="B3036"/>
    <hyperlink r:id="rId9200" ref="E3036"/>
    <hyperlink r:id="rId9201" ref="O3036"/>
    <hyperlink r:id="rId9202" ref="B3037"/>
    <hyperlink r:id="rId9203" ref="E3037"/>
    <hyperlink r:id="rId9204" ref="O3037"/>
    <hyperlink r:id="rId9205" ref="B3038"/>
    <hyperlink r:id="rId9206" ref="E3038"/>
    <hyperlink r:id="rId9207" ref="O3038"/>
    <hyperlink r:id="rId9208" ref="B3039"/>
    <hyperlink r:id="rId9209" ref="E3039"/>
    <hyperlink r:id="rId9210" ref="O3039"/>
    <hyperlink r:id="rId9211" ref="B3040"/>
    <hyperlink r:id="rId9212" ref="E3040"/>
    <hyperlink r:id="rId9213" ref="O3040"/>
    <hyperlink r:id="rId9214" ref="B3041"/>
    <hyperlink r:id="rId9215" ref="E3041"/>
    <hyperlink r:id="rId9216" ref="O3041"/>
    <hyperlink r:id="rId9217" ref="B3042"/>
    <hyperlink r:id="rId9218" ref="E3042"/>
    <hyperlink r:id="rId9219" ref="O3042"/>
    <hyperlink r:id="rId9220" ref="B3043"/>
    <hyperlink r:id="rId9221" ref="E3043"/>
    <hyperlink r:id="rId9222" ref="O3043"/>
    <hyperlink r:id="rId9223" ref="B3044"/>
    <hyperlink r:id="rId9224" ref="E3044"/>
    <hyperlink r:id="rId9225" ref="O3044"/>
    <hyperlink r:id="rId9226" ref="B3045"/>
    <hyperlink r:id="rId9227" ref="E3045"/>
    <hyperlink r:id="rId9228" ref="O3045"/>
    <hyperlink r:id="rId9229" ref="B3046"/>
    <hyperlink r:id="rId9230" ref="E3046"/>
    <hyperlink r:id="rId9231" ref="O3046"/>
    <hyperlink r:id="rId9232" ref="B3047"/>
    <hyperlink r:id="rId9233" ref="E3047"/>
    <hyperlink r:id="rId9234" ref="O3047"/>
    <hyperlink r:id="rId9235" ref="B3048"/>
    <hyperlink r:id="rId9236" ref="E3048"/>
    <hyperlink r:id="rId9237" ref="O3048"/>
    <hyperlink r:id="rId9238" ref="B3049"/>
    <hyperlink r:id="rId9239" ref="E3049"/>
    <hyperlink r:id="rId9240" ref="O3049"/>
    <hyperlink r:id="rId9241" ref="B3050"/>
    <hyperlink r:id="rId9242" ref="E3050"/>
    <hyperlink r:id="rId9243" ref="O3050"/>
    <hyperlink r:id="rId9244" ref="B3051"/>
    <hyperlink r:id="rId9245" ref="E3051"/>
    <hyperlink r:id="rId9246" ref="O3051"/>
    <hyperlink r:id="rId9247" ref="B3052"/>
    <hyperlink r:id="rId9248" ref="E3052"/>
    <hyperlink r:id="rId9249" ref="O3052"/>
    <hyperlink r:id="rId9250" ref="B3053"/>
    <hyperlink r:id="rId9251" ref="E3053"/>
    <hyperlink r:id="rId9252" ref="O3053"/>
    <hyperlink r:id="rId9253" ref="B3054"/>
    <hyperlink r:id="rId9254" ref="E3054"/>
    <hyperlink r:id="rId9255" ref="O3054"/>
    <hyperlink r:id="rId9256" ref="B3055"/>
    <hyperlink r:id="rId9257" ref="E3055"/>
    <hyperlink r:id="rId9258" ref="O3055"/>
    <hyperlink r:id="rId9259" ref="B3056"/>
    <hyperlink r:id="rId9260" ref="E3056"/>
    <hyperlink r:id="rId9261" ref="O3056"/>
    <hyperlink r:id="rId9262" ref="B3057"/>
    <hyperlink r:id="rId9263" ref="E3057"/>
    <hyperlink r:id="rId9264" ref="O3057"/>
    <hyperlink r:id="rId9265" ref="B3058"/>
    <hyperlink r:id="rId9266" ref="E3058"/>
    <hyperlink r:id="rId9267" ref="O3058"/>
    <hyperlink r:id="rId9268" ref="B3059"/>
    <hyperlink r:id="rId9269" ref="E3059"/>
    <hyperlink r:id="rId9270" ref="O3059"/>
    <hyperlink r:id="rId9271" ref="B3060"/>
    <hyperlink r:id="rId9272" ref="E3060"/>
    <hyperlink r:id="rId9273" ref="O3060"/>
    <hyperlink r:id="rId9274" ref="B3061"/>
    <hyperlink r:id="rId9275" ref="E3061"/>
    <hyperlink r:id="rId9276" ref="O3061"/>
    <hyperlink r:id="rId9277" ref="B3062"/>
    <hyperlink r:id="rId9278" ref="E3062"/>
    <hyperlink r:id="rId9279" ref="O3062"/>
    <hyperlink r:id="rId9280" ref="B3063"/>
    <hyperlink r:id="rId9281" ref="E3063"/>
    <hyperlink r:id="rId9282" ref="O3063"/>
    <hyperlink r:id="rId9283" ref="B3064"/>
    <hyperlink r:id="rId9284" ref="E3064"/>
    <hyperlink r:id="rId9285" ref="O3064"/>
    <hyperlink r:id="rId9286" ref="B3065"/>
    <hyperlink r:id="rId9287" ref="E3065"/>
    <hyperlink r:id="rId9288" ref="O3065"/>
    <hyperlink r:id="rId9289" ref="B3066"/>
    <hyperlink r:id="rId9290" ref="E3066"/>
    <hyperlink r:id="rId9291" ref="O3066"/>
    <hyperlink r:id="rId9292" ref="B3067"/>
    <hyperlink r:id="rId9293" ref="E3067"/>
    <hyperlink r:id="rId9294" ref="O3067"/>
    <hyperlink r:id="rId9295" ref="B3068"/>
    <hyperlink r:id="rId9296" ref="E3068"/>
    <hyperlink r:id="rId9297" ref="O3068"/>
    <hyperlink r:id="rId9298" ref="B3069"/>
    <hyperlink r:id="rId9299" ref="E3069"/>
    <hyperlink r:id="rId9300" ref="O3069"/>
    <hyperlink r:id="rId9301" ref="B3070"/>
    <hyperlink r:id="rId9302" ref="E3070"/>
    <hyperlink r:id="rId9303" ref="O3070"/>
    <hyperlink r:id="rId9304" ref="B3071"/>
    <hyperlink r:id="rId9305" ref="E3071"/>
    <hyperlink r:id="rId9306" ref="O3071"/>
    <hyperlink r:id="rId9307" ref="B3072"/>
    <hyperlink r:id="rId9308" ref="E3072"/>
    <hyperlink r:id="rId9309" ref="O3072"/>
  </hyperlinks>
  <drawing r:id="rId931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2" width="22.71"/>
    <col customWidth="1" min="3" max="7" width="19.71"/>
  </cols>
  <sheetData>
    <row r="1" ht="24.0" customHeight="1">
      <c r="A1" s="25" t="s">
        <v>2</v>
      </c>
      <c r="B1" s="26" t="s">
        <v>11405</v>
      </c>
      <c r="C1" s="27" t="s">
        <v>11406</v>
      </c>
      <c r="D1" s="28"/>
      <c r="E1" s="28"/>
      <c r="F1" s="28"/>
      <c r="G1" s="29"/>
    </row>
    <row r="2">
      <c r="A2" s="30">
        <v>42426.426893993055</v>
      </c>
      <c r="B2" s="31" t="s">
        <v>11407</v>
      </c>
      <c r="C2" s="32"/>
      <c r="D2" s="32"/>
      <c r="E2" s="33"/>
      <c r="F2" s="32"/>
      <c r="G2" s="32"/>
    </row>
    <row r="3">
      <c r="A3" s="34" t="s">
        <v>11408</v>
      </c>
      <c r="B3" s="31" t="s">
        <v>11409</v>
      </c>
      <c r="C3" s="32"/>
      <c r="D3" s="32"/>
      <c r="E3" s="33"/>
      <c r="F3" s="32"/>
      <c r="G3" s="32"/>
    </row>
    <row r="4">
      <c r="A4" s="34" t="s">
        <v>11408</v>
      </c>
      <c r="B4" s="31" t="s">
        <v>11410</v>
      </c>
      <c r="C4" s="32"/>
      <c r="D4" s="32"/>
      <c r="E4" s="33"/>
      <c r="F4" s="32"/>
      <c r="G4" s="32"/>
    </row>
    <row r="5">
      <c r="A5" s="34" t="s">
        <v>11411</v>
      </c>
      <c r="B5" s="31" t="s">
        <v>11412</v>
      </c>
      <c r="C5" s="32"/>
      <c r="D5" s="32"/>
      <c r="E5" s="33"/>
      <c r="F5" s="32"/>
      <c r="G5" s="32"/>
    </row>
    <row r="6">
      <c r="A6" s="34" t="s">
        <v>11413</v>
      </c>
      <c r="B6" s="31" t="s">
        <v>11414</v>
      </c>
      <c r="C6" s="32"/>
      <c r="D6" s="32"/>
      <c r="E6" s="33"/>
      <c r="F6" s="32"/>
      <c r="G6" s="32"/>
    </row>
    <row r="7">
      <c r="A7" s="34" t="s">
        <v>11415</v>
      </c>
      <c r="B7" s="31" t="s">
        <v>11416</v>
      </c>
      <c r="C7" s="32"/>
      <c r="D7" s="32"/>
      <c r="E7" s="33"/>
      <c r="F7" s="32"/>
      <c r="G7" s="32"/>
    </row>
    <row r="8">
      <c r="A8" s="35"/>
      <c r="B8" s="36"/>
      <c r="C8" s="32"/>
      <c r="D8" s="32"/>
      <c r="E8" s="33"/>
      <c r="F8" s="32"/>
      <c r="G8" s="32"/>
    </row>
    <row r="9">
      <c r="A9" s="35"/>
      <c r="B9" s="36"/>
      <c r="C9" s="32"/>
      <c r="D9" s="32"/>
      <c r="E9" s="33"/>
      <c r="F9" s="32"/>
      <c r="G9" s="32"/>
    </row>
    <row r="10">
      <c r="A10" s="35"/>
      <c r="B10" s="36"/>
      <c r="C10" s="32"/>
      <c r="D10" s="32"/>
      <c r="E10" s="33"/>
      <c r="F10" s="32"/>
      <c r="G10" s="32"/>
    </row>
    <row r="11">
      <c r="A11" s="35"/>
      <c r="B11" s="36"/>
      <c r="C11" s="32"/>
      <c r="D11" s="32"/>
      <c r="E11" s="33"/>
      <c r="F11" s="32"/>
      <c r="G11" s="32"/>
    </row>
    <row r="12">
      <c r="A12" s="35"/>
      <c r="B12" s="36"/>
      <c r="C12" s="32"/>
      <c r="D12" s="32"/>
      <c r="E12" s="33"/>
      <c r="F12" s="32"/>
      <c r="G12" s="32"/>
    </row>
    <row r="13">
      <c r="A13" s="35"/>
      <c r="B13" s="36"/>
      <c r="C13" s="32"/>
      <c r="D13" s="32"/>
      <c r="E13" s="33"/>
      <c r="F13" s="32"/>
      <c r="G13" s="32"/>
    </row>
    <row r="14">
      <c r="A14" s="35"/>
      <c r="B14" s="36"/>
      <c r="C14" s="32"/>
      <c r="D14" s="32"/>
      <c r="E14" s="33"/>
      <c r="F14" s="32"/>
      <c r="G14" s="32"/>
    </row>
    <row r="15">
      <c r="A15" s="35"/>
      <c r="B15" s="36"/>
      <c r="C15" s="32"/>
      <c r="D15" s="32"/>
      <c r="E15" s="33"/>
      <c r="F15" s="32"/>
      <c r="G15" s="32"/>
    </row>
    <row r="16">
      <c r="A16" s="35"/>
      <c r="B16" s="36"/>
      <c r="C16" s="32"/>
      <c r="D16" s="32"/>
      <c r="E16" s="33"/>
      <c r="F16" s="32"/>
      <c r="G16" s="32"/>
    </row>
    <row r="17">
      <c r="A17" s="35"/>
      <c r="B17" s="36"/>
      <c r="C17" s="32"/>
      <c r="D17" s="32"/>
      <c r="E17" s="33"/>
      <c r="F17" s="32"/>
      <c r="G17" s="32"/>
    </row>
    <row r="18">
      <c r="A18" s="35"/>
      <c r="B18" s="36"/>
      <c r="C18" s="32"/>
      <c r="D18" s="32"/>
      <c r="E18" s="33"/>
      <c r="F18" s="32"/>
      <c r="G18" s="32"/>
    </row>
    <row r="19">
      <c r="A19" s="35"/>
      <c r="B19" s="36"/>
      <c r="C19" s="32"/>
      <c r="D19" s="32"/>
      <c r="E19" s="33"/>
      <c r="F19" s="32"/>
      <c r="G19" s="32"/>
    </row>
    <row r="20">
      <c r="A20" s="35"/>
      <c r="B20" s="36"/>
      <c r="C20" s="32"/>
      <c r="D20" s="32"/>
      <c r="E20" s="33"/>
      <c r="F20" s="32"/>
      <c r="G20" s="32"/>
    </row>
    <row r="21">
      <c r="A21" s="35"/>
      <c r="B21" s="36"/>
      <c r="C21" s="32"/>
      <c r="D21" s="32"/>
      <c r="E21" s="33"/>
      <c r="F21" s="32"/>
      <c r="G21" s="32"/>
    </row>
    <row r="22">
      <c r="A22" s="35"/>
      <c r="B22" s="36"/>
      <c r="C22" s="32"/>
      <c r="D22" s="32"/>
      <c r="E22" s="33"/>
      <c r="F22" s="32"/>
      <c r="G22" s="32"/>
    </row>
    <row r="23">
      <c r="A23" s="35"/>
      <c r="B23" s="36"/>
      <c r="C23" s="32"/>
      <c r="D23" s="32"/>
      <c r="E23" s="33"/>
      <c r="F23" s="32"/>
      <c r="G23" s="32"/>
    </row>
    <row r="24">
      <c r="A24" s="35"/>
      <c r="B24" s="36"/>
      <c r="C24" s="32"/>
      <c r="D24" s="32"/>
      <c r="E24" s="33"/>
      <c r="F24" s="32"/>
      <c r="G24" s="32"/>
    </row>
    <row r="25">
      <c r="A25" s="35"/>
      <c r="B25" s="36"/>
      <c r="C25" s="32"/>
      <c r="D25" s="32"/>
      <c r="E25" s="33"/>
      <c r="F25" s="32"/>
      <c r="G25" s="32"/>
    </row>
    <row r="26">
      <c r="A26" s="35"/>
      <c r="B26" s="36"/>
      <c r="C26" s="32"/>
      <c r="D26" s="32"/>
      <c r="E26" s="33"/>
      <c r="F26" s="32"/>
      <c r="G26" s="32"/>
    </row>
    <row r="27">
      <c r="A27" s="35"/>
      <c r="B27" s="36"/>
      <c r="C27" s="32"/>
      <c r="D27" s="32"/>
      <c r="E27" s="33"/>
      <c r="F27" s="32"/>
      <c r="G27" s="32"/>
    </row>
    <row r="28">
      <c r="A28" s="35"/>
      <c r="B28" s="36"/>
      <c r="C28" s="32"/>
      <c r="D28" s="32"/>
      <c r="E28" s="33"/>
      <c r="F28" s="32"/>
      <c r="G28" s="32"/>
    </row>
    <row r="29">
      <c r="A29" s="35"/>
      <c r="B29" s="36"/>
      <c r="C29" s="32"/>
      <c r="D29" s="32"/>
      <c r="E29" s="33"/>
      <c r="F29" s="32"/>
      <c r="G29" s="32"/>
    </row>
    <row r="30">
      <c r="A30" s="35"/>
      <c r="B30" s="36"/>
      <c r="C30" s="32"/>
      <c r="D30" s="32"/>
      <c r="E30" s="33"/>
      <c r="F30" s="32"/>
      <c r="G30" s="32"/>
    </row>
    <row r="31">
      <c r="A31" s="35"/>
      <c r="B31" s="36"/>
      <c r="C31" s="32"/>
      <c r="D31" s="32"/>
      <c r="E31" s="33"/>
      <c r="F31" s="32"/>
      <c r="G31" s="32"/>
    </row>
    <row r="32">
      <c r="A32" s="35"/>
      <c r="B32" s="36"/>
      <c r="C32" s="32"/>
      <c r="D32" s="32"/>
      <c r="E32" s="33"/>
      <c r="F32" s="32"/>
      <c r="G32" s="32"/>
    </row>
    <row r="33">
      <c r="A33" s="35"/>
      <c r="B33" s="36"/>
      <c r="C33" s="32"/>
      <c r="D33" s="32"/>
      <c r="E33" s="33"/>
      <c r="F33" s="32"/>
      <c r="G33" s="32"/>
    </row>
    <row r="34">
      <c r="A34" s="35"/>
      <c r="B34" s="36"/>
      <c r="C34" s="32"/>
      <c r="D34" s="32"/>
      <c r="E34" s="33"/>
      <c r="F34" s="32"/>
      <c r="G34" s="32"/>
    </row>
    <row r="35">
      <c r="A35" s="35"/>
      <c r="B35" s="36"/>
      <c r="C35" s="32"/>
      <c r="D35" s="32"/>
      <c r="E35" s="33"/>
      <c r="F35" s="32"/>
      <c r="G35" s="32"/>
    </row>
    <row r="36">
      <c r="A36" s="35"/>
      <c r="B36" s="36"/>
      <c r="C36" s="32"/>
      <c r="D36" s="32"/>
      <c r="E36" s="33"/>
      <c r="F36" s="32"/>
      <c r="G36" s="32"/>
    </row>
    <row r="37">
      <c r="A37" s="35"/>
      <c r="B37" s="36"/>
      <c r="C37" s="32"/>
      <c r="D37" s="32"/>
      <c r="E37" s="33"/>
      <c r="F37" s="32"/>
      <c r="G37" s="32"/>
    </row>
    <row r="38">
      <c r="A38" s="35"/>
      <c r="B38" s="36"/>
      <c r="C38" s="32"/>
      <c r="D38" s="32"/>
      <c r="E38" s="33"/>
      <c r="F38" s="32"/>
      <c r="G38" s="32"/>
    </row>
    <row r="39">
      <c r="A39" s="35"/>
      <c r="B39" s="36"/>
      <c r="C39" s="32"/>
      <c r="D39" s="32"/>
      <c r="E39" s="33"/>
      <c r="F39" s="32"/>
      <c r="G39" s="32"/>
    </row>
    <row r="40">
      <c r="A40" s="35"/>
      <c r="B40" s="36"/>
      <c r="C40" s="32"/>
      <c r="D40" s="32"/>
      <c r="E40" s="33"/>
      <c r="F40" s="32"/>
      <c r="G40" s="32"/>
    </row>
    <row r="41">
      <c r="A41" s="35"/>
      <c r="B41" s="36"/>
      <c r="C41" s="32"/>
      <c r="D41" s="32"/>
      <c r="E41" s="33"/>
      <c r="F41" s="32"/>
      <c r="G41" s="32"/>
    </row>
    <row r="42">
      <c r="A42" s="35"/>
      <c r="B42" s="36"/>
      <c r="C42" s="32"/>
      <c r="D42" s="32"/>
      <c r="E42" s="33"/>
      <c r="F42" s="32"/>
      <c r="G42" s="32"/>
    </row>
    <row r="43">
      <c r="A43" s="35"/>
      <c r="B43" s="36"/>
      <c r="C43" s="32"/>
      <c r="D43" s="32"/>
      <c r="E43" s="33"/>
      <c r="F43" s="32"/>
      <c r="G43" s="32"/>
    </row>
    <row r="44">
      <c r="A44" s="35"/>
      <c r="B44" s="36"/>
      <c r="C44" s="32"/>
      <c r="D44" s="32"/>
      <c r="E44" s="33"/>
      <c r="F44" s="32"/>
      <c r="G44" s="32"/>
    </row>
    <row r="45">
      <c r="A45" s="35"/>
      <c r="B45" s="36"/>
      <c r="C45" s="32"/>
      <c r="D45" s="32"/>
      <c r="E45" s="33"/>
      <c r="F45" s="32"/>
      <c r="G45" s="32"/>
    </row>
    <row r="46">
      <c r="A46" s="35"/>
      <c r="B46" s="36"/>
      <c r="C46" s="32"/>
      <c r="D46" s="32"/>
      <c r="E46" s="33"/>
      <c r="F46" s="32"/>
      <c r="G46" s="32"/>
    </row>
    <row r="47">
      <c r="A47" s="35"/>
      <c r="B47" s="36"/>
      <c r="C47" s="32"/>
      <c r="D47" s="32"/>
      <c r="E47" s="33"/>
      <c r="F47" s="32"/>
      <c r="G47" s="32"/>
    </row>
    <row r="48">
      <c r="A48" s="35"/>
      <c r="B48" s="36"/>
      <c r="C48" s="32"/>
      <c r="D48" s="32"/>
      <c r="E48" s="33"/>
      <c r="F48" s="32"/>
      <c r="G48" s="32"/>
    </row>
    <row r="49">
      <c r="A49" s="35"/>
      <c r="B49" s="36"/>
      <c r="C49" s="32"/>
      <c r="D49" s="32"/>
      <c r="E49" s="33"/>
      <c r="F49" s="32"/>
      <c r="G49" s="32"/>
    </row>
    <row r="50">
      <c r="A50" s="35"/>
      <c r="B50" s="36"/>
      <c r="C50" s="32"/>
      <c r="D50" s="32"/>
      <c r="E50" s="33"/>
      <c r="F50" s="32"/>
      <c r="G50" s="32"/>
    </row>
    <row r="51">
      <c r="A51" s="35"/>
      <c r="B51" s="36"/>
      <c r="C51" s="32"/>
      <c r="D51" s="32"/>
      <c r="E51" s="33"/>
      <c r="F51" s="32"/>
      <c r="G51" s="32"/>
    </row>
    <row r="52">
      <c r="A52" s="35"/>
      <c r="B52" s="36"/>
      <c r="C52" s="32"/>
      <c r="D52" s="32"/>
      <c r="E52" s="33"/>
      <c r="F52" s="32"/>
      <c r="G52" s="32"/>
    </row>
    <row r="53">
      <c r="A53" s="35"/>
      <c r="B53" s="36"/>
      <c r="C53" s="32"/>
      <c r="D53" s="32"/>
      <c r="E53" s="33"/>
      <c r="F53" s="32"/>
      <c r="G53" s="32"/>
    </row>
    <row r="54">
      <c r="A54" s="35"/>
      <c r="B54" s="36"/>
      <c r="C54" s="32"/>
      <c r="D54" s="32"/>
      <c r="E54" s="33"/>
      <c r="F54" s="32"/>
      <c r="G54" s="32"/>
    </row>
    <row r="55">
      <c r="A55" s="35"/>
      <c r="B55" s="36"/>
      <c r="C55" s="32"/>
      <c r="D55" s="32"/>
      <c r="E55" s="33"/>
      <c r="F55" s="32"/>
      <c r="G55" s="32"/>
    </row>
    <row r="56">
      <c r="A56" s="35"/>
      <c r="B56" s="36"/>
      <c r="C56" s="32"/>
      <c r="D56" s="32"/>
      <c r="E56" s="33"/>
      <c r="F56" s="32"/>
      <c r="G56" s="32"/>
    </row>
    <row r="57">
      <c r="A57" s="35"/>
      <c r="B57" s="36"/>
      <c r="C57" s="32"/>
      <c r="D57" s="32"/>
      <c r="E57" s="33"/>
      <c r="F57" s="32"/>
      <c r="G57" s="32"/>
    </row>
    <row r="58">
      <c r="A58" s="35"/>
      <c r="B58" s="36"/>
      <c r="C58" s="32"/>
      <c r="D58" s="32"/>
      <c r="E58" s="33"/>
      <c r="F58" s="32"/>
      <c r="G58" s="32"/>
    </row>
    <row r="59">
      <c r="A59" s="35"/>
      <c r="B59" s="36"/>
      <c r="C59" s="32"/>
      <c r="D59" s="32"/>
      <c r="E59" s="33"/>
      <c r="F59" s="32"/>
      <c r="G59" s="32"/>
    </row>
    <row r="60">
      <c r="A60" s="35"/>
      <c r="B60" s="36"/>
      <c r="C60" s="32"/>
      <c r="D60" s="32"/>
      <c r="E60" s="33"/>
      <c r="F60" s="32"/>
      <c r="G60" s="32"/>
    </row>
    <row r="61">
      <c r="A61" s="35"/>
      <c r="B61" s="36"/>
      <c r="C61" s="32"/>
      <c r="D61" s="32"/>
      <c r="E61" s="33"/>
      <c r="F61" s="32"/>
      <c r="G61" s="32"/>
    </row>
    <row r="62">
      <c r="A62" s="35"/>
      <c r="B62" s="36"/>
      <c r="C62" s="32"/>
      <c r="D62" s="32"/>
      <c r="E62" s="33"/>
      <c r="F62" s="32"/>
      <c r="G62" s="32"/>
    </row>
    <row r="63">
      <c r="A63" s="35"/>
      <c r="B63" s="36"/>
      <c r="C63" s="32"/>
      <c r="D63" s="32"/>
      <c r="E63" s="33"/>
      <c r="F63" s="32"/>
      <c r="G63" s="32"/>
    </row>
    <row r="64">
      <c r="A64" s="35"/>
      <c r="B64" s="36"/>
      <c r="C64" s="32"/>
      <c r="D64" s="32"/>
      <c r="E64" s="33"/>
      <c r="F64" s="32"/>
      <c r="G64" s="32"/>
    </row>
    <row r="65">
      <c r="A65" s="35"/>
      <c r="B65" s="36"/>
      <c r="C65" s="32"/>
      <c r="D65" s="32"/>
      <c r="E65" s="33"/>
      <c r="F65" s="32"/>
      <c r="G65" s="32"/>
    </row>
    <row r="66">
      <c r="A66" s="35"/>
      <c r="B66" s="36"/>
      <c r="C66" s="32"/>
      <c r="D66" s="32"/>
      <c r="E66" s="33"/>
      <c r="F66" s="32"/>
      <c r="G66" s="32"/>
    </row>
    <row r="67">
      <c r="A67" s="35"/>
      <c r="B67" s="36"/>
      <c r="C67" s="32"/>
      <c r="D67" s="32"/>
      <c r="E67" s="33"/>
      <c r="F67" s="32"/>
      <c r="G67" s="32"/>
    </row>
    <row r="68">
      <c r="A68" s="35"/>
      <c r="B68" s="36"/>
      <c r="C68" s="32"/>
      <c r="D68" s="32"/>
      <c r="E68" s="33"/>
      <c r="F68" s="32"/>
      <c r="G68" s="32"/>
    </row>
    <row r="69">
      <c r="A69" s="35"/>
      <c r="B69" s="36"/>
      <c r="C69" s="32"/>
      <c r="D69" s="32"/>
      <c r="E69" s="33"/>
      <c r="F69" s="32"/>
      <c r="G69" s="32"/>
    </row>
    <row r="70">
      <c r="A70" s="35"/>
      <c r="B70" s="36"/>
      <c r="C70" s="32"/>
      <c r="D70" s="32"/>
      <c r="E70" s="33"/>
      <c r="F70" s="32"/>
      <c r="G70" s="32"/>
    </row>
    <row r="71">
      <c r="A71" s="35"/>
      <c r="B71" s="36"/>
      <c r="C71" s="32"/>
      <c r="D71" s="32"/>
      <c r="E71" s="33"/>
      <c r="F71" s="32"/>
      <c r="G71" s="32"/>
    </row>
    <row r="72">
      <c r="A72" s="35"/>
      <c r="B72" s="36"/>
      <c r="C72" s="32"/>
      <c r="D72" s="32"/>
      <c r="E72" s="33"/>
      <c r="F72" s="32"/>
      <c r="G72" s="32"/>
    </row>
    <row r="73">
      <c r="A73" s="35"/>
      <c r="B73" s="36"/>
      <c r="C73" s="32"/>
      <c r="D73" s="32"/>
      <c r="E73" s="33"/>
      <c r="F73" s="32"/>
      <c r="G73" s="32"/>
    </row>
    <row r="74">
      <c r="A74" s="35"/>
      <c r="B74" s="36"/>
      <c r="C74" s="32"/>
      <c r="D74" s="32"/>
      <c r="E74" s="33"/>
      <c r="F74" s="32"/>
      <c r="G74" s="32"/>
    </row>
    <row r="75">
      <c r="A75" s="35"/>
      <c r="B75" s="36"/>
      <c r="C75" s="32"/>
      <c r="D75" s="32"/>
      <c r="E75" s="33"/>
      <c r="F75" s="32"/>
      <c r="G75" s="32"/>
    </row>
    <row r="76">
      <c r="A76" s="35"/>
      <c r="B76" s="36"/>
      <c r="C76" s="32"/>
      <c r="D76" s="32"/>
      <c r="E76" s="33"/>
      <c r="F76" s="32"/>
      <c r="G76" s="32"/>
    </row>
    <row r="77">
      <c r="A77" s="35"/>
      <c r="B77" s="36"/>
      <c r="C77" s="32"/>
      <c r="D77" s="32"/>
      <c r="E77" s="33"/>
      <c r="F77" s="32"/>
      <c r="G77" s="32"/>
    </row>
    <row r="78">
      <c r="A78" s="35"/>
      <c r="B78" s="36"/>
      <c r="C78" s="32"/>
      <c r="D78" s="32"/>
      <c r="E78" s="33"/>
      <c r="F78" s="32"/>
      <c r="G78" s="32"/>
    </row>
    <row r="79">
      <c r="A79" s="35"/>
      <c r="B79" s="36"/>
      <c r="C79" s="32"/>
      <c r="D79" s="32"/>
      <c r="E79" s="33"/>
      <c r="F79" s="32"/>
      <c r="G79" s="32"/>
    </row>
    <row r="80">
      <c r="A80" s="35"/>
      <c r="B80" s="36"/>
      <c r="C80" s="32"/>
      <c r="D80" s="32"/>
      <c r="E80" s="33"/>
      <c r="F80" s="32"/>
      <c r="G80" s="32"/>
    </row>
    <row r="81">
      <c r="A81" s="35"/>
      <c r="B81" s="36"/>
      <c r="C81" s="32"/>
      <c r="D81" s="32"/>
      <c r="E81" s="33"/>
      <c r="F81" s="32"/>
      <c r="G81" s="32"/>
    </row>
    <row r="82">
      <c r="A82" s="35"/>
      <c r="B82" s="36"/>
      <c r="C82" s="32"/>
      <c r="D82" s="32"/>
      <c r="E82" s="33"/>
      <c r="F82" s="32"/>
      <c r="G82" s="32"/>
    </row>
    <row r="83">
      <c r="A83" s="35"/>
      <c r="B83" s="36"/>
      <c r="C83" s="32"/>
      <c r="D83" s="32"/>
      <c r="E83" s="33"/>
      <c r="F83" s="32"/>
      <c r="G83" s="32"/>
    </row>
    <row r="84">
      <c r="A84" s="35"/>
      <c r="B84" s="36"/>
      <c r="C84" s="32"/>
      <c r="D84" s="32"/>
      <c r="E84" s="33"/>
      <c r="F84" s="32"/>
      <c r="G84" s="32"/>
    </row>
    <row r="85">
      <c r="A85" s="35"/>
      <c r="B85" s="36"/>
      <c r="C85" s="32"/>
      <c r="D85" s="32"/>
      <c r="E85" s="33"/>
      <c r="F85" s="32"/>
      <c r="G85" s="32"/>
    </row>
    <row r="86">
      <c r="A86" s="35"/>
      <c r="B86" s="36"/>
      <c r="C86" s="32"/>
      <c r="D86" s="32"/>
      <c r="E86" s="33"/>
      <c r="F86" s="32"/>
      <c r="G86" s="32"/>
    </row>
    <row r="87">
      <c r="A87" s="35"/>
      <c r="B87" s="36"/>
      <c r="C87" s="32"/>
      <c r="D87" s="32"/>
      <c r="E87" s="33"/>
      <c r="F87" s="32"/>
      <c r="G87" s="32"/>
    </row>
    <row r="88">
      <c r="A88" s="35"/>
      <c r="B88" s="36"/>
      <c r="C88" s="32"/>
      <c r="D88" s="32"/>
      <c r="E88" s="33"/>
      <c r="F88" s="32"/>
      <c r="G88" s="32"/>
    </row>
    <row r="89">
      <c r="A89" s="35"/>
      <c r="B89" s="36"/>
      <c r="C89" s="32"/>
      <c r="D89" s="32"/>
      <c r="E89" s="33"/>
      <c r="F89" s="32"/>
      <c r="G89" s="32"/>
    </row>
    <row r="90">
      <c r="A90" s="35"/>
      <c r="B90" s="36"/>
      <c r="C90" s="32"/>
      <c r="D90" s="32"/>
      <c r="E90" s="33"/>
      <c r="F90" s="32"/>
      <c r="G90" s="32"/>
    </row>
    <row r="91">
      <c r="A91" s="35"/>
      <c r="B91" s="36"/>
      <c r="C91" s="32"/>
      <c r="D91" s="32"/>
      <c r="E91" s="33"/>
      <c r="F91" s="32"/>
      <c r="G91" s="32"/>
    </row>
    <row r="92">
      <c r="A92" s="35"/>
      <c r="B92" s="36"/>
      <c r="C92" s="32"/>
      <c r="D92" s="32"/>
      <c r="E92" s="33"/>
      <c r="F92" s="32"/>
      <c r="G92" s="32"/>
    </row>
    <row r="93">
      <c r="A93" s="35"/>
      <c r="B93" s="36"/>
      <c r="C93" s="32"/>
      <c r="D93" s="32"/>
      <c r="E93" s="33"/>
      <c r="F93" s="32"/>
      <c r="G93" s="32"/>
    </row>
    <row r="94">
      <c r="A94" s="35"/>
      <c r="B94" s="36"/>
      <c r="C94" s="32"/>
      <c r="D94" s="32"/>
      <c r="E94" s="33"/>
      <c r="F94" s="32"/>
      <c r="G94" s="32"/>
    </row>
    <row r="95">
      <c r="A95" s="35"/>
      <c r="B95" s="36"/>
      <c r="C95" s="32"/>
      <c r="D95" s="32"/>
      <c r="E95" s="33"/>
      <c r="F95" s="32"/>
      <c r="G95" s="32"/>
    </row>
    <row r="96">
      <c r="A96" s="35"/>
      <c r="B96" s="36"/>
      <c r="C96" s="32"/>
      <c r="D96" s="32"/>
      <c r="E96" s="33"/>
      <c r="F96" s="32"/>
      <c r="G96" s="32"/>
    </row>
    <row r="97">
      <c r="A97" s="35"/>
      <c r="B97" s="36"/>
      <c r="C97" s="32"/>
      <c r="D97" s="32"/>
      <c r="E97" s="33"/>
      <c r="F97" s="32"/>
      <c r="G97" s="32"/>
    </row>
    <row r="98">
      <c r="A98" s="35"/>
      <c r="B98" s="36"/>
      <c r="C98" s="32"/>
      <c r="D98" s="32"/>
      <c r="E98" s="33"/>
      <c r="F98" s="32"/>
      <c r="G98" s="32"/>
    </row>
    <row r="99">
      <c r="A99" s="35"/>
      <c r="B99" s="36"/>
      <c r="C99" s="32"/>
      <c r="D99" s="32"/>
      <c r="E99" s="33"/>
      <c r="F99" s="32"/>
      <c r="G99" s="32"/>
    </row>
    <row r="100">
      <c r="A100" s="35"/>
      <c r="B100" s="36"/>
      <c r="C100" s="32"/>
      <c r="D100" s="32"/>
      <c r="E100" s="33"/>
      <c r="F100" s="32"/>
      <c r="G100" s="32"/>
    </row>
    <row r="101">
      <c r="A101" s="35"/>
      <c r="B101" s="36"/>
      <c r="C101" s="32"/>
      <c r="D101" s="32"/>
      <c r="E101" s="33"/>
      <c r="F101" s="32"/>
      <c r="G101" s="32"/>
    </row>
    <row r="102">
      <c r="A102" s="35"/>
      <c r="B102" s="36"/>
      <c r="C102" s="32"/>
      <c r="D102" s="32"/>
      <c r="E102" s="33"/>
      <c r="F102" s="32"/>
      <c r="G102" s="32"/>
    </row>
    <row r="103">
      <c r="A103" s="35"/>
      <c r="B103" s="36"/>
      <c r="C103" s="32"/>
      <c r="D103" s="32"/>
      <c r="E103" s="33"/>
      <c r="F103" s="32"/>
      <c r="G103" s="32"/>
    </row>
    <row r="104">
      <c r="A104" s="35"/>
      <c r="B104" s="36"/>
      <c r="C104" s="32"/>
      <c r="D104" s="32"/>
      <c r="E104" s="33"/>
      <c r="F104" s="32"/>
      <c r="G104" s="32"/>
    </row>
    <row r="105">
      <c r="A105" s="35"/>
      <c r="B105" s="36"/>
      <c r="C105" s="32"/>
      <c r="D105" s="32"/>
      <c r="E105" s="33"/>
      <c r="F105" s="32"/>
      <c r="G105" s="32"/>
    </row>
    <row r="106">
      <c r="A106" s="35"/>
      <c r="B106" s="36"/>
      <c r="C106" s="32"/>
      <c r="D106" s="32"/>
      <c r="E106" s="33"/>
      <c r="F106" s="32"/>
      <c r="G106" s="32"/>
    </row>
    <row r="107">
      <c r="A107" s="35"/>
      <c r="B107" s="36"/>
      <c r="C107" s="32"/>
      <c r="D107" s="32"/>
      <c r="E107" s="33"/>
      <c r="F107" s="32"/>
      <c r="G107" s="32"/>
    </row>
    <row r="108">
      <c r="A108" s="35"/>
      <c r="B108" s="36"/>
      <c r="C108" s="32"/>
      <c r="D108" s="32"/>
      <c r="E108" s="33"/>
      <c r="F108" s="32"/>
      <c r="G108" s="32"/>
    </row>
    <row r="109">
      <c r="A109" s="35"/>
      <c r="B109" s="36"/>
      <c r="C109" s="32"/>
      <c r="D109" s="32"/>
      <c r="E109" s="33"/>
      <c r="F109" s="32"/>
      <c r="G109" s="32"/>
    </row>
    <row r="110">
      <c r="A110" s="35"/>
      <c r="B110" s="36"/>
      <c r="C110" s="32"/>
      <c r="D110" s="32"/>
      <c r="E110" s="33"/>
      <c r="F110" s="32"/>
      <c r="G110" s="32"/>
    </row>
    <row r="111">
      <c r="A111" s="35"/>
      <c r="B111" s="36"/>
      <c r="C111" s="32"/>
      <c r="D111" s="32"/>
      <c r="E111" s="33"/>
      <c r="F111" s="32"/>
      <c r="G111" s="32"/>
    </row>
    <row r="112">
      <c r="A112" s="35"/>
      <c r="B112" s="36"/>
      <c r="C112" s="32"/>
      <c r="D112" s="32"/>
      <c r="E112" s="33"/>
      <c r="F112" s="32"/>
      <c r="G112" s="32"/>
    </row>
    <row r="113">
      <c r="A113" s="35"/>
      <c r="B113" s="36"/>
      <c r="C113" s="32"/>
      <c r="D113" s="32"/>
      <c r="E113" s="33"/>
      <c r="F113" s="32"/>
      <c r="G113" s="32"/>
    </row>
    <row r="114">
      <c r="A114" s="35"/>
      <c r="B114" s="36"/>
      <c r="C114" s="32"/>
      <c r="D114" s="32"/>
      <c r="E114" s="33"/>
      <c r="F114" s="32"/>
      <c r="G114" s="32"/>
    </row>
    <row r="115">
      <c r="A115" s="35"/>
      <c r="B115" s="36"/>
      <c r="C115" s="32"/>
      <c r="D115" s="32"/>
      <c r="E115" s="33"/>
      <c r="F115" s="32"/>
      <c r="G115" s="32"/>
    </row>
    <row r="116">
      <c r="A116" s="35"/>
      <c r="B116" s="36"/>
      <c r="C116" s="32"/>
      <c r="D116" s="32"/>
      <c r="E116" s="33"/>
      <c r="F116" s="32"/>
      <c r="G116" s="32"/>
    </row>
    <row r="117">
      <c r="A117" s="35"/>
      <c r="B117" s="36"/>
      <c r="C117" s="32"/>
      <c r="D117" s="32"/>
      <c r="E117" s="33"/>
      <c r="F117" s="32"/>
      <c r="G117" s="32"/>
    </row>
    <row r="118">
      <c r="A118" s="35"/>
      <c r="B118" s="36"/>
      <c r="C118" s="32"/>
      <c r="D118" s="32"/>
      <c r="E118" s="33"/>
      <c r="F118" s="32"/>
      <c r="G118" s="32"/>
    </row>
    <row r="119">
      <c r="A119" s="35"/>
      <c r="B119" s="36"/>
      <c r="C119" s="32"/>
      <c r="D119" s="32"/>
      <c r="E119" s="33"/>
      <c r="F119" s="32"/>
      <c r="G119" s="32"/>
    </row>
    <row r="120">
      <c r="A120" s="35"/>
      <c r="B120" s="36"/>
      <c r="C120" s="32"/>
      <c r="D120" s="32"/>
      <c r="E120" s="33"/>
      <c r="F120" s="32"/>
      <c r="G120" s="32"/>
    </row>
    <row r="121">
      <c r="A121" s="35"/>
      <c r="B121" s="36"/>
      <c r="C121" s="32"/>
      <c r="D121" s="32"/>
      <c r="E121" s="33"/>
      <c r="F121" s="32"/>
      <c r="G121" s="32"/>
    </row>
    <row r="122">
      <c r="A122" s="35"/>
      <c r="B122" s="36"/>
      <c r="C122" s="32"/>
      <c r="D122" s="32"/>
      <c r="E122" s="33"/>
      <c r="F122" s="32"/>
      <c r="G122" s="32"/>
    </row>
    <row r="123">
      <c r="A123" s="35"/>
      <c r="B123" s="36"/>
      <c r="C123" s="32"/>
      <c r="D123" s="32"/>
      <c r="E123" s="33"/>
      <c r="F123" s="32"/>
      <c r="G123" s="32"/>
    </row>
    <row r="124">
      <c r="A124" s="35"/>
      <c r="B124" s="36"/>
      <c r="C124" s="32"/>
      <c r="D124" s="32"/>
      <c r="E124" s="33"/>
      <c r="F124" s="32"/>
      <c r="G124" s="32"/>
    </row>
    <row r="125">
      <c r="A125" s="35"/>
      <c r="B125" s="36"/>
      <c r="C125" s="32"/>
      <c r="D125" s="32"/>
      <c r="E125" s="33"/>
      <c r="F125" s="32"/>
      <c r="G125" s="32"/>
    </row>
    <row r="126">
      <c r="A126" s="35"/>
      <c r="B126" s="36"/>
      <c r="C126" s="32"/>
      <c r="D126" s="32"/>
      <c r="E126" s="33"/>
      <c r="F126" s="32"/>
      <c r="G126" s="32"/>
    </row>
    <row r="127">
      <c r="A127" s="35"/>
      <c r="B127" s="36"/>
      <c r="C127" s="32"/>
      <c r="D127" s="32"/>
      <c r="E127" s="33"/>
      <c r="F127" s="32"/>
      <c r="G127" s="32"/>
    </row>
    <row r="128">
      <c r="A128" s="35"/>
      <c r="B128" s="36"/>
      <c r="C128" s="32"/>
      <c r="D128" s="32"/>
      <c r="E128" s="33"/>
      <c r="F128" s="32"/>
      <c r="G128" s="32"/>
    </row>
    <row r="129">
      <c r="A129" s="35"/>
      <c r="B129" s="36"/>
      <c r="C129" s="32"/>
      <c r="D129" s="32"/>
      <c r="E129" s="33"/>
      <c r="F129" s="32"/>
      <c r="G129" s="32"/>
    </row>
    <row r="130">
      <c r="A130" s="35"/>
      <c r="B130" s="36"/>
      <c r="C130" s="32"/>
      <c r="D130" s="32"/>
      <c r="E130" s="33"/>
      <c r="F130" s="32"/>
      <c r="G130" s="32"/>
    </row>
    <row r="131">
      <c r="A131" s="35"/>
      <c r="B131" s="36"/>
      <c r="C131" s="32"/>
      <c r="D131" s="32"/>
      <c r="E131" s="33"/>
      <c r="F131" s="32"/>
      <c r="G131" s="32"/>
    </row>
    <row r="132">
      <c r="A132" s="35"/>
      <c r="B132" s="36"/>
      <c r="C132" s="32"/>
      <c r="D132" s="32"/>
      <c r="E132" s="33"/>
      <c r="F132" s="32"/>
      <c r="G132" s="32"/>
    </row>
    <row r="133">
      <c r="A133" s="35"/>
      <c r="B133" s="36"/>
      <c r="C133" s="32"/>
      <c r="D133" s="32"/>
      <c r="E133" s="33"/>
      <c r="F133" s="32"/>
      <c r="G133" s="32"/>
    </row>
    <row r="134">
      <c r="A134" s="35"/>
      <c r="B134" s="36"/>
      <c r="C134" s="32"/>
      <c r="D134" s="32"/>
      <c r="E134" s="33"/>
      <c r="F134" s="32"/>
      <c r="G134" s="32"/>
    </row>
    <row r="135">
      <c r="A135" s="35"/>
      <c r="B135" s="36"/>
      <c r="C135" s="32"/>
      <c r="D135" s="32"/>
      <c r="E135" s="33"/>
      <c r="F135" s="32"/>
      <c r="G135" s="32"/>
    </row>
    <row r="136">
      <c r="A136" s="35"/>
      <c r="B136" s="36"/>
      <c r="C136" s="32"/>
      <c r="D136" s="32"/>
      <c r="E136" s="33"/>
      <c r="F136" s="32"/>
      <c r="G136" s="32"/>
    </row>
    <row r="137">
      <c r="A137" s="35"/>
      <c r="B137" s="36"/>
      <c r="C137" s="32"/>
      <c r="D137" s="32"/>
      <c r="E137" s="33"/>
      <c r="F137" s="32"/>
      <c r="G137" s="32"/>
    </row>
    <row r="138">
      <c r="A138" s="35"/>
      <c r="B138" s="36"/>
      <c r="C138" s="32"/>
      <c r="D138" s="32"/>
      <c r="E138" s="33"/>
      <c r="F138" s="32"/>
      <c r="G138" s="32"/>
    </row>
    <row r="139">
      <c r="A139" s="35"/>
      <c r="B139" s="36"/>
      <c r="C139" s="32"/>
      <c r="D139" s="32"/>
      <c r="E139" s="33"/>
      <c r="F139" s="32"/>
      <c r="G139" s="32"/>
    </row>
    <row r="140">
      <c r="A140" s="35"/>
      <c r="B140" s="36"/>
      <c r="C140" s="32"/>
      <c r="D140" s="32"/>
      <c r="E140" s="33"/>
      <c r="F140" s="32"/>
      <c r="G140" s="32"/>
    </row>
    <row r="141">
      <c r="A141" s="35"/>
      <c r="B141" s="36"/>
      <c r="C141" s="32"/>
      <c r="D141" s="32"/>
      <c r="E141" s="33"/>
      <c r="F141" s="32"/>
      <c r="G141" s="32"/>
    </row>
    <row r="142">
      <c r="A142" s="35"/>
      <c r="B142" s="36"/>
      <c r="C142" s="32"/>
      <c r="D142" s="32"/>
      <c r="E142" s="33"/>
      <c r="F142" s="32"/>
      <c r="G142" s="32"/>
    </row>
    <row r="143">
      <c r="A143" s="35"/>
      <c r="B143" s="36"/>
      <c r="C143" s="32"/>
      <c r="D143" s="32"/>
      <c r="E143" s="33"/>
      <c r="F143" s="32"/>
      <c r="G143" s="32"/>
    </row>
    <row r="144">
      <c r="A144" s="35"/>
      <c r="B144" s="36"/>
      <c r="C144" s="32"/>
      <c r="D144" s="32"/>
      <c r="E144" s="33"/>
      <c r="F144" s="32"/>
      <c r="G144" s="32"/>
    </row>
    <row r="145">
      <c r="A145" s="35"/>
      <c r="B145" s="36"/>
      <c r="C145" s="32"/>
      <c r="D145" s="32"/>
      <c r="E145" s="33"/>
      <c r="F145" s="32"/>
      <c r="G145" s="32"/>
    </row>
    <row r="146">
      <c r="A146" s="35"/>
      <c r="B146" s="36"/>
      <c r="C146" s="32"/>
      <c r="D146" s="32"/>
      <c r="E146" s="33"/>
      <c r="F146" s="32"/>
      <c r="G146" s="32"/>
    </row>
    <row r="147">
      <c r="A147" s="35"/>
      <c r="B147" s="36"/>
      <c r="C147" s="32"/>
      <c r="D147" s="32"/>
      <c r="E147" s="33"/>
      <c r="F147" s="32"/>
      <c r="G147" s="32"/>
    </row>
    <row r="148">
      <c r="A148" s="35"/>
      <c r="B148" s="36"/>
      <c r="C148" s="32"/>
      <c r="D148" s="32"/>
      <c r="E148" s="33"/>
      <c r="F148" s="32"/>
      <c r="G148" s="32"/>
    </row>
    <row r="149">
      <c r="A149" s="35"/>
      <c r="B149" s="36"/>
      <c r="C149" s="32"/>
      <c r="D149" s="32"/>
      <c r="E149" s="33"/>
      <c r="F149" s="32"/>
      <c r="G149" s="32"/>
    </row>
    <row r="150">
      <c r="A150" s="35"/>
      <c r="B150" s="36"/>
      <c r="C150" s="32"/>
      <c r="D150" s="32"/>
      <c r="E150" s="33"/>
      <c r="F150" s="32"/>
      <c r="G150" s="32"/>
    </row>
    <row r="151">
      <c r="A151" s="35"/>
      <c r="B151" s="36"/>
      <c r="C151" s="32"/>
      <c r="D151" s="32"/>
      <c r="E151" s="33"/>
      <c r="F151" s="32"/>
      <c r="G151" s="32"/>
    </row>
    <row r="152">
      <c r="A152" s="35"/>
      <c r="B152" s="36"/>
      <c r="C152" s="32"/>
      <c r="D152" s="32"/>
      <c r="E152" s="33"/>
      <c r="F152" s="32"/>
      <c r="G152" s="32"/>
    </row>
    <row r="153">
      <c r="A153" s="35"/>
      <c r="B153" s="36"/>
      <c r="C153" s="32"/>
      <c r="D153" s="32"/>
      <c r="E153" s="33"/>
      <c r="F153" s="32"/>
      <c r="G153" s="32"/>
    </row>
    <row r="154">
      <c r="A154" s="35"/>
      <c r="B154" s="36"/>
      <c r="C154" s="32"/>
      <c r="D154" s="32"/>
      <c r="E154" s="33"/>
      <c r="F154" s="32"/>
      <c r="G154" s="32"/>
    </row>
    <row r="155">
      <c r="A155" s="35"/>
      <c r="B155" s="36"/>
      <c r="C155" s="32"/>
      <c r="D155" s="32"/>
      <c r="E155" s="33"/>
      <c r="F155" s="32"/>
      <c r="G155" s="32"/>
    </row>
    <row r="156">
      <c r="A156" s="35"/>
      <c r="B156" s="36"/>
      <c r="C156" s="32"/>
      <c r="D156" s="32"/>
      <c r="E156" s="33"/>
      <c r="F156" s="32"/>
      <c r="G156" s="32"/>
    </row>
    <row r="157">
      <c r="A157" s="35"/>
      <c r="B157" s="36"/>
      <c r="C157" s="32"/>
      <c r="D157" s="32"/>
      <c r="E157" s="33"/>
      <c r="F157" s="32"/>
      <c r="G157" s="32"/>
    </row>
    <row r="158">
      <c r="A158" s="35"/>
      <c r="B158" s="36"/>
      <c r="C158" s="32"/>
      <c r="D158" s="32"/>
      <c r="E158" s="33"/>
      <c r="F158" s="32"/>
      <c r="G158" s="32"/>
    </row>
    <row r="159">
      <c r="A159" s="35"/>
      <c r="B159" s="36"/>
      <c r="C159" s="32"/>
      <c r="D159" s="32"/>
      <c r="E159" s="33"/>
      <c r="F159" s="32"/>
      <c r="G159" s="32"/>
    </row>
    <row r="160">
      <c r="A160" s="35"/>
      <c r="B160" s="36"/>
      <c r="C160" s="32"/>
      <c r="D160" s="32"/>
      <c r="E160" s="33"/>
      <c r="F160" s="32"/>
      <c r="G160" s="32"/>
    </row>
    <row r="161">
      <c r="A161" s="35"/>
      <c r="B161" s="36"/>
      <c r="C161" s="32"/>
      <c r="D161" s="32"/>
      <c r="E161" s="33"/>
      <c r="F161" s="32"/>
      <c r="G161" s="32"/>
    </row>
    <row r="162">
      <c r="A162" s="35"/>
      <c r="B162" s="36"/>
      <c r="C162" s="32"/>
      <c r="D162" s="32"/>
      <c r="E162" s="33"/>
      <c r="F162" s="32"/>
      <c r="G162" s="32"/>
    </row>
    <row r="163">
      <c r="A163" s="35"/>
      <c r="B163" s="36"/>
      <c r="C163" s="32"/>
      <c r="D163" s="32"/>
      <c r="E163" s="33"/>
      <c r="F163" s="32"/>
      <c r="G163" s="32"/>
    </row>
    <row r="164">
      <c r="A164" s="35"/>
      <c r="B164" s="36"/>
      <c r="C164" s="32"/>
      <c r="D164" s="32"/>
      <c r="E164" s="33"/>
      <c r="F164" s="32"/>
      <c r="G164" s="32"/>
    </row>
    <row r="165">
      <c r="A165" s="35"/>
      <c r="B165" s="36"/>
      <c r="C165" s="32"/>
      <c r="D165" s="32"/>
      <c r="E165" s="33"/>
      <c r="F165" s="32"/>
      <c r="G165" s="32"/>
    </row>
    <row r="166">
      <c r="A166" s="35"/>
      <c r="B166" s="36"/>
      <c r="C166" s="32"/>
      <c r="D166" s="32"/>
      <c r="E166" s="33"/>
      <c r="F166" s="32"/>
      <c r="G166" s="32"/>
    </row>
    <row r="167">
      <c r="A167" s="35"/>
      <c r="B167" s="36"/>
      <c r="C167" s="32"/>
      <c r="D167" s="32"/>
      <c r="E167" s="33"/>
      <c r="F167" s="32"/>
      <c r="G167" s="32"/>
    </row>
    <row r="168">
      <c r="A168" s="35"/>
      <c r="B168" s="36"/>
      <c r="C168" s="32"/>
      <c r="D168" s="32"/>
      <c r="E168" s="33"/>
      <c r="F168" s="32"/>
      <c r="G168" s="32"/>
    </row>
    <row r="169">
      <c r="A169" s="35"/>
      <c r="B169" s="36"/>
      <c r="C169" s="32"/>
      <c r="D169" s="32"/>
      <c r="E169" s="33"/>
      <c r="F169" s="32"/>
      <c r="G169" s="32"/>
    </row>
    <row r="170">
      <c r="A170" s="35"/>
      <c r="B170" s="36"/>
      <c r="C170" s="32"/>
      <c r="D170" s="32"/>
      <c r="E170" s="33"/>
      <c r="F170" s="32"/>
      <c r="G170" s="32"/>
    </row>
    <row r="171">
      <c r="A171" s="35"/>
      <c r="B171" s="36"/>
      <c r="C171" s="32"/>
      <c r="D171" s="32"/>
      <c r="E171" s="33"/>
      <c r="F171" s="32"/>
      <c r="G171" s="32"/>
    </row>
    <row r="172">
      <c r="A172" s="35"/>
      <c r="B172" s="36"/>
      <c r="C172" s="32"/>
      <c r="D172" s="32"/>
      <c r="E172" s="33"/>
      <c r="F172" s="32"/>
      <c r="G172" s="32"/>
    </row>
    <row r="173">
      <c r="A173" s="35"/>
      <c r="B173" s="36"/>
      <c r="C173" s="32"/>
      <c r="D173" s="32"/>
      <c r="E173" s="33"/>
      <c r="F173" s="32"/>
      <c r="G173" s="32"/>
    </row>
    <row r="174">
      <c r="A174" s="35"/>
      <c r="B174" s="36"/>
      <c r="C174" s="32"/>
      <c r="D174" s="32"/>
      <c r="E174" s="33"/>
      <c r="F174" s="32"/>
      <c r="G174" s="32"/>
    </row>
    <row r="175">
      <c r="A175" s="35"/>
      <c r="B175" s="36"/>
      <c r="C175" s="32"/>
      <c r="D175" s="32"/>
      <c r="E175" s="33"/>
      <c r="F175" s="32"/>
      <c r="G175" s="32"/>
    </row>
    <row r="176">
      <c r="A176" s="35"/>
      <c r="B176" s="36"/>
      <c r="C176" s="32"/>
      <c r="D176" s="32"/>
      <c r="E176" s="33"/>
      <c r="F176" s="32"/>
      <c r="G176" s="32"/>
    </row>
    <row r="177">
      <c r="A177" s="35"/>
      <c r="B177" s="36"/>
      <c r="C177" s="32"/>
      <c r="D177" s="32"/>
      <c r="E177" s="33"/>
      <c r="F177" s="32"/>
      <c r="G177" s="32"/>
    </row>
    <row r="178">
      <c r="A178" s="35"/>
      <c r="B178" s="36"/>
      <c r="C178" s="32"/>
      <c r="D178" s="32"/>
      <c r="E178" s="33"/>
      <c r="F178" s="32"/>
      <c r="G178" s="32"/>
    </row>
    <row r="179">
      <c r="A179" s="35"/>
      <c r="B179" s="36"/>
      <c r="C179" s="32"/>
      <c r="D179" s="32"/>
      <c r="E179" s="33"/>
      <c r="F179" s="32"/>
      <c r="G179" s="32"/>
    </row>
    <row r="180">
      <c r="A180" s="35"/>
      <c r="B180" s="36"/>
      <c r="C180" s="32"/>
      <c r="D180" s="32"/>
      <c r="E180" s="33"/>
      <c r="F180" s="32"/>
      <c r="G180" s="32"/>
    </row>
    <row r="181">
      <c r="A181" s="35"/>
      <c r="B181" s="36"/>
      <c r="C181" s="32"/>
      <c r="D181" s="32"/>
      <c r="E181" s="33"/>
      <c r="F181" s="32"/>
      <c r="G181" s="32"/>
    </row>
    <row r="182">
      <c r="A182" s="35"/>
      <c r="B182" s="36"/>
      <c r="C182" s="32"/>
      <c r="D182" s="32"/>
      <c r="E182" s="33"/>
      <c r="F182" s="32"/>
      <c r="G182" s="32"/>
    </row>
    <row r="183">
      <c r="A183" s="35"/>
      <c r="B183" s="36"/>
      <c r="C183" s="32"/>
      <c r="D183" s="32"/>
      <c r="E183" s="33"/>
      <c r="F183" s="32"/>
      <c r="G183" s="32"/>
    </row>
    <row r="184">
      <c r="A184" s="35"/>
      <c r="B184" s="36"/>
      <c r="C184" s="32"/>
      <c r="D184" s="32"/>
      <c r="E184" s="33"/>
      <c r="F184" s="32"/>
      <c r="G184" s="32"/>
    </row>
    <row r="185">
      <c r="A185" s="35"/>
      <c r="B185" s="36"/>
      <c r="C185" s="32"/>
      <c r="D185" s="32"/>
      <c r="E185" s="33"/>
      <c r="F185" s="32"/>
      <c r="G185" s="32"/>
    </row>
    <row r="186">
      <c r="A186" s="35"/>
      <c r="B186" s="36"/>
      <c r="C186" s="32"/>
      <c r="D186" s="32"/>
      <c r="E186" s="33"/>
      <c r="F186" s="32"/>
      <c r="G186" s="32"/>
    </row>
    <row r="187">
      <c r="A187" s="35"/>
      <c r="B187" s="36"/>
      <c r="C187" s="32"/>
      <c r="D187" s="32"/>
      <c r="E187" s="33"/>
      <c r="F187" s="32"/>
      <c r="G187" s="32"/>
    </row>
    <row r="188">
      <c r="A188" s="35"/>
      <c r="B188" s="36"/>
      <c r="C188" s="32"/>
      <c r="D188" s="32"/>
      <c r="E188" s="33"/>
      <c r="F188" s="32"/>
      <c r="G188" s="32"/>
    </row>
    <row r="189">
      <c r="A189" s="35"/>
      <c r="B189" s="36"/>
      <c r="C189" s="32"/>
      <c r="D189" s="32"/>
      <c r="E189" s="33"/>
      <c r="F189" s="32"/>
      <c r="G189" s="32"/>
    </row>
    <row r="190">
      <c r="A190" s="35"/>
      <c r="B190" s="36"/>
      <c r="C190" s="32"/>
      <c r="D190" s="32"/>
      <c r="E190" s="33"/>
      <c r="F190" s="32"/>
      <c r="G190" s="32"/>
    </row>
    <row r="191">
      <c r="A191" s="35"/>
      <c r="B191" s="36"/>
      <c r="C191" s="32"/>
      <c r="D191" s="32"/>
      <c r="E191" s="33"/>
      <c r="F191" s="32"/>
      <c r="G191" s="32"/>
    </row>
    <row r="192">
      <c r="A192" s="35"/>
      <c r="B192" s="36"/>
      <c r="C192" s="32"/>
      <c r="D192" s="32"/>
      <c r="E192" s="33"/>
      <c r="F192" s="32"/>
      <c r="G192" s="32"/>
    </row>
    <row r="193">
      <c r="A193" s="35"/>
      <c r="B193" s="36"/>
      <c r="C193" s="32"/>
      <c r="D193" s="32"/>
      <c r="E193" s="33"/>
      <c r="F193" s="32"/>
      <c r="G193" s="32"/>
    </row>
    <row r="194">
      <c r="A194" s="35"/>
      <c r="B194" s="36"/>
      <c r="C194" s="32"/>
      <c r="D194" s="32"/>
      <c r="E194" s="33"/>
      <c r="F194" s="32"/>
      <c r="G194" s="32"/>
    </row>
    <row r="195">
      <c r="A195" s="35"/>
      <c r="B195" s="36"/>
      <c r="C195" s="32"/>
      <c r="D195" s="32"/>
      <c r="E195" s="33"/>
      <c r="F195" s="32"/>
      <c r="G195" s="32"/>
    </row>
    <row r="196">
      <c r="A196" s="35"/>
      <c r="B196" s="36"/>
      <c r="C196" s="32"/>
      <c r="D196" s="32"/>
      <c r="E196" s="33"/>
      <c r="F196" s="32"/>
      <c r="G196" s="32"/>
    </row>
    <row r="197">
      <c r="A197" s="35"/>
      <c r="B197" s="36"/>
      <c r="C197" s="32"/>
      <c r="D197" s="32"/>
      <c r="E197" s="33"/>
      <c r="F197" s="32"/>
      <c r="G197" s="32"/>
    </row>
    <row r="198">
      <c r="A198" s="35"/>
      <c r="B198" s="36"/>
      <c r="C198" s="32"/>
      <c r="D198" s="32"/>
      <c r="E198" s="33"/>
      <c r="F198" s="32"/>
      <c r="G198" s="32"/>
    </row>
    <row r="199">
      <c r="A199" s="35"/>
      <c r="B199" s="36"/>
      <c r="C199" s="32"/>
      <c r="D199" s="32"/>
      <c r="E199" s="33"/>
      <c r="F199" s="32"/>
      <c r="G199" s="32"/>
    </row>
    <row r="200">
      <c r="A200" s="35"/>
      <c r="B200" s="36"/>
      <c r="C200" s="32"/>
      <c r="D200" s="32"/>
      <c r="E200" s="33"/>
      <c r="F200" s="32"/>
      <c r="G200" s="32"/>
    </row>
    <row r="201">
      <c r="A201" s="35"/>
      <c r="B201" s="36"/>
      <c r="C201" s="32"/>
      <c r="D201" s="32"/>
      <c r="E201" s="33"/>
      <c r="F201" s="32"/>
      <c r="G201" s="32"/>
    </row>
    <row r="202">
      <c r="A202" s="35"/>
      <c r="B202" s="36"/>
      <c r="C202" s="32"/>
      <c r="D202" s="32"/>
      <c r="E202" s="33"/>
      <c r="F202" s="32"/>
      <c r="G202" s="32"/>
    </row>
    <row r="203">
      <c r="A203" s="35"/>
      <c r="B203" s="36"/>
      <c r="C203" s="32"/>
      <c r="D203" s="32"/>
      <c r="E203" s="33"/>
      <c r="F203" s="32"/>
      <c r="G203" s="32"/>
    </row>
    <row r="204">
      <c r="A204" s="35"/>
      <c r="B204" s="36"/>
      <c r="C204" s="32"/>
      <c r="D204" s="32"/>
      <c r="E204" s="33"/>
      <c r="F204" s="32"/>
      <c r="G204" s="32"/>
    </row>
    <row r="205">
      <c r="A205" s="35"/>
      <c r="B205" s="36"/>
      <c r="C205" s="32"/>
      <c r="D205" s="32"/>
      <c r="E205" s="33"/>
      <c r="F205" s="32"/>
      <c r="G205" s="32"/>
    </row>
    <row r="206">
      <c r="A206" s="35"/>
      <c r="B206" s="36"/>
      <c r="C206" s="32"/>
      <c r="D206" s="32"/>
      <c r="E206" s="33"/>
      <c r="F206" s="32"/>
      <c r="G206" s="32"/>
    </row>
    <row r="207">
      <c r="A207" s="35"/>
      <c r="B207" s="36"/>
      <c r="C207" s="32"/>
      <c r="D207" s="32"/>
      <c r="E207" s="33"/>
      <c r="F207" s="32"/>
      <c r="G207" s="32"/>
    </row>
    <row r="208">
      <c r="A208" s="35"/>
      <c r="B208" s="36"/>
      <c r="C208" s="32"/>
      <c r="D208" s="32"/>
      <c r="E208" s="33"/>
      <c r="F208" s="32"/>
      <c r="G208" s="32"/>
    </row>
    <row r="209">
      <c r="A209" s="35"/>
      <c r="B209" s="36"/>
      <c r="C209" s="32"/>
      <c r="D209" s="32"/>
      <c r="E209" s="33"/>
      <c r="F209" s="32"/>
      <c r="G209" s="32"/>
    </row>
    <row r="210">
      <c r="A210" s="35"/>
      <c r="B210" s="36"/>
      <c r="C210" s="32"/>
      <c r="D210" s="32"/>
      <c r="E210" s="33"/>
      <c r="F210" s="32"/>
      <c r="G210" s="32"/>
    </row>
    <row r="211">
      <c r="A211" s="35"/>
      <c r="B211" s="36"/>
      <c r="C211" s="32"/>
      <c r="D211" s="32"/>
      <c r="E211" s="33"/>
      <c r="F211" s="32"/>
      <c r="G211" s="32"/>
    </row>
    <row r="212">
      <c r="A212" s="35"/>
      <c r="B212" s="36"/>
      <c r="C212" s="32"/>
      <c r="D212" s="32"/>
      <c r="E212" s="33"/>
      <c r="F212" s="32"/>
      <c r="G212" s="32"/>
    </row>
    <row r="213">
      <c r="A213" s="35"/>
      <c r="B213" s="36"/>
      <c r="C213" s="32"/>
      <c r="D213" s="32"/>
      <c r="E213" s="33"/>
      <c r="F213" s="32"/>
      <c r="G213" s="32"/>
    </row>
    <row r="214">
      <c r="A214" s="35"/>
      <c r="B214" s="36"/>
      <c r="C214" s="32"/>
      <c r="D214" s="32"/>
      <c r="E214" s="33"/>
      <c r="F214" s="32"/>
      <c r="G214" s="32"/>
    </row>
    <row r="215">
      <c r="A215" s="35"/>
      <c r="B215" s="36"/>
      <c r="C215" s="32"/>
      <c r="D215" s="32"/>
      <c r="E215" s="33"/>
      <c r="F215" s="32"/>
      <c r="G215" s="32"/>
    </row>
    <row r="216">
      <c r="A216" s="35"/>
      <c r="B216" s="36"/>
      <c r="C216" s="32"/>
      <c r="D216" s="32"/>
      <c r="E216" s="33"/>
      <c r="F216" s="32"/>
      <c r="G216" s="32"/>
    </row>
    <row r="217">
      <c r="A217" s="35"/>
      <c r="B217" s="36"/>
      <c r="C217" s="32"/>
      <c r="D217" s="32"/>
      <c r="E217" s="33"/>
      <c r="F217" s="32"/>
      <c r="G217" s="32"/>
    </row>
    <row r="218">
      <c r="A218" s="35"/>
      <c r="B218" s="36"/>
      <c r="C218" s="32"/>
      <c r="D218" s="32"/>
      <c r="E218" s="33"/>
      <c r="F218" s="32"/>
      <c r="G218" s="32"/>
    </row>
    <row r="219">
      <c r="A219" s="35"/>
      <c r="B219" s="36"/>
      <c r="C219" s="32"/>
      <c r="D219" s="32"/>
      <c r="E219" s="33"/>
      <c r="F219" s="32"/>
      <c r="G219" s="32"/>
    </row>
    <row r="220">
      <c r="A220" s="35"/>
      <c r="B220" s="36"/>
      <c r="C220" s="32"/>
      <c r="D220" s="32"/>
      <c r="E220" s="33"/>
      <c r="F220" s="32"/>
      <c r="G220" s="32"/>
    </row>
    <row r="221">
      <c r="A221" s="35"/>
      <c r="B221" s="36"/>
      <c r="C221" s="32"/>
      <c r="D221" s="32"/>
      <c r="E221" s="33"/>
      <c r="F221" s="32"/>
      <c r="G221" s="32"/>
    </row>
    <row r="222">
      <c r="A222" s="35"/>
      <c r="B222" s="36"/>
      <c r="C222" s="32"/>
      <c r="D222" s="32"/>
      <c r="E222" s="33"/>
      <c r="F222" s="32"/>
      <c r="G222" s="32"/>
    </row>
    <row r="223">
      <c r="A223" s="35"/>
      <c r="B223" s="36"/>
      <c r="C223" s="32"/>
      <c r="D223" s="32"/>
      <c r="E223" s="33"/>
      <c r="F223" s="32"/>
      <c r="G223" s="32"/>
    </row>
    <row r="224">
      <c r="A224" s="35"/>
      <c r="B224" s="36"/>
      <c r="C224" s="32"/>
      <c r="D224" s="32"/>
      <c r="E224" s="33"/>
      <c r="F224" s="32"/>
      <c r="G224" s="32"/>
    </row>
    <row r="225">
      <c r="A225" s="35"/>
      <c r="B225" s="36"/>
      <c r="C225" s="32"/>
      <c r="D225" s="32"/>
      <c r="E225" s="33"/>
      <c r="F225" s="32"/>
      <c r="G225" s="32"/>
    </row>
    <row r="226">
      <c r="A226" s="35"/>
      <c r="B226" s="36"/>
      <c r="C226" s="32"/>
      <c r="D226" s="32"/>
      <c r="E226" s="33"/>
      <c r="F226" s="32"/>
      <c r="G226" s="32"/>
    </row>
    <row r="227">
      <c r="A227" s="35"/>
      <c r="B227" s="36"/>
      <c r="C227" s="32"/>
      <c r="D227" s="32"/>
      <c r="E227" s="33"/>
      <c r="F227" s="32"/>
      <c r="G227" s="32"/>
    </row>
    <row r="228">
      <c r="A228" s="35"/>
      <c r="B228" s="36"/>
      <c r="C228" s="32"/>
      <c r="D228" s="32"/>
      <c r="E228" s="33"/>
      <c r="F228" s="32"/>
      <c r="G228" s="32"/>
    </row>
    <row r="229">
      <c r="A229" s="35"/>
      <c r="B229" s="36"/>
      <c r="C229" s="32"/>
      <c r="D229" s="32"/>
      <c r="E229" s="33"/>
      <c r="F229" s="32"/>
      <c r="G229" s="32"/>
    </row>
    <row r="230">
      <c r="A230" s="35"/>
      <c r="B230" s="36"/>
      <c r="C230" s="32"/>
      <c r="D230" s="32"/>
      <c r="E230" s="33"/>
      <c r="F230" s="32"/>
      <c r="G230" s="32"/>
    </row>
    <row r="231">
      <c r="A231" s="35"/>
      <c r="B231" s="36"/>
      <c r="C231" s="32"/>
      <c r="D231" s="32"/>
      <c r="E231" s="33"/>
      <c r="F231" s="32"/>
      <c r="G231" s="32"/>
    </row>
    <row r="232">
      <c r="A232" s="35"/>
      <c r="B232" s="36"/>
      <c r="C232" s="32"/>
      <c r="D232" s="32"/>
      <c r="E232" s="33"/>
      <c r="F232" s="32"/>
      <c r="G232" s="32"/>
    </row>
    <row r="233">
      <c r="A233" s="35"/>
      <c r="B233" s="36"/>
      <c r="C233" s="32"/>
      <c r="D233" s="32"/>
      <c r="E233" s="33"/>
      <c r="F233" s="32"/>
      <c r="G233" s="32"/>
    </row>
    <row r="234">
      <c r="A234" s="35"/>
      <c r="B234" s="36"/>
      <c r="C234" s="32"/>
      <c r="D234" s="32"/>
      <c r="E234" s="33"/>
      <c r="F234" s="32"/>
      <c r="G234" s="32"/>
    </row>
    <row r="235">
      <c r="A235" s="35"/>
      <c r="B235" s="36"/>
      <c r="C235" s="32"/>
      <c r="D235" s="32"/>
      <c r="E235" s="33"/>
      <c r="F235" s="32"/>
      <c r="G235" s="32"/>
    </row>
    <row r="236">
      <c r="A236" s="35"/>
      <c r="B236" s="36"/>
      <c r="C236" s="32"/>
      <c r="D236" s="32"/>
      <c r="E236" s="33"/>
      <c r="F236" s="32"/>
      <c r="G236" s="32"/>
    </row>
    <row r="237">
      <c r="A237" s="35"/>
      <c r="B237" s="36"/>
      <c r="C237" s="32"/>
      <c r="D237" s="32"/>
      <c r="E237" s="33"/>
      <c r="F237" s="32"/>
      <c r="G237" s="32"/>
    </row>
    <row r="238">
      <c r="A238" s="35"/>
      <c r="B238" s="36"/>
      <c r="C238" s="32"/>
      <c r="D238" s="32"/>
      <c r="E238" s="33"/>
      <c r="F238" s="32"/>
      <c r="G238" s="32"/>
    </row>
    <row r="239">
      <c r="A239" s="35"/>
      <c r="B239" s="36"/>
      <c r="C239" s="32"/>
      <c r="D239" s="32"/>
      <c r="E239" s="33"/>
      <c r="F239" s="32"/>
      <c r="G239" s="32"/>
    </row>
    <row r="240">
      <c r="A240" s="35"/>
      <c r="B240" s="36"/>
      <c r="C240" s="32"/>
      <c r="D240" s="32"/>
      <c r="E240" s="33"/>
      <c r="F240" s="32"/>
      <c r="G240" s="32"/>
    </row>
    <row r="241">
      <c r="A241" s="35"/>
      <c r="B241" s="36"/>
      <c r="C241" s="32"/>
      <c r="D241" s="32"/>
      <c r="E241" s="33"/>
      <c r="F241" s="32"/>
      <c r="G241" s="32"/>
    </row>
    <row r="242">
      <c r="A242" s="35"/>
      <c r="B242" s="36"/>
      <c r="C242" s="32"/>
      <c r="D242" s="32"/>
      <c r="E242" s="33"/>
      <c r="F242" s="32"/>
      <c r="G242" s="32"/>
    </row>
    <row r="243">
      <c r="A243" s="35"/>
      <c r="B243" s="36"/>
      <c r="C243" s="32"/>
      <c r="D243" s="32"/>
      <c r="E243" s="33"/>
      <c r="F243" s="32"/>
      <c r="G243" s="32"/>
    </row>
    <row r="244">
      <c r="A244" s="35"/>
      <c r="B244" s="36"/>
      <c r="C244" s="32"/>
      <c r="D244" s="32"/>
      <c r="E244" s="33"/>
      <c r="F244" s="32"/>
      <c r="G244" s="32"/>
    </row>
    <row r="245">
      <c r="A245" s="35"/>
      <c r="B245" s="36"/>
      <c r="C245" s="32"/>
      <c r="D245" s="32"/>
      <c r="E245" s="33"/>
      <c r="F245" s="32"/>
      <c r="G245" s="32"/>
    </row>
    <row r="246">
      <c r="A246" s="35"/>
      <c r="B246" s="36"/>
      <c r="C246" s="32"/>
      <c r="D246" s="32"/>
      <c r="E246" s="33"/>
      <c r="F246" s="32"/>
      <c r="G246" s="32"/>
    </row>
    <row r="247">
      <c r="A247" s="35"/>
      <c r="B247" s="36"/>
      <c r="C247" s="32"/>
      <c r="D247" s="32"/>
      <c r="E247" s="33"/>
      <c r="F247" s="32"/>
      <c r="G247" s="32"/>
    </row>
    <row r="248">
      <c r="A248" s="35"/>
      <c r="B248" s="36"/>
      <c r="C248" s="32"/>
      <c r="D248" s="32"/>
      <c r="E248" s="33"/>
      <c r="F248" s="32"/>
      <c r="G248" s="32"/>
    </row>
    <row r="249">
      <c r="A249" s="35"/>
      <c r="B249" s="36"/>
      <c r="C249" s="32"/>
      <c r="D249" s="32"/>
      <c r="E249" s="33"/>
      <c r="F249" s="32"/>
      <c r="G249" s="32"/>
    </row>
    <row r="250">
      <c r="A250" s="35"/>
      <c r="B250" s="36"/>
      <c r="C250" s="32"/>
      <c r="D250" s="32"/>
      <c r="E250" s="33"/>
      <c r="F250" s="32"/>
      <c r="G250" s="32"/>
    </row>
    <row r="251">
      <c r="A251" s="35"/>
      <c r="B251" s="36"/>
      <c r="C251" s="32"/>
      <c r="D251" s="32"/>
      <c r="E251" s="33"/>
      <c r="F251" s="32"/>
      <c r="G251" s="32"/>
    </row>
    <row r="252">
      <c r="A252" s="35"/>
      <c r="B252" s="36"/>
      <c r="C252" s="32"/>
      <c r="D252" s="32"/>
      <c r="E252" s="33"/>
      <c r="F252" s="32"/>
      <c r="G252" s="32"/>
    </row>
    <row r="253">
      <c r="A253" s="35"/>
      <c r="B253" s="36"/>
      <c r="C253" s="32"/>
      <c r="D253" s="32"/>
      <c r="E253" s="33"/>
      <c r="F253" s="32"/>
      <c r="G253" s="32"/>
    </row>
    <row r="254">
      <c r="A254" s="35"/>
      <c r="B254" s="36"/>
      <c r="C254" s="32"/>
      <c r="D254" s="32"/>
      <c r="E254" s="33"/>
      <c r="F254" s="32"/>
      <c r="G254" s="32"/>
    </row>
    <row r="255">
      <c r="A255" s="35"/>
      <c r="B255" s="36"/>
      <c r="C255" s="32"/>
      <c r="D255" s="32"/>
      <c r="E255" s="33"/>
      <c r="F255" s="32"/>
      <c r="G255" s="32"/>
    </row>
    <row r="256">
      <c r="A256" s="35"/>
      <c r="B256" s="36"/>
      <c r="C256" s="32"/>
      <c r="D256" s="32"/>
      <c r="E256" s="33"/>
      <c r="F256" s="32"/>
      <c r="G256" s="32"/>
    </row>
    <row r="257">
      <c r="A257" s="35"/>
      <c r="B257" s="36"/>
      <c r="C257" s="32"/>
      <c r="D257" s="32"/>
      <c r="E257" s="33"/>
      <c r="F257" s="32"/>
      <c r="G257" s="32"/>
    </row>
    <row r="258">
      <c r="A258" s="35"/>
      <c r="B258" s="36"/>
      <c r="C258" s="32"/>
      <c r="D258" s="32"/>
      <c r="E258" s="33"/>
      <c r="F258" s="32"/>
      <c r="G258" s="32"/>
    </row>
    <row r="259">
      <c r="A259" s="35"/>
      <c r="B259" s="36"/>
      <c r="C259" s="32"/>
      <c r="D259" s="32"/>
      <c r="E259" s="33"/>
      <c r="F259" s="32"/>
      <c r="G259" s="32"/>
    </row>
    <row r="260">
      <c r="A260" s="35"/>
      <c r="B260" s="36"/>
      <c r="C260" s="32"/>
      <c r="D260" s="32"/>
      <c r="E260" s="33"/>
      <c r="F260" s="32"/>
      <c r="G260" s="32"/>
    </row>
    <row r="261">
      <c r="A261" s="35"/>
      <c r="B261" s="36"/>
      <c r="C261" s="32"/>
      <c r="D261" s="32"/>
      <c r="E261" s="33"/>
      <c r="F261" s="32"/>
      <c r="G261" s="32"/>
    </row>
    <row r="262">
      <c r="A262" s="35"/>
      <c r="B262" s="36"/>
      <c r="C262" s="32"/>
      <c r="D262" s="32"/>
      <c r="E262" s="33"/>
      <c r="F262" s="32"/>
      <c r="G262" s="32"/>
    </row>
    <row r="263">
      <c r="A263" s="35"/>
      <c r="B263" s="36"/>
      <c r="C263" s="32"/>
      <c r="D263" s="32"/>
      <c r="E263" s="33"/>
      <c r="F263" s="32"/>
      <c r="G263" s="32"/>
    </row>
    <row r="264">
      <c r="A264" s="35"/>
      <c r="B264" s="36"/>
      <c r="C264" s="32"/>
      <c r="D264" s="32"/>
      <c r="E264" s="33"/>
      <c r="F264" s="32"/>
      <c r="G264" s="32"/>
    </row>
    <row r="265">
      <c r="A265" s="35"/>
      <c r="B265" s="36"/>
      <c r="C265" s="32"/>
      <c r="D265" s="32"/>
      <c r="E265" s="33"/>
      <c r="F265" s="32"/>
      <c r="G265" s="32"/>
    </row>
    <row r="266">
      <c r="A266" s="35"/>
      <c r="B266" s="36"/>
      <c r="C266" s="32"/>
      <c r="D266" s="32"/>
      <c r="E266" s="33"/>
      <c r="F266" s="32"/>
      <c r="G266" s="32"/>
    </row>
    <row r="267">
      <c r="A267" s="35"/>
      <c r="B267" s="36"/>
      <c r="C267" s="32"/>
      <c r="D267" s="32"/>
      <c r="E267" s="33"/>
      <c r="F267" s="32"/>
      <c r="G267" s="32"/>
    </row>
    <row r="268">
      <c r="A268" s="35"/>
      <c r="B268" s="36"/>
      <c r="C268" s="32"/>
      <c r="D268" s="32"/>
      <c r="E268" s="33"/>
      <c r="F268" s="32"/>
      <c r="G268" s="32"/>
    </row>
    <row r="269">
      <c r="A269" s="35"/>
      <c r="B269" s="36"/>
      <c r="C269" s="32"/>
      <c r="D269" s="32"/>
      <c r="E269" s="33"/>
      <c r="F269" s="32"/>
      <c r="G269" s="32"/>
    </row>
    <row r="270">
      <c r="A270" s="35"/>
      <c r="B270" s="36"/>
      <c r="C270" s="32"/>
      <c r="D270" s="32"/>
      <c r="E270" s="33"/>
      <c r="F270" s="32"/>
      <c r="G270" s="32"/>
    </row>
    <row r="271">
      <c r="A271" s="35"/>
      <c r="B271" s="36"/>
      <c r="C271" s="32"/>
      <c r="D271" s="32"/>
      <c r="E271" s="33"/>
      <c r="F271" s="32"/>
      <c r="G271" s="32"/>
    </row>
    <row r="272">
      <c r="A272" s="35"/>
      <c r="B272" s="36"/>
      <c r="C272" s="32"/>
      <c r="D272" s="32"/>
      <c r="E272" s="33"/>
      <c r="F272" s="32"/>
      <c r="G272" s="32"/>
    </row>
    <row r="273">
      <c r="A273" s="35"/>
      <c r="B273" s="36"/>
      <c r="C273" s="32"/>
      <c r="D273" s="32"/>
      <c r="E273" s="33"/>
      <c r="F273" s="32"/>
      <c r="G273" s="32"/>
    </row>
    <row r="274">
      <c r="A274" s="35"/>
      <c r="B274" s="36"/>
      <c r="C274" s="32"/>
      <c r="D274" s="32"/>
      <c r="E274" s="33"/>
      <c r="F274" s="32"/>
      <c r="G274" s="32"/>
    </row>
    <row r="275">
      <c r="A275" s="35"/>
      <c r="B275" s="36"/>
      <c r="C275" s="32"/>
      <c r="D275" s="32"/>
      <c r="E275" s="33"/>
      <c r="F275" s="32"/>
      <c r="G275" s="32"/>
    </row>
    <row r="276">
      <c r="A276" s="35"/>
      <c r="B276" s="36"/>
      <c r="C276" s="32"/>
      <c r="D276" s="32"/>
      <c r="E276" s="33"/>
      <c r="F276" s="32"/>
      <c r="G276" s="32"/>
    </row>
    <row r="277">
      <c r="A277" s="35"/>
      <c r="B277" s="36"/>
      <c r="C277" s="32"/>
      <c r="D277" s="32"/>
      <c r="E277" s="33"/>
      <c r="F277" s="32"/>
      <c r="G277" s="32"/>
    </row>
    <row r="278">
      <c r="A278" s="35"/>
      <c r="B278" s="36"/>
      <c r="C278" s="32"/>
      <c r="D278" s="32"/>
      <c r="E278" s="33"/>
      <c r="F278" s="32"/>
      <c r="G278" s="32"/>
    </row>
    <row r="279">
      <c r="A279" s="35"/>
      <c r="B279" s="36"/>
      <c r="C279" s="32"/>
      <c r="D279" s="32"/>
      <c r="E279" s="33"/>
      <c r="F279" s="32"/>
      <c r="G279" s="32"/>
    </row>
    <row r="280">
      <c r="A280" s="35"/>
      <c r="B280" s="36"/>
      <c r="C280" s="32"/>
      <c r="D280" s="32"/>
      <c r="E280" s="33"/>
      <c r="F280" s="32"/>
      <c r="G280" s="32"/>
    </row>
    <row r="281">
      <c r="A281" s="35"/>
      <c r="B281" s="36"/>
      <c r="C281" s="32"/>
      <c r="D281" s="32"/>
      <c r="E281" s="33"/>
      <c r="F281" s="32"/>
      <c r="G281" s="32"/>
    </row>
    <row r="282">
      <c r="A282" s="35"/>
      <c r="B282" s="36"/>
      <c r="C282" s="32"/>
      <c r="D282" s="32"/>
      <c r="E282" s="33"/>
      <c r="F282" s="32"/>
      <c r="G282" s="32"/>
    </row>
    <row r="283">
      <c r="A283" s="35"/>
      <c r="B283" s="36"/>
      <c r="C283" s="32"/>
      <c r="D283" s="32"/>
      <c r="E283" s="33"/>
      <c r="F283" s="32"/>
      <c r="G283" s="32"/>
    </row>
    <row r="284">
      <c r="A284" s="35"/>
      <c r="B284" s="36"/>
      <c r="C284" s="32"/>
      <c r="D284" s="32"/>
      <c r="E284" s="33"/>
      <c r="F284" s="32"/>
      <c r="G284" s="32"/>
    </row>
    <row r="285">
      <c r="A285" s="35"/>
      <c r="B285" s="36"/>
      <c r="C285" s="32"/>
      <c r="D285" s="32"/>
      <c r="E285" s="33"/>
      <c r="F285" s="32"/>
      <c r="G285" s="32"/>
    </row>
    <row r="286">
      <c r="A286" s="35"/>
      <c r="B286" s="36"/>
      <c r="C286" s="32"/>
      <c r="D286" s="32"/>
      <c r="E286" s="33"/>
      <c r="F286" s="32"/>
      <c r="G286" s="32"/>
    </row>
    <row r="287">
      <c r="A287" s="35"/>
      <c r="B287" s="36"/>
      <c r="C287" s="32"/>
      <c r="D287" s="32"/>
      <c r="E287" s="33"/>
      <c r="F287" s="32"/>
      <c r="G287" s="32"/>
    </row>
    <row r="288">
      <c r="A288" s="35"/>
      <c r="B288" s="36"/>
      <c r="C288" s="32"/>
      <c r="D288" s="32"/>
      <c r="E288" s="33"/>
      <c r="F288" s="32"/>
      <c r="G288" s="32"/>
    </row>
    <row r="289">
      <c r="A289" s="35"/>
      <c r="B289" s="36"/>
      <c r="C289" s="32"/>
      <c r="D289" s="32"/>
      <c r="E289" s="33"/>
      <c r="F289" s="32"/>
      <c r="G289" s="32"/>
    </row>
    <row r="290">
      <c r="A290" s="35"/>
      <c r="B290" s="36"/>
      <c r="C290" s="32"/>
      <c r="D290" s="32"/>
      <c r="E290" s="33"/>
      <c r="F290" s="32"/>
      <c r="G290" s="32"/>
    </row>
    <row r="291">
      <c r="A291" s="35"/>
      <c r="B291" s="36"/>
      <c r="C291" s="32"/>
      <c r="D291" s="32"/>
      <c r="E291" s="33"/>
      <c r="F291" s="32"/>
      <c r="G291" s="32"/>
    </row>
    <row r="292">
      <c r="A292" s="35"/>
      <c r="B292" s="36"/>
      <c r="C292" s="32"/>
      <c r="D292" s="32"/>
      <c r="E292" s="33"/>
      <c r="F292" s="32"/>
      <c r="G292" s="32"/>
    </row>
    <row r="293">
      <c r="A293" s="35"/>
      <c r="B293" s="36"/>
      <c r="C293" s="32"/>
      <c r="D293" s="32"/>
      <c r="E293" s="33"/>
      <c r="F293" s="32"/>
      <c r="G293" s="32"/>
    </row>
    <row r="294">
      <c r="A294" s="35"/>
      <c r="B294" s="36"/>
      <c r="C294" s="32"/>
      <c r="D294" s="32"/>
      <c r="E294" s="33"/>
      <c r="F294" s="32"/>
      <c r="G294" s="32"/>
    </row>
    <row r="295">
      <c r="A295" s="35"/>
      <c r="B295" s="36"/>
      <c r="C295" s="32"/>
      <c r="D295" s="32"/>
      <c r="E295" s="33"/>
      <c r="F295" s="32"/>
      <c r="G295" s="32"/>
    </row>
    <row r="296">
      <c r="A296" s="35"/>
      <c r="B296" s="36"/>
      <c r="C296" s="32"/>
      <c r="D296" s="32"/>
      <c r="E296" s="33"/>
      <c r="F296" s="32"/>
      <c r="G296" s="32"/>
    </row>
    <row r="297">
      <c r="A297" s="35"/>
      <c r="B297" s="36"/>
      <c r="C297" s="32"/>
      <c r="D297" s="32"/>
      <c r="E297" s="33"/>
      <c r="F297" s="32"/>
      <c r="G297" s="32"/>
    </row>
    <row r="298">
      <c r="A298" s="35"/>
      <c r="B298" s="36"/>
      <c r="C298" s="32"/>
      <c r="D298" s="32"/>
      <c r="E298" s="33"/>
      <c r="F298" s="32"/>
      <c r="G298" s="32"/>
    </row>
    <row r="299">
      <c r="A299" s="35"/>
      <c r="B299" s="36"/>
      <c r="C299" s="32"/>
      <c r="D299" s="32"/>
      <c r="E299" s="33"/>
      <c r="F299" s="32"/>
      <c r="G299" s="32"/>
    </row>
    <row r="300">
      <c r="A300" s="35"/>
      <c r="B300" s="36"/>
      <c r="C300" s="32"/>
      <c r="D300" s="32"/>
      <c r="E300" s="33"/>
      <c r="F300" s="32"/>
      <c r="G300" s="32"/>
    </row>
    <row r="301">
      <c r="A301" s="35"/>
      <c r="B301" s="36"/>
      <c r="C301" s="32"/>
      <c r="D301" s="32"/>
      <c r="E301" s="33"/>
      <c r="F301" s="32"/>
      <c r="G301" s="32"/>
    </row>
    <row r="302">
      <c r="A302" s="35"/>
      <c r="B302" s="36"/>
      <c r="C302" s="32"/>
      <c r="D302" s="32"/>
      <c r="E302" s="33"/>
      <c r="F302" s="32"/>
      <c r="G302" s="32"/>
    </row>
    <row r="303">
      <c r="A303" s="35"/>
      <c r="B303" s="36"/>
      <c r="C303" s="32"/>
      <c r="D303" s="32"/>
      <c r="E303" s="33"/>
      <c r="F303" s="32"/>
      <c r="G303" s="32"/>
    </row>
    <row r="304">
      <c r="A304" s="35"/>
      <c r="B304" s="36"/>
      <c r="C304" s="32"/>
      <c r="D304" s="32"/>
      <c r="E304" s="33"/>
      <c r="F304" s="32"/>
      <c r="G304" s="32"/>
    </row>
    <row r="305">
      <c r="A305" s="35"/>
      <c r="B305" s="36"/>
      <c r="C305" s="32"/>
      <c r="D305" s="32"/>
      <c r="E305" s="33"/>
      <c r="F305" s="32"/>
      <c r="G305" s="32"/>
    </row>
    <row r="306">
      <c r="A306" s="35"/>
      <c r="B306" s="36"/>
      <c r="C306" s="32"/>
      <c r="D306" s="32"/>
      <c r="E306" s="33"/>
      <c r="F306" s="32"/>
      <c r="G306" s="32"/>
    </row>
    <row r="307">
      <c r="A307" s="35"/>
      <c r="B307" s="36"/>
      <c r="C307" s="32"/>
      <c r="D307" s="32"/>
      <c r="E307" s="33"/>
      <c r="F307" s="32"/>
      <c r="G307" s="32"/>
    </row>
    <row r="308">
      <c r="A308" s="35"/>
      <c r="B308" s="36"/>
      <c r="C308" s="32"/>
      <c r="D308" s="32"/>
      <c r="E308" s="33"/>
      <c r="F308" s="32"/>
      <c r="G308" s="32"/>
    </row>
    <row r="309">
      <c r="A309" s="35"/>
      <c r="B309" s="36"/>
      <c r="C309" s="32"/>
      <c r="D309" s="32"/>
      <c r="E309" s="33"/>
      <c r="F309" s="32"/>
      <c r="G309" s="32"/>
    </row>
    <row r="310">
      <c r="A310" s="35"/>
      <c r="B310" s="36"/>
      <c r="C310" s="32"/>
      <c r="D310" s="32"/>
      <c r="E310" s="33"/>
      <c r="F310" s="32"/>
      <c r="G310" s="32"/>
    </row>
    <row r="311">
      <c r="A311" s="35"/>
      <c r="B311" s="36"/>
      <c r="C311" s="32"/>
      <c r="D311" s="32"/>
      <c r="E311" s="33"/>
      <c r="F311" s="32"/>
      <c r="G311" s="32"/>
    </row>
    <row r="312">
      <c r="A312" s="35"/>
      <c r="B312" s="36"/>
      <c r="C312" s="32"/>
      <c r="D312" s="32"/>
      <c r="E312" s="33"/>
      <c r="F312" s="32"/>
      <c r="G312" s="32"/>
    </row>
    <row r="313">
      <c r="A313" s="35"/>
      <c r="B313" s="36"/>
      <c r="C313" s="32"/>
      <c r="D313" s="32"/>
      <c r="E313" s="33"/>
      <c r="F313" s="32"/>
      <c r="G313" s="32"/>
    </row>
    <row r="314">
      <c r="A314" s="35"/>
      <c r="B314" s="36"/>
      <c r="C314" s="32"/>
      <c r="D314" s="32"/>
      <c r="E314" s="33"/>
      <c r="F314" s="32"/>
      <c r="G314" s="32"/>
    </row>
    <row r="315">
      <c r="A315" s="35"/>
      <c r="B315" s="36"/>
      <c r="C315" s="32"/>
      <c r="D315" s="32"/>
      <c r="E315" s="33"/>
      <c r="F315" s="32"/>
      <c r="G315" s="32"/>
    </row>
    <row r="316">
      <c r="A316" s="35"/>
      <c r="B316" s="36"/>
      <c r="C316" s="32"/>
      <c r="D316" s="32"/>
      <c r="E316" s="33"/>
      <c r="F316" s="32"/>
      <c r="G316" s="32"/>
    </row>
    <row r="317">
      <c r="A317" s="35"/>
      <c r="B317" s="36"/>
      <c r="C317" s="32"/>
      <c r="D317" s="32"/>
      <c r="E317" s="33"/>
      <c r="F317" s="32"/>
      <c r="G317" s="32"/>
    </row>
    <row r="318">
      <c r="A318" s="35"/>
      <c r="B318" s="36"/>
      <c r="C318" s="32"/>
      <c r="D318" s="32"/>
      <c r="E318" s="33"/>
      <c r="F318" s="32"/>
      <c r="G318" s="32"/>
    </row>
    <row r="319">
      <c r="A319" s="35"/>
      <c r="B319" s="36"/>
      <c r="C319" s="32"/>
      <c r="D319" s="32"/>
      <c r="E319" s="33"/>
      <c r="F319" s="32"/>
      <c r="G319" s="32"/>
    </row>
    <row r="320">
      <c r="A320" s="35"/>
      <c r="B320" s="36"/>
      <c r="C320" s="32"/>
      <c r="D320" s="32"/>
      <c r="E320" s="33"/>
      <c r="F320" s="32"/>
      <c r="G320" s="32"/>
    </row>
    <row r="321">
      <c r="A321" s="35"/>
      <c r="B321" s="36"/>
      <c r="C321" s="32"/>
      <c r="D321" s="32"/>
      <c r="E321" s="33"/>
      <c r="F321" s="32"/>
      <c r="G321" s="32"/>
    </row>
    <row r="322">
      <c r="A322" s="35"/>
      <c r="B322" s="36"/>
      <c r="C322" s="32"/>
      <c r="D322" s="32"/>
      <c r="E322" s="33"/>
      <c r="F322" s="32"/>
      <c r="G322" s="32"/>
    </row>
    <row r="323">
      <c r="A323" s="35"/>
      <c r="B323" s="36"/>
      <c r="C323" s="32"/>
      <c r="D323" s="32"/>
      <c r="E323" s="33"/>
      <c r="F323" s="32"/>
      <c r="G323" s="32"/>
    </row>
    <row r="324">
      <c r="A324" s="35"/>
      <c r="B324" s="36"/>
      <c r="C324" s="32"/>
      <c r="D324" s="32"/>
      <c r="E324" s="33"/>
      <c r="F324" s="32"/>
      <c r="G324" s="32"/>
    </row>
    <row r="325">
      <c r="A325" s="35"/>
      <c r="B325" s="36"/>
      <c r="C325" s="32"/>
      <c r="D325" s="32"/>
      <c r="E325" s="33"/>
      <c r="F325" s="32"/>
      <c r="G325" s="32"/>
    </row>
    <row r="326">
      <c r="A326" s="35"/>
      <c r="B326" s="36"/>
      <c r="C326" s="32"/>
      <c r="D326" s="32"/>
      <c r="E326" s="33"/>
      <c r="F326" s="32"/>
      <c r="G326" s="32"/>
    </row>
    <row r="327">
      <c r="A327" s="35"/>
      <c r="B327" s="36"/>
      <c r="C327" s="32"/>
      <c r="D327" s="32"/>
      <c r="E327" s="33"/>
      <c r="F327" s="32"/>
      <c r="G327" s="32"/>
    </row>
    <row r="328">
      <c r="A328" s="35"/>
      <c r="B328" s="36"/>
      <c r="C328" s="32"/>
      <c r="D328" s="32"/>
      <c r="E328" s="33"/>
      <c r="F328" s="32"/>
      <c r="G328" s="32"/>
    </row>
    <row r="329">
      <c r="A329" s="35"/>
      <c r="B329" s="36"/>
      <c r="C329" s="32"/>
      <c r="D329" s="32"/>
      <c r="E329" s="33"/>
      <c r="F329" s="32"/>
      <c r="G329" s="32"/>
    </row>
    <row r="330">
      <c r="A330" s="35"/>
      <c r="B330" s="36"/>
      <c r="C330" s="32"/>
      <c r="D330" s="32"/>
      <c r="E330" s="33"/>
      <c r="F330" s="32"/>
      <c r="G330" s="32"/>
    </row>
    <row r="331">
      <c r="A331" s="35"/>
      <c r="B331" s="36"/>
      <c r="C331" s="32"/>
      <c r="D331" s="32"/>
      <c r="E331" s="33"/>
      <c r="F331" s="32"/>
      <c r="G331" s="32"/>
    </row>
    <row r="332">
      <c r="A332" s="35"/>
      <c r="B332" s="36"/>
      <c r="C332" s="32"/>
      <c r="D332" s="32"/>
      <c r="E332" s="33"/>
      <c r="F332" s="32"/>
      <c r="G332" s="32"/>
    </row>
    <row r="333">
      <c r="A333" s="35"/>
      <c r="B333" s="36"/>
      <c r="C333" s="32"/>
      <c r="D333" s="32"/>
      <c r="E333" s="33"/>
      <c r="F333" s="32"/>
      <c r="G333" s="32"/>
    </row>
    <row r="334">
      <c r="A334" s="35"/>
      <c r="B334" s="36"/>
      <c r="C334" s="32"/>
      <c r="D334" s="32"/>
      <c r="E334" s="33"/>
      <c r="F334" s="32"/>
      <c r="G334" s="32"/>
    </row>
    <row r="335">
      <c r="A335" s="35"/>
      <c r="B335" s="36"/>
      <c r="C335" s="32"/>
      <c r="D335" s="32"/>
      <c r="E335" s="33"/>
      <c r="F335" s="32"/>
      <c r="G335" s="32"/>
    </row>
    <row r="336">
      <c r="A336" s="35"/>
      <c r="B336" s="36"/>
      <c r="C336" s="32"/>
      <c r="D336" s="32"/>
      <c r="E336" s="33"/>
      <c r="F336" s="32"/>
      <c r="G336" s="32"/>
    </row>
    <row r="337">
      <c r="A337" s="35"/>
      <c r="B337" s="36"/>
      <c r="C337" s="32"/>
      <c r="D337" s="32"/>
      <c r="E337" s="33"/>
      <c r="F337" s="32"/>
      <c r="G337" s="32"/>
    </row>
    <row r="338">
      <c r="A338" s="35"/>
      <c r="B338" s="36"/>
      <c r="C338" s="32"/>
      <c r="D338" s="32"/>
      <c r="E338" s="33"/>
      <c r="F338" s="32"/>
      <c r="G338" s="32"/>
    </row>
    <row r="339">
      <c r="A339" s="35"/>
      <c r="B339" s="36"/>
      <c r="C339" s="32"/>
      <c r="D339" s="32"/>
      <c r="E339" s="33"/>
      <c r="F339" s="32"/>
      <c r="G339" s="32"/>
    </row>
    <row r="340">
      <c r="A340" s="35"/>
      <c r="B340" s="36"/>
      <c r="C340" s="32"/>
      <c r="D340" s="32"/>
      <c r="E340" s="33"/>
      <c r="F340" s="32"/>
      <c r="G340" s="32"/>
    </row>
    <row r="341">
      <c r="A341" s="35"/>
      <c r="B341" s="36"/>
      <c r="C341" s="32"/>
      <c r="D341" s="32"/>
      <c r="E341" s="33"/>
      <c r="F341" s="32"/>
      <c r="G341" s="32"/>
    </row>
    <row r="342">
      <c r="A342" s="35"/>
      <c r="B342" s="36"/>
      <c r="C342" s="32"/>
      <c r="D342" s="32"/>
      <c r="E342" s="33"/>
      <c r="F342" s="32"/>
      <c r="G342" s="32"/>
    </row>
    <row r="343">
      <c r="A343" s="35"/>
      <c r="B343" s="36"/>
      <c r="C343" s="32"/>
      <c r="D343" s="32"/>
      <c r="E343" s="33"/>
      <c r="F343" s="32"/>
      <c r="G343" s="32"/>
    </row>
    <row r="344">
      <c r="A344" s="35"/>
      <c r="B344" s="36"/>
      <c r="C344" s="32"/>
      <c r="D344" s="32"/>
      <c r="E344" s="33"/>
      <c r="F344" s="32"/>
      <c r="G344" s="32"/>
    </row>
    <row r="345">
      <c r="A345" s="35"/>
      <c r="B345" s="36"/>
      <c r="C345" s="32"/>
      <c r="D345" s="32"/>
      <c r="E345" s="33"/>
      <c r="F345" s="32"/>
      <c r="G345" s="32"/>
    </row>
    <row r="346">
      <c r="A346" s="35"/>
      <c r="B346" s="36"/>
      <c r="C346" s="32"/>
      <c r="D346" s="32"/>
      <c r="E346" s="33"/>
      <c r="F346" s="32"/>
      <c r="G346" s="32"/>
    </row>
    <row r="347">
      <c r="A347" s="35"/>
      <c r="B347" s="36"/>
      <c r="C347" s="32"/>
      <c r="D347" s="32"/>
      <c r="E347" s="33"/>
      <c r="F347" s="32"/>
      <c r="G347" s="32"/>
    </row>
    <row r="348">
      <c r="A348" s="35"/>
      <c r="B348" s="36"/>
      <c r="C348" s="32"/>
      <c r="D348" s="32"/>
      <c r="E348" s="33"/>
      <c r="F348" s="32"/>
      <c r="G348" s="32"/>
    </row>
    <row r="349">
      <c r="A349" s="35"/>
      <c r="B349" s="36"/>
      <c r="C349" s="32"/>
      <c r="D349" s="32"/>
      <c r="E349" s="33"/>
      <c r="F349" s="32"/>
      <c r="G349" s="32"/>
    </row>
    <row r="350">
      <c r="A350" s="35"/>
      <c r="B350" s="36"/>
      <c r="C350" s="32"/>
      <c r="D350" s="32"/>
      <c r="E350" s="33"/>
      <c r="F350" s="32"/>
      <c r="G350" s="32"/>
    </row>
    <row r="351">
      <c r="A351" s="35"/>
      <c r="B351" s="36"/>
      <c r="C351" s="32"/>
      <c r="D351" s="32"/>
      <c r="E351" s="33"/>
      <c r="F351" s="32"/>
      <c r="G351" s="32"/>
    </row>
    <row r="352">
      <c r="A352" s="35"/>
      <c r="B352" s="36"/>
      <c r="C352" s="32"/>
      <c r="D352" s="32"/>
      <c r="E352" s="33"/>
      <c r="F352" s="32"/>
      <c r="G352" s="32"/>
    </row>
    <row r="353">
      <c r="A353" s="35"/>
      <c r="B353" s="36"/>
      <c r="C353" s="32"/>
      <c r="D353" s="32"/>
      <c r="E353" s="33"/>
      <c r="F353" s="32"/>
      <c r="G353" s="32"/>
    </row>
    <row r="354">
      <c r="A354" s="35"/>
      <c r="B354" s="36"/>
      <c r="C354" s="32"/>
      <c r="D354" s="32"/>
      <c r="E354" s="33"/>
      <c r="F354" s="32"/>
      <c r="G354" s="32"/>
    </row>
    <row r="355">
      <c r="A355" s="35"/>
      <c r="B355" s="36"/>
      <c r="C355" s="32"/>
      <c r="D355" s="32"/>
      <c r="E355" s="33"/>
      <c r="F355" s="32"/>
      <c r="G355" s="32"/>
    </row>
    <row r="356">
      <c r="A356" s="35"/>
      <c r="B356" s="36"/>
      <c r="C356" s="32"/>
      <c r="D356" s="32"/>
      <c r="E356" s="33"/>
      <c r="F356" s="32"/>
      <c r="G356" s="32"/>
    </row>
    <row r="357">
      <c r="A357" s="35"/>
      <c r="B357" s="36"/>
      <c r="C357" s="32"/>
      <c r="D357" s="32"/>
      <c r="E357" s="33"/>
      <c r="F357" s="32"/>
      <c r="G357" s="32"/>
    </row>
    <row r="358">
      <c r="A358" s="35"/>
      <c r="B358" s="36"/>
      <c r="C358" s="32"/>
      <c r="D358" s="32"/>
      <c r="E358" s="33"/>
      <c r="F358" s="32"/>
      <c r="G358" s="32"/>
    </row>
    <row r="359">
      <c r="A359" s="35"/>
      <c r="B359" s="36"/>
      <c r="C359" s="32"/>
      <c r="D359" s="32"/>
      <c r="E359" s="33"/>
      <c r="F359" s="32"/>
      <c r="G359" s="32"/>
    </row>
    <row r="360">
      <c r="A360" s="35"/>
      <c r="B360" s="36"/>
      <c r="C360" s="32"/>
      <c r="D360" s="32"/>
      <c r="E360" s="33"/>
      <c r="F360" s="32"/>
      <c r="G360" s="32"/>
    </row>
    <row r="361">
      <c r="A361" s="35"/>
      <c r="B361" s="36"/>
      <c r="C361" s="32"/>
      <c r="D361" s="32"/>
      <c r="E361" s="33"/>
      <c r="F361" s="32"/>
      <c r="G361" s="32"/>
    </row>
    <row r="362">
      <c r="A362" s="35"/>
      <c r="B362" s="36"/>
      <c r="C362" s="32"/>
      <c r="D362" s="32"/>
      <c r="E362" s="33"/>
      <c r="F362" s="32"/>
      <c r="G362" s="32"/>
    </row>
    <row r="363">
      <c r="A363" s="35"/>
      <c r="B363" s="36"/>
      <c r="C363" s="32"/>
      <c r="D363" s="32"/>
      <c r="E363" s="33"/>
      <c r="F363" s="32"/>
      <c r="G363" s="32"/>
    </row>
    <row r="364">
      <c r="A364" s="35"/>
      <c r="B364" s="36"/>
      <c r="C364" s="32"/>
      <c r="D364" s="32"/>
      <c r="E364" s="33"/>
      <c r="F364" s="32"/>
      <c r="G364" s="32"/>
    </row>
    <row r="365">
      <c r="A365" s="35"/>
      <c r="B365" s="36"/>
      <c r="C365" s="32"/>
      <c r="D365" s="32"/>
      <c r="E365" s="33"/>
      <c r="F365" s="32"/>
      <c r="G365" s="32"/>
    </row>
    <row r="366">
      <c r="A366" s="35"/>
      <c r="B366" s="36"/>
      <c r="C366" s="32"/>
      <c r="D366" s="32"/>
      <c r="E366" s="33"/>
      <c r="F366" s="32"/>
      <c r="G366" s="32"/>
    </row>
    <row r="367">
      <c r="A367" s="35"/>
      <c r="B367" s="36"/>
      <c r="C367" s="32"/>
      <c r="D367" s="32"/>
      <c r="E367" s="33"/>
      <c r="F367" s="32"/>
      <c r="G367" s="32"/>
    </row>
    <row r="368">
      <c r="A368" s="35"/>
      <c r="B368" s="36"/>
      <c r="C368" s="32"/>
      <c r="D368" s="32"/>
      <c r="E368" s="33"/>
      <c r="F368" s="32"/>
      <c r="G368" s="32"/>
    </row>
    <row r="369">
      <c r="A369" s="35"/>
      <c r="B369" s="36"/>
      <c r="C369" s="32"/>
      <c r="D369" s="32"/>
      <c r="E369" s="33"/>
      <c r="F369" s="32"/>
      <c r="G369" s="32"/>
    </row>
    <row r="370">
      <c r="A370" s="35"/>
      <c r="B370" s="36"/>
      <c r="C370" s="32"/>
      <c r="D370" s="32"/>
      <c r="E370" s="33"/>
      <c r="F370" s="32"/>
      <c r="G370" s="32"/>
    </row>
    <row r="371">
      <c r="A371" s="35"/>
      <c r="B371" s="36"/>
      <c r="C371" s="32"/>
      <c r="D371" s="32"/>
      <c r="E371" s="33"/>
      <c r="F371" s="32"/>
      <c r="G371" s="32"/>
    </row>
    <row r="372">
      <c r="A372" s="35"/>
      <c r="B372" s="36"/>
      <c r="C372" s="32"/>
      <c r="D372" s="32"/>
      <c r="E372" s="33"/>
      <c r="F372" s="32"/>
      <c r="G372" s="32"/>
    </row>
    <row r="373">
      <c r="A373" s="35"/>
      <c r="B373" s="36"/>
      <c r="C373" s="32"/>
      <c r="D373" s="32"/>
      <c r="E373" s="33"/>
      <c r="F373" s="32"/>
      <c r="G373" s="32"/>
    </row>
    <row r="374">
      <c r="A374" s="35"/>
      <c r="B374" s="36"/>
      <c r="C374" s="32"/>
      <c r="D374" s="32"/>
      <c r="E374" s="33"/>
      <c r="F374" s="32"/>
      <c r="G374" s="32"/>
    </row>
    <row r="375">
      <c r="A375" s="35"/>
      <c r="B375" s="36"/>
      <c r="C375" s="32"/>
      <c r="D375" s="32"/>
      <c r="E375" s="33"/>
      <c r="F375" s="32"/>
      <c r="G375" s="32"/>
    </row>
    <row r="376">
      <c r="A376" s="35"/>
      <c r="B376" s="36"/>
      <c r="C376" s="32"/>
      <c r="D376" s="32"/>
      <c r="E376" s="33"/>
      <c r="F376" s="32"/>
      <c r="G376" s="32"/>
    </row>
    <row r="377">
      <c r="A377" s="35"/>
      <c r="B377" s="36"/>
      <c r="C377" s="32"/>
      <c r="D377" s="32"/>
      <c r="E377" s="33"/>
      <c r="F377" s="32"/>
      <c r="G377" s="32"/>
    </row>
    <row r="378">
      <c r="A378" s="35"/>
      <c r="B378" s="36"/>
      <c r="C378" s="32"/>
      <c r="D378" s="32"/>
      <c r="E378" s="33"/>
      <c r="F378" s="32"/>
      <c r="G378" s="32"/>
    </row>
    <row r="379">
      <c r="A379" s="35"/>
      <c r="B379" s="36"/>
      <c r="C379" s="32"/>
      <c r="D379" s="32"/>
      <c r="E379" s="33"/>
      <c r="F379" s="32"/>
      <c r="G379" s="32"/>
    </row>
    <row r="380">
      <c r="A380" s="35"/>
      <c r="B380" s="36"/>
      <c r="C380" s="32"/>
      <c r="D380" s="32"/>
      <c r="E380" s="33"/>
      <c r="F380" s="32"/>
      <c r="G380" s="32"/>
    </row>
    <row r="381">
      <c r="A381" s="35"/>
      <c r="B381" s="36"/>
      <c r="C381" s="32"/>
      <c r="D381" s="32"/>
      <c r="E381" s="33"/>
      <c r="F381" s="32"/>
      <c r="G381" s="32"/>
    </row>
    <row r="382">
      <c r="A382" s="35"/>
      <c r="B382" s="36"/>
      <c r="C382" s="32"/>
      <c r="D382" s="32"/>
      <c r="E382" s="33"/>
      <c r="F382" s="32"/>
      <c r="G382" s="32"/>
    </row>
    <row r="383">
      <c r="A383" s="35"/>
      <c r="B383" s="36"/>
      <c r="C383" s="32"/>
      <c r="D383" s="32"/>
      <c r="E383" s="33"/>
      <c r="F383" s="32"/>
      <c r="G383" s="32"/>
    </row>
    <row r="384">
      <c r="A384" s="35"/>
      <c r="B384" s="36"/>
      <c r="C384" s="32"/>
      <c r="D384" s="32"/>
      <c r="E384" s="33"/>
      <c r="F384" s="32"/>
      <c r="G384" s="32"/>
    </row>
    <row r="385">
      <c r="A385" s="35"/>
      <c r="B385" s="36"/>
      <c r="C385" s="32"/>
      <c r="D385" s="32"/>
      <c r="E385" s="33"/>
      <c r="F385" s="32"/>
      <c r="G385" s="32"/>
    </row>
    <row r="386">
      <c r="A386" s="35"/>
      <c r="B386" s="36"/>
      <c r="C386" s="32"/>
      <c r="D386" s="32"/>
      <c r="E386" s="33"/>
      <c r="F386" s="32"/>
      <c r="G386" s="32"/>
    </row>
    <row r="387">
      <c r="A387" s="35"/>
      <c r="B387" s="36"/>
      <c r="C387" s="32"/>
      <c r="D387" s="32"/>
      <c r="E387" s="33"/>
      <c r="F387" s="32"/>
      <c r="G387" s="32"/>
    </row>
    <row r="388">
      <c r="A388" s="35"/>
      <c r="B388" s="36"/>
      <c r="C388" s="32"/>
      <c r="D388" s="32"/>
      <c r="E388" s="33"/>
      <c r="F388" s="32"/>
      <c r="G388" s="32"/>
    </row>
    <row r="389">
      <c r="A389" s="35"/>
      <c r="B389" s="36"/>
      <c r="C389" s="32"/>
      <c r="D389" s="32"/>
      <c r="E389" s="33"/>
      <c r="F389" s="32"/>
      <c r="G389" s="32"/>
    </row>
    <row r="390">
      <c r="A390" s="35"/>
      <c r="B390" s="36"/>
      <c r="C390" s="32"/>
      <c r="D390" s="32"/>
      <c r="E390" s="33"/>
      <c r="F390" s="32"/>
      <c r="G390" s="32"/>
    </row>
    <row r="391">
      <c r="A391" s="35"/>
      <c r="B391" s="36"/>
      <c r="C391" s="32"/>
      <c r="D391" s="32"/>
      <c r="E391" s="33"/>
      <c r="F391" s="32"/>
      <c r="G391" s="32"/>
    </row>
    <row r="392">
      <c r="A392" s="35"/>
      <c r="B392" s="36"/>
      <c r="C392" s="32"/>
      <c r="D392" s="32"/>
      <c r="E392" s="33"/>
      <c r="F392" s="32"/>
      <c r="G392" s="32"/>
    </row>
    <row r="393">
      <c r="A393" s="35"/>
      <c r="B393" s="36"/>
      <c r="C393" s="32"/>
      <c r="D393" s="32"/>
      <c r="E393" s="33"/>
      <c r="F393" s="32"/>
      <c r="G393" s="32"/>
    </row>
    <row r="394">
      <c r="A394" s="35"/>
      <c r="B394" s="36"/>
      <c r="C394" s="32"/>
      <c r="D394" s="32"/>
      <c r="E394" s="33"/>
      <c r="F394" s="32"/>
      <c r="G394" s="32"/>
    </row>
    <row r="395">
      <c r="A395" s="35"/>
      <c r="B395" s="36"/>
      <c r="C395" s="32"/>
      <c r="D395" s="32"/>
      <c r="E395" s="33"/>
      <c r="F395" s="32"/>
      <c r="G395" s="32"/>
    </row>
    <row r="396">
      <c r="A396" s="35"/>
      <c r="B396" s="36"/>
      <c r="C396" s="32"/>
      <c r="D396" s="32"/>
      <c r="E396" s="33"/>
      <c r="F396" s="32"/>
      <c r="G396" s="32"/>
    </row>
    <row r="397">
      <c r="A397" s="35"/>
      <c r="B397" s="36"/>
      <c r="C397" s="32"/>
      <c r="D397" s="32"/>
      <c r="E397" s="33"/>
      <c r="F397" s="32"/>
      <c r="G397" s="32"/>
    </row>
    <row r="398">
      <c r="A398" s="35"/>
      <c r="B398" s="36"/>
      <c r="C398" s="32"/>
      <c r="D398" s="32"/>
      <c r="E398" s="33"/>
      <c r="F398" s="32"/>
      <c r="G398" s="32"/>
    </row>
    <row r="399">
      <c r="A399" s="35"/>
      <c r="B399" s="36"/>
      <c r="C399" s="32"/>
      <c r="D399" s="32"/>
      <c r="E399" s="33"/>
      <c r="F399" s="32"/>
      <c r="G399" s="32"/>
    </row>
    <row r="400">
      <c r="A400" s="35"/>
      <c r="B400" s="36"/>
      <c r="C400" s="32"/>
      <c r="D400" s="32"/>
      <c r="E400" s="33"/>
      <c r="F400" s="32"/>
      <c r="G400" s="32"/>
    </row>
    <row r="401">
      <c r="A401" s="35"/>
      <c r="B401" s="36"/>
      <c r="C401" s="32"/>
      <c r="D401" s="32"/>
      <c r="E401" s="33"/>
      <c r="F401" s="32"/>
      <c r="G401" s="32"/>
    </row>
    <row r="402">
      <c r="A402" s="35"/>
      <c r="B402" s="36"/>
      <c r="C402" s="32"/>
      <c r="D402" s="32"/>
      <c r="E402" s="33"/>
      <c r="F402" s="32"/>
      <c r="G402" s="32"/>
    </row>
    <row r="403">
      <c r="A403" s="35"/>
      <c r="B403" s="36"/>
      <c r="C403" s="32"/>
      <c r="D403" s="32"/>
      <c r="E403" s="33"/>
      <c r="F403" s="32"/>
      <c r="G403" s="32"/>
    </row>
    <row r="404">
      <c r="A404" s="35"/>
      <c r="B404" s="36"/>
      <c r="C404" s="32"/>
      <c r="D404" s="32"/>
      <c r="E404" s="33"/>
      <c r="F404" s="32"/>
      <c r="G404" s="32"/>
    </row>
    <row r="405">
      <c r="A405" s="35"/>
      <c r="B405" s="36"/>
      <c r="C405" s="32"/>
      <c r="D405" s="32"/>
      <c r="E405" s="33"/>
      <c r="F405" s="32"/>
      <c r="G405" s="32"/>
    </row>
    <row r="406">
      <c r="A406" s="35"/>
      <c r="B406" s="36"/>
      <c r="C406" s="32"/>
      <c r="D406" s="32"/>
      <c r="E406" s="33"/>
      <c r="F406" s="32"/>
      <c r="G406" s="32"/>
    </row>
    <row r="407">
      <c r="A407" s="35"/>
      <c r="B407" s="36"/>
      <c r="C407" s="32"/>
      <c r="D407" s="32"/>
      <c r="E407" s="33"/>
      <c r="F407" s="32"/>
      <c r="G407" s="32"/>
    </row>
    <row r="408">
      <c r="A408" s="35"/>
      <c r="B408" s="36"/>
      <c r="C408" s="32"/>
      <c r="D408" s="32"/>
      <c r="E408" s="33"/>
      <c r="F408" s="32"/>
      <c r="G408" s="32"/>
    </row>
    <row r="409">
      <c r="A409" s="35"/>
      <c r="B409" s="36"/>
      <c r="C409" s="32"/>
      <c r="D409" s="32"/>
      <c r="E409" s="33"/>
      <c r="F409" s="32"/>
      <c r="G409" s="32"/>
    </row>
    <row r="410">
      <c r="A410" s="35"/>
      <c r="B410" s="36"/>
      <c r="C410" s="32"/>
      <c r="D410" s="32"/>
      <c r="E410" s="33"/>
      <c r="F410" s="32"/>
      <c r="G410" s="32"/>
    </row>
    <row r="411">
      <c r="A411" s="35"/>
      <c r="B411" s="36"/>
      <c r="C411" s="32"/>
      <c r="D411" s="32"/>
      <c r="E411" s="33"/>
      <c r="F411" s="32"/>
      <c r="G411" s="32"/>
    </row>
    <row r="412">
      <c r="A412" s="35"/>
      <c r="B412" s="36"/>
      <c r="C412" s="32"/>
      <c r="D412" s="32"/>
      <c r="E412" s="33"/>
      <c r="F412" s="32"/>
      <c r="G412" s="32"/>
    </row>
    <row r="413">
      <c r="A413" s="35"/>
      <c r="B413" s="36"/>
      <c r="C413" s="32"/>
      <c r="D413" s="32"/>
      <c r="E413" s="33"/>
      <c r="F413" s="32"/>
      <c r="G413" s="32"/>
    </row>
    <row r="414">
      <c r="A414" s="35"/>
      <c r="B414" s="36"/>
      <c r="C414" s="32"/>
      <c r="D414" s="32"/>
      <c r="E414" s="33"/>
      <c r="F414" s="32"/>
      <c r="G414" s="32"/>
    </row>
    <row r="415">
      <c r="A415" s="35"/>
      <c r="B415" s="36"/>
      <c r="C415" s="32"/>
      <c r="D415" s="32"/>
      <c r="E415" s="33"/>
      <c r="F415" s="32"/>
      <c r="G415" s="32"/>
    </row>
    <row r="416">
      <c r="A416" s="35"/>
      <c r="B416" s="36"/>
      <c r="C416" s="32"/>
      <c r="D416" s="32"/>
      <c r="E416" s="33"/>
      <c r="F416" s="32"/>
      <c r="G416" s="32"/>
    </row>
    <row r="417">
      <c r="A417" s="35"/>
      <c r="B417" s="36"/>
      <c r="C417" s="32"/>
      <c r="D417" s="32"/>
      <c r="E417" s="33"/>
      <c r="F417" s="32"/>
      <c r="G417" s="32"/>
    </row>
    <row r="418">
      <c r="A418" s="35"/>
      <c r="B418" s="36"/>
      <c r="C418" s="32"/>
      <c r="D418" s="32"/>
      <c r="E418" s="33"/>
      <c r="F418" s="32"/>
      <c r="G418" s="32"/>
    </row>
    <row r="419">
      <c r="A419" s="35"/>
      <c r="B419" s="36"/>
      <c r="C419" s="32"/>
      <c r="D419" s="32"/>
      <c r="E419" s="33"/>
      <c r="F419" s="32"/>
      <c r="G419" s="32"/>
    </row>
    <row r="420">
      <c r="A420" s="35"/>
      <c r="B420" s="36"/>
      <c r="C420" s="32"/>
      <c r="D420" s="32"/>
      <c r="E420" s="33"/>
      <c r="F420" s="32"/>
      <c r="G420" s="32"/>
    </row>
    <row r="421">
      <c r="A421" s="35"/>
      <c r="B421" s="36"/>
      <c r="C421" s="32"/>
      <c r="D421" s="32"/>
      <c r="E421" s="33"/>
      <c r="F421" s="32"/>
      <c r="G421" s="32"/>
    </row>
    <row r="422">
      <c r="A422" s="35"/>
      <c r="B422" s="36"/>
      <c r="C422" s="32"/>
      <c r="D422" s="32"/>
      <c r="E422" s="33"/>
      <c r="F422" s="32"/>
      <c r="G422" s="32"/>
    </row>
    <row r="423">
      <c r="A423" s="35"/>
      <c r="B423" s="36"/>
      <c r="C423" s="32"/>
      <c r="D423" s="32"/>
      <c r="E423" s="33"/>
      <c r="F423" s="32"/>
      <c r="G423" s="32"/>
    </row>
    <row r="424">
      <c r="A424" s="35"/>
      <c r="B424" s="36"/>
      <c r="C424" s="32"/>
      <c r="D424" s="32"/>
      <c r="E424" s="33"/>
      <c r="F424" s="32"/>
      <c r="G424" s="32"/>
    </row>
    <row r="425">
      <c r="A425" s="35"/>
      <c r="B425" s="36"/>
      <c r="C425" s="32"/>
      <c r="D425" s="32"/>
      <c r="E425" s="33"/>
      <c r="F425" s="32"/>
      <c r="G425" s="32"/>
    </row>
    <row r="426">
      <c r="A426" s="35"/>
      <c r="B426" s="36"/>
      <c r="C426" s="32"/>
      <c r="D426" s="32"/>
      <c r="E426" s="33"/>
      <c r="F426" s="32"/>
      <c r="G426" s="32"/>
    </row>
    <row r="427">
      <c r="A427" s="35"/>
      <c r="B427" s="36"/>
      <c r="C427" s="32"/>
      <c r="D427" s="32"/>
      <c r="E427" s="33"/>
      <c r="F427" s="32"/>
      <c r="G427" s="32"/>
    </row>
    <row r="428">
      <c r="A428" s="35"/>
      <c r="B428" s="36"/>
      <c r="C428" s="32"/>
      <c r="D428" s="32"/>
      <c r="E428" s="33"/>
      <c r="F428" s="32"/>
      <c r="G428" s="32"/>
    </row>
    <row r="429">
      <c r="A429" s="35"/>
      <c r="B429" s="36"/>
      <c r="C429" s="32"/>
      <c r="D429" s="32"/>
      <c r="E429" s="33"/>
      <c r="F429" s="32"/>
      <c r="G429" s="32"/>
    </row>
    <row r="430">
      <c r="A430" s="35"/>
      <c r="B430" s="36"/>
      <c r="C430" s="32"/>
      <c r="D430" s="32"/>
      <c r="E430" s="33"/>
      <c r="F430" s="32"/>
      <c r="G430" s="32"/>
    </row>
    <row r="431">
      <c r="A431" s="35"/>
      <c r="B431" s="36"/>
      <c r="C431" s="32"/>
      <c r="D431" s="32"/>
      <c r="E431" s="33"/>
      <c r="F431" s="32"/>
      <c r="G431" s="32"/>
    </row>
    <row r="432">
      <c r="A432" s="35"/>
      <c r="B432" s="36"/>
      <c r="C432" s="32"/>
      <c r="D432" s="32"/>
      <c r="E432" s="33"/>
      <c r="F432" s="32"/>
      <c r="G432" s="32"/>
    </row>
    <row r="433">
      <c r="A433" s="35"/>
      <c r="B433" s="36"/>
      <c r="C433" s="32"/>
      <c r="D433" s="32"/>
      <c r="E433" s="33"/>
      <c r="F433" s="32"/>
      <c r="G433" s="32"/>
    </row>
    <row r="434">
      <c r="A434" s="35"/>
      <c r="B434" s="36"/>
      <c r="C434" s="32"/>
      <c r="D434" s="32"/>
      <c r="E434" s="33"/>
      <c r="F434" s="32"/>
      <c r="G434" s="32"/>
    </row>
    <row r="435">
      <c r="A435" s="35"/>
      <c r="B435" s="36"/>
      <c r="C435" s="32"/>
      <c r="D435" s="32"/>
      <c r="E435" s="33"/>
      <c r="F435" s="32"/>
      <c r="G435" s="32"/>
    </row>
    <row r="436">
      <c r="A436" s="35"/>
      <c r="B436" s="36"/>
      <c r="C436" s="32"/>
      <c r="D436" s="32"/>
      <c r="E436" s="33"/>
      <c r="F436" s="32"/>
      <c r="G436" s="32"/>
    </row>
    <row r="437">
      <c r="A437" s="35"/>
      <c r="B437" s="36"/>
      <c r="C437" s="32"/>
      <c r="D437" s="32"/>
      <c r="E437" s="33"/>
      <c r="F437" s="32"/>
      <c r="G437" s="32"/>
    </row>
    <row r="438">
      <c r="A438" s="35"/>
      <c r="B438" s="36"/>
      <c r="C438" s="32"/>
      <c r="D438" s="32"/>
      <c r="E438" s="33"/>
      <c r="F438" s="32"/>
      <c r="G438" s="32"/>
    </row>
    <row r="439">
      <c r="A439" s="35"/>
      <c r="B439" s="36"/>
      <c r="C439" s="32"/>
      <c r="D439" s="32"/>
      <c r="E439" s="33"/>
      <c r="F439" s="32"/>
      <c r="G439" s="32"/>
    </row>
    <row r="440">
      <c r="A440" s="35"/>
      <c r="B440" s="36"/>
      <c r="C440" s="32"/>
      <c r="D440" s="32"/>
      <c r="E440" s="33"/>
      <c r="F440" s="32"/>
      <c r="G440" s="32"/>
    </row>
    <row r="441">
      <c r="A441" s="35"/>
      <c r="B441" s="36"/>
      <c r="C441" s="32"/>
      <c r="D441" s="32"/>
      <c r="E441" s="33"/>
      <c r="F441" s="32"/>
      <c r="G441" s="32"/>
    </row>
    <row r="442">
      <c r="A442" s="35"/>
      <c r="B442" s="36"/>
      <c r="C442" s="32"/>
      <c r="D442" s="32"/>
      <c r="E442" s="33"/>
      <c r="F442" s="32"/>
      <c r="G442" s="32"/>
    </row>
    <row r="443">
      <c r="A443" s="35"/>
      <c r="B443" s="36"/>
      <c r="C443" s="32"/>
      <c r="D443" s="32"/>
      <c r="E443" s="33"/>
      <c r="F443" s="32"/>
      <c r="G443" s="32"/>
    </row>
    <row r="444">
      <c r="A444" s="35"/>
      <c r="B444" s="36"/>
      <c r="C444" s="32"/>
      <c r="D444" s="32"/>
      <c r="E444" s="33"/>
      <c r="F444" s="32"/>
      <c r="G444" s="32"/>
    </row>
    <row r="445">
      <c r="A445" s="35"/>
      <c r="B445" s="36"/>
      <c r="C445" s="32"/>
      <c r="D445" s="32"/>
      <c r="E445" s="33"/>
      <c r="F445" s="32"/>
      <c r="G445" s="32"/>
    </row>
    <row r="446">
      <c r="A446" s="35"/>
      <c r="B446" s="36"/>
      <c r="C446" s="32"/>
      <c r="D446" s="32"/>
      <c r="E446" s="33"/>
      <c r="F446" s="32"/>
      <c r="G446" s="32"/>
    </row>
    <row r="447">
      <c r="A447" s="35"/>
      <c r="B447" s="36"/>
      <c r="C447" s="32"/>
      <c r="D447" s="32"/>
      <c r="E447" s="33"/>
      <c r="F447" s="32"/>
      <c r="G447" s="32"/>
    </row>
    <row r="448">
      <c r="A448" s="35"/>
      <c r="B448" s="36"/>
      <c r="C448" s="32"/>
      <c r="D448" s="32"/>
      <c r="E448" s="33"/>
      <c r="F448" s="32"/>
      <c r="G448" s="32"/>
    </row>
    <row r="449">
      <c r="A449" s="35"/>
      <c r="B449" s="36"/>
      <c r="C449" s="32"/>
      <c r="D449" s="32"/>
      <c r="E449" s="33"/>
      <c r="F449" s="32"/>
      <c r="G449" s="32"/>
    </row>
    <row r="450">
      <c r="A450" s="35"/>
      <c r="B450" s="36"/>
      <c r="C450" s="32"/>
      <c r="D450" s="32"/>
      <c r="E450" s="33"/>
      <c r="F450" s="32"/>
      <c r="G450" s="32"/>
    </row>
    <row r="451">
      <c r="A451" s="35"/>
      <c r="B451" s="36"/>
      <c r="C451" s="32"/>
      <c r="D451" s="32"/>
      <c r="E451" s="33"/>
      <c r="F451" s="32"/>
      <c r="G451" s="32"/>
    </row>
    <row r="452">
      <c r="A452" s="35"/>
      <c r="B452" s="36"/>
      <c r="C452" s="32"/>
      <c r="D452" s="32"/>
      <c r="E452" s="33"/>
      <c r="F452" s="32"/>
      <c r="G452" s="32"/>
    </row>
    <row r="453">
      <c r="A453" s="35"/>
      <c r="B453" s="36"/>
      <c r="C453" s="32"/>
      <c r="D453" s="32"/>
      <c r="E453" s="33"/>
      <c r="F453" s="32"/>
      <c r="G453" s="32"/>
    </row>
    <row r="454">
      <c r="A454" s="35"/>
      <c r="B454" s="36"/>
      <c r="C454" s="32"/>
      <c r="D454" s="32"/>
      <c r="E454" s="33"/>
      <c r="F454" s="32"/>
      <c r="G454" s="32"/>
    </row>
    <row r="455">
      <c r="A455" s="35"/>
      <c r="B455" s="36"/>
      <c r="C455" s="32"/>
      <c r="D455" s="32"/>
      <c r="E455" s="33"/>
      <c r="F455" s="32"/>
      <c r="G455" s="32"/>
    </row>
    <row r="456">
      <c r="A456" s="35"/>
      <c r="B456" s="36"/>
      <c r="C456" s="32"/>
      <c r="D456" s="32"/>
      <c r="E456" s="33"/>
      <c r="F456" s="32"/>
      <c r="G456" s="32"/>
    </row>
    <row r="457">
      <c r="A457" s="35"/>
      <c r="B457" s="36"/>
      <c r="C457" s="32"/>
      <c r="D457" s="32"/>
      <c r="E457" s="33"/>
      <c r="F457" s="32"/>
      <c r="G457" s="32"/>
    </row>
    <row r="458">
      <c r="A458" s="35"/>
      <c r="B458" s="36"/>
      <c r="C458" s="32"/>
      <c r="D458" s="32"/>
      <c r="E458" s="33"/>
      <c r="F458" s="32"/>
      <c r="G458" s="32"/>
    </row>
    <row r="459">
      <c r="A459" s="35"/>
      <c r="B459" s="36"/>
      <c r="C459" s="32"/>
      <c r="D459" s="32"/>
      <c r="E459" s="33"/>
      <c r="F459" s="32"/>
      <c r="G459" s="32"/>
    </row>
    <row r="460">
      <c r="A460" s="35"/>
      <c r="B460" s="36"/>
      <c r="C460" s="32"/>
      <c r="D460" s="32"/>
      <c r="E460" s="33"/>
      <c r="F460" s="32"/>
      <c r="G460" s="32"/>
    </row>
    <row r="461">
      <c r="A461" s="35"/>
      <c r="B461" s="36"/>
      <c r="C461" s="32"/>
      <c r="D461" s="32"/>
      <c r="E461" s="33"/>
      <c r="F461" s="32"/>
      <c r="G461" s="32"/>
    </row>
    <row r="462">
      <c r="A462" s="35"/>
      <c r="B462" s="36"/>
      <c r="C462" s="32"/>
      <c r="D462" s="32"/>
      <c r="E462" s="33"/>
      <c r="F462" s="32"/>
      <c r="G462" s="32"/>
    </row>
    <row r="463">
      <c r="A463" s="35"/>
      <c r="B463" s="36"/>
      <c r="C463" s="32"/>
      <c r="D463" s="32"/>
      <c r="E463" s="33"/>
      <c r="F463" s="32"/>
      <c r="G463" s="32"/>
    </row>
    <row r="464">
      <c r="A464" s="35"/>
      <c r="B464" s="36"/>
      <c r="C464" s="32"/>
      <c r="D464" s="32"/>
      <c r="E464" s="33"/>
      <c r="F464" s="32"/>
      <c r="G464" s="32"/>
    </row>
    <row r="465">
      <c r="A465" s="35"/>
      <c r="B465" s="36"/>
      <c r="C465" s="32"/>
      <c r="D465" s="32"/>
      <c r="E465" s="33"/>
      <c r="F465" s="32"/>
      <c r="G465" s="32"/>
    </row>
    <row r="466">
      <c r="A466" s="35"/>
      <c r="B466" s="36"/>
      <c r="C466" s="32"/>
      <c r="D466" s="32"/>
      <c r="E466" s="33"/>
      <c r="F466" s="32"/>
      <c r="G466" s="32"/>
    </row>
    <row r="467">
      <c r="A467" s="35"/>
      <c r="B467" s="36"/>
      <c r="C467" s="32"/>
      <c r="D467" s="32"/>
      <c r="E467" s="33"/>
      <c r="F467" s="32"/>
      <c r="G467" s="32"/>
    </row>
    <row r="468">
      <c r="A468" s="35"/>
      <c r="B468" s="36"/>
      <c r="C468" s="32"/>
      <c r="D468" s="32"/>
      <c r="E468" s="33"/>
      <c r="F468" s="32"/>
      <c r="G468" s="32"/>
    </row>
    <row r="469">
      <c r="A469" s="35"/>
      <c r="B469" s="36"/>
      <c r="C469" s="32"/>
      <c r="D469" s="32"/>
      <c r="E469" s="33"/>
      <c r="F469" s="32"/>
      <c r="G469" s="32"/>
    </row>
    <row r="470">
      <c r="A470" s="35"/>
      <c r="B470" s="36"/>
      <c r="C470" s="32"/>
      <c r="D470" s="32"/>
      <c r="E470" s="33"/>
      <c r="F470" s="32"/>
      <c r="G470" s="32"/>
    </row>
    <row r="471">
      <c r="A471" s="35"/>
      <c r="B471" s="36"/>
      <c r="C471" s="32"/>
      <c r="D471" s="32"/>
      <c r="E471" s="33"/>
      <c r="F471" s="32"/>
      <c r="G471" s="32"/>
    </row>
    <row r="472">
      <c r="A472" s="35"/>
      <c r="B472" s="36"/>
      <c r="C472" s="32"/>
      <c r="D472" s="32"/>
      <c r="E472" s="33"/>
      <c r="F472" s="32"/>
      <c r="G472" s="32"/>
    </row>
    <row r="473">
      <c r="A473" s="35"/>
      <c r="B473" s="36"/>
      <c r="C473" s="32"/>
      <c r="D473" s="32"/>
      <c r="E473" s="33"/>
      <c r="F473" s="32"/>
      <c r="G473" s="32"/>
    </row>
    <row r="474">
      <c r="A474" s="35"/>
      <c r="B474" s="36"/>
      <c r="C474" s="32"/>
      <c r="D474" s="32"/>
      <c r="E474" s="33"/>
      <c r="F474" s="32"/>
      <c r="G474" s="32"/>
    </row>
    <row r="475">
      <c r="A475" s="35"/>
      <c r="B475" s="36"/>
      <c r="C475" s="32"/>
      <c r="D475" s="32"/>
      <c r="E475" s="33"/>
      <c r="F475" s="32"/>
      <c r="G475" s="32"/>
    </row>
    <row r="476">
      <c r="A476" s="35"/>
      <c r="B476" s="36"/>
      <c r="C476" s="32"/>
      <c r="D476" s="32"/>
      <c r="E476" s="33"/>
      <c r="F476" s="32"/>
      <c r="G476" s="32"/>
    </row>
    <row r="477">
      <c r="A477" s="35"/>
      <c r="B477" s="36"/>
      <c r="C477" s="32"/>
      <c r="D477" s="32"/>
      <c r="E477" s="33"/>
      <c r="F477" s="32"/>
      <c r="G477" s="32"/>
    </row>
    <row r="478">
      <c r="A478" s="35"/>
      <c r="B478" s="36"/>
      <c r="C478" s="32"/>
      <c r="D478" s="32"/>
      <c r="E478" s="33"/>
      <c r="F478" s="32"/>
      <c r="G478" s="32"/>
    </row>
    <row r="479">
      <c r="A479" s="35"/>
      <c r="B479" s="36"/>
      <c r="C479" s="32"/>
      <c r="D479" s="32"/>
      <c r="E479" s="33"/>
      <c r="F479" s="32"/>
      <c r="G479" s="32"/>
    </row>
    <row r="480">
      <c r="A480" s="35"/>
      <c r="B480" s="36"/>
      <c r="C480" s="32"/>
      <c r="D480" s="32"/>
      <c r="E480" s="33"/>
      <c r="F480" s="32"/>
      <c r="G480" s="32"/>
    </row>
    <row r="481">
      <c r="A481" s="35"/>
      <c r="B481" s="36"/>
      <c r="C481" s="32"/>
      <c r="D481" s="32"/>
      <c r="E481" s="33"/>
      <c r="F481" s="32"/>
      <c r="G481" s="32"/>
    </row>
    <row r="482">
      <c r="A482" s="35"/>
      <c r="B482" s="36"/>
      <c r="C482" s="32"/>
      <c r="D482" s="32"/>
      <c r="E482" s="33"/>
      <c r="F482" s="32"/>
      <c r="G482" s="32"/>
    </row>
    <row r="483">
      <c r="A483" s="35"/>
      <c r="B483" s="36"/>
      <c r="C483" s="32"/>
      <c r="D483" s="32"/>
      <c r="E483" s="33"/>
      <c r="F483" s="32"/>
      <c r="G483" s="32"/>
    </row>
    <row r="484">
      <c r="A484" s="35"/>
      <c r="B484" s="36"/>
      <c r="C484" s="32"/>
      <c r="D484" s="32"/>
      <c r="E484" s="33"/>
      <c r="F484" s="32"/>
      <c r="G484" s="32"/>
    </row>
    <row r="485">
      <c r="A485" s="35"/>
      <c r="B485" s="36"/>
      <c r="C485" s="32"/>
      <c r="D485" s="32"/>
      <c r="E485" s="33"/>
      <c r="F485" s="32"/>
      <c r="G485" s="32"/>
    </row>
    <row r="486">
      <c r="A486" s="35"/>
      <c r="B486" s="36"/>
      <c r="C486" s="32"/>
      <c r="D486" s="32"/>
      <c r="E486" s="33"/>
      <c r="F486" s="32"/>
      <c r="G486" s="32"/>
    </row>
    <row r="487">
      <c r="A487" s="35"/>
      <c r="B487" s="36"/>
      <c r="C487" s="32"/>
      <c r="D487" s="32"/>
      <c r="E487" s="33"/>
      <c r="F487" s="32"/>
      <c r="G487" s="32"/>
    </row>
    <row r="488">
      <c r="A488" s="35"/>
      <c r="B488" s="36"/>
      <c r="C488" s="32"/>
      <c r="D488" s="32"/>
      <c r="E488" s="33"/>
      <c r="F488" s="32"/>
      <c r="G488" s="32"/>
    </row>
    <row r="489">
      <c r="A489" s="35"/>
      <c r="B489" s="36"/>
      <c r="C489" s="32"/>
      <c r="D489" s="32"/>
      <c r="E489" s="33"/>
      <c r="F489" s="32"/>
      <c r="G489" s="32"/>
    </row>
    <row r="490">
      <c r="A490" s="35"/>
      <c r="B490" s="36"/>
      <c r="C490" s="32"/>
      <c r="D490" s="32"/>
      <c r="E490" s="33"/>
      <c r="F490" s="32"/>
      <c r="G490" s="32"/>
    </row>
    <row r="491">
      <c r="A491" s="35"/>
      <c r="B491" s="36"/>
      <c r="C491" s="32"/>
      <c r="D491" s="32"/>
      <c r="E491" s="33"/>
      <c r="F491" s="32"/>
      <c r="G491" s="32"/>
    </row>
    <row r="492">
      <c r="A492" s="35"/>
      <c r="B492" s="36"/>
      <c r="C492" s="32"/>
      <c r="D492" s="32"/>
      <c r="E492" s="33"/>
      <c r="F492" s="32"/>
      <c r="G492" s="32"/>
    </row>
    <row r="493">
      <c r="A493" s="35"/>
      <c r="B493" s="36"/>
      <c r="C493" s="32"/>
      <c r="D493" s="32"/>
      <c r="E493" s="33"/>
      <c r="F493" s="32"/>
      <c r="G493" s="32"/>
    </row>
    <row r="494">
      <c r="A494" s="35"/>
      <c r="B494" s="36"/>
      <c r="C494" s="32"/>
      <c r="D494" s="32"/>
      <c r="E494" s="33"/>
      <c r="F494" s="32"/>
      <c r="G494" s="32"/>
    </row>
    <row r="495">
      <c r="A495" s="35"/>
      <c r="B495" s="36"/>
      <c r="C495" s="32"/>
      <c r="D495" s="32"/>
      <c r="E495" s="33"/>
      <c r="F495" s="32"/>
      <c r="G495" s="32"/>
    </row>
    <row r="496">
      <c r="A496" s="35"/>
      <c r="B496" s="36"/>
      <c r="C496" s="32"/>
      <c r="D496" s="32"/>
      <c r="E496" s="33"/>
      <c r="F496" s="32"/>
      <c r="G496" s="32"/>
    </row>
    <row r="497">
      <c r="A497" s="35"/>
      <c r="B497" s="36"/>
      <c r="C497" s="32"/>
      <c r="D497" s="32"/>
      <c r="E497" s="33"/>
      <c r="F497" s="32"/>
      <c r="G497" s="32"/>
    </row>
    <row r="498">
      <c r="A498" s="35"/>
      <c r="B498" s="36"/>
      <c r="C498" s="32"/>
      <c r="D498" s="32"/>
      <c r="E498" s="33"/>
      <c r="F498" s="32"/>
      <c r="G498" s="32"/>
    </row>
    <row r="499">
      <c r="A499" s="35"/>
      <c r="B499" s="36"/>
      <c r="C499" s="32"/>
      <c r="D499" s="32"/>
      <c r="E499" s="33"/>
      <c r="F499" s="32"/>
      <c r="G499" s="32"/>
    </row>
    <row r="500">
      <c r="A500" s="35"/>
      <c r="B500" s="36"/>
      <c r="C500" s="32"/>
      <c r="D500" s="32"/>
      <c r="E500" s="33"/>
      <c r="F500" s="32"/>
      <c r="G500" s="32"/>
    </row>
  </sheetData>
  <mergeCells count="1">
    <mergeCell ref="C1:G1"/>
  </mergeCells>
  <drawing r:id="rId1"/>
</worksheet>
</file>